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 tabRatio="883"/>
  </bookViews>
  <sheets>
    <sheet name="Insumos testigos " sheetId="58" r:id="rId1"/>
    <sheet name="Abert aluminio" sheetId="49" r:id="rId2"/>
    <sheet name="Alacenas de madera" sheetId="54" r:id="rId3"/>
    <sheet name="art ilum" sheetId="47" r:id="rId4"/>
    <sheet name="Ascensor " sheetId="50" r:id="rId5"/>
    <sheet name="Baldosa Ceramica" sheetId="53" r:id="rId6"/>
    <sheet name="Polietileno" sheetId="51" r:id="rId7"/>
    <sheet name="Cubiertas" sheetId="52" r:id="rId8"/>
    <sheet name="D.P.V." sheetId="46" r:id="rId9"/>
    <sheet name="EQUIPOS" sheetId="43" r:id="rId10"/>
    <sheet name="Material p salpicado" sheetId="55" r:id="rId11"/>
    <sheet name="Pintura asfaltica" sheetId="56" r:id="rId12"/>
    <sheet name="ANEXO D" sheetId="27" r:id="rId13"/>
    <sheet name="Productos basico de aluminio" sheetId="57" r:id="rId14"/>
    <sheet name="ANEXOA-MODIFICADO" sheetId="25" r:id="rId15"/>
    <sheet name="ANEXO C" sheetId="26" r:id="rId16"/>
    <sheet name="ANEXO E" sheetId="28" r:id="rId17"/>
    <sheet name="I-E" sheetId="48" r:id="rId18"/>
    <sheet name="ANEXO B" sheetId="33" r:id="rId19"/>
    <sheet name="ANEXO F" sheetId="29" r:id="rId20"/>
    <sheet name="ANEXO M.O." sheetId="41" r:id="rId21"/>
    <sheet name="NIV-GEN." sheetId="44" r:id="rId22"/>
    <sheet name="ANEXO MAT." sheetId="42" r:id="rId23"/>
    <sheet name="ANEXO G" sheetId="30" r:id="rId24"/>
    <sheet name="ANEXO H" sheetId="31" r:id="rId25"/>
    <sheet name="ANEXO J" sheetId="32" r:id="rId26"/>
    <sheet name="TABLA FINAL  NO" sheetId="39" r:id="rId27"/>
    <sheet name="ANEXOA-AMORTIZACION" sheetId="24" r:id="rId28"/>
    <sheet name="ANEXO TRANSP." sheetId="38" r:id="rId29"/>
    <sheet name="ANEXO I CADIEEL" sheetId="37" r:id="rId30"/>
    <sheet name="PARA CURVAS" sheetId="35" r:id="rId31"/>
    <sheet name="Gráfico2" sheetId="36" r:id="rId32"/>
    <sheet name="TABLA FINAL " sheetId="3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_DIC01" localSheetId="1">#REF!</definedName>
    <definedName name="__DIC01" localSheetId="2">#REF!</definedName>
    <definedName name="__DIC01" localSheetId="4">#REF!</definedName>
    <definedName name="__DIC01" localSheetId="5">#REF!</definedName>
    <definedName name="__DIC01" localSheetId="7">#REF!</definedName>
    <definedName name="__DIC01" localSheetId="0">#REF!</definedName>
    <definedName name="__DIC01" localSheetId="10">#REF!</definedName>
    <definedName name="__DIC01" localSheetId="11">#REF!</definedName>
    <definedName name="__DIC01" localSheetId="6">#REF!</definedName>
    <definedName name="__DIC01" localSheetId="13">#REF!</definedName>
    <definedName name="__DIC01">#REF!</definedName>
    <definedName name="_DIC01" localSheetId="30">#REF!</definedName>
    <definedName name="_DIC01" localSheetId="32">#REF!</definedName>
    <definedName name="_DIC01" localSheetId="26">#REF!</definedName>
    <definedName name="_xlnm._FilterDatabase" localSheetId="0" hidden="1">'Insumos testigos '!$B$2:$JG$206</definedName>
    <definedName name="_xlnm._FilterDatabase" localSheetId="32" hidden="1">'TABLA FINAL '!$G$1:$G$443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1">L2C1:L372C15</definedName>
    <definedName name="Adecuación" localSheetId="2">L2C1:L372C15</definedName>
    <definedName name="Adecuación" localSheetId="4">L2C1:L372C15</definedName>
    <definedName name="Adecuación" localSheetId="5">L2C1:L372C15</definedName>
    <definedName name="Adecuación" localSheetId="7">L2C1:L372C15</definedName>
    <definedName name="Adecuación" localSheetId="0">L2C1:L372C15</definedName>
    <definedName name="Adecuación" localSheetId="10">L2C1:L372C15</definedName>
    <definedName name="Adecuación" localSheetId="11">L2C1:L372C15</definedName>
    <definedName name="Adecuación" localSheetId="6">L2C1:L372C15</definedName>
    <definedName name="Adecuación" localSheetId="13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1">'Abert aluminio'!$A$1:$O$36</definedName>
    <definedName name="_xlnm.Print_Area" localSheetId="2">'Alacenas de madera'!$A$1:$O$40</definedName>
    <definedName name="_xlnm.Print_Area" localSheetId="18">'ANEXO B'!$A$1:$O$529</definedName>
    <definedName name="_xlnm.Print_Area" localSheetId="15">'ANEXO C'!$A$2:$IP$47</definedName>
    <definedName name="_xlnm.Print_Area" localSheetId="12">'ANEXO D'!$B$2:$IR$75</definedName>
    <definedName name="_xlnm.Print_Area" localSheetId="16">'ANEXO E'!$B$2:$P$268</definedName>
    <definedName name="_xlnm.Print_Area" localSheetId="19">'ANEXO F'!$A$160:$N$231</definedName>
    <definedName name="_xlnm.Print_Area" localSheetId="23">'ANEXO G'!$A$200:$P$295</definedName>
    <definedName name="_xlnm.Print_Area" localSheetId="24">'ANEXO H'!$A$225:$Q$320</definedName>
    <definedName name="_xlnm.Print_Area" localSheetId="29">'ANEXO I CADIEEL'!$B$1:$DC$27</definedName>
    <definedName name="_xlnm.Print_Area" localSheetId="25">'ANEXO J'!$A$1:$X$197</definedName>
    <definedName name="_xlnm.Print_Area" localSheetId="20">'ANEXO M.O.'!$A$1:$CO$15</definedName>
    <definedName name="_xlnm.Print_Area" localSheetId="22">'ANEXO MAT.'!$A$1:$CN$36</definedName>
    <definedName name="_xlnm.Print_Area" localSheetId="28">'ANEXO TRANSP.'!$B$2:$CD$15</definedName>
    <definedName name="_xlnm.Print_Area" localSheetId="27">'ANEXOA-AMORTIZACION'!$B$1:$EK$71</definedName>
    <definedName name="_xlnm.Print_Area" localSheetId="14">'ANEXOA-MODIFICADO'!$A$1:$Q$642</definedName>
    <definedName name="_xlnm.Print_Area" localSheetId="3">'art ilum'!$A$1:$O$84</definedName>
    <definedName name="_xlnm.Print_Area" localSheetId="4">'Ascensor '!$A$1:$O$36</definedName>
    <definedName name="_xlnm.Print_Area" localSheetId="5">'Baldosa Ceramica'!$A$1:$O$36</definedName>
    <definedName name="_xlnm.Print_Area" localSheetId="7">Cubiertas!$A$1:$O$36</definedName>
    <definedName name="_xlnm.Print_Area" localSheetId="8">D.P.V.!$A$1:$N$318</definedName>
    <definedName name="_xlnm.Print_Area" localSheetId="9">EQUIPOS!$A$1:$CO$44</definedName>
    <definedName name="_xlnm.Print_Area" localSheetId="17">'I-E'!$B$1:$CO$50</definedName>
    <definedName name="_xlnm.Print_Area" localSheetId="0">'Insumos testigos '!$B$2:$JF$266</definedName>
    <definedName name="_xlnm.Print_Area" localSheetId="10">'Material p salpicado'!$A$1:$O$44</definedName>
    <definedName name="_xlnm.Print_Area" localSheetId="21">'NIV-GEN.'!$A$1:$CN$25</definedName>
    <definedName name="_xlnm.Print_Area" localSheetId="30">'PARA CURVAS'!$B$8:$S$19</definedName>
    <definedName name="_xlnm.Print_Area" localSheetId="11">'Pintura asfaltica'!$A$1:$O$36</definedName>
    <definedName name="_xlnm.Print_Area" localSheetId="6">Polietileno!$A$1:$O$35</definedName>
    <definedName name="_xlnm.Print_Area" localSheetId="13">'Productos basico de aluminio'!$A$1:$O$44</definedName>
    <definedName name="_xlnm.Print_Area" localSheetId="32">'TABLA FINAL '!$B$2:$DL$252</definedName>
    <definedName name="_xlnm.Print_Area" localSheetId="26">'TABLA FINAL  NO'!$B$2:$FU$270</definedName>
    <definedName name="ASDAASD" localSheetId="1">L2C1:L372C15</definedName>
    <definedName name="ASDAASD" localSheetId="2">L2C1:L372C15</definedName>
    <definedName name="ASDAASD" localSheetId="4">L2C1:L372C15</definedName>
    <definedName name="ASDAASD" localSheetId="5">L2C1:L372C15</definedName>
    <definedName name="ASDAASD" localSheetId="7">L2C1:L372C15</definedName>
    <definedName name="ASDAASD" localSheetId="0">L2C1:L372C15</definedName>
    <definedName name="ASDAASD" localSheetId="10">L2C1:L372C15</definedName>
    <definedName name="ASDAASD" localSheetId="11">L2C1:L372C15</definedName>
    <definedName name="ASDAASD" localSheetId="6">L2C1:L372C15</definedName>
    <definedName name="ASDAASD" localSheetId="13">L2C1:L372C15</definedName>
    <definedName name="ASDAASD">L2C1:L372C15</definedName>
    <definedName name="AVANCEACUMULADO" localSheetId="1">#REF!</definedName>
    <definedName name="AVANCEACUMULADO" localSheetId="2">#REF!</definedName>
    <definedName name="AVANCEACUMULADO" localSheetId="4">#REF!</definedName>
    <definedName name="AVANCEACUMULADO" localSheetId="5">#REF!</definedName>
    <definedName name="AVANCEACUMULADO" localSheetId="7">#REF!</definedName>
    <definedName name="AVANCEACUMULADO" localSheetId="0">#REF!</definedName>
    <definedName name="AVANCEACUMULADO" localSheetId="10">#REF!</definedName>
    <definedName name="AVANCEACUMULADO" localSheetId="11">#REF!</definedName>
    <definedName name="AVANCEACUMULADO" localSheetId="6">#REF!</definedName>
    <definedName name="AVANCEACUMULADO" localSheetId="13">#REF!</definedName>
    <definedName name="AVANCEACUMULADO">#REF!</definedName>
    <definedName name="ay" localSheetId="1">#REF!</definedName>
    <definedName name="ay" localSheetId="2">#REF!</definedName>
    <definedName name="ay" localSheetId="4">#REF!</definedName>
    <definedName name="ay" localSheetId="5">#REF!</definedName>
    <definedName name="ay" localSheetId="7">#REF!</definedName>
    <definedName name="ay" localSheetId="0">#REF!</definedName>
    <definedName name="ay" localSheetId="10">#REF!</definedName>
    <definedName name="ay" localSheetId="11">#REF!</definedName>
    <definedName name="ay" localSheetId="6">#REF!</definedName>
    <definedName name="ay" localSheetId="13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1">L2C1:L372C15</definedName>
    <definedName name="BASEINSU" localSheetId="2">L2C1:L372C15</definedName>
    <definedName name="BASEINSU" localSheetId="4">L2C1:L372C15</definedName>
    <definedName name="BASEINSU" localSheetId="5">L2C1:L372C15</definedName>
    <definedName name="BASEINSU" localSheetId="7">L2C1:L372C15</definedName>
    <definedName name="BASEINSU" localSheetId="0">L2C1:L372C15</definedName>
    <definedName name="BASEINSU" localSheetId="10">L2C1:L372C15</definedName>
    <definedName name="BASEINSU" localSheetId="11">L2C1:L372C15</definedName>
    <definedName name="BASEINSU" localSheetId="6">L2C1:L372C15</definedName>
    <definedName name="BASEINSU" localSheetId="13">L2C1:L372C15</definedName>
    <definedName name="BASEINSU">L2C1:L372C15</definedName>
    <definedName name="baseinsumos" localSheetId="1">L2C1:L372C15</definedName>
    <definedName name="baseinsumos" localSheetId="2">L2C1:L372C15</definedName>
    <definedName name="baseinsumos" localSheetId="4">L2C1:L372C15</definedName>
    <definedName name="baseinsumos" localSheetId="5">L2C1:L372C15</definedName>
    <definedName name="baseinsumos" localSheetId="7">L2C1:L372C15</definedName>
    <definedName name="baseinsumos" localSheetId="0">L2C1:L372C15</definedName>
    <definedName name="baseinsumos" localSheetId="10">L2C1:L372C15</definedName>
    <definedName name="baseinsumos" localSheetId="11">L2C1:L372C15</definedName>
    <definedName name="baseinsumos" localSheetId="6">L2C1:L372C15</definedName>
    <definedName name="baseinsumos" localSheetId="13">L2C1:L372C15</definedName>
    <definedName name="baseinsumos">L2C1:L372C15</definedName>
    <definedName name="bases">[13]INSUMOS!$A$6:$D$310</definedName>
    <definedName name="BI" localSheetId="1">L2C1:L372C15</definedName>
    <definedName name="BI" localSheetId="2">L2C1:L372C15</definedName>
    <definedName name="BI" localSheetId="4">L2C1:L372C15</definedName>
    <definedName name="BI" localSheetId="5">L2C1:L372C15</definedName>
    <definedName name="BI" localSheetId="7">L2C1:L372C15</definedName>
    <definedName name="BI" localSheetId="0">L2C1:L372C15</definedName>
    <definedName name="BI" localSheetId="10">L2C1:L372C15</definedName>
    <definedName name="BI" localSheetId="11">L2C1:L372C15</definedName>
    <definedName name="BI" localSheetId="6">L2C1:L372C15</definedName>
    <definedName name="BI" localSheetId="13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1">#REF!</definedName>
    <definedName name="CM" localSheetId="2">#REF!</definedName>
    <definedName name="CM" localSheetId="4">#REF!</definedName>
    <definedName name="CM" localSheetId="5">#REF!</definedName>
    <definedName name="CM" localSheetId="7">#REF!</definedName>
    <definedName name="CM" localSheetId="0">#REF!</definedName>
    <definedName name="CM" localSheetId="10">#REF!</definedName>
    <definedName name="CM" localSheetId="11">#REF!</definedName>
    <definedName name="CM" localSheetId="6">#REF!</definedName>
    <definedName name="CM" localSheetId="13">#REF!</definedName>
    <definedName name="CM">#REF!</definedName>
    <definedName name="CODIGO_EQUIPO" localSheetId="1">#REF!</definedName>
    <definedName name="CODIGO_EQUIPO" localSheetId="2">#REF!</definedName>
    <definedName name="CODIGO_EQUIPO" localSheetId="4">#REF!</definedName>
    <definedName name="CODIGO_EQUIPO" localSheetId="5">#REF!</definedName>
    <definedName name="CODIGO_EQUIPO" localSheetId="7">#REF!</definedName>
    <definedName name="CODIGO_EQUIPO" localSheetId="0">#REF!</definedName>
    <definedName name="CODIGO_EQUIPO" localSheetId="10">#REF!</definedName>
    <definedName name="CODIGO_EQUIPO" localSheetId="11">#REF!</definedName>
    <definedName name="CODIGO_EQUIPO" localSheetId="6">#REF!</definedName>
    <definedName name="CODIGO_EQUIPO" localSheetId="13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1">'[5]ITEMS-AP'!#REF!</definedName>
    <definedName name="costo" localSheetId="2">'[5]ITEMS-AP'!#REF!</definedName>
    <definedName name="costo" localSheetId="4">'[5]ITEMS-AP'!#REF!</definedName>
    <definedName name="costo" localSheetId="5">'[5]ITEMS-AP'!#REF!</definedName>
    <definedName name="costo" localSheetId="7">'[5]ITEMS-AP'!#REF!</definedName>
    <definedName name="costo" localSheetId="0">'[5]ITEMS-AP'!#REF!</definedName>
    <definedName name="costo" localSheetId="10">'[5]ITEMS-AP'!#REF!</definedName>
    <definedName name="costo" localSheetId="11">'[5]ITEMS-AP'!#REF!</definedName>
    <definedName name="costo" localSheetId="6">'[5]ITEMS-AP'!#REF!</definedName>
    <definedName name="costo" localSheetId="13">'[5]ITEMS-AP'!#REF!</definedName>
    <definedName name="costo">'[5]ITEMS-AP'!#REF!</definedName>
    <definedName name="COSTO_HORARIO_EQUIPO" localSheetId="1">#REF!</definedName>
    <definedName name="COSTO_HORARIO_EQUIPO" localSheetId="2">#REF!</definedName>
    <definedName name="COSTO_HORARIO_EQUIPO" localSheetId="4">#REF!</definedName>
    <definedName name="COSTO_HORARIO_EQUIPO" localSheetId="5">#REF!</definedName>
    <definedName name="COSTO_HORARIO_EQUIPO" localSheetId="7">#REF!</definedName>
    <definedName name="COSTO_HORARIO_EQUIPO" localSheetId="0">#REF!</definedName>
    <definedName name="COSTO_HORARIO_EQUIPO" localSheetId="10">#REF!</definedName>
    <definedName name="COSTO_HORARIO_EQUIPO" localSheetId="11">#REF!</definedName>
    <definedName name="COSTO_HORARIO_EQUIPO" localSheetId="6">#REF!</definedName>
    <definedName name="COSTO_HORARIO_EQUIPO" localSheetId="13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1">#REF!</definedName>
    <definedName name="DEPARTAMENTO2D" localSheetId="2">#REF!</definedName>
    <definedName name="DEPARTAMENTO2D" localSheetId="4">#REF!</definedName>
    <definedName name="DEPARTAMENTO2D" localSheetId="5">#REF!</definedName>
    <definedName name="DEPARTAMENTO2D" localSheetId="7">#REF!</definedName>
    <definedName name="DEPARTAMENTO2D" localSheetId="0">#REF!</definedName>
    <definedName name="DEPARTAMENTO2D" localSheetId="10">#REF!</definedName>
    <definedName name="DEPARTAMENTO2D" localSheetId="11">#REF!</definedName>
    <definedName name="DEPARTAMENTO2D" localSheetId="6">#REF!</definedName>
    <definedName name="DEPARTAMENTO2D" localSheetId="13">#REF!</definedName>
    <definedName name="DEPARTAMENTO2D">#REF!</definedName>
    <definedName name="DEPARTAMENTO3D" localSheetId="1">#REF!</definedName>
    <definedName name="DEPARTAMENTO3D" localSheetId="2">#REF!</definedName>
    <definedName name="DEPARTAMENTO3D" localSheetId="4">#REF!</definedName>
    <definedName name="DEPARTAMENTO3D" localSheetId="5">#REF!</definedName>
    <definedName name="DEPARTAMENTO3D" localSheetId="7">#REF!</definedName>
    <definedName name="DEPARTAMENTO3D" localSheetId="0">#REF!</definedName>
    <definedName name="DEPARTAMENTO3D" localSheetId="10">#REF!</definedName>
    <definedName name="DEPARTAMENTO3D" localSheetId="11">#REF!</definedName>
    <definedName name="DEPARTAMENTO3D" localSheetId="6">#REF!</definedName>
    <definedName name="DEPARTAMENTO3D" localSheetId="13">#REF!</definedName>
    <definedName name="DEPARTAMENTO3D">#REF!</definedName>
    <definedName name="DESCRIPCION_EQUIPO" localSheetId="1">#REF!</definedName>
    <definedName name="DESCRIPCION_EQUIPO" localSheetId="2">#REF!</definedName>
    <definedName name="DESCRIPCION_EQUIPO" localSheetId="4">#REF!</definedName>
    <definedName name="DESCRIPCION_EQUIPO" localSheetId="5">#REF!</definedName>
    <definedName name="DESCRIPCION_EQUIPO" localSheetId="7">#REF!</definedName>
    <definedName name="DESCRIPCION_EQUIPO" localSheetId="0">#REF!</definedName>
    <definedName name="DESCRIPCION_EQUIPO" localSheetId="10">#REF!</definedName>
    <definedName name="DESCRIPCION_EQUIPO" localSheetId="11">#REF!</definedName>
    <definedName name="DESCRIPCION_EQUIPO" localSheetId="6">#REF!</definedName>
    <definedName name="DESCRIPCION_EQUIPO" localSheetId="13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1">#REF!</definedName>
    <definedName name="dolar" localSheetId="2">#REF!</definedName>
    <definedName name="dolar" localSheetId="4">#REF!</definedName>
    <definedName name="dolar" localSheetId="5">#REF!</definedName>
    <definedName name="dolar" localSheetId="7">#REF!</definedName>
    <definedName name="dolar" localSheetId="0">#REF!</definedName>
    <definedName name="dolar" localSheetId="10">#REF!</definedName>
    <definedName name="dolar" localSheetId="11">#REF!</definedName>
    <definedName name="dolar" localSheetId="6">#REF!</definedName>
    <definedName name="dolar" localSheetId="13">#REF!</definedName>
    <definedName name="dolar">#REF!</definedName>
    <definedName name="EMPRESA">'[5]ITEMS-AP'!$B$53</definedName>
    <definedName name="equi" localSheetId="1">#REF!</definedName>
    <definedName name="equi" localSheetId="2">#REF!</definedName>
    <definedName name="equi" localSheetId="4">#REF!</definedName>
    <definedName name="equi" localSheetId="5">#REF!</definedName>
    <definedName name="equi" localSheetId="7">#REF!</definedName>
    <definedName name="equi" localSheetId="0">#REF!</definedName>
    <definedName name="equi" localSheetId="10">#REF!</definedName>
    <definedName name="equi" localSheetId="11">#REF!</definedName>
    <definedName name="equi" localSheetId="6">#REF!</definedName>
    <definedName name="equi" localSheetId="13">#REF!</definedName>
    <definedName name="equi">#REF!</definedName>
    <definedName name="ewq">[22]Mediciones_Acumuladas!$A$4:$AH$144</definedName>
    <definedName name="Excel_BuiltIn__FilterDatabase" localSheetId="1">#REF!</definedName>
    <definedName name="Excel_BuiltIn__FilterDatabase" localSheetId="2">#REF!</definedName>
    <definedName name="Excel_BuiltIn__FilterDatabase" localSheetId="4">#REF!</definedName>
    <definedName name="Excel_BuiltIn__FilterDatabase" localSheetId="5">#REF!</definedName>
    <definedName name="Excel_BuiltIn__FilterDatabase" localSheetId="7">#REF!</definedName>
    <definedName name="Excel_BuiltIn__FilterDatabase" localSheetId="0">#REF!</definedName>
    <definedName name="Excel_BuiltIn__FilterDatabase" localSheetId="10">#REF!</definedName>
    <definedName name="Excel_BuiltIn__FilterDatabase" localSheetId="11">#REF!</definedName>
    <definedName name="Excel_BuiltIn__FilterDatabase" localSheetId="6">#REF!</definedName>
    <definedName name="Excel_BuiltIn__FilterDatabase" localSheetId="13">#REF!</definedName>
    <definedName name="Excel_BuiltIn__FilterDatabase">#REF!</definedName>
    <definedName name="Excel_BuiltIn_Print_Area_1" localSheetId="1">#REF!</definedName>
    <definedName name="Excel_BuiltIn_Print_Area_1" localSheetId="2">#REF!</definedName>
    <definedName name="Excel_BuiltIn_Print_Area_1" localSheetId="4">#REF!</definedName>
    <definedName name="Excel_BuiltIn_Print_Area_1" localSheetId="5">#REF!</definedName>
    <definedName name="Excel_BuiltIn_Print_Area_1" localSheetId="7">#REF!</definedName>
    <definedName name="Excel_BuiltIn_Print_Area_1" localSheetId="0">#REF!</definedName>
    <definedName name="Excel_BuiltIn_Print_Area_1" localSheetId="10">#REF!</definedName>
    <definedName name="Excel_BuiltIn_Print_Area_1" localSheetId="11">#REF!</definedName>
    <definedName name="Excel_BuiltIn_Print_Area_1" localSheetId="6">#REF!</definedName>
    <definedName name="Excel_BuiltIn_Print_Area_1" localSheetId="13">#REF!</definedName>
    <definedName name="Excel_BuiltIn_Print_Area_1">#REF!</definedName>
    <definedName name="Excel_BuiltIn_Print_Area_2" localSheetId="1">#REF!</definedName>
    <definedName name="Excel_BuiltIn_Print_Area_2" localSheetId="2">#REF!</definedName>
    <definedName name="Excel_BuiltIn_Print_Area_2" localSheetId="4">#REF!</definedName>
    <definedName name="Excel_BuiltIn_Print_Area_2" localSheetId="5">#REF!</definedName>
    <definedName name="Excel_BuiltIn_Print_Area_2" localSheetId="7">#REF!</definedName>
    <definedName name="Excel_BuiltIn_Print_Area_2" localSheetId="0">#REF!</definedName>
    <definedName name="Excel_BuiltIn_Print_Area_2" localSheetId="10">#REF!</definedName>
    <definedName name="Excel_BuiltIn_Print_Area_2" localSheetId="11">#REF!</definedName>
    <definedName name="Excel_BuiltIn_Print_Area_2" localSheetId="6">#REF!</definedName>
    <definedName name="Excel_BuiltIn_Print_Area_2" localSheetId="13">#REF!</definedName>
    <definedName name="Excel_BuiltIn_Print_Area_2">#REF!</definedName>
    <definedName name="Excel_BuiltIn_Print_Area_3" localSheetId="1">#REF!</definedName>
    <definedName name="Excel_BuiltIn_Print_Area_3" localSheetId="2">#REF!</definedName>
    <definedName name="Excel_BuiltIn_Print_Area_3" localSheetId="4">#REF!</definedName>
    <definedName name="Excel_BuiltIn_Print_Area_3" localSheetId="5">#REF!</definedName>
    <definedName name="Excel_BuiltIn_Print_Area_3" localSheetId="7">#REF!</definedName>
    <definedName name="Excel_BuiltIn_Print_Area_3" localSheetId="0">#REF!</definedName>
    <definedName name="Excel_BuiltIn_Print_Area_3" localSheetId="10">#REF!</definedName>
    <definedName name="Excel_BuiltIn_Print_Area_3" localSheetId="11">#REF!</definedName>
    <definedName name="Excel_BuiltIn_Print_Area_3" localSheetId="6">#REF!</definedName>
    <definedName name="Excel_BuiltIn_Print_Area_3" localSheetId="13">#REF!</definedName>
    <definedName name="Excel_BuiltIn_Print_Area_3">#REF!</definedName>
    <definedName name="Excel_BuiltIn_Print_Area_4" localSheetId="1">#REF!</definedName>
    <definedName name="Excel_BuiltIn_Print_Area_4" localSheetId="2">#REF!</definedName>
    <definedName name="Excel_BuiltIn_Print_Area_4" localSheetId="4">#REF!</definedName>
    <definedName name="Excel_BuiltIn_Print_Area_4" localSheetId="5">#REF!</definedName>
    <definedName name="Excel_BuiltIn_Print_Area_4" localSheetId="7">#REF!</definedName>
    <definedName name="Excel_BuiltIn_Print_Area_4" localSheetId="0">#REF!</definedName>
    <definedName name="Excel_BuiltIn_Print_Area_4" localSheetId="10">#REF!</definedName>
    <definedName name="Excel_BuiltIn_Print_Area_4" localSheetId="11">#REF!</definedName>
    <definedName name="Excel_BuiltIn_Print_Area_4" localSheetId="6">#REF!</definedName>
    <definedName name="Excel_BuiltIn_Print_Area_4" localSheetId="13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1">'[5]ITEMS-AP'!#REF!</definedName>
    <definedName name="fecha" localSheetId="2">'[5]ITEMS-AP'!#REF!</definedName>
    <definedName name="fecha" localSheetId="4">'[5]ITEMS-AP'!#REF!</definedName>
    <definedName name="fecha" localSheetId="5">'[5]ITEMS-AP'!#REF!</definedName>
    <definedName name="fecha" localSheetId="7">'[5]ITEMS-AP'!#REF!</definedName>
    <definedName name="fecha" localSheetId="0">'[5]ITEMS-AP'!#REF!</definedName>
    <definedName name="fecha" localSheetId="10">'[5]ITEMS-AP'!#REF!</definedName>
    <definedName name="fecha" localSheetId="11">'[5]ITEMS-AP'!#REF!</definedName>
    <definedName name="fecha" localSheetId="6">'[5]ITEMS-AP'!#REF!</definedName>
    <definedName name="fecha" localSheetId="13">'[5]ITEMS-AP'!#REF!</definedName>
    <definedName name="fecha">'[5]ITEMS-AP'!#REF!</definedName>
    <definedName name="fin">[26]Analisis!$V$1058</definedName>
    <definedName name="FORM_OC" localSheetId="1">#REF!</definedName>
    <definedName name="FORM_OC" localSheetId="2">#REF!</definedName>
    <definedName name="FORM_OC" localSheetId="4">#REF!</definedName>
    <definedName name="FORM_OC" localSheetId="5">#REF!</definedName>
    <definedName name="FORM_OC" localSheetId="7">#REF!</definedName>
    <definedName name="FORM_OC" localSheetId="0">#REF!</definedName>
    <definedName name="FORM_OC" localSheetId="10">#REF!</definedName>
    <definedName name="FORM_OC" localSheetId="11">#REF!</definedName>
    <definedName name="FORM_OC" localSheetId="6">#REF!</definedName>
    <definedName name="FORM_OC" localSheetId="13">#REF!</definedName>
    <definedName name="FORM_OC">#REF!</definedName>
    <definedName name="gasoil">[17]INSUMOS!$N$44</definedName>
    <definedName name="GRANTABLA">[27]Insumos!$A$1:$I$441</definedName>
    <definedName name="HOJA1" localSheetId="1">#REF!</definedName>
    <definedName name="HOJA1" localSheetId="2">#REF!</definedName>
    <definedName name="HOJA1" localSheetId="4">#REF!</definedName>
    <definedName name="HOJA1" localSheetId="5">#REF!</definedName>
    <definedName name="HOJA1" localSheetId="7">#REF!</definedName>
    <definedName name="HOJA1" localSheetId="0">#REF!</definedName>
    <definedName name="HOJA1" localSheetId="10">#REF!</definedName>
    <definedName name="HOJA1" localSheetId="11">#REF!</definedName>
    <definedName name="HOJA1" localSheetId="6">#REF!</definedName>
    <definedName name="HOJA1" localSheetId="13">#REF!</definedName>
    <definedName name="HOJA1">#REF!</definedName>
    <definedName name="HOJA5" localSheetId="1">#REF!</definedName>
    <definedName name="HOJA5" localSheetId="2">#REF!</definedName>
    <definedName name="HOJA5" localSheetId="4">#REF!</definedName>
    <definedName name="HOJA5" localSheetId="5">#REF!</definedName>
    <definedName name="HOJA5" localSheetId="7">#REF!</definedName>
    <definedName name="HOJA5" localSheetId="0">#REF!</definedName>
    <definedName name="HOJA5" localSheetId="10">#REF!</definedName>
    <definedName name="HOJA5" localSheetId="11">#REF!</definedName>
    <definedName name="HOJA5" localSheetId="6">#REF!</definedName>
    <definedName name="HOJA5" localSheetId="13">#REF!</definedName>
    <definedName name="HOJA5">#REF!</definedName>
    <definedName name="HOJA8" localSheetId="1">#REF!</definedName>
    <definedName name="HOJA8" localSheetId="2">#REF!</definedName>
    <definedName name="HOJA8" localSheetId="4">#REF!</definedName>
    <definedName name="HOJA8" localSheetId="5">#REF!</definedName>
    <definedName name="HOJA8" localSheetId="7">#REF!</definedName>
    <definedName name="HOJA8" localSheetId="0">#REF!</definedName>
    <definedName name="HOJA8" localSheetId="10">#REF!</definedName>
    <definedName name="HOJA8" localSheetId="11">#REF!</definedName>
    <definedName name="HOJA8" localSheetId="6">#REF!</definedName>
    <definedName name="HOJA8" localSheetId="13">#REF!</definedName>
    <definedName name="HOJA8">#REF!</definedName>
    <definedName name="HOJA9" localSheetId="1">#REF!</definedName>
    <definedName name="HOJA9" localSheetId="2">#REF!</definedName>
    <definedName name="HOJA9" localSheetId="4">#REF!</definedName>
    <definedName name="HOJA9" localSheetId="5">#REF!</definedName>
    <definedName name="HOJA9" localSheetId="7">#REF!</definedName>
    <definedName name="HOJA9" localSheetId="0">#REF!</definedName>
    <definedName name="HOJA9" localSheetId="10">#REF!</definedName>
    <definedName name="HOJA9" localSheetId="11">#REF!</definedName>
    <definedName name="HOJA9" localSheetId="6">#REF!</definedName>
    <definedName name="HOJA9" localSheetId="13">#REF!</definedName>
    <definedName name="HOJA9">#REF!</definedName>
    <definedName name="HUMBERTO_1__2823_35_41_45___LIC_03_99">[26]DATOS!$B$2:$B$3</definedName>
    <definedName name="IMP" localSheetId="1">#REF!</definedName>
    <definedName name="IMP" localSheetId="2">#REF!</definedName>
    <definedName name="IMP" localSheetId="4">#REF!</definedName>
    <definedName name="IMP" localSheetId="5">#REF!</definedName>
    <definedName name="IMP" localSheetId="7">#REF!</definedName>
    <definedName name="IMP" localSheetId="0">#REF!</definedName>
    <definedName name="IMP" localSheetId="10">#REF!</definedName>
    <definedName name="IMP" localSheetId="11">#REF!</definedName>
    <definedName name="IMP" localSheetId="6">#REF!</definedName>
    <definedName name="IMP" localSheetId="13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7">#REF!</definedName>
    <definedName name="ITEM" localSheetId="0">#REF!</definedName>
    <definedName name="ITEM" localSheetId="10">#REF!</definedName>
    <definedName name="ITEM" localSheetId="11">#REF!</definedName>
    <definedName name="ITEM" localSheetId="6">#REF!</definedName>
    <definedName name="ITEM" localSheetId="13">#REF!</definedName>
    <definedName name="ITEM">#REF!</definedName>
    <definedName name="ITEM1" localSheetId="1">#REF!</definedName>
    <definedName name="ITEM1" localSheetId="2">#REF!</definedName>
    <definedName name="ITEM1" localSheetId="4">#REF!</definedName>
    <definedName name="ITEM1" localSheetId="5">#REF!</definedName>
    <definedName name="ITEM1" localSheetId="7">#REF!</definedName>
    <definedName name="ITEM1" localSheetId="0">#REF!</definedName>
    <definedName name="ITEM1" localSheetId="10">#REF!</definedName>
    <definedName name="ITEM1" localSheetId="11">#REF!</definedName>
    <definedName name="ITEM1" localSheetId="6">#REF!</definedName>
    <definedName name="ITEM1" localSheetId="13">#REF!</definedName>
    <definedName name="ITEM1">#REF!</definedName>
    <definedName name="ITEM2" localSheetId="1">#REF!</definedName>
    <definedName name="ITEM2" localSheetId="2">#REF!</definedName>
    <definedName name="ITEM2" localSheetId="4">#REF!</definedName>
    <definedName name="ITEM2" localSheetId="5">#REF!</definedName>
    <definedName name="ITEM2" localSheetId="7">#REF!</definedName>
    <definedName name="ITEM2" localSheetId="0">#REF!</definedName>
    <definedName name="ITEM2" localSheetId="10">#REF!</definedName>
    <definedName name="ITEM2" localSheetId="11">#REF!</definedName>
    <definedName name="ITEM2" localSheetId="6">#REF!</definedName>
    <definedName name="ITEM2" localSheetId="13">#REF!</definedName>
    <definedName name="ITEM2">#REF!</definedName>
    <definedName name="ITEM3" localSheetId="1">#REF!</definedName>
    <definedName name="ITEM3" localSheetId="2">#REF!</definedName>
    <definedName name="ITEM3" localSheetId="4">#REF!</definedName>
    <definedName name="ITEM3" localSheetId="5">#REF!</definedName>
    <definedName name="ITEM3" localSheetId="7">#REF!</definedName>
    <definedName name="ITEM3" localSheetId="0">#REF!</definedName>
    <definedName name="ITEM3" localSheetId="10">#REF!</definedName>
    <definedName name="ITEM3" localSheetId="11">#REF!</definedName>
    <definedName name="ITEM3" localSheetId="6">#REF!</definedName>
    <definedName name="ITEM3" localSheetId="13">#REF!</definedName>
    <definedName name="ITEM3">#REF!</definedName>
    <definedName name="ITEM4B" localSheetId="1">#REF!</definedName>
    <definedName name="ITEM4B" localSheetId="2">#REF!</definedName>
    <definedName name="ITEM4B" localSheetId="4">#REF!</definedName>
    <definedName name="ITEM4B" localSheetId="5">#REF!</definedName>
    <definedName name="ITEM4B" localSheetId="7">#REF!</definedName>
    <definedName name="ITEM4B" localSheetId="0">#REF!</definedName>
    <definedName name="ITEM4B" localSheetId="10">#REF!</definedName>
    <definedName name="ITEM4B" localSheetId="11">#REF!</definedName>
    <definedName name="ITEM4B" localSheetId="6">#REF!</definedName>
    <definedName name="ITEM4B" localSheetId="13">#REF!</definedName>
    <definedName name="ITEM4B">#REF!</definedName>
    <definedName name="ITEM4C" localSheetId="1">#REF!</definedName>
    <definedName name="ITEM4C" localSheetId="2">#REF!</definedName>
    <definedName name="ITEM4C" localSheetId="4">#REF!</definedName>
    <definedName name="ITEM4C" localSheetId="5">#REF!</definedName>
    <definedName name="ITEM4C" localSheetId="7">#REF!</definedName>
    <definedName name="ITEM4C" localSheetId="0">#REF!</definedName>
    <definedName name="ITEM4C" localSheetId="10">#REF!</definedName>
    <definedName name="ITEM4C" localSheetId="11">#REF!</definedName>
    <definedName name="ITEM4C" localSheetId="6">#REF!</definedName>
    <definedName name="ITEM4C" localSheetId="13">#REF!</definedName>
    <definedName name="ITEM4C">#REF!</definedName>
    <definedName name="ITEM5" localSheetId="1">#REF!</definedName>
    <definedName name="ITEM5" localSheetId="2">#REF!</definedName>
    <definedName name="ITEM5" localSheetId="4">#REF!</definedName>
    <definedName name="ITEM5" localSheetId="5">#REF!</definedName>
    <definedName name="ITEM5" localSheetId="7">#REF!</definedName>
    <definedName name="ITEM5" localSheetId="0">#REF!</definedName>
    <definedName name="ITEM5" localSheetId="10">#REF!</definedName>
    <definedName name="ITEM5" localSheetId="11">#REF!</definedName>
    <definedName name="ITEM5" localSheetId="6">#REF!</definedName>
    <definedName name="ITEM5" localSheetId="13">#REF!</definedName>
    <definedName name="ITEM5">#REF!</definedName>
    <definedName name="ITEM6" localSheetId="1">#REF!</definedName>
    <definedName name="ITEM6" localSheetId="2">#REF!</definedName>
    <definedName name="ITEM6" localSheetId="4">#REF!</definedName>
    <definedName name="ITEM6" localSheetId="5">#REF!</definedName>
    <definedName name="ITEM6" localSheetId="7">#REF!</definedName>
    <definedName name="ITEM6" localSheetId="0">#REF!</definedName>
    <definedName name="ITEM6" localSheetId="10">#REF!</definedName>
    <definedName name="ITEM6" localSheetId="11">#REF!</definedName>
    <definedName name="ITEM6" localSheetId="6">#REF!</definedName>
    <definedName name="ITEM6" localSheetId="13">#REF!</definedName>
    <definedName name="ITEM6">#REF!</definedName>
    <definedName name="ITEM7" localSheetId="1">#REF!</definedName>
    <definedName name="ITEM7" localSheetId="2">#REF!</definedName>
    <definedName name="ITEM7" localSheetId="4">#REF!</definedName>
    <definedName name="ITEM7" localSheetId="5">#REF!</definedName>
    <definedName name="ITEM7" localSheetId="7">#REF!</definedName>
    <definedName name="ITEM7" localSheetId="0">#REF!</definedName>
    <definedName name="ITEM7" localSheetId="10">#REF!</definedName>
    <definedName name="ITEM7" localSheetId="11">#REF!</definedName>
    <definedName name="ITEM7" localSheetId="6">#REF!</definedName>
    <definedName name="ITEM7" localSheetId="13">#REF!</definedName>
    <definedName name="ITEM7">#REF!</definedName>
    <definedName name="ITEM8" localSheetId="1">#REF!</definedName>
    <definedName name="ITEM8" localSheetId="2">#REF!</definedName>
    <definedName name="ITEM8" localSheetId="4">#REF!</definedName>
    <definedName name="ITEM8" localSheetId="5">#REF!</definedName>
    <definedName name="ITEM8" localSheetId="7">#REF!</definedName>
    <definedName name="ITEM8" localSheetId="0">#REF!</definedName>
    <definedName name="ITEM8" localSheetId="10">#REF!</definedName>
    <definedName name="ITEM8" localSheetId="11">#REF!</definedName>
    <definedName name="ITEM8" localSheetId="6">#REF!</definedName>
    <definedName name="ITEM8" localSheetId="13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1">#REF!</definedName>
    <definedName name="k" localSheetId="2">#REF!</definedName>
    <definedName name="k" localSheetId="4">#REF!</definedName>
    <definedName name="k" localSheetId="5">#REF!</definedName>
    <definedName name="k" localSheetId="7">#REF!</definedName>
    <definedName name="k" localSheetId="0">#REF!</definedName>
    <definedName name="k" localSheetId="10">#REF!</definedName>
    <definedName name="k" localSheetId="11">#REF!</definedName>
    <definedName name="k" localSheetId="6">#REF!</definedName>
    <definedName name="k" localSheetId="13">#REF!</definedName>
    <definedName name="k">#REF!</definedName>
    <definedName name="KK" localSheetId="1">#REF!</definedName>
    <definedName name="KK" localSheetId="2">#REF!</definedName>
    <definedName name="KK" localSheetId="4">#REF!</definedName>
    <definedName name="KK" localSheetId="5">#REF!</definedName>
    <definedName name="KK" localSheetId="7">#REF!</definedName>
    <definedName name="KK" localSheetId="0">#REF!</definedName>
    <definedName name="KK" localSheetId="10">#REF!</definedName>
    <definedName name="KK" localSheetId="11">#REF!</definedName>
    <definedName name="KK" localSheetId="6">#REF!</definedName>
    <definedName name="KK" localSheetId="13">#REF!</definedName>
    <definedName name="KK">#REF!</definedName>
    <definedName name="LAMINA" localSheetId="1">#REF!</definedName>
    <definedName name="LAMINA" localSheetId="2">#REF!</definedName>
    <definedName name="LAMINA" localSheetId="4">#REF!</definedName>
    <definedName name="LAMINA" localSheetId="5">#REF!</definedName>
    <definedName name="LAMINA" localSheetId="7">#REF!</definedName>
    <definedName name="LAMINA" localSheetId="0">#REF!</definedName>
    <definedName name="LAMINA" localSheetId="10">#REF!</definedName>
    <definedName name="LAMINA" localSheetId="11">#REF!</definedName>
    <definedName name="LAMINA" localSheetId="6">#REF!</definedName>
    <definedName name="LAMINA" localSheetId="13">#REF!</definedName>
    <definedName name="LAMINA">#REF!</definedName>
    <definedName name="LICITACION">[26]DATOS!$B$2</definedName>
    <definedName name="MANOBRA">#N/A</definedName>
    <definedName name="maob" localSheetId="1">#REF!</definedName>
    <definedName name="maob" localSheetId="2">#REF!</definedName>
    <definedName name="maob" localSheetId="4">#REF!</definedName>
    <definedName name="maob" localSheetId="5">#REF!</definedName>
    <definedName name="maob" localSheetId="7">#REF!</definedName>
    <definedName name="maob" localSheetId="0">#REF!</definedName>
    <definedName name="maob" localSheetId="10">#REF!</definedName>
    <definedName name="maob" localSheetId="11">#REF!</definedName>
    <definedName name="maob" localSheetId="6">#REF!</definedName>
    <definedName name="maob" localSheetId="13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1">#REF!</definedName>
    <definedName name="MEDICIONDUPLEX" localSheetId="2">#REF!</definedName>
    <definedName name="MEDICIONDUPLEX" localSheetId="4">#REF!</definedName>
    <definedName name="MEDICIONDUPLEX" localSheetId="5">#REF!</definedName>
    <definedName name="MEDICIONDUPLEX" localSheetId="7">#REF!</definedName>
    <definedName name="MEDICIONDUPLEX" localSheetId="0">#REF!</definedName>
    <definedName name="MEDICIONDUPLEX" localSheetId="10">#REF!</definedName>
    <definedName name="MEDICIONDUPLEX" localSheetId="11">#REF!</definedName>
    <definedName name="MEDICIONDUPLEX" localSheetId="6">#REF!</definedName>
    <definedName name="MEDICIONDUPLEX" localSheetId="13">#REF!</definedName>
    <definedName name="MEDICIONDUPLEX">#REF!</definedName>
    <definedName name="MEDICIONMONOBLOCK" localSheetId="1">#REF!</definedName>
    <definedName name="MEDICIONMONOBLOCK" localSheetId="2">#REF!</definedName>
    <definedName name="MEDICIONMONOBLOCK" localSheetId="4">#REF!</definedName>
    <definedName name="MEDICIONMONOBLOCK" localSheetId="5">#REF!</definedName>
    <definedName name="MEDICIONMONOBLOCK" localSheetId="7">#REF!</definedName>
    <definedName name="MEDICIONMONOBLOCK" localSheetId="0">#REF!</definedName>
    <definedName name="MEDICIONMONOBLOCK" localSheetId="10">#REF!</definedName>
    <definedName name="MEDICIONMONOBLOCK" localSheetId="11">#REF!</definedName>
    <definedName name="MEDICIONMONOBLOCK" localSheetId="6">#REF!</definedName>
    <definedName name="MEDICIONMONOBLOCK" localSheetId="13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1">#REF!</definedName>
    <definedName name="motobom" localSheetId="2">#REF!</definedName>
    <definedName name="motobom" localSheetId="4">#REF!</definedName>
    <definedName name="motobom" localSheetId="5">#REF!</definedName>
    <definedName name="motobom" localSheetId="7">#REF!</definedName>
    <definedName name="motobom" localSheetId="0">#REF!</definedName>
    <definedName name="motobom" localSheetId="10">#REF!</definedName>
    <definedName name="motobom" localSheetId="11">#REF!</definedName>
    <definedName name="motobom" localSheetId="6">#REF!</definedName>
    <definedName name="motobom" localSheetId="13">#REF!</definedName>
    <definedName name="motobom">#REF!</definedName>
    <definedName name="motobomba" localSheetId="1">#REF!</definedName>
    <definedName name="motobomba" localSheetId="2">#REF!</definedName>
    <definedName name="motobomba" localSheetId="4">#REF!</definedName>
    <definedName name="motobomba" localSheetId="5">#REF!</definedName>
    <definedName name="motobomba" localSheetId="7">#REF!</definedName>
    <definedName name="motobomba" localSheetId="0">#REF!</definedName>
    <definedName name="motobomba" localSheetId="10">#REF!</definedName>
    <definedName name="motobomba" localSheetId="11">#REF!</definedName>
    <definedName name="motobomba" localSheetId="6">#REF!</definedName>
    <definedName name="motobomba" localSheetId="13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1">#REF!</definedName>
    <definedName name="NUMA" localSheetId="2">#REF!</definedName>
    <definedName name="NUMA" localSheetId="4">#REF!</definedName>
    <definedName name="NUMA" localSheetId="5">#REF!</definedName>
    <definedName name="NUMA" localSheetId="7">#REF!</definedName>
    <definedName name="NUMA" localSheetId="0">#REF!</definedName>
    <definedName name="NUMA" localSheetId="10">#REF!</definedName>
    <definedName name="NUMA" localSheetId="11">#REF!</definedName>
    <definedName name="NUMA" localSheetId="6">#REF!</definedName>
    <definedName name="NUMA" localSheetId="13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1">#REF!</definedName>
    <definedName name="NUMIA" localSheetId="2">#REF!</definedName>
    <definedName name="NUMIA" localSheetId="4">#REF!</definedName>
    <definedName name="NUMIA" localSheetId="5">#REF!</definedName>
    <definedName name="NUMIA" localSheetId="7">#REF!</definedName>
    <definedName name="NUMIA" localSheetId="0">#REF!</definedName>
    <definedName name="NUMIA" localSheetId="10">#REF!</definedName>
    <definedName name="NUMIA" localSheetId="11">#REF!</definedName>
    <definedName name="NUMIA" localSheetId="6">#REF!</definedName>
    <definedName name="NUMIA" localSheetId="13">#REF!</definedName>
    <definedName name="NUMIA">#REF!</definedName>
    <definedName name="NUMM">'[6]mat y mo'!$B$15:$B$215</definedName>
    <definedName name="NUMP">'[6]P. Oferta'!$B$16:$B$362</definedName>
    <definedName name="NUMPA" localSheetId="1">#REF!</definedName>
    <definedName name="NUMPA" localSheetId="2">#REF!</definedName>
    <definedName name="NUMPA" localSheetId="4">#REF!</definedName>
    <definedName name="NUMPA" localSheetId="5">#REF!</definedName>
    <definedName name="NUMPA" localSheetId="7">#REF!</definedName>
    <definedName name="NUMPA" localSheetId="0">#REF!</definedName>
    <definedName name="NUMPA" localSheetId="10">#REF!</definedName>
    <definedName name="NUMPA" localSheetId="11">#REF!</definedName>
    <definedName name="NUMPA" localSheetId="6">#REF!</definedName>
    <definedName name="NUMPA" localSheetId="13">#REF!</definedName>
    <definedName name="NUMPA">#REF!</definedName>
    <definedName name="OBRA" localSheetId="1">'[5]ITEMS-AP'!#REF!</definedName>
    <definedName name="OBRA" localSheetId="2">'[5]ITEMS-AP'!#REF!</definedName>
    <definedName name="OBRA" localSheetId="4">'[5]ITEMS-AP'!#REF!</definedName>
    <definedName name="OBRA" localSheetId="5">'[5]ITEMS-AP'!#REF!</definedName>
    <definedName name="OBRA" localSheetId="7">'[5]ITEMS-AP'!#REF!</definedName>
    <definedName name="OBRA" localSheetId="0">'[5]ITEMS-AP'!#REF!</definedName>
    <definedName name="OBRA" localSheetId="10">'[5]ITEMS-AP'!#REF!</definedName>
    <definedName name="OBRA" localSheetId="11">'[5]ITEMS-AP'!#REF!</definedName>
    <definedName name="OBRA" localSheetId="6">'[5]ITEMS-AP'!#REF!</definedName>
    <definedName name="OBRA" localSheetId="13">'[5]ITEMS-AP'!#REF!</definedName>
    <definedName name="OBRA">'[5]ITEMS-AP'!#REF!</definedName>
    <definedName name="OF">[23]ANALISIS!$Z$1:$AA$18</definedName>
    <definedName name="ofes" localSheetId="1">#REF!</definedName>
    <definedName name="ofes" localSheetId="2">#REF!</definedName>
    <definedName name="ofes" localSheetId="4">#REF!</definedName>
    <definedName name="ofes" localSheetId="5">#REF!</definedName>
    <definedName name="ofes" localSheetId="7">#REF!</definedName>
    <definedName name="ofes" localSheetId="0">#REF!</definedName>
    <definedName name="ofes" localSheetId="10">#REF!</definedName>
    <definedName name="ofes" localSheetId="11">#REF!</definedName>
    <definedName name="ofes" localSheetId="6">#REF!</definedName>
    <definedName name="ofes" localSheetId="13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1">#REF!</definedName>
    <definedName name="plandetrabajojujuy" localSheetId="2">#REF!</definedName>
    <definedName name="plandetrabajojujuy" localSheetId="4">#REF!</definedName>
    <definedName name="plandetrabajojujuy" localSheetId="5">#REF!</definedName>
    <definedName name="plandetrabajojujuy" localSheetId="7">#REF!</definedName>
    <definedName name="plandetrabajojujuy" localSheetId="0">#REF!</definedName>
    <definedName name="plandetrabajojujuy" localSheetId="10">#REF!</definedName>
    <definedName name="plandetrabajojujuy" localSheetId="11">#REF!</definedName>
    <definedName name="plandetrabajojujuy" localSheetId="6">#REF!</definedName>
    <definedName name="plandetrabajojujuy" localSheetId="13">#REF!</definedName>
    <definedName name="plandetrabajojujuy">#REF!</definedName>
    <definedName name="planilla" localSheetId="1">#REF!</definedName>
    <definedName name="planilla" localSheetId="2">#REF!</definedName>
    <definedName name="planilla" localSheetId="4">#REF!</definedName>
    <definedName name="planilla" localSheetId="5">#REF!</definedName>
    <definedName name="planilla" localSheetId="7">#REF!</definedName>
    <definedName name="planilla" localSheetId="0">#REF!</definedName>
    <definedName name="planilla" localSheetId="10">#REF!</definedName>
    <definedName name="planilla" localSheetId="11">#REF!</definedName>
    <definedName name="planilla" localSheetId="6">#REF!</definedName>
    <definedName name="planilla" localSheetId="13">#REF!</definedName>
    <definedName name="planilla">#REF!</definedName>
    <definedName name="Plazo_Obra">[37]Constantes!$C$58</definedName>
    <definedName name="Plus_No_Remunerativo">[40]Constantes!$C$45</definedName>
    <definedName name="PORTADA" localSheetId="1">#REF!</definedName>
    <definedName name="PORTADA" localSheetId="2">#REF!</definedName>
    <definedName name="PORTADA" localSheetId="4">#REF!</definedName>
    <definedName name="PORTADA" localSheetId="5">#REF!</definedName>
    <definedName name="PORTADA" localSheetId="7">#REF!</definedName>
    <definedName name="PORTADA" localSheetId="0">#REF!</definedName>
    <definedName name="PORTADA" localSheetId="10">#REF!</definedName>
    <definedName name="PORTADA" localSheetId="11">#REF!</definedName>
    <definedName name="PORTADA" localSheetId="6">#REF!</definedName>
    <definedName name="PORTADA" localSheetId="13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1">#REF!</definedName>
    <definedName name="PRECA" localSheetId="2">#REF!</definedName>
    <definedName name="PRECA" localSheetId="4">#REF!</definedName>
    <definedName name="PRECA" localSheetId="5">#REF!</definedName>
    <definedName name="PRECA" localSheetId="7">#REF!</definedName>
    <definedName name="PRECA" localSheetId="0">#REF!</definedName>
    <definedName name="PRECA" localSheetId="10">#REF!</definedName>
    <definedName name="PRECA" localSheetId="11">#REF!</definedName>
    <definedName name="PRECA" localSheetId="6">#REF!</definedName>
    <definedName name="PRECA" localSheetId="13">#REF!</definedName>
    <definedName name="PRECA">#REF!</definedName>
    <definedName name="PRECI">'[6]mat y mo'!$I$32:$I$244</definedName>
    <definedName name="PRECIO" localSheetId="1">#REF!</definedName>
    <definedName name="PRECIO" localSheetId="2">#REF!</definedName>
    <definedName name="PRECIO" localSheetId="4">#REF!</definedName>
    <definedName name="PRECIO" localSheetId="5">#REF!</definedName>
    <definedName name="PRECIO" localSheetId="7">#REF!</definedName>
    <definedName name="PRECIO" localSheetId="0">#REF!</definedName>
    <definedName name="PRECIO" localSheetId="10">#REF!</definedName>
    <definedName name="PRECIO" localSheetId="11">#REF!</definedName>
    <definedName name="PRECIO" localSheetId="6">#REF!</definedName>
    <definedName name="PRECIO" localSheetId="13">#REF!</definedName>
    <definedName name="PRECIO">#REF!</definedName>
    <definedName name="PRECM">'[6]mat y mo'!$I$15:$I$244</definedName>
    <definedName name="PRECUO">'[6]P. Oferta'!$O$16:$O$362</definedName>
    <definedName name="Presupuesto_Oficial" localSheetId="1">#REF!</definedName>
    <definedName name="Presupuesto_Oficial" localSheetId="2">#REF!</definedName>
    <definedName name="Presupuesto_Oficial" localSheetId="4">#REF!</definedName>
    <definedName name="Presupuesto_Oficial" localSheetId="5">#REF!</definedName>
    <definedName name="Presupuesto_Oficial" localSheetId="7">#REF!</definedName>
    <definedName name="Presupuesto_Oficial" localSheetId="0">#REF!</definedName>
    <definedName name="Presupuesto_Oficial" localSheetId="10">#REF!</definedName>
    <definedName name="Presupuesto_Oficial" localSheetId="11">#REF!</definedName>
    <definedName name="Presupuesto_Oficial" localSheetId="6">#REF!</definedName>
    <definedName name="Presupuesto_Oficial" localSheetId="13">#REF!</definedName>
    <definedName name="Presupuesto_Oficial">#REF!</definedName>
    <definedName name="Propuesta" localSheetId="1">#REF!</definedName>
    <definedName name="Propuesta" localSheetId="2">#REF!</definedName>
    <definedName name="Propuesta" localSheetId="4">#REF!</definedName>
    <definedName name="Propuesta" localSheetId="5">#REF!</definedName>
    <definedName name="Propuesta" localSheetId="7">#REF!</definedName>
    <definedName name="Propuesta" localSheetId="0">#REF!</definedName>
    <definedName name="Propuesta" localSheetId="10">#REF!</definedName>
    <definedName name="Propuesta" localSheetId="11">#REF!</definedName>
    <definedName name="Propuesta" localSheetId="6">#REF!</definedName>
    <definedName name="Propuesta" localSheetId="13">#REF!</definedName>
    <definedName name="Propuesta">#REF!</definedName>
    <definedName name="rangobase" localSheetId="1">L2C1:L372C15</definedName>
    <definedName name="rangobase" localSheetId="2">L2C1:L372C15</definedName>
    <definedName name="rangobase" localSheetId="4">L2C1:L372C15</definedName>
    <definedName name="rangobase" localSheetId="5">L2C1:L372C15</definedName>
    <definedName name="rangobase" localSheetId="7">L2C1:L372C15</definedName>
    <definedName name="rangobase" localSheetId="0">L2C1:L372C15</definedName>
    <definedName name="rangobase" localSheetId="10">L2C1:L372C15</definedName>
    <definedName name="rangobase" localSheetId="11">L2C1:L372C15</definedName>
    <definedName name="rangobase" localSheetId="6">L2C1:L372C15</definedName>
    <definedName name="rangobase" localSheetId="13">L2C1:L372C15</definedName>
    <definedName name="rangobase">L2C1:L372C15</definedName>
    <definedName name="RB" localSheetId="1">L2C1:L372C15</definedName>
    <definedName name="RB" localSheetId="2">L2C1:L372C15</definedName>
    <definedName name="RB" localSheetId="4">L2C1:L372C15</definedName>
    <definedName name="RB" localSheetId="5">L2C1:L372C15</definedName>
    <definedName name="RB" localSheetId="7">L2C1:L372C15</definedName>
    <definedName name="RB" localSheetId="0">L2C1:L372C15</definedName>
    <definedName name="RB" localSheetId="10">L2C1:L372C15</definedName>
    <definedName name="RB" localSheetId="11">L2C1:L372C15</definedName>
    <definedName name="RB" localSheetId="6">L2C1:L372C15</definedName>
    <definedName name="RB" localSheetId="13">L2C1:L372C15</definedName>
    <definedName name="RB">L2C1:L372C15</definedName>
    <definedName name="RBASE" localSheetId="1">L2C1:L372C15</definedName>
    <definedName name="RBASE" localSheetId="2">L2C1:L372C15</definedName>
    <definedName name="RBASE" localSheetId="4">L2C1:L372C15</definedName>
    <definedName name="RBASE" localSheetId="5">L2C1:L372C15</definedName>
    <definedName name="RBASE" localSheetId="7">L2C1:L372C15</definedName>
    <definedName name="RBASE" localSheetId="0">L2C1:L372C15</definedName>
    <definedName name="RBASE" localSheetId="10">L2C1:L372C15</definedName>
    <definedName name="RBASE" localSheetId="11">L2C1:L372C15</definedName>
    <definedName name="RBASE" localSheetId="6">L2C1:L372C15</definedName>
    <definedName name="RBASE" localSheetId="13">L2C1:L372C15</definedName>
    <definedName name="RBASE">L2C1:L372C15</definedName>
    <definedName name="REPE">[6]Equipos!$G$14:$G$61</definedName>
    <definedName name="RUBROS">'[29]DATOS VARIABLES'!$A$3:$L$1006</definedName>
    <definedName name="S" localSheetId="1">#REF!</definedName>
    <definedName name="S" localSheetId="2">#REF!</definedName>
    <definedName name="S" localSheetId="4">#REF!</definedName>
    <definedName name="S" localSheetId="5">#REF!</definedName>
    <definedName name="S" localSheetId="7">#REF!</definedName>
    <definedName name="S" localSheetId="0">#REF!</definedName>
    <definedName name="S" localSheetId="10">#REF!</definedName>
    <definedName name="S" localSheetId="11">#REF!</definedName>
    <definedName name="S" localSheetId="6">#REF!</definedName>
    <definedName name="S" localSheetId="13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18">'ANEXO B'!$2:$15</definedName>
    <definedName name="_xlnm.Print_Titles" localSheetId="15">'ANEXO C'!$2:$15</definedName>
    <definedName name="_xlnm.Print_Titles" localSheetId="12">'ANEXO D'!$2:$8</definedName>
    <definedName name="_xlnm.Print_Titles" localSheetId="16">'ANEXO E'!$2:$22</definedName>
    <definedName name="_xlnm.Print_Titles" localSheetId="19">'ANEXO F'!$1:$10</definedName>
    <definedName name="_xlnm.Print_Titles" localSheetId="23">'ANEXO G'!$B:$D,'ANEXO G'!$3:$13</definedName>
    <definedName name="_xlnm.Print_Titles" localSheetId="24">'ANEXO H'!$B:$D,'ANEXO H'!$1:$12</definedName>
    <definedName name="_xlnm.Print_Titles" localSheetId="25">'ANEXO J'!$1:$14</definedName>
    <definedName name="_xlnm.Print_Titles" localSheetId="27">'ANEXOA-AMORTIZACION'!$1:$5</definedName>
    <definedName name="_xlnm.Print_Titles" localSheetId="14">'ANEXOA-MODIFICADO'!$1:$5</definedName>
    <definedName name="_xlnm.Print_Titles" localSheetId="0">'Insumos testigos '!$2:$4</definedName>
    <definedName name="_xlnm.Print_Titles" localSheetId="30">'PARA CURVAS'!$1:$7</definedName>
    <definedName name="_xlnm.Print_Titles" localSheetId="32">'TABLA FINAL '!$2:$4</definedName>
    <definedName name="_xlnm.Print_Titles" localSheetId="26">'TABLA FINAL  NO'!$2:$4</definedName>
    <definedName name="TRANSM">'[6]mat y mo'!$S$15:$S$244</definedName>
    <definedName name="TRANSPI">'[6]mat y mo'!$S$32:$S$244</definedName>
    <definedName name="TRANSPORTE">#N/A</definedName>
    <definedName name="tres" localSheetId="1">#REF!</definedName>
    <definedName name="tres" localSheetId="2">#REF!</definedName>
    <definedName name="tres" localSheetId="4">#REF!</definedName>
    <definedName name="tres" localSheetId="5">#REF!</definedName>
    <definedName name="tres" localSheetId="7">#REF!</definedName>
    <definedName name="tres" localSheetId="0">#REF!</definedName>
    <definedName name="tres" localSheetId="10">#REF!</definedName>
    <definedName name="tres" localSheetId="11">#REF!</definedName>
    <definedName name="tres" localSheetId="6">#REF!</definedName>
    <definedName name="tres" localSheetId="13">#REF!</definedName>
    <definedName name="tres">#REF!</definedName>
    <definedName name="TT" localSheetId="1">#REF!</definedName>
    <definedName name="TT" localSheetId="2">#REF!</definedName>
    <definedName name="TT" localSheetId="4">#REF!</definedName>
    <definedName name="TT" localSheetId="5">#REF!</definedName>
    <definedName name="TT" localSheetId="7">#REF!</definedName>
    <definedName name="TT" localSheetId="0">#REF!</definedName>
    <definedName name="TT" localSheetId="10">#REF!</definedName>
    <definedName name="TT" localSheetId="11">#REF!</definedName>
    <definedName name="TT" localSheetId="6">#REF!</definedName>
    <definedName name="TT" localSheetId="13">#REF!</definedName>
    <definedName name="TT">#REF!</definedName>
    <definedName name="U._M." localSheetId="1">'[45]ANEXO B'!#REF!</definedName>
    <definedName name="U._M." localSheetId="2">'[45]ANEXO B'!#REF!</definedName>
    <definedName name="U._M." localSheetId="4">'[45]ANEXO B'!#REF!</definedName>
    <definedName name="U._M." localSheetId="5">'[45]ANEXO B'!#REF!</definedName>
    <definedName name="U._M." localSheetId="7">'[45]ANEXO B'!#REF!</definedName>
    <definedName name="U._M." localSheetId="0">'[45]ANEXO B'!#REF!</definedName>
    <definedName name="U._M." localSheetId="10">'[45]ANEXO B'!#REF!</definedName>
    <definedName name="U._M." localSheetId="11">'[45]ANEXO B'!#REF!</definedName>
    <definedName name="U._M." localSheetId="6">'[45]ANEXO B'!#REF!</definedName>
    <definedName name="U._M." localSheetId="13">'[45]ANEXO B'!#REF!</definedName>
    <definedName name="U._M.">'[45]ANEXO B'!#REF!</definedName>
    <definedName name="UM" localSheetId="1">'[45]ANEXO B'!#REF!</definedName>
    <definedName name="UM" localSheetId="2">'[45]ANEXO B'!#REF!</definedName>
    <definedName name="UM" localSheetId="4">'[45]ANEXO B'!#REF!</definedName>
    <definedName name="UM" localSheetId="5">'[45]ANEXO B'!#REF!</definedName>
    <definedName name="UM" localSheetId="7">'[45]ANEXO B'!#REF!</definedName>
    <definedName name="UM" localSheetId="0">'[45]ANEXO B'!#REF!</definedName>
    <definedName name="UM" localSheetId="10">'[45]ANEXO B'!#REF!</definedName>
    <definedName name="UM" localSheetId="11">'[45]ANEXO B'!#REF!</definedName>
    <definedName name="UM" localSheetId="6">'[45]ANEXO B'!#REF!</definedName>
    <definedName name="UM" localSheetId="13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1">#REF!</definedName>
    <definedName name="Uno" localSheetId="2">#REF!</definedName>
    <definedName name="Uno" localSheetId="4">#REF!</definedName>
    <definedName name="Uno" localSheetId="5">#REF!</definedName>
    <definedName name="Uno" localSheetId="7">#REF!</definedName>
    <definedName name="Uno" localSheetId="0">#REF!</definedName>
    <definedName name="Uno" localSheetId="10">#REF!</definedName>
    <definedName name="Uno" localSheetId="11">#REF!</definedName>
    <definedName name="Uno" localSheetId="6">#REF!</definedName>
    <definedName name="Uno" localSheetId="13">#REF!</definedName>
    <definedName name="Uno">#REF!</definedName>
    <definedName name="utilidad">[26]DATOS!$B$4</definedName>
    <definedName name="v" localSheetId="1">#REF!</definedName>
    <definedName name="v" localSheetId="2">#REF!</definedName>
    <definedName name="v" localSheetId="4">#REF!</definedName>
    <definedName name="v" localSheetId="5">#REF!</definedName>
    <definedName name="v" localSheetId="7">#REF!</definedName>
    <definedName name="v" localSheetId="0">#REF!</definedName>
    <definedName name="v" localSheetId="10">#REF!</definedName>
    <definedName name="v" localSheetId="11">#REF!</definedName>
    <definedName name="v" localSheetId="6">#REF!</definedName>
    <definedName name="v" localSheetId="13">#REF!</definedName>
    <definedName name="v">#REF!</definedName>
    <definedName name="valorequipo">[17]EQUIPOS!$C$1:$C$65536</definedName>
    <definedName name="VARITE">'[5]ITEMS-AP'!$B$53:$H$103</definedName>
    <definedName name="VRMOSP" localSheetId="1">#REF!</definedName>
    <definedName name="VRMOSP" localSheetId="2">#REF!</definedName>
    <definedName name="VRMOSP" localSheetId="4">#REF!</definedName>
    <definedName name="VRMOSP" localSheetId="5">#REF!</definedName>
    <definedName name="VRMOSP" localSheetId="7">#REF!</definedName>
    <definedName name="VRMOSP" localSheetId="0">#REF!</definedName>
    <definedName name="VRMOSP" localSheetId="10">#REF!</definedName>
    <definedName name="VRMOSP" localSheetId="11">#REF!</definedName>
    <definedName name="VRMOSP" localSheetId="6">#REF!</definedName>
    <definedName name="VRMOSP" localSheetId="13">#REF!</definedName>
    <definedName name="VRMOSP">#REF!</definedName>
    <definedName name="XXX">'[5]ITEMS-AP'!$B$53:$H$103</definedName>
  </definedNames>
  <calcPr calcId="162913" concurrentCalc="0"/>
</workbook>
</file>

<file path=xl/calcChain.xml><?xml version="1.0" encoding="utf-8"?>
<calcChain xmlns="http://schemas.openxmlformats.org/spreadsheetml/2006/main">
  <c r="CO11" i="48" l="1"/>
  <c r="CN11" i="48"/>
  <c r="CO12" i="48"/>
  <c r="CN12" i="48"/>
  <c r="CO13" i="48"/>
  <c r="CN13" i="48"/>
  <c r="CO14" i="48"/>
  <c r="CN14" i="48"/>
  <c r="CO15" i="48"/>
  <c r="CN15" i="48"/>
  <c r="CO16" i="48"/>
  <c r="CN16" i="48"/>
  <c r="CO17" i="48"/>
  <c r="CN17" i="48"/>
  <c r="CO18" i="48"/>
  <c r="CN18" i="48"/>
  <c r="CO19" i="48"/>
  <c r="CN19" i="48"/>
  <c r="CO20" i="48"/>
  <c r="CN20" i="48"/>
  <c r="CO21" i="48"/>
  <c r="CN21" i="48"/>
  <c r="CO22" i="48"/>
  <c r="CN22" i="48"/>
  <c r="CO23" i="48"/>
  <c r="CN23" i="48"/>
  <c r="CO24" i="48"/>
  <c r="CN24" i="48"/>
  <c r="CO25" i="48"/>
  <c r="CN25" i="48"/>
  <c r="CO26" i="48"/>
  <c r="CN26" i="48"/>
  <c r="CO27" i="48"/>
  <c r="CN27" i="48"/>
  <c r="CO28" i="48"/>
  <c r="CN28" i="48"/>
  <c r="CO29" i="48"/>
  <c r="CN29" i="48"/>
  <c r="CO30" i="48"/>
  <c r="CN30" i="48"/>
  <c r="CO31" i="48"/>
  <c r="CN31" i="48"/>
  <c r="CO32" i="48"/>
  <c r="CN32" i="48"/>
  <c r="CO33" i="48"/>
  <c r="CN33" i="48"/>
  <c r="CO34" i="48"/>
  <c r="CN34" i="48"/>
  <c r="CO35" i="48"/>
  <c r="CN35" i="48"/>
  <c r="CO36" i="48"/>
  <c r="CN36" i="48"/>
  <c r="CO37" i="48"/>
  <c r="CN37" i="48"/>
  <c r="CO38" i="48"/>
  <c r="CN38" i="48"/>
  <c r="CO39" i="48"/>
  <c r="CN39" i="48"/>
  <c r="CO40" i="48"/>
  <c r="CN40" i="48"/>
  <c r="CO41" i="48"/>
  <c r="CN41" i="48"/>
  <c r="CO42" i="48"/>
  <c r="CN42" i="48"/>
  <c r="CO43" i="48"/>
  <c r="CN43" i="48"/>
  <c r="CO45" i="48"/>
  <c r="CN45" i="48"/>
  <c r="CO46" i="48"/>
  <c r="CN46" i="48"/>
  <c r="CO49" i="48"/>
  <c r="CM11" i="48"/>
  <c r="CM12" i="48"/>
  <c r="CM13" i="48"/>
  <c r="CM14" i="48"/>
  <c r="CM15" i="48"/>
  <c r="CM16" i="48"/>
  <c r="CM17" i="48"/>
  <c r="CM18" i="48"/>
  <c r="CM19" i="48"/>
  <c r="CM20" i="48"/>
  <c r="CM21" i="48"/>
  <c r="CM22" i="48"/>
  <c r="CM23" i="48"/>
  <c r="CM24" i="48"/>
  <c r="CM25" i="48"/>
  <c r="CM26" i="48"/>
  <c r="CM27" i="48"/>
  <c r="CM28" i="48"/>
  <c r="CM29" i="48"/>
  <c r="CM30" i="48"/>
  <c r="CM31" i="48"/>
  <c r="CM32" i="48"/>
  <c r="CM33" i="48"/>
  <c r="CM34" i="48"/>
  <c r="CM35" i="48"/>
  <c r="CM36" i="48"/>
  <c r="CM37" i="48"/>
  <c r="CM38" i="48"/>
  <c r="CM39" i="48"/>
  <c r="CM40" i="48"/>
  <c r="CM41" i="48"/>
  <c r="CM42" i="48"/>
  <c r="CM43" i="48"/>
  <c r="CM45" i="48"/>
  <c r="CM46" i="48"/>
  <c r="CN49" i="48"/>
  <c r="CL11" i="48"/>
  <c r="CL12" i="48"/>
  <c r="CL13" i="48"/>
  <c r="CL14" i="48"/>
  <c r="CL15" i="48"/>
  <c r="CL16" i="48"/>
  <c r="CL17" i="48"/>
  <c r="CL18" i="48"/>
  <c r="CL19" i="48"/>
  <c r="CL20" i="48"/>
  <c r="CL21" i="48"/>
  <c r="CL22" i="48"/>
  <c r="CL23" i="48"/>
  <c r="CL24" i="48"/>
  <c r="CL25" i="48"/>
  <c r="CL26" i="48"/>
  <c r="CL27" i="48"/>
  <c r="CL28" i="48"/>
  <c r="CL29" i="48"/>
  <c r="CL30" i="48"/>
  <c r="CL31" i="48"/>
  <c r="CL32" i="48"/>
  <c r="CL33" i="48"/>
  <c r="CL34" i="48"/>
  <c r="CL35" i="48"/>
  <c r="CL36" i="48"/>
  <c r="CL37" i="48"/>
  <c r="CL38" i="48"/>
  <c r="CL39" i="48"/>
  <c r="CL40" i="48"/>
  <c r="CL41" i="48"/>
  <c r="CL42" i="48"/>
  <c r="CL43" i="48"/>
  <c r="CL45" i="48"/>
  <c r="CL46" i="48"/>
  <c r="CM49" i="48"/>
  <c r="CK11" i="48"/>
  <c r="CK12" i="48"/>
  <c r="CK13" i="48"/>
  <c r="CK14" i="48"/>
  <c r="CK15" i="48"/>
  <c r="CK16" i="48"/>
  <c r="CK17" i="48"/>
  <c r="CK18" i="48"/>
  <c r="CK19" i="48"/>
  <c r="CK20" i="48"/>
  <c r="CK21" i="48"/>
  <c r="CK22" i="48"/>
  <c r="CK23" i="48"/>
  <c r="CK24" i="48"/>
  <c r="CK25" i="48"/>
  <c r="CK26" i="48"/>
  <c r="CK27" i="48"/>
  <c r="CK28" i="48"/>
  <c r="CK29" i="48"/>
  <c r="CK30" i="48"/>
  <c r="CK31" i="48"/>
  <c r="CK32" i="48"/>
  <c r="CK33" i="48"/>
  <c r="CK34" i="48"/>
  <c r="CK35" i="48"/>
  <c r="CK36" i="48"/>
  <c r="CK37" i="48"/>
  <c r="CK38" i="48"/>
  <c r="CK39" i="48"/>
  <c r="CK40" i="48"/>
  <c r="CK41" i="48"/>
  <c r="CK42" i="48"/>
  <c r="CK43" i="48"/>
  <c r="CK45" i="48"/>
  <c r="CK46" i="48"/>
  <c r="CL49" i="48"/>
  <c r="CJ11" i="48"/>
  <c r="CJ12" i="48"/>
  <c r="CJ13" i="48"/>
  <c r="CJ14" i="48"/>
  <c r="CJ15" i="48"/>
  <c r="CJ16" i="48"/>
  <c r="CJ17" i="48"/>
  <c r="CJ18" i="48"/>
  <c r="CJ19" i="48"/>
  <c r="CJ20" i="48"/>
  <c r="CJ21" i="48"/>
  <c r="CJ22" i="48"/>
  <c r="CJ23" i="48"/>
  <c r="CJ24" i="48"/>
  <c r="CJ25" i="48"/>
  <c r="CJ26" i="48"/>
  <c r="CJ27" i="48"/>
  <c r="CJ28" i="48"/>
  <c r="CJ29" i="48"/>
  <c r="CJ30" i="48"/>
  <c r="CJ31" i="48"/>
  <c r="CJ32" i="48"/>
  <c r="CJ33" i="48"/>
  <c r="CJ34" i="48"/>
  <c r="CJ35" i="48"/>
  <c r="CJ36" i="48"/>
  <c r="CJ37" i="48"/>
  <c r="CJ38" i="48"/>
  <c r="CJ39" i="48"/>
  <c r="CJ40" i="48"/>
  <c r="CJ41" i="48"/>
  <c r="CJ42" i="48"/>
  <c r="CJ43" i="48"/>
  <c r="CJ45" i="48"/>
  <c r="CJ46" i="48"/>
  <c r="CK49" i="48"/>
  <c r="CI11" i="48"/>
  <c r="CI12" i="48"/>
  <c r="CI13" i="48"/>
  <c r="CI14" i="48"/>
  <c r="CI15" i="48"/>
  <c r="CI16" i="48"/>
  <c r="CI17" i="48"/>
  <c r="CI18" i="48"/>
  <c r="CI19" i="48"/>
  <c r="CI20" i="48"/>
  <c r="CI21" i="48"/>
  <c r="CI22" i="48"/>
  <c r="CI23" i="48"/>
  <c r="CI24" i="48"/>
  <c r="CI25" i="48"/>
  <c r="CI26" i="48"/>
  <c r="CI27" i="48"/>
  <c r="CI28" i="48"/>
  <c r="CI29" i="48"/>
  <c r="CI30" i="48"/>
  <c r="CI31" i="48"/>
  <c r="CI32" i="48"/>
  <c r="CI33" i="48"/>
  <c r="CI34" i="48"/>
  <c r="CI35" i="48"/>
  <c r="CI36" i="48"/>
  <c r="CI37" i="48"/>
  <c r="CI38" i="48"/>
  <c r="CI39" i="48"/>
  <c r="CI40" i="48"/>
  <c r="CI41" i="48"/>
  <c r="CI42" i="48"/>
  <c r="CI43" i="48"/>
  <c r="CI45" i="48"/>
  <c r="CI46" i="48"/>
  <c r="CJ49" i="48"/>
  <c r="CH11" i="48"/>
  <c r="CH12" i="48"/>
  <c r="CH13" i="48"/>
  <c r="CH14" i="48"/>
  <c r="CH15" i="48"/>
  <c r="CH16" i="48"/>
  <c r="CH17" i="48"/>
  <c r="CH18" i="48"/>
  <c r="CH19" i="48"/>
  <c r="CH20" i="48"/>
  <c r="CH21" i="48"/>
  <c r="CH22" i="48"/>
  <c r="CH23" i="48"/>
  <c r="CH24" i="48"/>
  <c r="CH25" i="48"/>
  <c r="CH26" i="48"/>
  <c r="CH27" i="48"/>
  <c r="CH28" i="48"/>
  <c r="CH29" i="48"/>
  <c r="CH30" i="48"/>
  <c r="CH31" i="48"/>
  <c r="CH32" i="48"/>
  <c r="CH33" i="48"/>
  <c r="CH34" i="48"/>
  <c r="CH35" i="48"/>
  <c r="CH36" i="48"/>
  <c r="CH37" i="48"/>
  <c r="CH38" i="48"/>
  <c r="CH39" i="48"/>
  <c r="CH40" i="48"/>
  <c r="CH41" i="48"/>
  <c r="CH42" i="48"/>
  <c r="CH43" i="48"/>
  <c r="CH45" i="48"/>
  <c r="CH46" i="48"/>
  <c r="CI49" i="48"/>
  <c r="CG11" i="48"/>
  <c r="CG12" i="48"/>
  <c r="CG13" i="48"/>
  <c r="CG14" i="48"/>
  <c r="CG15" i="48"/>
  <c r="CG16" i="48"/>
  <c r="CG17" i="48"/>
  <c r="CG18" i="48"/>
  <c r="CG19" i="48"/>
  <c r="CG20" i="48"/>
  <c r="CG21" i="48"/>
  <c r="CG22" i="48"/>
  <c r="CG23" i="48"/>
  <c r="CG24" i="48"/>
  <c r="CG25" i="48"/>
  <c r="CG26" i="48"/>
  <c r="CG27" i="48"/>
  <c r="CG28" i="48"/>
  <c r="CG29" i="48"/>
  <c r="CG30" i="48"/>
  <c r="CG31" i="48"/>
  <c r="CG32" i="48"/>
  <c r="CG33" i="48"/>
  <c r="CG34" i="48"/>
  <c r="CG35" i="48"/>
  <c r="CG36" i="48"/>
  <c r="CG37" i="48"/>
  <c r="CG38" i="48"/>
  <c r="CG39" i="48"/>
  <c r="CG40" i="48"/>
  <c r="CG41" i="48"/>
  <c r="CG42" i="48"/>
  <c r="CG43" i="48"/>
  <c r="CG45" i="48"/>
  <c r="CG46" i="48"/>
  <c r="CH49" i="48"/>
  <c r="CF11" i="48"/>
  <c r="CF12" i="48"/>
  <c r="CF13" i="48"/>
  <c r="CF14" i="48"/>
  <c r="CF15" i="48"/>
  <c r="CF16" i="48"/>
  <c r="CF17" i="48"/>
  <c r="CF18" i="48"/>
  <c r="CF19" i="48"/>
  <c r="CF20" i="48"/>
  <c r="CF21" i="48"/>
  <c r="CF22" i="48"/>
  <c r="CF23" i="48"/>
  <c r="CF24" i="48"/>
  <c r="CF25" i="48"/>
  <c r="CF26" i="48"/>
  <c r="CF27" i="48"/>
  <c r="CF28" i="48"/>
  <c r="CF29" i="48"/>
  <c r="CF30" i="48"/>
  <c r="CF31" i="48"/>
  <c r="CF32" i="48"/>
  <c r="CF33" i="48"/>
  <c r="CF34" i="48"/>
  <c r="CF35" i="48"/>
  <c r="CF36" i="48"/>
  <c r="CF37" i="48"/>
  <c r="CF38" i="48"/>
  <c r="CF39" i="48"/>
  <c r="CF40" i="48"/>
  <c r="CF41" i="48"/>
  <c r="CF42" i="48"/>
  <c r="CF43" i="48"/>
  <c r="CF45" i="48"/>
  <c r="CF46" i="48"/>
  <c r="CG49" i="48"/>
  <c r="CE11" i="48"/>
  <c r="CE12" i="48"/>
  <c r="CE13" i="48"/>
  <c r="CE14" i="48"/>
  <c r="CE15" i="48"/>
  <c r="CE16" i="48"/>
  <c r="CE17" i="48"/>
  <c r="CE18" i="48"/>
  <c r="CE19" i="48"/>
  <c r="CE20" i="48"/>
  <c r="CE21" i="48"/>
  <c r="CE22" i="48"/>
  <c r="CE23" i="48"/>
  <c r="CE24" i="48"/>
  <c r="CE25" i="48"/>
  <c r="CE26" i="48"/>
  <c r="CE27" i="48"/>
  <c r="CE28" i="48"/>
  <c r="CE29" i="48"/>
  <c r="CE30" i="48"/>
  <c r="CE31" i="48"/>
  <c r="CE32" i="48"/>
  <c r="CE33" i="48"/>
  <c r="CE34" i="48"/>
  <c r="CE35" i="48"/>
  <c r="CE36" i="48"/>
  <c r="CE37" i="48"/>
  <c r="CE38" i="48"/>
  <c r="CE39" i="48"/>
  <c r="CE40" i="48"/>
  <c r="CE41" i="48"/>
  <c r="CE42" i="48"/>
  <c r="CE43" i="48"/>
  <c r="CE45" i="48"/>
  <c r="CE46" i="48"/>
  <c r="CF49" i="48"/>
  <c r="CD11" i="48"/>
  <c r="CD12" i="48"/>
  <c r="CD13" i="48"/>
  <c r="CD14" i="48"/>
  <c r="CD15" i="48"/>
  <c r="CD16" i="48"/>
  <c r="CD17" i="48"/>
  <c r="CD18" i="48"/>
  <c r="CD19" i="48"/>
  <c r="CD20" i="48"/>
  <c r="CD21" i="48"/>
  <c r="CD22" i="48"/>
  <c r="CD23" i="48"/>
  <c r="CD24" i="48"/>
  <c r="CD25" i="48"/>
  <c r="CD26" i="48"/>
  <c r="CD27" i="48"/>
  <c r="CD28" i="48"/>
  <c r="CD29" i="48"/>
  <c r="CD30" i="48"/>
  <c r="CD31" i="48"/>
  <c r="CD32" i="48"/>
  <c r="CD33" i="48"/>
  <c r="CD34" i="48"/>
  <c r="CD35" i="48"/>
  <c r="CD36" i="48"/>
  <c r="CD37" i="48"/>
  <c r="CD38" i="48"/>
  <c r="CD39" i="48"/>
  <c r="CD40" i="48"/>
  <c r="CD41" i="48"/>
  <c r="CD42" i="48"/>
  <c r="CD43" i="48"/>
  <c r="CD45" i="48"/>
  <c r="CD46" i="48"/>
  <c r="CE49" i="48"/>
  <c r="CC11" i="48"/>
  <c r="CC12" i="48"/>
  <c r="CC13" i="48"/>
  <c r="CC14" i="48"/>
  <c r="CC15" i="48"/>
  <c r="CC16" i="48"/>
  <c r="CC17" i="48"/>
  <c r="CC18" i="48"/>
  <c r="CC19" i="48"/>
  <c r="CC20" i="48"/>
  <c r="CC21" i="48"/>
  <c r="CC22" i="48"/>
  <c r="CC23" i="48"/>
  <c r="CC24" i="48"/>
  <c r="CC25" i="48"/>
  <c r="CC26" i="48"/>
  <c r="CC27" i="48"/>
  <c r="CC28" i="48"/>
  <c r="CC29" i="48"/>
  <c r="CC30" i="48"/>
  <c r="CC31" i="48"/>
  <c r="CC32" i="48"/>
  <c r="CC33" i="48"/>
  <c r="CC34" i="48"/>
  <c r="CC35" i="48"/>
  <c r="CC36" i="48"/>
  <c r="CC37" i="48"/>
  <c r="CC38" i="48"/>
  <c r="CC39" i="48"/>
  <c r="CC40" i="48"/>
  <c r="CC41" i="48"/>
  <c r="CC42" i="48"/>
  <c r="CC43" i="48"/>
  <c r="CC45" i="48"/>
  <c r="CC46" i="48"/>
  <c r="CD49" i="48"/>
  <c r="CB11" i="48"/>
  <c r="CB12" i="48"/>
  <c r="CB13" i="48"/>
  <c r="CB14" i="48"/>
  <c r="CB15" i="48"/>
  <c r="CB16" i="48"/>
  <c r="CB17" i="48"/>
  <c r="CB18" i="48"/>
  <c r="CB19" i="48"/>
  <c r="CB20" i="48"/>
  <c r="CB21" i="48"/>
  <c r="CB22" i="48"/>
  <c r="CB23" i="48"/>
  <c r="CB24" i="48"/>
  <c r="CB25" i="48"/>
  <c r="CB26" i="48"/>
  <c r="CB27" i="48"/>
  <c r="CB28" i="48"/>
  <c r="CB29" i="48"/>
  <c r="CB30" i="48"/>
  <c r="CB31" i="48"/>
  <c r="CB32" i="48"/>
  <c r="CB33" i="48"/>
  <c r="CB34" i="48"/>
  <c r="CB35" i="48"/>
  <c r="CB36" i="48"/>
  <c r="CB37" i="48"/>
  <c r="CB38" i="48"/>
  <c r="CB39" i="48"/>
  <c r="CB40" i="48"/>
  <c r="CB41" i="48"/>
  <c r="CB42" i="48"/>
  <c r="CB43" i="48"/>
  <c r="CB45" i="48"/>
  <c r="CB46" i="48"/>
  <c r="CC49" i="48"/>
  <c r="CA11" i="48"/>
  <c r="CA12" i="48"/>
  <c r="CA13" i="48"/>
  <c r="CA14" i="48"/>
  <c r="CA15" i="48"/>
  <c r="CA16" i="48"/>
  <c r="CA17" i="48"/>
  <c r="CA18" i="48"/>
  <c r="CA19" i="48"/>
  <c r="CA20" i="48"/>
  <c r="CA21" i="48"/>
  <c r="CA22" i="48"/>
  <c r="CA23" i="48"/>
  <c r="CA24" i="48"/>
  <c r="CA25" i="48"/>
  <c r="CA26" i="48"/>
  <c r="CA27" i="48"/>
  <c r="CA28" i="48"/>
  <c r="CA29" i="48"/>
  <c r="CA30" i="48"/>
  <c r="CA31" i="48"/>
  <c r="CA32" i="48"/>
  <c r="CA33" i="48"/>
  <c r="CA34" i="48"/>
  <c r="CA35" i="48"/>
  <c r="CA36" i="48"/>
  <c r="CA37" i="48"/>
  <c r="CA38" i="48"/>
  <c r="CA39" i="48"/>
  <c r="CA40" i="48"/>
  <c r="CA41" i="48"/>
  <c r="CA42" i="48"/>
  <c r="CA43" i="48"/>
  <c r="CA45" i="48"/>
  <c r="CA46" i="48"/>
  <c r="CB49" i="48"/>
  <c r="BZ11" i="48"/>
  <c r="BZ12" i="48"/>
  <c r="BZ13" i="48"/>
  <c r="BZ14" i="48"/>
  <c r="BZ15" i="48"/>
  <c r="BZ16" i="48"/>
  <c r="BZ17" i="48"/>
  <c r="BZ18" i="48"/>
  <c r="BZ19" i="48"/>
  <c r="BZ20" i="48"/>
  <c r="BZ21" i="48"/>
  <c r="BZ22" i="48"/>
  <c r="BZ23" i="48"/>
  <c r="BZ24" i="48"/>
  <c r="BZ25" i="48"/>
  <c r="BZ26" i="48"/>
  <c r="BZ27" i="48"/>
  <c r="BZ28" i="48"/>
  <c r="BZ29" i="48"/>
  <c r="BZ30" i="48"/>
  <c r="BZ31" i="48"/>
  <c r="BZ32" i="48"/>
  <c r="BZ33" i="48"/>
  <c r="BZ34" i="48"/>
  <c r="BZ35" i="48"/>
  <c r="BZ36" i="48"/>
  <c r="BZ37" i="48"/>
  <c r="BZ38" i="48"/>
  <c r="BZ39" i="48"/>
  <c r="BZ40" i="48"/>
  <c r="BZ41" i="48"/>
  <c r="BZ42" i="48"/>
  <c r="BZ43" i="48"/>
  <c r="BZ45" i="48"/>
  <c r="BZ46" i="48"/>
  <c r="CA49" i="48"/>
  <c r="BY11" i="48"/>
  <c r="BY12" i="48"/>
  <c r="BY13" i="48"/>
  <c r="BY14" i="48"/>
  <c r="BY15" i="48"/>
  <c r="BY16" i="48"/>
  <c r="BY17" i="48"/>
  <c r="BY18" i="48"/>
  <c r="BY19" i="48"/>
  <c r="BY20" i="48"/>
  <c r="BY21" i="48"/>
  <c r="BY22" i="48"/>
  <c r="BY23" i="48"/>
  <c r="BY24" i="48"/>
  <c r="BY25" i="48"/>
  <c r="BY26" i="48"/>
  <c r="BY27" i="48"/>
  <c r="BY28" i="48"/>
  <c r="BY29" i="48"/>
  <c r="BY30" i="48"/>
  <c r="BY31" i="48"/>
  <c r="BY32" i="48"/>
  <c r="BY33" i="48"/>
  <c r="BY34" i="48"/>
  <c r="BY35" i="48"/>
  <c r="BY36" i="48"/>
  <c r="BY37" i="48"/>
  <c r="BY38" i="48"/>
  <c r="BY39" i="48"/>
  <c r="BY40" i="48"/>
  <c r="BY41" i="48"/>
  <c r="BY42" i="48"/>
  <c r="BY43" i="48"/>
  <c r="BY45" i="48"/>
  <c r="BY46" i="48"/>
  <c r="BZ49" i="48"/>
  <c r="BX11" i="48"/>
  <c r="BX12" i="48"/>
  <c r="BX13" i="48"/>
  <c r="BX14" i="48"/>
  <c r="BX15" i="48"/>
  <c r="BX16" i="48"/>
  <c r="BX17" i="48"/>
  <c r="BX18" i="48"/>
  <c r="BX19" i="48"/>
  <c r="BX20" i="48"/>
  <c r="BX21" i="48"/>
  <c r="BX22" i="48"/>
  <c r="BX23" i="48"/>
  <c r="BX24" i="48"/>
  <c r="BX25" i="48"/>
  <c r="BX26" i="48"/>
  <c r="BX27" i="48"/>
  <c r="BX28" i="48"/>
  <c r="BX29" i="48"/>
  <c r="BX30" i="48"/>
  <c r="BX31" i="48"/>
  <c r="BX32" i="48"/>
  <c r="BX33" i="48"/>
  <c r="BX34" i="48"/>
  <c r="BX35" i="48"/>
  <c r="BX36" i="48"/>
  <c r="BX37" i="48"/>
  <c r="BX38" i="48"/>
  <c r="BX39" i="48"/>
  <c r="BX40" i="48"/>
  <c r="BX41" i="48"/>
  <c r="BX42" i="48"/>
  <c r="BX43" i="48"/>
  <c r="BX45" i="48"/>
  <c r="BX46" i="48"/>
  <c r="BY49" i="48"/>
  <c r="BW11" i="48"/>
  <c r="BW12" i="48"/>
  <c r="BW13" i="48"/>
  <c r="BW14" i="48"/>
  <c r="BW15" i="48"/>
  <c r="BW16" i="48"/>
  <c r="BW17" i="48"/>
  <c r="BW18" i="48"/>
  <c r="BW19" i="48"/>
  <c r="BW20" i="48"/>
  <c r="BW21" i="48"/>
  <c r="BW22" i="48"/>
  <c r="BW23" i="48"/>
  <c r="BW24" i="48"/>
  <c r="BW25" i="48"/>
  <c r="BW26" i="48"/>
  <c r="BW27" i="48"/>
  <c r="BW28" i="48"/>
  <c r="BW29" i="48"/>
  <c r="BW30" i="48"/>
  <c r="BW31" i="48"/>
  <c r="BW32" i="48"/>
  <c r="BW33" i="48"/>
  <c r="BW34" i="48"/>
  <c r="BW35" i="48"/>
  <c r="BW36" i="48"/>
  <c r="BW37" i="48"/>
  <c r="BW38" i="48"/>
  <c r="BW39" i="48"/>
  <c r="BW40" i="48"/>
  <c r="BW41" i="48"/>
  <c r="BW42" i="48"/>
  <c r="BW43" i="48"/>
  <c r="BW45" i="48"/>
  <c r="BW46" i="48"/>
  <c r="BX49" i="48"/>
  <c r="BV11" i="48"/>
  <c r="BV12" i="48"/>
  <c r="BV13" i="48"/>
  <c r="BV14" i="48"/>
  <c r="BV15" i="48"/>
  <c r="BV16" i="48"/>
  <c r="BV17" i="48"/>
  <c r="BV18" i="48"/>
  <c r="BV19" i="48"/>
  <c r="BV20" i="48"/>
  <c r="BV21" i="48"/>
  <c r="BV22" i="48"/>
  <c r="BV23" i="48"/>
  <c r="BV24" i="48"/>
  <c r="BV25" i="48"/>
  <c r="BV26" i="48"/>
  <c r="BV27" i="48"/>
  <c r="BV28" i="48"/>
  <c r="BV29" i="48"/>
  <c r="BV30" i="48"/>
  <c r="BV31" i="48"/>
  <c r="BV32" i="48"/>
  <c r="BV33" i="48"/>
  <c r="BV34" i="48"/>
  <c r="BV35" i="48"/>
  <c r="BV36" i="48"/>
  <c r="BV37" i="48"/>
  <c r="BV38" i="48"/>
  <c r="BV39" i="48"/>
  <c r="BV40" i="48"/>
  <c r="BV41" i="48"/>
  <c r="BV42" i="48"/>
  <c r="BV43" i="48"/>
  <c r="BV45" i="48"/>
  <c r="BV46" i="48"/>
  <c r="BW49" i="48"/>
  <c r="BU11" i="48"/>
  <c r="BU12" i="48"/>
  <c r="BU13" i="48"/>
  <c r="BU14" i="48"/>
  <c r="BU15" i="48"/>
  <c r="BU16" i="48"/>
  <c r="BU17" i="48"/>
  <c r="BU18" i="48"/>
  <c r="BU19" i="48"/>
  <c r="BU20" i="48"/>
  <c r="BU21" i="48"/>
  <c r="BU22" i="48"/>
  <c r="BU23" i="48"/>
  <c r="BU24" i="48"/>
  <c r="BU25" i="48"/>
  <c r="BU26" i="48"/>
  <c r="BU27" i="48"/>
  <c r="BU28" i="48"/>
  <c r="BU29" i="48"/>
  <c r="BU30" i="48"/>
  <c r="BU31" i="48"/>
  <c r="BU32" i="48"/>
  <c r="BU33" i="48"/>
  <c r="BU34" i="48"/>
  <c r="BU35" i="48"/>
  <c r="BU36" i="48"/>
  <c r="BU37" i="48"/>
  <c r="BU38" i="48"/>
  <c r="BU39" i="48"/>
  <c r="BU40" i="48"/>
  <c r="BU41" i="48"/>
  <c r="BU42" i="48"/>
  <c r="BU43" i="48"/>
  <c r="BU45" i="48"/>
  <c r="BU46" i="48"/>
  <c r="BV49" i="48"/>
  <c r="BT11" i="48"/>
  <c r="BT12" i="48"/>
  <c r="BT13" i="48"/>
  <c r="BT14" i="48"/>
  <c r="BT15" i="48"/>
  <c r="BT16" i="48"/>
  <c r="BT17" i="48"/>
  <c r="BT18" i="48"/>
  <c r="BT19" i="48"/>
  <c r="BT20" i="48"/>
  <c r="BT21" i="48"/>
  <c r="BT22" i="48"/>
  <c r="BT23" i="48"/>
  <c r="BT24" i="48"/>
  <c r="BT25" i="48"/>
  <c r="BT26" i="48"/>
  <c r="BT27" i="48"/>
  <c r="BT28" i="48"/>
  <c r="BT29" i="48"/>
  <c r="BT30" i="48"/>
  <c r="BT31" i="48"/>
  <c r="BT32" i="48"/>
  <c r="BT33" i="48"/>
  <c r="BT34" i="48"/>
  <c r="BT35" i="48"/>
  <c r="BT36" i="48"/>
  <c r="BT37" i="48"/>
  <c r="BT38" i="48"/>
  <c r="BT39" i="48"/>
  <c r="BT40" i="48"/>
  <c r="BT41" i="48"/>
  <c r="BT42" i="48"/>
  <c r="BT43" i="48"/>
  <c r="BT45" i="48"/>
  <c r="BT46" i="48"/>
  <c r="BU49" i="48"/>
  <c r="BS11" i="48"/>
  <c r="BS12" i="48"/>
  <c r="BS13" i="48"/>
  <c r="BS14" i="48"/>
  <c r="BS15" i="48"/>
  <c r="BS16" i="48"/>
  <c r="BS17" i="48"/>
  <c r="BS18" i="48"/>
  <c r="BS19" i="48"/>
  <c r="BS20" i="48"/>
  <c r="BS21" i="48"/>
  <c r="BS22" i="48"/>
  <c r="BS23" i="48"/>
  <c r="BS24" i="48"/>
  <c r="BS25" i="48"/>
  <c r="BS26" i="48"/>
  <c r="BS27" i="48"/>
  <c r="BS28" i="48"/>
  <c r="BS29" i="48"/>
  <c r="BS30" i="48"/>
  <c r="BS31" i="48"/>
  <c r="BS32" i="48"/>
  <c r="BS33" i="48"/>
  <c r="BS34" i="48"/>
  <c r="BS35" i="48"/>
  <c r="BS36" i="48"/>
  <c r="BS37" i="48"/>
  <c r="BS38" i="48"/>
  <c r="BS39" i="48"/>
  <c r="BS40" i="48"/>
  <c r="BS41" i="48"/>
  <c r="BS42" i="48"/>
  <c r="BS43" i="48"/>
  <c r="BS45" i="48"/>
  <c r="BS46" i="48"/>
  <c r="BT49" i="48"/>
  <c r="BR11" i="48"/>
  <c r="BR12" i="48"/>
  <c r="BR13" i="48"/>
  <c r="BR14" i="48"/>
  <c r="BR15" i="48"/>
  <c r="BR16" i="48"/>
  <c r="BR17" i="48"/>
  <c r="BR18" i="48"/>
  <c r="BR19" i="48"/>
  <c r="BR20" i="48"/>
  <c r="BR21" i="48"/>
  <c r="BR22" i="48"/>
  <c r="BR23" i="48"/>
  <c r="BR24" i="48"/>
  <c r="BR25" i="48"/>
  <c r="BR26" i="48"/>
  <c r="BR27" i="48"/>
  <c r="BR28" i="48"/>
  <c r="BR29" i="48"/>
  <c r="BR30" i="48"/>
  <c r="BR31" i="48"/>
  <c r="BR32" i="48"/>
  <c r="BR33" i="48"/>
  <c r="BR34" i="48"/>
  <c r="BR35" i="48"/>
  <c r="BR36" i="48"/>
  <c r="BR37" i="48"/>
  <c r="BR38" i="48"/>
  <c r="BR39" i="48"/>
  <c r="BR40" i="48"/>
  <c r="BR41" i="48"/>
  <c r="BR42" i="48"/>
  <c r="BR43" i="48"/>
  <c r="BR45" i="48"/>
  <c r="BR46" i="48"/>
  <c r="BS49" i="48"/>
  <c r="BQ11" i="48"/>
  <c r="BQ12" i="48"/>
  <c r="BQ13" i="48"/>
  <c r="BQ14" i="48"/>
  <c r="BQ15" i="48"/>
  <c r="BQ16" i="48"/>
  <c r="BQ17" i="48"/>
  <c r="BQ18" i="48"/>
  <c r="BQ19" i="48"/>
  <c r="BQ20" i="48"/>
  <c r="BQ21" i="48"/>
  <c r="BQ22" i="48"/>
  <c r="BQ23" i="48"/>
  <c r="BQ24" i="48"/>
  <c r="BQ25" i="48"/>
  <c r="BQ26" i="48"/>
  <c r="BQ27" i="48"/>
  <c r="BQ28" i="48"/>
  <c r="BQ29" i="48"/>
  <c r="BQ30" i="48"/>
  <c r="BQ31" i="48"/>
  <c r="BQ32" i="48"/>
  <c r="BQ33" i="48"/>
  <c r="BQ34" i="48"/>
  <c r="BQ35" i="48"/>
  <c r="BQ36" i="48"/>
  <c r="BQ37" i="48"/>
  <c r="BQ38" i="48"/>
  <c r="BQ39" i="48"/>
  <c r="BQ40" i="48"/>
  <c r="BQ41" i="48"/>
  <c r="BQ42" i="48"/>
  <c r="BQ43" i="48"/>
  <c r="BQ45" i="48"/>
  <c r="BQ46" i="48"/>
  <c r="BR49" i="48"/>
  <c r="BP11" i="48"/>
  <c r="BP12" i="48"/>
  <c r="BP13" i="48"/>
  <c r="BP14" i="48"/>
  <c r="BP15" i="48"/>
  <c r="BP16" i="48"/>
  <c r="BP17" i="48"/>
  <c r="BP18" i="48"/>
  <c r="BP19" i="48"/>
  <c r="BP20" i="48"/>
  <c r="BP21" i="48"/>
  <c r="BP22" i="48"/>
  <c r="BP23" i="48"/>
  <c r="BP24" i="48"/>
  <c r="BP25" i="48"/>
  <c r="BP26" i="48"/>
  <c r="BP27" i="48"/>
  <c r="BP28" i="48"/>
  <c r="BP29" i="48"/>
  <c r="BP30" i="48"/>
  <c r="BP31" i="48"/>
  <c r="BP32" i="48"/>
  <c r="BP33" i="48"/>
  <c r="BP34" i="48"/>
  <c r="BP35" i="48"/>
  <c r="BP36" i="48"/>
  <c r="BP37" i="48"/>
  <c r="BP38" i="48"/>
  <c r="BP39" i="48"/>
  <c r="BP40" i="48"/>
  <c r="BP41" i="48"/>
  <c r="BP42" i="48"/>
  <c r="BP43" i="48"/>
  <c r="BP45" i="48"/>
  <c r="BP46" i="48"/>
  <c r="BQ49" i="48"/>
  <c r="BO11" i="48"/>
  <c r="BO12" i="48"/>
  <c r="BO13" i="48"/>
  <c r="BO14" i="48"/>
  <c r="BO15" i="48"/>
  <c r="BO16" i="48"/>
  <c r="BO17" i="48"/>
  <c r="BO18" i="48"/>
  <c r="BO19" i="48"/>
  <c r="BO20" i="48"/>
  <c r="BO21" i="48"/>
  <c r="BO22" i="48"/>
  <c r="BO23" i="48"/>
  <c r="BO24" i="48"/>
  <c r="BO25" i="48"/>
  <c r="BO26" i="48"/>
  <c r="BO27" i="48"/>
  <c r="BO28" i="48"/>
  <c r="BO29" i="48"/>
  <c r="BO30" i="48"/>
  <c r="BO31" i="48"/>
  <c r="BO32" i="48"/>
  <c r="BO33" i="48"/>
  <c r="BO34" i="48"/>
  <c r="BO35" i="48"/>
  <c r="BO36" i="48"/>
  <c r="BO37" i="48"/>
  <c r="BO38" i="48"/>
  <c r="BO39" i="48"/>
  <c r="BO40" i="48"/>
  <c r="BO41" i="48"/>
  <c r="BO42" i="48"/>
  <c r="BO43" i="48"/>
  <c r="BO45" i="48"/>
  <c r="BO46" i="48"/>
  <c r="BP49" i="48"/>
  <c r="BN11" i="48"/>
  <c r="BN12" i="48"/>
  <c r="BN13" i="48"/>
  <c r="BN14" i="48"/>
  <c r="BN15" i="48"/>
  <c r="BN16" i="48"/>
  <c r="BN17" i="48"/>
  <c r="BN18" i="48"/>
  <c r="BN19" i="48"/>
  <c r="BN20" i="48"/>
  <c r="BN21" i="48"/>
  <c r="BN22" i="48"/>
  <c r="BN23" i="48"/>
  <c r="BN24" i="48"/>
  <c r="BN25" i="48"/>
  <c r="BN26" i="48"/>
  <c r="BN27" i="48"/>
  <c r="BN28" i="48"/>
  <c r="BN29" i="48"/>
  <c r="BN30" i="48"/>
  <c r="BN31" i="48"/>
  <c r="BN32" i="48"/>
  <c r="BN33" i="48"/>
  <c r="BN34" i="48"/>
  <c r="BN35" i="48"/>
  <c r="BN36" i="48"/>
  <c r="BN37" i="48"/>
  <c r="BN38" i="48"/>
  <c r="BN39" i="48"/>
  <c r="BN40" i="48"/>
  <c r="BN41" i="48"/>
  <c r="BN42" i="48"/>
  <c r="BN43" i="48"/>
  <c r="BN45" i="48"/>
  <c r="BN46" i="48"/>
  <c r="BO49" i="48"/>
  <c r="BM11" i="48"/>
  <c r="BM12" i="48"/>
  <c r="BM13" i="48"/>
  <c r="BM14" i="48"/>
  <c r="BM15" i="48"/>
  <c r="BM16" i="48"/>
  <c r="BM17" i="48"/>
  <c r="BM18" i="48"/>
  <c r="BM19" i="48"/>
  <c r="BM20" i="48"/>
  <c r="BM21" i="48"/>
  <c r="BM22" i="48"/>
  <c r="BM23" i="48"/>
  <c r="BM24" i="48"/>
  <c r="BM25" i="48"/>
  <c r="BM26" i="48"/>
  <c r="BM27" i="48"/>
  <c r="BM28" i="48"/>
  <c r="BM29" i="48"/>
  <c r="BM30" i="48"/>
  <c r="BM31" i="48"/>
  <c r="BM32" i="48"/>
  <c r="BM33" i="48"/>
  <c r="BM34" i="48"/>
  <c r="BM35" i="48"/>
  <c r="BM36" i="48"/>
  <c r="BM37" i="48"/>
  <c r="BM38" i="48"/>
  <c r="BM39" i="48"/>
  <c r="BM40" i="48"/>
  <c r="BM41" i="48"/>
  <c r="BM42" i="48"/>
  <c r="BM43" i="48"/>
  <c r="BM45" i="48"/>
  <c r="BM46" i="48"/>
  <c r="BN49" i="48"/>
  <c r="BL11" i="48"/>
  <c r="BL12" i="48"/>
  <c r="BL13" i="48"/>
  <c r="BL14" i="48"/>
  <c r="BL15" i="48"/>
  <c r="BL16" i="48"/>
  <c r="BL17" i="48"/>
  <c r="BL18" i="48"/>
  <c r="BL19" i="48"/>
  <c r="BL20" i="48"/>
  <c r="BL21" i="48"/>
  <c r="BL22" i="48"/>
  <c r="BL23" i="48"/>
  <c r="BL24" i="48"/>
  <c r="BL25" i="48"/>
  <c r="BL26" i="48"/>
  <c r="BL27" i="48"/>
  <c r="BL28" i="48"/>
  <c r="BL29" i="48"/>
  <c r="BL30" i="48"/>
  <c r="BL31" i="48"/>
  <c r="BL32" i="48"/>
  <c r="BL33" i="48"/>
  <c r="BL34" i="48"/>
  <c r="BL35" i="48"/>
  <c r="BL36" i="48"/>
  <c r="BL37" i="48"/>
  <c r="BL38" i="48"/>
  <c r="BL39" i="48"/>
  <c r="BL40" i="48"/>
  <c r="BL41" i="48"/>
  <c r="BL42" i="48"/>
  <c r="BL43" i="48"/>
  <c r="BL45" i="48"/>
  <c r="BL46" i="48"/>
  <c r="BM49" i="48"/>
  <c r="BK11" i="48"/>
  <c r="BK12" i="48"/>
  <c r="BK13" i="48"/>
  <c r="BK14" i="48"/>
  <c r="BK15" i="48"/>
  <c r="BK16" i="48"/>
  <c r="BK17" i="48"/>
  <c r="BK18" i="48"/>
  <c r="BK19" i="48"/>
  <c r="BK20" i="48"/>
  <c r="BK21" i="48"/>
  <c r="BK22" i="48"/>
  <c r="BK23" i="48"/>
  <c r="BK24" i="48"/>
  <c r="BK25" i="48"/>
  <c r="BK26" i="48"/>
  <c r="BK27" i="48"/>
  <c r="BK28" i="48"/>
  <c r="BK29" i="48"/>
  <c r="BK30" i="48"/>
  <c r="BK31" i="48"/>
  <c r="BK32" i="48"/>
  <c r="BK33" i="48"/>
  <c r="BK34" i="48"/>
  <c r="BK35" i="48"/>
  <c r="BK36" i="48"/>
  <c r="BK37" i="48"/>
  <c r="BK38" i="48"/>
  <c r="BK39" i="48"/>
  <c r="BK40" i="48"/>
  <c r="BK41" i="48"/>
  <c r="BK42" i="48"/>
  <c r="BK43" i="48"/>
  <c r="BK45" i="48"/>
  <c r="BK46" i="48"/>
  <c r="BL49" i="48"/>
  <c r="BJ11" i="48"/>
  <c r="BJ12" i="48"/>
  <c r="BJ13" i="48"/>
  <c r="BJ14" i="48"/>
  <c r="BJ15" i="48"/>
  <c r="BJ16" i="48"/>
  <c r="BJ17" i="48"/>
  <c r="BJ18" i="48"/>
  <c r="BJ19" i="48"/>
  <c r="BJ20" i="48"/>
  <c r="BJ21" i="48"/>
  <c r="BJ22" i="48"/>
  <c r="BJ23" i="48"/>
  <c r="BJ24" i="48"/>
  <c r="BJ25" i="48"/>
  <c r="BJ26" i="48"/>
  <c r="BJ27" i="48"/>
  <c r="BJ28" i="48"/>
  <c r="BJ29" i="48"/>
  <c r="BJ30" i="48"/>
  <c r="BJ31" i="48"/>
  <c r="BJ32" i="48"/>
  <c r="BJ33" i="48"/>
  <c r="BJ34" i="48"/>
  <c r="BJ35" i="48"/>
  <c r="BJ36" i="48"/>
  <c r="BJ37" i="48"/>
  <c r="BJ38" i="48"/>
  <c r="BJ39" i="48"/>
  <c r="BJ40" i="48"/>
  <c r="BJ41" i="48"/>
  <c r="BJ42" i="48"/>
  <c r="BJ43" i="48"/>
  <c r="BJ45" i="48"/>
  <c r="BJ46" i="48"/>
  <c r="BK49" i="48"/>
  <c r="BI11" i="48"/>
  <c r="BI12" i="48"/>
  <c r="BI13" i="48"/>
  <c r="BI14" i="48"/>
  <c r="BI15" i="48"/>
  <c r="BI16" i="48"/>
  <c r="BI17" i="48"/>
  <c r="BI18" i="48"/>
  <c r="BI19" i="48"/>
  <c r="BI20" i="48"/>
  <c r="BI21" i="48"/>
  <c r="BI22" i="48"/>
  <c r="BI23" i="48"/>
  <c r="BI24" i="48"/>
  <c r="BI25" i="48"/>
  <c r="BI26" i="48"/>
  <c r="BI27" i="48"/>
  <c r="BI28" i="48"/>
  <c r="BI29" i="48"/>
  <c r="BI30" i="48"/>
  <c r="BI31" i="48"/>
  <c r="BI32" i="48"/>
  <c r="BI33" i="48"/>
  <c r="BI34" i="48"/>
  <c r="BI35" i="48"/>
  <c r="BI36" i="48"/>
  <c r="BI37" i="48"/>
  <c r="BI38" i="48"/>
  <c r="BI39" i="48"/>
  <c r="BI40" i="48"/>
  <c r="BI41" i="48"/>
  <c r="BI42" i="48"/>
  <c r="BI43" i="48"/>
  <c r="BI45" i="48"/>
  <c r="BI46" i="48"/>
  <c r="BJ49" i="48"/>
  <c r="BH11" i="48"/>
  <c r="BH12" i="48"/>
  <c r="BH13" i="48"/>
  <c r="BH14" i="48"/>
  <c r="BH15" i="48"/>
  <c r="BH16" i="48"/>
  <c r="BH17" i="48"/>
  <c r="BH18" i="48"/>
  <c r="BH19" i="48"/>
  <c r="BH20" i="48"/>
  <c r="BH21" i="48"/>
  <c r="BH22" i="48"/>
  <c r="BH23" i="48"/>
  <c r="BH24" i="48"/>
  <c r="BH25" i="48"/>
  <c r="BH26" i="48"/>
  <c r="BH27" i="48"/>
  <c r="BH28" i="48"/>
  <c r="BH29" i="48"/>
  <c r="BH30" i="48"/>
  <c r="BH31" i="48"/>
  <c r="BH32" i="48"/>
  <c r="BH33" i="48"/>
  <c r="BH34" i="48"/>
  <c r="BH35" i="48"/>
  <c r="BH36" i="48"/>
  <c r="BH37" i="48"/>
  <c r="BH38" i="48"/>
  <c r="BH39" i="48"/>
  <c r="BH40" i="48"/>
  <c r="BH41" i="48"/>
  <c r="BH42" i="48"/>
  <c r="BH43" i="48"/>
  <c r="BH45" i="48"/>
  <c r="BH46" i="48"/>
  <c r="BI49" i="48"/>
  <c r="BG11" i="48"/>
  <c r="BG12" i="48"/>
  <c r="BG13" i="48"/>
  <c r="BG14" i="48"/>
  <c r="BG15" i="48"/>
  <c r="BG16" i="48"/>
  <c r="BG17" i="48"/>
  <c r="BG18" i="48"/>
  <c r="BG19" i="48"/>
  <c r="BG20" i="48"/>
  <c r="BG21" i="48"/>
  <c r="BG22" i="48"/>
  <c r="BG23" i="48"/>
  <c r="BG24" i="48"/>
  <c r="BG25" i="48"/>
  <c r="BG26" i="48"/>
  <c r="BG27" i="48"/>
  <c r="BG28" i="48"/>
  <c r="BG29" i="48"/>
  <c r="BG30" i="48"/>
  <c r="BG31" i="48"/>
  <c r="BG32" i="48"/>
  <c r="BG33" i="48"/>
  <c r="BG34" i="48"/>
  <c r="BG35" i="48"/>
  <c r="BG36" i="48"/>
  <c r="BG37" i="48"/>
  <c r="BG38" i="48"/>
  <c r="BG39" i="48"/>
  <c r="BG40" i="48"/>
  <c r="BG41" i="48"/>
  <c r="BG42" i="48"/>
  <c r="BG43" i="48"/>
  <c r="BG45" i="48"/>
  <c r="BG46" i="48"/>
  <c r="BH49" i="48"/>
  <c r="BF11" i="48"/>
  <c r="BF12" i="48"/>
  <c r="BF13" i="48"/>
  <c r="BF14" i="48"/>
  <c r="BF15" i="48"/>
  <c r="BF16" i="48"/>
  <c r="BF17" i="48"/>
  <c r="BF18" i="48"/>
  <c r="BF19" i="48"/>
  <c r="BF20" i="48"/>
  <c r="BF21" i="48"/>
  <c r="BF22" i="48"/>
  <c r="BF23" i="48"/>
  <c r="BF24" i="48"/>
  <c r="BF25" i="48"/>
  <c r="BF26" i="48"/>
  <c r="BF27" i="48"/>
  <c r="BF28" i="48"/>
  <c r="BF29" i="48"/>
  <c r="BF30" i="48"/>
  <c r="BF31" i="48"/>
  <c r="BF32" i="48"/>
  <c r="BF33" i="48"/>
  <c r="BF34" i="48"/>
  <c r="BF35" i="48"/>
  <c r="BF36" i="48"/>
  <c r="BF37" i="48"/>
  <c r="BF38" i="48"/>
  <c r="BF39" i="48"/>
  <c r="BF40" i="48"/>
  <c r="BF41" i="48"/>
  <c r="BF42" i="48"/>
  <c r="BF43" i="48"/>
  <c r="BF45" i="48"/>
  <c r="BF46" i="48"/>
  <c r="BG49" i="48"/>
  <c r="BE11" i="48"/>
  <c r="BE12" i="48"/>
  <c r="BE13" i="48"/>
  <c r="BE14" i="48"/>
  <c r="BE15" i="48"/>
  <c r="BE16" i="48"/>
  <c r="BE17" i="48"/>
  <c r="BE18" i="48"/>
  <c r="BE19" i="48"/>
  <c r="BE20" i="48"/>
  <c r="BE21" i="48"/>
  <c r="BE22" i="48"/>
  <c r="BE23" i="48"/>
  <c r="BE24" i="48"/>
  <c r="BE25" i="48"/>
  <c r="BE26" i="48"/>
  <c r="BE27" i="48"/>
  <c r="BE28" i="48"/>
  <c r="BE29" i="48"/>
  <c r="BE30" i="48"/>
  <c r="BE31" i="48"/>
  <c r="BE32" i="48"/>
  <c r="BE33" i="48"/>
  <c r="BE34" i="48"/>
  <c r="BE35" i="48"/>
  <c r="BE36" i="48"/>
  <c r="BE37" i="48"/>
  <c r="BE38" i="48"/>
  <c r="BE39" i="48"/>
  <c r="BE40" i="48"/>
  <c r="BE41" i="48"/>
  <c r="BE42" i="48"/>
  <c r="BE43" i="48"/>
  <c r="BE45" i="48"/>
  <c r="BE46" i="48"/>
  <c r="BF49" i="48"/>
  <c r="BD11" i="48"/>
  <c r="BD12" i="48"/>
  <c r="BD13" i="48"/>
  <c r="BD14" i="48"/>
  <c r="BD15" i="48"/>
  <c r="BD16" i="48"/>
  <c r="BD17" i="48"/>
  <c r="BD18" i="48"/>
  <c r="BD19" i="48"/>
  <c r="BD20" i="48"/>
  <c r="BD21" i="48"/>
  <c r="BD22" i="48"/>
  <c r="BD23" i="48"/>
  <c r="BD24" i="48"/>
  <c r="BD25" i="48"/>
  <c r="BD26" i="48"/>
  <c r="BD27" i="48"/>
  <c r="BD28" i="48"/>
  <c r="BD29" i="48"/>
  <c r="BD30" i="48"/>
  <c r="BD31" i="48"/>
  <c r="BD32" i="48"/>
  <c r="BD33" i="48"/>
  <c r="BD34" i="48"/>
  <c r="BD35" i="48"/>
  <c r="BD36" i="48"/>
  <c r="BD37" i="48"/>
  <c r="BD38" i="48"/>
  <c r="BD39" i="48"/>
  <c r="BD40" i="48"/>
  <c r="BD41" i="48"/>
  <c r="BD42" i="48"/>
  <c r="BD43" i="48"/>
  <c r="BD45" i="48"/>
  <c r="BD46" i="48"/>
  <c r="BE49" i="48"/>
  <c r="BC11" i="48"/>
  <c r="BC12" i="48"/>
  <c r="BC13" i="48"/>
  <c r="BC14" i="48"/>
  <c r="BC15" i="48"/>
  <c r="BC16" i="48"/>
  <c r="BC17" i="48"/>
  <c r="BC18" i="48"/>
  <c r="BC19" i="48"/>
  <c r="BC20" i="48"/>
  <c r="BC21" i="48"/>
  <c r="BC22" i="48"/>
  <c r="BC23" i="48"/>
  <c r="BC24" i="48"/>
  <c r="BC25" i="48"/>
  <c r="BC26" i="48"/>
  <c r="BC27" i="48"/>
  <c r="BC28" i="48"/>
  <c r="BC29" i="48"/>
  <c r="BC30" i="48"/>
  <c r="BC31" i="48"/>
  <c r="BC32" i="48"/>
  <c r="BC33" i="48"/>
  <c r="BC34" i="48"/>
  <c r="BC35" i="48"/>
  <c r="BC36" i="48"/>
  <c r="BC37" i="48"/>
  <c r="BC38" i="48"/>
  <c r="BC39" i="48"/>
  <c r="BC40" i="48"/>
  <c r="BC41" i="48"/>
  <c r="BC42" i="48"/>
  <c r="BC43" i="48"/>
  <c r="BC45" i="48"/>
  <c r="BC46" i="48"/>
  <c r="BD49" i="48"/>
  <c r="BB11" i="48"/>
  <c r="BB12" i="48"/>
  <c r="BB13" i="48"/>
  <c r="BB14" i="48"/>
  <c r="BB15" i="48"/>
  <c r="BB16" i="48"/>
  <c r="BB17" i="48"/>
  <c r="BB18" i="48"/>
  <c r="BB19" i="48"/>
  <c r="BB20" i="48"/>
  <c r="BB21" i="48"/>
  <c r="BB22" i="48"/>
  <c r="BB23" i="48"/>
  <c r="BB24" i="48"/>
  <c r="BB25" i="48"/>
  <c r="BB26" i="48"/>
  <c r="BB27" i="48"/>
  <c r="BB28" i="48"/>
  <c r="BB29" i="48"/>
  <c r="BB30" i="48"/>
  <c r="BB31" i="48"/>
  <c r="BB32" i="48"/>
  <c r="BB33" i="48"/>
  <c r="BB34" i="48"/>
  <c r="BB35" i="48"/>
  <c r="BB36" i="48"/>
  <c r="BB37" i="48"/>
  <c r="BB38" i="48"/>
  <c r="BB39" i="48"/>
  <c r="BB40" i="48"/>
  <c r="BB41" i="48"/>
  <c r="BB42" i="48"/>
  <c r="BB43" i="48"/>
  <c r="BB45" i="48"/>
  <c r="BB46" i="48"/>
  <c r="BC49" i="48"/>
  <c r="BA11" i="48"/>
  <c r="BA12" i="48"/>
  <c r="BA13" i="48"/>
  <c r="BA14" i="48"/>
  <c r="BA15" i="48"/>
  <c r="BA16" i="48"/>
  <c r="BA17" i="48"/>
  <c r="BA18" i="48"/>
  <c r="BA19" i="48"/>
  <c r="BA20" i="48"/>
  <c r="BA21" i="48"/>
  <c r="BA22" i="48"/>
  <c r="BA23" i="48"/>
  <c r="BA24" i="48"/>
  <c r="BA25" i="48"/>
  <c r="BA26" i="48"/>
  <c r="BA27" i="48"/>
  <c r="BA28" i="48"/>
  <c r="BA29" i="48"/>
  <c r="BA30" i="48"/>
  <c r="BA31" i="48"/>
  <c r="BA32" i="48"/>
  <c r="BA33" i="48"/>
  <c r="BA34" i="48"/>
  <c r="BA35" i="48"/>
  <c r="BA36" i="48"/>
  <c r="BA37" i="48"/>
  <c r="BA38" i="48"/>
  <c r="BA39" i="48"/>
  <c r="BA40" i="48"/>
  <c r="BA41" i="48"/>
  <c r="BA42" i="48"/>
  <c r="BA43" i="48"/>
  <c r="BA45" i="48"/>
  <c r="BA46" i="48"/>
  <c r="BB49" i="48"/>
  <c r="AZ11" i="48"/>
  <c r="AZ12" i="48"/>
  <c r="AZ13" i="48"/>
  <c r="AZ14" i="48"/>
  <c r="AZ15" i="48"/>
  <c r="AZ16" i="48"/>
  <c r="AZ17" i="48"/>
  <c r="AZ18" i="48"/>
  <c r="AZ19" i="48"/>
  <c r="AZ20" i="48"/>
  <c r="AZ21" i="48"/>
  <c r="AZ22" i="48"/>
  <c r="AZ23" i="48"/>
  <c r="AZ24" i="48"/>
  <c r="AZ25" i="48"/>
  <c r="AZ26" i="48"/>
  <c r="AZ27" i="48"/>
  <c r="AZ28" i="48"/>
  <c r="AZ29" i="48"/>
  <c r="AZ30" i="48"/>
  <c r="AZ31" i="48"/>
  <c r="AZ32" i="48"/>
  <c r="AZ33" i="48"/>
  <c r="AZ34" i="48"/>
  <c r="AZ35" i="48"/>
  <c r="AZ36" i="48"/>
  <c r="AZ37" i="48"/>
  <c r="AZ38" i="48"/>
  <c r="AZ39" i="48"/>
  <c r="AZ40" i="48"/>
  <c r="AZ41" i="48"/>
  <c r="AZ42" i="48"/>
  <c r="AZ43" i="48"/>
  <c r="AZ45" i="48"/>
  <c r="AZ46" i="48"/>
  <c r="BA49" i="48"/>
  <c r="AY11" i="48"/>
  <c r="AY12" i="48"/>
  <c r="AY13" i="48"/>
  <c r="AY14" i="48"/>
  <c r="AY15" i="48"/>
  <c r="AY16" i="48"/>
  <c r="AY17" i="48"/>
  <c r="AY18" i="48"/>
  <c r="AY19" i="48"/>
  <c r="AY20" i="48"/>
  <c r="AY21" i="48"/>
  <c r="AY22" i="48"/>
  <c r="AY23" i="48"/>
  <c r="AY24" i="48"/>
  <c r="AY25" i="48"/>
  <c r="AY26" i="48"/>
  <c r="AY27" i="48"/>
  <c r="AY28" i="48"/>
  <c r="AY29" i="48"/>
  <c r="AY30" i="48"/>
  <c r="AY31" i="48"/>
  <c r="AY32" i="48"/>
  <c r="AY33" i="48"/>
  <c r="AY34" i="48"/>
  <c r="AY35" i="48"/>
  <c r="AY36" i="48"/>
  <c r="AY37" i="48"/>
  <c r="AY38" i="48"/>
  <c r="AY39" i="48"/>
  <c r="AY40" i="48"/>
  <c r="AY41" i="48"/>
  <c r="AY42" i="48"/>
  <c r="AY43" i="48"/>
  <c r="AY45" i="48"/>
  <c r="AY46" i="48"/>
  <c r="AZ49" i="48"/>
  <c r="AY49" i="48"/>
  <c r="AY50" i="48"/>
  <c r="AZ50" i="48"/>
  <c r="BA50" i="48"/>
  <c r="BB50" i="48"/>
  <c r="BC50" i="48"/>
  <c r="BD50" i="48"/>
  <c r="BE50" i="48"/>
  <c r="BF50" i="48"/>
  <c r="BG50" i="48"/>
  <c r="BH50" i="48"/>
  <c r="BI50" i="48"/>
  <c r="BJ50" i="48"/>
  <c r="BK50" i="48"/>
  <c r="BL50" i="48"/>
  <c r="BM50" i="48"/>
  <c r="BN50" i="48"/>
  <c r="BO50" i="48"/>
  <c r="BP50" i="48"/>
  <c r="BQ50" i="48"/>
  <c r="BR50" i="48"/>
  <c r="BS50" i="48"/>
  <c r="BT50" i="48"/>
  <c r="BU50" i="48"/>
  <c r="BV50" i="48"/>
  <c r="BW50" i="48"/>
  <c r="BX50" i="48"/>
  <c r="BY50" i="48"/>
  <c r="BZ50" i="48"/>
  <c r="CA50" i="48"/>
  <c r="CB50" i="48"/>
  <c r="CC50" i="48"/>
  <c r="CD50" i="48"/>
  <c r="CE50" i="48"/>
  <c r="CF50" i="48"/>
  <c r="CG50" i="48"/>
  <c r="CH50" i="48"/>
  <c r="CI50" i="48"/>
  <c r="CJ50" i="48"/>
  <c r="CK50" i="48"/>
  <c r="CL50" i="48"/>
  <c r="CM50" i="48"/>
  <c r="CN50" i="48"/>
  <c r="CO50" i="48"/>
  <c r="JF178" i="58"/>
  <c r="IQ68" i="27"/>
  <c r="IP21" i="26"/>
  <c r="IQ22" i="27"/>
  <c r="IE22" i="27"/>
  <c r="JF207" i="58"/>
  <c r="JF205" i="58"/>
  <c r="JF201" i="58"/>
  <c r="E517" i="33"/>
  <c r="E523" i="33"/>
  <c r="E527" i="33"/>
  <c r="JF183" i="58"/>
  <c r="F311" i="31"/>
  <c r="F317" i="31"/>
  <c r="F312" i="31"/>
  <c r="F315" i="31"/>
  <c r="F318" i="31"/>
  <c r="F319" i="31"/>
  <c r="JF199" i="58"/>
  <c r="F286" i="30"/>
  <c r="F289" i="30"/>
  <c r="F292" i="30"/>
  <c r="F294" i="30"/>
  <c r="JF198" i="58"/>
  <c r="JF197" i="58"/>
  <c r="JF195" i="58"/>
  <c r="JF192" i="58"/>
  <c r="JF191" i="58"/>
  <c r="JF188" i="58"/>
  <c r="E529" i="33"/>
  <c r="JF185" i="58"/>
  <c r="E528" i="33"/>
  <c r="JF184" i="58"/>
  <c r="E526" i="33"/>
  <c r="JF182" i="58"/>
  <c r="JF167" i="58"/>
  <c r="JF175" i="58"/>
  <c r="F260" i="28"/>
  <c r="F263" i="28"/>
  <c r="F262" i="28"/>
  <c r="F264" i="28"/>
  <c r="F267" i="28"/>
  <c r="JF174" i="58"/>
  <c r="JF168" i="58"/>
  <c r="IP20" i="26"/>
  <c r="IP24" i="26"/>
  <c r="IP25" i="26"/>
  <c r="IP29" i="26"/>
  <c r="IP38" i="26"/>
  <c r="IP30" i="26"/>
  <c r="IP39" i="26"/>
  <c r="IP31" i="26"/>
  <c r="IP40" i="26"/>
  <c r="IP32" i="26"/>
  <c r="IP41" i="26"/>
  <c r="IP33" i="26"/>
  <c r="IP42" i="26"/>
  <c r="IP34" i="26"/>
  <c r="IP43" i="26"/>
  <c r="IP35" i="26"/>
  <c r="IP44" i="26"/>
  <c r="IP46" i="26"/>
  <c r="JF171" i="58"/>
  <c r="F639" i="25"/>
  <c r="F640" i="25"/>
  <c r="F641" i="25"/>
  <c r="JF170" i="58"/>
  <c r="E348" i="25"/>
  <c r="E349" i="25"/>
  <c r="E350" i="25"/>
  <c r="JF169" i="58"/>
  <c r="JF165" i="58"/>
  <c r="JF154" i="58"/>
  <c r="JF153" i="58"/>
  <c r="IQ65" i="27"/>
  <c r="IQ70" i="27"/>
  <c r="IQ47" i="27"/>
  <c r="IQ67" i="27"/>
  <c r="IQ72" i="27"/>
  <c r="IQ74" i="27"/>
  <c r="JF150" i="58"/>
  <c r="IQ20" i="27"/>
  <c r="IQ45" i="27"/>
  <c r="IQ50" i="27"/>
  <c r="IQ52" i="27"/>
  <c r="IQ55" i="27"/>
  <c r="JF149" i="58"/>
  <c r="IQ25" i="27"/>
  <c r="IQ27" i="27"/>
  <c r="IQ30" i="27"/>
  <c r="JF148" i="58"/>
  <c r="JF120" i="58"/>
  <c r="JF110" i="58"/>
  <c r="JF109" i="58"/>
  <c r="JF108" i="58"/>
  <c r="JF89" i="58"/>
  <c r="JF81" i="58"/>
  <c r="JF73" i="58"/>
  <c r="JF54" i="58"/>
  <c r="JF52" i="58"/>
  <c r="JF49" i="58"/>
  <c r="JF46" i="58"/>
  <c r="JF36" i="58"/>
  <c r="F193" i="32"/>
  <c r="F192" i="32"/>
  <c r="F310" i="31"/>
  <c r="F285" i="30"/>
  <c r="CN32" i="42"/>
  <c r="CN31" i="42"/>
  <c r="CN30" i="42"/>
  <c r="CN29" i="42"/>
  <c r="CN28" i="42"/>
  <c r="CN27" i="42"/>
  <c r="CN26" i="42"/>
  <c r="CN25" i="42"/>
  <c r="CN24" i="42"/>
  <c r="CN23" i="42"/>
  <c r="CN20" i="44"/>
  <c r="CN23" i="44"/>
  <c r="CN25" i="44"/>
  <c r="CN13" i="44"/>
  <c r="CN15" i="44"/>
  <c r="CN13" i="41"/>
  <c r="CN15" i="41"/>
  <c r="D226" i="29"/>
  <c r="E522" i="33"/>
  <c r="E521" i="33"/>
  <c r="E520" i="33"/>
  <c r="E519" i="33"/>
  <c r="E516" i="33"/>
  <c r="E515" i="33"/>
  <c r="E514" i="33"/>
  <c r="E513" i="33"/>
  <c r="AX11" i="48"/>
  <c r="AX12" i="48"/>
  <c r="AX13" i="48"/>
  <c r="AX14" i="48"/>
  <c r="AX15" i="48"/>
  <c r="AX16" i="48"/>
  <c r="AX17" i="48"/>
  <c r="AX18" i="48"/>
  <c r="AX19" i="48"/>
  <c r="AX20" i="48"/>
  <c r="AX21" i="48"/>
  <c r="AX22" i="48"/>
  <c r="AX23" i="48"/>
  <c r="AX24" i="48"/>
  <c r="AX25" i="48"/>
  <c r="AX26" i="48"/>
  <c r="AX27" i="48"/>
  <c r="AX28" i="48"/>
  <c r="AX29" i="48"/>
  <c r="AX30" i="48"/>
  <c r="AX31" i="48"/>
  <c r="AX32" i="48"/>
  <c r="AX33" i="48"/>
  <c r="AX34" i="48"/>
  <c r="AX35" i="48"/>
  <c r="AX36" i="48"/>
  <c r="AX37" i="48"/>
  <c r="AX38" i="48"/>
  <c r="AX39" i="48"/>
  <c r="AX40" i="48"/>
  <c r="AX41" i="48"/>
  <c r="AX42" i="48"/>
  <c r="AX43" i="48"/>
  <c r="AX45" i="48"/>
  <c r="AX46" i="48"/>
  <c r="AW11" i="48"/>
  <c r="AW12" i="48"/>
  <c r="AW13" i="48"/>
  <c r="AW14" i="48"/>
  <c r="AW15" i="48"/>
  <c r="AW16" i="48"/>
  <c r="AW17" i="48"/>
  <c r="AW18" i="48"/>
  <c r="AW19" i="48"/>
  <c r="AW20" i="48"/>
  <c r="AW21" i="48"/>
  <c r="AW22" i="48"/>
  <c r="AW23" i="48"/>
  <c r="AW24" i="48"/>
  <c r="AW25" i="48"/>
  <c r="AW26" i="48"/>
  <c r="AW27" i="48"/>
  <c r="AW28" i="48"/>
  <c r="AW29" i="48"/>
  <c r="AW30" i="48"/>
  <c r="AW31" i="48"/>
  <c r="AW32" i="48"/>
  <c r="AW33" i="48"/>
  <c r="AW34" i="48"/>
  <c r="AW35" i="48"/>
  <c r="AW36" i="48"/>
  <c r="AW37" i="48"/>
  <c r="AW38" i="48"/>
  <c r="AW39" i="48"/>
  <c r="AW40" i="48"/>
  <c r="AW41" i="48"/>
  <c r="AW42" i="48"/>
  <c r="AW43" i="48"/>
  <c r="AW45" i="48"/>
  <c r="AW46" i="48"/>
  <c r="AX49" i="48"/>
  <c r="AV11" i="48"/>
  <c r="AV12" i="48"/>
  <c r="AV13" i="48"/>
  <c r="AV14" i="48"/>
  <c r="AV15" i="48"/>
  <c r="AV16" i="48"/>
  <c r="AV17" i="48"/>
  <c r="AV18" i="48"/>
  <c r="AV19" i="48"/>
  <c r="AV20" i="48"/>
  <c r="AV21" i="48"/>
  <c r="AV22" i="48"/>
  <c r="AV23" i="48"/>
  <c r="AV24" i="48"/>
  <c r="AV25" i="48"/>
  <c r="AV26" i="48"/>
  <c r="AV27" i="48"/>
  <c r="AV28" i="48"/>
  <c r="AV29" i="48"/>
  <c r="AV30" i="48"/>
  <c r="AV31" i="48"/>
  <c r="AV32" i="48"/>
  <c r="AV33" i="48"/>
  <c r="AV34" i="48"/>
  <c r="AV35" i="48"/>
  <c r="AV36" i="48"/>
  <c r="AV37" i="48"/>
  <c r="AV38" i="48"/>
  <c r="AV39" i="48"/>
  <c r="AV40" i="48"/>
  <c r="AV41" i="48"/>
  <c r="AV42" i="48"/>
  <c r="AV43" i="48"/>
  <c r="AV45" i="48"/>
  <c r="AV46" i="48"/>
  <c r="AW49" i="48"/>
  <c r="AU11" i="48"/>
  <c r="AU12" i="48"/>
  <c r="AU13" i="48"/>
  <c r="AU14" i="48"/>
  <c r="AU15" i="48"/>
  <c r="AU16" i="48"/>
  <c r="AU17" i="48"/>
  <c r="AU18" i="48"/>
  <c r="AU19" i="48"/>
  <c r="AU20" i="48"/>
  <c r="AU21" i="48"/>
  <c r="AU22" i="48"/>
  <c r="AU23" i="48"/>
  <c r="AU24" i="48"/>
  <c r="AU25" i="48"/>
  <c r="AU26" i="48"/>
  <c r="AU27" i="48"/>
  <c r="AU28" i="48"/>
  <c r="AU29" i="48"/>
  <c r="AU30" i="48"/>
  <c r="AU31" i="48"/>
  <c r="AU32" i="48"/>
  <c r="AU33" i="48"/>
  <c r="AU34" i="48"/>
  <c r="AU35" i="48"/>
  <c r="AU36" i="48"/>
  <c r="AU37" i="48"/>
  <c r="AU38" i="48"/>
  <c r="AU39" i="48"/>
  <c r="AU40" i="48"/>
  <c r="AU41" i="48"/>
  <c r="AU42" i="48"/>
  <c r="AU43" i="48"/>
  <c r="AU45" i="48"/>
  <c r="AU46" i="48"/>
  <c r="AV49" i="48"/>
  <c r="AT11" i="48"/>
  <c r="AT12" i="48"/>
  <c r="AT13" i="48"/>
  <c r="AT14" i="48"/>
  <c r="AT15" i="48"/>
  <c r="AT16" i="48"/>
  <c r="AT17" i="48"/>
  <c r="AT18" i="48"/>
  <c r="AT19" i="48"/>
  <c r="AT20" i="48"/>
  <c r="AT21" i="48"/>
  <c r="AT22" i="48"/>
  <c r="AT23" i="48"/>
  <c r="AT24" i="48"/>
  <c r="AT25" i="48"/>
  <c r="AT26" i="48"/>
  <c r="AT27" i="48"/>
  <c r="AT28" i="48"/>
  <c r="AT29" i="48"/>
  <c r="AT30" i="48"/>
  <c r="AT31" i="48"/>
  <c r="AT32" i="48"/>
  <c r="AT33" i="48"/>
  <c r="AT34" i="48"/>
  <c r="AT35" i="48"/>
  <c r="AT36" i="48"/>
  <c r="AT37" i="48"/>
  <c r="AT38" i="48"/>
  <c r="AT39" i="48"/>
  <c r="AT40" i="48"/>
  <c r="AT41" i="48"/>
  <c r="AT42" i="48"/>
  <c r="AT43" i="48"/>
  <c r="AT45" i="48"/>
  <c r="AT46" i="48"/>
  <c r="AU49" i="48"/>
  <c r="AS11" i="48"/>
  <c r="AS12" i="48"/>
  <c r="AS13" i="48"/>
  <c r="AS14" i="48"/>
  <c r="AS15" i="48"/>
  <c r="AS16" i="48"/>
  <c r="AS17" i="48"/>
  <c r="AS18" i="48"/>
  <c r="AS19" i="48"/>
  <c r="AS20" i="48"/>
  <c r="AS21" i="48"/>
  <c r="AS22" i="48"/>
  <c r="AS23" i="48"/>
  <c r="AS24" i="48"/>
  <c r="AS25" i="48"/>
  <c r="AS26" i="48"/>
  <c r="AS27" i="48"/>
  <c r="AS28" i="48"/>
  <c r="AS29" i="48"/>
  <c r="AS30" i="48"/>
  <c r="AS31" i="48"/>
  <c r="AS32" i="48"/>
  <c r="AS33" i="48"/>
  <c r="AS34" i="48"/>
  <c r="AS35" i="48"/>
  <c r="AS36" i="48"/>
  <c r="AS37" i="48"/>
  <c r="AS38" i="48"/>
  <c r="AS39" i="48"/>
  <c r="AS40" i="48"/>
  <c r="AS41" i="48"/>
  <c r="AS42" i="48"/>
  <c r="AS43" i="48"/>
  <c r="AS45" i="48"/>
  <c r="AS46" i="48"/>
  <c r="AT49" i="48"/>
  <c r="AR11" i="48"/>
  <c r="AR12" i="48"/>
  <c r="AR13" i="48"/>
  <c r="AR14" i="48"/>
  <c r="AR15" i="48"/>
  <c r="AR16" i="48"/>
  <c r="AR17" i="48"/>
  <c r="AR18" i="48"/>
  <c r="AR19" i="48"/>
  <c r="AR20" i="48"/>
  <c r="AR21" i="48"/>
  <c r="AR22" i="48"/>
  <c r="AR23" i="48"/>
  <c r="AR24" i="48"/>
  <c r="AR25" i="48"/>
  <c r="AR26" i="48"/>
  <c r="AR27" i="48"/>
  <c r="AR28" i="48"/>
  <c r="AR29" i="48"/>
  <c r="AR30" i="48"/>
  <c r="AR31" i="48"/>
  <c r="AR32" i="48"/>
  <c r="AR33" i="48"/>
  <c r="AR34" i="48"/>
  <c r="AR35" i="48"/>
  <c r="AR36" i="48"/>
  <c r="AR37" i="48"/>
  <c r="AR38" i="48"/>
  <c r="AR39" i="48"/>
  <c r="AR40" i="48"/>
  <c r="AR41" i="48"/>
  <c r="AR42" i="48"/>
  <c r="AR43" i="48"/>
  <c r="AR45" i="48"/>
  <c r="AR46" i="48"/>
  <c r="AS49" i="48"/>
  <c r="AQ11" i="48"/>
  <c r="AQ12" i="48"/>
  <c r="AQ13" i="48"/>
  <c r="AQ14" i="48"/>
  <c r="AQ15" i="48"/>
  <c r="AQ16" i="48"/>
  <c r="AQ17" i="48"/>
  <c r="AQ18" i="48"/>
  <c r="AQ19" i="48"/>
  <c r="AQ20" i="48"/>
  <c r="AQ21" i="48"/>
  <c r="AQ22" i="48"/>
  <c r="AQ23" i="48"/>
  <c r="AQ24" i="48"/>
  <c r="AQ25" i="48"/>
  <c r="AQ26" i="48"/>
  <c r="AQ27" i="48"/>
  <c r="AQ28" i="48"/>
  <c r="AQ29" i="48"/>
  <c r="AQ30" i="48"/>
  <c r="AQ31" i="48"/>
  <c r="AQ32" i="48"/>
  <c r="AQ33" i="48"/>
  <c r="AQ34" i="48"/>
  <c r="AQ35" i="48"/>
  <c r="AQ36" i="48"/>
  <c r="AQ37" i="48"/>
  <c r="AQ38" i="48"/>
  <c r="AQ39" i="48"/>
  <c r="AQ40" i="48"/>
  <c r="AQ41" i="48"/>
  <c r="AQ42" i="48"/>
  <c r="AQ43" i="48"/>
  <c r="AQ45" i="48"/>
  <c r="AQ46" i="48"/>
  <c r="AR49" i="48"/>
  <c r="AP11" i="48"/>
  <c r="AP12" i="48"/>
  <c r="AP13" i="48"/>
  <c r="AP14" i="48"/>
  <c r="AP15" i="48"/>
  <c r="AP16" i="48"/>
  <c r="AP17" i="48"/>
  <c r="AP18" i="48"/>
  <c r="AP19" i="48"/>
  <c r="AP20" i="48"/>
  <c r="AP21" i="48"/>
  <c r="AP22" i="48"/>
  <c r="AP23" i="48"/>
  <c r="AP24" i="48"/>
  <c r="AP25" i="48"/>
  <c r="AP26" i="48"/>
  <c r="AP27" i="48"/>
  <c r="AP28" i="48"/>
  <c r="AP29" i="48"/>
  <c r="AP30" i="48"/>
  <c r="AP31" i="48"/>
  <c r="AP32" i="48"/>
  <c r="AP33" i="48"/>
  <c r="AP34" i="48"/>
  <c r="AP35" i="48"/>
  <c r="AP36" i="48"/>
  <c r="AP37" i="48"/>
  <c r="AP38" i="48"/>
  <c r="AP39" i="48"/>
  <c r="AP40" i="48"/>
  <c r="AP41" i="48"/>
  <c r="AP42" i="48"/>
  <c r="AP43" i="48"/>
  <c r="AP45" i="48"/>
  <c r="AP46" i="48"/>
  <c r="AQ49" i="48"/>
  <c r="AO11" i="48"/>
  <c r="AO12" i="48"/>
  <c r="AO13" i="48"/>
  <c r="AO14" i="48"/>
  <c r="AO15" i="48"/>
  <c r="AO16" i="48"/>
  <c r="AO17" i="48"/>
  <c r="AO18" i="48"/>
  <c r="AO19" i="48"/>
  <c r="AO20" i="48"/>
  <c r="AO21" i="48"/>
  <c r="AO22" i="48"/>
  <c r="AO23" i="48"/>
  <c r="AO24" i="48"/>
  <c r="AO25" i="48"/>
  <c r="AO26" i="48"/>
  <c r="AO27" i="48"/>
  <c r="AO28" i="48"/>
  <c r="AO29" i="48"/>
  <c r="AO30" i="48"/>
  <c r="AO31" i="48"/>
  <c r="AO32" i="48"/>
  <c r="AO33" i="48"/>
  <c r="AO34" i="48"/>
  <c r="AO35" i="48"/>
  <c r="AO36" i="48"/>
  <c r="AO37" i="48"/>
  <c r="AO38" i="48"/>
  <c r="AO39" i="48"/>
  <c r="AO40" i="48"/>
  <c r="AO41" i="48"/>
  <c r="AO42" i="48"/>
  <c r="AO43" i="48"/>
  <c r="AO45" i="48"/>
  <c r="AO46" i="48"/>
  <c r="AP49" i="48"/>
  <c r="AN11" i="48"/>
  <c r="AN12" i="48"/>
  <c r="AN13" i="48"/>
  <c r="AN14" i="48"/>
  <c r="AN15" i="48"/>
  <c r="AN16" i="48"/>
  <c r="AN17" i="48"/>
  <c r="AN18" i="48"/>
  <c r="AN19" i="48"/>
  <c r="AN20" i="48"/>
  <c r="AN21" i="48"/>
  <c r="AN22" i="48"/>
  <c r="AN23" i="48"/>
  <c r="AN24" i="48"/>
  <c r="AN25" i="48"/>
  <c r="AN26" i="48"/>
  <c r="AN27" i="48"/>
  <c r="AN28" i="48"/>
  <c r="AN29" i="48"/>
  <c r="AN30" i="48"/>
  <c r="AN31" i="48"/>
  <c r="AN32" i="48"/>
  <c r="AN33" i="48"/>
  <c r="AN34" i="48"/>
  <c r="AN35" i="48"/>
  <c r="AN36" i="48"/>
  <c r="AN37" i="48"/>
  <c r="AN38" i="48"/>
  <c r="AN39" i="48"/>
  <c r="AN40" i="48"/>
  <c r="AN41" i="48"/>
  <c r="AN42" i="48"/>
  <c r="AN43" i="48"/>
  <c r="AN45" i="48"/>
  <c r="AN46" i="48"/>
  <c r="AO49" i="48"/>
  <c r="AM11" i="48"/>
  <c r="AM12" i="48"/>
  <c r="AM13" i="48"/>
  <c r="AM14" i="48"/>
  <c r="AM15" i="48"/>
  <c r="AM16" i="48"/>
  <c r="AM17" i="48"/>
  <c r="AM18" i="48"/>
  <c r="AM19" i="48"/>
  <c r="AM20" i="48"/>
  <c r="AM21" i="48"/>
  <c r="AM22" i="48"/>
  <c r="AM23" i="48"/>
  <c r="AM24" i="48"/>
  <c r="AM25" i="48"/>
  <c r="AM26" i="48"/>
  <c r="AM27" i="48"/>
  <c r="AM28" i="48"/>
  <c r="AM29" i="48"/>
  <c r="AM30" i="48"/>
  <c r="AM31" i="48"/>
  <c r="AM32" i="48"/>
  <c r="AM33" i="48"/>
  <c r="AM34" i="48"/>
  <c r="AM35" i="48"/>
  <c r="AM36" i="48"/>
  <c r="AM37" i="48"/>
  <c r="AM38" i="48"/>
  <c r="AM39" i="48"/>
  <c r="AM40" i="48"/>
  <c r="AM41" i="48"/>
  <c r="AM42" i="48"/>
  <c r="AM43" i="48"/>
  <c r="AM45" i="48"/>
  <c r="AM46" i="48"/>
  <c r="AN49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1" i="48"/>
  <c r="AL42" i="48"/>
  <c r="AL43" i="48"/>
  <c r="AL45" i="48"/>
  <c r="AL46" i="48"/>
  <c r="AM49" i="48"/>
  <c r="AK11" i="48"/>
  <c r="AK12" i="48"/>
  <c r="AK13" i="48"/>
  <c r="AK14" i="48"/>
  <c r="AK15" i="48"/>
  <c r="AK16" i="48"/>
  <c r="AK17" i="48"/>
  <c r="AK18" i="48"/>
  <c r="AK19" i="48"/>
  <c r="AK20" i="48"/>
  <c r="AK21" i="48"/>
  <c r="AK22" i="48"/>
  <c r="AK23" i="48"/>
  <c r="AK24" i="48"/>
  <c r="AK25" i="48"/>
  <c r="AK26" i="48"/>
  <c r="AK27" i="48"/>
  <c r="AK28" i="48"/>
  <c r="AK29" i="48"/>
  <c r="AK30" i="48"/>
  <c r="AK31" i="48"/>
  <c r="AK32" i="48"/>
  <c r="AK33" i="48"/>
  <c r="AK34" i="48"/>
  <c r="AK35" i="48"/>
  <c r="AK36" i="48"/>
  <c r="AK37" i="48"/>
  <c r="AK38" i="48"/>
  <c r="AK39" i="48"/>
  <c r="AK40" i="48"/>
  <c r="AK41" i="48"/>
  <c r="AK42" i="48"/>
  <c r="AK43" i="48"/>
  <c r="AK45" i="48"/>
  <c r="AK46" i="48"/>
  <c r="AL49" i="48"/>
  <c r="AJ11" i="48"/>
  <c r="AJ12" i="48"/>
  <c r="AJ13" i="48"/>
  <c r="AJ14" i="48"/>
  <c r="AJ15" i="48"/>
  <c r="AJ16" i="48"/>
  <c r="AJ17" i="48"/>
  <c r="AJ18" i="48"/>
  <c r="AJ19" i="48"/>
  <c r="AJ20" i="48"/>
  <c r="AJ21" i="48"/>
  <c r="AJ22" i="48"/>
  <c r="AJ23" i="48"/>
  <c r="AJ24" i="48"/>
  <c r="AJ25" i="48"/>
  <c r="AJ26" i="48"/>
  <c r="AJ27" i="48"/>
  <c r="AJ28" i="48"/>
  <c r="AJ29" i="48"/>
  <c r="AJ30" i="48"/>
  <c r="AJ31" i="48"/>
  <c r="AJ32" i="48"/>
  <c r="AJ33" i="48"/>
  <c r="AJ34" i="48"/>
  <c r="AJ35" i="48"/>
  <c r="AJ36" i="48"/>
  <c r="AJ37" i="48"/>
  <c r="AJ38" i="48"/>
  <c r="AJ39" i="48"/>
  <c r="AJ40" i="48"/>
  <c r="AJ41" i="48"/>
  <c r="AJ42" i="48"/>
  <c r="AJ43" i="48"/>
  <c r="AJ45" i="48"/>
  <c r="AJ46" i="48"/>
  <c r="AK49" i="48"/>
  <c r="AI11" i="48"/>
  <c r="AI12" i="48"/>
  <c r="AI13" i="48"/>
  <c r="AI14" i="48"/>
  <c r="AI15" i="48"/>
  <c r="AI16" i="48"/>
  <c r="AI17" i="48"/>
  <c r="AI18" i="48"/>
  <c r="AI19" i="48"/>
  <c r="AI20" i="48"/>
  <c r="AI21" i="48"/>
  <c r="AI22" i="48"/>
  <c r="AI23" i="48"/>
  <c r="AI24" i="48"/>
  <c r="AI25" i="48"/>
  <c r="AI26" i="48"/>
  <c r="AI27" i="48"/>
  <c r="AI28" i="48"/>
  <c r="AI29" i="48"/>
  <c r="AI30" i="48"/>
  <c r="AI31" i="48"/>
  <c r="AI32" i="48"/>
  <c r="AI33" i="48"/>
  <c r="AI34" i="48"/>
  <c r="AI35" i="48"/>
  <c r="AI36" i="48"/>
  <c r="AI37" i="48"/>
  <c r="AI38" i="48"/>
  <c r="AI39" i="48"/>
  <c r="AI40" i="48"/>
  <c r="AI41" i="48"/>
  <c r="AI42" i="48"/>
  <c r="AI43" i="48"/>
  <c r="AI45" i="48"/>
  <c r="AI46" i="48"/>
  <c r="AJ49" i="48"/>
  <c r="AH11" i="48"/>
  <c r="AH12" i="48"/>
  <c r="AH13" i="48"/>
  <c r="AH14" i="48"/>
  <c r="AH15" i="48"/>
  <c r="AH16" i="48"/>
  <c r="AH17" i="48"/>
  <c r="AH18" i="48"/>
  <c r="AH19" i="48"/>
  <c r="AH20" i="48"/>
  <c r="AH21" i="48"/>
  <c r="AH22" i="48"/>
  <c r="AH23" i="48"/>
  <c r="AH24" i="48"/>
  <c r="AH25" i="48"/>
  <c r="AH26" i="48"/>
  <c r="AH27" i="48"/>
  <c r="AH28" i="48"/>
  <c r="AH29" i="48"/>
  <c r="AH30" i="48"/>
  <c r="AH31" i="48"/>
  <c r="AH32" i="48"/>
  <c r="AH33" i="48"/>
  <c r="AH34" i="48"/>
  <c r="AH35" i="48"/>
  <c r="AH36" i="48"/>
  <c r="AH37" i="48"/>
  <c r="AH38" i="48"/>
  <c r="AH39" i="48"/>
  <c r="AH40" i="48"/>
  <c r="AH41" i="48"/>
  <c r="AH42" i="48"/>
  <c r="AH43" i="48"/>
  <c r="AH45" i="48"/>
  <c r="AH46" i="48"/>
  <c r="AI49" i="48"/>
  <c r="AG11" i="48"/>
  <c r="AG12" i="48"/>
  <c r="AG13" i="48"/>
  <c r="AG14" i="48"/>
  <c r="AG15" i="48"/>
  <c r="AG16" i="48"/>
  <c r="AG17" i="48"/>
  <c r="AG18" i="48"/>
  <c r="AG19" i="48"/>
  <c r="AG20" i="48"/>
  <c r="AG21" i="48"/>
  <c r="AG22" i="48"/>
  <c r="AG23" i="48"/>
  <c r="AG24" i="48"/>
  <c r="AG25" i="48"/>
  <c r="AG26" i="48"/>
  <c r="AG27" i="48"/>
  <c r="AG28" i="48"/>
  <c r="AG29" i="48"/>
  <c r="AG30" i="48"/>
  <c r="AG31" i="48"/>
  <c r="AG32" i="48"/>
  <c r="AG33" i="48"/>
  <c r="AG34" i="48"/>
  <c r="AG35" i="48"/>
  <c r="AG36" i="48"/>
  <c r="AG37" i="48"/>
  <c r="AG38" i="48"/>
  <c r="AG39" i="48"/>
  <c r="AG40" i="48"/>
  <c r="AG41" i="48"/>
  <c r="AG42" i="48"/>
  <c r="AG43" i="48"/>
  <c r="AG45" i="48"/>
  <c r="AG46" i="48"/>
  <c r="AH49" i="48"/>
  <c r="AF11" i="48"/>
  <c r="AF12" i="48"/>
  <c r="AF13" i="48"/>
  <c r="AF14" i="48"/>
  <c r="AF15" i="48"/>
  <c r="AF16" i="48"/>
  <c r="AF17" i="48"/>
  <c r="AF18" i="48"/>
  <c r="AF19" i="48"/>
  <c r="AF20" i="48"/>
  <c r="AF21" i="48"/>
  <c r="AF22" i="48"/>
  <c r="AF23" i="48"/>
  <c r="AF24" i="48"/>
  <c r="AF25" i="48"/>
  <c r="AF26" i="48"/>
  <c r="AF27" i="48"/>
  <c r="AF28" i="48"/>
  <c r="AF29" i="48"/>
  <c r="AF30" i="48"/>
  <c r="AF31" i="48"/>
  <c r="AF32" i="48"/>
  <c r="AF33" i="48"/>
  <c r="AF34" i="48"/>
  <c r="AF35" i="48"/>
  <c r="AF36" i="48"/>
  <c r="AF37" i="48"/>
  <c r="AF38" i="48"/>
  <c r="AF39" i="48"/>
  <c r="AF40" i="48"/>
  <c r="AF41" i="48"/>
  <c r="AF42" i="48"/>
  <c r="AF43" i="48"/>
  <c r="AF45" i="48"/>
  <c r="AF46" i="48"/>
  <c r="AG49" i="48"/>
  <c r="AE11" i="48"/>
  <c r="AE12" i="48"/>
  <c r="AE13" i="48"/>
  <c r="AE14" i="48"/>
  <c r="AE15" i="48"/>
  <c r="AE16" i="48"/>
  <c r="AE17" i="48"/>
  <c r="AE18" i="48"/>
  <c r="AE19" i="48"/>
  <c r="AE20" i="48"/>
  <c r="AE21" i="48"/>
  <c r="AE22" i="48"/>
  <c r="AE23" i="48"/>
  <c r="AE24" i="48"/>
  <c r="AE25" i="48"/>
  <c r="AE26" i="48"/>
  <c r="AE27" i="48"/>
  <c r="AE28" i="48"/>
  <c r="AE29" i="48"/>
  <c r="AE30" i="48"/>
  <c r="AE31" i="48"/>
  <c r="AE32" i="48"/>
  <c r="AE33" i="48"/>
  <c r="AE34" i="48"/>
  <c r="AE35" i="48"/>
  <c r="AE36" i="48"/>
  <c r="AE37" i="48"/>
  <c r="AE38" i="48"/>
  <c r="AE39" i="48"/>
  <c r="AE40" i="48"/>
  <c r="AE41" i="48"/>
  <c r="AE42" i="48"/>
  <c r="AE43" i="48"/>
  <c r="AE45" i="48"/>
  <c r="AE46" i="48"/>
  <c r="AF49" i="48"/>
  <c r="AD11" i="48"/>
  <c r="AD12" i="48"/>
  <c r="AD13" i="48"/>
  <c r="AD14" i="48"/>
  <c r="AD15" i="48"/>
  <c r="AD16" i="48"/>
  <c r="AD17" i="48"/>
  <c r="AD18" i="48"/>
  <c r="AD19" i="48"/>
  <c r="AD20" i="48"/>
  <c r="AD21" i="48"/>
  <c r="AD22" i="48"/>
  <c r="AD23" i="48"/>
  <c r="AD24" i="48"/>
  <c r="AD25" i="48"/>
  <c r="AD26" i="48"/>
  <c r="AD27" i="48"/>
  <c r="AD28" i="48"/>
  <c r="AD29" i="48"/>
  <c r="AD30" i="48"/>
  <c r="AD31" i="48"/>
  <c r="AD32" i="48"/>
  <c r="AD33" i="48"/>
  <c r="AD34" i="48"/>
  <c r="AD35" i="48"/>
  <c r="AD36" i="48"/>
  <c r="AD37" i="48"/>
  <c r="AD38" i="48"/>
  <c r="AD39" i="48"/>
  <c r="AD40" i="48"/>
  <c r="AD41" i="48"/>
  <c r="AD42" i="48"/>
  <c r="AD43" i="48"/>
  <c r="AD45" i="48"/>
  <c r="AD46" i="48"/>
  <c r="AE49" i="48"/>
  <c r="AC11" i="48"/>
  <c r="AC12" i="48"/>
  <c r="AC13" i="48"/>
  <c r="AC14" i="48"/>
  <c r="AC15" i="48"/>
  <c r="AC16" i="48"/>
  <c r="AC17" i="48"/>
  <c r="AC18" i="48"/>
  <c r="AC19" i="48"/>
  <c r="AC20" i="48"/>
  <c r="AC21" i="48"/>
  <c r="AC22" i="48"/>
  <c r="AC23" i="48"/>
  <c r="AC24" i="48"/>
  <c r="AC25" i="48"/>
  <c r="AC26" i="48"/>
  <c r="AC27" i="48"/>
  <c r="AC28" i="48"/>
  <c r="AC29" i="48"/>
  <c r="AC30" i="48"/>
  <c r="AC31" i="48"/>
  <c r="AC32" i="48"/>
  <c r="AC33" i="48"/>
  <c r="AC34" i="48"/>
  <c r="AC35" i="48"/>
  <c r="AC36" i="48"/>
  <c r="AC37" i="48"/>
  <c r="AC38" i="48"/>
  <c r="AC39" i="48"/>
  <c r="AC40" i="48"/>
  <c r="AC41" i="48"/>
  <c r="AC42" i="48"/>
  <c r="AC43" i="48"/>
  <c r="AC45" i="48"/>
  <c r="AC46" i="48"/>
  <c r="AD49" i="48"/>
  <c r="AB11" i="48"/>
  <c r="AB12" i="48"/>
  <c r="AB13" i="48"/>
  <c r="AB14" i="48"/>
  <c r="AB15" i="48"/>
  <c r="AB16" i="48"/>
  <c r="AB17" i="48"/>
  <c r="AB18" i="48"/>
  <c r="AB19" i="48"/>
  <c r="AB20" i="48"/>
  <c r="AB21" i="48"/>
  <c r="AB22" i="48"/>
  <c r="AB23" i="48"/>
  <c r="AB24" i="48"/>
  <c r="AB25" i="48"/>
  <c r="AB26" i="48"/>
  <c r="AB27" i="48"/>
  <c r="AB28" i="48"/>
  <c r="AB29" i="48"/>
  <c r="AB30" i="48"/>
  <c r="AB31" i="48"/>
  <c r="AB32" i="48"/>
  <c r="AB33" i="48"/>
  <c r="AB34" i="48"/>
  <c r="AB35" i="48"/>
  <c r="AB36" i="48"/>
  <c r="AB37" i="48"/>
  <c r="AB38" i="48"/>
  <c r="AB39" i="48"/>
  <c r="AB40" i="48"/>
  <c r="AB41" i="48"/>
  <c r="AB42" i="48"/>
  <c r="AB43" i="48"/>
  <c r="AB45" i="48"/>
  <c r="AB46" i="48"/>
  <c r="AC49" i="48"/>
  <c r="AA11" i="48"/>
  <c r="AA12" i="48"/>
  <c r="AA13" i="48"/>
  <c r="AA14" i="48"/>
  <c r="AA15" i="48"/>
  <c r="AA16" i="48"/>
  <c r="AA17" i="48"/>
  <c r="AA18" i="48"/>
  <c r="AA19" i="48"/>
  <c r="AA20" i="48"/>
  <c r="AA21" i="48"/>
  <c r="AA22" i="48"/>
  <c r="AA23" i="48"/>
  <c r="AA24" i="48"/>
  <c r="AA25" i="48"/>
  <c r="AA26" i="48"/>
  <c r="AA27" i="48"/>
  <c r="AA28" i="48"/>
  <c r="AA29" i="48"/>
  <c r="AA30" i="48"/>
  <c r="AA31" i="48"/>
  <c r="AA32" i="48"/>
  <c r="AA33" i="48"/>
  <c r="AA34" i="48"/>
  <c r="AA35" i="48"/>
  <c r="AA36" i="48"/>
  <c r="AA37" i="48"/>
  <c r="AA38" i="48"/>
  <c r="AA39" i="48"/>
  <c r="AA40" i="48"/>
  <c r="AA41" i="48"/>
  <c r="AA42" i="48"/>
  <c r="AA43" i="48"/>
  <c r="AA45" i="48"/>
  <c r="AA46" i="48"/>
  <c r="AB49" i="48"/>
  <c r="Z11" i="48"/>
  <c r="Z12" i="48"/>
  <c r="Z13" i="48"/>
  <c r="Z14" i="48"/>
  <c r="Z15" i="48"/>
  <c r="Z16" i="48"/>
  <c r="Z17" i="48"/>
  <c r="Z18" i="48"/>
  <c r="Z19" i="48"/>
  <c r="Z20" i="48"/>
  <c r="Z21" i="48"/>
  <c r="Z22" i="48"/>
  <c r="Z23" i="48"/>
  <c r="Z24" i="48"/>
  <c r="Z25" i="48"/>
  <c r="Z26" i="48"/>
  <c r="Z27" i="48"/>
  <c r="Z28" i="48"/>
  <c r="Z29" i="48"/>
  <c r="Z30" i="48"/>
  <c r="Z31" i="48"/>
  <c r="Z32" i="48"/>
  <c r="Z33" i="48"/>
  <c r="Z34" i="48"/>
  <c r="Z35" i="48"/>
  <c r="Z36" i="48"/>
  <c r="Z37" i="48"/>
  <c r="Z38" i="48"/>
  <c r="Z39" i="48"/>
  <c r="Z40" i="48"/>
  <c r="Z41" i="48"/>
  <c r="Z42" i="48"/>
  <c r="Z43" i="48"/>
  <c r="Z45" i="48"/>
  <c r="Z46" i="48"/>
  <c r="AA49" i="48"/>
  <c r="Y11" i="48"/>
  <c r="Y12" i="48"/>
  <c r="Y13" i="48"/>
  <c r="Y14" i="48"/>
  <c r="Y15" i="48"/>
  <c r="Y16" i="48"/>
  <c r="Y17" i="48"/>
  <c r="Y18" i="48"/>
  <c r="Y19" i="48"/>
  <c r="Y20" i="48"/>
  <c r="Y21" i="48"/>
  <c r="Y22" i="48"/>
  <c r="Y23" i="48"/>
  <c r="Y24" i="48"/>
  <c r="Y25" i="48"/>
  <c r="Y26" i="48"/>
  <c r="Y27" i="48"/>
  <c r="Y28" i="48"/>
  <c r="Y29" i="48"/>
  <c r="Y30" i="48"/>
  <c r="Y31" i="48"/>
  <c r="Y32" i="48"/>
  <c r="Y33" i="48"/>
  <c r="Y34" i="48"/>
  <c r="Y35" i="48"/>
  <c r="Y36" i="48"/>
  <c r="Y37" i="48"/>
  <c r="Y38" i="48"/>
  <c r="Y39" i="48"/>
  <c r="Y40" i="48"/>
  <c r="Y41" i="48"/>
  <c r="Y42" i="48"/>
  <c r="Y43" i="48"/>
  <c r="Y45" i="48"/>
  <c r="Y46" i="48"/>
  <c r="Z49" i="48"/>
  <c r="X11" i="48"/>
  <c r="X12" i="48"/>
  <c r="X13" i="48"/>
  <c r="X14" i="48"/>
  <c r="X15" i="48"/>
  <c r="X16" i="48"/>
  <c r="X17" i="48"/>
  <c r="X18" i="48"/>
  <c r="X19" i="48"/>
  <c r="X20" i="48"/>
  <c r="X21" i="48"/>
  <c r="X22" i="48"/>
  <c r="X23" i="48"/>
  <c r="X24" i="48"/>
  <c r="X25" i="48"/>
  <c r="X26" i="48"/>
  <c r="X27" i="48"/>
  <c r="X28" i="48"/>
  <c r="X29" i="48"/>
  <c r="X30" i="48"/>
  <c r="X31" i="48"/>
  <c r="X32" i="48"/>
  <c r="X33" i="48"/>
  <c r="X34" i="48"/>
  <c r="X35" i="48"/>
  <c r="X36" i="48"/>
  <c r="X37" i="48"/>
  <c r="X38" i="48"/>
  <c r="X39" i="48"/>
  <c r="X40" i="48"/>
  <c r="X41" i="48"/>
  <c r="X42" i="48"/>
  <c r="X43" i="48"/>
  <c r="X45" i="48"/>
  <c r="X46" i="48"/>
  <c r="Y49" i="48"/>
  <c r="W11" i="48"/>
  <c r="W12" i="48"/>
  <c r="W13" i="48"/>
  <c r="W14" i="48"/>
  <c r="W15" i="48"/>
  <c r="W16" i="48"/>
  <c r="W17" i="48"/>
  <c r="W18" i="48"/>
  <c r="W19" i="48"/>
  <c r="W20" i="48"/>
  <c r="W21" i="48"/>
  <c r="W22" i="48"/>
  <c r="W23" i="48"/>
  <c r="W24" i="48"/>
  <c r="W25" i="48"/>
  <c r="W26" i="48"/>
  <c r="W27" i="48"/>
  <c r="W28" i="48"/>
  <c r="W29" i="48"/>
  <c r="W30" i="48"/>
  <c r="W31" i="48"/>
  <c r="W32" i="48"/>
  <c r="W33" i="48"/>
  <c r="W34" i="48"/>
  <c r="W35" i="48"/>
  <c r="W36" i="48"/>
  <c r="W37" i="48"/>
  <c r="W38" i="48"/>
  <c r="W39" i="48"/>
  <c r="W40" i="48"/>
  <c r="W41" i="48"/>
  <c r="W42" i="48"/>
  <c r="W43" i="48"/>
  <c r="W45" i="48"/>
  <c r="W46" i="48"/>
  <c r="X49" i="48"/>
  <c r="V11" i="48"/>
  <c r="V12" i="48"/>
  <c r="V13" i="48"/>
  <c r="V14" i="48"/>
  <c r="V15" i="48"/>
  <c r="V16" i="48"/>
  <c r="V17" i="48"/>
  <c r="V18" i="48"/>
  <c r="V19" i="48"/>
  <c r="V20" i="48"/>
  <c r="V21" i="48"/>
  <c r="V22" i="48"/>
  <c r="V23" i="48"/>
  <c r="V24" i="48"/>
  <c r="V25" i="48"/>
  <c r="V26" i="48"/>
  <c r="V27" i="48"/>
  <c r="V28" i="48"/>
  <c r="V29" i="48"/>
  <c r="V30" i="48"/>
  <c r="V31" i="48"/>
  <c r="V32" i="48"/>
  <c r="V33" i="48"/>
  <c r="V34" i="48"/>
  <c r="V35" i="48"/>
  <c r="V36" i="48"/>
  <c r="V37" i="48"/>
  <c r="V38" i="48"/>
  <c r="V39" i="48"/>
  <c r="V40" i="48"/>
  <c r="V41" i="48"/>
  <c r="V42" i="48"/>
  <c r="V43" i="48"/>
  <c r="V45" i="48"/>
  <c r="V46" i="48"/>
  <c r="W49" i="48"/>
  <c r="U11" i="48"/>
  <c r="U12" i="48"/>
  <c r="U13" i="48"/>
  <c r="U14" i="48"/>
  <c r="U15" i="48"/>
  <c r="U16" i="48"/>
  <c r="U17" i="48"/>
  <c r="U18" i="48"/>
  <c r="U19" i="48"/>
  <c r="U20" i="48"/>
  <c r="U21" i="48"/>
  <c r="U22" i="48"/>
  <c r="U23" i="48"/>
  <c r="U24" i="48"/>
  <c r="U25" i="48"/>
  <c r="U26" i="48"/>
  <c r="U27" i="48"/>
  <c r="U28" i="48"/>
  <c r="U29" i="48"/>
  <c r="U30" i="48"/>
  <c r="U31" i="48"/>
  <c r="U32" i="48"/>
  <c r="U33" i="48"/>
  <c r="U34" i="48"/>
  <c r="U35" i="48"/>
  <c r="U36" i="48"/>
  <c r="U37" i="48"/>
  <c r="U38" i="48"/>
  <c r="U39" i="48"/>
  <c r="U40" i="48"/>
  <c r="U41" i="48"/>
  <c r="U42" i="48"/>
  <c r="U43" i="48"/>
  <c r="U45" i="48"/>
  <c r="U46" i="48"/>
  <c r="V49" i="48"/>
  <c r="T11" i="48"/>
  <c r="T12" i="48"/>
  <c r="T13" i="48"/>
  <c r="T14" i="48"/>
  <c r="T15" i="48"/>
  <c r="T16" i="48"/>
  <c r="T17" i="48"/>
  <c r="T18" i="48"/>
  <c r="T19" i="48"/>
  <c r="T20" i="48"/>
  <c r="T21" i="48"/>
  <c r="T22" i="48"/>
  <c r="T23" i="48"/>
  <c r="T24" i="48"/>
  <c r="T25" i="48"/>
  <c r="T26" i="48"/>
  <c r="T27" i="48"/>
  <c r="T28" i="48"/>
  <c r="T29" i="48"/>
  <c r="T30" i="48"/>
  <c r="T31" i="48"/>
  <c r="T32" i="48"/>
  <c r="T33" i="48"/>
  <c r="T34" i="48"/>
  <c r="T35" i="48"/>
  <c r="T36" i="48"/>
  <c r="T37" i="48"/>
  <c r="T38" i="48"/>
  <c r="T39" i="48"/>
  <c r="T40" i="48"/>
  <c r="T41" i="48"/>
  <c r="T42" i="48"/>
  <c r="T43" i="48"/>
  <c r="T45" i="48"/>
  <c r="T46" i="48"/>
  <c r="U49" i="48"/>
  <c r="S11" i="48"/>
  <c r="S12" i="48"/>
  <c r="S13" i="48"/>
  <c r="S14" i="48"/>
  <c r="S15" i="48"/>
  <c r="S16" i="48"/>
  <c r="S17" i="48"/>
  <c r="S18" i="48"/>
  <c r="S19" i="48"/>
  <c r="S20" i="48"/>
  <c r="S21" i="48"/>
  <c r="S22" i="48"/>
  <c r="S23" i="48"/>
  <c r="S24" i="48"/>
  <c r="S25" i="48"/>
  <c r="S26" i="48"/>
  <c r="S27" i="48"/>
  <c r="S28" i="48"/>
  <c r="S29" i="48"/>
  <c r="S30" i="48"/>
  <c r="S31" i="48"/>
  <c r="S32" i="48"/>
  <c r="S33" i="48"/>
  <c r="S34" i="48"/>
  <c r="S35" i="48"/>
  <c r="S36" i="48"/>
  <c r="S37" i="48"/>
  <c r="S38" i="48"/>
  <c r="S39" i="48"/>
  <c r="S40" i="48"/>
  <c r="S41" i="48"/>
  <c r="S42" i="48"/>
  <c r="S43" i="48"/>
  <c r="S45" i="48"/>
  <c r="S46" i="48"/>
  <c r="T49" i="48"/>
  <c r="R11" i="48"/>
  <c r="R12" i="48"/>
  <c r="R13" i="48"/>
  <c r="R14" i="48"/>
  <c r="R15" i="48"/>
  <c r="R16" i="48"/>
  <c r="R17" i="48"/>
  <c r="R18" i="48"/>
  <c r="R19" i="48"/>
  <c r="R20" i="48"/>
  <c r="R21" i="48"/>
  <c r="R22" i="48"/>
  <c r="R23" i="48"/>
  <c r="R24" i="48"/>
  <c r="R25" i="48"/>
  <c r="R26" i="48"/>
  <c r="R27" i="48"/>
  <c r="R28" i="48"/>
  <c r="R29" i="48"/>
  <c r="R30" i="48"/>
  <c r="R31" i="48"/>
  <c r="R32" i="48"/>
  <c r="R33" i="48"/>
  <c r="R34" i="48"/>
  <c r="R35" i="48"/>
  <c r="R36" i="48"/>
  <c r="R37" i="48"/>
  <c r="R38" i="48"/>
  <c r="R39" i="48"/>
  <c r="R40" i="48"/>
  <c r="R41" i="48"/>
  <c r="R42" i="48"/>
  <c r="R43" i="48"/>
  <c r="R45" i="48"/>
  <c r="R46" i="48"/>
  <c r="S49" i="48"/>
  <c r="Q11" i="48"/>
  <c r="Q12" i="48"/>
  <c r="Q13" i="48"/>
  <c r="Q14" i="48"/>
  <c r="Q15" i="48"/>
  <c r="Q16" i="48"/>
  <c r="Q17" i="48"/>
  <c r="Q18" i="48"/>
  <c r="Q19" i="48"/>
  <c r="Q20" i="48"/>
  <c r="Q21" i="48"/>
  <c r="Q22" i="48"/>
  <c r="Q23" i="48"/>
  <c r="Q24" i="48"/>
  <c r="Q25" i="48"/>
  <c r="Q26" i="48"/>
  <c r="Q27" i="48"/>
  <c r="Q28" i="48"/>
  <c r="Q29" i="48"/>
  <c r="Q30" i="48"/>
  <c r="Q31" i="48"/>
  <c r="Q32" i="48"/>
  <c r="Q33" i="48"/>
  <c r="Q34" i="48"/>
  <c r="Q35" i="48"/>
  <c r="Q36" i="48"/>
  <c r="Q37" i="48"/>
  <c r="Q38" i="48"/>
  <c r="Q39" i="48"/>
  <c r="Q40" i="48"/>
  <c r="Q41" i="48"/>
  <c r="Q42" i="48"/>
  <c r="Q43" i="48"/>
  <c r="Q45" i="48"/>
  <c r="Q46" i="48"/>
  <c r="R49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34" i="48"/>
  <c r="P35" i="48"/>
  <c r="P36" i="48"/>
  <c r="P37" i="48"/>
  <c r="P38" i="48"/>
  <c r="P39" i="48"/>
  <c r="P40" i="48"/>
  <c r="P41" i="48"/>
  <c r="P42" i="48"/>
  <c r="P43" i="48"/>
  <c r="P45" i="48"/>
  <c r="P46" i="48"/>
  <c r="Q49" i="48"/>
  <c r="O11" i="48"/>
  <c r="O12" i="48"/>
  <c r="O13" i="48"/>
  <c r="O14" i="48"/>
  <c r="O15" i="48"/>
  <c r="O16" i="48"/>
  <c r="O17" i="48"/>
  <c r="O18" i="48"/>
  <c r="O19" i="48"/>
  <c r="O20" i="48"/>
  <c r="O21" i="48"/>
  <c r="O22" i="48"/>
  <c r="O23" i="48"/>
  <c r="O24" i="48"/>
  <c r="O25" i="48"/>
  <c r="O26" i="48"/>
  <c r="O27" i="48"/>
  <c r="O28" i="48"/>
  <c r="O29" i="48"/>
  <c r="O30" i="48"/>
  <c r="O31" i="48"/>
  <c r="O32" i="48"/>
  <c r="O33" i="48"/>
  <c r="O34" i="48"/>
  <c r="O35" i="48"/>
  <c r="O36" i="48"/>
  <c r="O37" i="48"/>
  <c r="O38" i="48"/>
  <c r="O39" i="48"/>
  <c r="O40" i="48"/>
  <c r="O41" i="48"/>
  <c r="O42" i="48"/>
  <c r="O43" i="48"/>
  <c r="O45" i="48"/>
  <c r="O46" i="48"/>
  <c r="P49" i="48"/>
  <c r="N11" i="48"/>
  <c r="N12" i="48"/>
  <c r="N13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27" i="48"/>
  <c r="N28" i="48"/>
  <c r="N29" i="48"/>
  <c r="N30" i="48"/>
  <c r="N31" i="48"/>
  <c r="N32" i="48"/>
  <c r="N33" i="48"/>
  <c r="N34" i="48"/>
  <c r="N35" i="48"/>
  <c r="N36" i="48"/>
  <c r="N37" i="48"/>
  <c r="N38" i="48"/>
  <c r="N39" i="48"/>
  <c r="N40" i="48"/>
  <c r="N41" i="48"/>
  <c r="N42" i="48"/>
  <c r="N43" i="48"/>
  <c r="N45" i="48"/>
  <c r="N46" i="48"/>
  <c r="O49" i="48"/>
  <c r="M11" i="48"/>
  <c r="M12" i="48"/>
  <c r="M13" i="48"/>
  <c r="M14" i="48"/>
  <c r="M15" i="48"/>
  <c r="M16" i="48"/>
  <c r="M17" i="48"/>
  <c r="M18" i="48"/>
  <c r="M19" i="48"/>
  <c r="M20" i="48"/>
  <c r="M21" i="48"/>
  <c r="M22" i="48"/>
  <c r="M23" i="48"/>
  <c r="M24" i="48"/>
  <c r="M25" i="48"/>
  <c r="M26" i="48"/>
  <c r="M27" i="48"/>
  <c r="M28" i="48"/>
  <c r="M29" i="48"/>
  <c r="M30" i="48"/>
  <c r="M31" i="48"/>
  <c r="M32" i="48"/>
  <c r="M33" i="48"/>
  <c r="M34" i="48"/>
  <c r="M35" i="48"/>
  <c r="M36" i="48"/>
  <c r="M37" i="48"/>
  <c r="M38" i="48"/>
  <c r="M39" i="48"/>
  <c r="M40" i="48"/>
  <c r="M41" i="48"/>
  <c r="M42" i="48"/>
  <c r="M43" i="48"/>
  <c r="M45" i="48"/>
  <c r="M46" i="48"/>
  <c r="N49" i="48"/>
  <c r="L11" i="48"/>
  <c r="L12" i="48"/>
  <c r="L13" i="48"/>
  <c r="L14" i="48"/>
  <c r="L15" i="48"/>
  <c r="L16" i="48"/>
  <c r="L17" i="48"/>
  <c r="L18" i="48"/>
  <c r="L19" i="48"/>
  <c r="L20" i="48"/>
  <c r="L21" i="48"/>
  <c r="L22" i="48"/>
  <c r="L23" i="48"/>
  <c r="L24" i="48"/>
  <c r="L25" i="48"/>
  <c r="L26" i="48"/>
  <c r="L27" i="48"/>
  <c r="L28" i="48"/>
  <c r="L29" i="48"/>
  <c r="L30" i="48"/>
  <c r="L31" i="48"/>
  <c r="L32" i="48"/>
  <c r="L33" i="48"/>
  <c r="L34" i="48"/>
  <c r="L35" i="48"/>
  <c r="L36" i="48"/>
  <c r="L37" i="48"/>
  <c r="L38" i="48"/>
  <c r="L39" i="48"/>
  <c r="L40" i="48"/>
  <c r="L41" i="48"/>
  <c r="L42" i="48"/>
  <c r="L43" i="48"/>
  <c r="L45" i="48"/>
  <c r="L46" i="48"/>
  <c r="M49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5" i="48"/>
  <c r="K46" i="48"/>
  <c r="L49" i="48"/>
  <c r="J11" i="48"/>
  <c r="J12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34" i="48"/>
  <c r="J35" i="48"/>
  <c r="J36" i="48"/>
  <c r="J37" i="48"/>
  <c r="J38" i="48"/>
  <c r="J39" i="48"/>
  <c r="J40" i="48"/>
  <c r="J41" i="48"/>
  <c r="J42" i="48"/>
  <c r="J43" i="48"/>
  <c r="J45" i="48"/>
  <c r="J46" i="48"/>
  <c r="K49" i="48"/>
  <c r="I11" i="48"/>
  <c r="I12" i="48"/>
  <c r="I13" i="48"/>
  <c r="I14" i="48"/>
  <c r="I15" i="48"/>
  <c r="I16" i="48"/>
  <c r="I17" i="48"/>
  <c r="I18" i="48"/>
  <c r="I19" i="48"/>
  <c r="I20" i="48"/>
  <c r="I21" i="48"/>
  <c r="I22" i="48"/>
  <c r="I23" i="48"/>
  <c r="I24" i="48"/>
  <c r="I25" i="48"/>
  <c r="I26" i="48"/>
  <c r="I27" i="48"/>
  <c r="I28" i="48"/>
  <c r="I29" i="48"/>
  <c r="I30" i="48"/>
  <c r="I31" i="48"/>
  <c r="I32" i="48"/>
  <c r="I33" i="48"/>
  <c r="I34" i="48"/>
  <c r="I35" i="48"/>
  <c r="I36" i="48"/>
  <c r="I37" i="48"/>
  <c r="I38" i="48"/>
  <c r="I39" i="48"/>
  <c r="I40" i="48"/>
  <c r="I41" i="48"/>
  <c r="I42" i="48"/>
  <c r="I43" i="48"/>
  <c r="I45" i="48"/>
  <c r="I46" i="48"/>
  <c r="J49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34" i="48"/>
  <c r="H35" i="48"/>
  <c r="H36" i="48"/>
  <c r="H37" i="48"/>
  <c r="H38" i="48"/>
  <c r="H39" i="48"/>
  <c r="H40" i="48"/>
  <c r="H41" i="48"/>
  <c r="H42" i="48"/>
  <c r="H43" i="48"/>
  <c r="H45" i="48"/>
  <c r="H46" i="48"/>
  <c r="I49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F261" i="28"/>
  <c r="F265" i="28"/>
  <c r="IP22" i="26"/>
  <c r="IP26" i="26"/>
  <c r="IP28" i="26"/>
  <c r="IP37" i="26"/>
  <c r="FY191" i="58"/>
  <c r="E597" i="25"/>
  <c r="F638" i="25"/>
  <c r="E495" i="25"/>
  <c r="E166" i="25"/>
  <c r="E167" i="25"/>
  <c r="E169" i="25"/>
  <c r="E347" i="25"/>
  <c r="D292" i="25"/>
  <c r="D41" i="57"/>
  <c r="IQ64" i="27"/>
  <c r="IQ42" i="27"/>
  <c r="IQ21" i="27"/>
  <c r="IQ46" i="27"/>
  <c r="IQ66" i="27"/>
  <c r="IQ71" i="27"/>
  <c r="FI21" i="26"/>
  <c r="FJ22" i="27"/>
  <c r="FJ47" i="27"/>
  <c r="FJ67" i="27"/>
  <c r="IQ23" i="27"/>
  <c r="IQ48" i="27"/>
  <c r="IQ73" i="27"/>
  <c r="IQ51" i="27"/>
  <c r="IQ53" i="27"/>
  <c r="IQ26" i="27"/>
  <c r="IQ28" i="27"/>
  <c r="D33" i="56"/>
  <c r="D35" i="56"/>
  <c r="D40" i="55"/>
  <c r="D41" i="55"/>
  <c r="CN8" i="43"/>
  <c r="CN42" i="43"/>
  <c r="CN32" i="43"/>
  <c r="CN41" i="43"/>
  <c r="CN31" i="43"/>
  <c r="CN40" i="43"/>
  <c r="CN19" i="43"/>
  <c r="CN30" i="43"/>
  <c r="CN39" i="43"/>
  <c r="CN13" i="43"/>
  <c r="CN25" i="43"/>
  <c r="CN12" i="43"/>
  <c r="CN24" i="43"/>
  <c r="CN11" i="43"/>
  <c r="CN23" i="43"/>
  <c r="CN10" i="43"/>
  <c r="CN22" i="43"/>
  <c r="CN9" i="43"/>
  <c r="CN21" i="43"/>
  <c r="CN20" i="43"/>
  <c r="D316" i="46"/>
  <c r="D274" i="46"/>
  <c r="D210" i="46"/>
  <c r="D211" i="46"/>
  <c r="D130" i="46"/>
  <c r="D33" i="52"/>
  <c r="D35" i="51"/>
  <c r="D33" i="51"/>
  <c r="D33" i="53"/>
  <c r="D35" i="50"/>
  <c r="D33" i="50"/>
  <c r="D83" i="47"/>
  <c r="JG6" i="58"/>
  <c r="JG7" i="58"/>
  <c r="JG8" i="58"/>
  <c r="JG10" i="58"/>
  <c r="JG11" i="58"/>
  <c r="JG12" i="58"/>
  <c r="JG13" i="58"/>
  <c r="JG14" i="58"/>
  <c r="JG15" i="58"/>
  <c r="JG16" i="58"/>
  <c r="JG17" i="58"/>
  <c r="JG18" i="58"/>
  <c r="JG19" i="58"/>
  <c r="JG20" i="58"/>
  <c r="JG21" i="58"/>
  <c r="JG22" i="58"/>
  <c r="JG23" i="58"/>
  <c r="JG24" i="58"/>
  <c r="JG25" i="58"/>
  <c r="JG26" i="58"/>
  <c r="JG27" i="58"/>
  <c r="JG28" i="58"/>
  <c r="JG29" i="58"/>
  <c r="JG30" i="58"/>
  <c r="JG31" i="58"/>
  <c r="JG32" i="58"/>
  <c r="JG33" i="58"/>
  <c r="JG34" i="58"/>
  <c r="JG35" i="58"/>
  <c r="JG36" i="58"/>
  <c r="JG37" i="58"/>
  <c r="JG38" i="58"/>
  <c r="JG39" i="58"/>
  <c r="JG40" i="58"/>
  <c r="JG41" i="58"/>
  <c r="JG42" i="58"/>
  <c r="JG43" i="58"/>
  <c r="JG44" i="58"/>
  <c r="JG45" i="58"/>
  <c r="JG46" i="58"/>
  <c r="JG47" i="58"/>
  <c r="JG48" i="58"/>
  <c r="JG49" i="58"/>
  <c r="JG50" i="58"/>
  <c r="JG51" i="58"/>
  <c r="JG52" i="58"/>
  <c r="JG53" i="58"/>
  <c r="JG54" i="58"/>
  <c r="JG55" i="58"/>
  <c r="JG56" i="58"/>
  <c r="JG57" i="58"/>
  <c r="JG58" i="58"/>
  <c r="JG59" i="58"/>
  <c r="JG60" i="58"/>
  <c r="JG61" i="58"/>
  <c r="JG62" i="58"/>
  <c r="JG63" i="58"/>
  <c r="JG64" i="58"/>
  <c r="JG65" i="58"/>
  <c r="JG66" i="58"/>
  <c r="JG67" i="58"/>
  <c r="JG68" i="58"/>
  <c r="JG69" i="58"/>
  <c r="JG70" i="58"/>
  <c r="JG71" i="58"/>
  <c r="JG72" i="58"/>
  <c r="JG73" i="58"/>
  <c r="JG74" i="58"/>
  <c r="JG75" i="58"/>
  <c r="JG76" i="58"/>
  <c r="JG77" i="58"/>
  <c r="JG78" i="58"/>
  <c r="JG79" i="58"/>
  <c r="JG80" i="58"/>
  <c r="JG81" i="58"/>
  <c r="JG82" i="58"/>
  <c r="JG83" i="58"/>
  <c r="JG84" i="58"/>
  <c r="JG85" i="58"/>
  <c r="JG86" i="58"/>
  <c r="JG87" i="58"/>
  <c r="JG88" i="58"/>
  <c r="JG89" i="58"/>
  <c r="JG90" i="58"/>
  <c r="JG91" i="58"/>
  <c r="JG92" i="58"/>
  <c r="JG93" i="58"/>
  <c r="JG94" i="58"/>
  <c r="JG95" i="58"/>
  <c r="JG96" i="58"/>
  <c r="JG97" i="58"/>
  <c r="JG98" i="58"/>
  <c r="JG99" i="58"/>
  <c r="JG100" i="58"/>
  <c r="JG101" i="58"/>
  <c r="JG102" i="58"/>
  <c r="JG103" i="58"/>
  <c r="JG104" i="58"/>
  <c r="JG105" i="58"/>
  <c r="JG106" i="58"/>
  <c r="JG107" i="58"/>
  <c r="BE31" i="43"/>
  <c r="BF31" i="43"/>
  <c r="BG31" i="43"/>
  <c r="BH31" i="43"/>
  <c r="BI31" i="43"/>
  <c r="BJ31" i="43"/>
  <c r="BK31" i="43"/>
  <c r="BL31" i="43"/>
  <c r="BM31" i="43"/>
  <c r="BN31" i="43"/>
  <c r="BO31" i="43"/>
  <c r="BP31" i="43"/>
  <c r="BQ31" i="43"/>
  <c r="BR31" i="43"/>
  <c r="BS31" i="43"/>
  <c r="BT31" i="43"/>
  <c r="BU31" i="43"/>
  <c r="BV31" i="43"/>
  <c r="BW31" i="43"/>
  <c r="BX31" i="43"/>
  <c r="BY31" i="43"/>
  <c r="BZ31" i="43"/>
  <c r="CA31" i="43"/>
  <c r="CB31" i="43"/>
  <c r="CC31" i="43"/>
  <c r="CD31" i="43"/>
  <c r="CE31" i="43"/>
  <c r="CF31" i="43"/>
  <c r="CG31" i="43"/>
  <c r="CH31" i="43"/>
  <c r="CI31" i="43"/>
  <c r="CJ31" i="43"/>
  <c r="CK31" i="43"/>
  <c r="CL31" i="43"/>
  <c r="CM31" i="43"/>
  <c r="CM40" i="43"/>
  <c r="BE32" i="43"/>
  <c r="BF32" i="43"/>
  <c r="BG32" i="43"/>
  <c r="BH32" i="43"/>
  <c r="BI32" i="43"/>
  <c r="BJ32" i="43"/>
  <c r="BK32" i="43"/>
  <c r="BL32" i="43"/>
  <c r="BM32" i="43"/>
  <c r="BN32" i="43"/>
  <c r="BO32" i="43"/>
  <c r="BP32" i="43"/>
  <c r="BQ32" i="43"/>
  <c r="BR32" i="43"/>
  <c r="BS32" i="43"/>
  <c r="BT32" i="43"/>
  <c r="BU32" i="43"/>
  <c r="BV32" i="43"/>
  <c r="BW32" i="43"/>
  <c r="BX32" i="43"/>
  <c r="BY32" i="43"/>
  <c r="BZ32" i="43"/>
  <c r="CA32" i="43"/>
  <c r="CB32" i="43"/>
  <c r="CC32" i="43"/>
  <c r="CD32" i="43"/>
  <c r="CE32" i="43"/>
  <c r="CF32" i="43"/>
  <c r="CG32" i="43"/>
  <c r="CH32" i="43"/>
  <c r="CI32" i="43"/>
  <c r="CJ32" i="43"/>
  <c r="CK32" i="43"/>
  <c r="CL32" i="43"/>
  <c r="CM32" i="43"/>
  <c r="CM41" i="43"/>
  <c r="CL40" i="43"/>
  <c r="CL41" i="43"/>
  <c r="CK40" i="43"/>
  <c r="CK41" i="43"/>
  <c r="CJ40" i="43"/>
  <c r="CJ41" i="43"/>
  <c r="CI40" i="43"/>
  <c r="CI41" i="43"/>
  <c r="CH40" i="43"/>
  <c r="CH41" i="43"/>
  <c r="CG40" i="43"/>
  <c r="CG41" i="43"/>
  <c r="CF40" i="43"/>
  <c r="CF41" i="43"/>
  <c r="CE40" i="43"/>
  <c r="CE41" i="43"/>
  <c r="CD40" i="43"/>
  <c r="CD41" i="43"/>
  <c r="CC40" i="43"/>
  <c r="CC41" i="43"/>
  <c r="CB40" i="43"/>
  <c r="CB41" i="43"/>
  <c r="CA40" i="43"/>
  <c r="CA41" i="43"/>
  <c r="BZ40" i="43"/>
  <c r="BZ41" i="43"/>
  <c r="BY40" i="43"/>
  <c r="BY41" i="43"/>
  <c r="BX40" i="43"/>
  <c r="BX41" i="43"/>
  <c r="BW40" i="43"/>
  <c r="BW41" i="43"/>
  <c r="BV40" i="43"/>
  <c r="BV41" i="43"/>
  <c r="BU40" i="43"/>
  <c r="BU41" i="43"/>
  <c r="BT40" i="43"/>
  <c r="BT41" i="43"/>
  <c r="BS40" i="43"/>
  <c r="BS41" i="43"/>
  <c r="BR40" i="43"/>
  <c r="BR41" i="43"/>
  <c r="BQ40" i="43"/>
  <c r="BQ41" i="43"/>
  <c r="BP40" i="43"/>
  <c r="BP41" i="43"/>
  <c r="BO40" i="43"/>
  <c r="BO41" i="43"/>
  <c r="BN40" i="43"/>
  <c r="BN41" i="43"/>
  <c r="BM40" i="43"/>
  <c r="BM41" i="43"/>
  <c r="BL40" i="43"/>
  <c r="BL41" i="43"/>
  <c r="BK40" i="43"/>
  <c r="BK41" i="43"/>
  <c r="BJ40" i="43"/>
  <c r="BJ41" i="43"/>
  <c r="BI40" i="43"/>
  <c r="BI41" i="43"/>
  <c r="BH40" i="43"/>
  <c r="BH41" i="43"/>
  <c r="BG40" i="43"/>
  <c r="BG41" i="43"/>
  <c r="BF40" i="43"/>
  <c r="BF41" i="43"/>
  <c r="BE40" i="43"/>
  <c r="BE41" i="43"/>
  <c r="BE44" i="43"/>
  <c r="BF44" i="43"/>
  <c r="BG44" i="43"/>
  <c r="BH44" i="43"/>
  <c r="BI44" i="43"/>
  <c r="BJ44" i="43"/>
  <c r="BK44" i="43"/>
  <c r="BL44" i="43"/>
  <c r="BM44" i="43"/>
  <c r="BN44" i="43"/>
  <c r="BO44" i="43"/>
  <c r="BP44" i="43"/>
  <c r="BQ44" i="43"/>
  <c r="BR44" i="43"/>
  <c r="BS44" i="43"/>
  <c r="BT44" i="43"/>
  <c r="BU44" i="43"/>
  <c r="BV44" i="43"/>
  <c r="BW44" i="43"/>
  <c r="BX44" i="43"/>
  <c r="BY44" i="43"/>
  <c r="BZ44" i="43"/>
  <c r="CA44" i="43"/>
  <c r="CB44" i="43"/>
  <c r="CC44" i="43"/>
  <c r="CD44" i="43"/>
  <c r="CE44" i="43"/>
  <c r="CF44" i="43"/>
  <c r="CG44" i="43"/>
  <c r="CH44" i="43"/>
  <c r="CI44" i="43"/>
  <c r="CJ44" i="43"/>
  <c r="CK44" i="43"/>
  <c r="CL44" i="43"/>
  <c r="CM44" i="43"/>
  <c r="JE108" i="58"/>
  <c r="JG108" i="58"/>
  <c r="JG110" i="58"/>
  <c r="JG111" i="58"/>
  <c r="JG112" i="58"/>
  <c r="JG113" i="58"/>
  <c r="JG114" i="58"/>
  <c r="JG115" i="58"/>
  <c r="JG116" i="58"/>
  <c r="JG117" i="58"/>
  <c r="JG118" i="58"/>
  <c r="JG119" i="58"/>
  <c r="JG120" i="58"/>
  <c r="JG121" i="58"/>
  <c r="JG122" i="58"/>
  <c r="JG123" i="58"/>
  <c r="JG124" i="58"/>
  <c r="JG125" i="58"/>
  <c r="JG126" i="58"/>
  <c r="JG127" i="58"/>
  <c r="JG128" i="58"/>
  <c r="JG129" i="58"/>
  <c r="JG130" i="58"/>
  <c r="JG131" i="58"/>
  <c r="JG132" i="58"/>
  <c r="JG133" i="58"/>
  <c r="JG134" i="58"/>
  <c r="JG135" i="58"/>
  <c r="JG136" i="58"/>
  <c r="JG137" i="58"/>
  <c r="JG138" i="58"/>
  <c r="JG139" i="58"/>
  <c r="JG140" i="58"/>
  <c r="JG141" i="58"/>
  <c r="JG142" i="58"/>
  <c r="JG143" i="58"/>
  <c r="JG144" i="58"/>
  <c r="JG145" i="58"/>
  <c r="JG146" i="58"/>
  <c r="JG147" i="58"/>
  <c r="IP20" i="27"/>
  <c r="FJ20" i="27"/>
  <c r="IP25" i="27"/>
  <c r="IP21" i="27"/>
  <c r="FJ21" i="27"/>
  <c r="IP26" i="27"/>
  <c r="IO21" i="26"/>
  <c r="IP22" i="27"/>
  <c r="IP27" i="27"/>
  <c r="IP23" i="27"/>
  <c r="FJ23" i="27"/>
  <c r="IP28" i="27"/>
  <c r="IP30" i="27"/>
  <c r="JE148" i="58"/>
  <c r="JG148" i="58"/>
  <c r="IP45" i="27"/>
  <c r="FJ45" i="27"/>
  <c r="IP50" i="27"/>
  <c r="IP46" i="27"/>
  <c r="FJ46" i="27"/>
  <c r="IP51" i="27"/>
  <c r="IP47" i="27"/>
  <c r="IP52" i="27"/>
  <c r="IP48" i="27"/>
  <c r="FJ48" i="27"/>
  <c r="IP53" i="27"/>
  <c r="IP55" i="27"/>
  <c r="JE149" i="58"/>
  <c r="JG149" i="58"/>
  <c r="JG151" i="58"/>
  <c r="JG152" i="58"/>
  <c r="JG153" i="58"/>
  <c r="JG154" i="58"/>
  <c r="JG155" i="58"/>
  <c r="JG156" i="58"/>
  <c r="JG157" i="58"/>
  <c r="JG158" i="58"/>
  <c r="JG159" i="58"/>
  <c r="JG160" i="58"/>
  <c r="JG161" i="58"/>
  <c r="JG162" i="58"/>
  <c r="JG163" i="58"/>
  <c r="JG164" i="58"/>
  <c r="JG165" i="58"/>
  <c r="JG166" i="58"/>
  <c r="JG167" i="58"/>
  <c r="JE191" i="58"/>
  <c r="E639" i="25"/>
  <c r="E640" i="25"/>
  <c r="E641" i="25"/>
  <c r="JE170" i="58"/>
  <c r="JG170" i="58"/>
  <c r="JG172" i="58"/>
  <c r="JG173" i="58"/>
  <c r="JG174" i="58"/>
  <c r="JG175" i="58"/>
  <c r="JG176" i="58"/>
  <c r="JG177" i="58"/>
  <c r="JE178" i="58"/>
  <c r="JG178" i="58"/>
  <c r="JG179" i="58"/>
  <c r="JG180" i="58"/>
  <c r="JG181" i="58"/>
  <c r="JG182" i="58"/>
  <c r="JG183" i="58"/>
  <c r="JG184" i="58"/>
  <c r="JG185" i="58"/>
  <c r="JG186" i="58"/>
  <c r="JG187" i="58"/>
  <c r="JG188" i="58"/>
  <c r="JG189" i="58"/>
  <c r="JG190" i="58"/>
  <c r="JG191" i="58"/>
  <c r="JE192" i="58"/>
  <c r="JG192" i="58"/>
  <c r="JG193" i="58"/>
  <c r="JG194" i="58"/>
  <c r="JG195" i="58"/>
  <c r="JG196" i="58"/>
  <c r="JE197" i="58"/>
  <c r="JG197" i="58"/>
  <c r="JG198" i="58"/>
  <c r="JG199" i="58"/>
  <c r="JG200" i="58"/>
  <c r="JG201" i="58"/>
  <c r="JG202" i="58"/>
  <c r="JG203" i="58"/>
  <c r="JG204" i="58"/>
  <c r="JG205" i="58"/>
  <c r="JG206" i="58"/>
  <c r="JG207" i="58"/>
  <c r="JG208" i="58"/>
  <c r="JG209" i="58"/>
  <c r="JG210" i="58"/>
  <c r="JG211" i="58"/>
  <c r="JG5" i="58"/>
  <c r="JF1" i="58"/>
  <c r="D495" i="25"/>
  <c r="D497" i="25"/>
  <c r="JE167" i="58"/>
  <c r="E260" i="28"/>
  <c r="IP67" i="27"/>
  <c r="C288" i="46"/>
  <c r="C290" i="46"/>
  <c r="D288" i="46"/>
  <c r="D290" i="46"/>
  <c r="E288" i="46"/>
  <c r="E290" i="46"/>
  <c r="F288" i="46"/>
  <c r="F290" i="46"/>
  <c r="G288" i="46"/>
  <c r="G290" i="46"/>
  <c r="H288" i="46"/>
  <c r="H290" i="46"/>
  <c r="I288" i="46"/>
  <c r="I290" i="46"/>
  <c r="J288" i="46"/>
  <c r="J290" i="46"/>
  <c r="K288" i="46"/>
  <c r="K290" i="46"/>
  <c r="L288" i="46"/>
  <c r="L290" i="46"/>
  <c r="M288" i="46"/>
  <c r="M290" i="46"/>
  <c r="N288" i="46"/>
  <c r="N290" i="46"/>
  <c r="C295" i="46"/>
  <c r="C297" i="46"/>
  <c r="D295" i="46"/>
  <c r="D297" i="46"/>
  <c r="E295" i="46"/>
  <c r="E297" i="46"/>
  <c r="F295" i="46"/>
  <c r="F297" i="46"/>
  <c r="G295" i="46"/>
  <c r="G297" i="46"/>
  <c r="H295" i="46"/>
  <c r="H297" i="46"/>
  <c r="I295" i="46"/>
  <c r="I297" i="46"/>
  <c r="J295" i="46"/>
  <c r="J297" i="46"/>
  <c r="K295" i="46"/>
  <c r="K297" i="46"/>
  <c r="L295" i="46"/>
  <c r="L297" i="46"/>
  <c r="M295" i="46"/>
  <c r="M297" i="46"/>
  <c r="N295" i="46"/>
  <c r="N297" i="46"/>
  <c r="C302" i="46"/>
  <c r="C304" i="46"/>
  <c r="D302" i="46"/>
  <c r="D304" i="46"/>
  <c r="E302" i="46"/>
  <c r="E304" i="46"/>
  <c r="F302" i="46"/>
  <c r="F304" i="46"/>
  <c r="G302" i="46"/>
  <c r="G304" i="46"/>
  <c r="H302" i="46"/>
  <c r="H304" i="46"/>
  <c r="I302" i="46"/>
  <c r="I304" i="46"/>
  <c r="J302" i="46"/>
  <c r="J304" i="46"/>
  <c r="K302" i="46"/>
  <c r="K304" i="46"/>
  <c r="L302" i="46"/>
  <c r="L304" i="46"/>
  <c r="M302" i="46"/>
  <c r="M304" i="46"/>
  <c r="N302" i="46"/>
  <c r="N304" i="46"/>
  <c r="C309" i="46"/>
  <c r="C311" i="46"/>
  <c r="D311" i="46"/>
  <c r="E311" i="46"/>
  <c r="F311" i="46"/>
  <c r="G311" i="46"/>
  <c r="H311" i="46"/>
  <c r="I311" i="46"/>
  <c r="J311" i="46"/>
  <c r="K311" i="46"/>
  <c r="L311" i="46"/>
  <c r="M311" i="46"/>
  <c r="N311" i="46"/>
  <c r="C318" i="46"/>
  <c r="JE207" i="58"/>
  <c r="C232" i="46"/>
  <c r="C234" i="46"/>
  <c r="D232" i="46"/>
  <c r="D234" i="46"/>
  <c r="E232" i="46"/>
  <c r="E234" i="46"/>
  <c r="F232" i="46"/>
  <c r="F234" i="46"/>
  <c r="G232" i="46"/>
  <c r="G234" i="46"/>
  <c r="H232" i="46"/>
  <c r="H234" i="46"/>
  <c r="I232" i="46"/>
  <c r="I234" i="46"/>
  <c r="J232" i="46"/>
  <c r="J234" i="46"/>
  <c r="K232" i="46"/>
  <c r="K234" i="46"/>
  <c r="L232" i="46"/>
  <c r="L234" i="46"/>
  <c r="M232" i="46"/>
  <c r="M234" i="46"/>
  <c r="N232" i="46"/>
  <c r="N234" i="46"/>
  <c r="C239" i="46"/>
  <c r="C241" i="46"/>
  <c r="D239" i="46"/>
  <c r="D241" i="46"/>
  <c r="E239" i="46"/>
  <c r="E241" i="46"/>
  <c r="F239" i="46"/>
  <c r="F241" i="46"/>
  <c r="G239" i="46"/>
  <c r="G241" i="46"/>
  <c r="H239" i="46"/>
  <c r="H241" i="46"/>
  <c r="I239" i="46"/>
  <c r="I241" i="46"/>
  <c r="J239" i="46"/>
  <c r="J241" i="46"/>
  <c r="K239" i="46"/>
  <c r="K241" i="46"/>
  <c r="L239" i="46"/>
  <c r="L241" i="46"/>
  <c r="M239" i="46"/>
  <c r="M241" i="46"/>
  <c r="N239" i="46"/>
  <c r="N241" i="46"/>
  <c r="C246" i="46"/>
  <c r="C248" i="46"/>
  <c r="D246" i="46"/>
  <c r="D248" i="46"/>
  <c r="E246" i="46"/>
  <c r="E248" i="46"/>
  <c r="F246" i="46"/>
  <c r="F248" i="46"/>
  <c r="G246" i="46"/>
  <c r="G248" i="46"/>
  <c r="H246" i="46"/>
  <c r="H248" i="46"/>
  <c r="I246" i="46"/>
  <c r="I248" i="46"/>
  <c r="J246" i="46"/>
  <c r="J248" i="46"/>
  <c r="K246" i="46"/>
  <c r="K248" i="46"/>
  <c r="L246" i="46"/>
  <c r="L248" i="46"/>
  <c r="M246" i="46"/>
  <c r="M248" i="46"/>
  <c r="N246" i="46"/>
  <c r="N248" i="46"/>
  <c r="C253" i="46"/>
  <c r="C255" i="46"/>
  <c r="D253" i="46"/>
  <c r="D255" i="46"/>
  <c r="E253" i="46"/>
  <c r="E255" i="46"/>
  <c r="F253" i="46"/>
  <c r="F255" i="46"/>
  <c r="G253" i="46"/>
  <c r="G255" i="46"/>
  <c r="H253" i="46"/>
  <c r="H255" i="46"/>
  <c r="I253" i="46"/>
  <c r="I255" i="46"/>
  <c r="J253" i="46"/>
  <c r="J255" i="46"/>
  <c r="K253" i="46"/>
  <c r="K255" i="46"/>
  <c r="L253" i="46"/>
  <c r="L255" i="46"/>
  <c r="M253" i="46"/>
  <c r="M255" i="46"/>
  <c r="N253" i="46"/>
  <c r="N255" i="46"/>
  <c r="C260" i="46"/>
  <c r="C262" i="46"/>
  <c r="D260" i="46"/>
  <c r="D262" i="46"/>
  <c r="E260" i="46"/>
  <c r="E262" i="46"/>
  <c r="F260" i="46"/>
  <c r="F262" i="46"/>
  <c r="G260" i="46"/>
  <c r="G262" i="46"/>
  <c r="H260" i="46"/>
  <c r="H262" i="46"/>
  <c r="I260" i="46"/>
  <c r="I262" i="46"/>
  <c r="J260" i="46"/>
  <c r="J262" i="46"/>
  <c r="K260" i="46"/>
  <c r="K262" i="46"/>
  <c r="L260" i="46"/>
  <c r="L262" i="46"/>
  <c r="M260" i="46"/>
  <c r="M262" i="46"/>
  <c r="N260" i="46"/>
  <c r="N262" i="46"/>
  <c r="C267" i="46"/>
  <c r="C269" i="46"/>
  <c r="D269" i="46"/>
  <c r="E269" i="46"/>
  <c r="F269" i="46"/>
  <c r="G269" i="46"/>
  <c r="H269" i="46"/>
  <c r="I269" i="46"/>
  <c r="J269" i="46"/>
  <c r="K269" i="46"/>
  <c r="L269" i="46"/>
  <c r="M269" i="46"/>
  <c r="N269" i="46"/>
  <c r="C276" i="46"/>
  <c r="JE205" i="58"/>
  <c r="E192" i="32"/>
  <c r="E143" i="32"/>
  <c r="E194" i="32"/>
  <c r="E193" i="32"/>
  <c r="E144" i="32"/>
  <c r="E195" i="32"/>
  <c r="E196" i="32"/>
  <c r="JE201" i="58"/>
  <c r="E310" i="31"/>
  <c r="E226" i="31"/>
  <c r="E316" i="31"/>
  <c r="E285" i="30"/>
  <c r="E201" i="30"/>
  <c r="E291" i="30"/>
  <c r="E286" i="30"/>
  <c r="E289" i="30"/>
  <c r="E202" i="30"/>
  <c r="E205" i="30"/>
  <c r="E292" i="30"/>
  <c r="E294" i="30"/>
  <c r="JE198" i="58"/>
  <c r="JD49" i="58"/>
  <c r="CL29" i="42"/>
  <c r="JC49" i="58"/>
  <c r="CK29" i="42"/>
  <c r="JB49" i="58"/>
  <c r="CJ29" i="42"/>
  <c r="JA49" i="58"/>
  <c r="CI29" i="42"/>
  <c r="IZ49" i="58"/>
  <c r="CH29" i="42"/>
  <c r="IY49" i="58"/>
  <c r="CG29" i="42"/>
  <c r="IX49" i="58"/>
  <c r="CF29" i="42"/>
  <c r="IW49" i="58"/>
  <c r="CE29" i="42"/>
  <c r="IV49" i="58"/>
  <c r="CD29" i="42"/>
  <c r="IU49" i="58"/>
  <c r="CC29" i="42"/>
  <c r="IT49" i="58"/>
  <c r="CB29" i="42"/>
  <c r="IS49" i="58"/>
  <c r="CA29" i="42"/>
  <c r="IR49" i="58"/>
  <c r="BZ29" i="42"/>
  <c r="IQ49" i="58"/>
  <c r="BY29" i="42"/>
  <c r="IP49" i="58"/>
  <c r="BX29" i="42"/>
  <c r="IO49" i="58"/>
  <c r="BW29" i="42"/>
  <c r="IN49" i="58"/>
  <c r="BV29" i="42"/>
  <c r="IM49" i="58"/>
  <c r="BU29" i="42"/>
  <c r="IL49" i="58"/>
  <c r="BT29" i="42"/>
  <c r="IK49" i="58"/>
  <c r="BS29" i="42"/>
  <c r="IJ49" i="58"/>
  <c r="BR29" i="42"/>
  <c r="II49" i="58"/>
  <c r="BQ29" i="42"/>
  <c r="IH49" i="58"/>
  <c r="BP29" i="42"/>
  <c r="IG49" i="58"/>
  <c r="BO29" i="42"/>
  <c r="IF49" i="58"/>
  <c r="BN29" i="42"/>
  <c r="IE49" i="58"/>
  <c r="BM29" i="42"/>
  <c r="ID49" i="58"/>
  <c r="BL29" i="42"/>
  <c r="IC49" i="58"/>
  <c r="BK29" i="42"/>
  <c r="IB49" i="58"/>
  <c r="BJ29" i="42"/>
  <c r="IA49" i="58"/>
  <c r="BI29" i="42"/>
  <c r="HZ49" i="58"/>
  <c r="BH29" i="42"/>
  <c r="HY49" i="58"/>
  <c r="BG29" i="42"/>
  <c r="HX49" i="58"/>
  <c r="BF29" i="42"/>
  <c r="HW49" i="58"/>
  <c r="BE29" i="42"/>
  <c r="HV49" i="58"/>
  <c r="BD29" i="42"/>
  <c r="HU49" i="58"/>
  <c r="BC29" i="42"/>
  <c r="HT49" i="58"/>
  <c r="BB29" i="42"/>
  <c r="HS49" i="58"/>
  <c r="BA29" i="42"/>
  <c r="HR49" i="58"/>
  <c r="AZ29" i="42"/>
  <c r="HQ49" i="58"/>
  <c r="AY29" i="42"/>
  <c r="HP49" i="58"/>
  <c r="AX29" i="42"/>
  <c r="HO49" i="58"/>
  <c r="AW29" i="42"/>
  <c r="HN49" i="58"/>
  <c r="AV29" i="42"/>
  <c r="HM49" i="58"/>
  <c r="AU29" i="42"/>
  <c r="HL49" i="58"/>
  <c r="AT29" i="42"/>
  <c r="HK49" i="58"/>
  <c r="AS29" i="42"/>
  <c r="HJ49" i="58"/>
  <c r="AR29" i="42"/>
  <c r="HI49" i="58"/>
  <c r="AQ29" i="42"/>
  <c r="HH49" i="58"/>
  <c r="AP29" i="42"/>
  <c r="HG49" i="58"/>
  <c r="AO29" i="42"/>
  <c r="HF49" i="58"/>
  <c r="AN29" i="42"/>
  <c r="HE49" i="58"/>
  <c r="AM29" i="42"/>
  <c r="HD49" i="58"/>
  <c r="AL29" i="42"/>
  <c r="HC49" i="58"/>
  <c r="AK29" i="42"/>
  <c r="HB49" i="58"/>
  <c r="AJ29" i="42"/>
  <c r="HA49" i="58"/>
  <c r="AI29" i="42"/>
  <c r="GZ49" i="58"/>
  <c r="AH29" i="42"/>
  <c r="GY49" i="58"/>
  <c r="AG29" i="42"/>
  <c r="GX49" i="58"/>
  <c r="AF29" i="42"/>
  <c r="GW49" i="58"/>
  <c r="AE29" i="42"/>
  <c r="GV49" i="58"/>
  <c r="AD29" i="42"/>
  <c r="GU49" i="58"/>
  <c r="AC29" i="42"/>
  <c r="GT49" i="58"/>
  <c r="AB29" i="42"/>
  <c r="GS49" i="58"/>
  <c r="AA29" i="42"/>
  <c r="GR49" i="58"/>
  <c r="Z29" i="42"/>
  <c r="GQ49" i="58"/>
  <c r="Y29" i="42"/>
  <c r="GP49" i="58"/>
  <c r="X29" i="42"/>
  <c r="GO49" i="58"/>
  <c r="W29" i="42"/>
  <c r="GN49" i="58"/>
  <c r="V29" i="42"/>
  <c r="GM49" i="58"/>
  <c r="U29" i="42"/>
  <c r="GL49" i="58"/>
  <c r="T29" i="42"/>
  <c r="GK49" i="58"/>
  <c r="S29" i="42"/>
  <c r="GJ49" i="58"/>
  <c r="R29" i="42"/>
  <c r="GI49" i="58"/>
  <c r="Q29" i="42"/>
  <c r="GH49" i="58"/>
  <c r="P29" i="42"/>
  <c r="GG49" i="58"/>
  <c r="O29" i="42"/>
  <c r="GF49" i="58"/>
  <c r="N29" i="42"/>
  <c r="GE49" i="58"/>
  <c r="M29" i="42"/>
  <c r="GD49" i="58"/>
  <c r="L29" i="42"/>
  <c r="GC49" i="58"/>
  <c r="K29" i="42"/>
  <c r="GB49" i="58"/>
  <c r="J29" i="42"/>
  <c r="GA49" i="58"/>
  <c r="I29" i="42"/>
  <c r="FZ49" i="58"/>
  <c r="H29" i="42"/>
  <c r="I23" i="42"/>
  <c r="H23" i="42"/>
  <c r="I24" i="42"/>
  <c r="H24" i="42"/>
  <c r="I25" i="42"/>
  <c r="I26" i="42"/>
  <c r="I27" i="42"/>
  <c r="I28" i="42"/>
  <c r="I30" i="42"/>
  <c r="I31" i="42"/>
  <c r="I32" i="42"/>
  <c r="H25" i="42"/>
  <c r="H26" i="42"/>
  <c r="H27" i="42"/>
  <c r="H28" i="42"/>
  <c r="H30" i="42"/>
  <c r="H31" i="42"/>
  <c r="H32" i="42"/>
  <c r="J23" i="42"/>
  <c r="J24" i="42"/>
  <c r="J25" i="42"/>
  <c r="J26" i="42"/>
  <c r="J27" i="42"/>
  <c r="J28" i="42"/>
  <c r="J30" i="42"/>
  <c r="J31" i="42"/>
  <c r="J32" i="42"/>
  <c r="K23" i="42"/>
  <c r="K24" i="42"/>
  <c r="K25" i="42"/>
  <c r="K26" i="42"/>
  <c r="K27" i="42"/>
  <c r="K28" i="42"/>
  <c r="K30" i="42"/>
  <c r="K31" i="42"/>
  <c r="K32" i="42"/>
  <c r="L23" i="42"/>
  <c r="L24" i="42"/>
  <c r="L25" i="42"/>
  <c r="L26" i="42"/>
  <c r="L27" i="42"/>
  <c r="L28" i="42"/>
  <c r="L30" i="42"/>
  <c r="L31" i="42"/>
  <c r="L32" i="42"/>
  <c r="M23" i="42"/>
  <c r="M24" i="42"/>
  <c r="M25" i="42"/>
  <c r="M26" i="42"/>
  <c r="M27" i="42"/>
  <c r="M28" i="42"/>
  <c r="M30" i="42"/>
  <c r="M31" i="42"/>
  <c r="M32" i="42"/>
  <c r="N23" i="42"/>
  <c r="N24" i="42"/>
  <c r="N25" i="42"/>
  <c r="N26" i="42"/>
  <c r="N27" i="42"/>
  <c r="N28" i="42"/>
  <c r="N30" i="42"/>
  <c r="N31" i="42"/>
  <c r="N32" i="42"/>
  <c r="O23" i="42"/>
  <c r="O24" i="42"/>
  <c r="O25" i="42"/>
  <c r="O26" i="42"/>
  <c r="O27" i="42"/>
  <c r="O28" i="42"/>
  <c r="O30" i="42"/>
  <c r="O31" i="42"/>
  <c r="O32" i="42"/>
  <c r="P23" i="42"/>
  <c r="P24" i="42"/>
  <c r="P25" i="42"/>
  <c r="P26" i="42"/>
  <c r="P27" i="42"/>
  <c r="P28" i="42"/>
  <c r="P30" i="42"/>
  <c r="P31" i="42"/>
  <c r="P32" i="42"/>
  <c r="Q23" i="42"/>
  <c r="Q24" i="42"/>
  <c r="Q25" i="42"/>
  <c r="Q26" i="42"/>
  <c r="Q27" i="42"/>
  <c r="Q28" i="42"/>
  <c r="Q30" i="42"/>
  <c r="Q31" i="42"/>
  <c r="Q32" i="42"/>
  <c r="R23" i="42"/>
  <c r="R24" i="42"/>
  <c r="R25" i="42"/>
  <c r="R26" i="42"/>
  <c r="R27" i="42"/>
  <c r="R28" i="42"/>
  <c r="R30" i="42"/>
  <c r="R31" i="42"/>
  <c r="R32" i="42"/>
  <c r="S23" i="42"/>
  <c r="S24" i="42"/>
  <c r="S25" i="42"/>
  <c r="S26" i="42"/>
  <c r="S27" i="42"/>
  <c r="S28" i="42"/>
  <c r="S30" i="42"/>
  <c r="S31" i="42"/>
  <c r="S32" i="42"/>
  <c r="T23" i="42"/>
  <c r="T24" i="42"/>
  <c r="T25" i="42"/>
  <c r="T26" i="42"/>
  <c r="T27" i="42"/>
  <c r="T28" i="42"/>
  <c r="T30" i="42"/>
  <c r="T31" i="42"/>
  <c r="T32" i="42"/>
  <c r="U23" i="42"/>
  <c r="U24" i="42"/>
  <c r="U25" i="42"/>
  <c r="U26" i="42"/>
  <c r="U27" i="42"/>
  <c r="U28" i="42"/>
  <c r="U30" i="42"/>
  <c r="U31" i="42"/>
  <c r="U32" i="42"/>
  <c r="V23" i="42"/>
  <c r="V24" i="42"/>
  <c r="V25" i="42"/>
  <c r="V26" i="42"/>
  <c r="V27" i="42"/>
  <c r="V28" i="42"/>
  <c r="V30" i="42"/>
  <c r="V31" i="42"/>
  <c r="V32" i="42"/>
  <c r="W23" i="42"/>
  <c r="W24" i="42"/>
  <c r="W25" i="42"/>
  <c r="W26" i="42"/>
  <c r="W27" i="42"/>
  <c r="W28" i="42"/>
  <c r="W30" i="42"/>
  <c r="W31" i="42"/>
  <c r="W32" i="42"/>
  <c r="X23" i="42"/>
  <c r="X24" i="42"/>
  <c r="X25" i="42"/>
  <c r="X26" i="42"/>
  <c r="X27" i="42"/>
  <c r="X28" i="42"/>
  <c r="X30" i="42"/>
  <c r="X31" i="42"/>
  <c r="X32" i="42"/>
  <c r="Y23" i="42"/>
  <c r="Y24" i="42"/>
  <c r="Y25" i="42"/>
  <c r="Y26" i="42"/>
  <c r="Y27" i="42"/>
  <c r="Y28" i="42"/>
  <c r="Y30" i="42"/>
  <c r="Y31" i="42"/>
  <c r="Y32" i="42"/>
  <c r="Z23" i="42"/>
  <c r="Z24" i="42"/>
  <c r="Z25" i="42"/>
  <c r="Z26" i="42"/>
  <c r="Z27" i="42"/>
  <c r="Z28" i="42"/>
  <c r="Z30" i="42"/>
  <c r="Z31" i="42"/>
  <c r="Z32" i="42"/>
  <c r="AA23" i="42"/>
  <c r="AA24" i="42"/>
  <c r="AA25" i="42"/>
  <c r="AA26" i="42"/>
  <c r="AA27" i="42"/>
  <c r="AA28" i="42"/>
  <c r="AA30" i="42"/>
  <c r="AA31" i="42"/>
  <c r="AA32" i="42"/>
  <c r="AB23" i="42"/>
  <c r="AB24" i="42"/>
  <c r="AB25" i="42"/>
  <c r="AB26" i="42"/>
  <c r="AB27" i="42"/>
  <c r="AB28" i="42"/>
  <c r="AB30" i="42"/>
  <c r="AB31" i="42"/>
  <c r="AB32" i="42"/>
  <c r="AC23" i="42"/>
  <c r="AC24" i="42"/>
  <c r="AC25" i="42"/>
  <c r="AC26" i="42"/>
  <c r="AC27" i="42"/>
  <c r="AC28" i="42"/>
  <c r="AC30" i="42"/>
  <c r="AC31" i="42"/>
  <c r="AC32" i="42"/>
  <c r="AD23" i="42"/>
  <c r="AD24" i="42"/>
  <c r="AD25" i="42"/>
  <c r="AD26" i="42"/>
  <c r="AD27" i="42"/>
  <c r="AD28" i="42"/>
  <c r="AD30" i="42"/>
  <c r="AD31" i="42"/>
  <c r="AD32" i="42"/>
  <c r="AE23" i="42"/>
  <c r="AE24" i="42"/>
  <c r="AE25" i="42"/>
  <c r="AE26" i="42"/>
  <c r="AE27" i="42"/>
  <c r="AE28" i="42"/>
  <c r="AE30" i="42"/>
  <c r="AE31" i="42"/>
  <c r="AE32" i="42"/>
  <c r="AF23" i="42"/>
  <c r="AF24" i="42"/>
  <c r="AF25" i="42"/>
  <c r="AF26" i="42"/>
  <c r="AF27" i="42"/>
  <c r="AF28" i="42"/>
  <c r="AF30" i="42"/>
  <c r="AF31" i="42"/>
  <c r="AF32" i="42"/>
  <c r="AG23" i="42"/>
  <c r="AG24" i="42"/>
  <c r="AG25" i="42"/>
  <c r="AG26" i="42"/>
  <c r="AG27" i="42"/>
  <c r="AG28" i="42"/>
  <c r="AG30" i="42"/>
  <c r="AG31" i="42"/>
  <c r="AG32" i="42"/>
  <c r="AH23" i="42"/>
  <c r="AH24" i="42"/>
  <c r="AH25" i="42"/>
  <c r="AH26" i="42"/>
  <c r="AH27" i="42"/>
  <c r="AH28" i="42"/>
  <c r="AH30" i="42"/>
  <c r="AH31" i="42"/>
  <c r="AH32" i="42"/>
  <c r="AI23" i="42"/>
  <c r="AI24" i="42"/>
  <c r="AI25" i="42"/>
  <c r="AI26" i="42"/>
  <c r="AI27" i="42"/>
  <c r="AI28" i="42"/>
  <c r="AI30" i="42"/>
  <c r="AI31" i="42"/>
  <c r="AI32" i="42"/>
  <c r="AJ23" i="42"/>
  <c r="AJ24" i="42"/>
  <c r="AJ25" i="42"/>
  <c r="AJ26" i="42"/>
  <c r="AJ27" i="42"/>
  <c r="AJ28" i="42"/>
  <c r="AJ30" i="42"/>
  <c r="AJ31" i="42"/>
  <c r="AJ32" i="42"/>
  <c r="AK23" i="42"/>
  <c r="AK24" i="42"/>
  <c r="AK25" i="42"/>
  <c r="AK26" i="42"/>
  <c r="AK27" i="42"/>
  <c r="AK28" i="42"/>
  <c r="AK30" i="42"/>
  <c r="AK31" i="42"/>
  <c r="AK32" i="42"/>
  <c r="AL23" i="42"/>
  <c r="AL24" i="42"/>
  <c r="AL25" i="42"/>
  <c r="AL26" i="42"/>
  <c r="AL27" i="42"/>
  <c r="AL28" i="42"/>
  <c r="AL30" i="42"/>
  <c r="AL31" i="42"/>
  <c r="AL32" i="42"/>
  <c r="AM23" i="42"/>
  <c r="AM24" i="42"/>
  <c r="AM25" i="42"/>
  <c r="AM26" i="42"/>
  <c r="AM27" i="42"/>
  <c r="AM28" i="42"/>
  <c r="AM30" i="42"/>
  <c r="AM31" i="42"/>
  <c r="AM32" i="42"/>
  <c r="AN23" i="42"/>
  <c r="AN24" i="42"/>
  <c r="AN25" i="42"/>
  <c r="AN26" i="42"/>
  <c r="AN27" i="42"/>
  <c r="AN28" i="42"/>
  <c r="AN30" i="42"/>
  <c r="AN31" i="42"/>
  <c r="AN32" i="42"/>
  <c r="AO23" i="42"/>
  <c r="AO24" i="42"/>
  <c r="AO25" i="42"/>
  <c r="AO26" i="42"/>
  <c r="AO27" i="42"/>
  <c r="AO28" i="42"/>
  <c r="AO30" i="42"/>
  <c r="AO31" i="42"/>
  <c r="AO32" i="42"/>
  <c r="AP23" i="42"/>
  <c r="AP24" i="42"/>
  <c r="AP25" i="42"/>
  <c r="AP26" i="42"/>
  <c r="AP27" i="42"/>
  <c r="AP28" i="42"/>
  <c r="AP30" i="42"/>
  <c r="AP31" i="42"/>
  <c r="AP32" i="42"/>
  <c r="AQ23" i="42"/>
  <c r="AQ24" i="42"/>
  <c r="AQ25" i="42"/>
  <c r="AQ26" i="42"/>
  <c r="AQ27" i="42"/>
  <c r="AQ28" i="42"/>
  <c r="AQ30" i="42"/>
  <c r="AQ31" i="42"/>
  <c r="AQ32" i="42"/>
  <c r="AR23" i="42"/>
  <c r="AR24" i="42"/>
  <c r="AR25" i="42"/>
  <c r="AR26" i="42"/>
  <c r="AR27" i="42"/>
  <c r="AR28" i="42"/>
  <c r="AR30" i="42"/>
  <c r="AR31" i="42"/>
  <c r="AR32" i="42"/>
  <c r="AS23" i="42"/>
  <c r="AS24" i="42"/>
  <c r="AS25" i="42"/>
  <c r="AS26" i="42"/>
  <c r="AS27" i="42"/>
  <c r="AS28" i="42"/>
  <c r="AS30" i="42"/>
  <c r="AS31" i="42"/>
  <c r="AS32" i="42"/>
  <c r="AT23" i="42"/>
  <c r="AT24" i="42"/>
  <c r="AT25" i="42"/>
  <c r="AT26" i="42"/>
  <c r="AT27" i="42"/>
  <c r="AT28" i="42"/>
  <c r="AT30" i="42"/>
  <c r="AT31" i="42"/>
  <c r="AT32" i="42"/>
  <c r="AU23" i="42"/>
  <c r="AU24" i="42"/>
  <c r="AU25" i="42"/>
  <c r="AU26" i="42"/>
  <c r="AU27" i="42"/>
  <c r="AU28" i="42"/>
  <c r="AU30" i="42"/>
  <c r="AU31" i="42"/>
  <c r="AU32" i="42"/>
  <c r="AV23" i="42"/>
  <c r="AV24" i="42"/>
  <c r="AV25" i="42"/>
  <c r="AV26" i="42"/>
  <c r="AV27" i="42"/>
  <c r="AV28" i="42"/>
  <c r="AV30" i="42"/>
  <c r="AV31" i="42"/>
  <c r="AV32" i="42"/>
  <c r="AW23" i="42"/>
  <c r="AW24" i="42"/>
  <c r="AW25" i="42"/>
  <c r="AW26" i="42"/>
  <c r="AW27" i="42"/>
  <c r="AW28" i="42"/>
  <c r="AW30" i="42"/>
  <c r="AW31" i="42"/>
  <c r="AW32" i="42"/>
  <c r="AX23" i="42"/>
  <c r="AX24" i="42"/>
  <c r="AX25" i="42"/>
  <c r="AX26" i="42"/>
  <c r="AX27" i="42"/>
  <c r="AX28" i="42"/>
  <c r="AX30" i="42"/>
  <c r="AX31" i="42"/>
  <c r="AX32" i="42"/>
  <c r="AY23" i="42"/>
  <c r="AY24" i="42"/>
  <c r="AY25" i="42"/>
  <c r="AY26" i="42"/>
  <c r="AY27" i="42"/>
  <c r="AY28" i="42"/>
  <c r="AY30" i="42"/>
  <c r="AY31" i="42"/>
  <c r="AY32" i="42"/>
  <c r="AZ23" i="42"/>
  <c r="AZ24" i="42"/>
  <c r="AZ25" i="42"/>
  <c r="AZ26" i="42"/>
  <c r="AZ27" i="42"/>
  <c r="AZ28" i="42"/>
  <c r="AZ30" i="42"/>
  <c r="AZ31" i="42"/>
  <c r="AZ32" i="42"/>
  <c r="BA23" i="42"/>
  <c r="BA24" i="42"/>
  <c r="BA25" i="42"/>
  <c r="BA26" i="42"/>
  <c r="BA27" i="42"/>
  <c r="BA28" i="42"/>
  <c r="BA30" i="42"/>
  <c r="BA31" i="42"/>
  <c r="BA32" i="42"/>
  <c r="BB23" i="42"/>
  <c r="BB24" i="42"/>
  <c r="BB25" i="42"/>
  <c r="BB26" i="42"/>
  <c r="BB27" i="42"/>
  <c r="BB28" i="42"/>
  <c r="BB30" i="42"/>
  <c r="BB31" i="42"/>
  <c r="BB32" i="42"/>
  <c r="BC23" i="42"/>
  <c r="BC24" i="42"/>
  <c r="BC25" i="42"/>
  <c r="HU36" i="58"/>
  <c r="BC26" i="42"/>
  <c r="BC27" i="42"/>
  <c r="BC28" i="42"/>
  <c r="BC30" i="42"/>
  <c r="BC31" i="42"/>
  <c r="BC32" i="42"/>
  <c r="BD23" i="42"/>
  <c r="BD24" i="42"/>
  <c r="BD25" i="42"/>
  <c r="HV36" i="58"/>
  <c r="BD26" i="42"/>
  <c r="BD27" i="42"/>
  <c r="BD28" i="42"/>
  <c r="BD30" i="42"/>
  <c r="BD31" i="42"/>
  <c r="BD32" i="42"/>
  <c r="BE23" i="42"/>
  <c r="BE24" i="42"/>
  <c r="BE25" i="42"/>
  <c r="HW36" i="58"/>
  <c r="BE26" i="42"/>
  <c r="BE27" i="42"/>
  <c r="BE28" i="42"/>
  <c r="BE30" i="42"/>
  <c r="BE31" i="42"/>
  <c r="BE32" i="42"/>
  <c r="BF23" i="42"/>
  <c r="BF24" i="42"/>
  <c r="BF25" i="42"/>
  <c r="HX36" i="58"/>
  <c r="BF26" i="42"/>
  <c r="BF27" i="42"/>
  <c r="BF28" i="42"/>
  <c r="BF30" i="42"/>
  <c r="BF31" i="42"/>
  <c r="BF32" i="42"/>
  <c r="BG23" i="42"/>
  <c r="BG24" i="42"/>
  <c r="BG25" i="42"/>
  <c r="HY36" i="58"/>
  <c r="BG26" i="42"/>
  <c r="BG27" i="42"/>
  <c r="BG28" i="42"/>
  <c r="BG30" i="42"/>
  <c r="BG31" i="42"/>
  <c r="BG32" i="42"/>
  <c r="BH23" i="42"/>
  <c r="BH24" i="42"/>
  <c r="BH25" i="42"/>
  <c r="HZ36" i="58"/>
  <c r="BH26" i="42"/>
  <c r="BH27" i="42"/>
  <c r="BH28" i="42"/>
  <c r="BH30" i="42"/>
  <c r="BH31" i="42"/>
  <c r="BH32" i="42"/>
  <c r="BI23" i="42"/>
  <c r="BI24" i="42"/>
  <c r="BI25" i="42"/>
  <c r="IA36" i="58"/>
  <c r="BI26" i="42"/>
  <c r="BI27" i="42"/>
  <c r="BI28" i="42"/>
  <c r="BI30" i="42"/>
  <c r="BI31" i="42"/>
  <c r="BI32" i="42"/>
  <c r="BJ23" i="42"/>
  <c r="BJ24" i="42"/>
  <c r="BJ25" i="42"/>
  <c r="IB36" i="58"/>
  <c r="BJ26" i="42"/>
  <c r="BJ27" i="42"/>
  <c r="BJ28" i="42"/>
  <c r="BJ30" i="42"/>
  <c r="BJ31" i="42"/>
  <c r="BJ32" i="42"/>
  <c r="BK23" i="42"/>
  <c r="BK24" i="42"/>
  <c r="BK25" i="42"/>
  <c r="IC36" i="58"/>
  <c r="BK26" i="42"/>
  <c r="BK27" i="42"/>
  <c r="BK28" i="42"/>
  <c r="BK30" i="42"/>
  <c r="BK31" i="42"/>
  <c r="BK32" i="42"/>
  <c r="BL23" i="42"/>
  <c r="BL24" i="42"/>
  <c r="BL25" i="42"/>
  <c r="ID36" i="58"/>
  <c r="BL26" i="42"/>
  <c r="BL27" i="42"/>
  <c r="BL28" i="42"/>
  <c r="BL30" i="42"/>
  <c r="BL31" i="42"/>
  <c r="BL32" i="42"/>
  <c r="BM23" i="42"/>
  <c r="BM24" i="42"/>
  <c r="BM25" i="42"/>
  <c r="IE36" i="58"/>
  <c r="BM26" i="42"/>
  <c r="BM27" i="42"/>
  <c r="BM28" i="42"/>
  <c r="BM30" i="42"/>
  <c r="BM31" i="42"/>
  <c r="BM32" i="42"/>
  <c r="BN23" i="42"/>
  <c r="BN24" i="42"/>
  <c r="BN25" i="42"/>
  <c r="IF36" i="58"/>
  <c r="BN26" i="42"/>
  <c r="BN27" i="42"/>
  <c r="BN28" i="42"/>
  <c r="BN30" i="42"/>
  <c r="BN31" i="42"/>
  <c r="BN32" i="42"/>
  <c r="BO23" i="42"/>
  <c r="BO24" i="42"/>
  <c r="BO25" i="42"/>
  <c r="IG36" i="58"/>
  <c r="BO26" i="42"/>
  <c r="BO27" i="42"/>
  <c r="BO28" i="42"/>
  <c r="BO30" i="42"/>
  <c r="BO31" i="42"/>
  <c r="BO32" i="42"/>
  <c r="BP23" i="42"/>
  <c r="BP24" i="42"/>
  <c r="BP25" i="42"/>
  <c r="IH36" i="58"/>
  <c r="BP26" i="42"/>
  <c r="BP27" i="42"/>
  <c r="BP28" i="42"/>
  <c r="BP30" i="42"/>
  <c r="BP31" i="42"/>
  <c r="BP32" i="42"/>
  <c r="BQ23" i="42"/>
  <c r="BQ24" i="42"/>
  <c r="BQ25" i="42"/>
  <c r="II36" i="58"/>
  <c r="BQ26" i="42"/>
  <c r="BQ27" i="42"/>
  <c r="BQ28" i="42"/>
  <c r="BQ30" i="42"/>
  <c r="BQ31" i="42"/>
  <c r="BQ32" i="42"/>
  <c r="BR23" i="42"/>
  <c r="BR24" i="42"/>
  <c r="BR25" i="42"/>
  <c r="IJ36" i="58"/>
  <c r="BR26" i="42"/>
  <c r="BR27" i="42"/>
  <c r="BR28" i="42"/>
  <c r="BR30" i="42"/>
  <c r="BR31" i="42"/>
  <c r="BR32" i="42"/>
  <c r="BS23" i="42"/>
  <c r="BS24" i="42"/>
  <c r="BS25" i="42"/>
  <c r="IK36" i="58"/>
  <c r="BS26" i="42"/>
  <c r="BS27" i="42"/>
  <c r="BS28" i="42"/>
  <c r="BS30" i="42"/>
  <c r="BS31" i="42"/>
  <c r="BS32" i="42"/>
  <c r="BT23" i="42"/>
  <c r="BT24" i="42"/>
  <c r="BT25" i="42"/>
  <c r="IL36" i="58"/>
  <c r="BT26" i="42"/>
  <c r="BT27" i="42"/>
  <c r="BT28" i="42"/>
  <c r="BT30" i="42"/>
  <c r="BT31" i="42"/>
  <c r="BT32" i="42"/>
  <c r="BU23" i="42"/>
  <c r="BU24" i="42"/>
  <c r="BU25" i="42"/>
  <c r="IM36" i="58"/>
  <c r="BU26" i="42"/>
  <c r="BU27" i="42"/>
  <c r="BU28" i="42"/>
  <c r="BU30" i="42"/>
  <c r="BU31" i="42"/>
  <c r="BU32" i="42"/>
  <c r="BV23" i="42"/>
  <c r="BV24" i="42"/>
  <c r="BV25" i="42"/>
  <c r="IN36" i="58"/>
  <c r="BV26" i="42"/>
  <c r="BV27" i="42"/>
  <c r="BV28" i="42"/>
  <c r="BV30" i="42"/>
  <c r="BV31" i="42"/>
  <c r="BV32" i="42"/>
  <c r="BW23" i="42"/>
  <c r="BW24" i="42"/>
  <c r="BW25" i="42"/>
  <c r="IO36" i="58"/>
  <c r="BW26" i="42"/>
  <c r="BW27" i="42"/>
  <c r="BW28" i="42"/>
  <c r="BW30" i="42"/>
  <c r="BW31" i="42"/>
  <c r="BW32" i="42"/>
  <c r="BX23" i="42"/>
  <c r="BX24" i="42"/>
  <c r="BX25" i="42"/>
  <c r="IP36" i="58"/>
  <c r="BX26" i="42"/>
  <c r="BX27" i="42"/>
  <c r="BX28" i="42"/>
  <c r="BX30" i="42"/>
  <c r="BX31" i="42"/>
  <c r="BX32" i="42"/>
  <c r="BY23" i="42"/>
  <c r="BY24" i="42"/>
  <c r="BY25" i="42"/>
  <c r="IQ36" i="58"/>
  <c r="BY26" i="42"/>
  <c r="BY27" i="42"/>
  <c r="BY28" i="42"/>
  <c r="BY30" i="42"/>
  <c r="BY31" i="42"/>
  <c r="BY32" i="42"/>
  <c r="BZ23" i="42"/>
  <c r="BZ24" i="42"/>
  <c r="BZ25" i="42"/>
  <c r="IR36" i="58"/>
  <c r="BZ26" i="42"/>
  <c r="BZ27" i="42"/>
  <c r="BZ28" i="42"/>
  <c r="BZ30" i="42"/>
  <c r="BZ31" i="42"/>
  <c r="BZ32" i="42"/>
  <c r="CA23" i="42"/>
  <c r="CA24" i="42"/>
  <c r="CA25" i="42"/>
  <c r="IS36" i="58"/>
  <c r="CA26" i="42"/>
  <c r="CA27" i="42"/>
  <c r="CA28" i="42"/>
  <c r="CA30" i="42"/>
  <c r="CA31" i="42"/>
  <c r="CA32" i="42"/>
  <c r="CB23" i="42"/>
  <c r="CB24" i="42"/>
  <c r="CB25" i="42"/>
  <c r="IT36" i="58"/>
  <c r="CB26" i="42"/>
  <c r="CB27" i="42"/>
  <c r="CB28" i="42"/>
  <c r="CB30" i="42"/>
  <c r="CB31" i="42"/>
  <c r="CB32" i="42"/>
  <c r="CC23" i="42"/>
  <c r="CC24" i="42"/>
  <c r="CC25" i="42"/>
  <c r="IU36" i="58"/>
  <c r="CC26" i="42"/>
  <c r="CC27" i="42"/>
  <c r="CC28" i="42"/>
  <c r="CC30" i="42"/>
  <c r="CC31" i="42"/>
  <c r="CC32" i="42"/>
  <c r="CD23" i="42"/>
  <c r="CD24" i="42"/>
  <c r="CD25" i="42"/>
  <c r="IV36" i="58"/>
  <c r="CD26" i="42"/>
  <c r="CD27" i="42"/>
  <c r="CD28" i="42"/>
  <c r="CD30" i="42"/>
  <c r="CD31" i="42"/>
  <c r="CD32" i="42"/>
  <c r="CE23" i="42"/>
  <c r="CE24" i="42"/>
  <c r="CE25" i="42"/>
  <c r="IW36" i="58"/>
  <c r="CE26" i="42"/>
  <c r="CE27" i="42"/>
  <c r="CE28" i="42"/>
  <c r="CE30" i="42"/>
  <c r="CE31" i="42"/>
  <c r="CE32" i="42"/>
  <c r="CF23" i="42"/>
  <c r="CF24" i="42"/>
  <c r="CF25" i="42"/>
  <c r="IX36" i="58"/>
  <c r="CF26" i="42"/>
  <c r="CF27" i="42"/>
  <c r="CF28" i="42"/>
  <c r="CF30" i="42"/>
  <c r="CF31" i="42"/>
  <c r="CF32" i="42"/>
  <c r="CG23" i="42"/>
  <c r="CG24" i="42"/>
  <c r="CG25" i="42"/>
  <c r="IY36" i="58"/>
  <c r="CG26" i="42"/>
  <c r="CG27" i="42"/>
  <c r="CG28" i="42"/>
  <c r="CG30" i="42"/>
  <c r="CG31" i="42"/>
  <c r="CG32" i="42"/>
  <c r="CH23" i="42"/>
  <c r="CH24" i="42"/>
  <c r="CH25" i="42"/>
  <c r="IZ36" i="58"/>
  <c r="CH26" i="42"/>
  <c r="CH27" i="42"/>
  <c r="CH28" i="42"/>
  <c r="CH30" i="42"/>
  <c r="CH31" i="42"/>
  <c r="CH32" i="42"/>
  <c r="CI23" i="42"/>
  <c r="CI24" i="42"/>
  <c r="CI25" i="42"/>
  <c r="JA36" i="58"/>
  <c r="CI26" i="42"/>
  <c r="CI27" i="42"/>
  <c r="CI28" i="42"/>
  <c r="CI30" i="42"/>
  <c r="CI31" i="42"/>
  <c r="CI32" i="42"/>
  <c r="CJ23" i="42"/>
  <c r="CJ24" i="42"/>
  <c r="CJ25" i="42"/>
  <c r="JB36" i="58"/>
  <c r="CJ26" i="42"/>
  <c r="CJ27" i="42"/>
  <c r="CJ28" i="42"/>
  <c r="CJ30" i="42"/>
  <c r="CJ31" i="42"/>
  <c r="CJ32" i="42"/>
  <c r="CK23" i="42"/>
  <c r="CK24" i="42"/>
  <c r="CK25" i="42"/>
  <c r="JC36" i="58"/>
  <c r="CK26" i="42"/>
  <c r="CK27" i="42"/>
  <c r="CK28" i="42"/>
  <c r="CK30" i="42"/>
  <c r="CK31" i="42"/>
  <c r="CK32" i="42"/>
  <c r="CL23" i="42"/>
  <c r="CL24" i="42"/>
  <c r="CL25" i="42"/>
  <c r="JD36" i="58"/>
  <c r="CL26" i="42"/>
  <c r="CL27" i="42"/>
  <c r="CL28" i="42"/>
  <c r="CL30" i="42"/>
  <c r="CL31" i="42"/>
  <c r="CL32" i="42"/>
  <c r="JE188" i="58"/>
  <c r="JE49" i="58"/>
  <c r="FY49" i="58"/>
  <c r="JE175" i="58"/>
  <c r="E263" i="28"/>
  <c r="E261" i="28"/>
  <c r="E191" i="28"/>
  <c r="E265" i="28"/>
  <c r="E262" i="28"/>
  <c r="E192" i="28"/>
  <c r="E264" i="28"/>
  <c r="E267" i="28"/>
  <c r="JE174" i="58"/>
  <c r="IO25" i="26"/>
  <c r="IO22" i="26"/>
  <c r="FI22" i="26"/>
  <c r="IO26" i="26"/>
  <c r="E638" i="25"/>
  <c r="D348" i="25"/>
  <c r="D349" i="25"/>
  <c r="JE165" i="58"/>
  <c r="C156" i="46"/>
  <c r="C157" i="46"/>
  <c r="C159" i="46"/>
  <c r="D156" i="46"/>
  <c r="D157" i="46"/>
  <c r="D159" i="46"/>
  <c r="E156" i="46"/>
  <c r="E157" i="46"/>
  <c r="E159" i="46"/>
  <c r="F156" i="46"/>
  <c r="F157" i="46"/>
  <c r="F159" i="46"/>
  <c r="G156" i="46"/>
  <c r="G157" i="46"/>
  <c r="G159" i="46"/>
  <c r="H156" i="46"/>
  <c r="H157" i="46"/>
  <c r="H159" i="46"/>
  <c r="I156" i="46"/>
  <c r="I157" i="46"/>
  <c r="I159" i="46"/>
  <c r="J156" i="46"/>
  <c r="J157" i="46"/>
  <c r="J159" i="46"/>
  <c r="K156" i="46"/>
  <c r="K157" i="46"/>
  <c r="K159" i="46"/>
  <c r="L156" i="46"/>
  <c r="L157" i="46"/>
  <c r="L159" i="46"/>
  <c r="M156" i="46"/>
  <c r="M157" i="46"/>
  <c r="M159" i="46"/>
  <c r="N156" i="46"/>
  <c r="N157" i="46"/>
  <c r="N159" i="46"/>
  <c r="C165" i="46"/>
  <c r="C166" i="46"/>
  <c r="C168" i="46"/>
  <c r="D165" i="46"/>
  <c r="D166" i="46"/>
  <c r="D168" i="46"/>
  <c r="E165" i="46"/>
  <c r="E166" i="46"/>
  <c r="E168" i="46"/>
  <c r="F165" i="46"/>
  <c r="F166" i="46"/>
  <c r="F168" i="46"/>
  <c r="G165" i="46"/>
  <c r="G166" i="46"/>
  <c r="G168" i="46"/>
  <c r="H165" i="46"/>
  <c r="H166" i="46"/>
  <c r="H168" i="46"/>
  <c r="I165" i="46"/>
  <c r="I166" i="46"/>
  <c r="I168" i="46"/>
  <c r="J165" i="46"/>
  <c r="J166" i="46"/>
  <c r="J168" i="46"/>
  <c r="K165" i="46"/>
  <c r="K166" i="46"/>
  <c r="K168" i="46"/>
  <c r="L165" i="46"/>
  <c r="L166" i="46"/>
  <c r="L168" i="46"/>
  <c r="M165" i="46"/>
  <c r="M166" i="46"/>
  <c r="M168" i="46"/>
  <c r="N165" i="46"/>
  <c r="N166" i="46"/>
  <c r="N168" i="46"/>
  <c r="C174" i="46"/>
  <c r="C175" i="46"/>
  <c r="C177" i="46"/>
  <c r="D174" i="46"/>
  <c r="D175" i="46"/>
  <c r="D177" i="46"/>
  <c r="E174" i="46"/>
  <c r="E175" i="46"/>
  <c r="E177" i="46"/>
  <c r="F174" i="46"/>
  <c r="F175" i="46"/>
  <c r="F177" i="46"/>
  <c r="G174" i="46"/>
  <c r="G175" i="46"/>
  <c r="G177" i="46"/>
  <c r="H174" i="46"/>
  <c r="H175" i="46"/>
  <c r="H177" i="46"/>
  <c r="I174" i="46"/>
  <c r="I175" i="46"/>
  <c r="I177" i="46"/>
  <c r="J174" i="46"/>
  <c r="J175" i="46"/>
  <c r="J177" i="46"/>
  <c r="K174" i="46"/>
  <c r="K175" i="46"/>
  <c r="K177" i="46"/>
  <c r="L174" i="46"/>
  <c r="L175" i="46"/>
  <c r="L177" i="46"/>
  <c r="M174" i="46"/>
  <c r="M175" i="46"/>
  <c r="M177" i="46"/>
  <c r="N174" i="46"/>
  <c r="N175" i="46"/>
  <c r="N177" i="46"/>
  <c r="C183" i="46"/>
  <c r="C184" i="46"/>
  <c r="C186" i="46"/>
  <c r="D183" i="46"/>
  <c r="D184" i="46"/>
  <c r="D186" i="46"/>
  <c r="E183" i="46"/>
  <c r="E184" i="46"/>
  <c r="E186" i="46"/>
  <c r="F183" i="46"/>
  <c r="F184" i="46"/>
  <c r="F186" i="46"/>
  <c r="G183" i="46"/>
  <c r="G184" i="46"/>
  <c r="G186" i="46"/>
  <c r="H183" i="46"/>
  <c r="H184" i="46"/>
  <c r="H186" i="46"/>
  <c r="I183" i="46"/>
  <c r="I184" i="46"/>
  <c r="I186" i="46"/>
  <c r="J183" i="46"/>
  <c r="J184" i="46"/>
  <c r="J186" i="46"/>
  <c r="K183" i="46"/>
  <c r="K184" i="46"/>
  <c r="K186" i="46"/>
  <c r="L183" i="46"/>
  <c r="L184" i="46"/>
  <c r="L186" i="46"/>
  <c r="M183" i="46"/>
  <c r="M184" i="46"/>
  <c r="M186" i="46"/>
  <c r="N183" i="46"/>
  <c r="N184" i="46"/>
  <c r="N186" i="46"/>
  <c r="C192" i="46"/>
  <c r="C193" i="46"/>
  <c r="C195" i="46"/>
  <c r="D192" i="46"/>
  <c r="D193" i="46"/>
  <c r="D195" i="46"/>
  <c r="E192" i="46"/>
  <c r="E193" i="46"/>
  <c r="E195" i="46"/>
  <c r="F192" i="46"/>
  <c r="F193" i="46"/>
  <c r="F195" i="46"/>
  <c r="G192" i="46"/>
  <c r="G193" i="46"/>
  <c r="G195" i="46"/>
  <c r="H192" i="46"/>
  <c r="H193" i="46"/>
  <c r="H195" i="46"/>
  <c r="I192" i="46"/>
  <c r="I193" i="46"/>
  <c r="I195" i="46"/>
  <c r="J192" i="46"/>
  <c r="J193" i="46"/>
  <c r="J195" i="46"/>
  <c r="K192" i="46"/>
  <c r="K193" i="46"/>
  <c r="K195" i="46"/>
  <c r="L192" i="46"/>
  <c r="L193" i="46"/>
  <c r="L195" i="46"/>
  <c r="M192" i="46"/>
  <c r="M193" i="46"/>
  <c r="M195" i="46"/>
  <c r="N192" i="46"/>
  <c r="N193" i="46"/>
  <c r="N195" i="46"/>
  <c r="C202" i="46"/>
  <c r="C204" i="46"/>
  <c r="D204" i="46"/>
  <c r="E204" i="46"/>
  <c r="F204" i="46"/>
  <c r="G204" i="46"/>
  <c r="H204" i="46"/>
  <c r="I204" i="46"/>
  <c r="J204" i="46"/>
  <c r="K204" i="46"/>
  <c r="L204" i="46"/>
  <c r="M204" i="46"/>
  <c r="N204" i="46"/>
  <c r="C213" i="46"/>
  <c r="JE154" i="58"/>
  <c r="C88" i="46"/>
  <c r="C90" i="46"/>
  <c r="D88" i="46"/>
  <c r="D90" i="46"/>
  <c r="E88" i="46"/>
  <c r="E90" i="46"/>
  <c r="F88" i="46"/>
  <c r="F90" i="46"/>
  <c r="G88" i="46"/>
  <c r="G90" i="46"/>
  <c r="H88" i="46"/>
  <c r="H90" i="46"/>
  <c r="I88" i="46"/>
  <c r="I90" i="46"/>
  <c r="J88" i="46"/>
  <c r="J90" i="46"/>
  <c r="K88" i="46"/>
  <c r="K90" i="46"/>
  <c r="L88" i="46"/>
  <c r="L90" i="46"/>
  <c r="M88" i="46"/>
  <c r="M90" i="46"/>
  <c r="N88" i="46"/>
  <c r="N90" i="46"/>
  <c r="C95" i="46"/>
  <c r="C97" i="46"/>
  <c r="D95" i="46"/>
  <c r="D97" i="46"/>
  <c r="E95" i="46"/>
  <c r="E97" i="46"/>
  <c r="F95" i="46"/>
  <c r="F97" i="46"/>
  <c r="G95" i="46"/>
  <c r="G97" i="46"/>
  <c r="H95" i="46"/>
  <c r="H97" i="46"/>
  <c r="I95" i="46"/>
  <c r="I97" i="46"/>
  <c r="J95" i="46"/>
  <c r="J97" i="46"/>
  <c r="K95" i="46"/>
  <c r="K97" i="46"/>
  <c r="L95" i="46"/>
  <c r="L97" i="46"/>
  <c r="M95" i="46"/>
  <c r="M97" i="46"/>
  <c r="N95" i="46"/>
  <c r="N97" i="46"/>
  <c r="C102" i="46"/>
  <c r="C104" i="46"/>
  <c r="D102" i="46"/>
  <c r="D104" i="46"/>
  <c r="E102" i="46"/>
  <c r="E104" i="46"/>
  <c r="F102" i="46"/>
  <c r="F104" i="46"/>
  <c r="G102" i="46"/>
  <c r="G104" i="46"/>
  <c r="H102" i="46"/>
  <c r="H104" i="46"/>
  <c r="I102" i="46"/>
  <c r="I104" i="46"/>
  <c r="J102" i="46"/>
  <c r="J104" i="46"/>
  <c r="K102" i="46"/>
  <c r="K104" i="46"/>
  <c r="L102" i="46"/>
  <c r="L104" i="46"/>
  <c r="M102" i="46"/>
  <c r="M104" i="46"/>
  <c r="N102" i="46"/>
  <c r="N104" i="46"/>
  <c r="C109" i="46"/>
  <c r="C111" i="46"/>
  <c r="D109" i="46"/>
  <c r="D111" i="46"/>
  <c r="E109" i="46"/>
  <c r="E111" i="46"/>
  <c r="F109" i="46"/>
  <c r="F111" i="46"/>
  <c r="G109" i="46"/>
  <c r="G111" i="46"/>
  <c r="H109" i="46"/>
  <c r="H111" i="46"/>
  <c r="I109" i="46"/>
  <c r="I111" i="46"/>
  <c r="J109" i="46"/>
  <c r="J111" i="46"/>
  <c r="K109" i="46"/>
  <c r="K111" i="46"/>
  <c r="L109" i="46"/>
  <c r="L111" i="46"/>
  <c r="M109" i="46"/>
  <c r="M111" i="46"/>
  <c r="N109" i="46"/>
  <c r="N111" i="46"/>
  <c r="C116" i="46"/>
  <c r="C118" i="46"/>
  <c r="D116" i="46"/>
  <c r="D118" i="46"/>
  <c r="E116" i="46"/>
  <c r="E118" i="46"/>
  <c r="F116" i="46"/>
  <c r="F118" i="46"/>
  <c r="G116" i="46"/>
  <c r="G118" i="46"/>
  <c r="H116" i="46"/>
  <c r="H118" i="46"/>
  <c r="I116" i="46"/>
  <c r="I118" i="46"/>
  <c r="J116" i="46"/>
  <c r="J118" i="46"/>
  <c r="K116" i="46"/>
  <c r="K118" i="46"/>
  <c r="L116" i="46"/>
  <c r="L118" i="46"/>
  <c r="M116" i="46"/>
  <c r="M118" i="46"/>
  <c r="N116" i="46"/>
  <c r="N118" i="46"/>
  <c r="C123" i="46"/>
  <c r="C125" i="46"/>
  <c r="D125" i="46"/>
  <c r="E125" i="46"/>
  <c r="F125" i="46"/>
  <c r="G125" i="46"/>
  <c r="H125" i="46"/>
  <c r="I125" i="46"/>
  <c r="J125" i="46"/>
  <c r="K125" i="46"/>
  <c r="L125" i="46"/>
  <c r="M125" i="46"/>
  <c r="N125" i="46"/>
  <c r="C132" i="46"/>
  <c r="JE153" i="58"/>
  <c r="IP72" i="27"/>
  <c r="JE81" i="58"/>
  <c r="IP66" i="27"/>
  <c r="FJ66" i="27"/>
  <c r="IP71" i="27"/>
  <c r="IP68" i="27"/>
  <c r="FJ68" i="27"/>
  <c r="IP73" i="27"/>
  <c r="JE120" i="58"/>
  <c r="JE110" i="58"/>
  <c r="C25" i="46"/>
  <c r="C27" i="46"/>
  <c r="D25" i="46"/>
  <c r="D27" i="46"/>
  <c r="E25" i="46"/>
  <c r="E27" i="46"/>
  <c r="F25" i="46"/>
  <c r="F27" i="46"/>
  <c r="G25" i="46"/>
  <c r="G27" i="46"/>
  <c r="H25" i="46"/>
  <c r="H27" i="46"/>
  <c r="I25" i="46"/>
  <c r="I27" i="46"/>
  <c r="J25" i="46"/>
  <c r="J27" i="46"/>
  <c r="K25" i="46"/>
  <c r="K27" i="46"/>
  <c r="L25" i="46"/>
  <c r="L27" i="46"/>
  <c r="M25" i="46"/>
  <c r="M27" i="46"/>
  <c r="N27" i="46"/>
  <c r="C32" i="46"/>
  <c r="C34" i="46"/>
  <c r="D32" i="46"/>
  <c r="D34" i="46"/>
  <c r="E32" i="46"/>
  <c r="E34" i="46"/>
  <c r="F32" i="46"/>
  <c r="F34" i="46"/>
  <c r="G32" i="46"/>
  <c r="G34" i="46"/>
  <c r="H32" i="46"/>
  <c r="H34" i="46"/>
  <c r="I32" i="46"/>
  <c r="I34" i="46"/>
  <c r="J32" i="46"/>
  <c r="J34" i="46"/>
  <c r="K32" i="46"/>
  <c r="K34" i="46"/>
  <c r="L32" i="46"/>
  <c r="L34" i="46"/>
  <c r="M32" i="46"/>
  <c r="M34" i="46"/>
  <c r="N32" i="46"/>
  <c r="N34" i="46"/>
  <c r="C39" i="46"/>
  <c r="C41" i="46"/>
  <c r="D39" i="46"/>
  <c r="D41" i="46"/>
  <c r="E39" i="46"/>
  <c r="E41" i="46"/>
  <c r="F39" i="46"/>
  <c r="F41" i="46"/>
  <c r="G39" i="46"/>
  <c r="G41" i="46"/>
  <c r="H39" i="46"/>
  <c r="H41" i="46"/>
  <c r="I39" i="46"/>
  <c r="I41" i="46"/>
  <c r="J39" i="46"/>
  <c r="J41" i="46"/>
  <c r="K39" i="46"/>
  <c r="K41" i="46"/>
  <c r="L39" i="46"/>
  <c r="L41" i="46"/>
  <c r="M39" i="46"/>
  <c r="M41" i="46"/>
  <c r="N39" i="46"/>
  <c r="N41" i="46"/>
  <c r="C46" i="46"/>
  <c r="C48" i="46"/>
  <c r="D46" i="46"/>
  <c r="D48" i="46"/>
  <c r="E46" i="46"/>
  <c r="E48" i="46"/>
  <c r="F46" i="46"/>
  <c r="F48" i="46"/>
  <c r="G46" i="46"/>
  <c r="G48" i="46"/>
  <c r="H46" i="46"/>
  <c r="H48" i="46"/>
  <c r="I46" i="46"/>
  <c r="I48" i="46"/>
  <c r="J46" i="46"/>
  <c r="J48" i="46"/>
  <c r="K46" i="46"/>
  <c r="K48" i="46"/>
  <c r="L46" i="46"/>
  <c r="L48" i="46"/>
  <c r="M46" i="46"/>
  <c r="M48" i="46"/>
  <c r="N46" i="46"/>
  <c r="N48" i="46"/>
  <c r="C53" i="46"/>
  <c r="C55" i="46"/>
  <c r="D53" i="46"/>
  <c r="D55" i="46"/>
  <c r="E53" i="46"/>
  <c r="E55" i="46"/>
  <c r="F53" i="46"/>
  <c r="F55" i="46"/>
  <c r="G53" i="46"/>
  <c r="G55" i="46"/>
  <c r="H53" i="46"/>
  <c r="H55" i="46"/>
  <c r="I53" i="46"/>
  <c r="I55" i="46"/>
  <c r="J53" i="46"/>
  <c r="J55" i="46"/>
  <c r="K53" i="46"/>
  <c r="K55" i="46"/>
  <c r="L53" i="46"/>
  <c r="L55" i="46"/>
  <c r="M53" i="46"/>
  <c r="M55" i="46"/>
  <c r="N53" i="46"/>
  <c r="N55" i="46"/>
  <c r="C60" i="46"/>
  <c r="C62" i="46"/>
  <c r="D62" i="46"/>
  <c r="E62" i="46"/>
  <c r="F62" i="46"/>
  <c r="G62" i="46"/>
  <c r="H62" i="46"/>
  <c r="I62" i="46"/>
  <c r="J62" i="46"/>
  <c r="K62" i="46"/>
  <c r="L62" i="46"/>
  <c r="M62" i="46"/>
  <c r="N62" i="46"/>
  <c r="C69" i="46"/>
  <c r="JE89" i="58"/>
  <c r="JE73" i="58"/>
  <c r="JE54" i="58"/>
  <c r="JE52" i="58"/>
  <c r="JE46" i="58"/>
  <c r="JE36" i="58"/>
  <c r="P194" i="32"/>
  <c r="P195" i="32"/>
  <c r="P196" i="32"/>
  <c r="O194" i="32"/>
  <c r="O195" i="32"/>
  <c r="O196" i="32"/>
  <c r="N194" i="32"/>
  <c r="N195" i="32"/>
  <c r="N196" i="32"/>
  <c r="M194" i="32"/>
  <c r="M195" i="32"/>
  <c r="M196" i="32"/>
  <c r="L194" i="32"/>
  <c r="L195" i="32"/>
  <c r="L196" i="32"/>
  <c r="K194" i="32"/>
  <c r="K195" i="32"/>
  <c r="K196" i="32"/>
  <c r="J194" i="32"/>
  <c r="J195" i="32"/>
  <c r="J196" i="32"/>
  <c r="I194" i="32"/>
  <c r="I195" i="32"/>
  <c r="I196" i="32"/>
  <c r="H194" i="32"/>
  <c r="H195" i="32"/>
  <c r="H196" i="32"/>
  <c r="G194" i="32"/>
  <c r="G195" i="32"/>
  <c r="G196" i="32"/>
  <c r="F194" i="32"/>
  <c r="F195" i="32"/>
  <c r="F196" i="32"/>
  <c r="E312" i="31"/>
  <c r="P316" i="31"/>
  <c r="FY183" i="58"/>
  <c r="E227" i="31"/>
  <c r="P317" i="31"/>
  <c r="P312" i="31"/>
  <c r="P315" i="31"/>
  <c r="E228" i="31"/>
  <c r="E231" i="31"/>
  <c r="P318" i="31"/>
  <c r="P319" i="31"/>
  <c r="O316" i="31"/>
  <c r="O317" i="31"/>
  <c r="O312" i="31"/>
  <c r="O315" i="31"/>
  <c r="O318" i="31"/>
  <c r="O319" i="31"/>
  <c r="N316" i="31"/>
  <c r="N317" i="31"/>
  <c r="N312" i="31"/>
  <c r="N315" i="31"/>
  <c r="N318" i="31"/>
  <c r="N319" i="31"/>
  <c r="M316" i="31"/>
  <c r="M317" i="31"/>
  <c r="M312" i="31"/>
  <c r="M315" i="31"/>
  <c r="M318" i="31"/>
  <c r="M319" i="31"/>
  <c r="L316" i="31"/>
  <c r="L317" i="31"/>
  <c r="L312" i="31"/>
  <c r="L315" i="31"/>
  <c r="L318" i="31"/>
  <c r="L319" i="31"/>
  <c r="K316" i="31"/>
  <c r="K317" i="31"/>
  <c r="K312" i="31"/>
  <c r="K315" i="31"/>
  <c r="K318" i="31"/>
  <c r="K319" i="31"/>
  <c r="J316" i="31"/>
  <c r="J317" i="31"/>
  <c r="J312" i="31"/>
  <c r="J315" i="31"/>
  <c r="J318" i="31"/>
  <c r="J319" i="31"/>
  <c r="I316" i="31"/>
  <c r="I317" i="31"/>
  <c r="I312" i="31"/>
  <c r="I315" i="31"/>
  <c r="I318" i="31"/>
  <c r="I319" i="31"/>
  <c r="H316" i="31"/>
  <c r="H317" i="31"/>
  <c r="H312" i="31"/>
  <c r="H315" i="31"/>
  <c r="H318" i="31"/>
  <c r="H319" i="31"/>
  <c r="G316" i="31"/>
  <c r="G317" i="31"/>
  <c r="G312" i="31"/>
  <c r="G315" i="31"/>
  <c r="G318" i="31"/>
  <c r="G319" i="31"/>
  <c r="F316" i="31"/>
  <c r="E315" i="31"/>
  <c r="E318" i="31"/>
  <c r="P291" i="30"/>
  <c r="P286" i="30"/>
  <c r="P289" i="30"/>
  <c r="P292" i="30"/>
  <c r="P294" i="30"/>
  <c r="O291" i="30"/>
  <c r="O286" i="30"/>
  <c r="O289" i="30"/>
  <c r="O292" i="30"/>
  <c r="O294" i="30"/>
  <c r="N291" i="30"/>
  <c r="N286" i="30"/>
  <c r="N289" i="30"/>
  <c r="N292" i="30"/>
  <c r="N294" i="30"/>
  <c r="M291" i="30"/>
  <c r="M286" i="30"/>
  <c r="M289" i="30"/>
  <c r="M292" i="30"/>
  <c r="M294" i="30"/>
  <c r="L291" i="30"/>
  <c r="L286" i="30"/>
  <c r="L289" i="30"/>
  <c r="L292" i="30"/>
  <c r="L294" i="30"/>
  <c r="K291" i="30"/>
  <c r="K286" i="30"/>
  <c r="K289" i="30"/>
  <c r="K292" i="30"/>
  <c r="K294" i="30"/>
  <c r="J291" i="30"/>
  <c r="J286" i="30"/>
  <c r="J289" i="30"/>
  <c r="J292" i="30"/>
  <c r="J294" i="30"/>
  <c r="I291" i="30"/>
  <c r="I286" i="30"/>
  <c r="I289" i="30"/>
  <c r="I292" i="30"/>
  <c r="I294" i="30"/>
  <c r="H291" i="30"/>
  <c r="H286" i="30"/>
  <c r="H289" i="30"/>
  <c r="H292" i="30"/>
  <c r="H294" i="30"/>
  <c r="G291" i="30"/>
  <c r="G286" i="30"/>
  <c r="G289" i="30"/>
  <c r="G292" i="30"/>
  <c r="G294" i="30"/>
  <c r="F291" i="30"/>
  <c r="CM32" i="42"/>
  <c r="CM31" i="42"/>
  <c r="CM30" i="42"/>
  <c r="CM29" i="42"/>
  <c r="CM28" i="42"/>
  <c r="CM27" i="42"/>
  <c r="CM26" i="42"/>
  <c r="CM25" i="42"/>
  <c r="CM24" i="42"/>
  <c r="CM23" i="42"/>
  <c r="CM23" i="44"/>
  <c r="CM25" i="44"/>
  <c r="CM13" i="44"/>
  <c r="CM15" i="44"/>
  <c r="CM13" i="41"/>
  <c r="CM15" i="41"/>
  <c r="C226" i="29"/>
  <c r="N228" i="29"/>
  <c r="N230" i="29"/>
  <c r="M228" i="29"/>
  <c r="M230" i="29"/>
  <c r="L228" i="29"/>
  <c r="L230" i="29"/>
  <c r="K228" i="29"/>
  <c r="K230" i="29"/>
  <c r="J228" i="29"/>
  <c r="J230" i="29"/>
  <c r="I228" i="29"/>
  <c r="I230" i="29"/>
  <c r="H228" i="29"/>
  <c r="H230" i="29"/>
  <c r="G228" i="29"/>
  <c r="G230" i="29"/>
  <c r="F228" i="29"/>
  <c r="F230" i="29"/>
  <c r="E228" i="29"/>
  <c r="E230" i="29"/>
  <c r="D228" i="29"/>
  <c r="D230" i="29"/>
  <c r="C228" i="29"/>
  <c r="C230" i="29"/>
  <c r="D517" i="33"/>
  <c r="D516" i="33"/>
  <c r="D515" i="33"/>
  <c r="D514" i="33"/>
  <c r="D513" i="33"/>
  <c r="D378" i="33"/>
  <c r="O523" i="33"/>
  <c r="N523" i="33"/>
  <c r="M523" i="33"/>
  <c r="L523" i="33"/>
  <c r="K523" i="33"/>
  <c r="J523" i="33"/>
  <c r="I523" i="33"/>
  <c r="H523" i="33"/>
  <c r="G523" i="33"/>
  <c r="F523" i="33"/>
  <c r="D523" i="33"/>
  <c r="D377" i="33"/>
  <c r="O522" i="33"/>
  <c r="N522" i="33"/>
  <c r="M522" i="33"/>
  <c r="L522" i="33"/>
  <c r="K522" i="33"/>
  <c r="J522" i="33"/>
  <c r="I522" i="33"/>
  <c r="H522" i="33"/>
  <c r="G522" i="33"/>
  <c r="F522" i="33"/>
  <c r="D522" i="33"/>
  <c r="D376" i="33"/>
  <c r="O521" i="33"/>
  <c r="N521" i="33"/>
  <c r="M521" i="33"/>
  <c r="L521" i="33"/>
  <c r="K521" i="33"/>
  <c r="J521" i="33"/>
  <c r="I521" i="33"/>
  <c r="H521" i="33"/>
  <c r="G521" i="33"/>
  <c r="F521" i="33"/>
  <c r="D521" i="33"/>
  <c r="D375" i="33"/>
  <c r="O520" i="33"/>
  <c r="N520" i="33"/>
  <c r="M520" i="33"/>
  <c r="L520" i="33"/>
  <c r="K520" i="33"/>
  <c r="J520" i="33"/>
  <c r="I520" i="33"/>
  <c r="H520" i="33"/>
  <c r="G520" i="33"/>
  <c r="F520" i="33"/>
  <c r="D520" i="33"/>
  <c r="D374" i="33"/>
  <c r="O519" i="33"/>
  <c r="N519" i="33"/>
  <c r="M519" i="33"/>
  <c r="L519" i="33"/>
  <c r="K519" i="33"/>
  <c r="J519" i="33"/>
  <c r="I519" i="33"/>
  <c r="H519" i="33"/>
  <c r="G519" i="33"/>
  <c r="F519" i="33"/>
  <c r="D519" i="33"/>
  <c r="P260" i="28"/>
  <c r="P263" i="28"/>
  <c r="P265" i="28"/>
  <c r="P262" i="28"/>
  <c r="P264" i="28"/>
  <c r="P267" i="28"/>
  <c r="O260" i="28"/>
  <c r="O263" i="28"/>
  <c r="O265" i="28"/>
  <c r="O262" i="28"/>
  <c r="O264" i="28"/>
  <c r="O267" i="28"/>
  <c r="N260" i="28"/>
  <c r="N263" i="28"/>
  <c r="N265" i="28"/>
  <c r="N262" i="28"/>
  <c r="N264" i="28"/>
  <c r="N267" i="28"/>
  <c r="M260" i="28"/>
  <c r="M263" i="28"/>
  <c r="M265" i="28"/>
  <c r="M262" i="28"/>
  <c r="M264" i="28"/>
  <c r="M267" i="28"/>
  <c r="L260" i="28"/>
  <c r="L263" i="28"/>
  <c r="L265" i="28"/>
  <c r="L262" i="28"/>
  <c r="L264" i="28"/>
  <c r="L267" i="28"/>
  <c r="K260" i="28"/>
  <c r="K263" i="28"/>
  <c r="K265" i="28"/>
  <c r="K262" i="28"/>
  <c r="K264" i="28"/>
  <c r="K267" i="28"/>
  <c r="J260" i="28"/>
  <c r="J263" i="28"/>
  <c r="J265" i="28"/>
  <c r="J262" i="28"/>
  <c r="J264" i="28"/>
  <c r="J267" i="28"/>
  <c r="I260" i="28"/>
  <c r="I263" i="28"/>
  <c r="I265" i="28"/>
  <c r="I262" i="28"/>
  <c r="I264" i="28"/>
  <c r="I267" i="28"/>
  <c r="H260" i="28"/>
  <c r="H263" i="28"/>
  <c r="H265" i="28"/>
  <c r="H262" i="28"/>
  <c r="H264" i="28"/>
  <c r="H267" i="28"/>
  <c r="G260" i="28"/>
  <c r="G263" i="28"/>
  <c r="G265" i="28"/>
  <c r="G262" i="28"/>
  <c r="G264" i="28"/>
  <c r="G267" i="28"/>
  <c r="IO28" i="26"/>
  <c r="IO37" i="26"/>
  <c r="P638" i="25"/>
  <c r="P640" i="25"/>
  <c r="P641" i="25"/>
  <c r="O638" i="25"/>
  <c r="O640" i="25"/>
  <c r="O641" i="25"/>
  <c r="N638" i="25"/>
  <c r="N640" i="25"/>
  <c r="N641" i="25"/>
  <c r="M638" i="25"/>
  <c r="M640" i="25"/>
  <c r="M641" i="25"/>
  <c r="L638" i="25"/>
  <c r="L640" i="25"/>
  <c r="L641" i="25"/>
  <c r="K638" i="25"/>
  <c r="K640" i="25"/>
  <c r="K641" i="25"/>
  <c r="J638" i="25"/>
  <c r="J640" i="25"/>
  <c r="J641" i="25"/>
  <c r="I638" i="25"/>
  <c r="I640" i="25"/>
  <c r="I641" i="25"/>
  <c r="H638" i="25"/>
  <c r="H640" i="25"/>
  <c r="H641" i="25"/>
  <c r="G638" i="25"/>
  <c r="G640" i="25"/>
  <c r="G641" i="25"/>
  <c r="E497" i="25"/>
  <c r="O497" i="25"/>
  <c r="N497" i="25"/>
  <c r="M497" i="25"/>
  <c r="L497" i="25"/>
  <c r="K497" i="25"/>
  <c r="J497" i="25"/>
  <c r="I497" i="25"/>
  <c r="H497" i="25"/>
  <c r="G497" i="25"/>
  <c r="F497" i="25"/>
  <c r="O167" i="25"/>
  <c r="O169" i="25"/>
  <c r="O347" i="25"/>
  <c r="N167" i="25"/>
  <c r="N169" i="25"/>
  <c r="N347" i="25"/>
  <c r="M167" i="25"/>
  <c r="M169" i="25"/>
  <c r="M347" i="25"/>
  <c r="L167" i="25"/>
  <c r="L169" i="25"/>
  <c r="L347" i="25"/>
  <c r="K167" i="25"/>
  <c r="K169" i="25"/>
  <c r="K347" i="25"/>
  <c r="J167" i="25"/>
  <c r="J169" i="25"/>
  <c r="J347" i="25"/>
  <c r="I167" i="25"/>
  <c r="I169" i="25"/>
  <c r="I347" i="25"/>
  <c r="H167" i="25"/>
  <c r="H169" i="25"/>
  <c r="H347" i="25"/>
  <c r="G167" i="25"/>
  <c r="G169" i="25"/>
  <c r="G347" i="25"/>
  <c r="F167" i="25"/>
  <c r="F169" i="25"/>
  <c r="F347" i="25"/>
  <c r="O349" i="25"/>
  <c r="O350" i="25"/>
  <c r="N349" i="25"/>
  <c r="N350" i="25"/>
  <c r="M349" i="25"/>
  <c r="M350" i="25"/>
  <c r="L349" i="25"/>
  <c r="L350" i="25"/>
  <c r="K349" i="25"/>
  <c r="K350" i="25"/>
  <c r="J349" i="25"/>
  <c r="J350" i="25"/>
  <c r="I349" i="25"/>
  <c r="I350" i="25"/>
  <c r="H349" i="25"/>
  <c r="H350" i="25"/>
  <c r="G349" i="25"/>
  <c r="G350" i="25"/>
  <c r="F349" i="25"/>
  <c r="F350" i="25"/>
  <c r="C41" i="57"/>
  <c r="C43" i="57"/>
  <c r="D43" i="57"/>
  <c r="E43" i="57"/>
  <c r="F43" i="57"/>
  <c r="G43" i="57"/>
  <c r="H43" i="57"/>
  <c r="I43" i="57"/>
  <c r="J43" i="57"/>
  <c r="K43" i="57"/>
  <c r="L43" i="57"/>
  <c r="M43" i="57"/>
  <c r="N43" i="57"/>
  <c r="FJ65" i="27"/>
  <c r="C33" i="56"/>
  <c r="C35" i="56"/>
  <c r="E35" i="56"/>
  <c r="F35" i="56"/>
  <c r="G35" i="56"/>
  <c r="H35" i="56"/>
  <c r="I35" i="56"/>
  <c r="J35" i="56"/>
  <c r="K35" i="56"/>
  <c r="L35" i="56"/>
  <c r="M35" i="56"/>
  <c r="N35" i="56"/>
  <c r="C40" i="55"/>
  <c r="C41" i="55"/>
  <c r="C43" i="55"/>
  <c r="D43" i="55"/>
  <c r="E43" i="55"/>
  <c r="F43" i="55"/>
  <c r="G43" i="55"/>
  <c r="H43" i="55"/>
  <c r="I43" i="55"/>
  <c r="J43" i="55"/>
  <c r="K43" i="55"/>
  <c r="L43" i="55"/>
  <c r="M43" i="55"/>
  <c r="N43" i="55"/>
  <c r="CM39" i="43"/>
  <c r="CM30" i="43"/>
  <c r="CM19" i="43"/>
  <c r="CM42" i="43"/>
  <c r="BE13" i="43"/>
  <c r="BF13" i="43"/>
  <c r="BG13" i="43"/>
  <c r="BH13" i="43"/>
  <c r="BI13" i="43"/>
  <c r="BJ13" i="43"/>
  <c r="BK13" i="43"/>
  <c r="BL13" i="43"/>
  <c r="BM13" i="43"/>
  <c r="BN13" i="43"/>
  <c r="BO13" i="43"/>
  <c r="BP13" i="43"/>
  <c r="BQ13" i="43"/>
  <c r="BR13" i="43"/>
  <c r="BS13" i="43"/>
  <c r="BT13" i="43"/>
  <c r="BU13" i="43"/>
  <c r="BV13" i="43"/>
  <c r="BW13" i="43"/>
  <c r="BX13" i="43"/>
  <c r="BY13" i="43"/>
  <c r="BZ13" i="43"/>
  <c r="CA13" i="43"/>
  <c r="CB13" i="43"/>
  <c r="CC13" i="43"/>
  <c r="CD13" i="43"/>
  <c r="CE13" i="43"/>
  <c r="CF13" i="43"/>
  <c r="CG13" i="43"/>
  <c r="CH13" i="43"/>
  <c r="CI13" i="43"/>
  <c r="CJ13" i="43"/>
  <c r="CK13" i="43"/>
  <c r="CL13" i="43"/>
  <c r="CM13" i="43"/>
  <c r="CM25" i="43"/>
  <c r="BE12" i="43"/>
  <c r="BF12" i="43"/>
  <c r="BG12" i="43"/>
  <c r="BH12" i="43"/>
  <c r="BI12" i="43"/>
  <c r="BJ12" i="43"/>
  <c r="BK12" i="43"/>
  <c r="BL12" i="43"/>
  <c r="BM12" i="43"/>
  <c r="BN12" i="43"/>
  <c r="BO12" i="43"/>
  <c r="BP12" i="43"/>
  <c r="BQ12" i="43"/>
  <c r="BR12" i="43"/>
  <c r="BS12" i="43"/>
  <c r="BT12" i="43"/>
  <c r="BU12" i="43"/>
  <c r="BV12" i="43"/>
  <c r="BW12" i="43"/>
  <c r="BX12" i="43"/>
  <c r="BY12" i="43"/>
  <c r="BZ12" i="43"/>
  <c r="CA12" i="43"/>
  <c r="CB12" i="43"/>
  <c r="CC12" i="43"/>
  <c r="CD12" i="43"/>
  <c r="CE12" i="43"/>
  <c r="CF12" i="43"/>
  <c r="CG12" i="43"/>
  <c r="CH12" i="43"/>
  <c r="CI12" i="43"/>
  <c r="CJ12" i="43"/>
  <c r="CK12" i="43"/>
  <c r="CL12" i="43"/>
  <c r="CM12" i="43"/>
  <c r="CM24" i="43"/>
  <c r="BE11" i="43"/>
  <c r="BF11" i="43"/>
  <c r="BG11" i="43"/>
  <c r="BH11" i="43"/>
  <c r="BI11" i="43"/>
  <c r="BJ11" i="43"/>
  <c r="BK11" i="43"/>
  <c r="BL11" i="43"/>
  <c r="BM11" i="43"/>
  <c r="BN11" i="43"/>
  <c r="BO11" i="43"/>
  <c r="BP11" i="43"/>
  <c r="BQ11" i="43"/>
  <c r="BR11" i="43"/>
  <c r="BS11" i="43"/>
  <c r="BT11" i="43"/>
  <c r="BU11" i="43"/>
  <c r="BV11" i="43"/>
  <c r="BW11" i="43"/>
  <c r="BX11" i="43"/>
  <c r="BY11" i="43"/>
  <c r="BZ11" i="43"/>
  <c r="CA11" i="43"/>
  <c r="CB11" i="43"/>
  <c r="CC11" i="43"/>
  <c r="CD11" i="43"/>
  <c r="CE11" i="43"/>
  <c r="CF11" i="43"/>
  <c r="CG11" i="43"/>
  <c r="CH11" i="43"/>
  <c r="CI11" i="43"/>
  <c r="CJ11" i="43"/>
  <c r="CK11" i="43"/>
  <c r="CL11" i="43"/>
  <c r="CM11" i="43"/>
  <c r="CM23" i="43"/>
  <c r="BE10" i="43"/>
  <c r="BF10" i="43"/>
  <c r="BG10" i="43"/>
  <c r="BH10" i="43"/>
  <c r="BI10" i="43"/>
  <c r="BJ10" i="43"/>
  <c r="BK10" i="43"/>
  <c r="BL10" i="43"/>
  <c r="BM10" i="43"/>
  <c r="BN10" i="43"/>
  <c r="BO10" i="43"/>
  <c r="BP10" i="43"/>
  <c r="BQ10" i="43"/>
  <c r="BR10" i="43"/>
  <c r="BS10" i="43"/>
  <c r="BT10" i="43"/>
  <c r="BU10" i="43"/>
  <c r="BV10" i="43"/>
  <c r="BW10" i="43"/>
  <c r="BX10" i="43"/>
  <c r="BY10" i="43"/>
  <c r="BZ10" i="43"/>
  <c r="CA10" i="43"/>
  <c r="CB10" i="43"/>
  <c r="CC10" i="43"/>
  <c r="CD10" i="43"/>
  <c r="CE10" i="43"/>
  <c r="CF10" i="43"/>
  <c r="CG10" i="43"/>
  <c r="CH10" i="43"/>
  <c r="CI10" i="43"/>
  <c r="CJ10" i="43"/>
  <c r="CK10" i="43"/>
  <c r="CL10" i="43"/>
  <c r="CM10" i="43"/>
  <c r="CM22" i="43"/>
  <c r="BE9" i="43"/>
  <c r="BF9" i="43"/>
  <c r="BG9" i="43"/>
  <c r="BH9" i="43"/>
  <c r="BI9" i="43"/>
  <c r="BJ9" i="43"/>
  <c r="BK9" i="43"/>
  <c r="BL9" i="43"/>
  <c r="BM9" i="43"/>
  <c r="BN9" i="43"/>
  <c r="BO9" i="43"/>
  <c r="BP9" i="43"/>
  <c r="BQ9" i="43"/>
  <c r="BR9" i="43"/>
  <c r="BS9" i="43"/>
  <c r="BT9" i="43"/>
  <c r="BU9" i="43"/>
  <c r="BV9" i="43"/>
  <c r="BW9" i="43"/>
  <c r="BX9" i="43"/>
  <c r="BY9" i="43"/>
  <c r="BZ9" i="43"/>
  <c r="CA9" i="43"/>
  <c r="CB9" i="43"/>
  <c r="CC9" i="43"/>
  <c r="CD9" i="43"/>
  <c r="CE9" i="43"/>
  <c r="CF9" i="43"/>
  <c r="CG9" i="43"/>
  <c r="CH9" i="43"/>
  <c r="CI9" i="43"/>
  <c r="CJ9" i="43"/>
  <c r="CK9" i="43"/>
  <c r="CL9" i="43"/>
  <c r="CM9" i="43"/>
  <c r="CM21" i="43"/>
  <c r="BE8" i="43"/>
  <c r="BF8" i="43"/>
  <c r="BG8" i="43"/>
  <c r="BH8" i="43"/>
  <c r="BI8" i="43"/>
  <c r="BJ8" i="43"/>
  <c r="BK8" i="43"/>
  <c r="BL8" i="43"/>
  <c r="BM8" i="43"/>
  <c r="BN8" i="43"/>
  <c r="BO8" i="43"/>
  <c r="BP8" i="43"/>
  <c r="BQ8" i="43"/>
  <c r="BR8" i="43"/>
  <c r="BS8" i="43"/>
  <c r="BT8" i="43"/>
  <c r="BU8" i="43"/>
  <c r="BV8" i="43"/>
  <c r="BW8" i="43"/>
  <c r="BX8" i="43"/>
  <c r="BY8" i="43"/>
  <c r="BZ8" i="43"/>
  <c r="CA8" i="43"/>
  <c r="CB8" i="43"/>
  <c r="CC8" i="43"/>
  <c r="CD8" i="43"/>
  <c r="CE8" i="43"/>
  <c r="CF8" i="43"/>
  <c r="CG8" i="43"/>
  <c r="CH8" i="43"/>
  <c r="CI8" i="43"/>
  <c r="CJ8" i="43"/>
  <c r="CK8" i="43"/>
  <c r="CL8" i="43"/>
  <c r="CM8" i="43"/>
  <c r="CM20" i="43"/>
  <c r="C316" i="46"/>
  <c r="D318" i="46"/>
  <c r="E318" i="46"/>
  <c r="F318" i="46"/>
  <c r="G318" i="46"/>
  <c r="H318" i="46"/>
  <c r="I318" i="46"/>
  <c r="J318" i="46"/>
  <c r="K318" i="46"/>
  <c r="L318" i="46"/>
  <c r="M318" i="46"/>
  <c r="N318" i="46"/>
  <c r="C274" i="46"/>
  <c r="D225" i="46"/>
  <c r="D227" i="46"/>
  <c r="E225" i="46"/>
  <c r="E227" i="46"/>
  <c r="F225" i="46"/>
  <c r="F227" i="46"/>
  <c r="G225" i="46"/>
  <c r="G227" i="46"/>
  <c r="H225" i="46"/>
  <c r="H227" i="46"/>
  <c r="I225" i="46"/>
  <c r="I227" i="46"/>
  <c r="J225" i="46"/>
  <c r="J227" i="46"/>
  <c r="K225" i="46"/>
  <c r="K227" i="46"/>
  <c r="L225" i="46"/>
  <c r="L227" i="46"/>
  <c r="M225" i="46"/>
  <c r="M227" i="46"/>
  <c r="N225" i="46"/>
  <c r="N227" i="46"/>
  <c r="D267" i="46"/>
  <c r="E267" i="46"/>
  <c r="F267" i="46"/>
  <c r="G267" i="46"/>
  <c r="H267" i="46"/>
  <c r="I267" i="46"/>
  <c r="J267" i="46"/>
  <c r="K267" i="46"/>
  <c r="L267" i="46"/>
  <c r="M267" i="46"/>
  <c r="N267" i="46"/>
  <c r="D276" i="46"/>
  <c r="E276" i="46"/>
  <c r="F276" i="46"/>
  <c r="G276" i="46"/>
  <c r="H276" i="46"/>
  <c r="I276" i="46"/>
  <c r="J276" i="46"/>
  <c r="K276" i="46"/>
  <c r="L276" i="46"/>
  <c r="M276" i="46"/>
  <c r="N276" i="46"/>
  <c r="C210" i="46"/>
  <c r="N201" i="46"/>
  <c r="C211" i="46"/>
  <c r="D147" i="46"/>
  <c r="C147" i="46"/>
  <c r="D148" i="46"/>
  <c r="D150" i="46"/>
  <c r="E147" i="46"/>
  <c r="E148" i="46"/>
  <c r="E150" i="46"/>
  <c r="F147" i="46"/>
  <c r="F148" i="46"/>
  <c r="F150" i="46"/>
  <c r="G147" i="46"/>
  <c r="G148" i="46"/>
  <c r="G150" i="46"/>
  <c r="H147" i="46"/>
  <c r="H148" i="46"/>
  <c r="H150" i="46"/>
  <c r="I147" i="46"/>
  <c r="I148" i="46"/>
  <c r="I150" i="46"/>
  <c r="J147" i="46"/>
  <c r="J148" i="46"/>
  <c r="J150" i="46"/>
  <c r="K147" i="46"/>
  <c r="K148" i="46"/>
  <c r="K150" i="46"/>
  <c r="L147" i="46"/>
  <c r="L148" i="46"/>
  <c r="L150" i="46"/>
  <c r="M147" i="46"/>
  <c r="M148" i="46"/>
  <c r="M150" i="46"/>
  <c r="N147" i="46"/>
  <c r="N148" i="46"/>
  <c r="N150" i="46"/>
  <c r="C201" i="46"/>
  <c r="D201" i="46"/>
  <c r="D202" i="46"/>
  <c r="E201" i="46"/>
  <c r="E202" i="46"/>
  <c r="F201" i="46"/>
  <c r="F202" i="46"/>
  <c r="G201" i="46"/>
  <c r="G202" i="46"/>
  <c r="H201" i="46"/>
  <c r="H202" i="46"/>
  <c r="I201" i="46"/>
  <c r="I202" i="46"/>
  <c r="J201" i="46"/>
  <c r="J202" i="46"/>
  <c r="K201" i="46"/>
  <c r="K202" i="46"/>
  <c r="L201" i="46"/>
  <c r="L202" i="46"/>
  <c r="M201" i="46"/>
  <c r="M202" i="46"/>
  <c r="N202" i="46"/>
  <c r="D213" i="46"/>
  <c r="E213" i="46"/>
  <c r="F213" i="46"/>
  <c r="G213" i="46"/>
  <c r="H213" i="46"/>
  <c r="I213" i="46"/>
  <c r="J213" i="46"/>
  <c r="K213" i="46"/>
  <c r="L213" i="46"/>
  <c r="M213" i="46"/>
  <c r="N213" i="46"/>
  <c r="C130" i="46"/>
  <c r="D81" i="46"/>
  <c r="D83" i="46"/>
  <c r="E81" i="46"/>
  <c r="E83" i="46"/>
  <c r="F81" i="46"/>
  <c r="F83" i="46"/>
  <c r="G81" i="46"/>
  <c r="G83" i="46"/>
  <c r="H81" i="46"/>
  <c r="H83" i="46"/>
  <c r="I81" i="46"/>
  <c r="I83" i="46"/>
  <c r="J81" i="46"/>
  <c r="J83" i="46"/>
  <c r="K81" i="46"/>
  <c r="K83" i="46"/>
  <c r="L81" i="46"/>
  <c r="L83" i="46"/>
  <c r="M81" i="46"/>
  <c r="M83" i="46"/>
  <c r="N81" i="46"/>
  <c r="N83" i="46"/>
  <c r="D123" i="46"/>
  <c r="E123" i="46"/>
  <c r="F123" i="46"/>
  <c r="G123" i="46"/>
  <c r="H123" i="46"/>
  <c r="I123" i="46"/>
  <c r="J123" i="46"/>
  <c r="K123" i="46"/>
  <c r="L123" i="46"/>
  <c r="M123" i="46"/>
  <c r="N123" i="46"/>
  <c r="D132" i="46"/>
  <c r="E132" i="46"/>
  <c r="F132" i="46"/>
  <c r="G132" i="46"/>
  <c r="H132" i="46"/>
  <c r="I132" i="46"/>
  <c r="J132" i="46"/>
  <c r="K132" i="46"/>
  <c r="L132" i="46"/>
  <c r="M132" i="46"/>
  <c r="N132" i="46"/>
  <c r="C67" i="46"/>
  <c r="D18" i="46"/>
  <c r="D20" i="46"/>
  <c r="E18" i="46"/>
  <c r="E20" i="46"/>
  <c r="F18" i="46"/>
  <c r="F20" i="46"/>
  <c r="G18" i="46"/>
  <c r="G20" i="46"/>
  <c r="H18" i="46"/>
  <c r="H20" i="46"/>
  <c r="I18" i="46"/>
  <c r="I20" i="46"/>
  <c r="J18" i="46"/>
  <c r="J20" i="46"/>
  <c r="K18" i="46"/>
  <c r="K20" i="46"/>
  <c r="L18" i="46"/>
  <c r="L20" i="46"/>
  <c r="M18" i="46"/>
  <c r="M20" i="46"/>
  <c r="N18" i="46"/>
  <c r="N20" i="46"/>
  <c r="D60" i="46"/>
  <c r="E60" i="46"/>
  <c r="F60" i="46"/>
  <c r="G60" i="46"/>
  <c r="H60" i="46"/>
  <c r="I60" i="46"/>
  <c r="J60" i="46"/>
  <c r="K60" i="46"/>
  <c r="L60" i="46"/>
  <c r="M60" i="46"/>
  <c r="N60" i="46"/>
  <c r="D69" i="46"/>
  <c r="E69" i="46"/>
  <c r="F69" i="46"/>
  <c r="G69" i="46"/>
  <c r="H69" i="46"/>
  <c r="I69" i="46"/>
  <c r="J69" i="46"/>
  <c r="K69" i="46"/>
  <c r="L69" i="46"/>
  <c r="M69" i="46"/>
  <c r="N69" i="46"/>
  <c r="C33" i="52"/>
  <c r="C35" i="52"/>
  <c r="D35" i="52"/>
  <c r="E35" i="52"/>
  <c r="F35" i="52"/>
  <c r="G35" i="52"/>
  <c r="H35" i="52"/>
  <c r="I35" i="52"/>
  <c r="J35" i="52"/>
  <c r="K35" i="52"/>
  <c r="L35" i="52"/>
  <c r="M35" i="52"/>
  <c r="N35" i="52"/>
  <c r="C33" i="51"/>
  <c r="C35" i="51"/>
  <c r="E35" i="51"/>
  <c r="F35" i="51"/>
  <c r="G35" i="51"/>
  <c r="H35" i="51"/>
  <c r="I35" i="51"/>
  <c r="J35" i="51"/>
  <c r="K35" i="51"/>
  <c r="L35" i="51"/>
  <c r="M35" i="51"/>
  <c r="N35" i="51"/>
  <c r="C33" i="53"/>
  <c r="C35" i="53"/>
  <c r="D35" i="53"/>
  <c r="E35" i="53"/>
  <c r="F35" i="53"/>
  <c r="G35" i="53"/>
  <c r="H35" i="53"/>
  <c r="I35" i="53"/>
  <c r="J35" i="53"/>
  <c r="K35" i="53"/>
  <c r="L35" i="53"/>
  <c r="M35" i="53"/>
  <c r="N35" i="53"/>
  <c r="C33" i="50"/>
  <c r="C35" i="50"/>
  <c r="E35" i="50"/>
  <c r="F35" i="50"/>
  <c r="G35" i="50"/>
  <c r="H35" i="50"/>
  <c r="I35" i="50"/>
  <c r="J35" i="50"/>
  <c r="K35" i="50"/>
  <c r="L35" i="50"/>
  <c r="M35" i="50"/>
  <c r="N35" i="50"/>
  <c r="C83" i="47"/>
  <c r="R79" i="47"/>
  <c r="C37" i="54"/>
  <c r="C39" i="54"/>
  <c r="D37" i="54"/>
  <c r="D39" i="54"/>
  <c r="E39" i="54"/>
  <c r="F39" i="54"/>
  <c r="G39" i="54"/>
  <c r="H39" i="54"/>
  <c r="I39" i="54"/>
  <c r="J39" i="54"/>
  <c r="K39" i="54"/>
  <c r="L39" i="54"/>
  <c r="M39" i="54"/>
  <c r="N39" i="54"/>
  <c r="C33" i="49"/>
  <c r="C35" i="49"/>
  <c r="D33" i="49"/>
  <c r="D35" i="49"/>
  <c r="E35" i="49"/>
  <c r="F35" i="49"/>
  <c r="G35" i="49"/>
  <c r="H35" i="49"/>
  <c r="I35" i="49"/>
  <c r="J35" i="49"/>
  <c r="K35" i="49"/>
  <c r="L35" i="49"/>
  <c r="M35" i="49"/>
  <c r="N35" i="49"/>
  <c r="JD46" i="58"/>
  <c r="JD52" i="58"/>
  <c r="JD54" i="58"/>
  <c r="JD73" i="58"/>
  <c r="JD81" i="58"/>
  <c r="JD89" i="58"/>
  <c r="JD108" i="58"/>
  <c r="JD110" i="58"/>
  <c r="JD120" i="58"/>
  <c r="O489" i="25"/>
  <c r="O491" i="25"/>
  <c r="IO20" i="27"/>
  <c r="IO25" i="27"/>
  <c r="IO21" i="27"/>
  <c r="IO26" i="27"/>
  <c r="IN21" i="26"/>
  <c r="IO22" i="27"/>
  <c r="IO27" i="27"/>
  <c r="IO23" i="27"/>
  <c r="IO28" i="27"/>
  <c r="IO30" i="27"/>
  <c r="JD148" i="58"/>
  <c r="IO45" i="27"/>
  <c r="IO50" i="27"/>
  <c r="IO46" i="27"/>
  <c r="IO51" i="27"/>
  <c r="IO47" i="27"/>
  <c r="IO52" i="27"/>
  <c r="IO48" i="27"/>
  <c r="IO53" i="27"/>
  <c r="IO55" i="27"/>
  <c r="JD149" i="58"/>
  <c r="JD153" i="58"/>
  <c r="JD154" i="58"/>
  <c r="JD165" i="58"/>
  <c r="JD167" i="58"/>
  <c r="P632" i="25"/>
  <c r="JD191" i="58"/>
  <c r="P633" i="25"/>
  <c r="P634" i="25"/>
  <c r="P635" i="25"/>
  <c r="JD170" i="58"/>
  <c r="P250" i="28"/>
  <c r="P253" i="28"/>
  <c r="P251" i="28"/>
  <c r="P255" i="28"/>
  <c r="P252" i="28"/>
  <c r="P254" i="28"/>
  <c r="P257" i="28"/>
  <c r="JD174" i="58"/>
  <c r="JD175" i="58"/>
  <c r="JD178" i="58"/>
  <c r="JD188" i="58"/>
  <c r="JD192" i="58"/>
  <c r="JD197" i="58"/>
  <c r="P273" i="30"/>
  <c r="P279" i="30"/>
  <c r="P274" i="30"/>
  <c r="P277" i="30"/>
  <c r="P280" i="30"/>
  <c r="P282" i="30"/>
  <c r="JD198" i="58"/>
  <c r="P185" i="32"/>
  <c r="P187" i="32"/>
  <c r="P186" i="32"/>
  <c r="P188" i="32"/>
  <c r="P189" i="32"/>
  <c r="JD201" i="58"/>
  <c r="JD205" i="58"/>
  <c r="JE1" i="58"/>
  <c r="IW1" i="58"/>
  <c r="IX1" i="58"/>
  <c r="IY1" i="58"/>
  <c r="IZ1" i="58"/>
  <c r="JA1" i="58"/>
  <c r="JB1" i="58"/>
  <c r="JC1" i="58"/>
  <c r="JD1" i="58"/>
  <c r="IT205" i="58"/>
  <c r="IU205" i="58"/>
  <c r="IV205" i="58"/>
  <c r="IW205" i="58"/>
  <c r="IX205" i="58"/>
  <c r="IY205" i="58"/>
  <c r="IZ205" i="58"/>
  <c r="JA205" i="58"/>
  <c r="JB205" i="58"/>
  <c r="JC205" i="58"/>
  <c r="IS205" i="58"/>
  <c r="IH205" i="58"/>
  <c r="II205" i="58"/>
  <c r="IJ205" i="58"/>
  <c r="IK205" i="58"/>
  <c r="IL205" i="58"/>
  <c r="IM205" i="58"/>
  <c r="IN205" i="58"/>
  <c r="IO205" i="58"/>
  <c r="IP205" i="58"/>
  <c r="IQ205" i="58"/>
  <c r="IR205" i="58"/>
  <c r="IG205" i="58"/>
  <c r="HV205" i="58"/>
  <c r="HW205" i="58"/>
  <c r="HX205" i="58"/>
  <c r="HY205" i="58"/>
  <c r="HZ205" i="58"/>
  <c r="IA205" i="58"/>
  <c r="IB205" i="58"/>
  <c r="IC205" i="58"/>
  <c r="ID205" i="58"/>
  <c r="IE205" i="58"/>
  <c r="IF205" i="58"/>
  <c r="HU205" i="58"/>
  <c r="HJ205" i="58"/>
  <c r="HK205" i="58"/>
  <c r="HL205" i="58"/>
  <c r="HM205" i="58"/>
  <c r="HN205" i="58"/>
  <c r="HO205" i="58"/>
  <c r="HP205" i="58"/>
  <c r="HQ205" i="58"/>
  <c r="HR205" i="58"/>
  <c r="HS205" i="58"/>
  <c r="HT205" i="58"/>
  <c r="HI205" i="58"/>
  <c r="GX205" i="58"/>
  <c r="GY205" i="58"/>
  <c r="GZ205" i="58"/>
  <c r="HA205" i="58"/>
  <c r="HB205" i="58"/>
  <c r="HC205" i="58"/>
  <c r="HD205" i="58"/>
  <c r="HE205" i="58"/>
  <c r="HF205" i="58"/>
  <c r="HG205" i="58"/>
  <c r="HH205" i="58"/>
  <c r="GW205" i="58"/>
  <c r="GL205" i="58"/>
  <c r="GM205" i="58"/>
  <c r="GN205" i="58"/>
  <c r="GO205" i="58"/>
  <c r="GP205" i="58"/>
  <c r="GQ205" i="58"/>
  <c r="GR205" i="58"/>
  <c r="GS205" i="58"/>
  <c r="GT205" i="58"/>
  <c r="GU205" i="58"/>
  <c r="GV205" i="58"/>
  <c r="GK205" i="58"/>
  <c r="FZ205" i="58"/>
  <c r="GA205" i="58"/>
  <c r="GB205" i="58"/>
  <c r="GC205" i="58"/>
  <c r="GD205" i="58"/>
  <c r="GE205" i="58"/>
  <c r="GF205" i="58"/>
  <c r="GG205" i="58"/>
  <c r="GH205" i="58"/>
  <c r="GI205" i="58"/>
  <c r="GJ205" i="58"/>
  <c r="FY205" i="58"/>
  <c r="F186" i="32"/>
  <c r="F188" i="32"/>
  <c r="F185" i="32"/>
  <c r="F187" i="32"/>
  <c r="F189" i="32"/>
  <c r="IT201" i="58"/>
  <c r="G186" i="32"/>
  <c r="G188" i="32"/>
  <c r="G185" i="32"/>
  <c r="G187" i="32"/>
  <c r="G189" i="32"/>
  <c r="IU201" i="58"/>
  <c r="H186" i="32"/>
  <c r="H188" i="32"/>
  <c r="H185" i="32"/>
  <c r="H187" i="32"/>
  <c r="H189" i="32"/>
  <c r="IV201" i="58"/>
  <c r="I186" i="32"/>
  <c r="I188" i="32"/>
  <c r="I185" i="32"/>
  <c r="I187" i="32"/>
  <c r="I189" i="32"/>
  <c r="IW201" i="58"/>
  <c r="J186" i="32"/>
  <c r="J188" i="32"/>
  <c r="J185" i="32"/>
  <c r="J187" i="32"/>
  <c r="J189" i="32"/>
  <c r="IX201" i="58"/>
  <c r="K186" i="32"/>
  <c r="K188" i="32"/>
  <c r="K185" i="32"/>
  <c r="K187" i="32"/>
  <c r="K189" i="32"/>
  <c r="IY201" i="58"/>
  <c r="L186" i="32"/>
  <c r="L188" i="32"/>
  <c r="L185" i="32"/>
  <c r="L187" i="32"/>
  <c r="L189" i="32"/>
  <c r="IZ201" i="58"/>
  <c r="M186" i="32"/>
  <c r="M188" i="32"/>
  <c r="M185" i="32"/>
  <c r="M187" i="32"/>
  <c r="M189" i="32"/>
  <c r="JA201" i="58"/>
  <c r="N186" i="32"/>
  <c r="N188" i="32"/>
  <c r="N185" i="32"/>
  <c r="N187" i="32"/>
  <c r="N189" i="32"/>
  <c r="JB201" i="58"/>
  <c r="O186" i="32"/>
  <c r="O188" i="32"/>
  <c r="O185" i="32"/>
  <c r="O187" i="32"/>
  <c r="O189" i="32"/>
  <c r="JC201" i="58"/>
  <c r="E186" i="32"/>
  <c r="E188" i="32"/>
  <c r="E185" i="32"/>
  <c r="E187" i="32"/>
  <c r="E189" i="32"/>
  <c r="IS201" i="58"/>
  <c r="F179" i="32"/>
  <c r="F181" i="32"/>
  <c r="F178" i="32"/>
  <c r="F180" i="32"/>
  <c r="F182" i="32"/>
  <c r="IH201" i="58"/>
  <c r="G179" i="32"/>
  <c r="G181" i="32"/>
  <c r="G178" i="32"/>
  <c r="G180" i="32"/>
  <c r="G182" i="32"/>
  <c r="II201" i="58"/>
  <c r="H179" i="32"/>
  <c r="H181" i="32"/>
  <c r="H178" i="32"/>
  <c r="H180" i="32"/>
  <c r="H182" i="32"/>
  <c r="IJ201" i="58"/>
  <c r="I179" i="32"/>
  <c r="I181" i="32"/>
  <c r="I178" i="32"/>
  <c r="I180" i="32"/>
  <c r="I182" i="32"/>
  <c r="IK201" i="58"/>
  <c r="J179" i="32"/>
  <c r="J181" i="32"/>
  <c r="J178" i="32"/>
  <c r="J180" i="32"/>
  <c r="J182" i="32"/>
  <c r="IL201" i="58"/>
  <c r="K179" i="32"/>
  <c r="K181" i="32"/>
  <c r="K178" i="32"/>
  <c r="K180" i="32"/>
  <c r="K182" i="32"/>
  <c r="IM201" i="58"/>
  <c r="L179" i="32"/>
  <c r="L181" i="32"/>
  <c r="L178" i="32"/>
  <c r="L180" i="32"/>
  <c r="L182" i="32"/>
  <c r="IN201" i="58"/>
  <c r="M179" i="32"/>
  <c r="M181" i="32"/>
  <c r="M178" i="32"/>
  <c r="M180" i="32"/>
  <c r="M182" i="32"/>
  <c r="IO201" i="58"/>
  <c r="N179" i="32"/>
  <c r="N181" i="32"/>
  <c r="N178" i="32"/>
  <c r="N180" i="32"/>
  <c r="N182" i="32"/>
  <c r="IP201" i="58"/>
  <c r="O179" i="32"/>
  <c r="O181" i="32"/>
  <c r="O178" i="32"/>
  <c r="O180" i="32"/>
  <c r="O182" i="32"/>
  <c r="IQ201" i="58"/>
  <c r="P179" i="32"/>
  <c r="P181" i="32"/>
  <c r="P178" i="32"/>
  <c r="P180" i="32"/>
  <c r="P182" i="32"/>
  <c r="IR201" i="58"/>
  <c r="E179" i="32"/>
  <c r="E181" i="32"/>
  <c r="E178" i="32"/>
  <c r="E180" i="32"/>
  <c r="E182" i="32"/>
  <c r="IG201" i="58"/>
  <c r="F172" i="32"/>
  <c r="F174" i="32"/>
  <c r="F171" i="32"/>
  <c r="F173" i="32"/>
  <c r="F175" i="32"/>
  <c r="HV201" i="58"/>
  <c r="G172" i="32"/>
  <c r="G174" i="32"/>
  <c r="G171" i="32"/>
  <c r="G173" i="32"/>
  <c r="G175" i="32"/>
  <c r="HW201" i="58"/>
  <c r="H172" i="32"/>
  <c r="H174" i="32"/>
  <c r="H171" i="32"/>
  <c r="H173" i="32"/>
  <c r="H175" i="32"/>
  <c r="HX201" i="58"/>
  <c r="I172" i="32"/>
  <c r="I174" i="32"/>
  <c r="I171" i="32"/>
  <c r="I173" i="32"/>
  <c r="I175" i="32"/>
  <c r="HY201" i="58"/>
  <c r="J172" i="32"/>
  <c r="J174" i="32"/>
  <c r="J171" i="32"/>
  <c r="J173" i="32"/>
  <c r="J175" i="32"/>
  <c r="HZ201" i="58"/>
  <c r="K172" i="32"/>
  <c r="K174" i="32"/>
  <c r="K171" i="32"/>
  <c r="K173" i="32"/>
  <c r="K175" i="32"/>
  <c r="IA201" i="58"/>
  <c r="L172" i="32"/>
  <c r="L174" i="32"/>
  <c r="L171" i="32"/>
  <c r="L173" i="32"/>
  <c r="L175" i="32"/>
  <c r="IB201" i="58"/>
  <c r="M172" i="32"/>
  <c r="M174" i="32"/>
  <c r="M171" i="32"/>
  <c r="M173" i="32"/>
  <c r="M175" i="32"/>
  <c r="IC201" i="58"/>
  <c r="N172" i="32"/>
  <c r="N174" i="32"/>
  <c r="N171" i="32"/>
  <c r="N173" i="32"/>
  <c r="N175" i="32"/>
  <c r="ID201" i="58"/>
  <c r="O172" i="32"/>
  <c r="O174" i="32"/>
  <c r="O171" i="32"/>
  <c r="O173" i="32"/>
  <c r="O175" i="32"/>
  <c r="IE201" i="58"/>
  <c r="P172" i="32"/>
  <c r="P174" i="32"/>
  <c r="P171" i="32"/>
  <c r="P173" i="32"/>
  <c r="P175" i="32"/>
  <c r="IF201" i="58"/>
  <c r="E172" i="32"/>
  <c r="E174" i="32"/>
  <c r="E171" i="32"/>
  <c r="E173" i="32"/>
  <c r="E175" i="32"/>
  <c r="HU201" i="58"/>
  <c r="F165" i="32"/>
  <c r="F167" i="32"/>
  <c r="F164" i="32"/>
  <c r="F166" i="32"/>
  <c r="F168" i="32"/>
  <c r="HJ201" i="58"/>
  <c r="G165" i="32"/>
  <c r="G167" i="32"/>
  <c r="G164" i="32"/>
  <c r="G166" i="32"/>
  <c r="G168" i="32"/>
  <c r="HK201" i="58"/>
  <c r="H165" i="32"/>
  <c r="H167" i="32"/>
  <c r="H164" i="32"/>
  <c r="H166" i="32"/>
  <c r="H168" i="32"/>
  <c r="HL201" i="58"/>
  <c r="I165" i="32"/>
  <c r="I167" i="32"/>
  <c r="I164" i="32"/>
  <c r="I166" i="32"/>
  <c r="I168" i="32"/>
  <c r="HM201" i="58"/>
  <c r="J165" i="32"/>
  <c r="J167" i="32"/>
  <c r="J164" i="32"/>
  <c r="J166" i="32"/>
  <c r="J168" i="32"/>
  <c r="HN201" i="58"/>
  <c r="K165" i="32"/>
  <c r="K167" i="32"/>
  <c r="K164" i="32"/>
  <c r="K166" i="32"/>
  <c r="K168" i="32"/>
  <c r="HO201" i="58"/>
  <c r="L165" i="32"/>
  <c r="L167" i="32"/>
  <c r="L164" i="32"/>
  <c r="L166" i="32"/>
  <c r="L168" i="32"/>
  <c r="HP201" i="58"/>
  <c r="M165" i="32"/>
  <c r="M167" i="32"/>
  <c r="M164" i="32"/>
  <c r="M166" i="32"/>
  <c r="M168" i="32"/>
  <c r="HQ201" i="58"/>
  <c r="N165" i="32"/>
  <c r="N167" i="32"/>
  <c r="N164" i="32"/>
  <c r="N166" i="32"/>
  <c r="N168" i="32"/>
  <c r="HR201" i="58"/>
  <c r="O165" i="32"/>
  <c r="O167" i="32"/>
  <c r="O164" i="32"/>
  <c r="O166" i="32"/>
  <c r="O168" i="32"/>
  <c r="HS201" i="58"/>
  <c r="P165" i="32"/>
  <c r="P167" i="32"/>
  <c r="P164" i="32"/>
  <c r="P166" i="32"/>
  <c r="P168" i="32"/>
  <c r="HT201" i="58"/>
  <c r="E165" i="32"/>
  <c r="E167" i="32"/>
  <c r="E164" i="32"/>
  <c r="E166" i="32"/>
  <c r="E168" i="32"/>
  <c r="HI201" i="58"/>
  <c r="F158" i="32"/>
  <c r="F160" i="32"/>
  <c r="F157" i="32"/>
  <c r="F159" i="32"/>
  <c r="F161" i="32"/>
  <c r="GX201" i="58"/>
  <c r="G158" i="32"/>
  <c r="G160" i="32"/>
  <c r="G157" i="32"/>
  <c r="G159" i="32"/>
  <c r="G161" i="32"/>
  <c r="GY201" i="58"/>
  <c r="H158" i="32"/>
  <c r="H160" i="32"/>
  <c r="H157" i="32"/>
  <c r="H159" i="32"/>
  <c r="H161" i="32"/>
  <c r="GZ201" i="58"/>
  <c r="I158" i="32"/>
  <c r="I160" i="32"/>
  <c r="I157" i="32"/>
  <c r="I159" i="32"/>
  <c r="I161" i="32"/>
  <c r="HA201" i="58"/>
  <c r="J158" i="32"/>
  <c r="J160" i="32"/>
  <c r="J157" i="32"/>
  <c r="J159" i="32"/>
  <c r="J161" i="32"/>
  <c r="HB201" i="58"/>
  <c r="K158" i="32"/>
  <c r="K160" i="32"/>
  <c r="K157" i="32"/>
  <c r="K159" i="32"/>
  <c r="K161" i="32"/>
  <c r="HC201" i="58"/>
  <c r="L158" i="32"/>
  <c r="L160" i="32"/>
  <c r="L157" i="32"/>
  <c r="L159" i="32"/>
  <c r="L161" i="32"/>
  <c r="HD201" i="58"/>
  <c r="M158" i="32"/>
  <c r="M160" i="32"/>
  <c r="M157" i="32"/>
  <c r="M159" i="32"/>
  <c r="M161" i="32"/>
  <c r="HE201" i="58"/>
  <c r="N158" i="32"/>
  <c r="N160" i="32"/>
  <c r="N157" i="32"/>
  <c r="N159" i="32"/>
  <c r="N161" i="32"/>
  <c r="HF201" i="58"/>
  <c r="O158" i="32"/>
  <c r="O160" i="32"/>
  <c r="O157" i="32"/>
  <c r="O159" i="32"/>
  <c r="O161" i="32"/>
  <c r="HG201" i="58"/>
  <c r="P158" i="32"/>
  <c r="P160" i="32"/>
  <c r="P157" i="32"/>
  <c r="P159" i="32"/>
  <c r="P161" i="32"/>
  <c r="HH201" i="58"/>
  <c r="E158" i="32"/>
  <c r="E160" i="32"/>
  <c r="E157" i="32"/>
  <c r="E159" i="32"/>
  <c r="E161" i="32"/>
  <c r="GW201" i="58"/>
  <c r="F151" i="32"/>
  <c r="F153" i="32"/>
  <c r="F150" i="32"/>
  <c r="F152" i="32"/>
  <c r="F154" i="32"/>
  <c r="GL201" i="58"/>
  <c r="G151" i="32"/>
  <c r="G153" i="32"/>
  <c r="G150" i="32"/>
  <c r="G152" i="32"/>
  <c r="G154" i="32"/>
  <c r="GM201" i="58"/>
  <c r="H151" i="32"/>
  <c r="H153" i="32"/>
  <c r="H150" i="32"/>
  <c r="H152" i="32"/>
  <c r="H154" i="32"/>
  <c r="GN201" i="58"/>
  <c r="I151" i="32"/>
  <c r="I153" i="32"/>
  <c r="I150" i="32"/>
  <c r="I152" i="32"/>
  <c r="I154" i="32"/>
  <c r="GO201" i="58"/>
  <c r="J151" i="32"/>
  <c r="J153" i="32"/>
  <c r="J150" i="32"/>
  <c r="J152" i="32"/>
  <c r="J154" i="32"/>
  <c r="GP201" i="58"/>
  <c r="K151" i="32"/>
  <c r="K153" i="32"/>
  <c r="K150" i="32"/>
  <c r="K152" i="32"/>
  <c r="K154" i="32"/>
  <c r="GQ201" i="58"/>
  <c r="L151" i="32"/>
  <c r="L153" i="32"/>
  <c r="L150" i="32"/>
  <c r="L152" i="32"/>
  <c r="L154" i="32"/>
  <c r="GR201" i="58"/>
  <c r="M151" i="32"/>
  <c r="M153" i="32"/>
  <c r="M150" i="32"/>
  <c r="M152" i="32"/>
  <c r="M154" i="32"/>
  <c r="GS201" i="58"/>
  <c r="N151" i="32"/>
  <c r="N153" i="32"/>
  <c r="N150" i="32"/>
  <c r="N152" i="32"/>
  <c r="N154" i="32"/>
  <c r="GT201" i="58"/>
  <c r="O151" i="32"/>
  <c r="O153" i="32"/>
  <c r="O150" i="32"/>
  <c r="O152" i="32"/>
  <c r="O154" i="32"/>
  <c r="GU201" i="58"/>
  <c r="P151" i="32"/>
  <c r="P153" i="32"/>
  <c r="P150" i="32"/>
  <c r="P152" i="32"/>
  <c r="P154" i="32"/>
  <c r="GV201" i="58"/>
  <c r="E151" i="32"/>
  <c r="E153" i="32"/>
  <c r="E150" i="32"/>
  <c r="E152" i="32"/>
  <c r="E154" i="32"/>
  <c r="GK201" i="58"/>
  <c r="F144" i="32"/>
  <c r="F146" i="32"/>
  <c r="F143" i="32"/>
  <c r="F145" i="32"/>
  <c r="F147" i="32"/>
  <c r="FZ201" i="58"/>
  <c r="G144" i="32"/>
  <c r="G146" i="32"/>
  <c r="G143" i="32"/>
  <c r="G145" i="32"/>
  <c r="G147" i="32"/>
  <c r="GA201" i="58"/>
  <c r="H144" i="32"/>
  <c r="H146" i="32"/>
  <c r="H143" i="32"/>
  <c r="H145" i="32"/>
  <c r="H147" i="32"/>
  <c r="GB201" i="58"/>
  <c r="I144" i="32"/>
  <c r="I146" i="32"/>
  <c r="I143" i="32"/>
  <c r="I145" i="32"/>
  <c r="I147" i="32"/>
  <c r="GC201" i="58"/>
  <c r="J144" i="32"/>
  <c r="J146" i="32"/>
  <c r="J143" i="32"/>
  <c r="J145" i="32"/>
  <c r="J147" i="32"/>
  <c r="GD201" i="58"/>
  <c r="K144" i="32"/>
  <c r="K146" i="32"/>
  <c r="K143" i="32"/>
  <c r="K145" i="32"/>
  <c r="K147" i="32"/>
  <c r="GE201" i="58"/>
  <c r="L144" i="32"/>
  <c r="L146" i="32"/>
  <c r="L143" i="32"/>
  <c r="L145" i="32"/>
  <c r="L147" i="32"/>
  <c r="GF201" i="58"/>
  <c r="M144" i="32"/>
  <c r="M146" i="32"/>
  <c r="M143" i="32"/>
  <c r="M145" i="32"/>
  <c r="M147" i="32"/>
  <c r="GG201" i="58"/>
  <c r="N144" i="32"/>
  <c r="N146" i="32"/>
  <c r="N143" i="32"/>
  <c r="N145" i="32"/>
  <c r="N147" i="32"/>
  <c r="GH201" i="58"/>
  <c r="O144" i="32"/>
  <c r="O146" i="32"/>
  <c r="O143" i="32"/>
  <c r="O145" i="32"/>
  <c r="O147" i="32"/>
  <c r="GI201" i="58"/>
  <c r="P144" i="32"/>
  <c r="P146" i="32"/>
  <c r="P143" i="32"/>
  <c r="P145" i="32"/>
  <c r="P147" i="32"/>
  <c r="GJ201" i="58"/>
  <c r="FY201" i="58"/>
  <c r="E495" i="33"/>
  <c r="E501" i="33"/>
  <c r="E497" i="33"/>
  <c r="E503" i="33"/>
  <c r="E494" i="33"/>
  <c r="E500" i="33"/>
  <c r="E496" i="33"/>
  <c r="E502" i="33"/>
  <c r="E498" i="33"/>
  <c r="E504" i="33"/>
  <c r="E508" i="33"/>
  <c r="IT183" i="58"/>
  <c r="F299" i="31"/>
  <c r="D388" i="33"/>
  <c r="F305" i="31"/>
  <c r="F298" i="31"/>
  <c r="F304" i="31"/>
  <c r="F300" i="31"/>
  <c r="F303" i="31"/>
  <c r="F306" i="31"/>
  <c r="F307" i="31"/>
  <c r="IT199" i="58"/>
  <c r="F495" i="33"/>
  <c r="F501" i="33"/>
  <c r="F497" i="33"/>
  <c r="F503" i="33"/>
  <c r="F494" i="33"/>
  <c r="F500" i="33"/>
  <c r="F496" i="33"/>
  <c r="F502" i="33"/>
  <c r="F498" i="33"/>
  <c r="F504" i="33"/>
  <c r="F508" i="33"/>
  <c r="IU183" i="58"/>
  <c r="G299" i="31"/>
  <c r="G305" i="31"/>
  <c r="G298" i="31"/>
  <c r="G304" i="31"/>
  <c r="G300" i="31"/>
  <c r="G303" i="31"/>
  <c r="G306" i="31"/>
  <c r="G307" i="31"/>
  <c r="IU199" i="58"/>
  <c r="G495" i="33"/>
  <c r="G501" i="33"/>
  <c r="G497" i="33"/>
  <c r="G503" i="33"/>
  <c r="G494" i="33"/>
  <c r="G500" i="33"/>
  <c r="G496" i="33"/>
  <c r="G502" i="33"/>
  <c r="G498" i="33"/>
  <c r="G504" i="33"/>
  <c r="G508" i="33"/>
  <c r="IV183" i="58"/>
  <c r="H299" i="31"/>
  <c r="H305" i="31"/>
  <c r="H298" i="31"/>
  <c r="H304" i="31"/>
  <c r="H300" i="31"/>
  <c r="H303" i="31"/>
  <c r="H306" i="31"/>
  <c r="H307" i="31"/>
  <c r="IV199" i="58"/>
  <c r="H495" i="33"/>
  <c r="H501" i="33"/>
  <c r="H497" i="33"/>
  <c r="H503" i="33"/>
  <c r="H494" i="33"/>
  <c r="H500" i="33"/>
  <c r="H496" i="33"/>
  <c r="H502" i="33"/>
  <c r="H498" i="33"/>
  <c r="H504" i="33"/>
  <c r="H508" i="33"/>
  <c r="IW183" i="58"/>
  <c r="I299" i="31"/>
  <c r="I305" i="31"/>
  <c r="I298" i="31"/>
  <c r="I304" i="31"/>
  <c r="I300" i="31"/>
  <c r="I303" i="31"/>
  <c r="I306" i="31"/>
  <c r="I307" i="31"/>
  <c r="IW199" i="58"/>
  <c r="I495" i="33"/>
  <c r="I501" i="33"/>
  <c r="I497" i="33"/>
  <c r="I503" i="33"/>
  <c r="I494" i="33"/>
  <c r="I500" i="33"/>
  <c r="I496" i="33"/>
  <c r="I502" i="33"/>
  <c r="I498" i="33"/>
  <c r="I504" i="33"/>
  <c r="I508" i="33"/>
  <c r="IX183" i="58"/>
  <c r="J299" i="31"/>
  <c r="J305" i="31"/>
  <c r="J298" i="31"/>
  <c r="J304" i="31"/>
  <c r="J300" i="31"/>
  <c r="J303" i="31"/>
  <c r="J306" i="31"/>
  <c r="J307" i="31"/>
  <c r="IX199" i="58"/>
  <c r="J495" i="33"/>
  <c r="J501" i="33"/>
  <c r="J497" i="33"/>
  <c r="J503" i="33"/>
  <c r="J494" i="33"/>
  <c r="J500" i="33"/>
  <c r="J496" i="33"/>
  <c r="J502" i="33"/>
  <c r="J498" i="33"/>
  <c r="J504" i="33"/>
  <c r="J508" i="33"/>
  <c r="IY183" i="58"/>
  <c r="K299" i="31"/>
  <c r="K305" i="31"/>
  <c r="K298" i="31"/>
  <c r="K304" i="31"/>
  <c r="K300" i="31"/>
  <c r="K303" i="31"/>
  <c r="K306" i="31"/>
  <c r="K307" i="31"/>
  <c r="IY199" i="58"/>
  <c r="K495" i="33"/>
  <c r="K501" i="33"/>
  <c r="K497" i="33"/>
  <c r="K503" i="33"/>
  <c r="K494" i="33"/>
  <c r="K500" i="33"/>
  <c r="K496" i="33"/>
  <c r="K502" i="33"/>
  <c r="K498" i="33"/>
  <c r="K504" i="33"/>
  <c r="K508" i="33"/>
  <c r="IZ183" i="58"/>
  <c r="L299" i="31"/>
  <c r="L305" i="31"/>
  <c r="L298" i="31"/>
  <c r="L304" i="31"/>
  <c r="L300" i="31"/>
  <c r="L303" i="31"/>
  <c r="L306" i="31"/>
  <c r="L307" i="31"/>
  <c r="IZ199" i="58"/>
  <c r="L495" i="33"/>
  <c r="L501" i="33"/>
  <c r="L497" i="33"/>
  <c r="L503" i="33"/>
  <c r="L494" i="33"/>
  <c r="L500" i="33"/>
  <c r="L496" i="33"/>
  <c r="L502" i="33"/>
  <c r="L498" i="33"/>
  <c r="L504" i="33"/>
  <c r="L508" i="33"/>
  <c r="JA183" i="58"/>
  <c r="M299" i="31"/>
  <c r="M305" i="31"/>
  <c r="M298" i="31"/>
  <c r="M304" i="31"/>
  <c r="M300" i="31"/>
  <c r="M303" i="31"/>
  <c r="M306" i="31"/>
  <c r="M307" i="31"/>
  <c r="JA199" i="58"/>
  <c r="M495" i="33"/>
  <c r="M501" i="33"/>
  <c r="M497" i="33"/>
  <c r="M503" i="33"/>
  <c r="M494" i="33"/>
  <c r="M500" i="33"/>
  <c r="M496" i="33"/>
  <c r="M502" i="33"/>
  <c r="M498" i="33"/>
  <c r="M504" i="33"/>
  <c r="M508" i="33"/>
  <c r="JB183" i="58"/>
  <c r="N299" i="31"/>
  <c r="N305" i="31"/>
  <c r="N298" i="31"/>
  <c r="N304" i="31"/>
  <c r="N300" i="31"/>
  <c r="N303" i="31"/>
  <c r="N306" i="31"/>
  <c r="N307" i="31"/>
  <c r="JB199" i="58"/>
  <c r="N495" i="33"/>
  <c r="N501" i="33"/>
  <c r="N497" i="33"/>
  <c r="N503" i="33"/>
  <c r="N494" i="33"/>
  <c r="N500" i="33"/>
  <c r="N496" i="33"/>
  <c r="N502" i="33"/>
  <c r="N498" i="33"/>
  <c r="N504" i="33"/>
  <c r="N508" i="33"/>
  <c r="JC183" i="58"/>
  <c r="O299" i="31"/>
  <c r="O305" i="31"/>
  <c r="O298" i="31"/>
  <c r="O304" i="31"/>
  <c r="O300" i="31"/>
  <c r="O303" i="31"/>
  <c r="O306" i="31"/>
  <c r="O307" i="31"/>
  <c r="JC199" i="58"/>
  <c r="O495" i="33"/>
  <c r="O501" i="33"/>
  <c r="O497" i="33"/>
  <c r="O503" i="33"/>
  <c r="O494" i="33"/>
  <c r="O500" i="33"/>
  <c r="O496" i="33"/>
  <c r="O502" i="33"/>
  <c r="O498" i="33"/>
  <c r="O504" i="33"/>
  <c r="P298" i="31"/>
  <c r="P304" i="31"/>
  <c r="P300" i="31"/>
  <c r="P303" i="31"/>
  <c r="P306" i="31"/>
  <c r="D495" i="33"/>
  <c r="D501" i="33"/>
  <c r="D497" i="33"/>
  <c r="D503" i="33"/>
  <c r="D494" i="33"/>
  <c r="D500" i="33"/>
  <c r="D496" i="33"/>
  <c r="D502" i="33"/>
  <c r="D498" i="33"/>
  <c r="D504" i="33"/>
  <c r="D508" i="33"/>
  <c r="IS183" i="58"/>
  <c r="E299" i="31"/>
  <c r="E305" i="31"/>
  <c r="E298" i="31"/>
  <c r="E304" i="31"/>
  <c r="E300" i="31"/>
  <c r="E303" i="31"/>
  <c r="E306" i="31"/>
  <c r="E307" i="31"/>
  <c r="IS199" i="58"/>
  <c r="E475" i="33"/>
  <c r="E481" i="33"/>
  <c r="E477" i="33"/>
  <c r="E483" i="33"/>
  <c r="E474" i="33"/>
  <c r="E480" i="33"/>
  <c r="E476" i="33"/>
  <c r="E482" i="33"/>
  <c r="E478" i="33"/>
  <c r="E484" i="33"/>
  <c r="E488" i="33"/>
  <c r="IH183" i="58"/>
  <c r="F287" i="31"/>
  <c r="F293" i="31"/>
  <c r="F286" i="31"/>
  <c r="F292" i="31"/>
  <c r="F288" i="31"/>
  <c r="F291" i="31"/>
  <c r="F294" i="31"/>
  <c r="F295" i="31"/>
  <c r="IH199" i="58"/>
  <c r="F475" i="33"/>
  <c r="F481" i="33"/>
  <c r="F477" i="33"/>
  <c r="F483" i="33"/>
  <c r="F474" i="33"/>
  <c r="F480" i="33"/>
  <c r="F476" i="33"/>
  <c r="F482" i="33"/>
  <c r="F478" i="33"/>
  <c r="F484" i="33"/>
  <c r="F488" i="33"/>
  <c r="II183" i="58"/>
  <c r="G287" i="31"/>
  <c r="G293" i="31"/>
  <c r="G286" i="31"/>
  <c r="G292" i="31"/>
  <c r="G288" i="31"/>
  <c r="G291" i="31"/>
  <c r="G294" i="31"/>
  <c r="G295" i="31"/>
  <c r="II199" i="58"/>
  <c r="G475" i="33"/>
  <c r="G481" i="33"/>
  <c r="G477" i="33"/>
  <c r="G483" i="33"/>
  <c r="G474" i="33"/>
  <c r="G480" i="33"/>
  <c r="G476" i="33"/>
  <c r="G482" i="33"/>
  <c r="G478" i="33"/>
  <c r="G484" i="33"/>
  <c r="G488" i="33"/>
  <c r="IJ183" i="58"/>
  <c r="H287" i="31"/>
  <c r="H293" i="31"/>
  <c r="H286" i="31"/>
  <c r="H292" i="31"/>
  <c r="H288" i="31"/>
  <c r="H291" i="31"/>
  <c r="H294" i="31"/>
  <c r="H295" i="31"/>
  <c r="IJ199" i="58"/>
  <c r="H475" i="33"/>
  <c r="H481" i="33"/>
  <c r="H477" i="33"/>
  <c r="H483" i="33"/>
  <c r="H474" i="33"/>
  <c r="H480" i="33"/>
  <c r="H476" i="33"/>
  <c r="H482" i="33"/>
  <c r="H478" i="33"/>
  <c r="H484" i="33"/>
  <c r="H488" i="33"/>
  <c r="IK183" i="58"/>
  <c r="I287" i="31"/>
  <c r="I293" i="31"/>
  <c r="I286" i="31"/>
  <c r="I292" i="31"/>
  <c r="I288" i="31"/>
  <c r="I291" i="31"/>
  <c r="I294" i="31"/>
  <c r="I295" i="31"/>
  <c r="IK199" i="58"/>
  <c r="I475" i="33"/>
  <c r="I481" i="33"/>
  <c r="I477" i="33"/>
  <c r="I483" i="33"/>
  <c r="I474" i="33"/>
  <c r="I480" i="33"/>
  <c r="I476" i="33"/>
  <c r="I482" i="33"/>
  <c r="I478" i="33"/>
  <c r="I484" i="33"/>
  <c r="I488" i="33"/>
  <c r="IL183" i="58"/>
  <c r="J287" i="31"/>
  <c r="J293" i="31"/>
  <c r="J286" i="31"/>
  <c r="J292" i="31"/>
  <c r="J288" i="31"/>
  <c r="J291" i="31"/>
  <c r="J294" i="31"/>
  <c r="J295" i="31"/>
  <c r="IL199" i="58"/>
  <c r="J475" i="33"/>
  <c r="J481" i="33"/>
  <c r="J477" i="33"/>
  <c r="J483" i="33"/>
  <c r="J474" i="33"/>
  <c r="J480" i="33"/>
  <c r="J476" i="33"/>
  <c r="J482" i="33"/>
  <c r="J478" i="33"/>
  <c r="J484" i="33"/>
  <c r="J488" i="33"/>
  <c r="IM183" i="58"/>
  <c r="K287" i="31"/>
  <c r="K293" i="31"/>
  <c r="K286" i="31"/>
  <c r="K292" i="31"/>
  <c r="K288" i="31"/>
  <c r="K291" i="31"/>
  <c r="K294" i="31"/>
  <c r="K295" i="31"/>
  <c r="IM199" i="58"/>
  <c r="K475" i="33"/>
  <c r="K481" i="33"/>
  <c r="K477" i="33"/>
  <c r="K483" i="33"/>
  <c r="K474" i="33"/>
  <c r="K480" i="33"/>
  <c r="K476" i="33"/>
  <c r="K482" i="33"/>
  <c r="K478" i="33"/>
  <c r="K484" i="33"/>
  <c r="K488" i="33"/>
  <c r="IN183" i="58"/>
  <c r="L287" i="31"/>
  <c r="L293" i="31"/>
  <c r="L286" i="31"/>
  <c r="L292" i="31"/>
  <c r="L288" i="31"/>
  <c r="L291" i="31"/>
  <c r="L294" i="31"/>
  <c r="L295" i="31"/>
  <c r="IN199" i="58"/>
  <c r="L475" i="33"/>
  <c r="L481" i="33"/>
  <c r="L477" i="33"/>
  <c r="L483" i="33"/>
  <c r="L474" i="33"/>
  <c r="L480" i="33"/>
  <c r="L476" i="33"/>
  <c r="L482" i="33"/>
  <c r="L478" i="33"/>
  <c r="L484" i="33"/>
  <c r="L488" i="33"/>
  <c r="IO183" i="58"/>
  <c r="M287" i="31"/>
  <c r="M293" i="31"/>
  <c r="M286" i="31"/>
  <c r="M292" i="31"/>
  <c r="M288" i="31"/>
  <c r="M291" i="31"/>
  <c r="M294" i="31"/>
  <c r="M295" i="31"/>
  <c r="IO199" i="58"/>
  <c r="M475" i="33"/>
  <c r="M481" i="33"/>
  <c r="M477" i="33"/>
  <c r="M483" i="33"/>
  <c r="M474" i="33"/>
  <c r="M480" i="33"/>
  <c r="M476" i="33"/>
  <c r="M482" i="33"/>
  <c r="M478" i="33"/>
  <c r="M484" i="33"/>
  <c r="M488" i="33"/>
  <c r="IP183" i="58"/>
  <c r="N287" i="31"/>
  <c r="N293" i="31"/>
  <c r="N286" i="31"/>
  <c r="N292" i="31"/>
  <c r="N288" i="31"/>
  <c r="N291" i="31"/>
  <c r="N294" i="31"/>
  <c r="N295" i="31"/>
  <c r="IP199" i="58"/>
  <c r="N475" i="33"/>
  <c r="N481" i="33"/>
  <c r="N477" i="33"/>
  <c r="N483" i="33"/>
  <c r="N474" i="33"/>
  <c r="N480" i="33"/>
  <c r="N476" i="33"/>
  <c r="N482" i="33"/>
  <c r="N478" i="33"/>
  <c r="N484" i="33"/>
  <c r="N488" i="33"/>
  <c r="IQ183" i="58"/>
  <c r="O287" i="31"/>
  <c r="O293" i="31"/>
  <c r="O286" i="31"/>
  <c r="O292" i="31"/>
  <c r="O288" i="31"/>
  <c r="O291" i="31"/>
  <c r="O294" i="31"/>
  <c r="O295" i="31"/>
  <c r="IQ199" i="58"/>
  <c r="O475" i="33"/>
  <c r="O481" i="33"/>
  <c r="O477" i="33"/>
  <c r="O483" i="33"/>
  <c r="O474" i="33"/>
  <c r="O480" i="33"/>
  <c r="O476" i="33"/>
  <c r="O482" i="33"/>
  <c r="O478" i="33"/>
  <c r="O484" i="33"/>
  <c r="O488" i="33"/>
  <c r="IR183" i="58"/>
  <c r="P287" i="31"/>
  <c r="P293" i="31"/>
  <c r="P286" i="31"/>
  <c r="P292" i="31"/>
  <c r="P288" i="31"/>
  <c r="P291" i="31"/>
  <c r="P294" i="31"/>
  <c r="P295" i="31"/>
  <c r="IR199" i="58"/>
  <c r="D475" i="33"/>
  <c r="D481" i="33"/>
  <c r="D477" i="33"/>
  <c r="D483" i="33"/>
  <c r="D474" i="33"/>
  <c r="D480" i="33"/>
  <c r="D476" i="33"/>
  <c r="D482" i="33"/>
  <c r="D478" i="33"/>
  <c r="D484" i="33"/>
  <c r="D488" i="33"/>
  <c r="IG183" i="58"/>
  <c r="E287" i="31"/>
  <c r="E293" i="31"/>
  <c r="E286" i="31"/>
  <c r="E292" i="31"/>
  <c r="E288" i="31"/>
  <c r="E291" i="31"/>
  <c r="E294" i="31"/>
  <c r="E295" i="31"/>
  <c r="IG199" i="58"/>
  <c r="E455" i="33"/>
  <c r="E461" i="33"/>
  <c r="E457" i="33"/>
  <c r="E463" i="33"/>
  <c r="E454" i="33"/>
  <c r="E460" i="33"/>
  <c r="E456" i="33"/>
  <c r="E462" i="33"/>
  <c r="E458" i="33"/>
  <c r="E464" i="33"/>
  <c r="E468" i="33"/>
  <c r="HV183" i="58"/>
  <c r="F275" i="31"/>
  <c r="F281" i="31"/>
  <c r="F274" i="31"/>
  <c r="F280" i="31"/>
  <c r="F276" i="31"/>
  <c r="F279" i="31"/>
  <c r="F282" i="31"/>
  <c r="F283" i="31"/>
  <c r="HV199" i="58"/>
  <c r="F455" i="33"/>
  <c r="F461" i="33"/>
  <c r="F457" i="33"/>
  <c r="F463" i="33"/>
  <c r="F454" i="33"/>
  <c r="F460" i="33"/>
  <c r="F456" i="33"/>
  <c r="F462" i="33"/>
  <c r="F458" i="33"/>
  <c r="F464" i="33"/>
  <c r="F468" i="33"/>
  <c r="HW183" i="58"/>
  <c r="G275" i="31"/>
  <c r="G281" i="31"/>
  <c r="G274" i="31"/>
  <c r="G280" i="31"/>
  <c r="G276" i="31"/>
  <c r="G279" i="31"/>
  <c r="G282" i="31"/>
  <c r="G283" i="31"/>
  <c r="HW199" i="58"/>
  <c r="G455" i="33"/>
  <c r="G461" i="33"/>
  <c r="G457" i="33"/>
  <c r="G463" i="33"/>
  <c r="G454" i="33"/>
  <c r="G460" i="33"/>
  <c r="G456" i="33"/>
  <c r="G462" i="33"/>
  <c r="G458" i="33"/>
  <c r="G464" i="33"/>
  <c r="G468" i="33"/>
  <c r="HX183" i="58"/>
  <c r="H275" i="31"/>
  <c r="H281" i="31"/>
  <c r="H274" i="31"/>
  <c r="H280" i="31"/>
  <c r="H276" i="31"/>
  <c r="H279" i="31"/>
  <c r="H282" i="31"/>
  <c r="H283" i="31"/>
  <c r="HX199" i="58"/>
  <c r="H455" i="33"/>
  <c r="H461" i="33"/>
  <c r="H457" i="33"/>
  <c r="H463" i="33"/>
  <c r="H454" i="33"/>
  <c r="H460" i="33"/>
  <c r="H456" i="33"/>
  <c r="H462" i="33"/>
  <c r="H458" i="33"/>
  <c r="H464" i="33"/>
  <c r="H468" i="33"/>
  <c r="HY183" i="58"/>
  <c r="I275" i="31"/>
  <c r="I281" i="31"/>
  <c r="I274" i="31"/>
  <c r="I280" i="31"/>
  <c r="I276" i="31"/>
  <c r="I279" i="31"/>
  <c r="I282" i="31"/>
  <c r="I283" i="31"/>
  <c r="HY199" i="58"/>
  <c r="I455" i="33"/>
  <c r="I461" i="33"/>
  <c r="I457" i="33"/>
  <c r="I463" i="33"/>
  <c r="I454" i="33"/>
  <c r="I460" i="33"/>
  <c r="I456" i="33"/>
  <c r="I462" i="33"/>
  <c r="I458" i="33"/>
  <c r="I464" i="33"/>
  <c r="I468" i="33"/>
  <c r="HZ183" i="58"/>
  <c r="J275" i="31"/>
  <c r="J281" i="31"/>
  <c r="J274" i="31"/>
  <c r="J280" i="31"/>
  <c r="J276" i="31"/>
  <c r="J279" i="31"/>
  <c r="J282" i="31"/>
  <c r="J283" i="31"/>
  <c r="HZ199" i="58"/>
  <c r="J455" i="33"/>
  <c r="J461" i="33"/>
  <c r="J457" i="33"/>
  <c r="J463" i="33"/>
  <c r="J454" i="33"/>
  <c r="J460" i="33"/>
  <c r="J456" i="33"/>
  <c r="J462" i="33"/>
  <c r="J458" i="33"/>
  <c r="J464" i="33"/>
  <c r="J468" i="33"/>
  <c r="IA183" i="58"/>
  <c r="K275" i="31"/>
  <c r="K281" i="31"/>
  <c r="K274" i="31"/>
  <c r="K280" i="31"/>
  <c r="K276" i="31"/>
  <c r="K279" i="31"/>
  <c r="K282" i="31"/>
  <c r="K283" i="31"/>
  <c r="IA199" i="58"/>
  <c r="K455" i="33"/>
  <c r="K461" i="33"/>
  <c r="K457" i="33"/>
  <c r="K463" i="33"/>
  <c r="K454" i="33"/>
  <c r="K460" i="33"/>
  <c r="K456" i="33"/>
  <c r="K462" i="33"/>
  <c r="K458" i="33"/>
  <c r="K464" i="33"/>
  <c r="K468" i="33"/>
  <c r="IB183" i="58"/>
  <c r="L275" i="31"/>
  <c r="L281" i="31"/>
  <c r="L274" i="31"/>
  <c r="L280" i="31"/>
  <c r="L276" i="31"/>
  <c r="L279" i="31"/>
  <c r="L282" i="31"/>
  <c r="L283" i="31"/>
  <c r="IB199" i="58"/>
  <c r="L455" i="33"/>
  <c r="L461" i="33"/>
  <c r="L457" i="33"/>
  <c r="L463" i="33"/>
  <c r="L454" i="33"/>
  <c r="L460" i="33"/>
  <c r="L456" i="33"/>
  <c r="L462" i="33"/>
  <c r="L458" i="33"/>
  <c r="L464" i="33"/>
  <c r="L468" i="33"/>
  <c r="IC183" i="58"/>
  <c r="M275" i="31"/>
  <c r="M281" i="31"/>
  <c r="M274" i="31"/>
  <c r="M280" i="31"/>
  <c r="M276" i="31"/>
  <c r="M279" i="31"/>
  <c r="M282" i="31"/>
  <c r="M283" i="31"/>
  <c r="IC199" i="58"/>
  <c r="M455" i="33"/>
  <c r="M461" i="33"/>
  <c r="M457" i="33"/>
  <c r="M463" i="33"/>
  <c r="M454" i="33"/>
  <c r="M460" i="33"/>
  <c r="M456" i="33"/>
  <c r="M462" i="33"/>
  <c r="M458" i="33"/>
  <c r="M464" i="33"/>
  <c r="M468" i="33"/>
  <c r="ID183" i="58"/>
  <c r="N275" i="31"/>
  <c r="N281" i="31"/>
  <c r="N274" i="31"/>
  <c r="N280" i="31"/>
  <c r="N276" i="31"/>
  <c r="N279" i="31"/>
  <c r="N282" i="31"/>
  <c r="N283" i="31"/>
  <c r="ID199" i="58"/>
  <c r="N455" i="33"/>
  <c r="N461" i="33"/>
  <c r="N457" i="33"/>
  <c r="N463" i="33"/>
  <c r="N454" i="33"/>
  <c r="N460" i="33"/>
  <c r="N456" i="33"/>
  <c r="N462" i="33"/>
  <c r="N458" i="33"/>
  <c r="N464" i="33"/>
  <c r="N468" i="33"/>
  <c r="IE183" i="58"/>
  <c r="O275" i="31"/>
  <c r="O281" i="31"/>
  <c r="O274" i="31"/>
  <c r="O280" i="31"/>
  <c r="O276" i="31"/>
  <c r="O279" i="31"/>
  <c r="O282" i="31"/>
  <c r="O283" i="31"/>
  <c r="IE199" i="58"/>
  <c r="O455" i="33"/>
  <c r="O461" i="33"/>
  <c r="O457" i="33"/>
  <c r="O463" i="33"/>
  <c r="O454" i="33"/>
  <c r="O460" i="33"/>
  <c r="O456" i="33"/>
  <c r="O462" i="33"/>
  <c r="O458" i="33"/>
  <c r="O464" i="33"/>
  <c r="O468" i="33"/>
  <c r="IF183" i="58"/>
  <c r="P275" i="31"/>
  <c r="P281" i="31"/>
  <c r="P274" i="31"/>
  <c r="P280" i="31"/>
  <c r="P276" i="31"/>
  <c r="P279" i="31"/>
  <c r="P282" i="31"/>
  <c r="P283" i="31"/>
  <c r="IF199" i="58"/>
  <c r="D455" i="33"/>
  <c r="D461" i="33"/>
  <c r="D457" i="33"/>
  <c r="D463" i="33"/>
  <c r="D454" i="33"/>
  <c r="D460" i="33"/>
  <c r="D456" i="33"/>
  <c r="D462" i="33"/>
  <c r="D458" i="33"/>
  <c r="D464" i="33"/>
  <c r="D468" i="33"/>
  <c r="HU183" i="58"/>
  <c r="E275" i="31"/>
  <c r="E281" i="31"/>
  <c r="E274" i="31"/>
  <c r="E280" i="31"/>
  <c r="E276" i="31"/>
  <c r="E279" i="31"/>
  <c r="E282" i="31"/>
  <c r="E283" i="31"/>
  <c r="HU199" i="58"/>
  <c r="E435" i="33"/>
  <c r="E441" i="33"/>
  <c r="E437" i="33"/>
  <c r="E443" i="33"/>
  <c r="E434" i="33"/>
  <c r="E440" i="33"/>
  <c r="E436" i="33"/>
  <c r="E442" i="33"/>
  <c r="E438" i="33"/>
  <c r="E444" i="33"/>
  <c r="E448" i="33"/>
  <c r="HJ183" i="58"/>
  <c r="F263" i="31"/>
  <c r="F269" i="31"/>
  <c r="F262" i="31"/>
  <c r="F268" i="31"/>
  <c r="F264" i="31"/>
  <c r="F267" i="31"/>
  <c r="F270" i="31"/>
  <c r="F271" i="31"/>
  <c r="HJ199" i="58"/>
  <c r="F435" i="33"/>
  <c r="F441" i="33"/>
  <c r="F437" i="33"/>
  <c r="F443" i="33"/>
  <c r="F434" i="33"/>
  <c r="F440" i="33"/>
  <c r="F436" i="33"/>
  <c r="F442" i="33"/>
  <c r="F438" i="33"/>
  <c r="F444" i="33"/>
  <c r="F448" i="33"/>
  <c r="HK183" i="58"/>
  <c r="G263" i="31"/>
  <c r="G269" i="31"/>
  <c r="G262" i="31"/>
  <c r="G268" i="31"/>
  <c r="G264" i="31"/>
  <c r="G267" i="31"/>
  <c r="G270" i="31"/>
  <c r="G271" i="31"/>
  <c r="HK199" i="58"/>
  <c r="G435" i="33"/>
  <c r="G441" i="33"/>
  <c r="G437" i="33"/>
  <c r="G443" i="33"/>
  <c r="G434" i="33"/>
  <c r="G440" i="33"/>
  <c r="G436" i="33"/>
  <c r="G442" i="33"/>
  <c r="G438" i="33"/>
  <c r="G444" i="33"/>
  <c r="G448" i="33"/>
  <c r="HL183" i="58"/>
  <c r="H263" i="31"/>
  <c r="H269" i="31"/>
  <c r="H262" i="31"/>
  <c r="H268" i="31"/>
  <c r="H264" i="31"/>
  <c r="H267" i="31"/>
  <c r="H270" i="31"/>
  <c r="H271" i="31"/>
  <c r="HL199" i="58"/>
  <c r="H435" i="33"/>
  <c r="H441" i="33"/>
  <c r="H437" i="33"/>
  <c r="H443" i="33"/>
  <c r="H434" i="33"/>
  <c r="H440" i="33"/>
  <c r="H436" i="33"/>
  <c r="H442" i="33"/>
  <c r="H438" i="33"/>
  <c r="H444" i="33"/>
  <c r="H448" i="33"/>
  <c r="HM183" i="58"/>
  <c r="I263" i="31"/>
  <c r="I269" i="31"/>
  <c r="I262" i="31"/>
  <c r="I268" i="31"/>
  <c r="I264" i="31"/>
  <c r="I267" i="31"/>
  <c r="I270" i="31"/>
  <c r="I271" i="31"/>
  <c r="HM199" i="58"/>
  <c r="I435" i="33"/>
  <c r="I441" i="33"/>
  <c r="I437" i="33"/>
  <c r="I443" i="33"/>
  <c r="I434" i="33"/>
  <c r="I440" i="33"/>
  <c r="I436" i="33"/>
  <c r="I442" i="33"/>
  <c r="I438" i="33"/>
  <c r="I444" i="33"/>
  <c r="I448" i="33"/>
  <c r="HN183" i="58"/>
  <c r="J263" i="31"/>
  <c r="J269" i="31"/>
  <c r="J262" i="31"/>
  <c r="J268" i="31"/>
  <c r="J264" i="31"/>
  <c r="J267" i="31"/>
  <c r="J270" i="31"/>
  <c r="J271" i="31"/>
  <c r="HN199" i="58"/>
  <c r="J435" i="33"/>
  <c r="J441" i="33"/>
  <c r="J437" i="33"/>
  <c r="J443" i="33"/>
  <c r="J434" i="33"/>
  <c r="J440" i="33"/>
  <c r="J436" i="33"/>
  <c r="J442" i="33"/>
  <c r="J438" i="33"/>
  <c r="J444" i="33"/>
  <c r="J448" i="33"/>
  <c r="HO183" i="58"/>
  <c r="K263" i="31"/>
  <c r="K269" i="31"/>
  <c r="K262" i="31"/>
  <c r="K268" i="31"/>
  <c r="K264" i="31"/>
  <c r="K267" i="31"/>
  <c r="K270" i="31"/>
  <c r="K271" i="31"/>
  <c r="HO199" i="58"/>
  <c r="K435" i="33"/>
  <c r="K441" i="33"/>
  <c r="K437" i="33"/>
  <c r="K443" i="33"/>
  <c r="K434" i="33"/>
  <c r="K440" i="33"/>
  <c r="K436" i="33"/>
  <c r="K442" i="33"/>
  <c r="K438" i="33"/>
  <c r="K444" i="33"/>
  <c r="K448" i="33"/>
  <c r="HP183" i="58"/>
  <c r="L263" i="31"/>
  <c r="L269" i="31"/>
  <c r="L262" i="31"/>
  <c r="L268" i="31"/>
  <c r="L264" i="31"/>
  <c r="L267" i="31"/>
  <c r="L270" i="31"/>
  <c r="L271" i="31"/>
  <c r="HP199" i="58"/>
  <c r="L435" i="33"/>
  <c r="L441" i="33"/>
  <c r="L437" i="33"/>
  <c r="L443" i="33"/>
  <c r="L434" i="33"/>
  <c r="L440" i="33"/>
  <c r="L436" i="33"/>
  <c r="L442" i="33"/>
  <c r="L438" i="33"/>
  <c r="L444" i="33"/>
  <c r="L448" i="33"/>
  <c r="HQ183" i="58"/>
  <c r="M263" i="31"/>
  <c r="M269" i="31"/>
  <c r="M262" i="31"/>
  <c r="M268" i="31"/>
  <c r="M264" i="31"/>
  <c r="M267" i="31"/>
  <c r="M270" i="31"/>
  <c r="M271" i="31"/>
  <c r="HQ199" i="58"/>
  <c r="M435" i="33"/>
  <c r="M441" i="33"/>
  <c r="M437" i="33"/>
  <c r="M443" i="33"/>
  <c r="M434" i="33"/>
  <c r="M440" i="33"/>
  <c r="M436" i="33"/>
  <c r="M442" i="33"/>
  <c r="M438" i="33"/>
  <c r="M444" i="33"/>
  <c r="M448" i="33"/>
  <c r="HR183" i="58"/>
  <c r="N263" i="31"/>
  <c r="N269" i="31"/>
  <c r="N262" i="31"/>
  <c r="N268" i="31"/>
  <c r="N264" i="31"/>
  <c r="N267" i="31"/>
  <c r="N270" i="31"/>
  <c r="N271" i="31"/>
  <c r="HR199" i="58"/>
  <c r="N435" i="33"/>
  <c r="N441" i="33"/>
  <c r="N437" i="33"/>
  <c r="N443" i="33"/>
  <c r="N434" i="33"/>
  <c r="N440" i="33"/>
  <c r="N436" i="33"/>
  <c r="N442" i="33"/>
  <c r="N438" i="33"/>
  <c r="N444" i="33"/>
  <c r="N448" i="33"/>
  <c r="HS183" i="58"/>
  <c r="O263" i="31"/>
  <c r="O269" i="31"/>
  <c r="O262" i="31"/>
  <c r="O268" i="31"/>
  <c r="O264" i="31"/>
  <c r="O267" i="31"/>
  <c r="O270" i="31"/>
  <c r="O271" i="31"/>
  <c r="HS199" i="58"/>
  <c r="O435" i="33"/>
  <c r="O441" i="33"/>
  <c r="O437" i="33"/>
  <c r="O443" i="33"/>
  <c r="O434" i="33"/>
  <c r="O440" i="33"/>
  <c r="O436" i="33"/>
  <c r="O442" i="33"/>
  <c r="O438" i="33"/>
  <c r="O444" i="33"/>
  <c r="O448" i="33"/>
  <c r="HT183" i="58"/>
  <c r="P263" i="31"/>
  <c r="P269" i="31"/>
  <c r="P262" i="31"/>
  <c r="P268" i="31"/>
  <c r="P264" i="31"/>
  <c r="P267" i="31"/>
  <c r="P270" i="31"/>
  <c r="P271" i="31"/>
  <c r="HT199" i="58"/>
  <c r="D435" i="33"/>
  <c r="D441" i="33"/>
  <c r="D437" i="33"/>
  <c r="D443" i="33"/>
  <c r="D434" i="33"/>
  <c r="D440" i="33"/>
  <c r="D436" i="33"/>
  <c r="D442" i="33"/>
  <c r="D438" i="33"/>
  <c r="D444" i="33"/>
  <c r="D448" i="33"/>
  <c r="HI183" i="58"/>
  <c r="E263" i="31"/>
  <c r="E269" i="31"/>
  <c r="E262" i="31"/>
  <c r="E268" i="31"/>
  <c r="E264" i="31"/>
  <c r="E267" i="31"/>
  <c r="E270" i="31"/>
  <c r="E271" i="31"/>
  <c r="HI199" i="58"/>
  <c r="E415" i="33"/>
  <c r="E421" i="33"/>
  <c r="E417" i="33"/>
  <c r="E423" i="33"/>
  <c r="E414" i="33"/>
  <c r="E420" i="33"/>
  <c r="E416" i="33"/>
  <c r="E422" i="33"/>
  <c r="E418" i="33"/>
  <c r="E424" i="33"/>
  <c r="E428" i="33"/>
  <c r="GX183" i="58"/>
  <c r="F251" i="31"/>
  <c r="F257" i="31"/>
  <c r="F250" i="31"/>
  <c r="F256" i="31"/>
  <c r="F252" i="31"/>
  <c r="F255" i="31"/>
  <c r="F258" i="31"/>
  <c r="F259" i="31"/>
  <c r="GX199" i="58"/>
  <c r="F415" i="33"/>
  <c r="F421" i="33"/>
  <c r="F417" i="33"/>
  <c r="F423" i="33"/>
  <c r="F414" i="33"/>
  <c r="F420" i="33"/>
  <c r="F416" i="33"/>
  <c r="F422" i="33"/>
  <c r="F418" i="33"/>
  <c r="F424" i="33"/>
  <c r="F428" i="33"/>
  <c r="GY183" i="58"/>
  <c r="G251" i="31"/>
  <c r="G257" i="31"/>
  <c r="G250" i="31"/>
  <c r="G256" i="31"/>
  <c r="G252" i="31"/>
  <c r="G255" i="31"/>
  <c r="G258" i="31"/>
  <c r="G259" i="31"/>
  <c r="GY199" i="58"/>
  <c r="G415" i="33"/>
  <c r="G421" i="33"/>
  <c r="G417" i="33"/>
  <c r="G423" i="33"/>
  <c r="G414" i="33"/>
  <c r="G420" i="33"/>
  <c r="G416" i="33"/>
  <c r="G422" i="33"/>
  <c r="G418" i="33"/>
  <c r="G424" i="33"/>
  <c r="G428" i="33"/>
  <c r="GZ183" i="58"/>
  <c r="H251" i="31"/>
  <c r="H257" i="31"/>
  <c r="H250" i="31"/>
  <c r="H256" i="31"/>
  <c r="H252" i="31"/>
  <c r="H255" i="31"/>
  <c r="H258" i="31"/>
  <c r="H259" i="31"/>
  <c r="GZ199" i="58"/>
  <c r="H415" i="33"/>
  <c r="H421" i="33"/>
  <c r="H417" i="33"/>
  <c r="H423" i="33"/>
  <c r="H414" i="33"/>
  <c r="H420" i="33"/>
  <c r="H416" i="33"/>
  <c r="H422" i="33"/>
  <c r="H418" i="33"/>
  <c r="H424" i="33"/>
  <c r="H428" i="33"/>
  <c r="HA183" i="58"/>
  <c r="I251" i="31"/>
  <c r="I257" i="31"/>
  <c r="I250" i="31"/>
  <c r="I256" i="31"/>
  <c r="I252" i="31"/>
  <c r="I255" i="31"/>
  <c r="I258" i="31"/>
  <c r="I259" i="31"/>
  <c r="HA199" i="58"/>
  <c r="I415" i="33"/>
  <c r="I421" i="33"/>
  <c r="I417" i="33"/>
  <c r="I423" i="33"/>
  <c r="I414" i="33"/>
  <c r="I420" i="33"/>
  <c r="I416" i="33"/>
  <c r="I422" i="33"/>
  <c r="I418" i="33"/>
  <c r="I424" i="33"/>
  <c r="I428" i="33"/>
  <c r="HB183" i="58"/>
  <c r="J251" i="31"/>
  <c r="J257" i="31"/>
  <c r="J250" i="31"/>
  <c r="J256" i="31"/>
  <c r="J252" i="31"/>
  <c r="J255" i="31"/>
  <c r="J258" i="31"/>
  <c r="J259" i="31"/>
  <c r="HB199" i="58"/>
  <c r="J415" i="33"/>
  <c r="J421" i="33"/>
  <c r="J417" i="33"/>
  <c r="J423" i="33"/>
  <c r="J414" i="33"/>
  <c r="J420" i="33"/>
  <c r="J416" i="33"/>
  <c r="J422" i="33"/>
  <c r="J418" i="33"/>
  <c r="J424" i="33"/>
  <c r="J428" i="33"/>
  <c r="HC183" i="58"/>
  <c r="K251" i="31"/>
  <c r="K257" i="31"/>
  <c r="K250" i="31"/>
  <c r="K256" i="31"/>
  <c r="K252" i="31"/>
  <c r="K255" i="31"/>
  <c r="K258" i="31"/>
  <c r="K259" i="31"/>
  <c r="HC199" i="58"/>
  <c r="K415" i="33"/>
  <c r="K421" i="33"/>
  <c r="K417" i="33"/>
  <c r="K423" i="33"/>
  <c r="K414" i="33"/>
  <c r="K420" i="33"/>
  <c r="K416" i="33"/>
  <c r="K422" i="33"/>
  <c r="K418" i="33"/>
  <c r="K424" i="33"/>
  <c r="K428" i="33"/>
  <c r="HD183" i="58"/>
  <c r="L251" i="31"/>
  <c r="L257" i="31"/>
  <c r="L250" i="31"/>
  <c r="L256" i="31"/>
  <c r="L252" i="31"/>
  <c r="L255" i="31"/>
  <c r="L258" i="31"/>
  <c r="L259" i="31"/>
  <c r="HD199" i="58"/>
  <c r="L415" i="33"/>
  <c r="L421" i="33"/>
  <c r="L417" i="33"/>
  <c r="L423" i="33"/>
  <c r="L414" i="33"/>
  <c r="L420" i="33"/>
  <c r="L416" i="33"/>
  <c r="L422" i="33"/>
  <c r="L418" i="33"/>
  <c r="L424" i="33"/>
  <c r="L428" i="33"/>
  <c r="HE183" i="58"/>
  <c r="M251" i="31"/>
  <c r="M257" i="31"/>
  <c r="M250" i="31"/>
  <c r="M256" i="31"/>
  <c r="M252" i="31"/>
  <c r="M255" i="31"/>
  <c r="M258" i="31"/>
  <c r="M259" i="31"/>
  <c r="HE199" i="58"/>
  <c r="M415" i="33"/>
  <c r="M421" i="33"/>
  <c r="M417" i="33"/>
  <c r="M423" i="33"/>
  <c r="M414" i="33"/>
  <c r="M420" i="33"/>
  <c r="M416" i="33"/>
  <c r="M422" i="33"/>
  <c r="M418" i="33"/>
  <c r="M424" i="33"/>
  <c r="M428" i="33"/>
  <c r="HF183" i="58"/>
  <c r="N251" i="31"/>
  <c r="N257" i="31"/>
  <c r="N250" i="31"/>
  <c r="N256" i="31"/>
  <c r="N252" i="31"/>
  <c r="N255" i="31"/>
  <c r="N258" i="31"/>
  <c r="N259" i="31"/>
  <c r="HF199" i="58"/>
  <c r="N415" i="33"/>
  <c r="N421" i="33"/>
  <c r="N417" i="33"/>
  <c r="N423" i="33"/>
  <c r="N414" i="33"/>
  <c r="N420" i="33"/>
  <c r="N416" i="33"/>
  <c r="N422" i="33"/>
  <c r="N418" i="33"/>
  <c r="N424" i="33"/>
  <c r="N428" i="33"/>
  <c r="HG183" i="58"/>
  <c r="O251" i="31"/>
  <c r="O257" i="31"/>
  <c r="O250" i="31"/>
  <c r="O256" i="31"/>
  <c r="O252" i="31"/>
  <c r="O255" i="31"/>
  <c r="O258" i="31"/>
  <c r="O259" i="31"/>
  <c r="HG199" i="58"/>
  <c r="O415" i="33"/>
  <c r="O421" i="33"/>
  <c r="O417" i="33"/>
  <c r="O423" i="33"/>
  <c r="O414" i="33"/>
  <c r="O420" i="33"/>
  <c r="O416" i="33"/>
  <c r="O422" i="33"/>
  <c r="O418" i="33"/>
  <c r="O424" i="33"/>
  <c r="O428" i="33"/>
  <c r="HH183" i="58"/>
  <c r="P251" i="31"/>
  <c r="P257" i="31"/>
  <c r="P250" i="31"/>
  <c r="P256" i="31"/>
  <c r="P252" i="31"/>
  <c r="P255" i="31"/>
  <c r="P258" i="31"/>
  <c r="P259" i="31"/>
  <c r="HH199" i="58"/>
  <c r="D415" i="33"/>
  <c r="D421" i="33"/>
  <c r="D417" i="33"/>
  <c r="D423" i="33"/>
  <c r="D414" i="33"/>
  <c r="D420" i="33"/>
  <c r="D416" i="33"/>
  <c r="D422" i="33"/>
  <c r="D418" i="33"/>
  <c r="D424" i="33"/>
  <c r="D428" i="33"/>
  <c r="GW183" i="58"/>
  <c r="E251" i="31"/>
  <c r="E257" i="31"/>
  <c r="E250" i="31"/>
  <c r="E256" i="31"/>
  <c r="E252" i="31"/>
  <c r="E255" i="31"/>
  <c r="E258" i="31"/>
  <c r="E259" i="31"/>
  <c r="GW199" i="58"/>
  <c r="E395" i="33"/>
  <c r="E401" i="33"/>
  <c r="E397" i="33"/>
  <c r="E403" i="33"/>
  <c r="E394" i="33"/>
  <c r="E400" i="33"/>
  <c r="E396" i="33"/>
  <c r="E402" i="33"/>
  <c r="E398" i="33"/>
  <c r="E404" i="33"/>
  <c r="E408" i="33"/>
  <c r="GL183" i="58"/>
  <c r="F239" i="31"/>
  <c r="F245" i="31"/>
  <c r="F238" i="31"/>
  <c r="F244" i="31"/>
  <c r="F240" i="31"/>
  <c r="F243" i="31"/>
  <c r="F246" i="31"/>
  <c r="F247" i="31"/>
  <c r="GL199" i="58"/>
  <c r="F395" i="33"/>
  <c r="F401" i="33"/>
  <c r="F397" i="33"/>
  <c r="F403" i="33"/>
  <c r="F394" i="33"/>
  <c r="F400" i="33"/>
  <c r="F396" i="33"/>
  <c r="F402" i="33"/>
  <c r="F398" i="33"/>
  <c r="F404" i="33"/>
  <c r="F408" i="33"/>
  <c r="GM183" i="58"/>
  <c r="G239" i="31"/>
  <c r="G245" i="31"/>
  <c r="G238" i="31"/>
  <c r="G244" i="31"/>
  <c r="G240" i="31"/>
  <c r="G243" i="31"/>
  <c r="G246" i="31"/>
  <c r="G247" i="31"/>
  <c r="GM199" i="58"/>
  <c r="G395" i="33"/>
  <c r="G401" i="33"/>
  <c r="G397" i="33"/>
  <c r="G403" i="33"/>
  <c r="G394" i="33"/>
  <c r="G400" i="33"/>
  <c r="G396" i="33"/>
  <c r="G402" i="33"/>
  <c r="G398" i="33"/>
  <c r="G404" i="33"/>
  <c r="G408" i="33"/>
  <c r="GN183" i="58"/>
  <c r="H239" i="31"/>
  <c r="H245" i="31"/>
  <c r="H238" i="31"/>
  <c r="H244" i="31"/>
  <c r="H240" i="31"/>
  <c r="H243" i="31"/>
  <c r="H246" i="31"/>
  <c r="H247" i="31"/>
  <c r="GN199" i="58"/>
  <c r="H395" i="33"/>
  <c r="H401" i="33"/>
  <c r="H397" i="33"/>
  <c r="H403" i="33"/>
  <c r="H394" i="33"/>
  <c r="H400" i="33"/>
  <c r="H396" i="33"/>
  <c r="H402" i="33"/>
  <c r="H398" i="33"/>
  <c r="H404" i="33"/>
  <c r="H408" i="33"/>
  <c r="GO183" i="58"/>
  <c r="I239" i="31"/>
  <c r="I245" i="31"/>
  <c r="I238" i="31"/>
  <c r="I244" i="31"/>
  <c r="I240" i="31"/>
  <c r="I243" i="31"/>
  <c r="I246" i="31"/>
  <c r="I247" i="31"/>
  <c r="GO199" i="58"/>
  <c r="I395" i="33"/>
  <c r="I401" i="33"/>
  <c r="I397" i="33"/>
  <c r="I403" i="33"/>
  <c r="I394" i="33"/>
  <c r="I400" i="33"/>
  <c r="I396" i="33"/>
  <c r="I402" i="33"/>
  <c r="I398" i="33"/>
  <c r="I404" i="33"/>
  <c r="I408" i="33"/>
  <c r="GP183" i="58"/>
  <c r="J239" i="31"/>
  <c r="J245" i="31"/>
  <c r="J238" i="31"/>
  <c r="J244" i="31"/>
  <c r="J240" i="31"/>
  <c r="J243" i="31"/>
  <c r="J246" i="31"/>
  <c r="J247" i="31"/>
  <c r="GP199" i="58"/>
  <c r="J395" i="33"/>
  <c r="J401" i="33"/>
  <c r="J397" i="33"/>
  <c r="J403" i="33"/>
  <c r="J394" i="33"/>
  <c r="J400" i="33"/>
  <c r="J396" i="33"/>
  <c r="J402" i="33"/>
  <c r="J398" i="33"/>
  <c r="J404" i="33"/>
  <c r="J408" i="33"/>
  <c r="GQ183" i="58"/>
  <c r="K239" i="31"/>
  <c r="K245" i="31"/>
  <c r="K238" i="31"/>
  <c r="K244" i="31"/>
  <c r="K240" i="31"/>
  <c r="K243" i="31"/>
  <c r="K246" i="31"/>
  <c r="K247" i="31"/>
  <c r="GQ199" i="58"/>
  <c r="K395" i="33"/>
  <c r="K401" i="33"/>
  <c r="K397" i="33"/>
  <c r="K403" i="33"/>
  <c r="K394" i="33"/>
  <c r="K400" i="33"/>
  <c r="K396" i="33"/>
  <c r="K402" i="33"/>
  <c r="K398" i="33"/>
  <c r="K404" i="33"/>
  <c r="K408" i="33"/>
  <c r="GR183" i="58"/>
  <c r="L239" i="31"/>
  <c r="L245" i="31"/>
  <c r="L238" i="31"/>
  <c r="L244" i="31"/>
  <c r="L240" i="31"/>
  <c r="L243" i="31"/>
  <c r="L246" i="31"/>
  <c r="L247" i="31"/>
  <c r="GR199" i="58"/>
  <c r="L395" i="33"/>
  <c r="L401" i="33"/>
  <c r="L397" i="33"/>
  <c r="L403" i="33"/>
  <c r="L394" i="33"/>
  <c r="L400" i="33"/>
  <c r="L396" i="33"/>
  <c r="L402" i="33"/>
  <c r="L398" i="33"/>
  <c r="L404" i="33"/>
  <c r="L408" i="33"/>
  <c r="GS183" i="58"/>
  <c r="M239" i="31"/>
  <c r="M245" i="31"/>
  <c r="M238" i="31"/>
  <c r="M244" i="31"/>
  <c r="M240" i="31"/>
  <c r="M243" i="31"/>
  <c r="M246" i="31"/>
  <c r="M247" i="31"/>
  <c r="GS199" i="58"/>
  <c r="M395" i="33"/>
  <c r="M401" i="33"/>
  <c r="M397" i="33"/>
  <c r="M403" i="33"/>
  <c r="M394" i="33"/>
  <c r="M400" i="33"/>
  <c r="M396" i="33"/>
  <c r="M402" i="33"/>
  <c r="M398" i="33"/>
  <c r="M404" i="33"/>
  <c r="M408" i="33"/>
  <c r="GT183" i="58"/>
  <c r="N239" i="31"/>
  <c r="N245" i="31"/>
  <c r="N238" i="31"/>
  <c r="N244" i="31"/>
  <c r="N240" i="31"/>
  <c r="N243" i="31"/>
  <c r="N246" i="31"/>
  <c r="N247" i="31"/>
  <c r="GT199" i="58"/>
  <c r="N395" i="33"/>
  <c r="N401" i="33"/>
  <c r="N397" i="33"/>
  <c r="N403" i="33"/>
  <c r="N394" i="33"/>
  <c r="N400" i="33"/>
  <c r="N396" i="33"/>
  <c r="N402" i="33"/>
  <c r="N398" i="33"/>
  <c r="N404" i="33"/>
  <c r="N408" i="33"/>
  <c r="GU183" i="58"/>
  <c r="O239" i="31"/>
  <c r="O245" i="31"/>
  <c r="O238" i="31"/>
  <c r="O244" i="31"/>
  <c r="O240" i="31"/>
  <c r="O243" i="31"/>
  <c r="O246" i="31"/>
  <c r="O247" i="31"/>
  <c r="GU199" i="58"/>
  <c r="O395" i="33"/>
  <c r="O401" i="33"/>
  <c r="O397" i="33"/>
  <c r="O403" i="33"/>
  <c r="O394" i="33"/>
  <c r="O400" i="33"/>
  <c r="O396" i="33"/>
  <c r="O402" i="33"/>
  <c r="O398" i="33"/>
  <c r="O404" i="33"/>
  <c r="O408" i="33"/>
  <c r="GV183" i="58"/>
  <c r="P239" i="31"/>
  <c r="P245" i="31"/>
  <c r="P238" i="31"/>
  <c r="P244" i="31"/>
  <c r="P240" i="31"/>
  <c r="P243" i="31"/>
  <c r="P246" i="31"/>
  <c r="P247" i="31"/>
  <c r="GV199" i="58"/>
  <c r="D395" i="33"/>
  <c r="D401" i="33"/>
  <c r="D397" i="33"/>
  <c r="D403" i="33"/>
  <c r="D394" i="33"/>
  <c r="D400" i="33"/>
  <c r="D396" i="33"/>
  <c r="D402" i="33"/>
  <c r="D398" i="33"/>
  <c r="D404" i="33"/>
  <c r="D408" i="33"/>
  <c r="GK183" i="58"/>
  <c r="E239" i="31"/>
  <c r="E245" i="31"/>
  <c r="E238" i="31"/>
  <c r="E244" i="31"/>
  <c r="E240" i="31"/>
  <c r="E243" i="31"/>
  <c r="E246" i="31"/>
  <c r="E247" i="31"/>
  <c r="GK199" i="58"/>
  <c r="E375" i="33"/>
  <c r="E381" i="33"/>
  <c r="E377" i="33"/>
  <c r="E383" i="33"/>
  <c r="E374" i="33"/>
  <c r="E380" i="33"/>
  <c r="E376" i="33"/>
  <c r="E382" i="33"/>
  <c r="E378" i="33"/>
  <c r="E384" i="33"/>
  <c r="E388" i="33"/>
  <c r="FZ183" i="58"/>
  <c r="F227" i="31"/>
  <c r="F233" i="31"/>
  <c r="F226" i="31"/>
  <c r="F232" i="31"/>
  <c r="F228" i="31"/>
  <c r="F231" i="31"/>
  <c r="F234" i="31"/>
  <c r="F235" i="31"/>
  <c r="FZ199" i="58"/>
  <c r="F375" i="33"/>
  <c r="F381" i="33"/>
  <c r="F377" i="33"/>
  <c r="F383" i="33"/>
  <c r="F374" i="33"/>
  <c r="F380" i="33"/>
  <c r="F376" i="33"/>
  <c r="F382" i="33"/>
  <c r="F378" i="33"/>
  <c r="F384" i="33"/>
  <c r="F388" i="33"/>
  <c r="GA183" i="58"/>
  <c r="G227" i="31"/>
  <c r="G233" i="31"/>
  <c r="G226" i="31"/>
  <c r="G232" i="31"/>
  <c r="G228" i="31"/>
  <c r="G231" i="31"/>
  <c r="G234" i="31"/>
  <c r="G235" i="31"/>
  <c r="GA199" i="58"/>
  <c r="G375" i="33"/>
  <c r="G381" i="33"/>
  <c r="G377" i="33"/>
  <c r="G383" i="33"/>
  <c r="G374" i="33"/>
  <c r="G380" i="33"/>
  <c r="G376" i="33"/>
  <c r="G382" i="33"/>
  <c r="G378" i="33"/>
  <c r="G384" i="33"/>
  <c r="G388" i="33"/>
  <c r="GB183" i="58"/>
  <c r="H227" i="31"/>
  <c r="H233" i="31"/>
  <c r="H226" i="31"/>
  <c r="H232" i="31"/>
  <c r="H228" i="31"/>
  <c r="H231" i="31"/>
  <c r="H234" i="31"/>
  <c r="H235" i="31"/>
  <c r="GB199" i="58"/>
  <c r="H375" i="33"/>
  <c r="H381" i="33"/>
  <c r="H377" i="33"/>
  <c r="H383" i="33"/>
  <c r="H374" i="33"/>
  <c r="H380" i="33"/>
  <c r="H376" i="33"/>
  <c r="H382" i="33"/>
  <c r="H378" i="33"/>
  <c r="H384" i="33"/>
  <c r="H388" i="33"/>
  <c r="GC183" i="58"/>
  <c r="I227" i="31"/>
  <c r="I233" i="31"/>
  <c r="I226" i="31"/>
  <c r="I232" i="31"/>
  <c r="I228" i="31"/>
  <c r="I231" i="31"/>
  <c r="I234" i="31"/>
  <c r="I235" i="31"/>
  <c r="GC199" i="58"/>
  <c r="I375" i="33"/>
  <c r="I381" i="33"/>
  <c r="I377" i="33"/>
  <c r="I383" i="33"/>
  <c r="I374" i="33"/>
  <c r="I380" i="33"/>
  <c r="I376" i="33"/>
  <c r="I382" i="33"/>
  <c r="I378" i="33"/>
  <c r="I384" i="33"/>
  <c r="I388" i="33"/>
  <c r="GD183" i="58"/>
  <c r="J227" i="31"/>
  <c r="J233" i="31"/>
  <c r="J226" i="31"/>
  <c r="J232" i="31"/>
  <c r="J228" i="31"/>
  <c r="J231" i="31"/>
  <c r="J234" i="31"/>
  <c r="J235" i="31"/>
  <c r="GD199" i="58"/>
  <c r="J375" i="33"/>
  <c r="J381" i="33"/>
  <c r="J377" i="33"/>
  <c r="J383" i="33"/>
  <c r="J374" i="33"/>
  <c r="J380" i="33"/>
  <c r="J376" i="33"/>
  <c r="J382" i="33"/>
  <c r="J378" i="33"/>
  <c r="J384" i="33"/>
  <c r="J388" i="33"/>
  <c r="GE183" i="58"/>
  <c r="K227" i="31"/>
  <c r="K233" i="31"/>
  <c r="K226" i="31"/>
  <c r="K232" i="31"/>
  <c r="K228" i="31"/>
  <c r="K231" i="31"/>
  <c r="K234" i="31"/>
  <c r="K235" i="31"/>
  <c r="GE199" i="58"/>
  <c r="K375" i="33"/>
  <c r="K381" i="33"/>
  <c r="K377" i="33"/>
  <c r="K383" i="33"/>
  <c r="K374" i="33"/>
  <c r="K380" i="33"/>
  <c r="K376" i="33"/>
  <c r="K382" i="33"/>
  <c r="K378" i="33"/>
  <c r="K384" i="33"/>
  <c r="K388" i="33"/>
  <c r="GF183" i="58"/>
  <c r="L227" i="31"/>
  <c r="L233" i="31"/>
  <c r="L226" i="31"/>
  <c r="L232" i="31"/>
  <c r="L228" i="31"/>
  <c r="L231" i="31"/>
  <c r="L234" i="31"/>
  <c r="L235" i="31"/>
  <c r="GF199" i="58"/>
  <c r="L375" i="33"/>
  <c r="L381" i="33"/>
  <c r="L377" i="33"/>
  <c r="L383" i="33"/>
  <c r="L374" i="33"/>
  <c r="L380" i="33"/>
  <c r="L376" i="33"/>
  <c r="L382" i="33"/>
  <c r="L378" i="33"/>
  <c r="L384" i="33"/>
  <c r="L388" i="33"/>
  <c r="GG183" i="58"/>
  <c r="M227" i="31"/>
  <c r="M233" i="31"/>
  <c r="M226" i="31"/>
  <c r="M232" i="31"/>
  <c r="M228" i="31"/>
  <c r="M231" i="31"/>
  <c r="M234" i="31"/>
  <c r="M235" i="31"/>
  <c r="GG199" i="58"/>
  <c r="M375" i="33"/>
  <c r="M381" i="33"/>
  <c r="M377" i="33"/>
  <c r="M383" i="33"/>
  <c r="M374" i="33"/>
  <c r="M380" i="33"/>
  <c r="M376" i="33"/>
  <c r="M382" i="33"/>
  <c r="M378" i="33"/>
  <c r="M384" i="33"/>
  <c r="M388" i="33"/>
  <c r="GH183" i="58"/>
  <c r="N227" i="31"/>
  <c r="N233" i="31"/>
  <c r="N226" i="31"/>
  <c r="N232" i="31"/>
  <c r="N228" i="31"/>
  <c r="N231" i="31"/>
  <c r="N234" i="31"/>
  <c r="N235" i="31"/>
  <c r="GH199" i="58"/>
  <c r="N375" i="33"/>
  <c r="N381" i="33"/>
  <c r="N377" i="33"/>
  <c r="N383" i="33"/>
  <c r="N374" i="33"/>
  <c r="N380" i="33"/>
  <c r="N376" i="33"/>
  <c r="N382" i="33"/>
  <c r="N378" i="33"/>
  <c r="N384" i="33"/>
  <c r="N388" i="33"/>
  <c r="GI183" i="58"/>
  <c r="O227" i="31"/>
  <c r="O233" i="31"/>
  <c r="O226" i="31"/>
  <c r="O232" i="31"/>
  <c r="O228" i="31"/>
  <c r="O231" i="31"/>
  <c r="O234" i="31"/>
  <c r="O235" i="31"/>
  <c r="GI199" i="58"/>
  <c r="O375" i="33"/>
  <c r="O381" i="33"/>
  <c r="O377" i="33"/>
  <c r="O383" i="33"/>
  <c r="O374" i="33"/>
  <c r="O380" i="33"/>
  <c r="O376" i="33"/>
  <c r="O382" i="33"/>
  <c r="O378" i="33"/>
  <c r="O384" i="33"/>
  <c r="O388" i="33"/>
  <c r="GJ183" i="58"/>
  <c r="P227" i="31"/>
  <c r="P233" i="31"/>
  <c r="P226" i="31"/>
  <c r="P232" i="31"/>
  <c r="P228" i="31"/>
  <c r="P231" i="31"/>
  <c r="P234" i="31"/>
  <c r="P235" i="31"/>
  <c r="GJ199" i="58"/>
  <c r="E233" i="31"/>
  <c r="E235" i="31"/>
  <c r="FY199" i="58"/>
  <c r="F273" i="30"/>
  <c r="F279" i="30"/>
  <c r="F274" i="30"/>
  <c r="F277" i="30"/>
  <c r="F280" i="30"/>
  <c r="F282" i="30"/>
  <c r="IT198" i="58"/>
  <c r="G273" i="30"/>
  <c r="G279" i="30"/>
  <c r="G274" i="30"/>
  <c r="G277" i="30"/>
  <c r="G280" i="30"/>
  <c r="G282" i="30"/>
  <c r="IU198" i="58"/>
  <c r="H273" i="30"/>
  <c r="H279" i="30"/>
  <c r="H274" i="30"/>
  <c r="H277" i="30"/>
  <c r="H280" i="30"/>
  <c r="H282" i="30"/>
  <c r="IV198" i="58"/>
  <c r="I273" i="30"/>
  <c r="I279" i="30"/>
  <c r="I274" i="30"/>
  <c r="I277" i="30"/>
  <c r="I280" i="30"/>
  <c r="I282" i="30"/>
  <c r="IW198" i="58"/>
  <c r="J273" i="30"/>
  <c r="J279" i="30"/>
  <c r="J274" i="30"/>
  <c r="J277" i="30"/>
  <c r="J280" i="30"/>
  <c r="J282" i="30"/>
  <c r="IX198" i="58"/>
  <c r="K273" i="30"/>
  <c r="K279" i="30"/>
  <c r="K274" i="30"/>
  <c r="K277" i="30"/>
  <c r="K280" i="30"/>
  <c r="K282" i="30"/>
  <c r="IY198" i="58"/>
  <c r="L273" i="30"/>
  <c r="L279" i="30"/>
  <c r="L274" i="30"/>
  <c r="L277" i="30"/>
  <c r="L280" i="30"/>
  <c r="L282" i="30"/>
  <c r="IZ198" i="58"/>
  <c r="M273" i="30"/>
  <c r="M279" i="30"/>
  <c r="M274" i="30"/>
  <c r="M277" i="30"/>
  <c r="M280" i="30"/>
  <c r="M282" i="30"/>
  <c r="JA198" i="58"/>
  <c r="N273" i="30"/>
  <c r="N279" i="30"/>
  <c r="N274" i="30"/>
  <c r="N277" i="30"/>
  <c r="N280" i="30"/>
  <c r="N282" i="30"/>
  <c r="JB198" i="58"/>
  <c r="O273" i="30"/>
  <c r="O279" i="30"/>
  <c r="O274" i="30"/>
  <c r="O277" i="30"/>
  <c r="O280" i="30"/>
  <c r="O282" i="30"/>
  <c r="JC198" i="58"/>
  <c r="E273" i="30"/>
  <c r="E279" i="30"/>
  <c r="E274" i="30"/>
  <c r="E277" i="30"/>
  <c r="E280" i="30"/>
  <c r="E282" i="30"/>
  <c r="IS198" i="58"/>
  <c r="F261" i="30"/>
  <c r="F267" i="30"/>
  <c r="F262" i="30"/>
  <c r="F265" i="30"/>
  <c r="F268" i="30"/>
  <c r="F270" i="30"/>
  <c r="IH198" i="58"/>
  <c r="G261" i="30"/>
  <c r="G267" i="30"/>
  <c r="G262" i="30"/>
  <c r="G265" i="30"/>
  <c r="G268" i="30"/>
  <c r="G270" i="30"/>
  <c r="II198" i="58"/>
  <c r="H261" i="30"/>
  <c r="H267" i="30"/>
  <c r="H262" i="30"/>
  <c r="H265" i="30"/>
  <c r="H268" i="30"/>
  <c r="H270" i="30"/>
  <c r="IJ198" i="58"/>
  <c r="I261" i="30"/>
  <c r="I267" i="30"/>
  <c r="I262" i="30"/>
  <c r="I265" i="30"/>
  <c r="I268" i="30"/>
  <c r="I270" i="30"/>
  <c r="IK198" i="58"/>
  <c r="J261" i="30"/>
  <c r="J267" i="30"/>
  <c r="J262" i="30"/>
  <c r="J265" i="30"/>
  <c r="J268" i="30"/>
  <c r="J270" i="30"/>
  <c r="IL198" i="58"/>
  <c r="K261" i="30"/>
  <c r="K267" i="30"/>
  <c r="K262" i="30"/>
  <c r="K265" i="30"/>
  <c r="K268" i="30"/>
  <c r="K270" i="30"/>
  <c r="IM198" i="58"/>
  <c r="L261" i="30"/>
  <c r="L267" i="30"/>
  <c r="L262" i="30"/>
  <c r="L265" i="30"/>
  <c r="L268" i="30"/>
  <c r="L270" i="30"/>
  <c r="IN198" i="58"/>
  <c r="M261" i="30"/>
  <c r="M267" i="30"/>
  <c r="M262" i="30"/>
  <c r="M265" i="30"/>
  <c r="M268" i="30"/>
  <c r="M270" i="30"/>
  <c r="IO198" i="58"/>
  <c r="N261" i="30"/>
  <c r="N267" i="30"/>
  <c r="N262" i="30"/>
  <c r="N265" i="30"/>
  <c r="N268" i="30"/>
  <c r="N270" i="30"/>
  <c r="IP198" i="58"/>
  <c r="O261" i="30"/>
  <c r="O267" i="30"/>
  <c r="O262" i="30"/>
  <c r="O265" i="30"/>
  <c r="O268" i="30"/>
  <c r="O270" i="30"/>
  <c r="IQ198" i="58"/>
  <c r="P261" i="30"/>
  <c r="P267" i="30"/>
  <c r="P262" i="30"/>
  <c r="P265" i="30"/>
  <c r="P268" i="30"/>
  <c r="P270" i="30"/>
  <c r="IR198" i="58"/>
  <c r="E261" i="30"/>
  <c r="E267" i="30"/>
  <c r="E262" i="30"/>
  <c r="E265" i="30"/>
  <c r="E268" i="30"/>
  <c r="E270" i="30"/>
  <c r="IG198" i="58"/>
  <c r="F249" i="30"/>
  <c r="F255" i="30"/>
  <c r="F250" i="30"/>
  <c r="F253" i="30"/>
  <c r="F256" i="30"/>
  <c r="F258" i="30"/>
  <c r="HV198" i="58"/>
  <c r="G249" i="30"/>
  <c r="G255" i="30"/>
  <c r="G250" i="30"/>
  <c r="G253" i="30"/>
  <c r="G256" i="30"/>
  <c r="G258" i="30"/>
  <c r="HW198" i="58"/>
  <c r="H249" i="30"/>
  <c r="H255" i="30"/>
  <c r="H250" i="30"/>
  <c r="H253" i="30"/>
  <c r="H256" i="30"/>
  <c r="H258" i="30"/>
  <c r="HX198" i="58"/>
  <c r="I249" i="30"/>
  <c r="I255" i="30"/>
  <c r="I250" i="30"/>
  <c r="I253" i="30"/>
  <c r="I256" i="30"/>
  <c r="I258" i="30"/>
  <c r="HY198" i="58"/>
  <c r="J249" i="30"/>
  <c r="J255" i="30"/>
  <c r="J250" i="30"/>
  <c r="J253" i="30"/>
  <c r="J256" i="30"/>
  <c r="J258" i="30"/>
  <c r="HZ198" i="58"/>
  <c r="K249" i="30"/>
  <c r="K255" i="30"/>
  <c r="K250" i="30"/>
  <c r="K253" i="30"/>
  <c r="K256" i="30"/>
  <c r="K258" i="30"/>
  <c r="IA198" i="58"/>
  <c r="L249" i="30"/>
  <c r="L255" i="30"/>
  <c r="L250" i="30"/>
  <c r="L253" i="30"/>
  <c r="L256" i="30"/>
  <c r="L258" i="30"/>
  <c r="IB198" i="58"/>
  <c r="M249" i="30"/>
  <c r="M255" i="30"/>
  <c r="M250" i="30"/>
  <c r="M253" i="30"/>
  <c r="M256" i="30"/>
  <c r="M258" i="30"/>
  <c r="IC198" i="58"/>
  <c r="N249" i="30"/>
  <c r="N255" i="30"/>
  <c r="N250" i="30"/>
  <c r="N253" i="30"/>
  <c r="N256" i="30"/>
  <c r="N258" i="30"/>
  <c r="ID198" i="58"/>
  <c r="O249" i="30"/>
  <c r="O255" i="30"/>
  <c r="O250" i="30"/>
  <c r="O253" i="30"/>
  <c r="O256" i="30"/>
  <c r="O258" i="30"/>
  <c r="IE198" i="58"/>
  <c r="P249" i="30"/>
  <c r="P255" i="30"/>
  <c r="P250" i="30"/>
  <c r="P253" i="30"/>
  <c r="P256" i="30"/>
  <c r="P258" i="30"/>
  <c r="IF198" i="58"/>
  <c r="E249" i="30"/>
  <c r="E255" i="30"/>
  <c r="E250" i="30"/>
  <c r="E253" i="30"/>
  <c r="E256" i="30"/>
  <c r="E258" i="30"/>
  <c r="HU198" i="58"/>
  <c r="F237" i="30"/>
  <c r="F243" i="30"/>
  <c r="F238" i="30"/>
  <c r="F241" i="30"/>
  <c r="F244" i="30"/>
  <c r="F246" i="30"/>
  <c r="HJ198" i="58"/>
  <c r="G237" i="30"/>
  <c r="G243" i="30"/>
  <c r="G238" i="30"/>
  <c r="G241" i="30"/>
  <c r="G244" i="30"/>
  <c r="G246" i="30"/>
  <c r="HK198" i="58"/>
  <c r="H237" i="30"/>
  <c r="H243" i="30"/>
  <c r="H238" i="30"/>
  <c r="H241" i="30"/>
  <c r="H244" i="30"/>
  <c r="H246" i="30"/>
  <c r="HL198" i="58"/>
  <c r="I237" i="30"/>
  <c r="I243" i="30"/>
  <c r="I238" i="30"/>
  <c r="I241" i="30"/>
  <c r="I244" i="30"/>
  <c r="I246" i="30"/>
  <c r="HM198" i="58"/>
  <c r="J237" i="30"/>
  <c r="J243" i="30"/>
  <c r="J238" i="30"/>
  <c r="J241" i="30"/>
  <c r="J244" i="30"/>
  <c r="J246" i="30"/>
  <c r="HN198" i="58"/>
  <c r="K237" i="30"/>
  <c r="K243" i="30"/>
  <c r="K238" i="30"/>
  <c r="K241" i="30"/>
  <c r="K244" i="30"/>
  <c r="K246" i="30"/>
  <c r="HO198" i="58"/>
  <c r="L237" i="30"/>
  <c r="L243" i="30"/>
  <c r="L238" i="30"/>
  <c r="L241" i="30"/>
  <c r="L244" i="30"/>
  <c r="L246" i="30"/>
  <c r="HP198" i="58"/>
  <c r="M237" i="30"/>
  <c r="M243" i="30"/>
  <c r="M238" i="30"/>
  <c r="M241" i="30"/>
  <c r="M244" i="30"/>
  <c r="M246" i="30"/>
  <c r="HQ198" i="58"/>
  <c r="N237" i="30"/>
  <c r="N243" i="30"/>
  <c r="N238" i="30"/>
  <c r="N241" i="30"/>
  <c r="N244" i="30"/>
  <c r="N246" i="30"/>
  <c r="HR198" i="58"/>
  <c r="O237" i="30"/>
  <c r="O243" i="30"/>
  <c r="O238" i="30"/>
  <c r="O241" i="30"/>
  <c r="O244" i="30"/>
  <c r="O246" i="30"/>
  <c r="HS198" i="58"/>
  <c r="P237" i="30"/>
  <c r="P243" i="30"/>
  <c r="P238" i="30"/>
  <c r="P241" i="30"/>
  <c r="P244" i="30"/>
  <c r="P246" i="30"/>
  <c r="HT198" i="58"/>
  <c r="E237" i="30"/>
  <c r="E243" i="30"/>
  <c r="E238" i="30"/>
  <c r="E241" i="30"/>
  <c r="E244" i="30"/>
  <c r="E246" i="30"/>
  <c r="HI198" i="58"/>
  <c r="F225" i="30"/>
  <c r="F231" i="30"/>
  <c r="F226" i="30"/>
  <c r="F229" i="30"/>
  <c r="F232" i="30"/>
  <c r="F234" i="30"/>
  <c r="GX198" i="58"/>
  <c r="G225" i="30"/>
  <c r="G231" i="30"/>
  <c r="G226" i="30"/>
  <c r="G229" i="30"/>
  <c r="G232" i="30"/>
  <c r="G234" i="30"/>
  <c r="GY198" i="58"/>
  <c r="H225" i="30"/>
  <c r="H231" i="30"/>
  <c r="H226" i="30"/>
  <c r="H229" i="30"/>
  <c r="H232" i="30"/>
  <c r="H234" i="30"/>
  <c r="GZ198" i="58"/>
  <c r="I225" i="30"/>
  <c r="I231" i="30"/>
  <c r="I226" i="30"/>
  <c r="I229" i="30"/>
  <c r="I232" i="30"/>
  <c r="I234" i="30"/>
  <c r="HA198" i="58"/>
  <c r="J225" i="30"/>
  <c r="J231" i="30"/>
  <c r="J226" i="30"/>
  <c r="J229" i="30"/>
  <c r="J232" i="30"/>
  <c r="J234" i="30"/>
  <c r="HB198" i="58"/>
  <c r="K225" i="30"/>
  <c r="K231" i="30"/>
  <c r="K226" i="30"/>
  <c r="K229" i="30"/>
  <c r="K232" i="30"/>
  <c r="K234" i="30"/>
  <c r="HC198" i="58"/>
  <c r="L225" i="30"/>
  <c r="L231" i="30"/>
  <c r="L226" i="30"/>
  <c r="L229" i="30"/>
  <c r="L232" i="30"/>
  <c r="L234" i="30"/>
  <c r="HD198" i="58"/>
  <c r="M225" i="30"/>
  <c r="M231" i="30"/>
  <c r="M226" i="30"/>
  <c r="M229" i="30"/>
  <c r="M232" i="30"/>
  <c r="M234" i="30"/>
  <c r="HE198" i="58"/>
  <c r="N225" i="30"/>
  <c r="N231" i="30"/>
  <c r="N226" i="30"/>
  <c r="N229" i="30"/>
  <c r="N232" i="30"/>
  <c r="N234" i="30"/>
  <c r="HF198" i="58"/>
  <c r="O225" i="30"/>
  <c r="O231" i="30"/>
  <c r="O226" i="30"/>
  <c r="O229" i="30"/>
  <c r="O232" i="30"/>
  <c r="O234" i="30"/>
  <c r="HG198" i="58"/>
  <c r="P225" i="30"/>
  <c r="P231" i="30"/>
  <c r="P226" i="30"/>
  <c r="P229" i="30"/>
  <c r="P232" i="30"/>
  <c r="P234" i="30"/>
  <c r="HH198" i="58"/>
  <c r="E225" i="30"/>
  <c r="E231" i="30"/>
  <c r="E226" i="30"/>
  <c r="E229" i="30"/>
  <c r="E232" i="30"/>
  <c r="E234" i="30"/>
  <c r="GW198" i="58"/>
  <c r="F213" i="30"/>
  <c r="F219" i="30"/>
  <c r="F214" i="30"/>
  <c r="F217" i="30"/>
  <c r="F220" i="30"/>
  <c r="F222" i="30"/>
  <c r="GL198" i="58"/>
  <c r="G213" i="30"/>
  <c r="G219" i="30"/>
  <c r="G214" i="30"/>
  <c r="G217" i="30"/>
  <c r="G220" i="30"/>
  <c r="G222" i="30"/>
  <c r="GM198" i="58"/>
  <c r="H213" i="30"/>
  <c r="H219" i="30"/>
  <c r="H214" i="30"/>
  <c r="H217" i="30"/>
  <c r="H220" i="30"/>
  <c r="H222" i="30"/>
  <c r="GN198" i="58"/>
  <c r="I213" i="30"/>
  <c r="I219" i="30"/>
  <c r="I214" i="30"/>
  <c r="I217" i="30"/>
  <c r="I220" i="30"/>
  <c r="I222" i="30"/>
  <c r="GO198" i="58"/>
  <c r="J213" i="30"/>
  <c r="J219" i="30"/>
  <c r="J214" i="30"/>
  <c r="J217" i="30"/>
  <c r="J220" i="30"/>
  <c r="J222" i="30"/>
  <c r="GP198" i="58"/>
  <c r="K213" i="30"/>
  <c r="K219" i="30"/>
  <c r="K214" i="30"/>
  <c r="K217" i="30"/>
  <c r="K220" i="30"/>
  <c r="K222" i="30"/>
  <c r="GQ198" i="58"/>
  <c r="L213" i="30"/>
  <c r="L219" i="30"/>
  <c r="L214" i="30"/>
  <c r="L217" i="30"/>
  <c r="L220" i="30"/>
  <c r="L222" i="30"/>
  <c r="GR198" i="58"/>
  <c r="M213" i="30"/>
  <c r="M219" i="30"/>
  <c r="M214" i="30"/>
  <c r="M217" i="30"/>
  <c r="M220" i="30"/>
  <c r="M222" i="30"/>
  <c r="GS198" i="58"/>
  <c r="N213" i="30"/>
  <c r="N219" i="30"/>
  <c r="N214" i="30"/>
  <c r="N217" i="30"/>
  <c r="N220" i="30"/>
  <c r="N222" i="30"/>
  <c r="GT198" i="58"/>
  <c r="O213" i="30"/>
  <c r="O219" i="30"/>
  <c r="O214" i="30"/>
  <c r="O217" i="30"/>
  <c r="O220" i="30"/>
  <c r="O222" i="30"/>
  <c r="GU198" i="58"/>
  <c r="P213" i="30"/>
  <c r="P219" i="30"/>
  <c r="P214" i="30"/>
  <c r="P217" i="30"/>
  <c r="P220" i="30"/>
  <c r="P222" i="30"/>
  <c r="GV198" i="58"/>
  <c r="E213" i="30"/>
  <c r="E219" i="30"/>
  <c r="E214" i="30"/>
  <c r="E217" i="30"/>
  <c r="E220" i="30"/>
  <c r="E222" i="30"/>
  <c r="GK198" i="58"/>
  <c r="F201" i="30"/>
  <c r="F207" i="30"/>
  <c r="F202" i="30"/>
  <c r="F205" i="30"/>
  <c r="F208" i="30"/>
  <c r="F210" i="30"/>
  <c r="FZ198" i="58"/>
  <c r="G201" i="30"/>
  <c r="G207" i="30"/>
  <c r="G202" i="30"/>
  <c r="G205" i="30"/>
  <c r="G208" i="30"/>
  <c r="G210" i="30"/>
  <c r="GA198" i="58"/>
  <c r="H201" i="30"/>
  <c r="H207" i="30"/>
  <c r="H202" i="30"/>
  <c r="H205" i="30"/>
  <c r="H208" i="30"/>
  <c r="H210" i="30"/>
  <c r="GB198" i="58"/>
  <c r="I201" i="30"/>
  <c r="I207" i="30"/>
  <c r="I202" i="30"/>
  <c r="I205" i="30"/>
  <c r="I208" i="30"/>
  <c r="I210" i="30"/>
  <c r="GC198" i="58"/>
  <c r="J201" i="30"/>
  <c r="J207" i="30"/>
  <c r="J202" i="30"/>
  <c r="J205" i="30"/>
  <c r="J208" i="30"/>
  <c r="J210" i="30"/>
  <c r="GD198" i="58"/>
  <c r="K201" i="30"/>
  <c r="K207" i="30"/>
  <c r="K202" i="30"/>
  <c r="K205" i="30"/>
  <c r="K208" i="30"/>
  <c r="K210" i="30"/>
  <c r="GE198" i="58"/>
  <c r="L201" i="30"/>
  <c r="L207" i="30"/>
  <c r="L202" i="30"/>
  <c r="L205" i="30"/>
  <c r="L208" i="30"/>
  <c r="L210" i="30"/>
  <c r="GF198" i="58"/>
  <c r="M201" i="30"/>
  <c r="M207" i="30"/>
  <c r="M202" i="30"/>
  <c r="M205" i="30"/>
  <c r="M208" i="30"/>
  <c r="M210" i="30"/>
  <c r="GG198" i="58"/>
  <c r="N201" i="30"/>
  <c r="N207" i="30"/>
  <c r="N202" i="30"/>
  <c r="N205" i="30"/>
  <c r="N208" i="30"/>
  <c r="N210" i="30"/>
  <c r="GH198" i="58"/>
  <c r="O201" i="30"/>
  <c r="O207" i="30"/>
  <c r="O202" i="30"/>
  <c r="O205" i="30"/>
  <c r="O208" i="30"/>
  <c r="O210" i="30"/>
  <c r="GI198" i="58"/>
  <c r="P201" i="30"/>
  <c r="P207" i="30"/>
  <c r="P202" i="30"/>
  <c r="P205" i="30"/>
  <c r="P208" i="30"/>
  <c r="P210" i="30"/>
  <c r="GJ198" i="58"/>
  <c r="FY198" i="58"/>
  <c r="FZ197" i="58"/>
  <c r="GA197" i="58"/>
  <c r="GB197" i="58"/>
  <c r="GC197" i="58"/>
  <c r="GD197" i="58"/>
  <c r="GE197" i="58"/>
  <c r="GF197" i="58"/>
  <c r="GG197" i="58"/>
  <c r="GH197" i="58"/>
  <c r="GI197" i="58"/>
  <c r="GJ197" i="58"/>
  <c r="GK197" i="58"/>
  <c r="GL197" i="58"/>
  <c r="GM197" i="58"/>
  <c r="GN197" i="58"/>
  <c r="GO197" i="58"/>
  <c r="GP197" i="58"/>
  <c r="GQ197" i="58"/>
  <c r="GR197" i="58"/>
  <c r="GS197" i="58"/>
  <c r="GT197" i="58"/>
  <c r="GU197" i="58"/>
  <c r="GV197" i="58"/>
  <c r="GW197" i="58"/>
  <c r="GX197" i="58"/>
  <c r="GY197" i="58"/>
  <c r="GZ197" i="58"/>
  <c r="HA197" i="58"/>
  <c r="HB197" i="58"/>
  <c r="HC197" i="58"/>
  <c r="HD197" i="58"/>
  <c r="HE197" i="58"/>
  <c r="HF197" i="58"/>
  <c r="HG197" i="58"/>
  <c r="HH197" i="58"/>
  <c r="HI197" i="58"/>
  <c r="HJ197" i="58"/>
  <c r="HK197" i="58"/>
  <c r="HL197" i="58"/>
  <c r="HM197" i="58"/>
  <c r="HN197" i="58"/>
  <c r="HO197" i="58"/>
  <c r="HP197" i="58"/>
  <c r="HQ197" i="58"/>
  <c r="HR197" i="58"/>
  <c r="HS197" i="58"/>
  <c r="HT197" i="58"/>
  <c r="HU197" i="58"/>
  <c r="HV197" i="58"/>
  <c r="HW197" i="58"/>
  <c r="HX197" i="58"/>
  <c r="HY197" i="58"/>
  <c r="HZ197" i="58"/>
  <c r="IA197" i="58"/>
  <c r="IB197" i="58"/>
  <c r="IC197" i="58"/>
  <c r="ID197" i="58"/>
  <c r="IE197" i="58"/>
  <c r="IF197" i="58"/>
  <c r="IG197" i="58"/>
  <c r="IH197" i="58"/>
  <c r="II197" i="58"/>
  <c r="IJ197" i="58"/>
  <c r="IK197" i="58"/>
  <c r="IL197" i="58"/>
  <c r="IM197" i="58"/>
  <c r="IN197" i="58"/>
  <c r="IO197" i="58"/>
  <c r="IP197" i="58"/>
  <c r="IQ197" i="58"/>
  <c r="IR197" i="58"/>
  <c r="IS197" i="58"/>
  <c r="IT197" i="58"/>
  <c r="IU197" i="58"/>
  <c r="IV197" i="58"/>
  <c r="IW197" i="58"/>
  <c r="IX197" i="58"/>
  <c r="IY197" i="58"/>
  <c r="IZ197" i="58"/>
  <c r="JA197" i="58"/>
  <c r="JB197" i="58"/>
  <c r="JC197" i="58"/>
  <c r="FY197" i="58"/>
  <c r="FZ192" i="58"/>
  <c r="GA192" i="58"/>
  <c r="GB192" i="58"/>
  <c r="GC192" i="58"/>
  <c r="GD192" i="58"/>
  <c r="GE192" i="58"/>
  <c r="GF192" i="58"/>
  <c r="GG192" i="58"/>
  <c r="GH192" i="58"/>
  <c r="GI192" i="58"/>
  <c r="GJ192" i="58"/>
  <c r="GK192" i="58"/>
  <c r="GL192" i="58"/>
  <c r="GM192" i="58"/>
  <c r="GN192" i="58"/>
  <c r="GO192" i="58"/>
  <c r="GP192" i="58"/>
  <c r="GQ192" i="58"/>
  <c r="GR192" i="58"/>
  <c r="GS192" i="58"/>
  <c r="GT192" i="58"/>
  <c r="GU192" i="58"/>
  <c r="GV192" i="58"/>
  <c r="GW192" i="58"/>
  <c r="GX192" i="58"/>
  <c r="GY192" i="58"/>
  <c r="GZ192" i="58"/>
  <c r="HA192" i="58"/>
  <c r="HB192" i="58"/>
  <c r="HC192" i="58"/>
  <c r="HD192" i="58"/>
  <c r="HE192" i="58"/>
  <c r="HF192" i="58"/>
  <c r="HG192" i="58"/>
  <c r="HH192" i="58"/>
  <c r="HI192" i="58"/>
  <c r="HJ192" i="58"/>
  <c r="HK192" i="58"/>
  <c r="HL192" i="58"/>
  <c r="HM192" i="58"/>
  <c r="HN192" i="58"/>
  <c r="HO192" i="58"/>
  <c r="HP192" i="58"/>
  <c r="HQ192" i="58"/>
  <c r="HR192" i="58"/>
  <c r="HS192" i="58"/>
  <c r="HT192" i="58"/>
  <c r="HU192" i="58"/>
  <c r="HV192" i="58"/>
  <c r="HW192" i="58"/>
  <c r="HX192" i="58"/>
  <c r="HY192" i="58"/>
  <c r="HZ192" i="58"/>
  <c r="IA192" i="58"/>
  <c r="IB192" i="58"/>
  <c r="IC192" i="58"/>
  <c r="ID192" i="58"/>
  <c r="IE192" i="58"/>
  <c r="IF192" i="58"/>
  <c r="IG192" i="58"/>
  <c r="IH192" i="58"/>
  <c r="II192" i="58"/>
  <c r="IJ192" i="58"/>
  <c r="IK192" i="58"/>
  <c r="IL192" i="58"/>
  <c r="IM192" i="58"/>
  <c r="IN192" i="58"/>
  <c r="IO192" i="58"/>
  <c r="IP192" i="58"/>
  <c r="IQ192" i="58"/>
  <c r="IR192" i="58"/>
  <c r="IS192" i="58"/>
  <c r="IT192" i="58"/>
  <c r="IU192" i="58"/>
  <c r="IV192" i="58"/>
  <c r="IW192" i="58"/>
  <c r="IX192" i="58"/>
  <c r="IY192" i="58"/>
  <c r="IZ192" i="58"/>
  <c r="JA192" i="58"/>
  <c r="JB192" i="58"/>
  <c r="JC192" i="58"/>
  <c r="FY192" i="58"/>
  <c r="G25" i="42"/>
  <c r="G28" i="42"/>
  <c r="G30" i="42"/>
  <c r="G24" i="42"/>
  <c r="G23" i="42"/>
  <c r="G31" i="42"/>
  <c r="G32" i="42"/>
  <c r="G27" i="42"/>
  <c r="G26" i="42"/>
  <c r="G29" i="42"/>
  <c r="FY195" i="58"/>
  <c r="FZ191" i="58"/>
  <c r="GA191" i="58"/>
  <c r="GB191" i="58"/>
  <c r="GC191" i="58"/>
  <c r="GD191" i="58"/>
  <c r="GE191" i="58"/>
  <c r="GF191" i="58"/>
  <c r="GG191" i="58"/>
  <c r="GH191" i="58"/>
  <c r="GI191" i="58"/>
  <c r="GJ191" i="58"/>
  <c r="GK191" i="58"/>
  <c r="GL191" i="58"/>
  <c r="GM191" i="58"/>
  <c r="GN191" i="58"/>
  <c r="GO191" i="58"/>
  <c r="GP191" i="58"/>
  <c r="GQ191" i="58"/>
  <c r="GR191" i="58"/>
  <c r="GS191" i="58"/>
  <c r="GT191" i="58"/>
  <c r="GU191" i="58"/>
  <c r="GV191" i="58"/>
  <c r="GW191" i="58"/>
  <c r="GX191" i="58"/>
  <c r="GY191" i="58"/>
  <c r="GZ191" i="58"/>
  <c r="HA191" i="58"/>
  <c r="HB191" i="58"/>
  <c r="HC191" i="58"/>
  <c r="HD191" i="58"/>
  <c r="HE191" i="58"/>
  <c r="HF191" i="58"/>
  <c r="HG191" i="58"/>
  <c r="HH191" i="58"/>
  <c r="HI191" i="58"/>
  <c r="HJ191" i="58"/>
  <c r="HK191" i="58"/>
  <c r="HL191" i="58"/>
  <c r="HM191" i="58"/>
  <c r="HN191" i="58"/>
  <c r="HO191" i="58"/>
  <c r="HP191" i="58"/>
  <c r="HQ191" i="58"/>
  <c r="HR191" i="58"/>
  <c r="HS191" i="58"/>
  <c r="HT191" i="58"/>
  <c r="HU191" i="58"/>
  <c r="HV191" i="58"/>
  <c r="HW191" i="58"/>
  <c r="HX191" i="58"/>
  <c r="HY191" i="58"/>
  <c r="HZ191" i="58"/>
  <c r="IA191" i="58"/>
  <c r="IB191" i="58"/>
  <c r="IC191" i="58"/>
  <c r="ID191" i="58"/>
  <c r="IE191" i="58"/>
  <c r="IF191" i="58"/>
  <c r="IG191" i="58"/>
  <c r="IH191" i="58"/>
  <c r="II191" i="58"/>
  <c r="IJ191" i="58"/>
  <c r="IK191" i="58"/>
  <c r="IL191" i="58"/>
  <c r="IM191" i="58"/>
  <c r="IN191" i="58"/>
  <c r="IO191" i="58"/>
  <c r="IP191" i="58"/>
  <c r="IQ191" i="58"/>
  <c r="IR191" i="58"/>
  <c r="IS191" i="58"/>
  <c r="IT191" i="58"/>
  <c r="IU191" i="58"/>
  <c r="IV191" i="58"/>
  <c r="IW191" i="58"/>
  <c r="IX191" i="58"/>
  <c r="IY191" i="58"/>
  <c r="IZ191" i="58"/>
  <c r="JA191" i="58"/>
  <c r="JB191" i="58"/>
  <c r="JC191" i="58"/>
  <c r="IT188" i="58"/>
  <c r="IU188" i="58"/>
  <c r="IV188" i="58"/>
  <c r="IW188" i="58"/>
  <c r="IX188" i="58"/>
  <c r="IY188" i="58"/>
  <c r="IZ188" i="58"/>
  <c r="JA188" i="58"/>
  <c r="JB188" i="58"/>
  <c r="JC188" i="58"/>
  <c r="IS188" i="58"/>
  <c r="IH188" i="58"/>
  <c r="II188" i="58"/>
  <c r="IJ188" i="58"/>
  <c r="IK188" i="58"/>
  <c r="IL188" i="58"/>
  <c r="IM188" i="58"/>
  <c r="IN188" i="58"/>
  <c r="IO188" i="58"/>
  <c r="IP188" i="58"/>
  <c r="IQ188" i="58"/>
  <c r="IR188" i="58"/>
  <c r="IG188" i="58"/>
  <c r="HV188" i="58"/>
  <c r="HW188" i="58"/>
  <c r="HX188" i="58"/>
  <c r="HY188" i="58"/>
  <c r="HZ188" i="58"/>
  <c r="IA188" i="58"/>
  <c r="IB188" i="58"/>
  <c r="IC188" i="58"/>
  <c r="ID188" i="58"/>
  <c r="IE188" i="58"/>
  <c r="IF188" i="58"/>
  <c r="HU188" i="58"/>
  <c r="HJ188" i="58"/>
  <c r="HK188" i="58"/>
  <c r="HL188" i="58"/>
  <c r="HM188" i="58"/>
  <c r="HN188" i="58"/>
  <c r="HO188" i="58"/>
  <c r="HP188" i="58"/>
  <c r="HQ188" i="58"/>
  <c r="HR188" i="58"/>
  <c r="HS188" i="58"/>
  <c r="HT188" i="58"/>
  <c r="HI188" i="58"/>
  <c r="GX188" i="58"/>
  <c r="GY188" i="58"/>
  <c r="GZ188" i="58"/>
  <c r="HA188" i="58"/>
  <c r="HB188" i="58"/>
  <c r="HC188" i="58"/>
  <c r="HD188" i="58"/>
  <c r="HE188" i="58"/>
  <c r="HF188" i="58"/>
  <c r="HG188" i="58"/>
  <c r="HH188" i="58"/>
  <c r="GW188" i="58"/>
  <c r="GL188" i="58"/>
  <c r="GM188" i="58"/>
  <c r="GN188" i="58"/>
  <c r="GO188" i="58"/>
  <c r="GP188" i="58"/>
  <c r="GQ188" i="58"/>
  <c r="GR188" i="58"/>
  <c r="GS188" i="58"/>
  <c r="GT188" i="58"/>
  <c r="GU188" i="58"/>
  <c r="GV188" i="58"/>
  <c r="GK188" i="58"/>
  <c r="FZ188" i="58"/>
  <c r="GA188" i="58"/>
  <c r="GB188" i="58"/>
  <c r="GC188" i="58"/>
  <c r="GD188" i="58"/>
  <c r="GE188" i="58"/>
  <c r="GF188" i="58"/>
  <c r="GG188" i="58"/>
  <c r="GH188" i="58"/>
  <c r="GI188" i="58"/>
  <c r="GJ188" i="58"/>
  <c r="FY188" i="58"/>
  <c r="N510" i="33"/>
  <c r="JC185" i="58"/>
  <c r="M510" i="33"/>
  <c r="JB185" i="58"/>
  <c r="L510" i="33"/>
  <c r="JA185" i="58"/>
  <c r="K510" i="33"/>
  <c r="IZ185" i="58"/>
  <c r="J510" i="33"/>
  <c r="IY185" i="58"/>
  <c r="I510" i="33"/>
  <c r="IX185" i="58"/>
  <c r="H510" i="33"/>
  <c r="IW185" i="58"/>
  <c r="G510" i="33"/>
  <c r="IV185" i="58"/>
  <c r="F510" i="33"/>
  <c r="IU185" i="58"/>
  <c r="E510" i="33"/>
  <c r="IT185" i="58"/>
  <c r="N509" i="33"/>
  <c r="JC184" i="58"/>
  <c r="M509" i="33"/>
  <c r="JB184" i="58"/>
  <c r="L509" i="33"/>
  <c r="JA184" i="58"/>
  <c r="K509" i="33"/>
  <c r="IZ184" i="58"/>
  <c r="J509" i="33"/>
  <c r="IY184" i="58"/>
  <c r="I509" i="33"/>
  <c r="IX184" i="58"/>
  <c r="H509" i="33"/>
  <c r="IW184" i="58"/>
  <c r="G509" i="33"/>
  <c r="IV184" i="58"/>
  <c r="F509" i="33"/>
  <c r="IU184" i="58"/>
  <c r="E509" i="33"/>
  <c r="IT184" i="58"/>
  <c r="N507" i="33"/>
  <c r="JC182" i="58"/>
  <c r="M507" i="33"/>
  <c r="JB182" i="58"/>
  <c r="L507" i="33"/>
  <c r="JA182" i="58"/>
  <c r="K507" i="33"/>
  <c r="IZ182" i="58"/>
  <c r="J507" i="33"/>
  <c r="IY182" i="58"/>
  <c r="I507" i="33"/>
  <c r="IX182" i="58"/>
  <c r="H507" i="33"/>
  <c r="IW182" i="58"/>
  <c r="G507" i="33"/>
  <c r="IV182" i="58"/>
  <c r="F507" i="33"/>
  <c r="IU182" i="58"/>
  <c r="E507" i="33"/>
  <c r="IT182" i="58"/>
  <c r="D510" i="33"/>
  <c r="IS185" i="58"/>
  <c r="D509" i="33"/>
  <c r="IS184" i="58"/>
  <c r="D507" i="33"/>
  <c r="IS182" i="58"/>
  <c r="O490" i="33"/>
  <c r="IR185" i="58"/>
  <c r="N490" i="33"/>
  <c r="IQ185" i="58"/>
  <c r="M490" i="33"/>
  <c r="IP185" i="58"/>
  <c r="L490" i="33"/>
  <c r="IO185" i="58"/>
  <c r="K490" i="33"/>
  <c r="IN185" i="58"/>
  <c r="J490" i="33"/>
  <c r="IM185" i="58"/>
  <c r="I490" i="33"/>
  <c r="IL185" i="58"/>
  <c r="H490" i="33"/>
  <c r="IK185" i="58"/>
  <c r="G490" i="33"/>
  <c r="IJ185" i="58"/>
  <c r="F490" i="33"/>
  <c r="II185" i="58"/>
  <c r="E490" i="33"/>
  <c r="IH185" i="58"/>
  <c r="O489" i="33"/>
  <c r="IR184" i="58"/>
  <c r="N489" i="33"/>
  <c r="IQ184" i="58"/>
  <c r="M489" i="33"/>
  <c r="IP184" i="58"/>
  <c r="L489" i="33"/>
  <c r="IO184" i="58"/>
  <c r="K489" i="33"/>
  <c r="IN184" i="58"/>
  <c r="J489" i="33"/>
  <c r="IM184" i="58"/>
  <c r="I489" i="33"/>
  <c r="IL184" i="58"/>
  <c r="H489" i="33"/>
  <c r="IK184" i="58"/>
  <c r="G489" i="33"/>
  <c r="IJ184" i="58"/>
  <c r="F489" i="33"/>
  <c r="II184" i="58"/>
  <c r="E489" i="33"/>
  <c r="IH184" i="58"/>
  <c r="O487" i="33"/>
  <c r="IR182" i="58"/>
  <c r="N487" i="33"/>
  <c r="IQ182" i="58"/>
  <c r="M487" i="33"/>
  <c r="IP182" i="58"/>
  <c r="L487" i="33"/>
  <c r="IO182" i="58"/>
  <c r="K487" i="33"/>
  <c r="IN182" i="58"/>
  <c r="J487" i="33"/>
  <c r="IM182" i="58"/>
  <c r="I487" i="33"/>
  <c r="IL182" i="58"/>
  <c r="H487" i="33"/>
  <c r="IK182" i="58"/>
  <c r="G487" i="33"/>
  <c r="IJ182" i="58"/>
  <c r="F487" i="33"/>
  <c r="II182" i="58"/>
  <c r="E487" i="33"/>
  <c r="IH182" i="58"/>
  <c r="D490" i="33"/>
  <c r="IG185" i="58"/>
  <c r="D489" i="33"/>
  <c r="IG184" i="58"/>
  <c r="D487" i="33"/>
  <c r="IG182" i="58"/>
  <c r="O470" i="33"/>
  <c r="IF185" i="58"/>
  <c r="N470" i="33"/>
  <c r="IE185" i="58"/>
  <c r="M470" i="33"/>
  <c r="ID185" i="58"/>
  <c r="L470" i="33"/>
  <c r="IC185" i="58"/>
  <c r="K470" i="33"/>
  <c r="IB185" i="58"/>
  <c r="J470" i="33"/>
  <c r="IA185" i="58"/>
  <c r="I470" i="33"/>
  <c r="HZ185" i="58"/>
  <c r="H470" i="33"/>
  <c r="HY185" i="58"/>
  <c r="G470" i="33"/>
  <c r="HX185" i="58"/>
  <c r="F470" i="33"/>
  <c r="HW185" i="58"/>
  <c r="E470" i="33"/>
  <c r="HV185" i="58"/>
  <c r="O469" i="33"/>
  <c r="IF184" i="58"/>
  <c r="N469" i="33"/>
  <c r="IE184" i="58"/>
  <c r="M469" i="33"/>
  <c r="ID184" i="58"/>
  <c r="L469" i="33"/>
  <c r="IC184" i="58"/>
  <c r="K469" i="33"/>
  <c r="IB184" i="58"/>
  <c r="J469" i="33"/>
  <c r="IA184" i="58"/>
  <c r="I469" i="33"/>
  <c r="HZ184" i="58"/>
  <c r="H469" i="33"/>
  <c r="HY184" i="58"/>
  <c r="G469" i="33"/>
  <c r="HX184" i="58"/>
  <c r="F469" i="33"/>
  <c r="HW184" i="58"/>
  <c r="E469" i="33"/>
  <c r="HV184" i="58"/>
  <c r="O467" i="33"/>
  <c r="IF182" i="58"/>
  <c r="N467" i="33"/>
  <c r="IE182" i="58"/>
  <c r="M467" i="33"/>
  <c r="ID182" i="58"/>
  <c r="L467" i="33"/>
  <c r="IC182" i="58"/>
  <c r="K467" i="33"/>
  <c r="IB182" i="58"/>
  <c r="J467" i="33"/>
  <c r="IA182" i="58"/>
  <c r="I467" i="33"/>
  <c r="HZ182" i="58"/>
  <c r="H467" i="33"/>
  <c r="HY182" i="58"/>
  <c r="G467" i="33"/>
  <c r="HX182" i="58"/>
  <c r="F467" i="33"/>
  <c r="HW182" i="58"/>
  <c r="E467" i="33"/>
  <c r="HV182" i="58"/>
  <c r="D470" i="33"/>
  <c r="HU185" i="58"/>
  <c r="D469" i="33"/>
  <c r="HU184" i="58"/>
  <c r="D467" i="33"/>
  <c r="HU182" i="58"/>
  <c r="O450" i="33"/>
  <c r="HT185" i="58"/>
  <c r="N450" i="33"/>
  <c r="HS185" i="58"/>
  <c r="M450" i="33"/>
  <c r="HR185" i="58"/>
  <c r="L450" i="33"/>
  <c r="HQ185" i="58"/>
  <c r="K450" i="33"/>
  <c r="HP185" i="58"/>
  <c r="J450" i="33"/>
  <c r="HO185" i="58"/>
  <c r="I450" i="33"/>
  <c r="HN185" i="58"/>
  <c r="H450" i="33"/>
  <c r="HM185" i="58"/>
  <c r="G450" i="33"/>
  <c r="HL185" i="58"/>
  <c r="F450" i="33"/>
  <c r="HK185" i="58"/>
  <c r="E450" i="33"/>
  <c r="HJ185" i="58"/>
  <c r="O449" i="33"/>
  <c r="HT184" i="58"/>
  <c r="N449" i="33"/>
  <c r="HS184" i="58"/>
  <c r="M449" i="33"/>
  <c r="HR184" i="58"/>
  <c r="L449" i="33"/>
  <c r="HQ184" i="58"/>
  <c r="K449" i="33"/>
  <c r="HP184" i="58"/>
  <c r="J449" i="33"/>
  <c r="HO184" i="58"/>
  <c r="I449" i="33"/>
  <c r="HN184" i="58"/>
  <c r="H449" i="33"/>
  <c r="HM184" i="58"/>
  <c r="G449" i="33"/>
  <c r="HL184" i="58"/>
  <c r="F449" i="33"/>
  <c r="HK184" i="58"/>
  <c r="E449" i="33"/>
  <c r="HJ184" i="58"/>
  <c r="O447" i="33"/>
  <c r="HT182" i="58"/>
  <c r="N447" i="33"/>
  <c r="HS182" i="58"/>
  <c r="M447" i="33"/>
  <c r="HR182" i="58"/>
  <c r="L447" i="33"/>
  <c r="HQ182" i="58"/>
  <c r="K447" i="33"/>
  <c r="HP182" i="58"/>
  <c r="J447" i="33"/>
  <c r="HO182" i="58"/>
  <c r="I447" i="33"/>
  <c r="HN182" i="58"/>
  <c r="H447" i="33"/>
  <c r="HM182" i="58"/>
  <c r="G447" i="33"/>
  <c r="HL182" i="58"/>
  <c r="F447" i="33"/>
  <c r="HK182" i="58"/>
  <c r="E447" i="33"/>
  <c r="HJ182" i="58"/>
  <c r="D450" i="33"/>
  <c r="HI185" i="58"/>
  <c r="D449" i="33"/>
  <c r="HI184" i="58"/>
  <c r="D447" i="33"/>
  <c r="HI182" i="58"/>
  <c r="O430" i="33"/>
  <c r="HH185" i="58"/>
  <c r="N430" i="33"/>
  <c r="HG185" i="58"/>
  <c r="M430" i="33"/>
  <c r="HF185" i="58"/>
  <c r="L430" i="33"/>
  <c r="HE185" i="58"/>
  <c r="K430" i="33"/>
  <c r="HD185" i="58"/>
  <c r="J430" i="33"/>
  <c r="HC185" i="58"/>
  <c r="I430" i="33"/>
  <c r="HB185" i="58"/>
  <c r="H430" i="33"/>
  <c r="HA185" i="58"/>
  <c r="G430" i="33"/>
  <c r="GZ185" i="58"/>
  <c r="F430" i="33"/>
  <c r="GY185" i="58"/>
  <c r="E430" i="33"/>
  <c r="GX185" i="58"/>
  <c r="O429" i="33"/>
  <c r="HH184" i="58"/>
  <c r="N429" i="33"/>
  <c r="HG184" i="58"/>
  <c r="M429" i="33"/>
  <c r="HF184" i="58"/>
  <c r="L429" i="33"/>
  <c r="HE184" i="58"/>
  <c r="K429" i="33"/>
  <c r="HD184" i="58"/>
  <c r="J429" i="33"/>
  <c r="HC184" i="58"/>
  <c r="I429" i="33"/>
  <c r="HB184" i="58"/>
  <c r="H429" i="33"/>
  <c r="HA184" i="58"/>
  <c r="G429" i="33"/>
  <c r="GZ184" i="58"/>
  <c r="F429" i="33"/>
  <c r="GY184" i="58"/>
  <c r="E429" i="33"/>
  <c r="GX184" i="58"/>
  <c r="O427" i="33"/>
  <c r="HH182" i="58"/>
  <c r="N427" i="33"/>
  <c r="HG182" i="58"/>
  <c r="M427" i="33"/>
  <c r="HF182" i="58"/>
  <c r="L427" i="33"/>
  <c r="HE182" i="58"/>
  <c r="K427" i="33"/>
  <c r="HD182" i="58"/>
  <c r="J427" i="33"/>
  <c r="HC182" i="58"/>
  <c r="I427" i="33"/>
  <c r="HB182" i="58"/>
  <c r="H427" i="33"/>
  <c r="HA182" i="58"/>
  <c r="G427" i="33"/>
  <c r="GZ182" i="58"/>
  <c r="F427" i="33"/>
  <c r="GY182" i="58"/>
  <c r="E427" i="33"/>
  <c r="GX182" i="58"/>
  <c r="D430" i="33"/>
  <c r="GW185" i="58"/>
  <c r="D429" i="33"/>
  <c r="GW184" i="58"/>
  <c r="D427" i="33"/>
  <c r="GW182" i="58"/>
  <c r="O410" i="33"/>
  <c r="GV185" i="58"/>
  <c r="N410" i="33"/>
  <c r="GU185" i="58"/>
  <c r="M410" i="33"/>
  <c r="GT185" i="58"/>
  <c r="L410" i="33"/>
  <c r="GS185" i="58"/>
  <c r="K410" i="33"/>
  <c r="GR185" i="58"/>
  <c r="J410" i="33"/>
  <c r="GQ185" i="58"/>
  <c r="I410" i="33"/>
  <c r="GP185" i="58"/>
  <c r="H410" i="33"/>
  <c r="GO185" i="58"/>
  <c r="G410" i="33"/>
  <c r="GN185" i="58"/>
  <c r="F410" i="33"/>
  <c r="GM185" i="58"/>
  <c r="E410" i="33"/>
  <c r="GL185" i="58"/>
  <c r="O409" i="33"/>
  <c r="GV184" i="58"/>
  <c r="N409" i="33"/>
  <c r="GU184" i="58"/>
  <c r="M409" i="33"/>
  <c r="GT184" i="58"/>
  <c r="L409" i="33"/>
  <c r="GS184" i="58"/>
  <c r="K409" i="33"/>
  <c r="GR184" i="58"/>
  <c r="J409" i="33"/>
  <c r="GQ184" i="58"/>
  <c r="I409" i="33"/>
  <c r="GP184" i="58"/>
  <c r="H409" i="33"/>
  <c r="GO184" i="58"/>
  <c r="G409" i="33"/>
  <c r="GN184" i="58"/>
  <c r="F409" i="33"/>
  <c r="GM184" i="58"/>
  <c r="E409" i="33"/>
  <c r="GL184" i="58"/>
  <c r="O407" i="33"/>
  <c r="GV182" i="58"/>
  <c r="N407" i="33"/>
  <c r="GU182" i="58"/>
  <c r="M407" i="33"/>
  <c r="GT182" i="58"/>
  <c r="L407" i="33"/>
  <c r="GS182" i="58"/>
  <c r="K407" i="33"/>
  <c r="GR182" i="58"/>
  <c r="J407" i="33"/>
  <c r="GQ182" i="58"/>
  <c r="I407" i="33"/>
  <c r="GP182" i="58"/>
  <c r="H407" i="33"/>
  <c r="GO182" i="58"/>
  <c r="G407" i="33"/>
  <c r="GN182" i="58"/>
  <c r="F407" i="33"/>
  <c r="GM182" i="58"/>
  <c r="E407" i="33"/>
  <c r="GL182" i="58"/>
  <c r="D410" i="33"/>
  <c r="GK185" i="58"/>
  <c r="D409" i="33"/>
  <c r="GK184" i="58"/>
  <c r="D407" i="33"/>
  <c r="GK182" i="58"/>
  <c r="O390" i="33"/>
  <c r="GJ185" i="58"/>
  <c r="N390" i="33"/>
  <c r="GI185" i="58"/>
  <c r="M390" i="33"/>
  <c r="GH185" i="58"/>
  <c r="L390" i="33"/>
  <c r="GG185" i="58"/>
  <c r="K390" i="33"/>
  <c r="GF185" i="58"/>
  <c r="J390" i="33"/>
  <c r="GE185" i="58"/>
  <c r="I390" i="33"/>
  <c r="GD185" i="58"/>
  <c r="H390" i="33"/>
  <c r="GC185" i="58"/>
  <c r="G390" i="33"/>
  <c r="GB185" i="58"/>
  <c r="F390" i="33"/>
  <c r="GA185" i="58"/>
  <c r="E390" i="33"/>
  <c r="FZ185" i="58"/>
  <c r="O389" i="33"/>
  <c r="GJ184" i="58"/>
  <c r="N389" i="33"/>
  <c r="GI184" i="58"/>
  <c r="M389" i="33"/>
  <c r="GH184" i="58"/>
  <c r="L389" i="33"/>
  <c r="GG184" i="58"/>
  <c r="K389" i="33"/>
  <c r="GF184" i="58"/>
  <c r="J389" i="33"/>
  <c r="GE184" i="58"/>
  <c r="I389" i="33"/>
  <c r="GD184" i="58"/>
  <c r="H389" i="33"/>
  <c r="GC184" i="58"/>
  <c r="G389" i="33"/>
  <c r="GB184" i="58"/>
  <c r="F389" i="33"/>
  <c r="GA184" i="58"/>
  <c r="E389" i="33"/>
  <c r="FZ184" i="58"/>
  <c r="O387" i="33"/>
  <c r="GJ182" i="58"/>
  <c r="N387" i="33"/>
  <c r="GI182" i="58"/>
  <c r="M387" i="33"/>
  <c r="GH182" i="58"/>
  <c r="L387" i="33"/>
  <c r="GG182" i="58"/>
  <c r="K387" i="33"/>
  <c r="GF182" i="58"/>
  <c r="J387" i="33"/>
  <c r="GE182" i="58"/>
  <c r="I387" i="33"/>
  <c r="GD182" i="58"/>
  <c r="H387" i="33"/>
  <c r="GC182" i="58"/>
  <c r="G387" i="33"/>
  <c r="GB182" i="58"/>
  <c r="F387" i="33"/>
  <c r="GA182" i="58"/>
  <c r="E387" i="33"/>
  <c r="FZ182" i="58"/>
  <c r="D390" i="33"/>
  <c r="FY185" i="58"/>
  <c r="D389" i="33"/>
  <c r="FY184" i="58"/>
  <c r="D387" i="33"/>
  <c r="FY182" i="58"/>
  <c r="FZ178" i="58"/>
  <c r="GA178" i="58"/>
  <c r="GB178" i="58"/>
  <c r="GC178" i="58"/>
  <c r="GD178" i="58"/>
  <c r="GE178" i="58"/>
  <c r="GF178" i="58"/>
  <c r="GG178" i="58"/>
  <c r="GH178" i="58"/>
  <c r="GI178" i="58"/>
  <c r="GJ178" i="58"/>
  <c r="GK178" i="58"/>
  <c r="GL178" i="58"/>
  <c r="GM178" i="58"/>
  <c r="GN178" i="58"/>
  <c r="GO178" i="58"/>
  <c r="GP178" i="58"/>
  <c r="GQ178" i="58"/>
  <c r="GR178" i="58"/>
  <c r="GS178" i="58"/>
  <c r="GT178" i="58"/>
  <c r="GU178" i="58"/>
  <c r="GV178" i="58"/>
  <c r="GW178" i="58"/>
  <c r="GX178" i="58"/>
  <c r="GY178" i="58"/>
  <c r="GZ178" i="58"/>
  <c r="HA178" i="58"/>
  <c r="HB178" i="58"/>
  <c r="HC178" i="58"/>
  <c r="HD178" i="58"/>
  <c r="HE178" i="58"/>
  <c r="HF178" i="58"/>
  <c r="HG178" i="58"/>
  <c r="HH178" i="58"/>
  <c r="HI178" i="58"/>
  <c r="HJ178" i="58"/>
  <c r="HK178" i="58"/>
  <c r="HL178" i="58"/>
  <c r="HM178" i="58"/>
  <c r="HN178" i="58"/>
  <c r="HO178" i="58"/>
  <c r="HP178" i="58"/>
  <c r="HQ178" i="58"/>
  <c r="HR178" i="58"/>
  <c r="HS178" i="58"/>
  <c r="HT178" i="58"/>
  <c r="HU178" i="58"/>
  <c r="HV178" i="58"/>
  <c r="HW178" i="58"/>
  <c r="HX178" i="58"/>
  <c r="HY178" i="58"/>
  <c r="HZ178" i="58"/>
  <c r="IA178" i="58"/>
  <c r="IB178" i="58"/>
  <c r="IC178" i="58"/>
  <c r="ID178" i="58"/>
  <c r="IE178" i="58"/>
  <c r="IF178" i="58"/>
  <c r="IG178" i="58"/>
  <c r="IH178" i="58"/>
  <c r="II178" i="58"/>
  <c r="IJ178" i="58"/>
  <c r="IK178" i="58"/>
  <c r="IL178" i="58"/>
  <c r="IM178" i="58"/>
  <c r="IN178" i="58"/>
  <c r="IO178" i="58"/>
  <c r="IP178" i="58"/>
  <c r="IQ178" i="58"/>
  <c r="IR178" i="58"/>
  <c r="IS178" i="58"/>
  <c r="IT178" i="58"/>
  <c r="IU178" i="58"/>
  <c r="IV178" i="58"/>
  <c r="IW178" i="58"/>
  <c r="IX178" i="58"/>
  <c r="IY178" i="58"/>
  <c r="IZ178" i="58"/>
  <c r="JA178" i="58"/>
  <c r="JB178" i="58"/>
  <c r="JC178" i="58"/>
  <c r="FY178" i="58"/>
  <c r="N489" i="25"/>
  <c r="N491" i="25"/>
  <c r="JC167" i="58"/>
  <c r="JC175" i="58"/>
  <c r="M489" i="25"/>
  <c r="M491" i="25"/>
  <c r="JB167" i="58"/>
  <c r="JB175" i="58"/>
  <c r="L489" i="25"/>
  <c r="L491" i="25"/>
  <c r="JA167" i="58"/>
  <c r="JA175" i="58"/>
  <c r="K489" i="25"/>
  <c r="K491" i="25"/>
  <c r="IZ167" i="58"/>
  <c r="IZ175" i="58"/>
  <c r="J489" i="25"/>
  <c r="J491" i="25"/>
  <c r="IY167" i="58"/>
  <c r="IY175" i="58"/>
  <c r="I489" i="25"/>
  <c r="I491" i="25"/>
  <c r="IX167" i="58"/>
  <c r="IX175" i="58"/>
  <c r="H489" i="25"/>
  <c r="H491" i="25"/>
  <c r="IW167" i="58"/>
  <c r="IW175" i="58"/>
  <c r="G489" i="25"/>
  <c r="G491" i="25"/>
  <c r="IV167" i="58"/>
  <c r="IV175" i="58"/>
  <c r="F489" i="25"/>
  <c r="F491" i="25"/>
  <c r="IU167" i="58"/>
  <c r="IU175" i="58"/>
  <c r="E489" i="25"/>
  <c r="E491" i="25"/>
  <c r="IT167" i="58"/>
  <c r="IT175" i="58"/>
  <c r="D489" i="25"/>
  <c r="D491" i="25"/>
  <c r="IS167" i="58"/>
  <c r="IS175" i="58"/>
  <c r="O483" i="25"/>
  <c r="O485" i="25"/>
  <c r="IR167" i="58"/>
  <c r="IR175" i="58"/>
  <c r="N483" i="25"/>
  <c r="N485" i="25"/>
  <c r="IQ167" i="58"/>
  <c r="IQ175" i="58"/>
  <c r="M483" i="25"/>
  <c r="M485" i="25"/>
  <c r="IP167" i="58"/>
  <c r="IP175" i="58"/>
  <c r="L483" i="25"/>
  <c r="L485" i="25"/>
  <c r="IO167" i="58"/>
  <c r="IO175" i="58"/>
  <c r="K483" i="25"/>
  <c r="K485" i="25"/>
  <c r="IN167" i="58"/>
  <c r="IN175" i="58"/>
  <c r="J483" i="25"/>
  <c r="J485" i="25"/>
  <c r="IM167" i="58"/>
  <c r="IM175" i="58"/>
  <c r="I483" i="25"/>
  <c r="I485" i="25"/>
  <c r="IL167" i="58"/>
  <c r="IL175" i="58"/>
  <c r="H483" i="25"/>
  <c r="H485" i="25"/>
  <c r="IK167" i="58"/>
  <c r="IK175" i="58"/>
  <c r="G483" i="25"/>
  <c r="G485" i="25"/>
  <c r="IJ167" i="58"/>
  <c r="IJ175" i="58"/>
  <c r="F483" i="25"/>
  <c r="F485" i="25"/>
  <c r="II167" i="58"/>
  <c r="II175" i="58"/>
  <c r="E483" i="25"/>
  <c r="E485" i="25"/>
  <c r="IH167" i="58"/>
  <c r="IH175" i="58"/>
  <c r="D483" i="25"/>
  <c r="D485" i="25"/>
  <c r="IG167" i="58"/>
  <c r="IG175" i="58"/>
  <c r="O477" i="25"/>
  <c r="O479" i="25"/>
  <c r="IF167" i="58"/>
  <c r="IF175" i="58"/>
  <c r="N477" i="25"/>
  <c r="N479" i="25"/>
  <c r="IE167" i="58"/>
  <c r="IE175" i="58"/>
  <c r="M477" i="25"/>
  <c r="M479" i="25"/>
  <c r="ID167" i="58"/>
  <c r="ID175" i="58"/>
  <c r="L477" i="25"/>
  <c r="L479" i="25"/>
  <c r="IC167" i="58"/>
  <c r="IC175" i="58"/>
  <c r="K477" i="25"/>
  <c r="K479" i="25"/>
  <c r="IB167" i="58"/>
  <c r="IB175" i="58"/>
  <c r="J477" i="25"/>
  <c r="J479" i="25"/>
  <c r="IA167" i="58"/>
  <c r="IA175" i="58"/>
  <c r="I477" i="25"/>
  <c r="I479" i="25"/>
  <c r="HZ167" i="58"/>
  <c r="HZ175" i="58"/>
  <c r="H477" i="25"/>
  <c r="H479" i="25"/>
  <c r="HY167" i="58"/>
  <c r="HY175" i="58"/>
  <c r="G477" i="25"/>
  <c r="G479" i="25"/>
  <c r="HX167" i="58"/>
  <c r="HX175" i="58"/>
  <c r="F477" i="25"/>
  <c r="F479" i="25"/>
  <c r="HW167" i="58"/>
  <c r="HW175" i="58"/>
  <c r="E477" i="25"/>
  <c r="E479" i="25"/>
  <c r="HV167" i="58"/>
  <c r="HV175" i="58"/>
  <c r="D477" i="25"/>
  <c r="D479" i="25"/>
  <c r="HU167" i="58"/>
  <c r="HU175" i="58"/>
  <c r="O471" i="25"/>
  <c r="O473" i="25"/>
  <c r="HT167" i="58"/>
  <c r="HT175" i="58"/>
  <c r="N471" i="25"/>
  <c r="N473" i="25"/>
  <c r="HS167" i="58"/>
  <c r="HS175" i="58"/>
  <c r="M471" i="25"/>
  <c r="M473" i="25"/>
  <c r="HR167" i="58"/>
  <c r="HR175" i="58"/>
  <c r="L471" i="25"/>
  <c r="L473" i="25"/>
  <c r="HQ167" i="58"/>
  <c r="HQ175" i="58"/>
  <c r="K471" i="25"/>
  <c r="K473" i="25"/>
  <c r="HP167" i="58"/>
  <c r="HP175" i="58"/>
  <c r="J471" i="25"/>
  <c r="J473" i="25"/>
  <c r="HO167" i="58"/>
  <c r="HO175" i="58"/>
  <c r="I471" i="25"/>
  <c r="I473" i="25"/>
  <c r="HN167" i="58"/>
  <c r="HN175" i="58"/>
  <c r="H471" i="25"/>
  <c r="H473" i="25"/>
  <c r="HM167" i="58"/>
  <c r="HM175" i="58"/>
  <c r="G471" i="25"/>
  <c r="G473" i="25"/>
  <c r="HL167" i="58"/>
  <c r="HL175" i="58"/>
  <c r="F471" i="25"/>
  <c r="F473" i="25"/>
  <c r="HK167" i="58"/>
  <c r="HK175" i="58"/>
  <c r="E471" i="25"/>
  <c r="E473" i="25"/>
  <c r="HJ167" i="58"/>
  <c r="HJ175" i="58"/>
  <c r="D471" i="25"/>
  <c r="D473" i="25"/>
  <c r="HI167" i="58"/>
  <c r="HI175" i="58"/>
  <c r="O465" i="25"/>
  <c r="O467" i="25"/>
  <c r="HH167" i="58"/>
  <c r="HH175" i="58"/>
  <c r="N465" i="25"/>
  <c r="N467" i="25"/>
  <c r="HG167" i="58"/>
  <c r="HG175" i="58"/>
  <c r="M465" i="25"/>
  <c r="M467" i="25"/>
  <c r="HF167" i="58"/>
  <c r="HF175" i="58"/>
  <c r="L465" i="25"/>
  <c r="L467" i="25"/>
  <c r="HE167" i="58"/>
  <c r="HE175" i="58"/>
  <c r="K465" i="25"/>
  <c r="K467" i="25"/>
  <c r="HD167" i="58"/>
  <c r="HD175" i="58"/>
  <c r="J465" i="25"/>
  <c r="J467" i="25"/>
  <c r="HC167" i="58"/>
  <c r="HC175" i="58"/>
  <c r="I465" i="25"/>
  <c r="I467" i="25"/>
  <c r="HB167" i="58"/>
  <c r="HB175" i="58"/>
  <c r="H465" i="25"/>
  <c r="H467" i="25"/>
  <c r="HA167" i="58"/>
  <c r="HA175" i="58"/>
  <c r="G465" i="25"/>
  <c r="G467" i="25"/>
  <c r="GZ167" i="58"/>
  <c r="GZ175" i="58"/>
  <c r="F465" i="25"/>
  <c r="F467" i="25"/>
  <c r="GY167" i="58"/>
  <c r="GY175" i="58"/>
  <c r="E465" i="25"/>
  <c r="E467" i="25"/>
  <c r="GX167" i="58"/>
  <c r="GX175" i="58"/>
  <c r="D465" i="25"/>
  <c r="D467" i="25"/>
  <c r="GW167" i="58"/>
  <c r="GW175" i="58"/>
  <c r="O459" i="25"/>
  <c r="O461" i="25"/>
  <c r="GV167" i="58"/>
  <c r="GV175" i="58"/>
  <c r="N459" i="25"/>
  <c r="N461" i="25"/>
  <c r="GU167" i="58"/>
  <c r="GU175" i="58"/>
  <c r="M459" i="25"/>
  <c r="M461" i="25"/>
  <c r="GT167" i="58"/>
  <c r="GT175" i="58"/>
  <c r="L459" i="25"/>
  <c r="L461" i="25"/>
  <c r="GS167" i="58"/>
  <c r="GS175" i="58"/>
  <c r="K459" i="25"/>
  <c r="K461" i="25"/>
  <c r="GR167" i="58"/>
  <c r="GR175" i="58"/>
  <c r="J459" i="25"/>
  <c r="J461" i="25"/>
  <c r="GQ167" i="58"/>
  <c r="GQ175" i="58"/>
  <c r="I459" i="25"/>
  <c r="I461" i="25"/>
  <c r="GP167" i="58"/>
  <c r="GP175" i="58"/>
  <c r="H459" i="25"/>
  <c r="H461" i="25"/>
  <c r="GO167" i="58"/>
  <c r="GO175" i="58"/>
  <c r="G459" i="25"/>
  <c r="G461" i="25"/>
  <c r="GN167" i="58"/>
  <c r="GN175" i="58"/>
  <c r="F459" i="25"/>
  <c r="F461" i="25"/>
  <c r="GM167" i="58"/>
  <c r="GM175" i="58"/>
  <c r="E459" i="25"/>
  <c r="E461" i="25"/>
  <c r="GL167" i="58"/>
  <c r="GL175" i="58"/>
  <c r="D459" i="25"/>
  <c r="D461" i="25"/>
  <c r="GK167" i="58"/>
  <c r="GK175" i="58"/>
  <c r="O453" i="25"/>
  <c r="O455" i="25"/>
  <c r="GJ167" i="58"/>
  <c r="GJ175" i="58"/>
  <c r="N453" i="25"/>
  <c r="N455" i="25"/>
  <c r="GI167" i="58"/>
  <c r="GI175" i="58"/>
  <c r="M453" i="25"/>
  <c r="M455" i="25"/>
  <c r="GH167" i="58"/>
  <c r="GH175" i="58"/>
  <c r="L453" i="25"/>
  <c r="L455" i="25"/>
  <c r="GG167" i="58"/>
  <c r="GG175" i="58"/>
  <c r="K453" i="25"/>
  <c r="K455" i="25"/>
  <c r="GF167" i="58"/>
  <c r="GF175" i="58"/>
  <c r="J453" i="25"/>
  <c r="J455" i="25"/>
  <c r="GE167" i="58"/>
  <c r="GE175" i="58"/>
  <c r="I453" i="25"/>
  <c r="I455" i="25"/>
  <c r="GD167" i="58"/>
  <c r="GD175" i="58"/>
  <c r="H453" i="25"/>
  <c r="H455" i="25"/>
  <c r="GC167" i="58"/>
  <c r="GC175" i="58"/>
  <c r="G453" i="25"/>
  <c r="G455" i="25"/>
  <c r="GB167" i="58"/>
  <c r="GB175" i="58"/>
  <c r="F453" i="25"/>
  <c r="F455" i="25"/>
  <c r="GA167" i="58"/>
  <c r="GA175" i="58"/>
  <c r="E453" i="25"/>
  <c r="E455" i="25"/>
  <c r="FZ167" i="58"/>
  <c r="FZ175" i="58"/>
  <c r="FY167" i="58"/>
  <c r="FY175" i="58"/>
  <c r="F250" i="28"/>
  <c r="F253" i="28"/>
  <c r="F251" i="28"/>
  <c r="F255" i="28"/>
  <c r="F252" i="28"/>
  <c r="F254" i="28"/>
  <c r="F257" i="28"/>
  <c r="IT174" i="58"/>
  <c r="G250" i="28"/>
  <c r="G253" i="28"/>
  <c r="G251" i="28"/>
  <c r="G255" i="28"/>
  <c r="G252" i="28"/>
  <c r="G254" i="28"/>
  <c r="G257" i="28"/>
  <c r="IU174" i="58"/>
  <c r="H250" i="28"/>
  <c r="H253" i="28"/>
  <c r="H251" i="28"/>
  <c r="H255" i="28"/>
  <c r="H252" i="28"/>
  <c r="H254" i="28"/>
  <c r="H257" i="28"/>
  <c r="IV174" i="58"/>
  <c r="I250" i="28"/>
  <c r="I253" i="28"/>
  <c r="I251" i="28"/>
  <c r="I255" i="28"/>
  <c r="I252" i="28"/>
  <c r="I254" i="28"/>
  <c r="I257" i="28"/>
  <c r="IW174" i="58"/>
  <c r="J250" i="28"/>
  <c r="J253" i="28"/>
  <c r="J251" i="28"/>
  <c r="J255" i="28"/>
  <c r="J252" i="28"/>
  <c r="J254" i="28"/>
  <c r="J257" i="28"/>
  <c r="IX174" i="58"/>
  <c r="K250" i="28"/>
  <c r="K253" i="28"/>
  <c r="K251" i="28"/>
  <c r="K255" i="28"/>
  <c r="K252" i="28"/>
  <c r="K254" i="28"/>
  <c r="K257" i="28"/>
  <c r="IY174" i="58"/>
  <c r="L250" i="28"/>
  <c r="L253" i="28"/>
  <c r="L251" i="28"/>
  <c r="L255" i="28"/>
  <c r="L252" i="28"/>
  <c r="L254" i="28"/>
  <c r="L257" i="28"/>
  <c r="IZ174" i="58"/>
  <c r="M250" i="28"/>
  <c r="M253" i="28"/>
  <c r="M251" i="28"/>
  <c r="M255" i="28"/>
  <c r="M252" i="28"/>
  <c r="M254" i="28"/>
  <c r="M257" i="28"/>
  <c r="JA174" i="58"/>
  <c r="N250" i="28"/>
  <c r="N253" i="28"/>
  <c r="N251" i="28"/>
  <c r="N255" i="28"/>
  <c r="N252" i="28"/>
  <c r="N254" i="28"/>
  <c r="N257" i="28"/>
  <c r="JB174" i="58"/>
  <c r="O250" i="28"/>
  <c r="O253" i="28"/>
  <c r="O251" i="28"/>
  <c r="O255" i="28"/>
  <c r="O252" i="28"/>
  <c r="O254" i="28"/>
  <c r="O257" i="28"/>
  <c r="JC174" i="58"/>
  <c r="E250" i="28"/>
  <c r="E253" i="28"/>
  <c r="E251" i="28"/>
  <c r="E255" i="28"/>
  <c r="E252" i="28"/>
  <c r="E254" i="28"/>
  <c r="E257" i="28"/>
  <c r="IS174" i="58"/>
  <c r="F240" i="28"/>
  <c r="F243" i="28"/>
  <c r="F241" i="28"/>
  <c r="F245" i="28"/>
  <c r="F242" i="28"/>
  <c r="F244" i="28"/>
  <c r="F247" i="28"/>
  <c r="IH174" i="58"/>
  <c r="G240" i="28"/>
  <c r="G243" i="28"/>
  <c r="G241" i="28"/>
  <c r="G245" i="28"/>
  <c r="G242" i="28"/>
  <c r="G244" i="28"/>
  <c r="G247" i="28"/>
  <c r="II174" i="58"/>
  <c r="H240" i="28"/>
  <c r="H243" i="28"/>
  <c r="H241" i="28"/>
  <c r="H245" i="28"/>
  <c r="H242" i="28"/>
  <c r="H244" i="28"/>
  <c r="H247" i="28"/>
  <c r="IJ174" i="58"/>
  <c r="I240" i="28"/>
  <c r="I243" i="28"/>
  <c r="I241" i="28"/>
  <c r="I245" i="28"/>
  <c r="I242" i="28"/>
  <c r="I244" i="28"/>
  <c r="I247" i="28"/>
  <c r="IK174" i="58"/>
  <c r="J240" i="28"/>
  <c r="J243" i="28"/>
  <c r="J241" i="28"/>
  <c r="J245" i="28"/>
  <c r="J242" i="28"/>
  <c r="J244" i="28"/>
  <c r="J247" i="28"/>
  <c r="IL174" i="58"/>
  <c r="K240" i="28"/>
  <c r="K243" i="28"/>
  <c r="K241" i="28"/>
  <c r="K245" i="28"/>
  <c r="K242" i="28"/>
  <c r="K244" i="28"/>
  <c r="K247" i="28"/>
  <c r="IM174" i="58"/>
  <c r="L240" i="28"/>
  <c r="L243" i="28"/>
  <c r="L241" i="28"/>
  <c r="L245" i="28"/>
  <c r="L242" i="28"/>
  <c r="L244" i="28"/>
  <c r="L247" i="28"/>
  <c r="IN174" i="58"/>
  <c r="M240" i="28"/>
  <c r="M243" i="28"/>
  <c r="M241" i="28"/>
  <c r="M245" i="28"/>
  <c r="M242" i="28"/>
  <c r="M244" i="28"/>
  <c r="M247" i="28"/>
  <c r="IO174" i="58"/>
  <c r="N240" i="28"/>
  <c r="N243" i="28"/>
  <c r="N241" i="28"/>
  <c r="N245" i="28"/>
  <c r="N242" i="28"/>
  <c r="N244" i="28"/>
  <c r="N247" i="28"/>
  <c r="IP174" i="58"/>
  <c r="O240" i="28"/>
  <c r="O243" i="28"/>
  <c r="O241" i="28"/>
  <c r="O245" i="28"/>
  <c r="O242" i="28"/>
  <c r="O244" i="28"/>
  <c r="O247" i="28"/>
  <c r="IQ174" i="58"/>
  <c r="P240" i="28"/>
  <c r="P243" i="28"/>
  <c r="P241" i="28"/>
  <c r="P245" i="28"/>
  <c r="P242" i="28"/>
  <c r="P244" i="28"/>
  <c r="P247" i="28"/>
  <c r="IR174" i="58"/>
  <c r="E240" i="28"/>
  <c r="E243" i="28"/>
  <c r="E241" i="28"/>
  <c r="E245" i="28"/>
  <c r="E242" i="28"/>
  <c r="E244" i="28"/>
  <c r="E247" i="28"/>
  <c r="IG174" i="58"/>
  <c r="F230" i="28"/>
  <c r="F233" i="28"/>
  <c r="F231" i="28"/>
  <c r="F235" i="28"/>
  <c r="F232" i="28"/>
  <c r="F234" i="28"/>
  <c r="F237" i="28"/>
  <c r="HV174" i="58"/>
  <c r="G230" i="28"/>
  <c r="G233" i="28"/>
  <c r="G231" i="28"/>
  <c r="G235" i="28"/>
  <c r="G232" i="28"/>
  <c r="G234" i="28"/>
  <c r="G237" i="28"/>
  <c r="HW174" i="58"/>
  <c r="H230" i="28"/>
  <c r="H233" i="28"/>
  <c r="H231" i="28"/>
  <c r="H235" i="28"/>
  <c r="H232" i="28"/>
  <c r="H234" i="28"/>
  <c r="H237" i="28"/>
  <c r="HX174" i="58"/>
  <c r="I230" i="28"/>
  <c r="I233" i="28"/>
  <c r="I231" i="28"/>
  <c r="I235" i="28"/>
  <c r="I232" i="28"/>
  <c r="I234" i="28"/>
  <c r="I237" i="28"/>
  <c r="HY174" i="58"/>
  <c r="J230" i="28"/>
  <c r="J233" i="28"/>
  <c r="J231" i="28"/>
  <c r="J235" i="28"/>
  <c r="J232" i="28"/>
  <c r="J234" i="28"/>
  <c r="J237" i="28"/>
  <c r="HZ174" i="58"/>
  <c r="K230" i="28"/>
  <c r="K233" i="28"/>
  <c r="K231" i="28"/>
  <c r="K235" i="28"/>
  <c r="K232" i="28"/>
  <c r="K234" i="28"/>
  <c r="K237" i="28"/>
  <c r="IA174" i="58"/>
  <c r="L230" i="28"/>
  <c r="L233" i="28"/>
  <c r="L231" i="28"/>
  <c r="L235" i="28"/>
  <c r="L232" i="28"/>
  <c r="L234" i="28"/>
  <c r="L237" i="28"/>
  <c r="IB174" i="58"/>
  <c r="M230" i="28"/>
  <c r="M233" i="28"/>
  <c r="M231" i="28"/>
  <c r="M235" i="28"/>
  <c r="M232" i="28"/>
  <c r="M234" i="28"/>
  <c r="M237" i="28"/>
  <c r="IC174" i="58"/>
  <c r="N230" i="28"/>
  <c r="N233" i="28"/>
  <c r="N231" i="28"/>
  <c r="N235" i="28"/>
  <c r="N232" i="28"/>
  <c r="N234" i="28"/>
  <c r="N237" i="28"/>
  <c r="ID174" i="58"/>
  <c r="O230" i="28"/>
  <c r="O233" i="28"/>
  <c r="O231" i="28"/>
  <c r="O235" i="28"/>
  <c r="O232" i="28"/>
  <c r="O234" i="28"/>
  <c r="O237" i="28"/>
  <c r="IE174" i="58"/>
  <c r="P230" i="28"/>
  <c r="P233" i="28"/>
  <c r="P231" i="28"/>
  <c r="P235" i="28"/>
  <c r="P232" i="28"/>
  <c r="P234" i="28"/>
  <c r="P237" i="28"/>
  <c r="IF174" i="58"/>
  <c r="E230" i="28"/>
  <c r="E233" i="28"/>
  <c r="E231" i="28"/>
  <c r="E235" i="28"/>
  <c r="E232" i="28"/>
  <c r="E234" i="28"/>
  <c r="E237" i="28"/>
  <c r="HU174" i="58"/>
  <c r="F220" i="28"/>
  <c r="F223" i="28"/>
  <c r="F221" i="28"/>
  <c r="F225" i="28"/>
  <c r="F222" i="28"/>
  <c r="F224" i="28"/>
  <c r="F227" i="28"/>
  <c r="HJ174" i="58"/>
  <c r="G220" i="28"/>
  <c r="G223" i="28"/>
  <c r="G221" i="28"/>
  <c r="G225" i="28"/>
  <c r="G222" i="28"/>
  <c r="G224" i="28"/>
  <c r="G227" i="28"/>
  <c r="HK174" i="58"/>
  <c r="H220" i="28"/>
  <c r="H223" i="28"/>
  <c r="H221" i="28"/>
  <c r="H225" i="28"/>
  <c r="H222" i="28"/>
  <c r="H224" i="28"/>
  <c r="H227" i="28"/>
  <c r="HL174" i="58"/>
  <c r="I220" i="28"/>
  <c r="I223" i="28"/>
  <c r="I221" i="28"/>
  <c r="I225" i="28"/>
  <c r="I222" i="28"/>
  <c r="I224" i="28"/>
  <c r="I227" i="28"/>
  <c r="HM174" i="58"/>
  <c r="J220" i="28"/>
  <c r="J223" i="28"/>
  <c r="J221" i="28"/>
  <c r="J225" i="28"/>
  <c r="J222" i="28"/>
  <c r="J224" i="28"/>
  <c r="J227" i="28"/>
  <c r="HN174" i="58"/>
  <c r="K220" i="28"/>
  <c r="K223" i="28"/>
  <c r="K221" i="28"/>
  <c r="K225" i="28"/>
  <c r="K222" i="28"/>
  <c r="K224" i="28"/>
  <c r="K227" i="28"/>
  <c r="HO174" i="58"/>
  <c r="L220" i="28"/>
  <c r="L223" i="28"/>
  <c r="L221" i="28"/>
  <c r="L225" i="28"/>
  <c r="L222" i="28"/>
  <c r="L224" i="28"/>
  <c r="L227" i="28"/>
  <c r="HP174" i="58"/>
  <c r="M220" i="28"/>
  <c r="M223" i="28"/>
  <c r="M221" i="28"/>
  <c r="M225" i="28"/>
  <c r="M222" i="28"/>
  <c r="M224" i="28"/>
  <c r="M227" i="28"/>
  <c r="HQ174" i="58"/>
  <c r="N220" i="28"/>
  <c r="N223" i="28"/>
  <c r="N221" i="28"/>
  <c r="N225" i="28"/>
  <c r="N222" i="28"/>
  <c r="N224" i="28"/>
  <c r="N227" i="28"/>
  <c r="HR174" i="58"/>
  <c r="O220" i="28"/>
  <c r="O223" i="28"/>
  <c r="O221" i="28"/>
  <c r="O225" i="28"/>
  <c r="O222" i="28"/>
  <c r="O224" i="28"/>
  <c r="O227" i="28"/>
  <c r="HS174" i="58"/>
  <c r="P220" i="28"/>
  <c r="P223" i="28"/>
  <c r="P221" i="28"/>
  <c r="P225" i="28"/>
  <c r="P222" i="28"/>
  <c r="P224" i="28"/>
  <c r="P227" i="28"/>
  <c r="HT174" i="58"/>
  <c r="E220" i="28"/>
  <c r="E223" i="28"/>
  <c r="E221" i="28"/>
  <c r="E225" i="28"/>
  <c r="E222" i="28"/>
  <c r="E224" i="28"/>
  <c r="E227" i="28"/>
  <c r="HI174" i="58"/>
  <c r="F210" i="28"/>
  <c r="F213" i="28"/>
  <c r="F211" i="28"/>
  <c r="F215" i="28"/>
  <c r="F212" i="28"/>
  <c r="F214" i="28"/>
  <c r="F217" i="28"/>
  <c r="GX174" i="58"/>
  <c r="G210" i="28"/>
  <c r="G213" i="28"/>
  <c r="G211" i="28"/>
  <c r="G215" i="28"/>
  <c r="G212" i="28"/>
  <c r="G214" i="28"/>
  <c r="G217" i="28"/>
  <c r="GY174" i="58"/>
  <c r="H210" i="28"/>
  <c r="H213" i="28"/>
  <c r="H211" i="28"/>
  <c r="H215" i="28"/>
  <c r="H212" i="28"/>
  <c r="H214" i="28"/>
  <c r="H217" i="28"/>
  <c r="GZ174" i="58"/>
  <c r="I210" i="28"/>
  <c r="I213" i="28"/>
  <c r="I211" i="28"/>
  <c r="I215" i="28"/>
  <c r="I212" i="28"/>
  <c r="I214" i="28"/>
  <c r="I217" i="28"/>
  <c r="HA174" i="58"/>
  <c r="J210" i="28"/>
  <c r="J213" i="28"/>
  <c r="J211" i="28"/>
  <c r="J215" i="28"/>
  <c r="J212" i="28"/>
  <c r="J214" i="28"/>
  <c r="J217" i="28"/>
  <c r="HB174" i="58"/>
  <c r="K210" i="28"/>
  <c r="K213" i="28"/>
  <c r="K211" i="28"/>
  <c r="K215" i="28"/>
  <c r="K212" i="28"/>
  <c r="K214" i="28"/>
  <c r="K217" i="28"/>
  <c r="HC174" i="58"/>
  <c r="L210" i="28"/>
  <c r="L213" i="28"/>
  <c r="L211" i="28"/>
  <c r="L215" i="28"/>
  <c r="L212" i="28"/>
  <c r="L214" i="28"/>
  <c r="L217" i="28"/>
  <c r="HD174" i="58"/>
  <c r="M210" i="28"/>
  <c r="M213" i="28"/>
  <c r="M211" i="28"/>
  <c r="M215" i="28"/>
  <c r="M212" i="28"/>
  <c r="M214" i="28"/>
  <c r="M217" i="28"/>
  <c r="HE174" i="58"/>
  <c r="N210" i="28"/>
  <c r="N213" i="28"/>
  <c r="N211" i="28"/>
  <c r="N215" i="28"/>
  <c r="N212" i="28"/>
  <c r="N214" i="28"/>
  <c r="N217" i="28"/>
  <c r="HF174" i="58"/>
  <c r="O210" i="28"/>
  <c r="O213" i="28"/>
  <c r="O211" i="28"/>
  <c r="O215" i="28"/>
  <c r="O212" i="28"/>
  <c r="O214" i="28"/>
  <c r="O217" i="28"/>
  <c r="HG174" i="58"/>
  <c r="P210" i="28"/>
  <c r="P213" i="28"/>
  <c r="P211" i="28"/>
  <c r="P215" i="28"/>
  <c r="P212" i="28"/>
  <c r="P214" i="28"/>
  <c r="P217" i="28"/>
  <c r="HH174" i="58"/>
  <c r="E210" i="28"/>
  <c r="E213" i="28"/>
  <c r="E211" i="28"/>
  <c r="E215" i="28"/>
  <c r="E212" i="28"/>
  <c r="E214" i="28"/>
  <c r="E217" i="28"/>
  <c r="GW174" i="58"/>
  <c r="F200" i="28"/>
  <c r="F203" i="28"/>
  <c r="F201" i="28"/>
  <c r="F205" i="28"/>
  <c r="F202" i="28"/>
  <c r="F204" i="28"/>
  <c r="F207" i="28"/>
  <c r="GL174" i="58"/>
  <c r="G200" i="28"/>
  <c r="G203" i="28"/>
  <c r="G201" i="28"/>
  <c r="G205" i="28"/>
  <c r="G202" i="28"/>
  <c r="G204" i="28"/>
  <c r="G207" i="28"/>
  <c r="GM174" i="58"/>
  <c r="H200" i="28"/>
  <c r="H203" i="28"/>
  <c r="H201" i="28"/>
  <c r="H205" i="28"/>
  <c r="H202" i="28"/>
  <c r="H204" i="28"/>
  <c r="H207" i="28"/>
  <c r="GN174" i="58"/>
  <c r="I200" i="28"/>
  <c r="I203" i="28"/>
  <c r="I201" i="28"/>
  <c r="I205" i="28"/>
  <c r="I202" i="28"/>
  <c r="I204" i="28"/>
  <c r="I207" i="28"/>
  <c r="GO174" i="58"/>
  <c r="J200" i="28"/>
  <c r="J203" i="28"/>
  <c r="J201" i="28"/>
  <c r="J205" i="28"/>
  <c r="J202" i="28"/>
  <c r="J204" i="28"/>
  <c r="J207" i="28"/>
  <c r="GP174" i="58"/>
  <c r="K200" i="28"/>
  <c r="K203" i="28"/>
  <c r="K201" i="28"/>
  <c r="K205" i="28"/>
  <c r="K202" i="28"/>
  <c r="K204" i="28"/>
  <c r="K207" i="28"/>
  <c r="GQ174" i="58"/>
  <c r="L200" i="28"/>
  <c r="L203" i="28"/>
  <c r="L201" i="28"/>
  <c r="L205" i="28"/>
  <c r="L202" i="28"/>
  <c r="L204" i="28"/>
  <c r="L207" i="28"/>
  <c r="GR174" i="58"/>
  <c r="M200" i="28"/>
  <c r="M203" i="28"/>
  <c r="M201" i="28"/>
  <c r="M205" i="28"/>
  <c r="M202" i="28"/>
  <c r="M204" i="28"/>
  <c r="M207" i="28"/>
  <c r="GS174" i="58"/>
  <c r="N200" i="28"/>
  <c r="N203" i="28"/>
  <c r="N201" i="28"/>
  <c r="N205" i="28"/>
  <c r="N202" i="28"/>
  <c r="N204" i="28"/>
  <c r="N207" i="28"/>
  <c r="GT174" i="58"/>
  <c r="O200" i="28"/>
  <c r="O203" i="28"/>
  <c r="O201" i="28"/>
  <c r="O205" i="28"/>
  <c r="O202" i="28"/>
  <c r="O204" i="28"/>
  <c r="O207" i="28"/>
  <c r="GU174" i="58"/>
  <c r="P200" i="28"/>
  <c r="P203" i="28"/>
  <c r="P201" i="28"/>
  <c r="P205" i="28"/>
  <c r="P202" i="28"/>
  <c r="P204" i="28"/>
  <c r="P207" i="28"/>
  <c r="GV174" i="58"/>
  <c r="E200" i="28"/>
  <c r="E203" i="28"/>
  <c r="E201" i="28"/>
  <c r="E205" i="28"/>
  <c r="E202" i="28"/>
  <c r="E204" i="28"/>
  <c r="E207" i="28"/>
  <c r="GK174" i="58"/>
  <c r="F190" i="28"/>
  <c r="F193" i="28"/>
  <c r="F191" i="28"/>
  <c r="F195" i="28"/>
  <c r="F192" i="28"/>
  <c r="F194" i="28"/>
  <c r="F197" i="28"/>
  <c r="FZ174" i="58"/>
  <c r="G190" i="28"/>
  <c r="G193" i="28"/>
  <c r="G191" i="28"/>
  <c r="G195" i="28"/>
  <c r="G192" i="28"/>
  <c r="G194" i="28"/>
  <c r="G197" i="28"/>
  <c r="GA174" i="58"/>
  <c r="H190" i="28"/>
  <c r="H193" i="28"/>
  <c r="H191" i="28"/>
  <c r="H195" i="28"/>
  <c r="H192" i="28"/>
  <c r="H194" i="28"/>
  <c r="H197" i="28"/>
  <c r="GB174" i="58"/>
  <c r="I190" i="28"/>
  <c r="I193" i="28"/>
  <c r="I191" i="28"/>
  <c r="I195" i="28"/>
  <c r="I192" i="28"/>
  <c r="I194" i="28"/>
  <c r="I197" i="28"/>
  <c r="GC174" i="58"/>
  <c r="J190" i="28"/>
  <c r="J193" i="28"/>
  <c r="J191" i="28"/>
  <c r="J195" i="28"/>
  <c r="J192" i="28"/>
  <c r="J194" i="28"/>
  <c r="J197" i="28"/>
  <c r="GD174" i="58"/>
  <c r="K190" i="28"/>
  <c r="K193" i="28"/>
  <c r="K191" i="28"/>
  <c r="K195" i="28"/>
  <c r="K192" i="28"/>
  <c r="K194" i="28"/>
  <c r="K197" i="28"/>
  <c r="GE174" i="58"/>
  <c r="L190" i="28"/>
  <c r="L193" i="28"/>
  <c r="L191" i="28"/>
  <c r="L195" i="28"/>
  <c r="L192" i="28"/>
  <c r="L194" i="28"/>
  <c r="L197" i="28"/>
  <c r="GF174" i="58"/>
  <c r="M190" i="28"/>
  <c r="M193" i="28"/>
  <c r="M191" i="28"/>
  <c r="M195" i="28"/>
  <c r="M192" i="28"/>
  <c r="M194" i="28"/>
  <c r="M197" i="28"/>
  <c r="GG174" i="58"/>
  <c r="N190" i="28"/>
  <c r="N193" i="28"/>
  <c r="N191" i="28"/>
  <c r="N195" i="28"/>
  <c r="N192" i="28"/>
  <c r="N194" i="28"/>
  <c r="N197" i="28"/>
  <c r="GH174" i="58"/>
  <c r="O190" i="28"/>
  <c r="O193" i="28"/>
  <c r="O191" i="28"/>
  <c r="O195" i="28"/>
  <c r="O192" i="28"/>
  <c r="O194" i="28"/>
  <c r="O197" i="28"/>
  <c r="GI174" i="58"/>
  <c r="P190" i="28"/>
  <c r="P193" i="28"/>
  <c r="P191" i="28"/>
  <c r="P195" i="28"/>
  <c r="P192" i="28"/>
  <c r="P194" i="28"/>
  <c r="P197" i="28"/>
  <c r="GJ174" i="58"/>
  <c r="E190" i="28"/>
  <c r="E193" i="28"/>
  <c r="E197" i="28"/>
  <c r="FY174" i="58"/>
  <c r="F633" i="25"/>
  <c r="F634" i="25"/>
  <c r="F632" i="25"/>
  <c r="F635" i="25"/>
  <c r="IT170" i="58"/>
  <c r="G633" i="25"/>
  <c r="G634" i="25"/>
  <c r="G632" i="25"/>
  <c r="G635" i="25"/>
  <c r="IU170" i="58"/>
  <c r="H633" i="25"/>
  <c r="H634" i="25"/>
  <c r="H632" i="25"/>
  <c r="H635" i="25"/>
  <c r="IV170" i="58"/>
  <c r="I633" i="25"/>
  <c r="I634" i="25"/>
  <c r="I632" i="25"/>
  <c r="I635" i="25"/>
  <c r="IW170" i="58"/>
  <c r="J633" i="25"/>
  <c r="J634" i="25"/>
  <c r="J632" i="25"/>
  <c r="J635" i="25"/>
  <c r="IX170" i="58"/>
  <c r="K633" i="25"/>
  <c r="K634" i="25"/>
  <c r="K632" i="25"/>
  <c r="K635" i="25"/>
  <c r="IY170" i="58"/>
  <c r="L633" i="25"/>
  <c r="L634" i="25"/>
  <c r="L632" i="25"/>
  <c r="L635" i="25"/>
  <c r="IZ170" i="58"/>
  <c r="M633" i="25"/>
  <c r="M634" i="25"/>
  <c r="M632" i="25"/>
  <c r="M635" i="25"/>
  <c r="JA170" i="58"/>
  <c r="N633" i="25"/>
  <c r="N634" i="25"/>
  <c r="N632" i="25"/>
  <c r="N635" i="25"/>
  <c r="JB170" i="58"/>
  <c r="O633" i="25"/>
  <c r="O634" i="25"/>
  <c r="O632" i="25"/>
  <c r="O635" i="25"/>
  <c r="JC170" i="58"/>
  <c r="E633" i="25"/>
  <c r="E634" i="25"/>
  <c r="E632" i="25"/>
  <c r="E635" i="25"/>
  <c r="IS170" i="58"/>
  <c r="F627" i="25"/>
  <c r="F628" i="25"/>
  <c r="F626" i="25"/>
  <c r="F629" i="25"/>
  <c r="IH170" i="58"/>
  <c r="G627" i="25"/>
  <c r="G628" i="25"/>
  <c r="G626" i="25"/>
  <c r="G629" i="25"/>
  <c r="II170" i="58"/>
  <c r="H627" i="25"/>
  <c r="H628" i="25"/>
  <c r="H626" i="25"/>
  <c r="H629" i="25"/>
  <c r="IJ170" i="58"/>
  <c r="I627" i="25"/>
  <c r="I628" i="25"/>
  <c r="I626" i="25"/>
  <c r="I629" i="25"/>
  <c r="IK170" i="58"/>
  <c r="J627" i="25"/>
  <c r="J628" i="25"/>
  <c r="J626" i="25"/>
  <c r="J629" i="25"/>
  <c r="IL170" i="58"/>
  <c r="K627" i="25"/>
  <c r="K628" i="25"/>
  <c r="K626" i="25"/>
  <c r="K629" i="25"/>
  <c r="IM170" i="58"/>
  <c r="L627" i="25"/>
  <c r="L628" i="25"/>
  <c r="L626" i="25"/>
  <c r="L629" i="25"/>
  <c r="IN170" i="58"/>
  <c r="M627" i="25"/>
  <c r="M628" i="25"/>
  <c r="M626" i="25"/>
  <c r="M629" i="25"/>
  <c r="IO170" i="58"/>
  <c r="N627" i="25"/>
  <c r="N628" i="25"/>
  <c r="N626" i="25"/>
  <c r="N629" i="25"/>
  <c r="IP170" i="58"/>
  <c r="O627" i="25"/>
  <c r="O628" i="25"/>
  <c r="O626" i="25"/>
  <c r="O629" i="25"/>
  <c r="IQ170" i="58"/>
  <c r="P627" i="25"/>
  <c r="P628" i="25"/>
  <c r="P626" i="25"/>
  <c r="P629" i="25"/>
  <c r="IR170" i="58"/>
  <c r="E627" i="25"/>
  <c r="E628" i="25"/>
  <c r="E626" i="25"/>
  <c r="E629" i="25"/>
  <c r="IG170" i="58"/>
  <c r="F621" i="25"/>
  <c r="F622" i="25"/>
  <c r="F620" i="25"/>
  <c r="F623" i="25"/>
  <c r="HV170" i="58"/>
  <c r="G621" i="25"/>
  <c r="G622" i="25"/>
  <c r="G620" i="25"/>
  <c r="G623" i="25"/>
  <c r="HW170" i="58"/>
  <c r="H621" i="25"/>
  <c r="H622" i="25"/>
  <c r="H620" i="25"/>
  <c r="H623" i="25"/>
  <c r="HX170" i="58"/>
  <c r="I621" i="25"/>
  <c r="I622" i="25"/>
  <c r="I620" i="25"/>
  <c r="I623" i="25"/>
  <c r="HY170" i="58"/>
  <c r="J621" i="25"/>
  <c r="J622" i="25"/>
  <c r="J620" i="25"/>
  <c r="J623" i="25"/>
  <c r="HZ170" i="58"/>
  <c r="K621" i="25"/>
  <c r="K622" i="25"/>
  <c r="K620" i="25"/>
  <c r="K623" i="25"/>
  <c r="IA170" i="58"/>
  <c r="L621" i="25"/>
  <c r="L622" i="25"/>
  <c r="L620" i="25"/>
  <c r="L623" i="25"/>
  <c r="IB170" i="58"/>
  <c r="M621" i="25"/>
  <c r="M622" i="25"/>
  <c r="M620" i="25"/>
  <c r="M623" i="25"/>
  <c r="IC170" i="58"/>
  <c r="N621" i="25"/>
  <c r="N622" i="25"/>
  <c r="N620" i="25"/>
  <c r="N623" i="25"/>
  <c r="ID170" i="58"/>
  <c r="O621" i="25"/>
  <c r="O622" i="25"/>
  <c r="O620" i="25"/>
  <c r="O623" i="25"/>
  <c r="IE170" i="58"/>
  <c r="P621" i="25"/>
  <c r="P622" i="25"/>
  <c r="P620" i="25"/>
  <c r="P623" i="25"/>
  <c r="IF170" i="58"/>
  <c r="E621" i="25"/>
  <c r="E622" i="25"/>
  <c r="E620" i="25"/>
  <c r="E623" i="25"/>
  <c r="HU170" i="58"/>
  <c r="F615" i="25"/>
  <c r="F616" i="25"/>
  <c r="F614" i="25"/>
  <c r="F617" i="25"/>
  <c r="HJ170" i="58"/>
  <c r="G615" i="25"/>
  <c r="G616" i="25"/>
  <c r="G614" i="25"/>
  <c r="G617" i="25"/>
  <c r="HK170" i="58"/>
  <c r="H615" i="25"/>
  <c r="H616" i="25"/>
  <c r="H614" i="25"/>
  <c r="H617" i="25"/>
  <c r="HL170" i="58"/>
  <c r="I615" i="25"/>
  <c r="I616" i="25"/>
  <c r="I614" i="25"/>
  <c r="I617" i="25"/>
  <c r="HM170" i="58"/>
  <c r="J615" i="25"/>
  <c r="J616" i="25"/>
  <c r="J614" i="25"/>
  <c r="J617" i="25"/>
  <c r="HN170" i="58"/>
  <c r="K615" i="25"/>
  <c r="K616" i="25"/>
  <c r="K614" i="25"/>
  <c r="K617" i="25"/>
  <c r="HO170" i="58"/>
  <c r="L615" i="25"/>
  <c r="L616" i="25"/>
  <c r="L614" i="25"/>
  <c r="L617" i="25"/>
  <c r="HP170" i="58"/>
  <c r="M615" i="25"/>
  <c r="M616" i="25"/>
  <c r="M614" i="25"/>
  <c r="M617" i="25"/>
  <c r="HQ170" i="58"/>
  <c r="N615" i="25"/>
  <c r="N616" i="25"/>
  <c r="N614" i="25"/>
  <c r="N617" i="25"/>
  <c r="HR170" i="58"/>
  <c r="O615" i="25"/>
  <c r="O616" i="25"/>
  <c r="O614" i="25"/>
  <c r="O617" i="25"/>
  <c r="HS170" i="58"/>
  <c r="P615" i="25"/>
  <c r="P616" i="25"/>
  <c r="P614" i="25"/>
  <c r="P617" i="25"/>
  <c r="HT170" i="58"/>
  <c r="E615" i="25"/>
  <c r="E616" i="25"/>
  <c r="E614" i="25"/>
  <c r="E617" i="25"/>
  <c r="HI170" i="58"/>
  <c r="P609" i="25"/>
  <c r="P610" i="25"/>
  <c r="P608" i="25"/>
  <c r="P611" i="25"/>
  <c r="HH170" i="58"/>
  <c r="F609" i="25"/>
  <c r="F610" i="25"/>
  <c r="F608" i="25"/>
  <c r="F611" i="25"/>
  <c r="GX170" i="58"/>
  <c r="G609" i="25"/>
  <c r="G610" i="25"/>
  <c r="G608" i="25"/>
  <c r="G611" i="25"/>
  <c r="GY170" i="58"/>
  <c r="H609" i="25"/>
  <c r="H610" i="25"/>
  <c r="H608" i="25"/>
  <c r="H611" i="25"/>
  <c r="GZ170" i="58"/>
  <c r="I609" i="25"/>
  <c r="I610" i="25"/>
  <c r="I608" i="25"/>
  <c r="I611" i="25"/>
  <c r="HA170" i="58"/>
  <c r="J609" i="25"/>
  <c r="J610" i="25"/>
  <c r="J608" i="25"/>
  <c r="J611" i="25"/>
  <c r="HB170" i="58"/>
  <c r="K609" i="25"/>
  <c r="K610" i="25"/>
  <c r="K608" i="25"/>
  <c r="K611" i="25"/>
  <c r="HC170" i="58"/>
  <c r="L609" i="25"/>
  <c r="L610" i="25"/>
  <c r="L608" i="25"/>
  <c r="L611" i="25"/>
  <c r="HD170" i="58"/>
  <c r="M609" i="25"/>
  <c r="M610" i="25"/>
  <c r="M608" i="25"/>
  <c r="M611" i="25"/>
  <c r="HE170" i="58"/>
  <c r="N609" i="25"/>
  <c r="N610" i="25"/>
  <c r="N608" i="25"/>
  <c r="N611" i="25"/>
  <c r="HF170" i="58"/>
  <c r="O609" i="25"/>
  <c r="O610" i="25"/>
  <c r="O608" i="25"/>
  <c r="O611" i="25"/>
  <c r="HG170" i="58"/>
  <c r="E609" i="25"/>
  <c r="E610" i="25"/>
  <c r="E608" i="25"/>
  <c r="E611" i="25"/>
  <c r="GW170" i="58"/>
  <c r="F603" i="25"/>
  <c r="F604" i="25"/>
  <c r="F602" i="25"/>
  <c r="F605" i="25"/>
  <c r="GL170" i="58"/>
  <c r="G603" i="25"/>
  <c r="G604" i="25"/>
  <c r="G602" i="25"/>
  <c r="G605" i="25"/>
  <c r="GM170" i="58"/>
  <c r="H603" i="25"/>
  <c r="H604" i="25"/>
  <c r="H602" i="25"/>
  <c r="H605" i="25"/>
  <c r="GN170" i="58"/>
  <c r="I603" i="25"/>
  <c r="I604" i="25"/>
  <c r="I602" i="25"/>
  <c r="I605" i="25"/>
  <c r="GO170" i="58"/>
  <c r="J603" i="25"/>
  <c r="J604" i="25"/>
  <c r="J602" i="25"/>
  <c r="J605" i="25"/>
  <c r="GP170" i="58"/>
  <c r="K603" i="25"/>
  <c r="K604" i="25"/>
  <c r="K602" i="25"/>
  <c r="K605" i="25"/>
  <c r="GQ170" i="58"/>
  <c r="L603" i="25"/>
  <c r="L604" i="25"/>
  <c r="L602" i="25"/>
  <c r="L605" i="25"/>
  <c r="GR170" i="58"/>
  <c r="M603" i="25"/>
  <c r="M604" i="25"/>
  <c r="M602" i="25"/>
  <c r="M605" i="25"/>
  <c r="GS170" i="58"/>
  <c r="N603" i="25"/>
  <c r="N604" i="25"/>
  <c r="N602" i="25"/>
  <c r="N605" i="25"/>
  <c r="GT170" i="58"/>
  <c r="O603" i="25"/>
  <c r="O604" i="25"/>
  <c r="O602" i="25"/>
  <c r="O605" i="25"/>
  <c r="GU170" i="58"/>
  <c r="P603" i="25"/>
  <c r="P604" i="25"/>
  <c r="P602" i="25"/>
  <c r="P605" i="25"/>
  <c r="GV170" i="58"/>
  <c r="E603" i="25"/>
  <c r="E604" i="25"/>
  <c r="E602" i="25"/>
  <c r="E605" i="25"/>
  <c r="GK170" i="58"/>
  <c r="F597" i="25"/>
  <c r="F598" i="25"/>
  <c r="F596" i="25"/>
  <c r="F599" i="25"/>
  <c r="FZ170" i="58"/>
  <c r="G597" i="25"/>
  <c r="G598" i="25"/>
  <c r="G596" i="25"/>
  <c r="G599" i="25"/>
  <c r="GA170" i="58"/>
  <c r="H597" i="25"/>
  <c r="H598" i="25"/>
  <c r="H596" i="25"/>
  <c r="H599" i="25"/>
  <c r="GB170" i="58"/>
  <c r="I597" i="25"/>
  <c r="I598" i="25"/>
  <c r="I596" i="25"/>
  <c r="I599" i="25"/>
  <c r="GC170" i="58"/>
  <c r="J597" i="25"/>
  <c r="J598" i="25"/>
  <c r="J596" i="25"/>
  <c r="J599" i="25"/>
  <c r="GD170" i="58"/>
  <c r="K597" i="25"/>
  <c r="K598" i="25"/>
  <c r="K596" i="25"/>
  <c r="K599" i="25"/>
  <c r="GE170" i="58"/>
  <c r="L597" i="25"/>
  <c r="L598" i="25"/>
  <c r="L596" i="25"/>
  <c r="L599" i="25"/>
  <c r="GF170" i="58"/>
  <c r="M597" i="25"/>
  <c r="M598" i="25"/>
  <c r="M596" i="25"/>
  <c r="M599" i="25"/>
  <c r="GG170" i="58"/>
  <c r="N597" i="25"/>
  <c r="N598" i="25"/>
  <c r="N596" i="25"/>
  <c r="N599" i="25"/>
  <c r="GH170" i="58"/>
  <c r="O597" i="25"/>
  <c r="O598" i="25"/>
  <c r="O596" i="25"/>
  <c r="O599" i="25"/>
  <c r="GI170" i="58"/>
  <c r="P597" i="25"/>
  <c r="P598" i="25"/>
  <c r="P596" i="25"/>
  <c r="P599" i="25"/>
  <c r="GJ170" i="58"/>
  <c r="E596" i="25"/>
  <c r="E599" i="25"/>
  <c r="FY170" i="58"/>
  <c r="E340" i="25"/>
  <c r="E341" i="25"/>
  <c r="F340" i="25"/>
  <c r="F341" i="25"/>
  <c r="G340" i="25"/>
  <c r="G341" i="25"/>
  <c r="H340" i="25"/>
  <c r="H341" i="25"/>
  <c r="I340" i="25"/>
  <c r="I341" i="25"/>
  <c r="J340" i="25"/>
  <c r="J341" i="25"/>
  <c r="K340" i="25"/>
  <c r="K341" i="25"/>
  <c r="L340" i="25"/>
  <c r="L341" i="25"/>
  <c r="M340" i="25"/>
  <c r="M341" i="25"/>
  <c r="N340" i="25"/>
  <c r="N341" i="25"/>
  <c r="O340" i="25"/>
  <c r="O341" i="25"/>
  <c r="D340" i="25"/>
  <c r="D341" i="25"/>
  <c r="E332" i="25"/>
  <c r="E333" i="25"/>
  <c r="F332" i="25"/>
  <c r="F333" i="25"/>
  <c r="G332" i="25"/>
  <c r="G333" i="25"/>
  <c r="H332" i="25"/>
  <c r="H333" i="25"/>
  <c r="I332" i="25"/>
  <c r="I333" i="25"/>
  <c r="J332" i="25"/>
  <c r="J333" i="25"/>
  <c r="K332" i="25"/>
  <c r="K333" i="25"/>
  <c r="L332" i="25"/>
  <c r="L333" i="25"/>
  <c r="M332" i="25"/>
  <c r="M333" i="25"/>
  <c r="N332" i="25"/>
  <c r="N333" i="25"/>
  <c r="O332" i="25"/>
  <c r="O333" i="25"/>
  <c r="D332" i="25"/>
  <c r="D333" i="25"/>
  <c r="E324" i="25"/>
  <c r="E325" i="25"/>
  <c r="F324" i="25"/>
  <c r="F325" i="25"/>
  <c r="G324" i="25"/>
  <c r="G325" i="25"/>
  <c r="H324" i="25"/>
  <c r="H325" i="25"/>
  <c r="I324" i="25"/>
  <c r="I325" i="25"/>
  <c r="J324" i="25"/>
  <c r="J325" i="25"/>
  <c r="K324" i="25"/>
  <c r="K325" i="25"/>
  <c r="L324" i="25"/>
  <c r="L325" i="25"/>
  <c r="M324" i="25"/>
  <c r="M325" i="25"/>
  <c r="N324" i="25"/>
  <c r="N325" i="25"/>
  <c r="O324" i="25"/>
  <c r="O325" i="25"/>
  <c r="D324" i="25"/>
  <c r="D325" i="25"/>
  <c r="E316" i="25"/>
  <c r="E317" i="25"/>
  <c r="F316" i="25"/>
  <c r="F317" i="25"/>
  <c r="G316" i="25"/>
  <c r="G317" i="25"/>
  <c r="H316" i="25"/>
  <c r="H317" i="25"/>
  <c r="I316" i="25"/>
  <c r="I317" i="25"/>
  <c r="J316" i="25"/>
  <c r="J317" i="25"/>
  <c r="K316" i="25"/>
  <c r="K317" i="25"/>
  <c r="L316" i="25"/>
  <c r="L317" i="25"/>
  <c r="M316" i="25"/>
  <c r="M317" i="25"/>
  <c r="N316" i="25"/>
  <c r="N317" i="25"/>
  <c r="O316" i="25"/>
  <c r="O317" i="25"/>
  <c r="D316" i="25"/>
  <c r="D317" i="25"/>
  <c r="E308" i="25"/>
  <c r="E309" i="25"/>
  <c r="F308" i="25"/>
  <c r="F309" i="25"/>
  <c r="G308" i="25"/>
  <c r="G309" i="25"/>
  <c r="H308" i="25"/>
  <c r="H309" i="25"/>
  <c r="I308" i="25"/>
  <c r="I309" i="25"/>
  <c r="J308" i="25"/>
  <c r="J309" i="25"/>
  <c r="K308" i="25"/>
  <c r="K309" i="25"/>
  <c r="L308" i="25"/>
  <c r="L309" i="25"/>
  <c r="M308" i="25"/>
  <c r="M309" i="25"/>
  <c r="N308" i="25"/>
  <c r="N309" i="25"/>
  <c r="O308" i="25"/>
  <c r="O309" i="25"/>
  <c r="D308" i="25"/>
  <c r="D309" i="25"/>
  <c r="E300" i="25"/>
  <c r="E301" i="25"/>
  <c r="F300" i="25"/>
  <c r="F301" i="25"/>
  <c r="G300" i="25"/>
  <c r="G301" i="25"/>
  <c r="H300" i="25"/>
  <c r="H301" i="25"/>
  <c r="I300" i="25"/>
  <c r="I301" i="25"/>
  <c r="J300" i="25"/>
  <c r="J301" i="25"/>
  <c r="K300" i="25"/>
  <c r="K301" i="25"/>
  <c r="L300" i="25"/>
  <c r="L301" i="25"/>
  <c r="M300" i="25"/>
  <c r="M301" i="25"/>
  <c r="N300" i="25"/>
  <c r="N301" i="25"/>
  <c r="O300" i="25"/>
  <c r="O301" i="25"/>
  <c r="D300" i="25"/>
  <c r="D301" i="25"/>
  <c r="E292" i="25"/>
  <c r="E293" i="25"/>
  <c r="F292" i="25"/>
  <c r="F293" i="25"/>
  <c r="G292" i="25"/>
  <c r="G293" i="25"/>
  <c r="H292" i="25"/>
  <c r="H293" i="25"/>
  <c r="I292" i="25"/>
  <c r="I293" i="25"/>
  <c r="J292" i="25"/>
  <c r="J293" i="25"/>
  <c r="K292" i="25"/>
  <c r="K293" i="25"/>
  <c r="L292" i="25"/>
  <c r="L293" i="25"/>
  <c r="M292" i="25"/>
  <c r="M293" i="25"/>
  <c r="N292" i="25"/>
  <c r="N293" i="25"/>
  <c r="O292" i="25"/>
  <c r="O293" i="25"/>
  <c r="D291" i="25"/>
  <c r="D294" i="25"/>
  <c r="FY169" i="58"/>
  <c r="FY168" i="58"/>
  <c r="IT165" i="58"/>
  <c r="IU165" i="58"/>
  <c r="IV165" i="58"/>
  <c r="IW165" i="58"/>
  <c r="IX165" i="58"/>
  <c r="IY165" i="58"/>
  <c r="IZ165" i="58"/>
  <c r="JA165" i="58"/>
  <c r="JB165" i="58"/>
  <c r="JC165" i="58"/>
  <c r="IS165" i="58"/>
  <c r="IH165" i="58"/>
  <c r="II165" i="58"/>
  <c r="IJ165" i="58"/>
  <c r="IK165" i="58"/>
  <c r="IL165" i="58"/>
  <c r="IM165" i="58"/>
  <c r="IN165" i="58"/>
  <c r="IO165" i="58"/>
  <c r="IP165" i="58"/>
  <c r="IQ165" i="58"/>
  <c r="IR165" i="58"/>
  <c r="IG165" i="58"/>
  <c r="HV165" i="58"/>
  <c r="HW165" i="58"/>
  <c r="HX165" i="58"/>
  <c r="HY165" i="58"/>
  <c r="HZ165" i="58"/>
  <c r="IA165" i="58"/>
  <c r="IB165" i="58"/>
  <c r="IC165" i="58"/>
  <c r="ID165" i="58"/>
  <c r="IE165" i="58"/>
  <c r="IF165" i="58"/>
  <c r="HU165" i="58"/>
  <c r="IT154" i="58"/>
  <c r="IU154" i="58"/>
  <c r="IV154" i="58"/>
  <c r="IW154" i="58"/>
  <c r="IX154" i="58"/>
  <c r="IY154" i="58"/>
  <c r="IZ154" i="58"/>
  <c r="JA154" i="58"/>
  <c r="JB154" i="58"/>
  <c r="JC154" i="58"/>
  <c r="IS154" i="58"/>
  <c r="IH154" i="58"/>
  <c r="II154" i="58"/>
  <c r="IJ154" i="58"/>
  <c r="IK154" i="58"/>
  <c r="IL154" i="58"/>
  <c r="IM154" i="58"/>
  <c r="IN154" i="58"/>
  <c r="IO154" i="58"/>
  <c r="IP154" i="58"/>
  <c r="IQ154" i="58"/>
  <c r="IR154" i="58"/>
  <c r="IG154" i="58"/>
  <c r="HV154" i="58"/>
  <c r="HW154" i="58"/>
  <c r="HX154" i="58"/>
  <c r="HY154" i="58"/>
  <c r="HZ154" i="58"/>
  <c r="IA154" i="58"/>
  <c r="IB154" i="58"/>
  <c r="IC154" i="58"/>
  <c r="ID154" i="58"/>
  <c r="IE154" i="58"/>
  <c r="IF154" i="58"/>
  <c r="HU154" i="58"/>
  <c r="HJ154" i="58"/>
  <c r="HK154" i="58"/>
  <c r="HL154" i="58"/>
  <c r="HM154" i="58"/>
  <c r="HN154" i="58"/>
  <c r="HO154" i="58"/>
  <c r="HP154" i="58"/>
  <c r="HQ154" i="58"/>
  <c r="HR154" i="58"/>
  <c r="HS154" i="58"/>
  <c r="HT154" i="58"/>
  <c r="HI154" i="58"/>
  <c r="GX154" i="58"/>
  <c r="GY154" i="58"/>
  <c r="GZ154" i="58"/>
  <c r="HA154" i="58"/>
  <c r="HB154" i="58"/>
  <c r="HC154" i="58"/>
  <c r="HD154" i="58"/>
  <c r="HE154" i="58"/>
  <c r="HF154" i="58"/>
  <c r="HG154" i="58"/>
  <c r="HH154" i="58"/>
  <c r="GW154" i="58"/>
  <c r="GL154" i="58"/>
  <c r="GM154" i="58"/>
  <c r="GN154" i="58"/>
  <c r="GO154" i="58"/>
  <c r="GP154" i="58"/>
  <c r="GQ154" i="58"/>
  <c r="GR154" i="58"/>
  <c r="GS154" i="58"/>
  <c r="GT154" i="58"/>
  <c r="GU154" i="58"/>
  <c r="GV154" i="58"/>
  <c r="GK154" i="58"/>
  <c r="FZ154" i="58"/>
  <c r="GA154" i="58"/>
  <c r="GB154" i="58"/>
  <c r="GC154" i="58"/>
  <c r="GD154" i="58"/>
  <c r="GE154" i="58"/>
  <c r="GF154" i="58"/>
  <c r="GG154" i="58"/>
  <c r="GH154" i="58"/>
  <c r="GI154" i="58"/>
  <c r="GJ154" i="58"/>
  <c r="FY154" i="58"/>
  <c r="IT153" i="58"/>
  <c r="IU153" i="58"/>
  <c r="IV153" i="58"/>
  <c r="IW153" i="58"/>
  <c r="IX153" i="58"/>
  <c r="IY153" i="58"/>
  <c r="IZ153" i="58"/>
  <c r="JA153" i="58"/>
  <c r="JB153" i="58"/>
  <c r="JC153" i="58"/>
  <c r="IS153" i="58"/>
  <c r="IH153" i="58"/>
  <c r="II153" i="58"/>
  <c r="IJ153" i="58"/>
  <c r="IK153" i="58"/>
  <c r="IL153" i="58"/>
  <c r="IM153" i="58"/>
  <c r="IN153" i="58"/>
  <c r="IO153" i="58"/>
  <c r="IP153" i="58"/>
  <c r="IQ153" i="58"/>
  <c r="IR153" i="58"/>
  <c r="IG153" i="58"/>
  <c r="HV153" i="58"/>
  <c r="HW153" i="58"/>
  <c r="HX153" i="58"/>
  <c r="HY153" i="58"/>
  <c r="HZ153" i="58"/>
  <c r="IA153" i="58"/>
  <c r="IB153" i="58"/>
  <c r="IC153" i="58"/>
  <c r="ID153" i="58"/>
  <c r="IE153" i="58"/>
  <c r="IF153" i="58"/>
  <c r="HU153" i="58"/>
  <c r="HJ153" i="58"/>
  <c r="HK153" i="58"/>
  <c r="HL153" i="58"/>
  <c r="HM153" i="58"/>
  <c r="HN153" i="58"/>
  <c r="HO153" i="58"/>
  <c r="HP153" i="58"/>
  <c r="HQ153" i="58"/>
  <c r="HR153" i="58"/>
  <c r="HS153" i="58"/>
  <c r="HT153" i="58"/>
  <c r="HI153" i="58"/>
  <c r="GX153" i="58"/>
  <c r="GY153" i="58"/>
  <c r="GZ153" i="58"/>
  <c r="HA153" i="58"/>
  <c r="HB153" i="58"/>
  <c r="HC153" i="58"/>
  <c r="HD153" i="58"/>
  <c r="HE153" i="58"/>
  <c r="HF153" i="58"/>
  <c r="HG153" i="58"/>
  <c r="HH153" i="58"/>
  <c r="GW153" i="58"/>
  <c r="GL153" i="58"/>
  <c r="GM153" i="58"/>
  <c r="GN153" i="58"/>
  <c r="GO153" i="58"/>
  <c r="GP153" i="58"/>
  <c r="GQ153" i="58"/>
  <c r="GR153" i="58"/>
  <c r="GS153" i="58"/>
  <c r="GT153" i="58"/>
  <c r="GU153" i="58"/>
  <c r="GV153" i="58"/>
  <c r="GK153" i="58"/>
  <c r="FZ153" i="58"/>
  <c r="GA153" i="58"/>
  <c r="GB153" i="58"/>
  <c r="GC153" i="58"/>
  <c r="GD153" i="58"/>
  <c r="GE153" i="58"/>
  <c r="GF153" i="58"/>
  <c r="GG153" i="58"/>
  <c r="GH153" i="58"/>
  <c r="GI153" i="58"/>
  <c r="GJ153" i="58"/>
  <c r="FY153" i="58"/>
  <c r="FK23" i="27"/>
  <c r="FK48" i="27"/>
  <c r="FK68" i="27"/>
  <c r="FK73" i="27"/>
  <c r="FK21" i="27"/>
  <c r="FK46" i="27"/>
  <c r="FK66" i="27"/>
  <c r="FK71" i="27"/>
  <c r="FJ21" i="26"/>
  <c r="FK22" i="27"/>
  <c r="FK47" i="27"/>
  <c r="FK67" i="27"/>
  <c r="FK72" i="27"/>
  <c r="FL23" i="27"/>
  <c r="FL48" i="27"/>
  <c r="FL68" i="27"/>
  <c r="FL73" i="27"/>
  <c r="FL21" i="27"/>
  <c r="FL46" i="27"/>
  <c r="FL66" i="27"/>
  <c r="FL71" i="27"/>
  <c r="FK21" i="26"/>
  <c r="FL22" i="27"/>
  <c r="FL47" i="27"/>
  <c r="FL67" i="27"/>
  <c r="FL72" i="27"/>
  <c r="FM23" i="27"/>
  <c r="FM48" i="27"/>
  <c r="FM68" i="27"/>
  <c r="FM73" i="27"/>
  <c r="FM21" i="27"/>
  <c r="FM46" i="27"/>
  <c r="FM66" i="27"/>
  <c r="FM71" i="27"/>
  <c r="FL21" i="26"/>
  <c r="FM22" i="27"/>
  <c r="FM47" i="27"/>
  <c r="FM67" i="27"/>
  <c r="FM72" i="27"/>
  <c r="FN23" i="27"/>
  <c r="FN48" i="27"/>
  <c r="FN68" i="27"/>
  <c r="FN73" i="27"/>
  <c r="FN21" i="27"/>
  <c r="FN46" i="27"/>
  <c r="FN66" i="27"/>
  <c r="FN71" i="27"/>
  <c r="FM21" i="26"/>
  <c r="FN22" i="27"/>
  <c r="FN47" i="27"/>
  <c r="FN67" i="27"/>
  <c r="FN72" i="27"/>
  <c r="FO23" i="27"/>
  <c r="FO48" i="27"/>
  <c r="FO68" i="27"/>
  <c r="FO73" i="27"/>
  <c r="FO21" i="27"/>
  <c r="FO46" i="27"/>
  <c r="FO66" i="27"/>
  <c r="FO71" i="27"/>
  <c r="FN21" i="26"/>
  <c r="FO22" i="27"/>
  <c r="FO47" i="27"/>
  <c r="FO67" i="27"/>
  <c r="FO72" i="27"/>
  <c r="FP23" i="27"/>
  <c r="FP48" i="27"/>
  <c r="FP68" i="27"/>
  <c r="FP73" i="27"/>
  <c r="FP21" i="27"/>
  <c r="FP46" i="27"/>
  <c r="FP66" i="27"/>
  <c r="FP71" i="27"/>
  <c r="FO21" i="26"/>
  <c r="FP22" i="27"/>
  <c r="FP47" i="27"/>
  <c r="FP67" i="27"/>
  <c r="FP72" i="27"/>
  <c r="FQ23" i="27"/>
  <c r="FQ48" i="27"/>
  <c r="FQ68" i="27"/>
  <c r="FQ73" i="27"/>
  <c r="FQ21" i="27"/>
  <c r="FQ46" i="27"/>
  <c r="FQ66" i="27"/>
  <c r="FQ71" i="27"/>
  <c r="FP21" i="26"/>
  <c r="FQ22" i="27"/>
  <c r="FQ47" i="27"/>
  <c r="FQ67" i="27"/>
  <c r="FQ72" i="27"/>
  <c r="FR23" i="27"/>
  <c r="FR48" i="27"/>
  <c r="FR68" i="27"/>
  <c r="FR73" i="27"/>
  <c r="FR21" i="27"/>
  <c r="FR46" i="27"/>
  <c r="FR66" i="27"/>
  <c r="FR71" i="27"/>
  <c r="FQ21" i="26"/>
  <c r="FR22" i="27"/>
  <c r="FR47" i="27"/>
  <c r="FR67" i="27"/>
  <c r="FR72" i="27"/>
  <c r="FS23" i="27"/>
  <c r="FS48" i="27"/>
  <c r="FS68" i="27"/>
  <c r="FS73" i="27"/>
  <c r="FS21" i="27"/>
  <c r="FS46" i="27"/>
  <c r="FS66" i="27"/>
  <c r="FS71" i="27"/>
  <c r="FR21" i="26"/>
  <c r="FS22" i="27"/>
  <c r="FS47" i="27"/>
  <c r="FS67" i="27"/>
  <c r="FS72" i="27"/>
  <c r="FT23" i="27"/>
  <c r="FT48" i="27"/>
  <c r="FT68" i="27"/>
  <c r="FT73" i="27"/>
  <c r="FT21" i="27"/>
  <c r="FT46" i="27"/>
  <c r="FT66" i="27"/>
  <c r="FT71" i="27"/>
  <c r="FS21" i="26"/>
  <c r="FT22" i="27"/>
  <c r="FT47" i="27"/>
  <c r="FT67" i="27"/>
  <c r="FT72" i="27"/>
  <c r="FU23" i="27"/>
  <c r="FU48" i="27"/>
  <c r="FU68" i="27"/>
  <c r="FU73" i="27"/>
  <c r="FU21" i="27"/>
  <c r="FU46" i="27"/>
  <c r="FU66" i="27"/>
  <c r="FU71" i="27"/>
  <c r="FT21" i="26"/>
  <c r="FU22" i="27"/>
  <c r="FU47" i="27"/>
  <c r="FU67" i="27"/>
  <c r="FU72" i="27"/>
  <c r="FV23" i="27"/>
  <c r="FV48" i="27"/>
  <c r="FV68" i="27"/>
  <c r="FV73" i="27"/>
  <c r="FV21" i="27"/>
  <c r="FV46" i="27"/>
  <c r="FV66" i="27"/>
  <c r="FV71" i="27"/>
  <c r="FU21" i="26"/>
  <c r="FV22" i="27"/>
  <c r="FV47" i="27"/>
  <c r="FV67" i="27"/>
  <c r="FV72" i="27"/>
  <c r="FW23" i="27"/>
  <c r="FW48" i="27"/>
  <c r="FW68" i="27"/>
  <c r="FW73" i="27"/>
  <c r="FW21" i="27"/>
  <c r="FW46" i="27"/>
  <c r="FW66" i="27"/>
  <c r="FW71" i="27"/>
  <c r="FV21" i="26"/>
  <c r="FW22" i="27"/>
  <c r="FW47" i="27"/>
  <c r="FW67" i="27"/>
  <c r="FW72" i="27"/>
  <c r="FX23" i="27"/>
  <c r="FX48" i="27"/>
  <c r="FX68" i="27"/>
  <c r="FX73" i="27"/>
  <c r="FX21" i="27"/>
  <c r="FX46" i="27"/>
  <c r="FX66" i="27"/>
  <c r="FX71" i="27"/>
  <c r="FW21" i="26"/>
  <c r="FX22" i="27"/>
  <c r="FX47" i="27"/>
  <c r="FX67" i="27"/>
  <c r="FX72" i="27"/>
  <c r="FY23" i="27"/>
  <c r="FY48" i="27"/>
  <c r="FY68" i="27"/>
  <c r="FY73" i="27"/>
  <c r="FY21" i="27"/>
  <c r="FY46" i="27"/>
  <c r="FY66" i="27"/>
  <c r="FY71" i="27"/>
  <c r="FX21" i="26"/>
  <c r="FY22" i="27"/>
  <c r="FY47" i="27"/>
  <c r="FY67" i="27"/>
  <c r="FY72" i="27"/>
  <c r="FZ23" i="27"/>
  <c r="FZ48" i="27"/>
  <c r="FZ68" i="27"/>
  <c r="FZ73" i="27"/>
  <c r="FZ21" i="27"/>
  <c r="FZ46" i="27"/>
  <c r="FZ66" i="27"/>
  <c r="FZ71" i="27"/>
  <c r="FY21" i="26"/>
  <c r="FZ22" i="27"/>
  <c r="FZ47" i="27"/>
  <c r="FZ67" i="27"/>
  <c r="FZ72" i="27"/>
  <c r="GA23" i="27"/>
  <c r="GA48" i="27"/>
  <c r="GA68" i="27"/>
  <c r="GA73" i="27"/>
  <c r="GA21" i="27"/>
  <c r="GA46" i="27"/>
  <c r="GA66" i="27"/>
  <c r="GA71" i="27"/>
  <c r="FZ21" i="26"/>
  <c r="GA22" i="27"/>
  <c r="GA47" i="27"/>
  <c r="GA67" i="27"/>
  <c r="GA72" i="27"/>
  <c r="GB23" i="27"/>
  <c r="GB48" i="27"/>
  <c r="GB68" i="27"/>
  <c r="GB73" i="27"/>
  <c r="GB21" i="27"/>
  <c r="GB46" i="27"/>
  <c r="GB66" i="27"/>
  <c r="GB71" i="27"/>
  <c r="GA21" i="26"/>
  <c r="GB22" i="27"/>
  <c r="GB47" i="27"/>
  <c r="GB67" i="27"/>
  <c r="GB72" i="27"/>
  <c r="GC23" i="27"/>
  <c r="GC48" i="27"/>
  <c r="GC68" i="27"/>
  <c r="GC73" i="27"/>
  <c r="GC21" i="27"/>
  <c r="GC46" i="27"/>
  <c r="GC66" i="27"/>
  <c r="GC71" i="27"/>
  <c r="GB21" i="26"/>
  <c r="GC22" i="27"/>
  <c r="GC47" i="27"/>
  <c r="GC67" i="27"/>
  <c r="GC72" i="27"/>
  <c r="GD23" i="27"/>
  <c r="GD48" i="27"/>
  <c r="GD68" i="27"/>
  <c r="GD73" i="27"/>
  <c r="GD21" i="27"/>
  <c r="GD46" i="27"/>
  <c r="GD66" i="27"/>
  <c r="GD71" i="27"/>
  <c r="GC21" i="26"/>
  <c r="GD22" i="27"/>
  <c r="GD47" i="27"/>
  <c r="GD67" i="27"/>
  <c r="GD72" i="27"/>
  <c r="GE23" i="27"/>
  <c r="GE48" i="27"/>
  <c r="GE68" i="27"/>
  <c r="GE73" i="27"/>
  <c r="GE21" i="27"/>
  <c r="GE46" i="27"/>
  <c r="GE66" i="27"/>
  <c r="GE71" i="27"/>
  <c r="GD21" i="26"/>
  <c r="GE22" i="27"/>
  <c r="GE47" i="27"/>
  <c r="GE67" i="27"/>
  <c r="GE72" i="27"/>
  <c r="GF23" i="27"/>
  <c r="GF48" i="27"/>
  <c r="GF68" i="27"/>
  <c r="GF73" i="27"/>
  <c r="GF21" i="27"/>
  <c r="GF46" i="27"/>
  <c r="GF66" i="27"/>
  <c r="GF71" i="27"/>
  <c r="GE21" i="26"/>
  <c r="GF22" i="27"/>
  <c r="GF47" i="27"/>
  <c r="GF67" i="27"/>
  <c r="GF72" i="27"/>
  <c r="GG23" i="27"/>
  <c r="GG48" i="27"/>
  <c r="GG68" i="27"/>
  <c r="GG73" i="27"/>
  <c r="GG21" i="27"/>
  <c r="GG46" i="27"/>
  <c r="GG66" i="27"/>
  <c r="GG71" i="27"/>
  <c r="GF21" i="26"/>
  <c r="GG22" i="27"/>
  <c r="GG47" i="27"/>
  <c r="GG67" i="27"/>
  <c r="GG72" i="27"/>
  <c r="GH23" i="27"/>
  <c r="GH48" i="27"/>
  <c r="GH68" i="27"/>
  <c r="GH73" i="27"/>
  <c r="GH21" i="27"/>
  <c r="GH46" i="27"/>
  <c r="GH66" i="27"/>
  <c r="GH71" i="27"/>
  <c r="GG21" i="26"/>
  <c r="GH22" i="27"/>
  <c r="GH47" i="27"/>
  <c r="GH67" i="27"/>
  <c r="GH72" i="27"/>
  <c r="GI23" i="27"/>
  <c r="GI48" i="27"/>
  <c r="GI68" i="27"/>
  <c r="GI73" i="27"/>
  <c r="GI21" i="27"/>
  <c r="GI46" i="27"/>
  <c r="GI66" i="27"/>
  <c r="GI71" i="27"/>
  <c r="GH21" i="26"/>
  <c r="GI22" i="27"/>
  <c r="GI47" i="27"/>
  <c r="GI67" i="27"/>
  <c r="GI72" i="27"/>
  <c r="GJ23" i="27"/>
  <c r="GJ48" i="27"/>
  <c r="GJ68" i="27"/>
  <c r="GJ73" i="27"/>
  <c r="GJ21" i="27"/>
  <c r="GJ46" i="27"/>
  <c r="GJ66" i="27"/>
  <c r="GJ71" i="27"/>
  <c r="GI21" i="26"/>
  <c r="GJ22" i="27"/>
  <c r="GJ47" i="27"/>
  <c r="GJ67" i="27"/>
  <c r="GJ72" i="27"/>
  <c r="GK23" i="27"/>
  <c r="GK48" i="27"/>
  <c r="GK68" i="27"/>
  <c r="GK73" i="27"/>
  <c r="GK21" i="27"/>
  <c r="GK46" i="27"/>
  <c r="GK66" i="27"/>
  <c r="GK71" i="27"/>
  <c r="GJ21" i="26"/>
  <c r="GK22" i="27"/>
  <c r="GK47" i="27"/>
  <c r="GK67" i="27"/>
  <c r="GK72" i="27"/>
  <c r="GL23" i="27"/>
  <c r="GL48" i="27"/>
  <c r="GL68" i="27"/>
  <c r="GL73" i="27"/>
  <c r="GL21" i="27"/>
  <c r="GL46" i="27"/>
  <c r="GL66" i="27"/>
  <c r="GL71" i="27"/>
  <c r="GK21" i="26"/>
  <c r="GL22" i="27"/>
  <c r="GL47" i="27"/>
  <c r="GL67" i="27"/>
  <c r="GL72" i="27"/>
  <c r="GM23" i="27"/>
  <c r="GM48" i="27"/>
  <c r="GM68" i="27"/>
  <c r="GM73" i="27"/>
  <c r="GM21" i="27"/>
  <c r="GM46" i="27"/>
  <c r="GM66" i="27"/>
  <c r="GM71" i="27"/>
  <c r="GL21" i="26"/>
  <c r="GM22" i="27"/>
  <c r="GM47" i="27"/>
  <c r="GM67" i="27"/>
  <c r="GM72" i="27"/>
  <c r="GN23" i="27"/>
  <c r="GN48" i="27"/>
  <c r="GN68" i="27"/>
  <c r="GN73" i="27"/>
  <c r="GN21" i="27"/>
  <c r="GN46" i="27"/>
  <c r="GN66" i="27"/>
  <c r="GN71" i="27"/>
  <c r="GM21" i="26"/>
  <c r="GN22" i="27"/>
  <c r="GN47" i="27"/>
  <c r="GN67" i="27"/>
  <c r="GN72" i="27"/>
  <c r="GO23" i="27"/>
  <c r="GO48" i="27"/>
  <c r="GO68" i="27"/>
  <c r="GO73" i="27"/>
  <c r="GO21" i="27"/>
  <c r="GO46" i="27"/>
  <c r="GO66" i="27"/>
  <c r="GO71" i="27"/>
  <c r="GN21" i="26"/>
  <c r="GO22" i="27"/>
  <c r="GO47" i="27"/>
  <c r="GO67" i="27"/>
  <c r="GO72" i="27"/>
  <c r="GP23" i="27"/>
  <c r="GP48" i="27"/>
  <c r="GP68" i="27"/>
  <c r="GP73" i="27"/>
  <c r="GP21" i="27"/>
  <c r="GP46" i="27"/>
  <c r="GP66" i="27"/>
  <c r="GP71" i="27"/>
  <c r="GO21" i="26"/>
  <c r="GP22" i="27"/>
  <c r="GP47" i="27"/>
  <c r="GP67" i="27"/>
  <c r="GP72" i="27"/>
  <c r="GQ23" i="27"/>
  <c r="GQ48" i="27"/>
  <c r="GQ68" i="27"/>
  <c r="GQ73" i="27"/>
  <c r="GQ21" i="27"/>
  <c r="GQ46" i="27"/>
  <c r="GQ66" i="27"/>
  <c r="GQ71" i="27"/>
  <c r="GP21" i="26"/>
  <c r="GQ22" i="27"/>
  <c r="GQ47" i="27"/>
  <c r="GQ67" i="27"/>
  <c r="GQ72" i="27"/>
  <c r="GR23" i="27"/>
  <c r="GR48" i="27"/>
  <c r="GR68" i="27"/>
  <c r="GR73" i="27"/>
  <c r="GR21" i="27"/>
  <c r="GR46" i="27"/>
  <c r="GR66" i="27"/>
  <c r="GR71" i="27"/>
  <c r="GQ21" i="26"/>
  <c r="GR22" i="27"/>
  <c r="GR47" i="27"/>
  <c r="GR67" i="27"/>
  <c r="GR72" i="27"/>
  <c r="GS23" i="27"/>
  <c r="GS48" i="27"/>
  <c r="GS68" i="27"/>
  <c r="GS73" i="27"/>
  <c r="GS21" i="27"/>
  <c r="GS46" i="27"/>
  <c r="GS66" i="27"/>
  <c r="GS71" i="27"/>
  <c r="GR21" i="26"/>
  <c r="GS22" i="27"/>
  <c r="GS47" i="27"/>
  <c r="GS67" i="27"/>
  <c r="GS72" i="27"/>
  <c r="GT23" i="27"/>
  <c r="GT48" i="27"/>
  <c r="GT68" i="27"/>
  <c r="GT73" i="27"/>
  <c r="GT21" i="27"/>
  <c r="GT46" i="27"/>
  <c r="GT66" i="27"/>
  <c r="GT71" i="27"/>
  <c r="GS21" i="26"/>
  <c r="GT22" i="27"/>
  <c r="GT47" i="27"/>
  <c r="GT67" i="27"/>
  <c r="GT72" i="27"/>
  <c r="GU23" i="27"/>
  <c r="GU48" i="27"/>
  <c r="GU68" i="27"/>
  <c r="GU73" i="27"/>
  <c r="GU21" i="27"/>
  <c r="GU46" i="27"/>
  <c r="GU66" i="27"/>
  <c r="GU71" i="27"/>
  <c r="GT21" i="26"/>
  <c r="GU22" i="27"/>
  <c r="GU47" i="27"/>
  <c r="GU67" i="27"/>
  <c r="GU72" i="27"/>
  <c r="GV23" i="27"/>
  <c r="GV48" i="27"/>
  <c r="GV68" i="27"/>
  <c r="GV73" i="27"/>
  <c r="GV21" i="27"/>
  <c r="GV46" i="27"/>
  <c r="GV66" i="27"/>
  <c r="GV71" i="27"/>
  <c r="GU21" i="26"/>
  <c r="GV22" i="27"/>
  <c r="GV47" i="27"/>
  <c r="GV67" i="27"/>
  <c r="GV72" i="27"/>
  <c r="GW23" i="27"/>
  <c r="GW48" i="27"/>
  <c r="GW68" i="27"/>
  <c r="GW73" i="27"/>
  <c r="GW21" i="27"/>
  <c r="GW46" i="27"/>
  <c r="GW66" i="27"/>
  <c r="GW71" i="27"/>
  <c r="GV21" i="26"/>
  <c r="GW22" i="27"/>
  <c r="GW47" i="27"/>
  <c r="GW67" i="27"/>
  <c r="GW72" i="27"/>
  <c r="GX23" i="27"/>
  <c r="GX48" i="27"/>
  <c r="GX68" i="27"/>
  <c r="GX73" i="27"/>
  <c r="GX21" i="27"/>
  <c r="GX46" i="27"/>
  <c r="GX66" i="27"/>
  <c r="GX71" i="27"/>
  <c r="GW21" i="26"/>
  <c r="GX22" i="27"/>
  <c r="GX47" i="27"/>
  <c r="GX67" i="27"/>
  <c r="GX72" i="27"/>
  <c r="GY23" i="27"/>
  <c r="GY48" i="27"/>
  <c r="GY68" i="27"/>
  <c r="GY73" i="27"/>
  <c r="GY21" i="27"/>
  <c r="GY46" i="27"/>
  <c r="GY66" i="27"/>
  <c r="GY71" i="27"/>
  <c r="GX21" i="26"/>
  <c r="GY22" i="27"/>
  <c r="GY47" i="27"/>
  <c r="GY67" i="27"/>
  <c r="GY72" i="27"/>
  <c r="GZ23" i="27"/>
  <c r="GZ48" i="27"/>
  <c r="GZ68" i="27"/>
  <c r="GZ73" i="27"/>
  <c r="GZ21" i="27"/>
  <c r="GZ46" i="27"/>
  <c r="GZ66" i="27"/>
  <c r="GZ71" i="27"/>
  <c r="GY21" i="26"/>
  <c r="GZ22" i="27"/>
  <c r="GZ47" i="27"/>
  <c r="GZ67" i="27"/>
  <c r="GZ72" i="27"/>
  <c r="HA23" i="27"/>
  <c r="HA48" i="27"/>
  <c r="HA68" i="27"/>
  <c r="HA73" i="27"/>
  <c r="HA21" i="27"/>
  <c r="HA46" i="27"/>
  <c r="HA66" i="27"/>
  <c r="HA71" i="27"/>
  <c r="GZ21" i="26"/>
  <c r="HA22" i="27"/>
  <c r="HA47" i="27"/>
  <c r="HA67" i="27"/>
  <c r="HA72" i="27"/>
  <c r="HB23" i="27"/>
  <c r="HB48" i="27"/>
  <c r="HB68" i="27"/>
  <c r="HB73" i="27"/>
  <c r="HB21" i="27"/>
  <c r="HB46" i="27"/>
  <c r="HB66" i="27"/>
  <c r="HB71" i="27"/>
  <c r="HA21" i="26"/>
  <c r="HB22" i="27"/>
  <c r="HB47" i="27"/>
  <c r="HB67" i="27"/>
  <c r="HB72" i="27"/>
  <c r="HC23" i="27"/>
  <c r="HC48" i="27"/>
  <c r="HC68" i="27"/>
  <c r="HC73" i="27"/>
  <c r="HC21" i="27"/>
  <c r="HC46" i="27"/>
  <c r="HC66" i="27"/>
  <c r="HC71" i="27"/>
  <c r="HB21" i="26"/>
  <c r="HC22" i="27"/>
  <c r="HC47" i="27"/>
  <c r="HC67" i="27"/>
  <c r="HC72" i="27"/>
  <c r="HD23" i="27"/>
  <c r="HD48" i="27"/>
  <c r="HD68" i="27"/>
  <c r="HD73" i="27"/>
  <c r="HD21" i="27"/>
  <c r="HD46" i="27"/>
  <c r="HD66" i="27"/>
  <c r="HD71" i="27"/>
  <c r="HC21" i="26"/>
  <c r="HD22" i="27"/>
  <c r="HD47" i="27"/>
  <c r="HD67" i="27"/>
  <c r="HD72" i="27"/>
  <c r="HE23" i="27"/>
  <c r="HE48" i="27"/>
  <c r="HE68" i="27"/>
  <c r="HE73" i="27"/>
  <c r="HE21" i="27"/>
  <c r="HE46" i="27"/>
  <c r="HE66" i="27"/>
  <c r="HE71" i="27"/>
  <c r="HD21" i="26"/>
  <c r="HE22" i="27"/>
  <c r="HE47" i="27"/>
  <c r="HE67" i="27"/>
  <c r="HE72" i="27"/>
  <c r="HF23" i="27"/>
  <c r="HF48" i="27"/>
  <c r="HF68" i="27"/>
  <c r="HF73" i="27"/>
  <c r="HU81" i="58"/>
  <c r="HF21" i="27"/>
  <c r="HF46" i="27"/>
  <c r="HF66" i="27"/>
  <c r="HF71" i="27"/>
  <c r="HE21" i="26"/>
  <c r="HF22" i="27"/>
  <c r="HF47" i="27"/>
  <c r="HF67" i="27"/>
  <c r="HF72" i="27"/>
  <c r="HG23" i="27"/>
  <c r="HG48" i="27"/>
  <c r="HG68" i="27"/>
  <c r="HG73" i="27"/>
  <c r="HV81" i="58"/>
  <c r="HG21" i="27"/>
  <c r="HG46" i="27"/>
  <c r="HG66" i="27"/>
  <c r="HG71" i="27"/>
  <c r="HF21" i="26"/>
  <c r="HG22" i="27"/>
  <c r="HG47" i="27"/>
  <c r="HG67" i="27"/>
  <c r="HG72" i="27"/>
  <c r="HH23" i="27"/>
  <c r="HH48" i="27"/>
  <c r="HH68" i="27"/>
  <c r="HH73" i="27"/>
  <c r="HW81" i="58"/>
  <c r="HH21" i="27"/>
  <c r="HH46" i="27"/>
  <c r="HH66" i="27"/>
  <c r="HH71" i="27"/>
  <c r="HG21" i="26"/>
  <c r="HH22" i="27"/>
  <c r="HH47" i="27"/>
  <c r="HH67" i="27"/>
  <c r="HH72" i="27"/>
  <c r="HI23" i="27"/>
  <c r="HI48" i="27"/>
  <c r="HI68" i="27"/>
  <c r="HI73" i="27"/>
  <c r="HX81" i="58"/>
  <c r="HI21" i="27"/>
  <c r="HI46" i="27"/>
  <c r="HI66" i="27"/>
  <c r="HI71" i="27"/>
  <c r="HH21" i="26"/>
  <c r="HI22" i="27"/>
  <c r="HI47" i="27"/>
  <c r="HI67" i="27"/>
  <c r="HI72" i="27"/>
  <c r="HJ23" i="27"/>
  <c r="HJ48" i="27"/>
  <c r="HJ68" i="27"/>
  <c r="HJ73" i="27"/>
  <c r="HY81" i="58"/>
  <c r="HJ21" i="27"/>
  <c r="HJ46" i="27"/>
  <c r="HJ66" i="27"/>
  <c r="HJ71" i="27"/>
  <c r="HI21" i="26"/>
  <c r="HJ22" i="27"/>
  <c r="HJ47" i="27"/>
  <c r="HJ67" i="27"/>
  <c r="HJ72" i="27"/>
  <c r="HK23" i="27"/>
  <c r="HK48" i="27"/>
  <c r="HK68" i="27"/>
  <c r="HK73" i="27"/>
  <c r="HZ81" i="58"/>
  <c r="HK21" i="27"/>
  <c r="HK46" i="27"/>
  <c r="HK66" i="27"/>
  <c r="HK71" i="27"/>
  <c r="HJ21" i="26"/>
  <c r="HK22" i="27"/>
  <c r="HK47" i="27"/>
  <c r="HK67" i="27"/>
  <c r="HK72" i="27"/>
  <c r="HL23" i="27"/>
  <c r="HL48" i="27"/>
  <c r="HL68" i="27"/>
  <c r="HL73" i="27"/>
  <c r="IA81" i="58"/>
  <c r="HL21" i="27"/>
  <c r="HL46" i="27"/>
  <c r="HL66" i="27"/>
  <c r="HL71" i="27"/>
  <c r="HK21" i="26"/>
  <c r="HL22" i="27"/>
  <c r="HL47" i="27"/>
  <c r="HL67" i="27"/>
  <c r="HL72" i="27"/>
  <c r="HM23" i="27"/>
  <c r="HM48" i="27"/>
  <c r="HM68" i="27"/>
  <c r="HM73" i="27"/>
  <c r="IB81" i="58"/>
  <c r="HM21" i="27"/>
  <c r="HM46" i="27"/>
  <c r="HM66" i="27"/>
  <c r="HM71" i="27"/>
  <c r="HL21" i="26"/>
  <c r="HM22" i="27"/>
  <c r="HM47" i="27"/>
  <c r="HM67" i="27"/>
  <c r="HM72" i="27"/>
  <c r="HN23" i="27"/>
  <c r="HN48" i="27"/>
  <c r="HN68" i="27"/>
  <c r="HN73" i="27"/>
  <c r="IC81" i="58"/>
  <c r="HN21" i="27"/>
  <c r="HN46" i="27"/>
  <c r="HN66" i="27"/>
  <c r="HN71" i="27"/>
  <c r="HM21" i="26"/>
  <c r="HN22" i="27"/>
  <c r="HN47" i="27"/>
  <c r="HN67" i="27"/>
  <c r="HN72" i="27"/>
  <c r="HO23" i="27"/>
  <c r="HO48" i="27"/>
  <c r="HO68" i="27"/>
  <c r="HO73" i="27"/>
  <c r="ID81" i="58"/>
  <c r="HO21" i="27"/>
  <c r="HO46" i="27"/>
  <c r="HO66" i="27"/>
  <c r="HO71" i="27"/>
  <c r="HN21" i="26"/>
  <c r="HO22" i="27"/>
  <c r="HO47" i="27"/>
  <c r="HO67" i="27"/>
  <c r="HO72" i="27"/>
  <c r="HP23" i="27"/>
  <c r="HP48" i="27"/>
  <c r="HP68" i="27"/>
  <c r="HP73" i="27"/>
  <c r="IE81" i="58"/>
  <c r="HP21" i="27"/>
  <c r="HP46" i="27"/>
  <c r="HP66" i="27"/>
  <c r="HP71" i="27"/>
  <c r="HO21" i="26"/>
  <c r="HP22" i="27"/>
  <c r="HP47" i="27"/>
  <c r="HP67" i="27"/>
  <c r="HP72" i="27"/>
  <c r="HQ23" i="27"/>
  <c r="HQ48" i="27"/>
  <c r="HQ68" i="27"/>
  <c r="HQ73" i="27"/>
  <c r="IF81" i="58"/>
  <c r="HQ21" i="27"/>
  <c r="HQ46" i="27"/>
  <c r="HQ66" i="27"/>
  <c r="HQ71" i="27"/>
  <c r="HP21" i="26"/>
  <c r="HQ22" i="27"/>
  <c r="HQ47" i="27"/>
  <c r="HQ67" i="27"/>
  <c r="HQ72" i="27"/>
  <c r="HR23" i="27"/>
  <c r="HR48" i="27"/>
  <c r="HR68" i="27"/>
  <c r="HR73" i="27"/>
  <c r="IG81" i="58"/>
  <c r="HR21" i="27"/>
  <c r="HR46" i="27"/>
  <c r="HR66" i="27"/>
  <c r="HR71" i="27"/>
  <c r="HQ21" i="26"/>
  <c r="HR22" i="27"/>
  <c r="HR47" i="27"/>
  <c r="HR67" i="27"/>
  <c r="HR72" i="27"/>
  <c r="HS23" i="27"/>
  <c r="HS48" i="27"/>
  <c r="HS68" i="27"/>
  <c r="HS73" i="27"/>
  <c r="IH81" i="58"/>
  <c r="HS21" i="27"/>
  <c r="HS46" i="27"/>
  <c r="HS66" i="27"/>
  <c r="HS71" i="27"/>
  <c r="HR21" i="26"/>
  <c r="HS22" i="27"/>
  <c r="HS47" i="27"/>
  <c r="HS67" i="27"/>
  <c r="HS72" i="27"/>
  <c r="HT23" i="27"/>
  <c r="HT48" i="27"/>
  <c r="HT68" i="27"/>
  <c r="HT73" i="27"/>
  <c r="II81" i="58"/>
  <c r="HT21" i="27"/>
  <c r="HT46" i="27"/>
  <c r="HT66" i="27"/>
  <c r="HT71" i="27"/>
  <c r="HS21" i="26"/>
  <c r="HT22" i="27"/>
  <c r="HT47" i="27"/>
  <c r="HT67" i="27"/>
  <c r="HT72" i="27"/>
  <c r="HU23" i="27"/>
  <c r="HU48" i="27"/>
  <c r="HU68" i="27"/>
  <c r="HU73" i="27"/>
  <c r="IJ81" i="58"/>
  <c r="HU21" i="27"/>
  <c r="HU46" i="27"/>
  <c r="HU66" i="27"/>
  <c r="HU71" i="27"/>
  <c r="HT21" i="26"/>
  <c r="HU22" i="27"/>
  <c r="HU47" i="27"/>
  <c r="HU67" i="27"/>
  <c r="HU72" i="27"/>
  <c r="HV23" i="27"/>
  <c r="HV48" i="27"/>
  <c r="HV68" i="27"/>
  <c r="HV73" i="27"/>
  <c r="IK81" i="58"/>
  <c r="HV21" i="27"/>
  <c r="HV46" i="27"/>
  <c r="HV66" i="27"/>
  <c r="HV71" i="27"/>
  <c r="HU21" i="26"/>
  <c r="HV22" i="27"/>
  <c r="HV47" i="27"/>
  <c r="HV67" i="27"/>
  <c r="HV72" i="27"/>
  <c r="HW23" i="27"/>
  <c r="HW48" i="27"/>
  <c r="HW68" i="27"/>
  <c r="HW73" i="27"/>
  <c r="IL81" i="58"/>
  <c r="HW21" i="27"/>
  <c r="HW46" i="27"/>
  <c r="HW66" i="27"/>
  <c r="HW71" i="27"/>
  <c r="HV21" i="26"/>
  <c r="HW22" i="27"/>
  <c r="HW47" i="27"/>
  <c r="HW67" i="27"/>
  <c r="HW72" i="27"/>
  <c r="HX23" i="27"/>
  <c r="HX48" i="27"/>
  <c r="HX68" i="27"/>
  <c r="HX73" i="27"/>
  <c r="IM81" i="58"/>
  <c r="HX21" i="27"/>
  <c r="HX46" i="27"/>
  <c r="HX66" i="27"/>
  <c r="HX71" i="27"/>
  <c r="HW21" i="26"/>
  <c r="HX22" i="27"/>
  <c r="HX47" i="27"/>
  <c r="HX67" i="27"/>
  <c r="HX72" i="27"/>
  <c r="HY23" i="27"/>
  <c r="HY48" i="27"/>
  <c r="HY68" i="27"/>
  <c r="HY73" i="27"/>
  <c r="IN81" i="58"/>
  <c r="HY21" i="27"/>
  <c r="HY46" i="27"/>
  <c r="HY66" i="27"/>
  <c r="HY71" i="27"/>
  <c r="HX21" i="26"/>
  <c r="HY22" i="27"/>
  <c r="HY47" i="27"/>
  <c r="HY67" i="27"/>
  <c r="HY72" i="27"/>
  <c r="HZ23" i="27"/>
  <c r="HZ48" i="27"/>
  <c r="HZ68" i="27"/>
  <c r="HZ73" i="27"/>
  <c r="IO81" i="58"/>
  <c r="HZ21" i="27"/>
  <c r="HZ46" i="27"/>
  <c r="HZ66" i="27"/>
  <c r="HZ71" i="27"/>
  <c r="HY21" i="26"/>
  <c r="HZ22" i="27"/>
  <c r="HZ47" i="27"/>
  <c r="HZ67" i="27"/>
  <c r="HZ72" i="27"/>
  <c r="IA23" i="27"/>
  <c r="IA48" i="27"/>
  <c r="IA68" i="27"/>
  <c r="IA73" i="27"/>
  <c r="IP81" i="58"/>
  <c r="IA21" i="27"/>
  <c r="IA46" i="27"/>
  <c r="IA66" i="27"/>
  <c r="IA71" i="27"/>
  <c r="HZ21" i="26"/>
  <c r="IA22" i="27"/>
  <c r="IA47" i="27"/>
  <c r="IA67" i="27"/>
  <c r="IA72" i="27"/>
  <c r="IB23" i="27"/>
  <c r="IB48" i="27"/>
  <c r="IB68" i="27"/>
  <c r="IB73" i="27"/>
  <c r="IQ81" i="58"/>
  <c r="IB21" i="27"/>
  <c r="IB46" i="27"/>
  <c r="IB66" i="27"/>
  <c r="IB71" i="27"/>
  <c r="IA21" i="26"/>
  <c r="IB22" i="27"/>
  <c r="IB47" i="27"/>
  <c r="IB67" i="27"/>
  <c r="IB72" i="27"/>
  <c r="IC23" i="27"/>
  <c r="IC48" i="27"/>
  <c r="IC68" i="27"/>
  <c r="IC73" i="27"/>
  <c r="IR81" i="58"/>
  <c r="IC21" i="27"/>
  <c r="IC46" i="27"/>
  <c r="IC66" i="27"/>
  <c r="IC71" i="27"/>
  <c r="IB21" i="26"/>
  <c r="IC22" i="27"/>
  <c r="IC47" i="27"/>
  <c r="IC67" i="27"/>
  <c r="IC72" i="27"/>
  <c r="ID23" i="27"/>
  <c r="ID48" i="27"/>
  <c r="ID68" i="27"/>
  <c r="ID73" i="27"/>
  <c r="IS81" i="58"/>
  <c r="ID21" i="27"/>
  <c r="ID46" i="27"/>
  <c r="ID66" i="27"/>
  <c r="ID71" i="27"/>
  <c r="IC21" i="26"/>
  <c r="ID22" i="27"/>
  <c r="ID47" i="27"/>
  <c r="ID67" i="27"/>
  <c r="ID72" i="27"/>
  <c r="IE23" i="27"/>
  <c r="IE48" i="27"/>
  <c r="IE68" i="27"/>
  <c r="IE73" i="27"/>
  <c r="IT81" i="58"/>
  <c r="IE21" i="27"/>
  <c r="IE46" i="27"/>
  <c r="IE66" i="27"/>
  <c r="IE71" i="27"/>
  <c r="ID21" i="26"/>
  <c r="IE47" i="27"/>
  <c r="IE67" i="27"/>
  <c r="IE72" i="27"/>
  <c r="IF23" i="27"/>
  <c r="IF48" i="27"/>
  <c r="IF68" i="27"/>
  <c r="IF73" i="27"/>
  <c r="IU81" i="58"/>
  <c r="IF21" i="27"/>
  <c r="IF46" i="27"/>
  <c r="IF66" i="27"/>
  <c r="IF71" i="27"/>
  <c r="IE21" i="26"/>
  <c r="IF22" i="27"/>
  <c r="IF47" i="27"/>
  <c r="IF67" i="27"/>
  <c r="IF72" i="27"/>
  <c r="IG23" i="27"/>
  <c r="IG48" i="27"/>
  <c r="IG68" i="27"/>
  <c r="IG73" i="27"/>
  <c r="IV81" i="58"/>
  <c r="IG21" i="27"/>
  <c r="IG46" i="27"/>
  <c r="IG66" i="27"/>
  <c r="IG71" i="27"/>
  <c r="IF21" i="26"/>
  <c r="IG22" i="27"/>
  <c r="IG47" i="27"/>
  <c r="IG67" i="27"/>
  <c r="IG72" i="27"/>
  <c r="IH23" i="27"/>
  <c r="IH48" i="27"/>
  <c r="IH68" i="27"/>
  <c r="IH73" i="27"/>
  <c r="IW81" i="58"/>
  <c r="IH21" i="27"/>
  <c r="IH46" i="27"/>
  <c r="IH66" i="27"/>
  <c r="IH71" i="27"/>
  <c r="IG21" i="26"/>
  <c r="IH22" i="27"/>
  <c r="IH47" i="27"/>
  <c r="IH67" i="27"/>
  <c r="IH72" i="27"/>
  <c r="II23" i="27"/>
  <c r="II48" i="27"/>
  <c r="II68" i="27"/>
  <c r="II73" i="27"/>
  <c r="IX81" i="58"/>
  <c r="II21" i="27"/>
  <c r="II46" i="27"/>
  <c r="II66" i="27"/>
  <c r="II71" i="27"/>
  <c r="IH21" i="26"/>
  <c r="II22" i="27"/>
  <c r="II47" i="27"/>
  <c r="II67" i="27"/>
  <c r="II72" i="27"/>
  <c r="IJ23" i="27"/>
  <c r="IJ48" i="27"/>
  <c r="IJ68" i="27"/>
  <c r="IJ73" i="27"/>
  <c r="IY81" i="58"/>
  <c r="IJ21" i="27"/>
  <c r="IJ46" i="27"/>
  <c r="IJ66" i="27"/>
  <c r="IJ71" i="27"/>
  <c r="II21" i="26"/>
  <c r="IJ22" i="27"/>
  <c r="IJ47" i="27"/>
  <c r="IJ67" i="27"/>
  <c r="IJ72" i="27"/>
  <c r="IK23" i="27"/>
  <c r="IK48" i="27"/>
  <c r="IK68" i="27"/>
  <c r="IK73" i="27"/>
  <c r="IZ81" i="58"/>
  <c r="IK21" i="27"/>
  <c r="IK46" i="27"/>
  <c r="IK66" i="27"/>
  <c r="IK71" i="27"/>
  <c r="IJ21" i="26"/>
  <c r="IK22" i="27"/>
  <c r="IK47" i="27"/>
  <c r="IK67" i="27"/>
  <c r="IK72" i="27"/>
  <c r="IL23" i="27"/>
  <c r="IL48" i="27"/>
  <c r="IL68" i="27"/>
  <c r="IL73" i="27"/>
  <c r="JA81" i="58"/>
  <c r="IL21" i="27"/>
  <c r="IL46" i="27"/>
  <c r="IL66" i="27"/>
  <c r="IL71" i="27"/>
  <c r="IK21" i="26"/>
  <c r="IL22" i="27"/>
  <c r="IL47" i="27"/>
  <c r="IL67" i="27"/>
  <c r="IL72" i="27"/>
  <c r="IM23" i="27"/>
  <c r="IM48" i="27"/>
  <c r="IM68" i="27"/>
  <c r="IM73" i="27"/>
  <c r="JB81" i="58"/>
  <c r="IM21" i="27"/>
  <c r="IM46" i="27"/>
  <c r="IM66" i="27"/>
  <c r="IM71" i="27"/>
  <c r="IL21" i="26"/>
  <c r="IM22" i="27"/>
  <c r="IM47" i="27"/>
  <c r="IM67" i="27"/>
  <c r="IM72" i="27"/>
  <c r="IN23" i="27"/>
  <c r="IN48" i="27"/>
  <c r="IN68" i="27"/>
  <c r="IN73" i="27"/>
  <c r="JC81" i="58"/>
  <c r="IN21" i="27"/>
  <c r="IN46" i="27"/>
  <c r="IN66" i="27"/>
  <c r="IN71" i="27"/>
  <c r="IM21" i="26"/>
  <c r="IN22" i="27"/>
  <c r="IN47" i="27"/>
  <c r="IN67" i="27"/>
  <c r="IN72" i="27"/>
  <c r="IO68" i="27"/>
  <c r="IO73" i="27"/>
  <c r="IO66" i="27"/>
  <c r="IO71" i="27"/>
  <c r="IO67" i="27"/>
  <c r="IO72" i="27"/>
  <c r="FY150" i="58"/>
  <c r="FK20" i="27"/>
  <c r="FK45" i="27"/>
  <c r="FK50" i="27"/>
  <c r="FK53" i="27"/>
  <c r="FK51" i="27"/>
  <c r="FK52" i="27"/>
  <c r="FK55" i="27"/>
  <c r="FZ149" i="58"/>
  <c r="FL20" i="27"/>
  <c r="FL45" i="27"/>
  <c r="FL50" i="27"/>
  <c r="FL53" i="27"/>
  <c r="FL51" i="27"/>
  <c r="FL52" i="27"/>
  <c r="FL55" i="27"/>
  <c r="GA149" i="58"/>
  <c r="FM20" i="27"/>
  <c r="FM45" i="27"/>
  <c r="FM50" i="27"/>
  <c r="FM53" i="27"/>
  <c r="FM51" i="27"/>
  <c r="FM52" i="27"/>
  <c r="FM55" i="27"/>
  <c r="GB149" i="58"/>
  <c r="FN20" i="27"/>
  <c r="FN45" i="27"/>
  <c r="FN50" i="27"/>
  <c r="FN53" i="27"/>
  <c r="FN51" i="27"/>
  <c r="FN52" i="27"/>
  <c r="FN55" i="27"/>
  <c r="GC149" i="58"/>
  <c r="FO20" i="27"/>
  <c r="FO45" i="27"/>
  <c r="FO50" i="27"/>
  <c r="FO53" i="27"/>
  <c r="FO51" i="27"/>
  <c r="FO52" i="27"/>
  <c r="FO55" i="27"/>
  <c r="GD149" i="58"/>
  <c r="FP20" i="27"/>
  <c r="FP45" i="27"/>
  <c r="FP50" i="27"/>
  <c r="FP53" i="27"/>
  <c r="FP51" i="27"/>
  <c r="FP52" i="27"/>
  <c r="FP55" i="27"/>
  <c r="GE149" i="58"/>
  <c r="FQ20" i="27"/>
  <c r="FQ45" i="27"/>
  <c r="FQ50" i="27"/>
  <c r="FQ53" i="27"/>
  <c r="FQ51" i="27"/>
  <c r="FQ52" i="27"/>
  <c r="FQ55" i="27"/>
  <c r="GF149" i="58"/>
  <c r="FR20" i="27"/>
  <c r="FR45" i="27"/>
  <c r="FR50" i="27"/>
  <c r="FR53" i="27"/>
  <c r="FR51" i="27"/>
  <c r="FR52" i="27"/>
  <c r="FR55" i="27"/>
  <c r="GG149" i="58"/>
  <c r="FS20" i="27"/>
  <c r="FS45" i="27"/>
  <c r="FS50" i="27"/>
  <c r="FS53" i="27"/>
  <c r="FS51" i="27"/>
  <c r="FS52" i="27"/>
  <c r="FS55" i="27"/>
  <c r="GH149" i="58"/>
  <c r="FT20" i="27"/>
  <c r="FT45" i="27"/>
  <c r="FT50" i="27"/>
  <c r="FT53" i="27"/>
  <c r="FT51" i="27"/>
  <c r="FT52" i="27"/>
  <c r="FT55" i="27"/>
  <c r="GI149" i="58"/>
  <c r="FU20" i="27"/>
  <c r="FU45" i="27"/>
  <c r="FU50" i="27"/>
  <c r="FU53" i="27"/>
  <c r="FU51" i="27"/>
  <c r="FU52" i="27"/>
  <c r="FU55" i="27"/>
  <c r="GJ149" i="58"/>
  <c r="FV20" i="27"/>
  <c r="FV45" i="27"/>
  <c r="FV50" i="27"/>
  <c r="FV53" i="27"/>
  <c r="FV51" i="27"/>
  <c r="FV52" i="27"/>
  <c r="FV55" i="27"/>
  <c r="GK149" i="58"/>
  <c r="FW20" i="27"/>
  <c r="FW45" i="27"/>
  <c r="FW50" i="27"/>
  <c r="FW53" i="27"/>
  <c r="FW51" i="27"/>
  <c r="FW52" i="27"/>
  <c r="FW55" i="27"/>
  <c r="GL149" i="58"/>
  <c r="FX20" i="27"/>
  <c r="FX45" i="27"/>
  <c r="FX50" i="27"/>
  <c r="FX53" i="27"/>
  <c r="FX51" i="27"/>
  <c r="FX52" i="27"/>
  <c r="FX55" i="27"/>
  <c r="GM149" i="58"/>
  <c r="FY20" i="27"/>
  <c r="FY45" i="27"/>
  <c r="FY50" i="27"/>
  <c r="FY53" i="27"/>
  <c r="FY51" i="27"/>
  <c r="FY52" i="27"/>
  <c r="FY55" i="27"/>
  <c r="GN149" i="58"/>
  <c r="FZ20" i="27"/>
  <c r="FZ45" i="27"/>
  <c r="FZ50" i="27"/>
  <c r="FZ53" i="27"/>
  <c r="FZ51" i="27"/>
  <c r="FZ52" i="27"/>
  <c r="FZ55" i="27"/>
  <c r="GO149" i="58"/>
  <c r="GA20" i="27"/>
  <c r="GA45" i="27"/>
  <c r="GA50" i="27"/>
  <c r="GA53" i="27"/>
  <c r="GA51" i="27"/>
  <c r="GA52" i="27"/>
  <c r="GA55" i="27"/>
  <c r="GP149" i="58"/>
  <c r="GB20" i="27"/>
  <c r="GB45" i="27"/>
  <c r="GB50" i="27"/>
  <c r="GB53" i="27"/>
  <c r="GB51" i="27"/>
  <c r="GB52" i="27"/>
  <c r="GB55" i="27"/>
  <c r="GQ149" i="58"/>
  <c r="GC20" i="27"/>
  <c r="GC45" i="27"/>
  <c r="GC50" i="27"/>
  <c r="GC53" i="27"/>
  <c r="GC51" i="27"/>
  <c r="GC52" i="27"/>
  <c r="GC55" i="27"/>
  <c r="GR149" i="58"/>
  <c r="GD20" i="27"/>
  <c r="GD45" i="27"/>
  <c r="GD50" i="27"/>
  <c r="GD53" i="27"/>
  <c r="GD51" i="27"/>
  <c r="GD52" i="27"/>
  <c r="GD55" i="27"/>
  <c r="GS149" i="58"/>
  <c r="GE20" i="27"/>
  <c r="GE45" i="27"/>
  <c r="GE50" i="27"/>
  <c r="GE53" i="27"/>
  <c r="GE51" i="27"/>
  <c r="GE52" i="27"/>
  <c r="GE55" i="27"/>
  <c r="GT149" i="58"/>
  <c r="GF20" i="27"/>
  <c r="GF45" i="27"/>
  <c r="GF50" i="27"/>
  <c r="GF53" i="27"/>
  <c r="GF51" i="27"/>
  <c r="GF52" i="27"/>
  <c r="GF55" i="27"/>
  <c r="GU149" i="58"/>
  <c r="GG20" i="27"/>
  <c r="GG45" i="27"/>
  <c r="GG50" i="27"/>
  <c r="GG53" i="27"/>
  <c r="GG51" i="27"/>
  <c r="GG52" i="27"/>
  <c r="GG55" i="27"/>
  <c r="GV149" i="58"/>
  <c r="GH20" i="27"/>
  <c r="GH45" i="27"/>
  <c r="GH50" i="27"/>
  <c r="GH53" i="27"/>
  <c r="GH51" i="27"/>
  <c r="GH52" i="27"/>
  <c r="GH55" i="27"/>
  <c r="GW149" i="58"/>
  <c r="GI20" i="27"/>
  <c r="GI45" i="27"/>
  <c r="GI50" i="27"/>
  <c r="GI53" i="27"/>
  <c r="GI51" i="27"/>
  <c r="GI52" i="27"/>
  <c r="GI55" i="27"/>
  <c r="GX149" i="58"/>
  <c r="GJ20" i="27"/>
  <c r="GJ45" i="27"/>
  <c r="GJ50" i="27"/>
  <c r="GJ53" i="27"/>
  <c r="GJ51" i="27"/>
  <c r="GJ52" i="27"/>
  <c r="GJ55" i="27"/>
  <c r="GY149" i="58"/>
  <c r="GK20" i="27"/>
  <c r="GK45" i="27"/>
  <c r="GK50" i="27"/>
  <c r="GK53" i="27"/>
  <c r="GK51" i="27"/>
  <c r="GK52" i="27"/>
  <c r="GK55" i="27"/>
  <c r="GZ149" i="58"/>
  <c r="GL20" i="27"/>
  <c r="GL45" i="27"/>
  <c r="GL50" i="27"/>
  <c r="GL53" i="27"/>
  <c r="GL51" i="27"/>
  <c r="GL52" i="27"/>
  <c r="GL55" i="27"/>
  <c r="HA149" i="58"/>
  <c r="GM20" i="27"/>
  <c r="GM45" i="27"/>
  <c r="GM50" i="27"/>
  <c r="GM53" i="27"/>
  <c r="GM51" i="27"/>
  <c r="GM52" i="27"/>
  <c r="GM55" i="27"/>
  <c r="HB149" i="58"/>
  <c r="GN20" i="27"/>
  <c r="GN45" i="27"/>
  <c r="GN50" i="27"/>
  <c r="GN53" i="27"/>
  <c r="GN51" i="27"/>
  <c r="GN52" i="27"/>
  <c r="GN55" i="27"/>
  <c r="HC149" i="58"/>
  <c r="GO20" i="27"/>
  <c r="GO45" i="27"/>
  <c r="GO50" i="27"/>
  <c r="GO53" i="27"/>
  <c r="GO51" i="27"/>
  <c r="GO52" i="27"/>
  <c r="GO55" i="27"/>
  <c r="HD149" i="58"/>
  <c r="GP20" i="27"/>
  <c r="GP45" i="27"/>
  <c r="GP50" i="27"/>
  <c r="GP53" i="27"/>
  <c r="GP51" i="27"/>
  <c r="GP52" i="27"/>
  <c r="GP55" i="27"/>
  <c r="HE149" i="58"/>
  <c r="GQ20" i="27"/>
  <c r="GQ45" i="27"/>
  <c r="GQ50" i="27"/>
  <c r="GQ53" i="27"/>
  <c r="GQ51" i="27"/>
  <c r="GQ52" i="27"/>
  <c r="GQ55" i="27"/>
  <c r="HF149" i="58"/>
  <c r="GR20" i="27"/>
  <c r="GR45" i="27"/>
  <c r="GR50" i="27"/>
  <c r="GR53" i="27"/>
  <c r="GR51" i="27"/>
  <c r="GR52" i="27"/>
  <c r="GR55" i="27"/>
  <c r="HG149" i="58"/>
  <c r="GS20" i="27"/>
  <c r="GS45" i="27"/>
  <c r="GS50" i="27"/>
  <c r="GS53" i="27"/>
  <c r="GS51" i="27"/>
  <c r="GS52" i="27"/>
  <c r="GS55" i="27"/>
  <c r="HH149" i="58"/>
  <c r="GT20" i="27"/>
  <c r="GT45" i="27"/>
  <c r="GT50" i="27"/>
  <c r="GT53" i="27"/>
  <c r="GT51" i="27"/>
  <c r="GT52" i="27"/>
  <c r="GT55" i="27"/>
  <c r="HI149" i="58"/>
  <c r="GU20" i="27"/>
  <c r="GU45" i="27"/>
  <c r="GU50" i="27"/>
  <c r="GU53" i="27"/>
  <c r="GU51" i="27"/>
  <c r="GU52" i="27"/>
  <c r="GU55" i="27"/>
  <c r="HJ149" i="58"/>
  <c r="GV20" i="27"/>
  <c r="GV45" i="27"/>
  <c r="GV50" i="27"/>
  <c r="GV53" i="27"/>
  <c r="GV51" i="27"/>
  <c r="GV52" i="27"/>
  <c r="GV55" i="27"/>
  <c r="HK149" i="58"/>
  <c r="GW20" i="27"/>
  <c r="GW45" i="27"/>
  <c r="GW50" i="27"/>
  <c r="GW53" i="27"/>
  <c r="GW51" i="27"/>
  <c r="GW52" i="27"/>
  <c r="GW55" i="27"/>
  <c r="HL149" i="58"/>
  <c r="GX20" i="27"/>
  <c r="GX45" i="27"/>
  <c r="GX50" i="27"/>
  <c r="GX53" i="27"/>
  <c r="GX51" i="27"/>
  <c r="GX52" i="27"/>
  <c r="GX55" i="27"/>
  <c r="HM149" i="58"/>
  <c r="GY20" i="27"/>
  <c r="GY45" i="27"/>
  <c r="GY50" i="27"/>
  <c r="GY53" i="27"/>
  <c r="GY51" i="27"/>
  <c r="GY52" i="27"/>
  <c r="GY55" i="27"/>
  <c r="HN149" i="58"/>
  <c r="GZ20" i="27"/>
  <c r="GZ45" i="27"/>
  <c r="GZ50" i="27"/>
  <c r="GZ53" i="27"/>
  <c r="GZ51" i="27"/>
  <c r="GZ52" i="27"/>
  <c r="GZ55" i="27"/>
  <c r="HO149" i="58"/>
  <c r="HA20" i="27"/>
  <c r="HA45" i="27"/>
  <c r="HA50" i="27"/>
  <c r="HA53" i="27"/>
  <c r="HA51" i="27"/>
  <c r="HA52" i="27"/>
  <c r="HA55" i="27"/>
  <c r="HP149" i="58"/>
  <c r="HB20" i="27"/>
  <c r="HB45" i="27"/>
  <c r="HB50" i="27"/>
  <c r="HB53" i="27"/>
  <c r="HB51" i="27"/>
  <c r="HB52" i="27"/>
  <c r="HB55" i="27"/>
  <c r="HQ149" i="58"/>
  <c r="HC20" i="27"/>
  <c r="HC45" i="27"/>
  <c r="HC50" i="27"/>
  <c r="HC53" i="27"/>
  <c r="HC51" i="27"/>
  <c r="HC52" i="27"/>
  <c r="HC55" i="27"/>
  <c r="HR149" i="58"/>
  <c r="HD20" i="27"/>
  <c r="HD45" i="27"/>
  <c r="HD50" i="27"/>
  <c r="HD53" i="27"/>
  <c r="HD51" i="27"/>
  <c r="HD52" i="27"/>
  <c r="HD55" i="27"/>
  <c r="HS149" i="58"/>
  <c r="HE20" i="27"/>
  <c r="HE45" i="27"/>
  <c r="HE50" i="27"/>
  <c r="HE53" i="27"/>
  <c r="HE51" i="27"/>
  <c r="HE52" i="27"/>
  <c r="HE55" i="27"/>
  <c r="HT149" i="58"/>
  <c r="HF20" i="27"/>
  <c r="HF45" i="27"/>
  <c r="HF50" i="27"/>
  <c r="HF53" i="27"/>
  <c r="HF51" i="27"/>
  <c r="HF52" i="27"/>
  <c r="HF55" i="27"/>
  <c r="HU149" i="58"/>
  <c r="HG20" i="27"/>
  <c r="HG45" i="27"/>
  <c r="HG50" i="27"/>
  <c r="HG53" i="27"/>
  <c r="HG51" i="27"/>
  <c r="HG52" i="27"/>
  <c r="HG55" i="27"/>
  <c r="HV149" i="58"/>
  <c r="HH20" i="27"/>
  <c r="HH45" i="27"/>
  <c r="HH50" i="27"/>
  <c r="HH53" i="27"/>
  <c r="HH51" i="27"/>
  <c r="HH52" i="27"/>
  <c r="HH55" i="27"/>
  <c r="HW149" i="58"/>
  <c r="HI20" i="27"/>
  <c r="HI45" i="27"/>
  <c r="HI50" i="27"/>
  <c r="HI53" i="27"/>
  <c r="HI51" i="27"/>
  <c r="HI52" i="27"/>
  <c r="HI55" i="27"/>
  <c r="HX149" i="58"/>
  <c r="HJ20" i="27"/>
  <c r="HJ45" i="27"/>
  <c r="HJ50" i="27"/>
  <c r="HJ53" i="27"/>
  <c r="HJ51" i="27"/>
  <c r="HJ52" i="27"/>
  <c r="HJ55" i="27"/>
  <c r="HY149" i="58"/>
  <c r="HK20" i="27"/>
  <c r="HK45" i="27"/>
  <c r="HK50" i="27"/>
  <c r="HK53" i="27"/>
  <c r="HK51" i="27"/>
  <c r="HK52" i="27"/>
  <c r="HK55" i="27"/>
  <c r="HZ149" i="58"/>
  <c r="HL20" i="27"/>
  <c r="HL45" i="27"/>
  <c r="HL50" i="27"/>
  <c r="HL53" i="27"/>
  <c r="HL51" i="27"/>
  <c r="HL52" i="27"/>
  <c r="HL55" i="27"/>
  <c r="IA149" i="58"/>
  <c r="HM20" i="27"/>
  <c r="HM45" i="27"/>
  <c r="HM50" i="27"/>
  <c r="HM53" i="27"/>
  <c r="HM51" i="27"/>
  <c r="HM52" i="27"/>
  <c r="HM55" i="27"/>
  <c r="IB149" i="58"/>
  <c r="HN20" i="27"/>
  <c r="HN45" i="27"/>
  <c r="HN50" i="27"/>
  <c r="HN53" i="27"/>
  <c r="HN51" i="27"/>
  <c r="HN52" i="27"/>
  <c r="HN55" i="27"/>
  <c r="IC149" i="58"/>
  <c r="HO20" i="27"/>
  <c r="HO45" i="27"/>
  <c r="HO50" i="27"/>
  <c r="HO53" i="27"/>
  <c r="HO51" i="27"/>
  <c r="HO52" i="27"/>
  <c r="HO55" i="27"/>
  <c r="ID149" i="58"/>
  <c r="HP20" i="27"/>
  <c r="HP45" i="27"/>
  <c r="HP50" i="27"/>
  <c r="HP53" i="27"/>
  <c r="HP51" i="27"/>
  <c r="HP52" i="27"/>
  <c r="HP55" i="27"/>
  <c r="IE149" i="58"/>
  <c r="HQ20" i="27"/>
  <c r="HQ45" i="27"/>
  <c r="HQ50" i="27"/>
  <c r="HQ53" i="27"/>
  <c r="HQ51" i="27"/>
  <c r="HQ52" i="27"/>
  <c r="HQ55" i="27"/>
  <c r="IF149" i="58"/>
  <c r="HR20" i="27"/>
  <c r="HR45" i="27"/>
  <c r="HR50" i="27"/>
  <c r="HR53" i="27"/>
  <c r="HR51" i="27"/>
  <c r="HR52" i="27"/>
  <c r="HR55" i="27"/>
  <c r="IG149" i="58"/>
  <c r="HS20" i="27"/>
  <c r="HS45" i="27"/>
  <c r="HS50" i="27"/>
  <c r="HS53" i="27"/>
  <c r="HS51" i="27"/>
  <c r="HS52" i="27"/>
  <c r="HS55" i="27"/>
  <c r="IH149" i="58"/>
  <c r="HT20" i="27"/>
  <c r="HT45" i="27"/>
  <c r="HT50" i="27"/>
  <c r="HT53" i="27"/>
  <c r="HT51" i="27"/>
  <c r="HT52" i="27"/>
  <c r="HT55" i="27"/>
  <c r="II149" i="58"/>
  <c r="HU20" i="27"/>
  <c r="HU45" i="27"/>
  <c r="HU50" i="27"/>
  <c r="HU53" i="27"/>
  <c r="HU51" i="27"/>
  <c r="HU52" i="27"/>
  <c r="HU55" i="27"/>
  <c r="IJ149" i="58"/>
  <c r="HV20" i="27"/>
  <c r="HV45" i="27"/>
  <c r="HV50" i="27"/>
  <c r="HV53" i="27"/>
  <c r="HV51" i="27"/>
  <c r="HV52" i="27"/>
  <c r="HV55" i="27"/>
  <c r="IK149" i="58"/>
  <c r="HW20" i="27"/>
  <c r="HW45" i="27"/>
  <c r="HW50" i="27"/>
  <c r="HW53" i="27"/>
  <c r="HW51" i="27"/>
  <c r="HW52" i="27"/>
  <c r="HW55" i="27"/>
  <c r="IL149" i="58"/>
  <c r="HX20" i="27"/>
  <c r="HX45" i="27"/>
  <c r="HX50" i="27"/>
  <c r="HX53" i="27"/>
  <c r="HX51" i="27"/>
  <c r="HX52" i="27"/>
  <c r="HX55" i="27"/>
  <c r="IM149" i="58"/>
  <c r="HY20" i="27"/>
  <c r="HY45" i="27"/>
  <c r="HY50" i="27"/>
  <c r="HY53" i="27"/>
  <c r="HY51" i="27"/>
  <c r="HY52" i="27"/>
  <c r="HY55" i="27"/>
  <c r="IN149" i="58"/>
  <c r="HZ20" i="27"/>
  <c r="HZ45" i="27"/>
  <c r="HZ50" i="27"/>
  <c r="HZ53" i="27"/>
  <c r="HZ51" i="27"/>
  <c r="HZ52" i="27"/>
  <c r="HZ55" i="27"/>
  <c r="IO149" i="58"/>
  <c r="IA20" i="27"/>
  <c r="IA45" i="27"/>
  <c r="IA50" i="27"/>
  <c r="IA53" i="27"/>
  <c r="IA51" i="27"/>
  <c r="IA52" i="27"/>
  <c r="IA55" i="27"/>
  <c r="IP149" i="58"/>
  <c r="IB20" i="27"/>
  <c r="IB45" i="27"/>
  <c r="IB50" i="27"/>
  <c r="IB53" i="27"/>
  <c r="IB51" i="27"/>
  <c r="IB52" i="27"/>
  <c r="IB55" i="27"/>
  <c r="IQ149" i="58"/>
  <c r="IC20" i="27"/>
  <c r="IC45" i="27"/>
  <c r="IC50" i="27"/>
  <c r="IC53" i="27"/>
  <c r="IC51" i="27"/>
  <c r="IC52" i="27"/>
  <c r="IC55" i="27"/>
  <c r="IR149" i="58"/>
  <c r="ID20" i="27"/>
  <c r="ID45" i="27"/>
  <c r="ID50" i="27"/>
  <c r="ID53" i="27"/>
  <c r="ID51" i="27"/>
  <c r="ID52" i="27"/>
  <c r="ID55" i="27"/>
  <c r="IS149" i="58"/>
  <c r="IE20" i="27"/>
  <c r="IE45" i="27"/>
  <c r="IE50" i="27"/>
  <c r="IE53" i="27"/>
  <c r="IE51" i="27"/>
  <c r="IE52" i="27"/>
  <c r="IE55" i="27"/>
  <c r="IT149" i="58"/>
  <c r="IF20" i="27"/>
  <c r="IF45" i="27"/>
  <c r="IF50" i="27"/>
  <c r="IF53" i="27"/>
  <c r="IF51" i="27"/>
  <c r="IF52" i="27"/>
  <c r="IF55" i="27"/>
  <c r="IU149" i="58"/>
  <c r="IG20" i="27"/>
  <c r="IG45" i="27"/>
  <c r="IG50" i="27"/>
  <c r="IG53" i="27"/>
  <c r="IG51" i="27"/>
  <c r="IG52" i="27"/>
  <c r="IG55" i="27"/>
  <c r="IV149" i="58"/>
  <c r="IH20" i="27"/>
  <c r="IH45" i="27"/>
  <c r="IH50" i="27"/>
  <c r="IH53" i="27"/>
  <c r="IH51" i="27"/>
  <c r="IH52" i="27"/>
  <c r="IH55" i="27"/>
  <c r="IW149" i="58"/>
  <c r="II20" i="27"/>
  <c r="II45" i="27"/>
  <c r="II50" i="27"/>
  <c r="II53" i="27"/>
  <c r="II51" i="27"/>
  <c r="II52" i="27"/>
  <c r="II55" i="27"/>
  <c r="IX149" i="58"/>
  <c r="IJ20" i="27"/>
  <c r="IJ45" i="27"/>
  <c r="IJ50" i="27"/>
  <c r="IJ53" i="27"/>
  <c r="IJ51" i="27"/>
  <c r="IJ52" i="27"/>
  <c r="IJ55" i="27"/>
  <c r="IY149" i="58"/>
  <c r="IK20" i="27"/>
  <c r="IK45" i="27"/>
  <c r="IK50" i="27"/>
  <c r="IK53" i="27"/>
  <c r="IK51" i="27"/>
  <c r="IK52" i="27"/>
  <c r="IK55" i="27"/>
  <c r="IZ149" i="58"/>
  <c r="IL20" i="27"/>
  <c r="IL45" i="27"/>
  <c r="IL50" i="27"/>
  <c r="IL53" i="27"/>
  <c r="IL51" i="27"/>
  <c r="IL52" i="27"/>
  <c r="IL55" i="27"/>
  <c r="JA149" i="58"/>
  <c r="IM20" i="27"/>
  <c r="IM45" i="27"/>
  <c r="IM50" i="27"/>
  <c r="IM53" i="27"/>
  <c r="IM51" i="27"/>
  <c r="IM52" i="27"/>
  <c r="IM55" i="27"/>
  <c r="JB149" i="58"/>
  <c r="IN20" i="27"/>
  <c r="IN45" i="27"/>
  <c r="IN50" i="27"/>
  <c r="IN53" i="27"/>
  <c r="IN51" i="27"/>
  <c r="IN52" i="27"/>
  <c r="IN55" i="27"/>
  <c r="JC149" i="58"/>
  <c r="FJ50" i="27"/>
  <c r="FJ55" i="27"/>
  <c r="FY149" i="58"/>
  <c r="FK25" i="27"/>
  <c r="FK28" i="27"/>
  <c r="FK26" i="27"/>
  <c r="FK27" i="27"/>
  <c r="FK30" i="27"/>
  <c r="FZ148" i="58"/>
  <c r="FL25" i="27"/>
  <c r="FL28" i="27"/>
  <c r="FL26" i="27"/>
  <c r="FL27" i="27"/>
  <c r="FL30" i="27"/>
  <c r="GA148" i="58"/>
  <c r="FM25" i="27"/>
  <c r="FM28" i="27"/>
  <c r="FM26" i="27"/>
  <c r="FM27" i="27"/>
  <c r="FM30" i="27"/>
  <c r="GB148" i="58"/>
  <c r="FN25" i="27"/>
  <c r="FN28" i="27"/>
  <c r="FN26" i="27"/>
  <c r="FN27" i="27"/>
  <c r="FN30" i="27"/>
  <c r="GC148" i="58"/>
  <c r="FO25" i="27"/>
  <c r="FO28" i="27"/>
  <c r="FO26" i="27"/>
  <c r="FO27" i="27"/>
  <c r="FO30" i="27"/>
  <c r="GD148" i="58"/>
  <c r="FP25" i="27"/>
  <c r="FP28" i="27"/>
  <c r="FP26" i="27"/>
  <c r="FP27" i="27"/>
  <c r="FP30" i="27"/>
  <c r="GE148" i="58"/>
  <c r="FQ25" i="27"/>
  <c r="FQ28" i="27"/>
  <c r="FQ26" i="27"/>
  <c r="FQ27" i="27"/>
  <c r="FQ30" i="27"/>
  <c r="GF148" i="58"/>
  <c r="FR25" i="27"/>
  <c r="FR28" i="27"/>
  <c r="FR26" i="27"/>
  <c r="FR27" i="27"/>
  <c r="FR30" i="27"/>
  <c r="GG148" i="58"/>
  <c r="FS25" i="27"/>
  <c r="FS28" i="27"/>
  <c r="FS26" i="27"/>
  <c r="FS27" i="27"/>
  <c r="FS30" i="27"/>
  <c r="GH148" i="58"/>
  <c r="FT25" i="27"/>
  <c r="FT28" i="27"/>
  <c r="FT26" i="27"/>
  <c r="FT27" i="27"/>
  <c r="FT30" i="27"/>
  <c r="GI148" i="58"/>
  <c r="FU25" i="27"/>
  <c r="FU28" i="27"/>
  <c r="FU26" i="27"/>
  <c r="FU27" i="27"/>
  <c r="FU30" i="27"/>
  <c r="GJ148" i="58"/>
  <c r="FV25" i="27"/>
  <c r="FV28" i="27"/>
  <c r="FV26" i="27"/>
  <c r="FV27" i="27"/>
  <c r="FV30" i="27"/>
  <c r="GK148" i="58"/>
  <c r="FW25" i="27"/>
  <c r="FW28" i="27"/>
  <c r="FW26" i="27"/>
  <c r="FW27" i="27"/>
  <c r="FW30" i="27"/>
  <c r="GL148" i="58"/>
  <c r="FX25" i="27"/>
  <c r="FX28" i="27"/>
  <c r="FX26" i="27"/>
  <c r="FX27" i="27"/>
  <c r="FX30" i="27"/>
  <c r="GM148" i="58"/>
  <c r="FY25" i="27"/>
  <c r="FY28" i="27"/>
  <c r="FY26" i="27"/>
  <c r="FY27" i="27"/>
  <c r="FY30" i="27"/>
  <c r="GN148" i="58"/>
  <c r="FZ25" i="27"/>
  <c r="FZ28" i="27"/>
  <c r="FZ26" i="27"/>
  <c r="FZ27" i="27"/>
  <c r="FZ30" i="27"/>
  <c r="GO148" i="58"/>
  <c r="GA25" i="27"/>
  <c r="GA28" i="27"/>
  <c r="GA26" i="27"/>
  <c r="GA27" i="27"/>
  <c r="GA30" i="27"/>
  <c r="GP148" i="58"/>
  <c r="GB25" i="27"/>
  <c r="GB28" i="27"/>
  <c r="GB26" i="27"/>
  <c r="GB27" i="27"/>
  <c r="GB30" i="27"/>
  <c r="GQ148" i="58"/>
  <c r="GC25" i="27"/>
  <c r="GC28" i="27"/>
  <c r="GC26" i="27"/>
  <c r="GC27" i="27"/>
  <c r="GC30" i="27"/>
  <c r="GR148" i="58"/>
  <c r="GD25" i="27"/>
  <c r="GD28" i="27"/>
  <c r="GD26" i="27"/>
  <c r="GD27" i="27"/>
  <c r="GD30" i="27"/>
  <c r="GS148" i="58"/>
  <c r="GE25" i="27"/>
  <c r="GE28" i="27"/>
  <c r="GE26" i="27"/>
  <c r="GE27" i="27"/>
  <c r="GE30" i="27"/>
  <c r="GT148" i="58"/>
  <c r="GF25" i="27"/>
  <c r="GF28" i="27"/>
  <c r="GF26" i="27"/>
  <c r="GF27" i="27"/>
  <c r="GF30" i="27"/>
  <c r="GU148" i="58"/>
  <c r="GG25" i="27"/>
  <c r="GG28" i="27"/>
  <c r="GG26" i="27"/>
  <c r="GG27" i="27"/>
  <c r="GG30" i="27"/>
  <c r="GV148" i="58"/>
  <c r="GH25" i="27"/>
  <c r="GH28" i="27"/>
  <c r="GH26" i="27"/>
  <c r="GH27" i="27"/>
  <c r="GH30" i="27"/>
  <c r="GW148" i="58"/>
  <c r="GI25" i="27"/>
  <c r="GI28" i="27"/>
  <c r="GI26" i="27"/>
  <c r="GI27" i="27"/>
  <c r="GI30" i="27"/>
  <c r="GX148" i="58"/>
  <c r="GJ25" i="27"/>
  <c r="GJ28" i="27"/>
  <c r="GJ26" i="27"/>
  <c r="GJ27" i="27"/>
  <c r="GJ30" i="27"/>
  <c r="GY148" i="58"/>
  <c r="GK25" i="27"/>
  <c r="GK28" i="27"/>
  <c r="GK26" i="27"/>
  <c r="GK27" i="27"/>
  <c r="GK30" i="27"/>
  <c r="GZ148" i="58"/>
  <c r="GL25" i="27"/>
  <c r="GL28" i="27"/>
  <c r="GL26" i="27"/>
  <c r="GL27" i="27"/>
  <c r="GL30" i="27"/>
  <c r="HA148" i="58"/>
  <c r="GM25" i="27"/>
  <c r="GM28" i="27"/>
  <c r="GM26" i="27"/>
  <c r="GM27" i="27"/>
  <c r="GM30" i="27"/>
  <c r="HB148" i="58"/>
  <c r="GN25" i="27"/>
  <c r="GN28" i="27"/>
  <c r="GN26" i="27"/>
  <c r="GN27" i="27"/>
  <c r="GN30" i="27"/>
  <c r="HC148" i="58"/>
  <c r="GO25" i="27"/>
  <c r="GO28" i="27"/>
  <c r="GO26" i="27"/>
  <c r="GO27" i="27"/>
  <c r="GO30" i="27"/>
  <c r="HD148" i="58"/>
  <c r="GP25" i="27"/>
  <c r="GP28" i="27"/>
  <c r="GP26" i="27"/>
  <c r="GP27" i="27"/>
  <c r="GP30" i="27"/>
  <c r="HE148" i="58"/>
  <c r="GQ25" i="27"/>
  <c r="GQ28" i="27"/>
  <c r="GQ26" i="27"/>
  <c r="GQ27" i="27"/>
  <c r="GQ30" i="27"/>
  <c r="HF148" i="58"/>
  <c r="GR25" i="27"/>
  <c r="GR28" i="27"/>
  <c r="GR26" i="27"/>
  <c r="GR27" i="27"/>
  <c r="GR30" i="27"/>
  <c r="HG148" i="58"/>
  <c r="GS25" i="27"/>
  <c r="GS28" i="27"/>
  <c r="GS26" i="27"/>
  <c r="GS27" i="27"/>
  <c r="GS30" i="27"/>
  <c r="HH148" i="58"/>
  <c r="GT25" i="27"/>
  <c r="GT28" i="27"/>
  <c r="GT26" i="27"/>
  <c r="GT27" i="27"/>
  <c r="GT30" i="27"/>
  <c r="HI148" i="58"/>
  <c r="GU25" i="27"/>
  <c r="GU28" i="27"/>
  <c r="GU26" i="27"/>
  <c r="GU27" i="27"/>
  <c r="GU30" i="27"/>
  <c r="HJ148" i="58"/>
  <c r="GV25" i="27"/>
  <c r="GV28" i="27"/>
  <c r="GV26" i="27"/>
  <c r="GV27" i="27"/>
  <c r="GV30" i="27"/>
  <c r="HK148" i="58"/>
  <c r="GW25" i="27"/>
  <c r="GW28" i="27"/>
  <c r="GW26" i="27"/>
  <c r="GW27" i="27"/>
  <c r="GW30" i="27"/>
  <c r="HL148" i="58"/>
  <c r="GX25" i="27"/>
  <c r="GX28" i="27"/>
  <c r="GX26" i="27"/>
  <c r="GX27" i="27"/>
  <c r="GX30" i="27"/>
  <c r="HM148" i="58"/>
  <c r="GY25" i="27"/>
  <c r="GY28" i="27"/>
  <c r="GY26" i="27"/>
  <c r="GY27" i="27"/>
  <c r="GY30" i="27"/>
  <c r="HN148" i="58"/>
  <c r="GZ25" i="27"/>
  <c r="GZ28" i="27"/>
  <c r="GZ26" i="27"/>
  <c r="GZ27" i="27"/>
  <c r="GZ30" i="27"/>
  <c r="HO148" i="58"/>
  <c r="HA25" i="27"/>
  <c r="HA28" i="27"/>
  <c r="HA26" i="27"/>
  <c r="HA27" i="27"/>
  <c r="HA30" i="27"/>
  <c r="HP148" i="58"/>
  <c r="HB25" i="27"/>
  <c r="HB28" i="27"/>
  <c r="HB26" i="27"/>
  <c r="HB27" i="27"/>
  <c r="HB30" i="27"/>
  <c r="HQ148" i="58"/>
  <c r="HC25" i="27"/>
  <c r="HC28" i="27"/>
  <c r="HC26" i="27"/>
  <c r="HC27" i="27"/>
  <c r="HC30" i="27"/>
  <c r="HR148" i="58"/>
  <c r="HD25" i="27"/>
  <c r="HD28" i="27"/>
  <c r="HD26" i="27"/>
  <c r="HD27" i="27"/>
  <c r="HD30" i="27"/>
  <c r="HS148" i="58"/>
  <c r="HE25" i="27"/>
  <c r="HE28" i="27"/>
  <c r="HE26" i="27"/>
  <c r="HE27" i="27"/>
  <c r="HE30" i="27"/>
  <c r="HT148" i="58"/>
  <c r="HF25" i="27"/>
  <c r="HF28" i="27"/>
  <c r="HF26" i="27"/>
  <c r="HF27" i="27"/>
  <c r="HF30" i="27"/>
  <c r="HU148" i="58"/>
  <c r="HG25" i="27"/>
  <c r="HG28" i="27"/>
  <c r="HG26" i="27"/>
  <c r="HG27" i="27"/>
  <c r="HG30" i="27"/>
  <c r="HV148" i="58"/>
  <c r="HH25" i="27"/>
  <c r="HH28" i="27"/>
  <c r="HH26" i="27"/>
  <c r="HH27" i="27"/>
  <c r="HH30" i="27"/>
  <c r="HW148" i="58"/>
  <c r="HI25" i="27"/>
  <c r="HI28" i="27"/>
  <c r="HI26" i="27"/>
  <c r="HI27" i="27"/>
  <c r="HI30" i="27"/>
  <c r="HX148" i="58"/>
  <c r="HJ25" i="27"/>
  <c r="HJ28" i="27"/>
  <c r="HJ26" i="27"/>
  <c r="HJ27" i="27"/>
  <c r="HJ30" i="27"/>
  <c r="HY148" i="58"/>
  <c r="HK25" i="27"/>
  <c r="HK28" i="27"/>
  <c r="HK26" i="27"/>
  <c r="HK27" i="27"/>
  <c r="HK30" i="27"/>
  <c r="HZ148" i="58"/>
  <c r="HL25" i="27"/>
  <c r="HL28" i="27"/>
  <c r="HL26" i="27"/>
  <c r="HL27" i="27"/>
  <c r="HL30" i="27"/>
  <c r="IA148" i="58"/>
  <c r="HM25" i="27"/>
  <c r="HM28" i="27"/>
  <c r="HM26" i="27"/>
  <c r="HM27" i="27"/>
  <c r="HM30" i="27"/>
  <c r="IB148" i="58"/>
  <c r="HN25" i="27"/>
  <c r="HN28" i="27"/>
  <c r="HN26" i="27"/>
  <c r="HN27" i="27"/>
  <c r="HN30" i="27"/>
  <c r="IC148" i="58"/>
  <c r="HO25" i="27"/>
  <c r="HO28" i="27"/>
  <c r="HO26" i="27"/>
  <c r="HO27" i="27"/>
  <c r="HO30" i="27"/>
  <c r="ID148" i="58"/>
  <c r="HP25" i="27"/>
  <c r="HP28" i="27"/>
  <c r="HP26" i="27"/>
  <c r="HP27" i="27"/>
  <c r="HP30" i="27"/>
  <c r="IE148" i="58"/>
  <c r="HQ25" i="27"/>
  <c r="HQ28" i="27"/>
  <c r="HQ26" i="27"/>
  <c r="HQ27" i="27"/>
  <c r="HQ30" i="27"/>
  <c r="IF148" i="58"/>
  <c r="HR25" i="27"/>
  <c r="HR28" i="27"/>
  <c r="HR26" i="27"/>
  <c r="HR27" i="27"/>
  <c r="HR30" i="27"/>
  <c r="IG148" i="58"/>
  <c r="HS25" i="27"/>
  <c r="HS28" i="27"/>
  <c r="HS26" i="27"/>
  <c r="HS27" i="27"/>
  <c r="HS30" i="27"/>
  <c r="IH148" i="58"/>
  <c r="HT25" i="27"/>
  <c r="HT28" i="27"/>
  <c r="HT26" i="27"/>
  <c r="HT27" i="27"/>
  <c r="HT30" i="27"/>
  <c r="II148" i="58"/>
  <c r="HU25" i="27"/>
  <c r="HU28" i="27"/>
  <c r="HU26" i="27"/>
  <c r="HU27" i="27"/>
  <c r="HU30" i="27"/>
  <c r="IJ148" i="58"/>
  <c r="HV25" i="27"/>
  <c r="HV28" i="27"/>
  <c r="HV26" i="27"/>
  <c r="HV27" i="27"/>
  <c r="HV30" i="27"/>
  <c r="IK148" i="58"/>
  <c r="HW25" i="27"/>
  <c r="HW28" i="27"/>
  <c r="HW26" i="27"/>
  <c r="HW27" i="27"/>
  <c r="HW30" i="27"/>
  <c r="IL148" i="58"/>
  <c r="HX25" i="27"/>
  <c r="HX28" i="27"/>
  <c r="HX26" i="27"/>
  <c r="HX27" i="27"/>
  <c r="HX30" i="27"/>
  <c r="IM148" i="58"/>
  <c r="HY25" i="27"/>
  <c r="HY28" i="27"/>
  <c r="HY26" i="27"/>
  <c r="HY27" i="27"/>
  <c r="HY30" i="27"/>
  <c r="IN148" i="58"/>
  <c r="HZ25" i="27"/>
  <c r="HZ28" i="27"/>
  <c r="HZ26" i="27"/>
  <c r="HZ27" i="27"/>
  <c r="HZ30" i="27"/>
  <c r="IO148" i="58"/>
  <c r="IA25" i="27"/>
  <c r="IA28" i="27"/>
  <c r="IA26" i="27"/>
  <c r="IA27" i="27"/>
  <c r="IA30" i="27"/>
  <c r="IP148" i="58"/>
  <c r="IB25" i="27"/>
  <c r="IB28" i="27"/>
  <c r="IB26" i="27"/>
  <c r="IB27" i="27"/>
  <c r="IB30" i="27"/>
  <c r="IQ148" i="58"/>
  <c r="IC25" i="27"/>
  <c r="IC28" i="27"/>
  <c r="IC26" i="27"/>
  <c r="IC27" i="27"/>
  <c r="IC30" i="27"/>
  <c r="IR148" i="58"/>
  <c r="ID25" i="27"/>
  <c r="ID28" i="27"/>
  <c r="ID26" i="27"/>
  <c r="ID27" i="27"/>
  <c r="ID30" i="27"/>
  <c r="IS148" i="58"/>
  <c r="IE25" i="27"/>
  <c r="IE28" i="27"/>
  <c r="IE26" i="27"/>
  <c r="IE27" i="27"/>
  <c r="IE30" i="27"/>
  <c r="IT148" i="58"/>
  <c r="IF25" i="27"/>
  <c r="IF28" i="27"/>
  <c r="IF26" i="27"/>
  <c r="IF27" i="27"/>
  <c r="IF30" i="27"/>
  <c r="IU148" i="58"/>
  <c r="IG25" i="27"/>
  <c r="IG28" i="27"/>
  <c r="IG26" i="27"/>
  <c r="IG27" i="27"/>
  <c r="IG30" i="27"/>
  <c r="IV148" i="58"/>
  <c r="IH25" i="27"/>
  <c r="IH28" i="27"/>
  <c r="IH26" i="27"/>
  <c r="IH27" i="27"/>
  <c r="IH30" i="27"/>
  <c r="IW148" i="58"/>
  <c r="II25" i="27"/>
  <c r="II28" i="27"/>
  <c r="II26" i="27"/>
  <c r="II27" i="27"/>
  <c r="II30" i="27"/>
  <c r="IX148" i="58"/>
  <c r="IJ25" i="27"/>
  <c r="IJ28" i="27"/>
  <c r="IJ26" i="27"/>
  <c r="IJ27" i="27"/>
  <c r="IJ30" i="27"/>
  <c r="IY148" i="58"/>
  <c r="IK25" i="27"/>
  <c r="IK28" i="27"/>
  <c r="IK26" i="27"/>
  <c r="IK27" i="27"/>
  <c r="IK30" i="27"/>
  <c r="IZ148" i="58"/>
  <c r="IL25" i="27"/>
  <c r="IL28" i="27"/>
  <c r="IL26" i="27"/>
  <c r="IL27" i="27"/>
  <c r="IL30" i="27"/>
  <c r="JA148" i="58"/>
  <c r="IM25" i="27"/>
  <c r="IM28" i="27"/>
  <c r="IM26" i="27"/>
  <c r="IM27" i="27"/>
  <c r="IM30" i="27"/>
  <c r="JB148" i="58"/>
  <c r="IN25" i="27"/>
  <c r="IN28" i="27"/>
  <c r="IN26" i="27"/>
  <c r="IN27" i="27"/>
  <c r="IN30" i="27"/>
  <c r="JC148" i="58"/>
  <c r="FJ25" i="27"/>
  <c r="FJ30" i="27"/>
  <c r="FY148" i="58"/>
  <c r="IT120" i="58"/>
  <c r="IU120" i="58"/>
  <c r="IV120" i="58"/>
  <c r="IW120" i="58"/>
  <c r="IX120" i="58"/>
  <c r="IY120" i="58"/>
  <c r="IZ120" i="58"/>
  <c r="JA120" i="58"/>
  <c r="JB120" i="58"/>
  <c r="JC120" i="58"/>
  <c r="IS120" i="58"/>
  <c r="IH120" i="58"/>
  <c r="II120" i="58"/>
  <c r="IJ120" i="58"/>
  <c r="IK120" i="58"/>
  <c r="IL120" i="58"/>
  <c r="IM120" i="58"/>
  <c r="IN120" i="58"/>
  <c r="IO120" i="58"/>
  <c r="IP120" i="58"/>
  <c r="IQ120" i="58"/>
  <c r="IR120" i="58"/>
  <c r="IG120" i="58"/>
  <c r="HV120" i="58"/>
  <c r="HW120" i="58"/>
  <c r="HX120" i="58"/>
  <c r="HY120" i="58"/>
  <c r="HZ120" i="58"/>
  <c r="IA120" i="58"/>
  <c r="IB120" i="58"/>
  <c r="IC120" i="58"/>
  <c r="ID120" i="58"/>
  <c r="IE120" i="58"/>
  <c r="IF120" i="58"/>
  <c r="HU120" i="58"/>
  <c r="IT110" i="58"/>
  <c r="IU110" i="58"/>
  <c r="IV110" i="58"/>
  <c r="IW110" i="58"/>
  <c r="IX110" i="58"/>
  <c r="IY110" i="58"/>
  <c r="IZ110" i="58"/>
  <c r="JA110" i="58"/>
  <c r="JB110" i="58"/>
  <c r="JC110" i="58"/>
  <c r="IS110" i="58"/>
  <c r="IH110" i="58"/>
  <c r="II110" i="58"/>
  <c r="IJ110" i="58"/>
  <c r="IK110" i="58"/>
  <c r="IL110" i="58"/>
  <c r="IM110" i="58"/>
  <c r="IN110" i="58"/>
  <c r="IO110" i="58"/>
  <c r="IP110" i="58"/>
  <c r="IQ110" i="58"/>
  <c r="IR110" i="58"/>
  <c r="IG110" i="58"/>
  <c r="HV110" i="58"/>
  <c r="HW110" i="58"/>
  <c r="HX110" i="58"/>
  <c r="HY110" i="58"/>
  <c r="HZ110" i="58"/>
  <c r="IA110" i="58"/>
  <c r="IB110" i="58"/>
  <c r="IC110" i="58"/>
  <c r="ID110" i="58"/>
  <c r="IE110" i="58"/>
  <c r="IF110" i="58"/>
  <c r="HU110" i="58"/>
  <c r="FY109" i="58"/>
  <c r="FZ108" i="58"/>
  <c r="GA108" i="58"/>
  <c r="GB108" i="58"/>
  <c r="GC108" i="58"/>
  <c r="GD108" i="58"/>
  <c r="GE108" i="58"/>
  <c r="GF108" i="58"/>
  <c r="GG108" i="58"/>
  <c r="GH108" i="58"/>
  <c r="GI108" i="58"/>
  <c r="GJ108" i="58"/>
  <c r="GK108" i="58"/>
  <c r="GL108" i="58"/>
  <c r="GM108" i="58"/>
  <c r="GN108" i="58"/>
  <c r="GO108" i="58"/>
  <c r="GP108" i="58"/>
  <c r="GQ108" i="58"/>
  <c r="GR108" i="58"/>
  <c r="GS108" i="58"/>
  <c r="GT108" i="58"/>
  <c r="GU108" i="58"/>
  <c r="GV108" i="58"/>
  <c r="GW108" i="58"/>
  <c r="GX108" i="58"/>
  <c r="GY108" i="58"/>
  <c r="GZ108" i="58"/>
  <c r="HA108" i="58"/>
  <c r="HB108" i="58"/>
  <c r="HC108" i="58"/>
  <c r="HD108" i="58"/>
  <c r="HE108" i="58"/>
  <c r="HF108" i="58"/>
  <c r="HG108" i="58"/>
  <c r="HH108" i="58"/>
  <c r="HI108" i="58"/>
  <c r="HJ108" i="58"/>
  <c r="HK108" i="58"/>
  <c r="HL108" i="58"/>
  <c r="HM108" i="58"/>
  <c r="HN108" i="58"/>
  <c r="HO108" i="58"/>
  <c r="HP108" i="58"/>
  <c r="HQ108" i="58"/>
  <c r="HR108" i="58"/>
  <c r="HS108" i="58"/>
  <c r="HT108" i="58"/>
  <c r="HU108" i="58"/>
  <c r="HV108" i="58"/>
  <c r="HW108" i="58"/>
  <c r="HX108" i="58"/>
  <c r="HY108" i="58"/>
  <c r="HZ108" i="58"/>
  <c r="IA108" i="58"/>
  <c r="IB108" i="58"/>
  <c r="IC108" i="58"/>
  <c r="ID108" i="58"/>
  <c r="IE108" i="58"/>
  <c r="IF108" i="58"/>
  <c r="IG108" i="58"/>
  <c r="IH108" i="58"/>
  <c r="II108" i="58"/>
  <c r="IJ108" i="58"/>
  <c r="IK108" i="58"/>
  <c r="IL108" i="58"/>
  <c r="IM108" i="58"/>
  <c r="IN108" i="58"/>
  <c r="IO108" i="58"/>
  <c r="IP108" i="58"/>
  <c r="IQ108" i="58"/>
  <c r="IR108" i="58"/>
  <c r="IS108" i="58"/>
  <c r="IT108" i="58"/>
  <c r="IU108" i="58"/>
  <c r="IV108" i="58"/>
  <c r="IW108" i="58"/>
  <c r="IX108" i="58"/>
  <c r="IY108" i="58"/>
  <c r="IZ108" i="58"/>
  <c r="JA108" i="58"/>
  <c r="JB108" i="58"/>
  <c r="JC108" i="58"/>
  <c r="FY108" i="58"/>
  <c r="IT89" i="58"/>
  <c r="IU89" i="58"/>
  <c r="IV89" i="58"/>
  <c r="IW89" i="58"/>
  <c r="IX89" i="58"/>
  <c r="IY89" i="58"/>
  <c r="IZ89" i="58"/>
  <c r="JA89" i="58"/>
  <c r="JB89" i="58"/>
  <c r="JC89" i="58"/>
  <c r="IS89" i="58"/>
  <c r="IH89" i="58"/>
  <c r="II89" i="58"/>
  <c r="IJ89" i="58"/>
  <c r="IK89" i="58"/>
  <c r="IL89" i="58"/>
  <c r="IM89" i="58"/>
  <c r="IN89" i="58"/>
  <c r="IO89" i="58"/>
  <c r="IP89" i="58"/>
  <c r="IQ89" i="58"/>
  <c r="IR89" i="58"/>
  <c r="IG89" i="58"/>
  <c r="HV89" i="58"/>
  <c r="HW89" i="58"/>
  <c r="HX89" i="58"/>
  <c r="HY89" i="58"/>
  <c r="HZ89" i="58"/>
  <c r="IA89" i="58"/>
  <c r="IB89" i="58"/>
  <c r="IC89" i="58"/>
  <c r="ID89" i="58"/>
  <c r="IE89" i="58"/>
  <c r="IF89" i="58"/>
  <c r="HU89" i="58"/>
  <c r="HJ89" i="58"/>
  <c r="HK89" i="58"/>
  <c r="HL89" i="58"/>
  <c r="HM89" i="58"/>
  <c r="HN89" i="58"/>
  <c r="HO89" i="58"/>
  <c r="HP89" i="58"/>
  <c r="HQ89" i="58"/>
  <c r="HR89" i="58"/>
  <c r="HS89" i="58"/>
  <c r="HT89" i="58"/>
  <c r="HI89" i="58"/>
  <c r="GX89" i="58"/>
  <c r="GY89" i="58"/>
  <c r="GZ89" i="58"/>
  <c r="HA89" i="58"/>
  <c r="HB89" i="58"/>
  <c r="HC89" i="58"/>
  <c r="HD89" i="58"/>
  <c r="HE89" i="58"/>
  <c r="HF89" i="58"/>
  <c r="HG89" i="58"/>
  <c r="HH89" i="58"/>
  <c r="GW89" i="58"/>
  <c r="GL89" i="58"/>
  <c r="GM89" i="58"/>
  <c r="GN89" i="58"/>
  <c r="GO89" i="58"/>
  <c r="GP89" i="58"/>
  <c r="GQ89" i="58"/>
  <c r="GR89" i="58"/>
  <c r="GS89" i="58"/>
  <c r="GT89" i="58"/>
  <c r="GU89" i="58"/>
  <c r="GV89" i="58"/>
  <c r="GK89" i="58"/>
  <c r="FZ89" i="58"/>
  <c r="GA89" i="58"/>
  <c r="GB89" i="58"/>
  <c r="GC89" i="58"/>
  <c r="GD89" i="58"/>
  <c r="GE89" i="58"/>
  <c r="GF89" i="58"/>
  <c r="GG89" i="58"/>
  <c r="GH89" i="58"/>
  <c r="GI89" i="58"/>
  <c r="GJ89" i="58"/>
  <c r="FY89" i="58"/>
  <c r="IT73" i="58"/>
  <c r="IU73" i="58"/>
  <c r="IV73" i="58"/>
  <c r="IW73" i="58"/>
  <c r="IX73" i="58"/>
  <c r="IY73" i="58"/>
  <c r="IZ73" i="58"/>
  <c r="JA73" i="58"/>
  <c r="JB73" i="58"/>
  <c r="JC73" i="58"/>
  <c r="IS73" i="58"/>
  <c r="IH73" i="58"/>
  <c r="II73" i="58"/>
  <c r="IJ73" i="58"/>
  <c r="IK73" i="58"/>
  <c r="IL73" i="58"/>
  <c r="IM73" i="58"/>
  <c r="IN73" i="58"/>
  <c r="IO73" i="58"/>
  <c r="IP73" i="58"/>
  <c r="IQ73" i="58"/>
  <c r="IR73" i="58"/>
  <c r="IG73" i="58"/>
  <c r="HV73" i="58"/>
  <c r="HW73" i="58"/>
  <c r="HX73" i="58"/>
  <c r="HY73" i="58"/>
  <c r="HZ73" i="58"/>
  <c r="IA73" i="58"/>
  <c r="IB73" i="58"/>
  <c r="IC73" i="58"/>
  <c r="ID73" i="58"/>
  <c r="IE73" i="58"/>
  <c r="IF73" i="58"/>
  <c r="HU73" i="58"/>
  <c r="IT54" i="58"/>
  <c r="IU54" i="58"/>
  <c r="IV54" i="58"/>
  <c r="IW54" i="58"/>
  <c r="IX54" i="58"/>
  <c r="IY54" i="58"/>
  <c r="IZ54" i="58"/>
  <c r="JA54" i="58"/>
  <c r="JB54" i="58"/>
  <c r="JC54" i="58"/>
  <c r="IS54" i="58"/>
  <c r="IH54" i="58"/>
  <c r="II54" i="58"/>
  <c r="IJ54" i="58"/>
  <c r="IK54" i="58"/>
  <c r="IL54" i="58"/>
  <c r="IM54" i="58"/>
  <c r="IN54" i="58"/>
  <c r="IO54" i="58"/>
  <c r="IP54" i="58"/>
  <c r="IQ54" i="58"/>
  <c r="IR54" i="58"/>
  <c r="IG54" i="58"/>
  <c r="HV54" i="58"/>
  <c r="HW54" i="58"/>
  <c r="HX54" i="58"/>
  <c r="HY54" i="58"/>
  <c r="HZ54" i="58"/>
  <c r="IA54" i="58"/>
  <c r="IB54" i="58"/>
  <c r="IC54" i="58"/>
  <c r="ID54" i="58"/>
  <c r="IE54" i="58"/>
  <c r="IF54" i="58"/>
  <c r="HU54" i="58"/>
  <c r="IT52" i="58"/>
  <c r="IU52" i="58"/>
  <c r="IV52" i="58"/>
  <c r="IW52" i="58"/>
  <c r="IX52" i="58"/>
  <c r="IY52" i="58"/>
  <c r="IZ52" i="58"/>
  <c r="JA52" i="58"/>
  <c r="JB52" i="58"/>
  <c r="JC52" i="58"/>
  <c r="IS52" i="58"/>
  <c r="IH52" i="58"/>
  <c r="II52" i="58"/>
  <c r="IJ52" i="58"/>
  <c r="IK52" i="58"/>
  <c r="IL52" i="58"/>
  <c r="IM52" i="58"/>
  <c r="IN52" i="58"/>
  <c r="IO52" i="58"/>
  <c r="IP52" i="58"/>
  <c r="IQ52" i="58"/>
  <c r="IR52" i="58"/>
  <c r="IG52" i="58"/>
  <c r="HV52" i="58"/>
  <c r="HW52" i="58"/>
  <c r="HX52" i="58"/>
  <c r="HY52" i="58"/>
  <c r="HZ52" i="58"/>
  <c r="IA52" i="58"/>
  <c r="IB52" i="58"/>
  <c r="IC52" i="58"/>
  <c r="ID52" i="58"/>
  <c r="IE52" i="58"/>
  <c r="IF52" i="58"/>
  <c r="HU52" i="58"/>
  <c r="N219" i="29"/>
  <c r="M219" i="29"/>
  <c r="L219" i="29"/>
  <c r="K219" i="29"/>
  <c r="J219" i="29"/>
  <c r="I219" i="29"/>
  <c r="H219" i="29"/>
  <c r="G219" i="29"/>
  <c r="F219" i="29"/>
  <c r="E219" i="29"/>
  <c r="D219" i="29"/>
  <c r="C219" i="29"/>
  <c r="N210" i="29"/>
  <c r="M210" i="29"/>
  <c r="L210" i="29"/>
  <c r="K210" i="29"/>
  <c r="J210" i="29"/>
  <c r="I210" i="29"/>
  <c r="H210" i="29"/>
  <c r="G210" i="29"/>
  <c r="F210" i="29"/>
  <c r="E210" i="29"/>
  <c r="D210" i="29"/>
  <c r="C210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N192" i="29"/>
  <c r="M192" i="29"/>
  <c r="L192" i="29"/>
  <c r="K192" i="29"/>
  <c r="J192" i="29"/>
  <c r="I192" i="29"/>
  <c r="H192" i="29"/>
  <c r="G192" i="29"/>
  <c r="F192" i="29"/>
  <c r="E192" i="29"/>
  <c r="D192" i="29"/>
  <c r="C192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174" i="29"/>
  <c r="E174" i="29"/>
  <c r="F174" i="29"/>
  <c r="G174" i="29"/>
  <c r="H174" i="29"/>
  <c r="I174" i="29"/>
  <c r="J174" i="29"/>
  <c r="K174" i="29"/>
  <c r="L174" i="29"/>
  <c r="M174" i="29"/>
  <c r="N174" i="29"/>
  <c r="C174" i="29"/>
  <c r="E165" i="29"/>
  <c r="F165" i="29"/>
  <c r="G165" i="29"/>
  <c r="H165" i="29"/>
  <c r="I165" i="29"/>
  <c r="J165" i="29"/>
  <c r="K165" i="29"/>
  <c r="L165" i="29"/>
  <c r="M165" i="29"/>
  <c r="N165" i="29"/>
  <c r="D165" i="29"/>
  <c r="FI29" i="26"/>
  <c r="FI38" i="26"/>
  <c r="FI46" i="26"/>
  <c r="FY171" i="58"/>
  <c r="IN25" i="26"/>
  <c r="IM22" i="26"/>
  <c r="IM26" i="26"/>
  <c r="IM25" i="26"/>
  <c r="IL22" i="26"/>
  <c r="IL26" i="26"/>
  <c r="IL25" i="26"/>
  <c r="IK22" i="26"/>
  <c r="IK26" i="26"/>
  <c r="IK25" i="26"/>
  <c r="IJ22" i="26"/>
  <c r="IJ26" i="26"/>
  <c r="IJ25" i="26"/>
  <c r="II22" i="26"/>
  <c r="II26" i="26"/>
  <c r="II25" i="26"/>
  <c r="IH22" i="26"/>
  <c r="IH26" i="26"/>
  <c r="IH25" i="26"/>
  <c r="IG22" i="26"/>
  <c r="IG26" i="26"/>
  <c r="IG25" i="26"/>
  <c r="IF22" i="26"/>
  <c r="IF26" i="26"/>
  <c r="IF25" i="26"/>
  <c r="IE22" i="26"/>
  <c r="IE26" i="26"/>
  <c r="IE25" i="26"/>
  <c r="ID22" i="26"/>
  <c r="ID26" i="26"/>
  <c r="ID25" i="26"/>
  <c r="IC22" i="26"/>
  <c r="IC26" i="26"/>
  <c r="IC25" i="26"/>
  <c r="IB22" i="26"/>
  <c r="IB26" i="26"/>
  <c r="IB25" i="26"/>
  <c r="IA22" i="26"/>
  <c r="IA26" i="26"/>
  <c r="IA25" i="26"/>
  <c r="HZ22" i="26"/>
  <c r="HZ26" i="26"/>
  <c r="HZ25" i="26"/>
  <c r="HY22" i="26"/>
  <c r="HY26" i="26"/>
  <c r="HY25" i="26"/>
  <c r="HX22" i="26"/>
  <c r="HX26" i="26"/>
  <c r="HX25" i="26"/>
  <c r="HW22" i="26"/>
  <c r="HW26" i="26"/>
  <c r="HW25" i="26"/>
  <c r="HV22" i="26"/>
  <c r="HV26" i="26"/>
  <c r="HV25" i="26"/>
  <c r="HU22" i="26"/>
  <c r="HU26" i="26"/>
  <c r="HU25" i="26"/>
  <c r="HT22" i="26"/>
  <c r="HT26" i="26"/>
  <c r="HT25" i="26"/>
  <c r="HS22" i="26"/>
  <c r="HS26" i="26"/>
  <c r="HS25" i="26"/>
  <c r="HR22" i="26"/>
  <c r="HR26" i="26"/>
  <c r="HR25" i="26"/>
  <c r="HQ22" i="26"/>
  <c r="HQ26" i="26"/>
  <c r="HQ25" i="26"/>
  <c r="HP22" i="26"/>
  <c r="HP26" i="26"/>
  <c r="HP25" i="26"/>
  <c r="HO22" i="26"/>
  <c r="HO26" i="26"/>
  <c r="HO25" i="26"/>
  <c r="HN22" i="26"/>
  <c r="HN26" i="26"/>
  <c r="HN25" i="26"/>
  <c r="HM22" i="26"/>
  <c r="HM26" i="26"/>
  <c r="HM25" i="26"/>
  <c r="HL22" i="26"/>
  <c r="HL26" i="26"/>
  <c r="HL25" i="26"/>
  <c r="HK22" i="26"/>
  <c r="HK26" i="26"/>
  <c r="HK25" i="26"/>
  <c r="HJ22" i="26"/>
  <c r="HJ26" i="26"/>
  <c r="HJ25" i="26"/>
  <c r="HI22" i="26"/>
  <c r="HI26" i="26"/>
  <c r="HI25" i="26"/>
  <c r="HH22" i="26"/>
  <c r="HH26" i="26"/>
  <c r="HH25" i="26"/>
  <c r="HG22" i="26"/>
  <c r="HG26" i="26"/>
  <c r="HG25" i="26"/>
  <c r="HF22" i="26"/>
  <c r="HF26" i="26"/>
  <c r="HF25" i="26"/>
  <c r="HE22" i="26"/>
  <c r="HE26" i="26"/>
  <c r="HE25" i="26"/>
  <c r="HD22" i="26"/>
  <c r="HD26" i="26"/>
  <c r="HD25" i="26"/>
  <c r="HC22" i="26"/>
  <c r="HC26" i="26"/>
  <c r="HC25" i="26"/>
  <c r="HB22" i="26"/>
  <c r="HB26" i="26"/>
  <c r="HB25" i="26"/>
  <c r="HA22" i="26"/>
  <c r="HA26" i="26"/>
  <c r="HA25" i="26"/>
  <c r="GZ22" i="26"/>
  <c r="GZ26" i="26"/>
  <c r="GZ25" i="26"/>
  <c r="GY22" i="26"/>
  <c r="GY26" i="26"/>
  <c r="GY25" i="26"/>
  <c r="GX22" i="26"/>
  <c r="GX26" i="26"/>
  <c r="GX25" i="26"/>
  <c r="GW22" i="26"/>
  <c r="GW26" i="26"/>
  <c r="GW25" i="26"/>
  <c r="GV22" i="26"/>
  <c r="GV26" i="26"/>
  <c r="GV25" i="26"/>
  <c r="GU22" i="26"/>
  <c r="GU26" i="26"/>
  <c r="GU25" i="26"/>
  <c r="GT22" i="26"/>
  <c r="GT26" i="26"/>
  <c r="GT25" i="26"/>
  <c r="GS22" i="26"/>
  <c r="GS26" i="26"/>
  <c r="GS25" i="26"/>
  <c r="GR22" i="26"/>
  <c r="GR26" i="26"/>
  <c r="GR25" i="26"/>
  <c r="GQ22" i="26"/>
  <c r="GQ26" i="26"/>
  <c r="GQ25" i="26"/>
  <c r="GP22" i="26"/>
  <c r="GP26" i="26"/>
  <c r="GP25" i="26"/>
  <c r="GO22" i="26"/>
  <c r="GO26" i="26"/>
  <c r="GO25" i="26"/>
  <c r="GN22" i="26"/>
  <c r="GN26" i="26"/>
  <c r="GN25" i="26"/>
  <c r="GM22" i="26"/>
  <c r="GM26" i="26"/>
  <c r="GM25" i="26"/>
  <c r="GL22" i="26"/>
  <c r="GL26" i="26"/>
  <c r="GL25" i="26"/>
  <c r="GK22" i="26"/>
  <c r="GK26" i="26"/>
  <c r="GK25" i="26"/>
  <c r="GJ22" i="26"/>
  <c r="GJ26" i="26"/>
  <c r="GJ25" i="26"/>
  <c r="GI22" i="26"/>
  <c r="GI26" i="26"/>
  <c r="GI25" i="26"/>
  <c r="GH22" i="26"/>
  <c r="GH26" i="26"/>
  <c r="GH25" i="26"/>
  <c r="GG22" i="26"/>
  <c r="GG26" i="26"/>
  <c r="GG25" i="26"/>
  <c r="GF22" i="26"/>
  <c r="GF26" i="26"/>
  <c r="GF25" i="26"/>
  <c r="GE22" i="26"/>
  <c r="GE26" i="26"/>
  <c r="GE25" i="26"/>
  <c r="GD22" i="26"/>
  <c r="GD26" i="26"/>
  <c r="GD25" i="26"/>
  <c r="GC22" i="26"/>
  <c r="GC26" i="26"/>
  <c r="GC25" i="26"/>
  <c r="GB22" i="26"/>
  <c r="GB26" i="26"/>
  <c r="GB25" i="26"/>
  <c r="GA22" i="26"/>
  <c r="GA26" i="26"/>
  <c r="GA25" i="26"/>
  <c r="FZ22" i="26"/>
  <c r="FZ26" i="26"/>
  <c r="FZ25" i="26"/>
  <c r="FY22" i="26"/>
  <c r="FY26" i="26"/>
  <c r="FY25" i="26"/>
  <c r="FX22" i="26"/>
  <c r="FX26" i="26"/>
  <c r="FX25" i="26"/>
  <c r="FW22" i="26"/>
  <c r="FW26" i="26"/>
  <c r="FW25" i="26"/>
  <c r="FV22" i="26"/>
  <c r="FV26" i="26"/>
  <c r="FV25" i="26"/>
  <c r="FU22" i="26"/>
  <c r="FU26" i="26"/>
  <c r="FU25" i="26"/>
  <c r="FT22" i="26"/>
  <c r="FT26" i="26"/>
  <c r="FT25" i="26"/>
  <c r="FS22" i="26"/>
  <c r="FS26" i="26"/>
  <c r="FS25" i="26"/>
  <c r="FR22" i="26"/>
  <c r="FR26" i="26"/>
  <c r="FR25" i="26"/>
  <c r="FQ22" i="26"/>
  <c r="FQ26" i="26"/>
  <c r="FQ25" i="26"/>
  <c r="FP22" i="26"/>
  <c r="FP26" i="26"/>
  <c r="FP25" i="26"/>
  <c r="FO22" i="26"/>
  <c r="FO26" i="26"/>
  <c r="FO25" i="26"/>
  <c r="FN22" i="26"/>
  <c r="FN26" i="26"/>
  <c r="FN25" i="26"/>
  <c r="FM22" i="26"/>
  <c r="FM26" i="26"/>
  <c r="FM25" i="26"/>
  <c r="FL22" i="26"/>
  <c r="FL26" i="26"/>
  <c r="FL25" i="26"/>
  <c r="FK22" i="26"/>
  <c r="FK26" i="26"/>
  <c r="FK25" i="26"/>
  <c r="FJ22" i="26"/>
  <c r="FJ26" i="26"/>
  <c r="FJ25" i="26"/>
  <c r="IN22" i="26"/>
  <c r="IN26" i="26"/>
  <c r="D117" i="25"/>
  <c r="D453" i="25"/>
  <c r="BB44" i="43"/>
  <c r="BA44" i="43"/>
  <c r="C48" i="47"/>
  <c r="D48" i="47"/>
  <c r="E48" i="47"/>
  <c r="F48" i="47"/>
  <c r="G48" i="47"/>
  <c r="H48" i="47"/>
  <c r="I48" i="47"/>
  <c r="J48" i="47"/>
  <c r="K48" i="47"/>
  <c r="L48" i="47"/>
  <c r="FZ200" i="58"/>
  <c r="GA200" i="58"/>
  <c r="GB200" i="58"/>
  <c r="GC200" i="58"/>
  <c r="GD200" i="58"/>
  <c r="GE200" i="58"/>
  <c r="GF200" i="58"/>
  <c r="GG200" i="58"/>
  <c r="GH200" i="58"/>
  <c r="GI200" i="58"/>
  <c r="GJ200" i="58"/>
  <c r="GK200" i="58"/>
  <c r="GL200" i="58"/>
  <c r="GM200" i="58"/>
  <c r="GN200" i="58"/>
  <c r="GO200" i="58"/>
  <c r="GP200" i="58"/>
  <c r="GQ200" i="58"/>
  <c r="GR200" i="58"/>
  <c r="GS200" i="58"/>
  <c r="GT200" i="58"/>
  <c r="GU200" i="58"/>
  <c r="GV200" i="58"/>
  <c r="GW200" i="58"/>
  <c r="GX200" i="58"/>
  <c r="GY200" i="58"/>
  <c r="GZ200" i="58"/>
  <c r="HA200" i="58"/>
  <c r="HB200" i="58"/>
  <c r="HC200" i="58"/>
  <c r="HD200" i="58"/>
  <c r="HE200" i="58"/>
  <c r="HF200" i="58"/>
  <c r="HG200" i="58"/>
  <c r="HH200" i="58"/>
  <c r="HI200" i="58"/>
  <c r="HJ200" i="58"/>
  <c r="HK200" i="58"/>
  <c r="HL200" i="58"/>
  <c r="HM200" i="58"/>
  <c r="HN200" i="58"/>
  <c r="HO200" i="58"/>
  <c r="HP200" i="58"/>
  <c r="HQ200" i="58"/>
  <c r="HR200" i="58"/>
  <c r="HS200" i="58"/>
  <c r="HT200" i="58"/>
  <c r="HU200" i="58"/>
  <c r="HV200" i="58"/>
  <c r="HW200" i="58"/>
  <c r="HX200" i="58"/>
  <c r="HY200" i="58"/>
  <c r="HZ200" i="58"/>
  <c r="IA200" i="58"/>
  <c r="IB200" i="58"/>
  <c r="IC200" i="58"/>
  <c r="ID200" i="58"/>
  <c r="IE200" i="58"/>
  <c r="IF200" i="58"/>
  <c r="IG200" i="58"/>
  <c r="IH200" i="58"/>
  <c r="II200" i="58"/>
  <c r="IJ200" i="58"/>
  <c r="IK200" i="58"/>
  <c r="IL200" i="58"/>
  <c r="IM200" i="58"/>
  <c r="IN200" i="58"/>
  <c r="IO200" i="58"/>
  <c r="IP200" i="58"/>
  <c r="IQ200" i="58"/>
  <c r="IR200" i="58"/>
  <c r="IS200" i="58"/>
  <c r="IT200" i="58"/>
  <c r="IU200" i="58"/>
  <c r="IV200" i="58"/>
  <c r="IW200" i="58"/>
  <c r="IX200" i="58"/>
  <c r="IY200" i="58"/>
  <c r="IZ200" i="58"/>
  <c r="JA200" i="58"/>
  <c r="JB200" i="58"/>
  <c r="JC200" i="58"/>
  <c r="FZ196" i="58"/>
  <c r="GA196" i="58"/>
  <c r="GB196" i="58"/>
  <c r="GC196" i="58"/>
  <c r="GD196" i="58"/>
  <c r="GE196" i="58"/>
  <c r="GF196" i="58"/>
  <c r="GG196" i="58"/>
  <c r="GH196" i="58"/>
  <c r="GI196" i="58"/>
  <c r="GJ196" i="58"/>
  <c r="GK196" i="58"/>
  <c r="GL196" i="58"/>
  <c r="GM196" i="58"/>
  <c r="GN196" i="58"/>
  <c r="GO196" i="58"/>
  <c r="GP196" i="58"/>
  <c r="GQ196" i="58"/>
  <c r="GR196" i="58"/>
  <c r="GS196" i="58"/>
  <c r="GT196" i="58"/>
  <c r="GU196" i="58"/>
  <c r="GV196" i="58"/>
  <c r="GW196" i="58"/>
  <c r="GX196" i="58"/>
  <c r="GY196" i="58"/>
  <c r="GZ196" i="58"/>
  <c r="HA196" i="58"/>
  <c r="HB196" i="58"/>
  <c r="HC196" i="58"/>
  <c r="HD196" i="58"/>
  <c r="HE196" i="58"/>
  <c r="HF196" i="58"/>
  <c r="HG196" i="58"/>
  <c r="HH196" i="58"/>
  <c r="HI196" i="58"/>
  <c r="HJ196" i="58"/>
  <c r="HK196" i="58"/>
  <c r="HL196" i="58"/>
  <c r="HM196" i="58"/>
  <c r="HN196" i="58"/>
  <c r="HO196" i="58"/>
  <c r="HP196" i="58"/>
  <c r="HQ196" i="58"/>
  <c r="HR196" i="58"/>
  <c r="HS196" i="58"/>
  <c r="HT196" i="58"/>
  <c r="HU196" i="58"/>
  <c r="HV196" i="58"/>
  <c r="HW196" i="58"/>
  <c r="HX196" i="58"/>
  <c r="HY196" i="58"/>
  <c r="HZ196" i="58"/>
  <c r="IA196" i="58"/>
  <c r="IB196" i="58"/>
  <c r="IC196" i="58"/>
  <c r="ID196" i="58"/>
  <c r="IE196" i="58"/>
  <c r="IF196" i="58"/>
  <c r="IG196" i="58"/>
  <c r="IH196" i="58"/>
  <c r="II196" i="58"/>
  <c r="IJ196" i="58"/>
  <c r="IK196" i="58"/>
  <c r="IL196" i="58"/>
  <c r="IM196" i="58"/>
  <c r="IN196" i="58"/>
  <c r="IO196" i="58"/>
  <c r="IP196" i="58"/>
  <c r="IQ196" i="58"/>
  <c r="IR196" i="58"/>
  <c r="IS196" i="58"/>
  <c r="IT196" i="58"/>
  <c r="IU196" i="58"/>
  <c r="IV196" i="58"/>
  <c r="IW196" i="58"/>
  <c r="IX196" i="58"/>
  <c r="IY196" i="58"/>
  <c r="IZ196" i="58"/>
  <c r="JA196" i="58"/>
  <c r="JB196" i="58"/>
  <c r="JC196" i="58"/>
  <c r="FZ194" i="58"/>
  <c r="GA194" i="58"/>
  <c r="GB194" i="58"/>
  <c r="GC194" i="58"/>
  <c r="GD194" i="58"/>
  <c r="GE194" i="58"/>
  <c r="GF194" i="58"/>
  <c r="GG194" i="58"/>
  <c r="GH194" i="58"/>
  <c r="GI194" i="58"/>
  <c r="GJ194" i="58"/>
  <c r="GK194" i="58"/>
  <c r="GL194" i="58"/>
  <c r="GM194" i="58"/>
  <c r="GN194" i="58"/>
  <c r="GO194" i="58"/>
  <c r="GP194" i="58"/>
  <c r="GQ194" i="58"/>
  <c r="GR194" i="58"/>
  <c r="GS194" i="58"/>
  <c r="GT194" i="58"/>
  <c r="GU194" i="58"/>
  <c r="GV194" i="58"/>
  <c r="GW194" i="58"/>
  <c r="GX194" i="58"/>
  <c r="GY194" i="58"/>
  <c r="GZ194" i="58"/>
  <c r="HA194" i="58"/>
  <c r="HB194" i="58"/>
  <c r="HC194" i="58"/>
  <c r="HD194" i="58"/>
  <c r="HE194" i="58"/>
  <c r="HF194" i="58"/>
  <c r="HG194" i="58"/>
  <c r="HH194" i="58"/>
  <c r="HI194" i="58"/>
  <c r="HJ194" i="58"/>
  <c r="HK194" i="58"/>
  <c r="HL194" i="58"/>
  <c r="HM194" i="58"/>
  <c r="HN194" i="58"/>
  <c r="HO194" i="58"/>
  <c r="HP194" i="58"/>
  <c r="HQ194" i="58"/>
  <c r="HR194" i="58"/>
  <c r="HS194" i="58"/>
  <c r="HT194" i="58"/>
  <c r="HU194" i="58"/>
  <c r="HV194" i="58"/>
  <c r="HW194" i="58"/>
  <c r="HX194" i="58"/>
  <c r="HY194" i="58"/>
  <c r="HZ194" i="58"/>
  <c r="IA194" i="58"/>
  <c r="IB194" i="58"/>
  <c r="IC194" i="58"/>
  <c r="ID194" i="58"/>
  <c r="IE194" i="58"/>
  <c r="IF194" i="58"/>
  <c r="IG194" i="58"/>
  <c r="IH194" i="58"/>
  <c r="II194" i="58"/>
  <c r="IJ194" i="58"/>
  <c r="IK194" i="58"/>
  <c r="IL194" i="58"/>
  <c r="IM194" i="58"/>
  <c r="IN194" i="58"/>
  <c r="IO194" i="58"/>
  <c r="IP194" i="58"/>
  <c r="IQ194" i="58"/>
  <c r="IR194" i="58"/>
  <c r="IS194" i="58"/>
  <c r="IT194" i="58"/>
  <c r="IU194" i="58"/>
  <c r="IV194" i="58"/>
  <c r="IW194" i="58"/>
  <c r="IX194" i="58"/>
  <c r="IY194" i="58"/>
  <c r="IZ194" i="58"/>
  <c r="JA194" i="58"/>
  <c r="JB194" i="58"/>
  <c r="JC194" i="58"/>
  <c r="FZ193" i="58"/>
  <c r="GA193" i="58"/>
  <c r="GB193" i="58"/>
  <c r="GC193" i="58"/>
  <c r="GD193" i="58"/>
  <c r="GE193" i="58"/>
  <c r="GF193" i="58"/>
  <c r="GG193" i="58"/>
  <c r="GH193" i="58"/>
  <c r="GI193" i="58"/>
  <c r="GJ193" i="58"/>
  <c r="GK193" i="58"/>
  <c r="GL193" i="58"/>
  <c r="GM193" i="58"/>
  <c r="GN193" i="58"/>
  <c r="GO193" i="58"/>
  <c r="GP193" i="58"/>
  <c r="GQ193" i="58"/>
  <c r="GR193" i="58"/>
  <c r="GS193" i="58"/>
  <c r="GT193" i="58"/>
  <c r="GU193" i="58"/>
  <c r="GV193" i="58"/>
  <c r="GW193" i="58"/>
  <c r="GX193" i="58"/>
  <c r="GY193" i="58"/>
  <c r="GZ193" i="58"/>
  <c r="HA193" i="58"/>
  <c r="HB193" i="58"/>
  <c r="HC193" i="58"/>
  <c r="HD193" i="58"/>
  <c r="HE193" i="58"/>
  <c r="HF193" i="58"/>
  <c r="HG193" i="58"/>
  <c r="HH193" i="58"/>
  <c r="HI193" i="58"/>
  <c r="HJ193" i="58"/>
  <c r="HK193" i="58"/>
  <c r="HL193" i="58"/>
  <c r="HM193" i="58"/>
  <c r="HN193" i="58"/>
  <c r="HO193" i="58"/>
  <c r="HP193" i="58"/>
  <c r="HQ193" i="58"/>
  <c r="HR193" i="58"/>
  <c r="HS193" i="58"/>
  <c r="HT193" i="58"/>
  <c r="HU193" i="58"/>
  <c r="HV193" i="58"/>
  <c r="HW193" i="58"/>
  <c r="HX193" i="58"/>
  <c r="HY193" i="58"/>
  <c r="HZ193" i="58"/>
  <c r="IA193" i="58"/>
  <c r="IB193" i="58"/>
  <c r="IC193" i="58"/>
  <c r="ID193" i="58"/>
  <c r="IE193" i="58"/>
  <c r="IF193" i="58"/>
  <c r="IG193" i="58"/>
  <c r="IH193" i="58"/>
  <c r="II193" i="58"/>
  <c r="IJ193" i="58"/>
  <c r="IK193" i="58"/>
  <c r="IL193" i="58"/>
  <c r="IM193" i="58"/>
  <c r="IN193" i="58"/>
  <c r="IO193" i="58"/>
  <c r="IP193" i="58"/>
  <c r="IQ193" i="58"/>
  <c r="IR193" i="58"/>
  <c r="IS193" i="58"/>
  <c r="IT193" i="58"/>
  <c r="IU193" i="58"/>
  <c r="IV193" i="58"/>
  <c r="IW193" i="58"/>
  <c r="IX193" i="58"/>
  <c r="IY193" i="58"/>
  <c r="IZ193" i="58"/>
  <c r="JA193" i="58"/>
  <c r="JB193" i="58"/>
  <c r="JC193" i="58"/>
  <c r="FZ190" i="58"/>
  <c r="GA190" i="58"/>
  <c r="GB190" i="58"/>
  <c r="GC190" i="58"/>
  <c r="GD190" i="58"/>
  <c r="GE190" i="58"/>
  <c r="GF190" i="58"/>
  <c r="GG190" i="58"/>
  <c r="GH190" i="58"/>
  <c r="GI190" i="58"/>
  <c r="GJ190" i="58"/>
  <c r="GK190" i="58"/>
  <c r="GL190" i="58"/>
  <c r="GM190" i="58"/>
  <c r="GN190" i="58"/>
  <c r="GO190" i="58"/>
  <c r="GP190" i="58"/>
  <c r="GQ190" i="58"/>
  <c r="GR190" i="58"/>
  <c r="GS190" i="58"/>
  <c r="GT190" i="58"/>
  <c r="GU190" i="58"/>
  <c r="GV190" i="58"/>
  <c r="GW190" i="58"/>
  <c r="GX190" i="58"/>
  <c r="GY190" i="58"/>
  <c r="GZ190" i="58"/>
  <c r="HA190" i="58"/>
  <c r="HB190" i="58"/>
  <c r="HC190" i="58"/>
  <c r="HD190" i="58"/>
  <c r="HE190" i="58"/>
  <c r="HF190" i="58"/>
  <c r="HG190" i="58"/>
  <c r="HH190" i="58"/>
  <c r="HI190" i="58"/>
  <c r="HJ190" i="58"/>
  <c r="HK190" i="58"/>
  <c r="HL190" i="58"/>
  <c r="HM190" i="58"/>
  <c r="HN190" i="58"/>
  <c r="HO190" i="58"/>
  <c r="HP190" i="58"/>
  <c r="HQ190" i="58"/>
  <c r="HR190" i="58"/>
  <c r="HS190" i="58"/>
  <c r="HT190" i="58"/>
  <c r="HU190" i="58"/>
  <c r="HV190" i="58"/>
  <c r="HW190" i="58"/>
  <c r="HX190" i="58"/>
  <c r="HY190" i="58"/>
  <c r="HZ190" i="58"/>
  <c r="IA190" i="58"/>
  <c r="IB190" i="58"/>
  <c r="IC190" i="58"/>
  <c r="ID190" i="58"/>
  <c r="IE190" i="58"/>
  <c r="IF190" i="58"/>
  <c r="IG190" i="58"/>
  <c r="IH190" i="58"/>
  <c r="II190" i="58"/>
  <c r="IJ190" i="58"/>
  <c r="IK190" i="58"/>
  <c r="IL190" i="58"/>
  <c r="IM190" i="58"/>
  <c r="IN190" i="58"/>
  <c r="IO190" i="58"/>
  <c r="IP190" i="58"/>
  <c r="IQ190" i="58"/>
  <c r="IR190" i="58"/>
  <c r="IS190" i="58"/>
  <c r="IT190" i="58"/>
  <c r="IU190" i="58"/>
  <c r="IV190" i="58"/>
  <c r="IW190" i="58"/>
  <c r="IX190" i="58"/>
  <c r="IY190" i="58"/>
  <c r="IZ190" i="58"/>
  <c r="JA190" i="58"/>
  <c r="JB190" i="58"/>
  <c r="JC190" i="58"/>
  <c r="FZ189" i="58"/>
  <c r="GA189" i="58"/>
  <c r="GB189" i="58"/>
  <c r="GC189" i="58"/>
  <c r="GD189" i="58"/>
  <c r="GE189" i="58"/>
  <c r="GF189" i="58"/>
  <c r="GG189" i="58"/>
  <c r="GH189" i="58"/>
  <c r="GI189" i="58"/>
  <c r="GJ189" i="58"/>
  <c r="GK189" i="58"/>
  <c r="GL189" i="58"/>
  <c r="GM189" i="58"/>
  <c r="GN189" i="58"/>
  <c r="GO189" i="58"/>
  <c r="GP189" i="58"/>
  <c r="GQ189" i="58"/>
  <c r="GR189" i="58"/>
  <c r="GS189" i="58"/>
  <c r="GT189" i="58"/>
  <c r="GU189" i="58"/>
  <c r="GV189" i="58"/>
  <c r="GW189" i="58"/>
  <c r="GX189" i="58"/>
  <c r="GY189" i="58"/>
  <c r="GZ189" i="58"/>
  <c r="HA189" i="58"/>
  <c r="HB189" i="58"/>
  <c r="HC189" i="58"/>
  <c r="HD189" i="58"/>
  <c r="HE189" i="58"/>
  <c r="HF189" i="58"/>
  <c r="HG189" i="58"/>
  <c r="HH189" i="58"/>
  <c r="HI189" i="58"/>
  <c r="HJ189" i="58"/>
  <c r="HK189" i="58"/>
  <c r="HL189" i="58"/>
  <c r="HM189" i="58"/>
  <c r="HN189" i="58"/>
  <c r="HO189" i="58"/>
  <c r="HP189" i="58"/>
  <c r="HQ189" i="58"/>
  <c r="HR189" i="58"/>
  <c r="HS189" i="58"/>
  <c r="HT189" i="58"/>
  <c r="HU189" i="58"/>
  <c r="HV189" i="58"/>
  <c r="HW189" i="58"/>
  <c r="HX189" i="58"/>
  <c r="HY189" i="58"/>
  <c r="HZ189" i="58"/>
  <c r="IA189" i="58"/>
  <c r="IB189" i="58"/>
  <c r="IC189" i="58"/>
  <c r="ID189" i="58"/>
  <c r="IE189" i="58"/>
  <c r="IF189" i="58"/>
  <c r="IG189" i="58"/>
  <c r="IH189" i="58"/>
  <c r="II189" i="58"/>
  <c r="IJ189" i="58"/>
  <c r="IK189" i="58"/>
  <c r="IL189" i="58"/>
  <c r="IM189" i="58"/>
  <c r="IN189" i="58"/>
  <c r="IO189" i="58"/>
  <c r="IP189" i="58"/>
  <c r="IQ189" i="58"/>
  <c r="IR189" i="58"/>
  <c r="IS189" i="58"/>
  <c r="IT189" i="58"/>
  <c r="IU189" i="58"/>
  <c r="IV189" i="58"/>
  <c r="IW189" i="58"/>
  <c r="IX189" i="58"/>
  <c r="IY189" i="58"/>
  <c r="IZ189" i="58"/>
  <c r="JA189" i="58"/>
  <c r="JB189" i="58"/>
  <c r="JC189" i="58"/>
  <c r="FZ187" i="58"/>
  <c r="GA187" i="58"/>
  <c r="GB187" i="58"/>
  <c r="GC187" i="58"/>
  <c r="GD187" i="58"/>
  <c r="GE187" i="58"/>
  <c r="GF187" i="58"/>
  <c r="GG187" i="58"/>
  <c r="GH187" i="58"/>
  <c r="GI187" i="58"/>
  <c r="GJ187" i="58"/>
  <c r="GK187" i="58"/>
  <c r="GL187" i="58"/>
  <c r="GM187" i="58"/>
  <c r="GN187" i="58"/>
  <c r="GO187" i="58"/>
  <c r="GP187" i="58"/>
  <c r="GQ187" i="58"/>
  <c r="GR187" i="58"/>
  <c r="GS187" i="58"/>
  <c r="GT187" i="58"/>
  <c r="GU187" i="58"/>
  <c r="GV187" i="58"/>
  <c r="GW187" i="58"/>
  <c r="GX187" i="58"/>
  <c r="GY187" i="58"/>
  <c r="GZ187" i="58"/>
  <c r="HA187" i="58"/>
  <c r="HB187" i="58"/>
  <c r="HC187" i="58"/>
  <c r="HD187" i="58"/>
  <c r="HE187" i="58"/>
  <c r="HF187" i="58"/>
  <c r="HG187" i="58"/>
  <c r="HH187" i="58"/>
  <c r="HI187" i="58"/>
  <c r="HJ187" i="58"/>
  <c r="HK187" i="58"/>
  <c r="HL187" i="58"/>
  <c r="HM187" i="58"/>
  <c r="HN187" i="58"/>
  <c r="HO187" i="58"/>
  <c r="HP187" i="58"/>
  <c r="HQ187" i="58"/>
  <c r="HR187" i="58"/>
  <c r="HS187" i="58"/>
  <c r="HT187" i="58"/>
  <c r="HU187" i="58"/>
  <c r="HV187" i="58"/>
  <c r="HW187" i="58"/>
  <c r="HX187" i="58"/>
  <c r="HY187" i="58"/>
  <c r="HZ187" i="58"/>
  <c r="IA187" i="58"/>
  <c r="IB187" i="58"/>
  <c r="IC187" i="58"/>
  <c r="ID187" i="58"/>
  <c r="IE187" i="58"/>
  <c r="IF187" i="58"/>
  <c r="IG187" i="58"/>
  <c r="IH187" i="58"/>
  <c r="II187" i="58"/>
  <c r="IJ187" i="58"/>
  <c r="IK187" i="58"/>
  <c r="IL187" i="58"/>
  <c r="IM187" i="58"/>
  <c r="IN187" i="58"/>
  <c r="IO187" i="58"/>
  <c r="IP187" i="58"/>
  <c r="IQ187" i="58"/>
  <c r="IR187" i="58"/>
  <c r="IS187" i="58"/>
  <c r="IT187" i="58"/>
  <c r="IU187" i="58"/>
  <c r="IV187" i="58"/>
  <c r="IW187" i="58"/>
  <c r="IX187" i="58"/>
  <c r="IY187" i="58"/>
  <c r="IZ187" i="58"/>
  <c r="JA187" i="58"/>
  <c r="JB187" i="58"/>
  <c r="JC187" i="58"/>
  <c r="FZ186" i="58"/>
  <c r="GA186" i="58"/>
  <c r="GB186" i="58"/>
  <c r="GC186" i="58"/>
  <c r="GD186" i="58"/>
  <c r="GE186" i="58"/>
  <c r="GF186" i="58"/>
  <c r="GG186" i="58"/>
  <c r="GH186" i="58"/>
  <c r="GI186" i="58"/>
  <c r="GJ186" i="58"/>
  <c r="GK186" i="58"/>
  <c r="GL186" i="58"/>
  <c r="GM186" i="58"/>
  <c r="GN186" i="58"/>
  <c r="GO186" i="58"/>
  <c r="GP186" i="58"/>
  <c r="GQ186" i="58"/>
  <c r="GR186" i="58"/>
  <c r="GS186" i="58"/>
  <c r="GT186" i="58"/>
  <c r="GU186" i="58"/>
  <c r="GV186" i="58"/>
  <c r="GW186" i="58"/>
  <c r="GX186" i="58"/>
  <c r="GY186" i="58"/>
  <c r="GZ186" i="58"/>
  <c r="HA186" i="58"/>
  <c r="HB186" i="58"/>
  <c r="HC186" i="58"/>
  <c r="HD186" i="58"/>
  <c r="HE186" i="58"/>
  <c r="HF186" i="58"/>
  <c r="HG186" i="58"/>
  <c r="HH186" i="58"/>
  <c r="HI186" i="58"/>
  <c r="HJ186" i="58"/>
  <c r="HK186" i="58"/>
  <c r="HL186" i="58"/>
  <c r="HM186" i="58"/>
  <c r="HN186" i="58"/>
  <c r="HO186" i="58"/>
  <c r="HP186" i="58"/>
  <c r="HQ186" i="58"/>
  <c r="HR186" i="58"/>
  <c r="HS186" i="58"/>
  <c r="HT186" i="58"/>
  <c r="HU186" i="58"/>
  <c r="HV186" i="58"/>
  <c r="HW186" i="58"/>
  <c r="HX186" i="58"/>
  <c r="HY186" i="58"/>
  <c r="HZ186" i="58"/>
  <c r="IA186" i="58"/>
  <c r="IB186" i="58"/>
  <c r="IC186" i="58"/>
  <c r="ID186" i="58"/>
  <c r="IE186" i="58"/>
  <c r="IF186" i="58"/>
  <c r="IG186" i="58"/>
  <c r="IH186" i="58"/>
  <c r="II186" i="58"/>
  <c r="IJ186" i="58"/>
  <c r="IK186" i="58"/>
  <c r="IL186" i="58"/>
  <c r="IM186" i="58"/>
  <c r="IN186" i="58"/>
  <c r="IO186" i="58"/>
  <c r="IP186" i="58"/>
  <c r="IQ186" i="58"/>
  <c r="IR186" i="58"/>
  <c r="IS186" i="58"/>
  <c r="IT186" i="58"/>
  <c r="IU186" i="58"/>
  <c r="IV186" i="58"/>
  <c r="IW186" i="58"/>
  <c r="IX186" i="58"/>
  <c r="IY186" i="58"/>
  <c r="IZ186" i="58"/>
  <c r="JA186" i="58"/>
  <c r="JB186" i="58"/>
  <c r="JC186" i="58"/>
  <c r="FZ177" i="58"/>
  <c r="GA177" i="58"/>
  <c r="GB177" i="58"/>
  <c r="GC177" i="58"/>
  <c r="GD177" i="58"/>
  <c r="GE177" i="58"/>
  <c r="GF177" i="58"/>
  <c r="GG177" i="58"/>
  <c r="GH177" i="58"/>
  <c r="GI177" i="58"/>
  <c r="GJ177" i="58"/>
  <c r="GK177" i="58"/>
  <c r="GL177" i="58"/>
  <c r="GM177" i="58"/>
  <c r="GN177" i="58"/>
  <c r="GO177" i="58"/>
  <c r="GP177" i="58"/>
  <c r="GQ177" i="58"/>
  <c r="GR177" i="58"/>
  <c r="GS177" i="58"/>
  <c r="GT177" i="58"/>
  <c r="GU177" i="58"/>
  <c r="GV177" i="58"/>
  <c r="GW177" i="58"/>
  <c r="GX177" i="58"/>
  <c r="GY177" i="58"/>
  <c r="GZ177" i="58"/>
  <c r="HA177" i="58"/>
  <c r="HB177" i="58"/>
  <c r="HC177" i="58"/>
  <c r="HD177" i="58"/>
  <c r="HE177" i="58"/>
  <c r="HF177" i="58"/>
  <c r="HG177" i="58"/>
  <c r="HH177" i="58"/>
  <c r="HI177" i="58"/>
  <c r="HJ177" i="58"/>
  <c r="HK177" i="58"/>
  <c r="HL177" i="58"/>
  <c r="HM177" i="58"/>
  <c r="HN177" i="58"/>
  <c r="HO177" i="58"/>
  <c r="HP177" i="58"/>
  <c r="HQ177" i="58"/>
  <c r="HR177" i="58"/>
  <c r="HS177" i="58"/>
  <c r="HT177" i="58"/>
  <c r="HU177" i="58"/>
  <c r="HV177" i="58"/>
  <c r="HW177" i="58"/>
  <c r="HX177" i="58"/>
  <c r="HY177" i="58"/>
  <c r="HZ177" i="58"/>
  <c r="IA177" i="58"/>
  <c r="IB177" i="58"/>
  <c r="IC177" i="58"/>
  <c r="ID177" i="58"/>
  <c r="IE177" i="58"/>
  <c r="IF177" i="58"/>
  <c r="IG177" i="58"/>
  <c r="IH177" i="58"/>
  <c r="II177" i="58"/>
  <c r="IJ177" i="58"/>
  <c r="IK177" i="58"/>
  <c r="IL177" i="58"/>
  <c r="IM177" i="58"/>
  <c r="IN177" i="58"/>
  <c r="IO177" i="58"/>
  <c r="IP177" i="58"/>
  <c r="IQ177" i="58"/>
  <c r="IR177" i="58"/>
  <c r="IS177" i="58"/>
  <c r="IT177" i="58"/>
  <c r="IU177" i="58"/>
  <c r="IV177" i="58"/>
  <c r="IW177" i="58"/>
  <c r="IX177" i="58"/>
  <c r="IY177" i="58"/>
  <c r="IZ177" i="58"/>
  <c r="JA177" i="58"/>
  <c r="JB177" i="58"/>
  <c r="JC177" i="58"/>
  <c r="FZ176" i="58"/>
  <c r="GA176" i="58"/>
  <c r="GB176" i="58"/>
  <c r="GC176" i="58"/>
  <c r="GD176" i="58"/>
  <c r="GE176" i="58"/>
  <c r="GF176" i="58"/>
  <c r="GG176" i="58"/>
  <c r="GH176" i="58"/>
  <c r="GI176" i="58"/>
  <c r="GJ176" i="58"/>
  <c r="GK176" i="58"/>
  <c r="GL176" i="58"/>
  <c r="GM176" i="58"/>
  <c r="GN176" i="58"/>
  <c r="GO176" i="58"/>
  <c r="GP176" i="58"/>
  <c r="GQ176" i="58"/>
  <c r="GR176" i="58"/>
  <c r="GS176" i="58"/>
  <c r="GT176" i="58"/>
  <c r="GU176" i="58"/>
  <c r="GV176" i="58"/>
  <c r="GW176" i="58"/>
  <c r="GX176" i="58"/>
  <c r="GY176" i="58"/>
  <c r="GZ176" i="58"/>
  <c r="HA176" i="58"/>
  <c r="HB176" i="58"/>
  <c r="HC176" i="58"/>
  <c r="HD176" i="58"/>
  <c r="HE176" i="58"/>
  <c r="HF176" i="58"/>
  <c r="HG176" i="58"/>
  <c r="HH176" i="58"/>
  <c r="HI176" i="58"/>
  <c r="HJ176" i="58"/>
  <c r="HK176" i="58"/>
  <c r="HL176" i="58"/>
  <c r="HM176" i="58"/>
  <c r="HN176" i="58"/>
  <c r="HO176" i="58"/>
  <c r="HP176" i="58"/>
  <c r="HQ176" i="58"/>
  <c r="HR176" i="58"/>
  <c r="HS176" i="58"/>
  <c r="HT176" i="58"/>
  <c r="HU176" i="58"/>
  <c r="HV176" i="58"/>
  <c r="HW176" i="58"/>
  <c r="HX176" i="58"/>
  <c r="HY176" i="58"/>
  <c r="HZ176" i="58"/>
  <c r="IA176" i="58"/>
  <c r="IB176" i="58"/>
  <c r="IC176" i="58"/>
  <c r="ID176" i="58"/>
  <c r="IE176" i="58"/>
  <c r="IF176" i="58"/>
  <c r="IG176" i="58"/>
  <c r="IH176" i="58"/>
  <c r="II176" i="58"/>
  <c r="IJ176" i="58"/>
  <c r="IK176" i="58"/>
  <c r="IL176" i="58"/>
  <c r="IM176" i="58"/>
  <c r="IN176" i="58"/>
  <c r="IO176" i="58"/>
  <c r="IP176" i="58"/>
  <c r="IQ176" i="58"/>
  <c r="IR176" i="58"/>
  <c r="IS176" i="58"/>
  <c r="IT176" i="58"/>
  <c r="IU176" i="58"/>
  <c r="IV176" i="58"/>
  <c r="IW176" i="58"/>
  <c r="IX176" i="58"/>
  <c r="IY176" i="58"/>
  <c r="IZ176" i="58"/>
  <c r="JA176" i="58"/>
  <c r="JB176" i="58"/>
  <c r="JC176" i="58"/>
  <c r="FZ173" i="58"/>
  <c r="GA173" i="58"/>
  <c r="GB173" i="58"/>
  <c r="GC173" i="58"/>
  <c r="GD173" i="58"/>
  <c r="GE173" i="58"/>
  <c r="GF173" i="58"/>
  <c r="GG173" i="58"/>
  <c r="GH173" i="58"/>
  <c r="GI173" i="58"/>
  <c r="GJ173" i="58"/>
  <c r="GK173" i="58"/>
  <c r="GL173" i="58"/>
  <c r="GM173" i="58"/>
  <c r="GN173" i="58"/>
  <c r="GO173" i="58"/>
  <c r="GP173" i="58"/>
  <c r="GQ173" i="58"/>
  <c r="GR173" i="58"/>
  <c r="GS173" i="58"/>
  <c r="GT173" i="58"/>
  <c r="GU173" i="58"/>
  <c r="GV173" i="58"/>
  <c r="GW173" i="58"/>
  <c r="GX173" i="58"/>
  <c r="GY173" i="58"/>
  <c r="GZ173" i="58"/>
  <c r="HA173" i="58"/>
  <c r="HB173" i="58"/>
  <c r="HC173" i="58"/>
  <c r="HD173" i="58"/>
  <c r="HE173" i="58"/>
  <c r="HF173" i="58"/>
  <c r="HG173" i="58"/>
  <c r="HH173" i="58"/>
  <c r="HI173" i="58"/>
  <c r="HJ173" i="58"/>
  <c r="HK173" i="58"/>
  <c r="HL173" i="58"/>
  <c r="HM173" i="58"/>
  <c r="HN173" i="58"/>
  <c r="HO173" i="58"/>
  <c r="HP173" i="58"/>
  <c r="HQ173" i="58"/>
  <c r="HR173" i="58"/>
  <c r="HS173" i="58"/>
  <c r="HT173" i="58"/>
  <c r="HU173" i="58"/>
  <c r="HV173" i="58"/>
  <c r="HW173" i="58"/>
  <c r="HX173" i="58"/>
  <c r="HY173" i="58"/>
  <c r="HZ173" i="58"/>
  <c r="IA173" i="58"/>
  <c r="IB173" i="58"/>
  <c r="IC173" i="58"/>
  <c r="ID173" i="58"/>
  <c r="IE173" i="58"/>
  <c r="IF173" i="58"/>
  <c r="IG173" i="58"/>
  <c r="IH173" i="58"/>
  <c r="II173" i="58"/>
  <c r="IJ173" i="58"/>
  <c r="IK173" i="58"/>
  <c r="IL173" i="58"/>
  <c r="IM173" i="58"/>
  <c r="IN173" i="58"/>
  <c r="IO173" i="58"/>
  <c r="IP173" i="58"/>
  <c r="IQ173" i="58"/>
  <c r="IR173" i="58"/>
  <c r="IS173" i="58"/>
  <c r="IT173" i="58"/>
  <c r="IU173" i="58"/>
  <c r="IV173" i="58"/>
  <c r="IW173" i="58"/>
  <c r="IX173" i="58"/>
  <c r="IY173" i="58"/>
  <c r="IZ173" i="58"/>
  <c r="JA173" i="58"/>
  <c r="JB173" i="58"/>
  <c r="JC173" i="58"/>
  <c r="FZ172" i="58"/>
  <c r="GA172" i="58"/>
  <c r="GB172" i="58"/>
  <c r="GC172" i="58"/>
  <c r="GD172" i="58"/>
  <c r="GE172" i="58"/>
  <c r="GF172" i="58"/>
  <c r="GG172" i="58"/>
  <c r="GH172" i="58"/>
  <c r="GI172" i="58"/>
  <c r="GJ172" i="58"/>
  <c r="GK172" i="58"/>
  <c r="GL172" i="58"/>
  <c r="GM172" i="58"/>
  <c r="GN172" i="58"/>
  <c r="GO172" i="58"/>
  <c r="GP172" i="58"/>
  <c r="GQ172" i="58"/>
  <c r="GR172" i="58"/>
  <c r="GS172" i="58"/>
  <c r="GT172" i="58"/>
  <c r="GU172" i="58"/>
  <c r="GV172" i="58"/>
  <c r="GW172" i="58"/>
  <c r="GX172" i="58"/>
  <c r="GY172" i="58"/>
  <c r="GZ172" i="58"/>
  <c r="HA172" i="58"/>
  <c r="HB172" i="58"/>
  <c r="HC172" i="58"/>
  <c r="HD172" i="58"/>
  <c r="HE172" i="58"/>
  <c r="HF172" i="58"/>
  <c r="HG172" i="58"/>
  <c r="HH172" i="58"/>
  <c r="HI172" i="58"/>
  <c r="HJ172" i="58"/>
  <c r="HK172" i="58"/>
  <c r="HL172" i="58"/>
  <c r="HM172" i="58"/>
  <c r="HN172" i="58"/>
  <c r="HO172" i="58"/>
  <c r="HP172" i="58"/>
  <c r="HQ172" i="58"/>
  <c r="HR172" i="58"/>
  <c r="HS172" i="58"/>
  <c r="HT172" i="58"/>
  <c r="HU172" i="58"/>
  <c r="HV172" i="58"/>
  <c r="HW172" i="58"/>
  <c r="HX172" i="58"/>
  <c r="HY172" i="58"/>
  <c r="HZ172" i="58"/>
  <c r="IA172" i="58"/>
  <c r="IB172" i="58"/>
  <c r="IC172" i="58"/>
  <c r="ID172" i="58"/>
  <c r="IE172" i="58"/>
  <c r="IF172" i="58"/>
  <c r="IG172" i="58"/>
  <c r="IH172" i="58"/>
  <c r="II172" i="58"/>
  <c r="IJ172" i="58"/>
  <c r="IK172" i="58"/>
  <c r="IL172" i="58"/>
  <c r="IM172" i="58"/>
  <c r="IN172" i="58"/>
  <c r="IO172" i="58"/>
  <c r="IP172" i="58"/>
  <c r="IQ172" i="58"/>
  <c r="IR172" i="58"/>
  <c r="IS172" i="58"/>
  <c r="IT172" i="58"/>
  <c r="IU172" i="58"/>
  <c r="IV172" i="58"/>
  <c r="IW172" i="58"/>
  <c r="IX172" i="58"/>
  <c r="IY172" i="58"/>
  <c r="IZ172" i="58"/>
  <c r="JA172" i="58"/>
  <c r="JB172" i="58"/>
  <c r="JC172" i="58"/>
  <c r="D281" i="46"/>
  <c r="D283" i="46"/>
  <c r="E281" i="46"/>
  <c r="E283" i="46"/>
  <c r="F281" i="46"/>
  <c r="F283" i="46"/>
  <c r="G281" i="46"/>
  <c r="G283" i="46"/>
  <c r="H281" i="46"/>
  <c r="H283" i="46"/>
  <c r="I281" i="46"/>
  <c r="I283" i="46"/>
  <c r="J281" i="46"/>
  <c r="J283" i="46"/>
  <c r="K281" i="46"/>
  <c r="K283" i="46"/>
  <c r="L281" i="46"/>
  <c r="L283" i="46"/>
  <c r="M281" i="46"/>
  <c r="M283" i="46"/>
  <c r="N281" i="46"/>
  <c r="N283" i="46"/>
  <c r="D309" i="46"/>
  <c r="E309" i="46"/>
  <c r="F309" i="46"/>
  <c r="G309" i="46"/>
  <c r="H309" i="46"/>
  <c r="I309" i="46"/>
  <c r="J309" i="46"/>
  <c r="K309" i="46"/>
  <c r="L309" i="46"/>
  <c r="M309" i="46"/>
  <c r="N309" i="46"/>
  <c r="JD207" i="58"/>
  <c r="JC207" i="58"/>
  <c r="JB207" i="58"/>
  <c r="JA207" i="58"/>
  <c r="IZ207" i="58"/>
  <c r="IY207" i="58"/>
  <c r="IX207" i="58"/>
  <c r="IW207" i="58"/>
  <c r="IV207" i="58"/>
  <c r="IU207" i="58"/>
  <c r="IT207" i="58"/>
  <c r="IS207" i="58"/>
  <c r="IR207" i="58"/>
  <c r="IQ207" i="58"/>
  <c r="IP207" i="58"/>
  <c r="IO207" i="58"/>
  <c r="IN207" i="58"/>
  <c r="IM207" i="58"/>
  <c r="IL207" i="58"/>
  <c r="IK207" i="58"/>
  <c r="IJ207" i="58"/>
  <c r="II207" i="58"/>
  <c r="IH207" i="58"/>
  <c r="IG207" i="58"/>
  <c r="IF207" i="58"/>
  <c r="IE207" i="58"/>
  <c r="ID207" i="58"/>
  <c r="IC207" i="58"/>
  <c r="IB207" i="58"/>
  <c r="IA207" i="58"/>
  <c r="HZ207" i="58"/>
  <c r="HY207" i="58"/>
  <c r="HX207" i="58"/>
  <c r="HW207" i="58"/>
  <c r="HV207" i="58"/>
  <c r="HU207" i="58"/>
  <c r="HT207" i="58"/>
  <c r="HS207" i="58"/>
  <c r="HR207" i="58"/>
  <c r="HQ207" i="58"/>
  <c r="HP207" i="58"/>
  <c r="HO207" i="58"/>
  <c r="HN207" i="58"/>
  <c r="HM207" i="58"/>
  <c r="HL207" i="58"/>
  <c r="HK207" i="58"/>
  <c r="HJ207" i="58"/>
  <c r="HI207" i="58"/>
  <c r="HH207" i="58"/>
  <c r="HG207" i="58"/>
  <c r="HF207" i="58"/>
  <c r="HE207" i="58"/>
  <c r="HD207" i="58"/>
  <c r="HC207" i="58"/>
  <c r="HB207" i="58"/>
  <c r="HA207" i="58"/>
  <c r="GZ207" i="58"/>
  <c r="GY207" i="58"/>
  <c r="GX207" i="58"/>
  <c r="GW207" i="58"/>
  <c r="N218" i="46"/>
  <c r="M218" i="46"/>
  <c r="M220" i="46"/>
  <c r="N220" i="46"/>
  <c r="C225" i="46"/>
  <c r="FX205" i="58"/>
  <c r="FW205" i="58"/>
  <c r="FX197" i="58"/>
  <c r="FW197" i="58"/>
  <c r="FX192" i="58"/>
  <c r="FW192" i="58"/>
  <c r="FX191" i="58"/>
  <c r="FW191" i="58"/>
  <c r="E175" i="58"/>
  <c r="FX109" i="58"/>
  <c r="FW109" i="58"/>
  <c r="N12" i="47"/>
  <c r="M12" i="47"/>
  <c r="M14" i="47"/>
  <c r="N14" i="47"/>
  <c r="FX49" i="58"/>
  <c r="FW49" i="58"/>
  <c r="JC46" i="58"/>
  <c r="JB46" i="58"/>
  <c r="JA46" i="58"/>
  <c r="IZ46" i="58"/>
  <c r="IY46" i="58"/>
  <c r="IX46" i="58"/>
  <c r="IW46" i="58"/>
  <c r="IV46" i="58"/>
  <c r="IU46" i="58"/>
  <c r="IT46" i="58"/>
  <c r="IS46" i="58"/>
  <c r="IR46" i="58"/>
  <c r="IQ46" i="58"/>
  <c r="IP46" i="58"/>
  <c r="IO46" i="58"/>
  <c r="IN46" i="58"/>
  <c r="IM46" i="58"/>
  <c r="IL46" i="58"/>
  <c r="IK46" i="58"/>
  <c r="IJ46" i="58"/>
  <c r="II46" i="58"/>
  <c r="IH46" i="58"/>
  <c r="IG46" i="58"/>
  <c r="IF46" i="58"/>
  <c r="IE46" i="58"/>
  <c r="ID46" i="58"/>
  <c r="IC46" i="58"/>
  <c r="IB46" i="58"/>
  <c r="IA46" i="58"/>
  <c r="HZ46" i="58"/>
  <c r="HY46" i="58"/>
  <c r="HX46" i="58"/>
  <c r="HW46" i="58"/>
  <c r="HV46" i="58"/>
  <c r="HU46" i="58"/>
  <c r="C1" i="58"/>
  <c r="D1" i="58"/>
  <c r="E1" i="58"/>
  <c r="F1" i="58"/>
  <c r="G1" i="58"/>
  <c r="H1" i="58"/>
  <c r="I1" i="58"/>
  <c r="J1" i="58"/>
  <c r="K1" i="58"/>
  <c r="L1" i="58"/>
  <c r="M1" i="58"/>
  <c r="N1" i="58"/>
  <c r="O1" i="58"/>
  <c r="P1" i="58"/>
  <c r="Q1" i="58"/>
  <c r="R1" i="58"/>
  <c r="S1" i="58"/>
  <c r="T1" i="58"/>
  <c r="U1" i="58"/>
  <c r="V1" i="58"/>
  <c r="W1" i="58"/>
  <c r="X1" i="58"/>
  <c r="Y1" i="58"/>
  <c r="Z1" i="58"/>
  <c r="AA1" i="58"/>
  <c r="AB1" i="58"/>
  <c r="AC1" i="58"/>
  <c r="AD1" i="58"/>
  <c r="AE1" i="58"/>
  <c r="AF1" i="58"/>
  <c r="AG1" i="58"/>
  <c r="AH1" i="58"/>
  <c r="AI1" i="58"/>
  <c r="AJ1" i="58"/>
  <c r="AK1" i="58"/>
  <c r="AL1" i="58"/>
  <c r="AM1" i="58"/>
  <c r="AN1" i="58"/>
  <c r="AO1" i="58"/>
  <c r="AP1" i="58"/>
  <c r="AQ1" i="58"/>
  <c r="AR1" i="58"/>
  <c r="AS1" i="58"/>
  <c r="AT1" i="58"/>
  <c r="AU1" i="58"/>
  <c r="AV1" i="58"/>
  <c r="AW1" i="58"/>
  <c r="AX1" i="58"/>
  <c r="AY1" i="58"/>
  <c r="AZ1" i="58"/>
  <c r="BA1" i="58"/>
  <c r="BB1" i="58"/>
  <c r="BC1" i="58"/>
  <c r="BD1" i="58"/>
  <c r="BE1" i="58"/>
  <c r="BF1" i="58"/>
  <c r="BG1" i="58"/>
  <c r="BH1" i="58"/>
  <c r="BI1" i="58"/>
  <c r="BJ1" i="58"/>
  <c r="BK1" i="58"/>
  <c r="BL1" i="58"/>
  <c r="BM1" i="58"/>
  <c r="BN1" i="58"/>
  <c r="BO1" i="58"/>
  <c r="BP1" i="58"/>
  <c r="BQ1" i="58"/>
  <c r="BR1" i="58"/>
  <c r="BS1" i="58"/>
  <c r="BT1" i="58"/>
  <c r="BU1" i="58"/>
  <c r="BV1" i="58"/>
  <c r="BW1" i="58"/>
  <c r="BX1" i="58"/>
  <c r="BY1" i="58"/>
  <c r="BZ1" i="58"/>
  <c r="CA1" i="58"/>
  <c r="CB1" i="58"/>
  <c r="CC1" i="58"/>
  <c r="CD1" i="58"/>
  <c r="CE1" i="58"/>
  <c r="CF1" i="58"/>
  <c r="CG1" i="58"/>
  <c r="CH1" i="58"/>
  <c r="CI1" i="58"/>
  <c r="CJ1" i="58"/>
  <c r="CK1" i="58"/>
  <c r="CL1" i="58"/>
  <c r="CM1" i="58"/>
  <c r="CN1" i="58"/>
  <c r="CO1" i="58"/>
  <c r="CP1" i="58"/>
  <c r="CQ1" i="58"/>
  <c r="CR1" i="58"/>
  <c r="CS1" i="58"/>
  <c r="CT1" i="58"/>
  <c r="CU1" i="58"/>
  <c r="CV1" i="58"/>
  <c r="CW1" i="58"/>
  <c r="CX1" i="58"/>
  <c r="CY1" i="58"/>
  <c r="CZ1" i="58"/>
  <c r="DA1" i="58"/>
  <c r="DB1" i="58"/>
  <c r="DC1" i="58"/>
  <c r="DD1" i="58"/>
  <c r="DE1" i="58"/>
  <c r="DF1" i="58"/>
  <c r="DG1" i="58"/>
  <c r="DH1" i="58"/>
  <c r="DI1" i="58"/>
  <c r="DJ1" i="58"/>
  <c r="DK1" i="58"/>
  <c r="DL1" i="58"/>
  <c r="DM1" i="58"/>
  <c r="DN1" i="58"/>
  <c r="DO1" i="58"/>
  <c r="DP1" i="58"/>
  <c r="DQ1" i="58"/>
  <c r="DR1" i="58"/>
  <c r="DS1" i="58"/>
  <c r="DT1" i="58"/>
  <c r="DU1" i="58"/>
  <c r="DV1" i="58"/>
  <c r="DW1" i="58"/>
  <c r="DX1" i="58"/>
  <c r="DY1" i="58"/>
  <c r="DZ1" i="58"/>
  <c r="EA1" i="58"/>
  <c r="EB1" i="58"/>
  <c r="EC1" i="58"/>
  <c r="ED1" i="58"/>
  <c r="EE1" i="58"/>
  <c r="EF1" i="58"/>
  <c r="EG1" i="58"/>
  <c r="EH1" i="58"/>
  <c r="EI1" i="58"/>
  <c r="EJ1" i="58"/>
  <c r="EK1" i="58"/>
  <c r="EL1" i="58"/>
  <c r="EM1" i="58"/>
  <c r="EN1" i="58"/>
  <c r="EO1" i="58"/>
  <c r="EP1" i="58"/>
  <c r="EQ1" i="58"/>
  <c r="ER1" i="58"/>
  <c r="ES1" i="58"/>
  <c r="ET1" i="58"/>
  <c r="EU1" i="58"/>
  <c r="EV1" i="58"/>
  <c r="EW1" i="58"/>
  <c r="EX1" i="58"/>
  <c r="EY1" i="58"/>
  <c r="EZ1" i="58"/>
  <c r="FA1" i="58"/>
  <c r="FB1" i="58"/>
  <c r="FC1" i="58"/>
  <c r="FD1" i="58"/>
  <c r="FE1" i="58"/>
  <c r="FF1" i="58"/>
  <c r="FG1" i="58"/>
  <c r="FH1" i="58"/>
  <c r="FI1" i="58"/>
  <c r="FJ1" i="58"/>
  <c r="FK1" i="58"/>
  <c r="FL1" i="58"/>
  <c r="FM1" i="58"/>
  <c r="FN1" i="58"/>
  <c r="FO1" i="58"/>
  <c r="FP1" i="58"/>
  <c r="FQ1" i="58"/>
  <c r="FR1" i="58"/>
  <c r="FS1" i="58"/>
  <c r="FT1" i="58"/>
  <c r="FU1" i="58"/>
  <c r="FV1" i="58"/>
  <c r="FW1" i="58"/>
  <c r="FX1" i="58"/>
  <c r="FY1" i="58"/>
  <c r="FZ1" i="58"/>
  <c r="GA1" i="58"/>
  <c r="GB1" i="58"/>
  <c r="GC1" i="58"/>
  <c r="GD1" i="58"/>
  <c r="GE1" i="58"/>
  <c r="GF1" i="58"/>
  <c r="GG1" i="58"/>
  <c r="GH1" i="58"/>
  <c r="GI1" i="58"/>
  <c r="GJ1" i="58"/>
  <c r="GK1" i="58"/>
  <c r="GL1" i="58"/>
  <c r="GM1" i="58"/>
  <c r="GN1" i="58"/>
  <c r="GO1" i="58"/>
  <c r="GP1" i="58"/>
  <c r="GQ1" i="58"/>
  <c r="GR1" i="58"/>
  <c r="GS1" i="58"/>
  <c r="GT1" i="58"/>
  <c r="GU1" i="58"/>
  <c r="GV1" i="58"/>
  <c r="GW1" i="58"/>
  <c r="GX1" i="58"/>
  <c r="GY1" i="58"/>
  <c r="GZ1" i="58"/>
  <c r="HA1" i="58"/>
  <c r="HB1" i="58"/>
  <c r="HC1" i="58"/>
  <c r="HD1" i="58"/>
  <c r="HE1" i="58"/>
  <c r="HF1" i="58"/>
  <c r="HG1" i="58"/>
  <c r="HH1" i="58"/>
  <c r="HI1" i="58"/>
  <c r="HJ1" i="58"/>
  <c r="HK1" i="58"/>
  <c r="HL1" i="58"/>
  <c r="HM1" i="58"/>
  <c r="HN1" i="58"/>
  <c r="HO1" i="58"/>
  <c r="HP1" i="58"/>
  <c r="HQ1" i="58"/>
  <c r="HR1" i="58"/>
  <c r="HS1" i="58"/>
  <c r="HT1" i="58"/>
  <c r="HU1" i="58"/>
  <c r="HV1" i="58"/>
  <c r="HW1" i="58"/>
  <c r="HX1" i="58"/>
  <c r="HY1" i="58"/>
  <c r="HZ1" i="58"/>
  <c r="IA1" i="58"/>
  <c r="IB1" i="58"/>
  <c r="IC1" i="58"/>
  <c r="ID1" i="58"/>
  <c r="IE1" i="58"/>
  <c r="IF1" i="58"/>
  <c r="IG1" i="58"/>
  <c r="IH1" i="58"/>
  <c r="II1" i="58"/>
  <c r="IJ1" i="58"/>
  <c r="IK1" i="58"/>
  <c r="IL1" i="58"/>
  <c r="IM1" i="58"/>
  <c r="IN1" i="58"/>
  <c r="IO1" i="58"/>
  <c r="IP1" i="58"/>
  <c r="IQ1" i="58"/>
  <c r="IR1" i="58"/>
  <c r="IS1" i="58"/>
  <c r="IT1" i="58"/>
  <c r="IU1" i="58"/>
  <c r="IV1" i="58"/>
  <c r="IO64" i="27"/>
  <c r="CL23" i="44"/>
  <c r="CL13" i="44"/>
  <c r="CL13" i="41"/>
  <c r="IN28" i="26"/>
  <c r="IN37" i="26"/>
  <c r="CL42" i="43"/>
  <c r="CL25" i="43"/>
  <c r="CL21" i="43"/>
  <c r="CL24" i="43"/>
  <c r="CL23" i="43"/>
  <c r="CL22" i="43"/>
  <c r="CL20" i="43"/>
  <c r="N26" i="52"/>
  <c r="N26" i="51"/>
  <c r="N26" i="50"/>
  <c r="N26" i="53"/>
  <c r="N28" i="53"/>
  <c r="N26" i="49"/>
  <c r="N29" i="54"/>
  <c r="N31" i="54"/>
  <c r="N26" i="56"/>
  <c r="N32" i="57"/>
  <c r="N31" i="55"/>
  <c r="N32" i="55"/>
  <c r="CK42" i="43"/>
  <c r="M26" i="52"/>
  <c r="M26" i="51"/>
  <c r="M26" i="50"/>
  <c r="M26" i="53"/>
  <c r="M28" i="53"/>
  <c r="M26" i="49"/>
  <c r="M29" i="54"/>
  <c r="M31" i="54"/>
  <c r="M26" i="56"/>
  <c r="M32" i="57"/>
  <c r="M31" i="55"/>
  <c r="M32" i="55"/>
  <c r="CK23" i="44"/>
  <c r="CK13" i="44"/>
  <c r="CK13" i="41"/>
  <c r="CJ23" i="44"/>
  <c r="CJ13" i="44"/>
  <c r="CJ13" i="41"/>
  <c r="CJ42" i="43"/>
  <c r="L26" i="52"/>
  <c r="L26" i="51"/>
  <c r="L26" i="50"/>
  <c r="L26" i="53"/>
  <c r="L28" i="53"/>
  <c r="L26" i="49"/>
  <c r="L29" i="54"/>
  <c r="L31" i="54"/>
  <c r="L26" i="56"/>
  <c r="L32" i="57"/>
  <c r="L31" i="55"/>
  <c r="L32" i="55"/>
  <c r="K32" i="57"/>
  <c r="J32" i="57"/>
  <c r="I32" i="57"/>
  <c r="H32" i="57"/>
  <c r="G32" i="57"/>
  <c r="F32" i="57"/>
  <c r="E32" i="57"/>
  <c r="D32" i="57"/>
  <c r="C32" i="57"/>
  <c r="C23" i="57"/>
  <c r="N23" i="57"/>
  <c r="M23" i="57"/>
  <c r="L23" i="57"/>
  <c r="K23" i="57"/>
  <c r="J23" i="57"/>
  <c r="I23" i="57"/>
  <c r="H23" i="57"/>
  <c r="G23" i="57"/>
  <c r="F23" i="57"/>
  <c r="E23" i="57"/>
  <c r="D23" i="57"/>
  <c r="N14" i="57"/>
  <c r="M14" i="57"/>
  <c r="L14" i="57"/>
  <c r="K14" i="57"/>
  <c r="J14" i="57"/>
  <c r="I14" i="57"/>
  <c r="H14" i="57"/>
  <c r="G14" i="57"/>
  <c r="F14" i="57"/>
  <c r="E14" i="57"/>
  <c r="D14" i="57"/>
  <c r="CI23" i="44"/>
  <c r="CI13" i="44"/>
  <c r="CI13" i="41"/>
  <c r="D16" i="57"/>
  <c r="CI42" i="43"/>
  <c r="E16" i="57"/>
  <c r="F16" i="57"/>
  <c r="G16" i="57"/>
  <c r="H16" i="57"/>
  <c r="I16" i="57"/>
  <c r="J16" i="57"/>
  <c r="K16" i="57"/>
  <c r="L16" i="57"/>
  <c r="M16" i="57"/>
  <c r="N16" i="57"/>
  <c r="C25" i="57"/>
  <c r="D25" i="57"/>
  <c r="E25" i="57"/>
  <c r="F25" i="57"/>
  <c r="G25" i="57"/>
  <c r="H25" i="57"/>
  <c r="I25" i="57"/>
  <c r="J25" i="57"/>
  <c r="K25" i="57"/>
  <c r="L25" i="57"/>
  <c r="M25" i="57"/>
  <c r="N25" i="57"/>
  <c r="C34" i="57"/>
  <c r="D34" i="57"/>
  <c r="E34" i="57"/>
  <c r="F34" i="57"/>
  <c r="G34" i="57"/>
  <c r="H34" i="57"/>
  <c r="I34" i="57"/>
  <c r="J34" i="57"/>
  <c r="K34" i="57"/>
  <c r="L34" i="57"/>
  <c r="M34" i="57"/>
  <c r="N34" i="57"/>
  <c r="S179" i="46"/>
  <c r="S180" i="46"/>
  <c r="S178" i="46"/>
  <c r="K26" i="52"/>
  <c r="K26" i="51"/>
  <c r="K26" i="50"/>
  <c r="K26" i="53"/>
  <c r="K28" i="53"/>
  <c r="K26" i="49"/>
  <c r="K29" i="54"/>
  <c r="K31" i="54"/>
  <c r="K26" i="56"/>
  <c r="K31" i="55"/>
  <c r="K32" i="55"/>
  <c r="CH23" i="44"/>
  <c r="CH13" i="44"/>
  <c r="CH13" i="41"/>
  <c r="CH42" i="43"/>
  <c r="J26" i="52"/>
  <c r="J26" i="51"/>
  <c r="J26" i="50"/>
  <c r="J26" i="53"/>
  <c r="J28" i="53"/>
  <c r="J26" i="49"/>
  <c r="J29" i="54"/>
  <c r="J31" i="54"/>
  <c r="J26" i="56"/>
  <c r="I26" i="56"/>
  <c r="H26" i="56"/>
  <c r="G26" i="56"/>
  <c r="F26" i="56"/>
  <c r="E26" i="56"/>
  <c r="D26" i="56"/>
  <c r="C26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N12" i="56"/>
  <c r="M12" i="56"/>
  <c r="L12" i="56"/>
  <c r="K12" i="56"/>
  <c r="J12" i="56"/>
  <c r="I12" i="56"/>
  <c r="H12" i="56"/>
  <c r="G12" i="56"/>
  <c r="F12" i="56"/>
  <c r="E12" i="56"/>
  <c r="D12" i="56"/>
  <c r="D14" i="56"/>
  <c r="E14" i="56"/>
  <c r="F14" i="56"/>
  <c r="G14" i="56"/>
  <c r="H14" i="56"/>
  <c r="I14" i="56"/>
  <c r="J14" i="56"/>
  <c r="K14" i="56"/>
  <c r="L14" i="56"/>
  <c r="M14" i="56"/>
  <c r="N14" i="56"/>
  <c r="C21" i="56"/>
  <c r="D21" i="56"/>
  <c r="E21" i="56"/>
  <c r="F21" i="56"/>
  <c r="G21" i="56"/>
  <c r="H21" i="56"/>
  <c r="I21" i="56"/>
  <c r="J21" i="56"/>
  <c r="K21" i="56"/>
  <c r="L21" i="56"/>
  <c r="M21" i="56"/>
  <c r="N21" i="56"/>
  <c r="C28" i="56"/>
  <c r="D28" i="56"/>
  <c r="E28" i="56"/>
  <c r="F28" i="56"/>
  <c r="G28" i="56"/>
  <c r="H28" i="56"/>
  <c r="I28" i="56"/>
  <c r="J28" i="56"/>
  <c r="K28" i="56"/>
  <c r="L28" i="56"/>
  <c r="M28" i="56"/>
  <c r="N28" i="56"/>
  <c r="J32" i="55"/>
  <c r="I32" i="55"/>
  <c r="H32" i="55"/>
  <c r="G32" i="55"/>
  <c r="F32" i="55"/>
  <c r="E32" i="55"/>
  <c r="D32" i="55"/>
  <c r="C32" i="55"/>
  <c r="J31" i="55"/>
  <c r="I31" i="55"/>
  <c r="H31" i="55"/>
  <c r="G31" i="55"/>
  <c r="F31" i="55"/>
  <c r="E31" i="55"/>
  <c r="D31" i="55"/>
  <c r="C31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G14" i="55"/>
  <c r="N13" i="55"/>
  <c r="N14" i="55"/>
  <c r="M13" i="55"/>
  <c r="L13" i="55"/>
  <c r="K13" i="55"/>
  <c r="K14" i="55"/>
  <c r="J13" i="55"/>
  <c r="I13" i="55"/>
  <c r="I14" i="55"/>
  <c r="H13" i="55"/>
  <c r="G13" i="55"/>
  <c r="H14" i="55"/>
  <c r="F13" i="55"/>
  <c r="E13" i="55"/>
  <c r="F14" i="55"/>
  <c r="C13" i="55"/>
  <c r="D13" i="55"/>
  <c r="E14" i="55"/>
  <c r="M14" i="55"/>
  <c r="D14" i="55"/>
  <c r="D16" i="55"/>
  <c r="E16" i="55"/>
  <c r="F16" i="55"/>
  <c r="G16" i="55"/>
  <c r="H16" i="55"/>
  <c r="I16" i="55"/>
  <c r="J16" i="55"/>
  <c r="K16" i="55"/>
  <c r="L16" i="55"/>
  <c r="M16" i="55"/>
  <c r="N16" i="55"/>
  <c r="C25" i="55"/>
  <c r="D25" i="55"/>
  <c r="E25" i="55"/>
  <c r="F25" i="55"/>
  <c r="G25" i="55"/>
  <c r="H25" i="55"/>
  <c r="I25" i="55"/>
  <c r="J25" i="55"/>
  <c r="K25" i="55"/>
  <c r="L25" i="55"/>
  <c r="M25" i="55"/>
  <c r="N25" i="55"/>
  <c r="C34" i="55"/>
  <c r="D34" i="55"/>
  <c r="E34" i="55"/>
  <c r="F34" i="55"/>
  <c r="G34" i="55"/>
  <c r="H34" i="55"/>
  <c r="I34" i="55"/>
  <c r="J34" i="55"/>
  <c r="K34" i="55"/>
  <c r="L34" i="55"/>
  <c r="M34" i="55"/>
  <c r="N34" i="55"/>
  <c r="J14" i="55"/>
  <c r="L14" i="55"/>
  <c r="CG23" i="44"/>
  <c r="CG13" i="44"/>
  <c r="CG13" i="41"/>
  <c r="CG42" i="43"/>
  <c r="I26" i="52"/>
  <c r="I26" i="51"/>
  <c r="I26" i="50"/>
  <c r="I26" i="53"/>
  <c r="I28" i="53"/>
  <c r="I26" i="49"/>
  <c r="I29" i="54"/>
  <c r="I31" i="54"/>
  <c r="CF23" i="44"/>
  <c r="CF13" i="44"/>
  <c r="CF13" i="41"/>
  <c r="CF42" i="43"/>
  <c r="H26" i="52"/>
  <c r="H26" i="51"/>
  <c r="H26" i="50"/>
  <c r="H26" i="53"/>
  <c r="H28" i="53"/>
  <c r="H26" i="49"/>
  <c r="H29" i="54"/>
  <c r="H31" i="54"/>
  <c r="CE23" i="44"/>
  <c r="CE13" i="44"/>
  <c r="CE13" i="41"/>
  <c r="CE42" i="43"/>
  <c r="G26" i="52"/>
  <c r="G26" i="51"/>
  <c r="G26" i="50"/>
  <c r="G26" i="53"/>
  <c r="G26" i="49"/>
  <c r="G29" i="54"/>
  <c r="G31" i="54"/>
  <c r="F29" i="54"/>
  <c r="E29" i="54"/>
  <c r="D29" i="54"/>
  <c r="C29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E15" i="54"/>
  <c r="F15" i="54"/>
  <c r="G15" i="54"/>
  <c r="H15" i="54"/>
  <c r="I15" i="54"/>
  <c r="J15" i="54"/>
  <c r="K15" i="54"/>
  <c r="L15" i="54"/>
  <c r="M15" i="54"/>
  <c r="N15" i="54"/>
  <c r="C23" i="54"/>
  <c r="D23" i="54"/>
  <c r="E23" i="54"/>
  <c r="F23" i="54"/>
  <c r="G23" i="54"/>
  <c r="H23" i="54"/>
  <c r="I23" i="54"/>
  <c r="J23" i="54"/>
  <c r="K23" i="54"/>
  <c r="L23" i="54"/>
  <c r="M23" i="54"/>
  <c r="N23" i="54"/>
  <c r="C31" i="54"/>
  <c r="D31" i="54"/>
  <c r="E31" i="54"/>
  <c r="F31" i="54"/>
  <c r="D15" i="54"/>
  <c r="N13" i="54"/>
  <c r="M13" i="54"/>
  <c r="L13" i="54"/>
  <c r="K13" i="54"/>
  <c r="J13" i="54"/>
  <c r="I13" i="54"/>
  <c r="H13" i="54"/>
  <c r="G13" i="54"/>
  <c r="F13" i="54"/>
  <c r="E13" i="54"/>
  <c r="D13" i="54"/>
  <c r="F26" i="53"/>
  <c r="E26" i="53"/>
  <c r="D26" i="53"/>
  <c r="C26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N12" i="53"/>
  <c r="M12" i="53"/>
  <c r="L12" i="53"/>
  <c r="K12" i="53"/>
  <c r="J12" i="53"/>
  <c r="I12" i="53"/>
  <c r="H12" i="53"/>
  <c r="G12" i="53"/>
  <c r="F12" i="53"/>
  <c r="E12" i="53"/>
  <c r="D12" i="53"/>
  <c r="D14" i="53"/>
  <c r="E14" i="53"/>
  <c r="F14" i="53"/>
  <c r="G14" i="53"/>
  <c r="H14" i="53"/>
  <c r="I14" i="53"/>
  <c r="J14" i="53"/>
  <c r="K14" i="53"/>
  <c r="L14" i="53"/>
  <c r="M14" i="53"/>
  <c r="N14" i="53"/>
  <c r="C21" i="53"/>
  <c r="D21" i="53"/>
  <c r="E21" i="53"/>
  <c r="F21" i="53"/>
  <c r="G21" i="53"/>
  <c r="H21" i="53"/>
  <c r="I21" i="53"/>
  <c r="J21" i="53"/>
  <c r="K21" i="53"/>
  <c r="L21" i="53"/>
  <c r="M21" i="53"/>
  <c r="N21" i="53"/>
  <c r="C28" i="53"/>
  <c r="D28" i="53"/>
  <c r="E28" i="53"/>
  <c r="F28" i="53"/>
  <c r="G28" i="53"/>
  <c r="CD23" i="44"/>
  <c r="CD13" i="44"/>
  <c r="CD13" i="41"/>
  <c r="CD42" i="43"/>
  <c r="F26" i="52"/>
  <c r="F26" i="51"/>
  <c r="F26" i="50"/>
  <c r="F26" i="49"/>
  <c r="CC23" i="44"/>
  <c r="CC13" i="44"/>
  <c r="CC13" i="41"/>
  <c r="CC42" i="43"/>
  <c r="E26" i="52"/>
  <c r="E26" i="51"/>
  <c r="E26" i="50"/>
  <c r="E26" i="49"/>
  <c r="D26" i="52"/>
  <c r="D26" i="51"/>
  <c r="D26" i="50"/>
  <c r="D26" i="49"/>
  <c r="CB23" i="44"/>
  <c r="CB13" i="44"/>
  <c r="CB13" i="41"/>
  <c r="CB42" i="43"/>
  <c r="CA23" i="44"/>
  <c r="CA13" i="44"/>
  <c r="CA13" i="41"/>
  <c r="CA42" i="43"/>
  <c r="R72" i="47"/>
  <c r="C26" i="52"/>
  <c r="C26" i="51"/>
  <c r="C26" i="50"/>
  <c r="C26" i="49"/>
  <c r="BZ23" i="44"/>
  <c r="BZ13" i="44"/>
  <c r="BZ13" i="41"/>
  <c r="BZ42" i="43"/>
  <c r="N19" i="52"/>
  <c r="N19" i="51"/>
  <c r="N19" i="50"/>
  <c r="N19" i="49"/>
  <c r="BY23" i="44"/>
  <c r="BY13" i="44"/>
  <c r="BY13" i="41"/>
  <c r="BY42" i="43"/>
  <c r="M19" i="52"/>
  <c r="M19" i="51"/>
  <c r="M19" i="50"/>
  <c r="M19" i="49"/>
  <c r="BX23" i="44"/>
  <c r="BX13" i="44"/>
  <c r="BX13" i="41"/>
  <c r="BX42" i="43"/>
  <c r="L19" i="52"/>
  <c r="L19" i="51"/>
  <c r="L19" i="50"/>
  <c r="L19" i="49"/>
  <c r="BW23" i="44"/>
  <c r="BW13" i="44"/>
  <c r="BW13" i="41"/>
  <c r="BW42" i="43"/>
  <c r="K19" i="52"/>
  <c r="K19" i="51"/>
  <c r="K19" i="50"/>
  <c r="K19" i="49"/>
  <c r="J19" i="52"/>
  <c r="J19" i="51"/>
  <c r="J19" i="50"/>
  <c r="J19" i="49"/>
  <c r="BV23" i="44"/>
  <c r="BV13" i="44"/>
  <c r="BV13" i="41"/>
  <c r="BV42" i="43"/>
  <c r="I19" i="52"/>
  <c r="I19" i="51"/>
  <c r="I19" i="50"/>
  <c r="I19" i="49"/>
  <c r="BU23" i="44"/>
  <c r="BU13" i="44"/>
  <c r="BU13" i="41"/>
  <c r="BU42" i="43"/>
  <c r="BT23" i="44"/>
  <c r="BT13" i="44"/>
  <c r="BT13" i="41"/>
  <c r="BT42" i="43"/>
  <c r="H19" i="52"/>
  <c r="H19" i="51"/>
  <c r="H19" i="50"/>
  <c r="H19" i="49"/>
  <c r="BS23" i="44"/>
  <c r="BS13" i="44"/>
  <c r="BS13" i="41"/>
  <c r="BS42" i="43"/>
  <c r="G19" i="52"/>
  <c r="G19" i="51"/>
  <c r="G19" i="50"/>
  <c r="G19" i="49"/>
  <c r="F19" i="52"/>
  <c r="F19" i="51"/>
  <c r="F19" i="50"/>
  <c r="F19" i="49"/>
  <c r="BR42" i="43"/>
  <c r="BR23" i="44"/>
  <c r="BR13" i="44"/>
  <c r="BR13" i="41"/>
  <c r="BQ23" i="44"/>
  <c r="BQ13" i="44"/>
  <c r="BQ13" i="41"/>
  <c r="BQ42" i="43"/>
  <c r="E19" i="52"/>
  <c r="E19" i="51"/>
  <c r="E19" i="50"/>
  <c r="E19" i="49"/>
  <c r="D19" i="52"/>
  <c r="D19" i="51"/>
  <c r="D19" i="50"/>
  <c r="D19" i="49"/>
  <c r="BP42" i="43"/>
  <c r="BP23" i="44"/>
  <c r="BP13" i="44"/>
  <c r="BP13" i="41"/>
  <c r="BO23" i="44"/>
  <c r="BO13" i="44"/>
  <c r="BO13" i="41"/>
  <c r="BO42" i="43"/>
  <c r="R65" i="47"/>
  <c r="C19" i="52"/>
  <c r="C19" i="51"/>
  <c r="C19" i="50"/>
  <c r="C19" i="49"/>
  <c r="N12" i="52"/>
  <c r="M12" i="52"/>
  <c r="L12" i="52"/>
  <c r="K12" i="52"/>
  <c r="J12" i="52"/>
  <c r="I12" i="52"/>
  <c r="H12" i="52"/>
  <c r="G12" i="52"/>
  <c r="F12" i="52"/>
  <c r="E12" i="52"/>
  <c r="D12" i="52"/>
  <c r="D14" i="52"/>
  <c r="E14" i="52"/>
  <c r="N12" i="51"/>
  <c r="M12" i="51"/>
  <c r="L12" i="51"/>
  <c r="K12" i="51"/>
  <c r="J12" i="51"/>
  <c r="I12" i="51"/>
  <c r="H12" i="51"/>
  <c r="G12" i="51"/>
  <c r="F12" i="51"/>
  <c r="E12" i="51"/>
  <c r="D12" i="51"/>
  <c r="D14" i="51"/>
  <c r="N12" i="50"/>
  <c r="M12" i="50"/>
  <c r="L12" i="50"/>
  <c r="K12" i="50"/>
  <c r="J12" i="50"/>
  <c r="I12" i="50"/>
  <c r="H12" i="50"/>
  <c r="G12" i="50"/>
  <c r="F12" i="50"/>
  <c r="E12" i="50"/>
  <c r="D12" i="50"/>
  <c r="D14" i="50"/>
  <c r="N12" i="49"/>
  <c r="M12" i="49"/>
  <c r="L12" i="49"/>
  <c r="K12" i="49"/>
  <c r="J12" i="49"/>
  <c r="I12" i="49"/>
  <c r="H12" i="49"/>
  <c r="G12" i="49"/>
  <c r="F12" i="49"/>
  <c r="E12" i="49"/>
  <c r="D12" i="49"/>
  <c r="F14" i="52"/>
  <c r="E14" i="51"/>
  <c r="E14" i="50"/>
  <c r="F14" i="51"/>
  <c r="F14" i="50"/>
  <c r="G14" i="52"/>
  <c r="BN23" i="44"/>
  <c r="BN13" i="44"/>
  <c r="H14" i="52"/>
  <c r="G14" i="50"/>
  <c r="G14" i="51"/>
  <c r="BN13" i="41"/>
  <c r="BN42" i="43"/>
  <c r="H14" i="51"/>
  <c r="I14" i="52"/>
  <c r="H14" i="50"/>
  <c r="J14" i="52"/>
  <c r="I14" i="50"/>
  <c r="I14" i="51"/>
  <c r="J14" i="50"/>
  <c r="J14" i="51"/>
  <c r="K14" i="52"/>
  <c r="K14" i="51"/>
  <c r="L14" i="52"/>
  <c r="K14" i="50"/>
  <c r="M14" i="52"/>
  <c r="L14" i="50"/>
  <c r="L14" i="51"/>
  <c r="M14" i="50"/>
  <c r="M14" i="51"/>
  <c r="N14" i="52"/>
  <c r="BM42" i="43"/>
  <c r="N19" i="47"/>
  <c r="N26" i="47"/>
  <c r="N33" i="47"/>
  <c r="N53" i="47"/>
  <c r="BM23" i="44"/>
  <c r="BM13" i="44"/>
  <c r="BM13" i="41"/>
  <c r="N14" i="51"/>
  <c r="C21" i="52"/>
  <c r="N14" i="50"/>
  <c r="C21" i="49"/>
  <c r="C21" i="50"/>
  <c r="D21" i="49"/>
  <c r="D21" i="52"/>
  <c r="C21" i="51"/>
  <c r="E21" i="52"/>
  <c r="E21" i="49"/>
  <c r="D21" i="51"/>
  <c r="D21" i="50"/>
  <c r="F21" i="49"/>
  <c r="E21" i="50"/>
  <c r="E21" i="51"/>
  <c r="F21" i="52"/>
  <c r="BL23" i="44"/>
  <c r="BL13" i="44"/>
  <c r="BL13" i="41"/>
  <c r="BL42" i="43"/>
  <c r="F21" i="51"/>
  <c r="F21" i="50"/>
  <c r="G21" i="52"/>
  <c r="G21" i="49"/>
  <c r="H21" i="49"/>
  <c r="G21" i="50"/>
  <c r="H21" i="52"/>
  <c r="G21" i="51"/>
  <c r="BK23" i="44"/>
  <c r="BK13" i="44"/>
  <c r="BK13" i="41"/>
  <c r="BK42" i="43"/>
  <c r="H21" i="51"/>
  <c r="I21" i="49"/>
  <c r="I21" i="52"/>
  <c r="H21" i="50"/>
  <c r="BJ23" i="44"/>
  <c r="BJ13" i="44"/>
  <c r="BJ13" i="41"/>
  <c r="BJ42" i="43"/>
  <c r="I21" i="51"/>
  <c r="I21" i="50"/>
  <c r="J21" i="52"/>
  <c r="J21" i="49"/>
  <c r="J21" i="51"/>
  <c r="K21" i="49"/>
  <c r="L21" i="49"/>
  <c r="J21" i="50"/>
  <c r="K21" i="52"/>
  <c r="L21" i="52"/>
  <c r="M21" i="52"/>
  <c r="M21" i="49"/>
  <c r="K21" i="50"/>
  <c r="L21" i="50"/>
  <c r="K21" i="51"/>
  <c r="L21" i="51"/>
  <c r="M21" i="51"/>
  <c r="M21" i="50"/>
  <c r="N21" i="49"/>
  <c r="N21" i="52"/>
  <c r="BI23" i="44"/>
  <c r="BI13" i="44"/>
  <c r="BI13" i="41"/>
  <c r="BI42" i="43"/>
  <c r="C28" i="52"/>
  <c r="C28" i="49"/>
  <c r="N21" i="50"/>
  <c r="N21" i="51"/>
  <c r="BJ20" i="43"/>
  <c r="BJ22" i="43"/>
  <c r="BJ24" i="43"/>
  <c r="BJ21" i="43"/>
  <c r="BJ23" i="43"/>
  <c r="BJ25" i="43"/>
  <c r="C28" i="51"/>
  <c r="D28" i="49"/>
  <c r="C28" i="50"/>
  <c r="D28" i="52"/>
  <c r="BK25" i="43"/>
  <c r="BK23" i="43"/>
  <c r="BK21" i="43"/>
  <c r="BK24" i="43"/>
  <c r="BK22" i="43"/>
  <c r="BK20" i="43"/>
  <c r="BH23" i="44"/>
  <c r="BH13" i="44"/>
  <c r="BH13" i="41"/>
  <c r="BH42" i="43"/>
  <c r="E28" i="52"/>
  <c r="F28" i="52"/>
  <c r="G28" i="52"/>
  <c r="H28" i="52"/>
  <c r="I28" i="52"/>
  <c r="J28" i="52"/>
  <c r="K28" i="52"/>
  <c r="L28" i="52"/>
  <c r="M28" i="52"/>
  <c r="N28" i="52"/>
  <c r="E28" i="49"/>
  <c r="D28" i="50"/>
  <c r="D28" i="51"/>
  <c r="BL20" i="43"/>
  <c r="BL22" i="43"/>
  <c r="BL24" i="43"/>
  <c r="BL21" i="43"/>
  <c r="BL23" i="43"/>
  <c r="BL25" i="43"/>
  <c r="E28" i="51"/>
  <c r="F28" i="51"/>
  <c r="G28" i="51"/>
  <c r="H28" i="51"/>
  <c r="I28" i="51"/>
  <c r="J28" i="51"/>
  <c r="K28" i="51"/>
  <c r="L28" i="51"/>
  <c r="M28" i="51"/>
  <c r="N28" i="51"/>
  <c r="E28" i="50"/>
  <c r="F28" i="50"/>
  <c r="G28" i="50"/>
  <c r="H28" i="50"/>
  <c r="I28" i="50"/>
  <c r="J28" i="50"/>
  <c r="K28" i="50"/>
  <c r="L28" i="50"/>
  <c r="M28" i="50"/>
  <c r="N28" i="50"/>
  <c r="F28" i="49"/>
  <c r="BM25" i="43"/>
  <c r="BM23" i="43"/>
  <c r="BM21" i="43"/>
  <c r="BM24" i="43"/>
  <c r="BM22" i="43"/>
  <c r="BM20" i="43"/>
  <c r="G28" i="49"/>
  <c r="BN20" i="43"/>
  <c r="BN22" i="43"/>
  <c r="BN24" i="43"/>
  <c r="BN21" i="43"/>
  <c r="BN23" i="43"/>
  <c r="BN25" i="43"/>
  <c r="BG23" i="44"/>
  <c r="BG13" i="44"/>
  <c r="BG13" i="41"/>
  <c r="H28" i="49"/>
  <c r="BO25" i="43"/>
  <c r="BO23" i="43"/>
  <c r="BO21" i="43"/>
  <c r="BO24" i="43"/>
  <c r="BO22" i="43"/>
  <c r="BO20" i="43"/>
  <c r="BG42" i="43"/>
  <c r="I28" i="49"/>
  <c r="BP20" i="43"/>
  <c r="BP22" i="43"/>
  <c r="BP24" i="43"/>
  <c r="BP21" i="43"/>
  <c r="BP23" i="43"/>
  <c r="BP25" i="43"/>
  <c r="J28" i="49"/>
  <c r="BQ23" i="43"/>
  <c r="BQ24" i="43"/>
  <c r="BQ22" i="43"/>
  <c r="BQ20" i="43"/>
  <c r="BQ25" i="43"/>
  <c r="BQ21" i="43"/>
  <c r="K28" i="49"/>
  <c r="BR21" i="43"/>
  <c r="BR20" i="43"/>
  <c r="BR22" i="43"/>
  <c r="BR24" i="43"/>
  <c r="BR23" i="43"/>
  <c r="BR25" i="43"/>
  <c r="BF23" i="44"/>
  <c r="BF13" i="44"/>
  <c r="BF13" i="41"/>
  <c r="L28" i="49"/>
  <c r="BS25" i="43"/>
  <c r="BS23" i="43"/>
  <c r="BS24" i="43"/>
  <c r="BS22" i="43"/>
  <c r="BS20" i="43"/>
  <c r="BS21" i="43"/>
  <c r="M28" i="49"/>
  <c r="BT21" i="43"/>
  <c r="BT20" i="43"/>
  <c r="BT22" i="43"/>
  <c r="BT24" i="43"/>
  <c r="BT23" i="43"/>
  <c r="BT25" i="43"/>
  <c r="N28" i="49"/>
  <c r="BU25" i="43"/>
  <c r="BU24" i="43"/>
  <c r="BU22" i="43"/>
  <c r="BU20" i="43"/>
  <c r="BU21" i="43"/>
  <c r="BU23" i="43"/>
  <c r="M53" i="47"/>
  <c r="L53" i="47"/>
  <c r="K53" i="47"/>
  <c r="J53" i="47"/>
  <c r="I53" i="47"/>
  <c r="H53" i="47"/>
  <c r="G53" i="47"/>
  <c r="F53" i="47"/>
  <c r="E53" i="47"/>
  <c r="D53" i="47"/>
  <c r="BV23" i="43"/>
  <c r="BV22" i="43"/>
  <c r="BV21" i="43"/>
  <c r="BV20" i="43"/>
  <c r="BV24" i="43"/>
  <c r="BV25" i="43"/>
  <c r="BW24" i="43"/>
  <c r="BW21" i="43"/>
  <c r="BW22" i="43"/>
  <c r="BW23" i="43"/>
  <c r="BW25" i="43"/>
  <c r="BW20" i="43"/>
  <c r="BE23" i="44"/>
  <c r="BE13" i="44"/>
  <c r="BE13" i="41"/>
  <c r="BX20" i="43"/>
  <c r="BX23" i="43"/>
  <c r="BX21" i="43"/>
  <c r="BX25" i="43"/>
  <c r="BX22" i="43"/>
  <c r="BX24" i="43"/>
  <c r="BY24" i="43"/>
  <c r="BY22" i="43"/>
  <c r="BY25" i="43"/>
  <c r="BY21" i="43"/>
  <c r="BY23" i="43"/>
  <c r="BY20" i="43"/>
  <c r="BD23" i="44"/>
  <c r="BD13" i="44"/>
  <c r="BD13" i="41"/>
  <c r="BZ20" i="43"/>
  <c r="BZ23" i="43"/>
  <c r="BZ21" i="43"/>
  <c r="BZ25" i="43"/>
  <c r="BZ22" i="43"/>
  <c r="BZ24" i="43"/>
  <c r="CA24" i="43"/>
  <c r="CA22" i="43"/>
  <c r="CA25" i="43"/>
  <c r="CA21" i="43"/>
  <c r="CA23" i="43"/>
  <c r="CA20" i="43"/>
  <c r="CB23" i="43"/>
  <c r="CB21" i="43"/>
  <c r="CB25" i="43"/>
  <c r="CB22" i="43"/>
  <c r="CB24" i="43"/>
  <c r="CB20" i="43"/>
  <c r="CC22" i="43"/>
  <c r="CC25" i="43"/>
  <c r="CC21" i="43"/>
  <c r="CC24" i="43"/>
  <c r="CC20" i="43"/>
  <c r="CC23" i="43"/>
  <c r="CD20" i="43"/>
  <c r="CD24" i="43"/>
  <c r="CD21" i="43"/>
  <c r="CD25" i="43"/>
  <c r="CD23" i="43"/>
  <c r="CD22" i="43"/>
  <c r="CE21" i="43"/>
  <c r="CE25" i="43"/>
  <c r="CE22" i="43"/>
  <c r="CE23" i="43"/>
  <c r="CE20" i="43"/>
  <c r="CE24" i="43"/>
  <c r="CF23" i="43"/>
  <c r="CF25" i="43"/>
  <c r="CF24" i="43"/>
  <c r="CF21" i="43"/>
  <c r="CF22" i="43"/>
  <c r="CF20" i="43"/>
  <c r="CG24" i="43"/>
  <c r="CG23" i="43"/>
  <c r="CG22" i="43"/>
  <c r="CG21" i="43"/>
  <c r="CG20" i="43"/>
  <c r="CG25" i="43"/>
  <c r="BC23" i="44"/>
  <c r="BC13" i="44"/>
  <c r="BC13" i="41"/>
  <c r="BB41" i="43"/>
  <c r="R58" i="47"/>
  <c r="BB23" i="44"/>
  <c r="BB13" i="44"/>
  <c r="BB13" i="41"/>
  <c r="BB42" i="43"/>
  <c r="BB40" i="43"/>
  <c r="BB25" i="43"/>
  <c r="BB24" i="43"/>
  <c r="BB23" i="43"/>
  <c r="BB22" i="43"/>
  <c r="BB21" i="43"/>
  <c r="BB20" i="43"/>
  <c r="BA23" i="44"/>
  <c r="BA13" i="44"/>
  <c r="BA13" i="41"/>
  <c r="BA42" i="43"/>
  <c r="BA41" i="43"/>
  <c r="BA40" i="43"/>
  <c r="BA25" i="43"/>
  <c r="BA24" i="43"/>
  <c r="BA23" i="43"/>
  <c r="BA22" i="43"/>
  <c r="BA21" i="43"/>
  <c r="BA20" i="43"/>
  <c r="R51" i="47"/>
  <c r="AZ13" i="41"/>
  <c r="AZ42" i="43"/>
  <c r="AZ41" i="43"/>
  <c r="AZ40" i="43"/>
  <c r="AZ25" i="43"/>
  <c r="AZ24" i="43"/>
  <c r="AZ23" i="43"/>
  <c r="AZ22" i="43"/>
  <c r="AZ21" i="43"/>
  <c r="AZ20" i="43"/>
  <c r="AZ23" i="44"/>
  <c r="AZ13" i="44"/>
  <c r="R33" i="47"/>
  <c r="R35" i="47"/>
  <c r="R44" i="47"/>
  <c r="L46" i="47"/>
  <c r="AY13" i="41"/>
  <c r="AY42" i="43"/>
  <c r="AY41" i="43"/>
  <c r="AY40" i="43"/>
  <c r="AY25" i="43"/>
  <c r="AY24" i="43"/>
  <c r="AY23" i="43"/>
  <c r="AY22" i="43"/>
  <c r="AY21" i="43"/>
  <c r="AY20" i="43"/>
  <c r="AY23" i="44"/>
  <c r="AY13" i="44"/>
  <c r="K46" i="47"/>
  <c r="AX42" i="43"/>
  <c r="AX41" i="43"/>
  <c r="AX40" i="43"/>
  <c r="AX25" i="43"/>
  <c r="AX24" i="43"/>
  <c r="AX23" i="43"/>
  <c r="AX22" i="43"/>
  <c r="AX21" i="43"/>
  <c r="AX20" i="43"/>
  <c r="J46" i="47"/>
  <c r="AX13" i="41"/>
  <c r="AX23" i="44"/>
  <c r="AX13" i="44"/>
  <c r="I46" i="47"/>
  <c r="AW42" i="43"/>
  <c r="AW41" i="43"/>
  <c r="AW40" i="43"/>
  <c r="AW25" i="43"/>
  <c r="AW24" i="43"/>
  <c r="AW23" i="43"/>
  <c r="AW22" i="43"/>
  <c r="AW21" i="43"/>
  <c r="AW20" i="43"/>
  <c r="AW23" i="44"/>
  <c r="AW13" i="44"/>
  <c r="AW13" i="41"/>
  <c r="GY42" i="27"/>
  <c r="GY64" i="27"/>
  <c r="GX28" i="26"/>
  <c r="GX37" i="26"/>
  <c r="AV13" i="41"/>
  <c r="AV42" i="43"/>
  <c r="AV41" i="43"/>
  <c r="AV40" i="43"/>
  <c r="AV25" i="43"/>
  <c r="AV24" i="43"/>
  <c r="AV23" i="43"/>
  <c r="AV22" i="43"/>
  <c r="AV21" i="43"/>
  <c r="AV20" i="43"/>
  <c r="AV23" i="44"/>
  <c r="AV13" i="44"/>
  <c r="H46" i="47"/>
  <c r="GX42" i="27"/>
  <c r="GX64" i="27"/>
  <c r="GW28" i="26"/>
  <c r="GW37" i="26"/>
  <c r="AU13" i="41"/>
  <c r="AU42" i="43"/>
  <c r="AU41" i="43"/>
  <c r="AU40" i="43"/>
  <c r="AU25" i="43"/>
  <c r="AU24" i="43"/>
  <c r="AU23" i="43"/>
  <c r="AU22" i="43"/>
  <c r="AU21" i="43"/>
  <c r="AU20" i="43"/>
  <c r="AU23" i="44"/>
  <c r="AU13" i="44"/>
  <c r="G46" i="47"/>
  <c r="GW42" i="27"/>
  <c r="GW64" i="27"/>
  <c r="GV28" i="26"/>
  <c r="GV37" i="26"/>
  <c r="AT13" i="41"/>
  <c r="AT42" i="43"/>
  <c r="AT41" i="43"/>
  <c r="AT40" i="43"/>
  <c r="AT25" i="43"/>
  <c r="AT24" i="43"/>
  <c r="AT23" i="43"/>
  <c r="AT22" i="43"/>
  <c r="AT21" i="43"/>
  <c r="AT20" i="43"/>
  <c r="AT23" i="44"/>
  <c r="AT13" i="44"/>
  <c r="F46" i="47"/>
  <c r="GV42" i="27"/>
  <c r="GV64" i="27"/>
  <c r="GU28" i="26"/>
  <c r="GU37" i="26"/>
  <c r="AS13" i="41"/>
  <c r="AS42" i="43"/>
  <c r="AS41" i="43"/>
  <c r="AS40" i="43"/>
  <c r="AS25" i="43"/>
  <c r="AS24" i="43"/>
  <c r="AS23" i="43"/>
  <c r="AS22" i="43"/>
  <c r="AS21" i="43"/>
  <c r="AS20" i="43"/>
  <c r="AS23" i="44"/>
  <c r="AS13" i="44"/>
  <c r="E46" i="47"/>
  <c r="GU42" i="27"/>
  <c r="GU64" i="27"/>
  <c r="GT28" i="26"/>
  <c r="GT37" i="26"/>
  <c r="AR13" i="41"/>
  <c r="AR42" i="43"/>
  <c r="AR41" i="43"/>
  <c r="AR40" i="43"/>
  <c r="AR25" i="43"/>
  <c r="AR24" i="43"/>
  <c r="AR23" i="43"/>
  <c r="AR22" i="43"/>
  <c r="AR21" i="43"/>
  <c r="AR20" i="43"/>
  <c r="AR23" i="44"/>
  <c r="AR13" i="44"/>
  <c r="D46" i="47"/>
  <c r="AQ40" i="43"/>
  <c r="AQ13" i="41"/>
  <c r="AQ13" i="44"/>
  <c r="C46" i="47"/>
  <c r="GT42" i="27"/>
  <c r="GT64" i="27"/>
  <c r="GS28" i="26"/>
  <c r="GS37" i="26"/>
  <c r="AQ42" i="43"/>
  <c r="AQ41" i="43"/>
  <c r="AQ25" i="43"/>
  <c r="AQ24" i="43"/>
  <c r="AQ23" i="43"/>
  <c r="AQ22" i="43"/>
  <c r="AQ21" i="43"/>
  <c r="AQ20" i="43"/>
  <c r="AQ23" i="44"/>
  <c r="GS42" i="27"/>
  <c r="GS64" i="27"/>
  <c r="GR28" i="26"/>
  <c r="GR37" i="26"/>
  <c r="AP13" i="41"/>
  <c r="AP42" i="43"/>
  <c r="AP41" i="43"/>
  <c r="AP40" i="43"/>
  <c r="AP25" i="43"/>
  <c r="AP24" i="43"/>
  <c r="AP23" i="43"/>
  <c r="AP22" i="43"/>
  <c r="AP21" i="43"/>
  <c r="AP20" i="43"/>
  <c r="AP23" i="44"/>
  <c r="AP13" i="44"/>
  <c r="GR42" i="27"/>
  <c r="GR64" i="27"/>
  <c r="GQ28" i="26"/>
  <c r="GQ37" i="26"/>
  <c r="AO13" i="41"/>
  <c r="AO42" i="43"/>
  <c r="AO41" i="43"/>
  <c r="AO40" i="43"/>
  <c r="AO25" i="43"/>
  <c r="AO24" i="43"/>
  <c r="AO23" i="43"/>
  <c r="AO22" i="43"/>
  <c r="AO21" i="43"/>
  <c r="AO20" i="43"/>
  <c r="AO23" i="44"/>
  <c r="AO13" i="44"/>
  <c r="M33" i="47"/>
  <c r="GQ42" i="27"/>
  <c r="GQ64" i="27"/>
  <c r="GP28" i="26"/>
  <c r="GP37" i="26"/>
  <c r="AN13" i="41"/>
  <c r="AN42" i="43"/>
  <c r="AN41" i="43"/>
  <c r="AN40" i="43"/>
  <c r="AN25" i="43"/>
  <c r="AN24" i="43"/>
  <c r="AN23" i="43"/>
  <c r="AN22" i="43"/>
  <c r="AN21" i="43"/>
  <c r="AN20" i="43"/>
  <c r="AN23" i="44"/>
  <c r="AN13" i="44"/>
  <c r="L33" i="47"/>
  <c r="GP42" i="27"/>
  <c r="GP64" i="27"/>
  <c r="GO28" i="26"/>
  <c r="GO37" i="26"/>
  <c r="AM13" i="41"/>
  <c r="AM42" i="43"/>
  <c r="AM41" i="43"/>
  <c r="AM40" i="43"/>
  <c r="AM25" i="43"/>
  <c r="AM24" i="43"/>
  <c r="AM23" i="43"/>
  <c r="AM22" i="43"/>
  <c r="AM21" i="43"/>
  <c r="AM20" i="43"/>
  <c r="AM23" i="44"/>
  <c r="AM13" i="44"/>
  <c r="K33" i="47"/>
  <c r="GO42" i="27"/>
  <c r="GO64" i="27"/>
  <c r="GN28" i="26"/>
  <c r="GN37" i="26"/>
  <c r="AL13" i="41"/>
  <c r="AL42" i="43"/>
  <c r="AL41" i="43"/>
  <c r="AL40" i="43"/>
  <c r="AL25" i="43"/>
  <c r="AL24" i="43"/>
  <c r="AL23" i="43"/>
  <c r="AL22" i="43"/>
  <c r="AL21" i="43"/>
  <c r="AL20" i="43"/>
  <c r="AL23" i="44"/>
  <c r="AL13" i="44"/>
  <c r="J33" i="47"/>
  <c r="GN42" i="27"/>
  <c r="GN64" i="27"/>
  <c r="GM28" i="26"/>
  <c r="GM37" i="26"/>
  <c r="AK13" i="41"/>
  <c r="AK42" i="43"/>
  <c r="AK41" i="43"/>
  <c r="AK40" i="43"/>
  <c r="AK25" i="43"/>
  <c r="AK24" i="43"/>
  <c r="AK23" i="43"/>
  <c r="AK22" i="43"/>
  <c r="AK21" i="43"/>
  <c r="AK20" i="43"/>
  <c r="AK23" i="44"/>
  <c r="AK13" i="44"/>
  <c r="I33" i="47"/>
  <c r="GM42" i="27"/>
  <c r="GM64" i="27"/>
  <c r="GL28" i="26"/>
  <c r="GL37" i="26"/>
  <c r="AJ13" i="41"/>
  <c r="AJ42" i="43"/>
  <c r="AJ41" i="43"/>
  <c r="AJ40" i="43"/>
  <c r="AJ25" i="43"/>
  <c r="AJ24" i="43"/>
  <c r="AJ23" i="43"/>
  <c r="AJ22" i="43"/>
  <c r="AJ21" i="43"/>
  <c r="AJ20" i="43"/>
  <c r="AJ23" i="44"/>
  <c r="AJ13" i="44"/>
  <c r="H33" i="47"/>
  <c r="GL42" i="27"/>
  <c r="GL64" i="27"/>
  <c r="GK28" i="26"/>
  <c r="GK37" i="26"/>
  <c r="AI13" i="41"/>
  <c r="AI42" i="43"/>
  <c r="AI41" i="43"/>
  <c r="AI40" i="43"/>
  <c r="AI25" i="43"/>
  <c r="AI24" i="43"/>
  <c r="AI23" i="43"/>
  <c r="AI22" i="43"/>
  <c r="AI21" i="43"/>
  <c r="AI20" i="43"/>
  <c r="AI23" i="44"/>
  <c r="AI13" i="44"/>
  <c r="G33" i="47"/>
  <c r="GK42" i="27"/>
  <c r="GK64" i="27"/>
  <c r="GJ28" i="26"/>
  <c r="GJ37" i="26"/>
  <c r="AH13" i="41"/>
  <c r="AH42" i="43"/>
  <c r="AH41" i="43"/>
  <c r="AH40" i="43"/>
  <c r="AH25" i="43"/>
  <c r="AH24" i="43"/>
  <c r="AH23" i="43"/>
  <c r="AH22" i="43"/>
  <c r="AH21" i="43"/>
  <c r="AH20" i="43"/>
  <c r="AH23" i="44"/>
  <c r="AH13" i="44"/>
  <c r="F33" i="47"/>
  <c r="GJ42" i="27"/>
  <c r="GJ64" i="27"/>
  <c r="GI28" i="26"/>
  <c r="GI37" i="26"/>
  <c r="AG13" i="41"/>
  <c r="AG42" i="43"/>
  <c r="AG41" i="43"/>
  <c r="AG40" i="43"/>
  <c r="AG25" i="43"/>
  <c r="AG24" i="43"/>
  <c r="AG23" i="43"/>
  <c r="AG22" i="43"/>
  <c r="AG21" i="43"/>
  <c r="AG20" i="43"/>
  <c r="AG23" i="44"/>
  <c r="AG13" i="44"/>
  <c r="E33" i="47"/>
  <c r="GI42" i="27"/>
  <c r="GI64" i="27"/>
  <c r="GH28" i="26"/>
  <c r="GH37" i="26"/>
  <c r="AF13" i="41"/>
  <c r="AF42" i="43"/>
  <c r="AF41" i="43"/>
  <c r="AF40" i="43"/>
  <c r="AF25" i="43"/>
  <c r="AF24" i="43"/>
  <c r="AF23" i="43"/>
  <c r="AF22" i="43"/>
  <c r="AF21" i="43"/>
  <c r="AF20" i="43"/>
  <c r="AF23" i="44"/>
  <c r="AF13" i="44"/>
  <c r="D33" i="47"/>
  <c r="GH42" i="27"/>
  <c r="GH64" i="27"/>
  <c r="GG28" i="26"/>
  <c r="GG37" i="26"/>
  <c r="AE13" i="41"/>
  <c r="AE42" i="43"/>
  <c r="AE41" i="43"/>
  <c r="AE40" i="43"/>
  <c r="AE25" i="43"/>
  <c r="AE24" i="43"/>
  <c r="AE23" i="43"/>
  <c r="AE22" i="43"/>
  <c r="AE21" i="43"/>
  <c r="AE20" i="43"/>
  <c r="AE23" i="44"/>
  <c r="AE13" i="44"/>
  <c r="C33" i="47"/>
  <c r="GG42" i="27"/>
  <c r="GG64" i="27"/>
  <c r="GF28" i="26"/>
  <c r="GF37" i="26"/>
  <c r="AD13" i="41"/>
  <c r="AD42" i="43"/>
  <c r="AD41" i="43"/>
  <c r="AD40" i="43"/>
  <c r="AD25" i="43"/>
  <c r="AD24" i="43"/>
  <c r="AD23" i="43"/>
  <c r="AD22" i="43"/>
  <c r="AD21" i="43"/>
  <c r="AD20" i="43"/>
  <c r="AD23" i="44"/>
  <c r="AD13" i="44"/>
  <c r="GF42" i="27"/>
  <c r="GF64" i="27"/>
  <c r="GE28" i="26"/>
  <c r="GE37" i="26"/>
  <c r="AC13" i="41"/>
  <c r="AC42" i="43"/>
  <c r="AC41" i="43"/>
  <c r="AC40" i="43"/>
  <c r="AC25" i="43"/>
  <c r="AC24" i="43"/>
  <c r="AC23" i="43"/>
  <c r="AC22" i="43"/>
  <c r="AC21" i="43"/>
  <c r="AC20" i="43"/>
  <c r="AC23" i="44"/>
  <c r="AC13" i="44"/>
  <c r="M26" i="47"/>
  <c r="GE42" i="27"/>
  <c r="GE64" i="27"/>
  <c r="GD28" i="26"/>
  <c r="GD37" i="26"/>
  <c r="AB13" i="41"/>
  <c r="AB42" i="43"/>
  <c r="AB41" i="43"/>
  <c r="AB40" i="43"/>
  <c r="AB25" i="43"/>
  <c r="AB24" i="43"/>
  <c r="AB23" i="43"/>
  <c r="AB22" i="43"/>
  <c r="AB21" i="43"/>
  <c r="AB20" i="43"/>
  <c r="AB23" i="44"/>
  <c r="AB13" i="44"/>
  <c r="L26" i="47"/>
  <c r="GD42" i="27"/>
  <c r="GD64" i="27"/>
  <c r="GC28" i="26"/>
  <c r="GC37" i="26"/>
  <c r="AA13" i="41"/>
  <c r="AA42" i="43"/>
  <c r="AA41" i="43"/>
  <c r="AA40" i="43"/>
  <c r="AA25" i="43"/>
  <c r="AA24" i="43"/>
  <c r="AA23" i="43"/>
  <c r="AA22" i="43"/>
  <c r="AA21" i="43"/>
  <c r="AA20" i="43"/>
  <c r="AA23" i="44"/>
  <c r="AA13" i="44"/>
  <c r="K26" i="47"/>
  <c r="GC42" i="27"/>
  <c r="GC64" i="27"/>
  <c r="GB28" i="26"/>
  <c r="GB37" i="26"/>
  <c r="Z13" i="41"/>
  <c r="Z42" i="43"/>
  <c r="Z41" i="43"/>
  <c r="Z40" i="43"/>
  <c r="Z25" i="43"/>
  <c r="Z24" i="43"/>
  <c r="Z23" i="43"/>
  <c r="Z22" i="43"/>
  <c r="Z21" i="43"/>
  <c r="Z20" i="43"/>
  <c r="Z23" i="44"/>
  <c r="Z13" i="44"/>
  <c r="J26" i="47"/>
  <c r="GB42" i="27"/>
  <c r="GB64" i="27"/>
  <c r="GA28" i="26"/>
  <c r="GA37" i="26"/>
  <c r="Y13" i="41"/>
  <c r="Y42" i="43"/>
  <c r="Y41" i="43"/>
  <c r="Y40" i="43"/>
  <c r="Y25" i="43"/>
  <c r="Y24" i="43"/>
  <c r="Y23" i="43"/>
  <c r="Y22" i="43"/>
  <c r="Y21" i="43"/>
  <c r="Y20" i="43"/>
  <c r="Y23" i="44"/>
  <c r="Y13" i="44"/>
  <c r="I26" i="47"/>
  <c r="GA42" i="27"/>
  <c r="GA64" i="27"/>
  <c r="FZ28" i="26"/>
  <c r="FZ37" i="26"/>
  <c r="X13" i="41"/>
  <c r="X42" i="43"/>
  <c r="X41" i="43"/>
  <c r="X40" i="43"/>
  <c r="X25" i="43"/>
  <c r="X24" i="43"/>
  <c r="X23" i="43"/>
  <c r="X22" i="43"/>
  <c r="X21" i="43"/>
  <c r="X20" i="43"/>
  <c r="X23" i="44"/>
  <c r="X13" i="44"/>
  <c r="H26" i="47"/>
  <c r="G26" i="47"/>
  <c r="FZ42" i="27"/>
  <c r="FZ64" i="27"/>
  <c r="FY28" i="26"/>
  <c r="FY37" i="26"/>
  <c r="W13" i="41"/>
  <c r="W42" i="43"/>
  <c r="W41" i="43"/>
  <c r="W40" i="43"/>
  <c r="W25" i="43"/>
  <c r="W24" i="43"/>
  <c r="W23" i="43"/>
  <c r="W22" i="43"/>
  <c r="W21" i="43"/>
  <c r="W20" i="43"/>
  <c r="W23" i="44"/>
  <c r="W13" i="44"/>
  <c r="FY42" i="27"/>
  <c r="FY64" i="27"/>
  <c r="FX28" i="26"/>
  <c r="FX37" i="26"/>
  <c r="V13" i="41"/>
  <c r="V42" i="43"/>
  <c r="V41" i="43"/>
  <c r="V40" i="43"/>
  <c r="V25" i="43"/>
  <c r="V24" i="43"/>
  <c r="V23" i="43"/>
  <c r="V22" i="43"/>
  <c r="V21" i="43"/>
  <c r="V20" i="43"/>
  <c r="V23" i="44"/>
  <c r="V13" i="44"/>
  <c r="F26" i="47"/>
  <c r="FX42" i="27"/>
  <c r="FX64" i="27"/>
  <c r="FW28" i="26"/>
  <c r="FW37" i="26"/>
  <c r="U13" i="41"/>
  <c r="U42" i="43"/>
  <c r="U41" i="43"/>
  <c r="U40" i="43"/>
  <c r="U25" i="43"/>
  <c r="U24" i="43"/>
  <c r="U23" i="43"/>
  <c r="U22" i="43"/>
  <c r="U21" i="43"/>
  <c r="U20" i="43"/>
  <c r="U23" i="44"/>
  <c r="U13" i="44"/>
  <c r="E26" i="47"/>
  <c r="FW42" i="27"/>
  <c r="FW64" i="27"/>
  <c r="FV28" i="26"/>
  <c r="FV37" i="26"/>
  <c r="T13" i="41"/>
  <c r="T42" i="43"/>
  <c r="T41" i="43"/>
  <c r="T40" i="43"/>
  <c r="T25" i="43"/>
  <c r="T24" i="43"/>
  <c r="T23" i="43"/>
  <c r="T22" i="43"/>
  <c r="T21" i="43"/>
  <c r="T20" i="43"/>
  <c r="T23" i="44"/>
  <c r="T13" i="44"/>
  <c r="D26" i="47"/>
  <c r="FV42" i="27"/>
  <c r="FV64" i="27"/>
  <c r="FU28" i="26"/>
  <c r="FU37" i="26"/>
  <c r="S13" i="41"/>
  <c r="S42" i="43"/>
  <c r="S41" i="43"/>
  <c r="S40" i="43"/>
  <c r="S25" i="43"/>
  <c r="S24" i="43"/>
  <c r="S23" i="43"/>
  <c r="S22" i="43"/>
  <c r="S21" i="43"/>
  <c r="S20" i="43"/>
  <c r="S23" i="44"/>
  <c r="S13" i="44"/>
  <c r="C26" i="47"/>
  <c r="FU42" i="27"/>
  <c r="FU64" i="27"/>
  <c r="FT28" i="26"/>
  <c r="FT37" i="26"/>
  <c r="R13" i="41"/>
  <c r="R42" i="43"/>
  <c r="R41" i="43"/>
  <c r="R40" i="43"/>
  <c r="R25" i="43"/>
  <c r="R24" i="43"/>
  <c r="R23" i="43"/>
  <c r="R22" i="43"/>
  <c r="R21" i="43"/>
  <c r="R20" i="43"/>
  <c r="R23" i="44"/>
  <c r="R13" i="44"/>
  <c r="FT42" i="27"/>
  <c r="FT64" i="27"/>
  <c r="FS28" i="26"/>
  <c r="FS37" i="26"/>
  <c r="Q13" i="41"/>
  <c r="Q42" i="43"/>
  <c r="Q41" i="43"/>
  <c r="Q40" i="43"/>
  <c r="Q25" i="43"/>
  <c r="Q24" i="43"/>
  <c r="Q23" i="43"/>
  <c r="Q22" i="43"/>
  <c r="Q21" i="43"/>
  <c r="Q20" i="43"/>
  <c r="Q23" i="44"/>
  <c r="Q13" i="44"/>
  <c r="M19" i="47"/>
  <c r="D47" i="48"/>
  <c r="FS42" i="27"/>
  <c r="FS64" i="27"/>
  <c r="FR28" i="26"/>
  <c r="FR37" i="26"/>
  <c r="P13" i="41"/>
  <c r="P42" i="43"/>
  <c r="P41" i="43"/>
  <c r="P40" i="43"/>
  <c r="P25" i="43"/>
  <c r="P24" i="43"/>
  <c r="P23" i="43"/>
  <c r="P22" i="43"/>
  <c r="P21" i="43"/>
  <c r="P20" i="43"/>
  <c r="P23" i="44"/>
  <c r="P13" i="44"/>
  <c r="L19" i="47"/>
  <c r="FR42" i="27"/>
  <c r="FR64" i="27"/>
  <c r="FQ28" i="26"/>
  <c r="FQ37" i="26"/>
  <c r="O13" i="41"/>
  <c r="O42" i="43"/>
  <c r="O41" i="43"/>
  <c r="O40" i="43"/>
  <c r="O25" i="43"/>
  <c r="O24" i="43"/>
  <c r="O23" i="43"/>
  <c r="O22" i="43"/>
  <c r="O21" i="43"/>
  <c r="O20" i="43"/>
  <c r="O23" i="44"/>
  <c r="O13" i="44"/>
  <c r="K19" i="47"/>
  <c r="FQ42" i="27"/>
  <c r="FQ64" i="27"/>
  <c r="FP42" i="27"/>
  <c r="FP64" i="27"/>
  <c r="FP28" i="26"/>
  <c r="FP37" i="26"/>
  <c r="FO28" i="26"/>
  <c r="FO37" i="26"/>
  <c r="N13" i="41"/>
  <c r="M13" i="41"/>
  <c r="N42" i="43"/>
  <c r="N41" i="43"/>
  <c r="N40" i="43"/>
  <c r="N25" i="43"/>
  <c r="N24" i="43"/>
  <c r="N23" i="43"/>
  <c r="N22" i="43"/>
  <c r="N21" i="43"/>
  <c r="N20" i="43"/>
  <c r="M42" i="43"/>
  <c r="M41" i="43"/>
  <c r="M40" i="43"/>
  <c r="M25" i="43"/>
  <c r="M24" i="43"/>
  <c r="M23" i="43"/>
  <c r="M22" i="43"/>
  <c r="M21" i="43"/>
  <c r="M20" i="43"/>
  <c r="N23" i="44"/>
  <c r="N13" i="44"/>
  <c r="M23" i="44"/>
  <c r="M13" i="44"/>
  <c r="I19" i="47"/>
  <c r="J19" i="47"/>
  <c r="FO42" i="27"/>
  <c r="FO64" i="27"/>
  <c r="FN28" i="26"/>
  <c r="FN37" i="26"/>
  <c r="L13" i="41"/>
  <c r="L42" i="43"/>
  <c r="L41" i="43"/>
  <c r="L40" i="43"/>
  <c r="L25" i="43"/>
  <c r="L24" i="43"/>
  <c r="L23" i="43"/>
  <c r="L22" i="43"/>
  <c r="L21" i="43"/>
  <c r="L20" i="43"/>
  <c r="L23" i="44"/>
  <c r="L13" i="44"/>
  <c r="H19" i="47"/>
  <c r="FM28" i="26"/>
  <c r="FM37" i="26"/>
  <c r="K13" i="41"/>
  <c r="K23" i="44"/>
  <c r="K13" i="44"/>
  <c r="G19" i="47"/>
  <c r="FN42" i="27"/>
  <c r="FN64" i="27"/>
  <c r="K42" i="43"/>
  <c r="K41" i="43"/>
  <c r="K40" i="43"/>
  <c r="K25" i="43"/>
  <c r="K24" i="43"/>
  <c r="K23" i="43"/>
  <c r="K22" i="43"/>
  <c r="K21" i="43"/>
  <c r="K20" i="43"/>
  <c r="FM42" i="27"/>
  <c r="FM64" i="27"/>
  <c r="FL28" i="26"/>
  <c r="FL37" i="26"/>
  <c r="J13" i="41"/>
  <c r="J42" i="43"/>
  <c r="J41" i="43"/>
  <c r="J40" i="43"/>
  <c r="J25" i="43"/>
  <c r="J24" i="43"/>
  <c r="J23" i="43"/>
  <c r="J22" i="43"/>
  <c r="J21" i="43"/>
  <c r="J20" i="43"/>
  <c r="J23" i="44"/>
  <c r="J13" i="44"/>
  <c r="F19" i="47"/>
  <c r="E19" i="47"/>
  <c r="D19" i="47"/>
  <c r="C19" i="47"/>
  <c r="N138" i="46"/>
  <c r="M138" i="46"/>
  <c r="L138" i="46"/>
  <c r="C81" i="46"/>
  <c r="N74" i="46"/>
  <c r="M74" i="46"/>
  <c r="M76" i="46"/>
  <c r="FW153" i="58"/>
  <c r="C18" i="46"/>
  <c r="N11" i="46"/>
  <c r="M11" i="46"/>
  <c r="M13" i="46"/>
  <c r="FW89" i="58"/>
  <c r="I13" i="41"/>
  <c r="H13" i="41"/>
  <c r="G13" i="41"/>
  <c r="F13" i="41"/>
  <c r="F15" i="41"/>
  <c r="P591" i="25"/>
  <c r="P592" i="25"/>
  <c r="E13" i="41"/>
  <c r="E15" i="41"/>
  <c r="I23" i="44"/>
  <c r="H23" i="44"/>
  <c r="G23" i="44"/>
  <c r="F23" i="44"/>
  <c r="E23" i="44"/>
  <c r="E25" i="44"/>
  <c r="I13" i="44"/>
  <c r="H13" i="44"/>
  <c r="G13" i="44"/>
  <c r="F13" i="44"/>
  <c r="E13" i="44"/>
  <c r="E15" i="44"/>
  <c r="C43" i="43"/>
  <c r="I42" i="43"/>
  <c r="G42" i="43"/>
  <c r="E42" i="43"/>
  <c r="I41" i="43"/>
  <c r="I40" i="43"/>
  <c r="E40" i="43"/>
  <c r="C26" i="43"/>
  <c r="G20" i="43"/>
  <c r="I20" i="43"/>
  <c r="E21" i="43"/>
  <c r="G21" i="43"/>
  <c r="I21" i="43"/>
  <c r="E22" i="43"/>
  <c r="G22" i="43"/>
  <c r="I22" i="43"/>
  <c r="E23" i="43"/>
  <c r="I23" i="43"/>
  <c r="E24" i="43"/>
  <c r="G24" i="43"/>
  <c r="I24" i="43"/>
  <c r="E25" i="43"/>
  <c r="G25" i="43"/>
  <c r="I25" i="43"/>
  <c r="F42" i="43"/>
  <c r="H42" i="43"/>
  <c r="F41" i="43"/>
  <c r="H41" i="43"/>
  <c r="E41" i="43"/>
  <c r="G41" i="43"/>
  <c r="F40" i="43"/>
  <c r="H40" i="43"/>
  <c r="G40" i="43"/>
  <c r="E20" i="43"/>
  <c r="G23" i="43"/>
  <c r="F20" i="43"/>
  <c r="H20" i="43"/>
  <c r="F21" i="43"/>
  <c r="H21" i="43"/>
  <c r="F22" i="43"/>
  <c r="H22" i="43"/>
  <c r="F23" i="43"/>
  <c r="H23" i="43"/>
  <c r="F24" i="43"/>
  <c r="H24" i="43"/>
  <c r="F25" i="43"/>
  <c r="H25" i="43"/>
  <c r="P137" i="32"/>
  <c r="P139" i="32"/>
  <c r="P136" i="32"/>
  <c r="P138" i="32"/>
  <c r="P216" i="31"/>
  <c r="P219" i="31"/>
  <c r="P222" i="31"/>
  <c r="P214" i="31"/>
  <c r="P220" i="31"/>
  <c r="P190" i="30"/>
  <c r="P193" i="30"/>
  <c r="P196" i="30"/>
  <c r="P189" i="30"/>
  <c r="P195" i="30"/>
  <c r="N156" i="29"/>
  <c r="N154" i="29"/>
  <c r="C167" i="29"/>
  <c r="O358" i="33"/>
  <c r="O364" i="33"/>
  <c r="O357" i="33"/>
  <c r="O363" i="33"/>
  <c r="O356" i="33"/>
  <c r="O362" i="33"/>
  <c r="O355" i="33"/>
  <c r="O361" i="33"/>
  <c r="O354" i="33"/>
  <c r="O360" i="33"/>
  <c r="P182" i="28"/>
  <c r="P184" i="28"/>
  <c r="P181" i="28"/>
  <c r="P185" i="28"/>
  <c r="FK28" i="26"/>
  <c r="FK37" i="26"/>
  <c r="FJ28" i="26"/>
  <c r="FJ37" i="26"/>
  <c r="FI28" i="26"/>
  <c r="FI37" i="26"/>
  <c r="FH28" i="26"/>
  <c r="FH37" i="26"/>
  <c r="FH22" i="26"/>
  <c r="FH26" i="26"/>
  <c r="FH21" i="26"/>
  <c r="FI22" i="27"/>
  <c r="FI27" i="27"/>
  <c r="O447" i="25"/>
  <c r="O449" i="25"/>
  <c r="FX167" i="58"/>
  <c r="FX175" i="58"/>
  <c r="FL42" i="27"/>
  <c r="FL64" i="27"/>
  <c r="FK42" i="27"/>
  <c r="FK64" i="27"/>
  <c r="FJ42" i="27"/>
  <c r="FJ64" i="27"/>
  <c r="FI42" i="27"/>
  <c r="FI64" i="27"/>
  <c r="FI23" i="27"/>
  <c r="FI28" i="27"/>
  <c r="FI21" i="27"/>
  <c r="FI26" i="27"/>
  <c r="C20" i="42"/>
  <c r="O137" i="32"/>
  <c r="O139" i="32"/>
  <c r="O136" i="32"/>
  <c r="O138" i="32"/>
  <c r="O216" i="31"/>
  <c r="O219" i="31"/>
  <c r="O222" i="31"/>
  <c r="O214" i="31"/>
  <c r="O220" i="31"/>
  <c r="O190" i="30"/>
  <c r="O193" i="30"/>
  <c r="O196" i="30"/>
  <c r="O189" i="30"/>
  <c r="O195" i="30"/>
  <c r="M154" i="29"/>
  <c r="M156" i="29"/>
  <c r="O182" i="28"/>
  <c r="O184" i="28"/>
  <c r="O181" i="28"/>
  <c r="O185" i="28"/>
  <c r="FH23" i="27"/>
  <c r="FH48" i="27"/>
  <c r="FH53" i="27"/>
  <c r="FH21" i="27"/>
  <c r="FH26" i="27"/>
  <c r="DQ254" i="34"/>
  <c r="DM210" i="34"/>
  <c r="DM209" i="34"/>
  <c r="DM208" i="34"/>
  <c r="DM207" i="34"/>
  <c r="DM206" i="34"/>
  <c r="DM201" i="34"/>
  <c r="DM199" i="34"/>
  <c r="DM196" i="34"/>
  <c r="DM195" i="34"/>
  <c r="DM185" i="34"/>
  <c r="DM184" i="34"/>
  <c r="DM183" i="34"/>
  <c r="DM182" i="34"/>
  <c r="D179" i="34"/>
  <c r="DM169" i="34"/>
  <c r="DM167" i="34"/>
  <c r="DM166" i="34"/>
  <c r="DM165" i="34"/>
  <c r="DM164" i="34"/>
  <c r="DM163" i="34"/>
  <c r="DM162" i="34"/>
  <c r="DM158" i="34"/>
  <c r="DM157" i="34"/>
  <c r="DM156" i="34"/>
  <c r="DM155" i="34"/>
  <c r="DM150" i="34"/>
  <c r="DM149" i="34"/>
  <c r="DM148" i="34"/>
  <c r="DM147" i="34"/>
  <c r="DM146" i="34"/>
  <c r="DM145" i="34"/>
  <c r="DM144" i="34"/>
  <c r="DM143" i="34"/>
  <c r="DM142" i="34"/>
  <c r="DM138" i="34"/>
  <c r="DM137" i="34"/>
  <c r="BM136" i="34"/>
  <c r="DM135" i="34"/>
  <c r="DL133" i="34"/>
  <c r="DK133" i="34"/>
  <c r="DJ133" i="34"/>
  <c r="DI133" i="34"/>
  <c r="DH133" i="34"/>
  <c r="DG133" i="34"/>
  <c r="DF133" i="34"/>
  <c r="DE133" i="34"/>
  <c r="DD133" i="34"/>
  <c r="DC133" i="34"/>
  <c r="DB133" i="34"/>
  <c r="DA133" i="34"/>
  <c r="CZ133" i="34"/>
  <c r="CY133" i="34"/>
  <c r="CX133" i="34"/>
  <c r="CW133" i="34"/>
  <c r="CV133" i="34"/>
  <c r="CU133" i="34"/>
  <c r="CT133" i="34"/>
  <c r="CS133" i="34"/>
  <c r="CR133" i="34"/>
  <c r="CQ133" i="34"/>
  <c r="CP133" i="34"/>
  <c r="CO133" i="34"/>
  <c r="CN133" i="34"/>
  <c r="CM133" i="34"/>
  <c r="CL133" i="34"/>
  <c r="BM133" i="34"/>
  <c r="DM132" i="34"/>
  <c r="DM130" i="34"/>
  <c r="DM129" i="34"/>
  <c r="DM128" i="34"/>
  <c r="DM127" i="34"/>
  <c r="DM126" i="34"/>
  <c r="DM125" i="34"/>
  <c r="DM124" i="34"/>
  <c r="DM123" i="34"/>
  <c r="DM122" i="34"/>
  <c r="DM121" i="34"/>
  <c r="DM120" i="34"/>
  <c r="DM119" i="34"/>
  <c r="DM118" i="34"/>
  <c r="DM117" i="34"/>
  <c r="DM116" i="34"/>
  <c r="DM115" i="34"/>
  <c r="DM113" i="34"/>
  <c r="DM112" i="34"/>
  <c r="DM111" i="34"/>
  <c r="DM110" i="34"/>
  <c r="DM108" i="34"/>
  <c r="DM107" i="34"/>
  <c r="DM106" i="34"/>
  <c r="DM105" i="34"/>
  <c r="CS104" i="34"/>
  <c r="CR104" i="34"/>
  <c r="CQ104" i="34"/>
  <c r="CO104" i="34"/>
  <c r="CP104" i="34"/>
  <c r="CN104" i="34"/>
  <c r="CM104" i="34"/>
  <c r="CL104" i="34"/>
  <c r="CK104" i="34"/>
  <c r="CJ104" i="34"/>
  <c r="CI104" i="34"/>
  <c r="CH104" i="34"/>
  <c r="CG104" i="34"/>
  <c r="CF104" i="34"/>
  <c r="CE104" i="34"/>
  <c r="DM103" i="34"/>
  <c r="DM102" i="34"/>
  <c r="DM101" i="34"/>
  <c r="DM100" i="34"/>
  <c r="DM99" i="34"/>
  <c r="DM98" i="34"/>
  <c r="DM97" i="34"/>
  <c r="DM96" i="34"/>
  <c r="DM95" i="34"/>
  <c r="DM94" i="34"/>
  <c r="DM93" i="34"/>
  <c r="DM92" i="34"/>
  <c r="DM90" i="34"/>
  <c r="DM89" i="34"/>
  <c r="DM88" i="34"/>
  <c r="DM87" i="34"/>
  <c r="DM86" i="34"/>
  <c r="DM85" i="34"/>
  <c r="DM84" i="34"/>
  <c r="DM83" i="34"/>
  <c r="DM82" i="34"/>
  <c r="DM81" i="34"/>
  <c r="DM80" i="34"/>
  <c r="DM79" i="34"/>
  <c r="DM78" i="34"/>
  <c r="DM77" i="34"/>
  <c r="DM76" i="34"/>
  <c r="DM75" i="34"/>
  <c r="DM74" i="34"/>
  <c r="DM72" i="34"/>
  <c r="DM71" i="34"/>
  <c r="DM70" i="34"/>
  <c r="DM69" i="34"/>
  <c r="DM68" i="34"/>
  <c r="DM67" i="34"/>
  <c r="DM66" i="34"/>
  <c r="DM65" i="34"/>
  <c r="DM64" i="34"/>
  <c r="DM63" i="34"/>
  <c r="DM62" i="34"/>
  <c r="DM61" i="34"/>
  <c r="DM60" i="34"/>
  <c r="DM59" i="34"/>
  <c r="DM58" i="34"/>
  <c r="DM57" i="34"/>
  <c r="DM56" i="34"/>
  <c r="DM55" i="34"/>
  <c r="DM54" i="34"/>
  <c r="DM53" i="34"/>
  <c r="DM52" i="34"/>
  <c r="DM51" i="34"/>
  <c r="DM50" i="34"/>
  <c r="DM49" i="34"/>
  <c r="DM48" i="34"/>
  <c r="DM47" i="34"/>
  <c r="DM46" i="34"/>
  <c r="DM45" i="34"/>
  <c r="DM44" i="34"/>
  <c r="DM43" i="34"/>
  <c r="DM42" i="34"/>
  <c r="DM41" i="34"/>
  <c r="DM40" i="34"/>
  <c r="DM39" i="34"/>
  <c r="DM38" i="34"/>
  <c r="DM37" i="34"/>
  <c r="DM36" i="34"/>
  <c r="DM35" i="34"/>
  <c r="DM34" i="34"/>
  <c r="DM33" i="34"/>
  <c r="DM32" i="34"/>
  <c r="DM31" i="34"/>
  <c r="CE24" i="34"/>
  <c r="CE23" i="34"/>
  <c r="CE22" i="34"/>
  <c r="CE21" i="34"/>
  <c r="BP19" i="34"/>
  <c r="BA21" i="26"/>
  <c r="BA25" i="26"/>
  <c r="BJ19" i="34"/>
  <c r="BP18" i="34"/>
  <c r="BO18" i="34"/>
  <c r="BN18" i="34"/>
  <c r="BI18" i="34"/>
  <c r="BJ18" i="34"/>
  <c r="BH18" i="34"/>
  <c r="BP17" i="34"/>
  <c r="BJ17" i="34"/>
  <c r="BP16" i="34"/>
  <c r="BJ16" i="34"/>
  <c r="BP14" i="34"/>
  <c r="BO14" i="34"/>
  <c r="AZ21" i="26"/>
  <c r="BM14" i="34"/>
  <c r="BL14" i="34"/>
  <c r="AW21" i="26"/>
  <c r="AX22" i="27"/>
  <c r="BJ14" i="34"/>
  <c r="BF14" i="34"/>
  <c r="AR22" i="27"/>
  <c r="AR47" i="27"/>
  <c r="AR52" i="27"/>
  <c r="BA14" i="34"/>
  <c r="AZ14" i="34"/>
  <c r="AL22" i="27"/>
  <c r="AY14" i="34"/>
  <c r="AX14" i="34"/>
  <c r="AI21" i="26"/>
  <c r="AI25" i="26"/>
  <c r="BP13" i="34"/>
  <c r="BO13" i="34"/>
  <c r="BM13" i="34"/>
  <c r="BK13" i="34"/>
  <c r="BL13" i="34"/>
  <c r="BI13" i="34"/>
  <c r="BJ13" i="34"/>
  <c r="BH13" i="34"/>
  <c r="BF13" i="34"/>
  <c r="BA13" i="34"/>
  <c r="AZ13" i="34"/>
  <c r="AY13" i="34"/>
  <c r="AX13" i="34"/>
  <c r="BP12" i="34"/>
  <c r="BO12" i="34"/>
  <c r="BM12" i="34"/>
  <c r="BL12" i="34"/>
  <c r="BJ12" i="34"/>
  <c r="BF12" i="34"/>
  <c r="BA12" i="34"/>
  <c r="AZ12" i="34"/>
  <c r="AY12" i="34"/>
  <c r="AX12" i="34"/>
  <c r="BP11" i="34"/>
  <c r="M75" i="30"/>
  <c r="BO11" i="34"/>
  <c r="L75" i="30"/>
  <c r="BM11" i="34"/>
  <c r="BL11" i="34"/>
  <c r="BJ11" i="34"/>
  <c r="BF11" i="34"/>
  <c r="O62" i="30"/>
  <c r="O70" i="31"/>
  <c r="BA11" i="34"/>
  <c r="J62" i="30"/>
  <c r="J70" i="31"/>
  <c r="AZ11" i="34"/>
  <c r="AY11" i="34"/>
  <c r="H62" i="30"/>
  <c r="H70" i="31"/>
  <c r="AX11" i="34"/>
  <c r="AW10" i="34"/>
  <c r="AV10" i="34"/>
  <c r="DM8" i="34"/>
  <c r="BJ8" i="34"/>
  <c r="DM7" i="34"/>
  <c r="BJ7" i="34"/>
  <c r="DM6" i="34"/>
  <c r="BJ6" i="34"/>
  <c r="DM5" i="34"/>
  <c r="BJ5" i="34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C47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C46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C45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C44" i="35"/>
  <c r="AE43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C43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C42" i="35"/>
  <c r="B42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C41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C40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C39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C38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C37" i="35"/>
  <c r="B34" i="35"/>
  <c r="B47" i="35"/>
  <c r="B33" i="35"/>
  <c r="B46" i="35"/>
  <c r="B32" i="35"/>
  <c r="B31" i="35"/>
  <c r="B30" i="35"/>
  <c r="B43" i="35"/>
  <c r="B28" i="35"/>
  <c r="B27" i="35"/>
  <c r="B40" i="35"/>
  <c r="B26" i="35"/>
  <c r="B25" i="35"/>
  <c r="B38" i="35"/>
  <c r="B24" i="35"/>
  <c r="B37" i="35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AF18" i="35"/>
  <c r="AE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AF17" i="35"/>
  <c r="AE17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AF16" i="35"/>
  <c r="AE16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M9" i="35"/>
  <c r="L9" i="35"/>
  <c r="K9" i="35"/>
  <c r="J9" i="35"/>
  <c r="I9" i="35"/>
  <c r="H9" i="35"/>
  <c r="G9" i="35"/>
  <c r="F9" i="35"/>
  <c r="E9" i="35"/>
  <c r="D9" i="35"/>
  <c r="C9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DC26" i="37"/>
  <c r="DB26" i="37"/>
  <c r="DA26" i="37"/>
  <c r="CZ26" i="37"/>
  <c r="CY26" i="37"/>
  <c r="CX26" i="37"/>
  <c r="CW26" i="37"/>
  <c r="CV26" i="37"/>
  <c r="CU26" i="37"/>
  <c r="CT26" i="37"/>
  <c r="CS26" i="37"/>
  <c r="CS141" i="34"/>
  <c r="CR26" i="37"/>
  <c r="CQ26" i="37"/>
  <c r="CQ141" i="34"/>
  <c r="CP26" i="37"/>
  <c r="CO26" i="37"/>
  <c r="CO141" i="34"/>
  <c r="CP141" i="34"/>
  <c r="CN26" i="37"/>
  <c r="CN141" i="34"/>
  <c r="CM26" i="37"/>
  <c r="CM141" i="34"/>
  <c r="CL26" i="37"/>
  <c r="CL141" i="34"/>
  <c r="CK26" i="37"/>
  <c r="CK141" i="34"/>
  <c r="CJ26" i="37"/>
  <c r="CJ141" i="34"/>
  <c r="CI26" i="37"/>
  <c r="CI141" i="34"/>
  <c r="CH26" i="37"/>
  <c r="CH141" i="34"/>
  <c r="CG26" i="37"/>
  <c r="CG141" i="34"/>
  <c r="CF26" i="37"/>
  <c r="CF141" i="34"/>
  <c r="CE26" i="37"/>
  <c r="CE141" i="34"/>
  <c r="CD26" i="37"/>
  <c r="CD141" i="34"/>
  <c r="CC26" i="37"/>
  <c r="CC141" i="34"/>
  <c r="CB26" i="37"/>
  <c r="CA26" i="37"/>
  <c r="BZ26" i="37"/>
  <c r="BY26" i="37"/>
  <c r="BX26" i="37"/>
  <c r="BV26" i="37"/>
  <c r="DC24" i="37"/>
  <c r="DB24" i="37"/>
  <c r="DA24" i="37"/>
  <c r="CZ24" i="37"/>
  <c r="CY24" i="37"/>
  <c r="CX24" i="37"/>
  <c r="CW24" i="37"/>
  <c r="CV24" i="37"/>
  <c r="CU24" i="37"/>
  <c r="CT24" i="37"/>
  <c r="CS24" i="37"/>
  <c r="CS139" i="34"/>
  <c r="CR24" i="37"/>
  <c r="CR139" i="34"/>
  <c r="CQ24" i="37"/>
  <c r="CQ139" i="34"/>
  <c r="CP24" i="37"/>
  <c r="CO24" i="37"/>
  <c r="CN24" i="37"/>
  <c r="CN139" i="34"/>
  <c r="CM24" i="37"/>
  <c r="CL24" i="37"/>
  <c r="CL139" i="34"/>
  <c r="CK24" i="37"/>
  <c r="CJ24" i="37"/>
  <c r="CJ139" i="34"/>
  <c r="CI24" i="37"/>
  <c r="CH24" i="37"/>
  <c r="CH139" i="34"/>
  <c r="CG24" i="37"/>
  <c r="CF24" i="37"/>
  <c r="CF139" i="34"/>
  <c r="CE24" i="37"/>
  <c r="CD24" i="37"/>
  <c r="CC24" i="37"/>
  <c r="CB24" i="37"/>
  <c r="CA24" i="37"/>
  <c r="BZ24" i="37"/>
  <c r="BY24" i="37"/>
  <c r="BX24" i="37"/>
  <c r="BV24" i="37"/>
  <c r="DC22" i="37"/>
  <c r="DB22" i="37"/>
  <c r="DA22" i="37"/>
  <c r="CZ22" i="37"/>
  <c r="CY22" i="37"/>
  <c r="CX22" i="37"/>
  <c r="CW22" i="37"/>
  <c r="CV22" i="37"/>
  <c r="CU22" i="37"/>
  <c r="CT22" i="37"/>
  <c r="CS22" i="37"/>
  <c r="CS134" i="34"/>
  <c r="CR22" i="37"/>
  <c r="CR134" i="34"/>
  <c r="CQ22" i="37"/>
  <c r="CQ134" i="34"/>
  <c r="CP22" i="37"/>
  <c r="CO22" i="37"/>
  <c r="CO134" i="34"/>
  <c r="CP134" i="34"/>
  <c r="CN22" i="37"/>
  <c r="CM22" i="37"/>
  <c r="CM134" i="34"/>
  <c r="CL22" i="37"/>
  <c r="CK22" i="37"/>
  <c r="CK134" i="34"/>
  <c r="CJ22" i="37"/>
  <c r="CI22" i="37"/>
  <c r="CI134" i="34"/>
  <c r="CH22" i="37"/>
  <c r="CG22" i="37"/>
  <c r="CG134" i="34"/>
  <c r="CF22" i="37"/>
  <c r="CE22" i="37"/>
  <c r="CE134" i="34"/>
  <c r="CD22" i="37"/>
  <c r="CC22" i="37"/>
  <c r="CB22" i="37"/>
  <c r="CA22" i="37"/>
  <c r="BZ22" i="37"/>
  <c r="BY22" i="37"/>
  <c r="BX22" i="37"/>
  <c r="BV22" i="37"/>
  <c r="DC20" i="37"/>
  <c r="DB20" i="37"/>
  <c r="DA20" i="37"/>
  <c r="CZ20" i="37"/>
  <c r="CY20" i="37"/>
  <c r="CX20" i="37"/>
  <c r="CW20" i="37"/>
  <c r="CV20" i="37"/>
  <c r="CU20" i="37"/>
  <c r="CT20" i="37"/>
  <c r="CS20" i="37"/>
  <c r="CR20" i="37"/>
  <c r="CR131" i="34"/>
  <c r="CQ20" i="37"/>
  <c r="CP20" i="37"/>
  <c r="CO20" i="37"/>
  <c r="CO131" i="34"/>
  <c r="CP131" i="34"/>
  <c r="CN20" i="37"/>
  <c r="CN131" i="34"/>
  <c r="CM20" i="37"/>
  <c r="CM131" i="34"/>
  <c r="CL20" i="37"/>
  <c r="CL131" i="34"/>
  <c r="CK20" i="37"/>
  <c r="CK131" i="34"/>
  <c r="CJ20" i="37"/>
  <c r="CJ131" i="34"/>
  <c r="CI20" i="37"/>
  <c r="CI131" i="34"/>
  <c r="CH20" i="37"/>
  <c r="CH131" i="34"/>
  <c r="CG20" i="37"/>
  <c r="CG131" i="34"/>
  <c r="CF20" i="37"/>
  <c r="CF131" i="34"/>
  <c r="CE20" i="37"/>
  <c r="CE131" i="34"/>
  <c r="CD20" i="37"/>
  <c r="CC20" i="37"/>
  <c r="CB20" i="37"/>
  <c r="CA20" i="37"/>
  <c r="BZ20" i="37"/>
  <c r="BY20" i="37"/>
  <c r="BX20" i="37"/>
  <c r="BV20" i="37"/>
  <c r="DC18" i="37"/>
  <c r="DB18" i="37"/>
  <c r="DA18" i="37"/>
  <c r="CZ18" i="37"/>
  <c r="CY18" i="37"/>
  <c r="CX18" i="37"/>
  <c r="CW18" i="37"/>
  <c r="CV18" i="37"/>
  <c r="CU18" i="37"/>
  <c r="CT18" i="37"/>
  <c r="CS18" i="37"/>
  <c r="CS114" i="34"/>
  <c r="CR18" i="37"/>
  <c r="CQ18" i="37"/>
  <c r="CQ114" i="34"/>
  <c r="CP18" i="37"/>
  <c r="CO18" i="37"/>
  <c r="CO114" i="34"/>
  <c r="CP114" i="34"/>
  <c r="CN18" i="37"/>
  <c r="CN114" i="34"/>
  <c r="CM18" i="37"/>
  <c r="CM114" i="34"/>
  <c r="CL18" i="37"/>
  <c r="CL114" i="34"/>
  <c r="CK18" i="37"/>
  <c r="CK114" i="34"/>
  <c r="CJ18" i="37"/>
  <c r="CJ114" i="34"/>
  <c r="CI18" i="37"/>
  <c r="CI114" i="34"/>
  <c r="CH18" i="37"/>
  <c r="CH114" i="34"/>
  <c r="CG18" i="37"/>
  <c r="CG114" i="34"/>
  <c r="CF18" i="37"/>
  <c r="CF114" i="34"/>
  <c r="CE18" i="37"/>
  <c r="CE114" i="34"/>
  <c r="CD18" i="37"/>
  <c r="CC18" i="37"/>
  <c r="CB18" i="37"/>
  <c r="CA18" i="37"/>
  <c r="BZ18" i="37"/>
  <c r="BY18" i="37"/>
  <c r="BX18" i="37"/>
  <c r="BV18" i="37"/>
  <c r="DC16" i="37"/>
  <c r="DB16" i="37"/>
  <c r="DA16" i="37"/>
  <c r="CZ16" i="37"/>
  <c r="CY16" i="37"/>
  <c r="CX16" i="37"/>
  <c r="CW16" i="37"/>
  <c r="CV16" i="37"/>
  <c r="CU16" i="37"/>
  <c r="CT16" i="37"/>
  <c r="CS16" i="37"/>
  <c r="CS109" i="34"/>
  <c r="CR16" i="37"/>
  <c r="CR109" i="34"/>
  <c r="CQ16" i="37"/>
  <c r="CQ109" i="34"/>
  <c r="CP16" i="37"/>
  <c r="CO16" i="37"/>
  <c r="CN16" i="37"/>
  <c r="CN109" i="34"/>
  <c r="CM16" i="37"/>
  <c r="CL16" i="37"/>
  <c r="CL109" i="34"/>
  <c r="CK16" i="37"/>
  <c r="CJ16" i="37"/>
  <c r="CJ109" i="34"/>
  <c r="CI16" i="37"/>
  <c r="CH16" i="37"/>
  <c r="CH109" i="34"/>
  <c r="CG16" i="37"/>
  <c r="CF16" i="37"/>
  <c r="CF109" i="34"/>
  <c r="CE16" i="37"/>
  <c r="CD16" i="37"/>
  <c r="CC16" i="37"/>
  <c r="CB16" i="37"/>
  <c r="CA16" i="37"/>
  <c r="BZ16" i="37"/>
  <c r="BY16" i="37"/>
  <c r="BX16" i="37"/>
  <c r="BV16" i="37"/>
  <c r="DC12" i="37"/>
  <c r="DB12" i="37"/>
  <c r="DA12" i="37"/>
  <c r="CZ12" i="37"/>
  <c r="CY12" i="37"/>
  <c r="CX12" i="37"/>
  <c r="CW12" i="37"/>
  <c r="CV12" i="37"/>
  <c r="CU12" i="37"/>
  <c r="CT12" i="37"/>
  <c r="CS12" i="37"/>
  <c r="CS91" i="34"/>
  <c r="CR12" i="37"/>
  <c r="CQ12" i="37"/>
  <c r="CQ91" i="34"/>
  <c r="CP12" i="37"/>
  <c r="CO12" i="37"/>
  <c r="CO91" i="34"/>
  <c r="CP91" i="34"/>
  <c r="CN12" i="37"/>
  <c r="CM12" i="37"/>
  <c r="CM91" i="34"/>
  <c r="CL12" i="37"/>
  <c r="CK12" i="37"/>
  <c r="CK91" i="34"/>
  <c r="CJ12" i="37"/>
  <c r="CI12" i="37"/>
  <c r="CI91" i="34"/>
  <c r="CH12" i="37"/>
  <c r="CG12" i="37"/>
  <c r="CG91" i="34"/>
  <c r="CF12" i="37"/>
  <c r="CE12" i="37"/>
  <c r="CE91" i="34"/>
  <c r="CD12" i="37"/>
  <c r="CC12" i="37"/>
  <c r="CB12" i="37"/>
  <c r="CA12" i="37"/>
  <c r="BZ12" i="37"/>
  <c r="BY12" i="37"/>
  <c r="BX12" i="37"/>
  <c r="BV12" i="37"/>
  <c r="DC10" i="37"/>
  <c r="DB10" i="37"/>
  <c r="DA10" i="37"/>
  <c r="CZ10" i="37"/>
  <c r="CY10" i="37"/>
  <c r="CX10" i="37"/>
  <c r="CW10" i="37"/>
  <c r="CV10" i="37"/>
  <c r="CU10" i="37"/>
  <c r="CT10" i="37"/>
  <c r="CS10" i="37"/>
  <c r="CR10" i="37"/>
  <c r="CR73" i="34"/>
  <c r="CQ10" i="37"/>
  <c r="CP10" i="37"/>
  <c r="CO10" i="37"/>
  <c r="CO73" i="34"/>
  <c r="CP73" i="34"/>
  <c r="CN10" i="37"/>
  <c r="CN73" i="34"/>
  <c r="CM10" i="37"/>
  <c r="CM73" i="34"/>
  <c r="CL10" i="37"/>
  <c r="CL73" i="34"/>
  <c r="CK10" i="37"/>
  <c r="CK73" i="34"/>
  <c r="CJ10" i="37"/>
  <c r="CJ73" i="34"/>
  <c r="CI10" i="37"/>
  <c r="CI73" i="34"/>
  <c r="CH10" i="37"/>
  <c r="CH73" i="34"/>
  <c r="CG10" i="37"/>
  <c r="CG73" i="34"/>
  <c r="CF10" i="37"/>
  <c r="CF73" i="34"/>
  <c r="CE10" i="37"/>
  <c r="CE73" i="34"/>
  <c r="CD10" i="37"/>
  <c r="CC10" i="37"/>
  <c r="CB10" i="37"/>
  <c r="CA10" i="37"/>
  <c r="BZ10" i="37"/>
  <c r="BY10" i="37"/>
  <c r="BX10" i="37"/>
  <c r="BV10" i="37"/>
  <c r="CC13" i="38"/>
  <c r="CB13" i="38"/>
  <c r="CA13" i="38"/>
  <c r="BZ13" i="38"/>
  <c r="EW145" i="39"/>
  <c r="BY13" i="38"/>
  <c r="EV145" i="39"/>
  <c r="BX13" i="38"/>
  <c r="EU145" i="39"/>
  <c r="BW13" i="38"/>
  <c r="BV13" i="38"/>
  <c r="ES145" i="39"/>
  <c r="BU13" i="38"/>
  <c r="ER145" i="39"/>
  <c r="BT13" i="38"/>
  <c r="EQ145" i="39"/>
  <c r="BS13" i="38"/>
  <c r="BR13" i="38"/>
  <c r="EO145" i="39"/>
  <c r="BQ13" i="38"/>
  <c r="EN145" i="39"/>
  <c r="BP13" i="38"/>
  <c r="EM145" i="39"/>
  <c r="BO13" i="38"/>
  <c r="BN13" i="38"/>
  <c r="EK145" i="39"/>
  <c r="BM13" i="38"/>
  <c r="EJ145" i="39"/>
  <c r="BL13" i="38"/>
  <c r="EI145" i="39"/>
  <c r="BK13" i="38"/>
  <c r="BJ13" i="38"/>
  <c r="EG145" i="39"/>
  <c r="BI13" i="38"/>
  <c r="EF145" i="39"/>
  <c r="BH13" i="38"/>
  <c r="EE145" i="39"/>
  <c r="BG13" i="38"/>
  <c r="BF13" i="38"/>
  <c r="EC145" i="39"/>
  <c r="BE13" i="38"/>
  <c r="EB145" i="39"/>
  <c r="BD13" i="38"/>
  <c r="EA145" i="39"/>
  <c r="BC13" i="38"/>
  <c r="BB13" i="38"/>
  <c r="DY145" i="39"/>
  <c r="BA13" i="38"/>
  <c r="AZ13" i="38"/>
  <c r="DW145" i="39"/>
  <c r="AY13" i="38"/>
  <c r="AX13" i="38"/>
  <c r="DU145" i="39"/>
  <c r="AW13" i="38"/>
  <c r="AV13" i="38"/>
  <c r="DS145" i="39"/>
  <c r="AU13" i="38"/>
  <c r="AT13" i="38"/>
  <c r="AS13" i="38"/>
  <c r="AR13" i="38"/>
  <c r="DO145" i="39"/>
  <c r="AQ13" i="38"/>
  <c r="AP13" i="38"/>
  <c r="DM145" i="39"/>
  <c r="AO13" i="38"/>
  <c r="DL140" i="34"/>
  <c r="AN13" i="38"/>
  <c r="AM13" i="38"/>
  <c r="DJ140" i="34"/>
  <c r="AL13" i="38"/>
  <c r="AK13" i="38"/>
  <c r="DH140" i="34"/>
  <c r="AJ13" i="38"/>
  <c r="AI13" i="38"/>
  <c r="DF140" i="34"/>
  <c r="AH13" i="38"/>
  <c r="AG13" i="38"/>
  <c r="DD140" i="34"/>
  <c r="AF13" i="38"/>
  <c r="AE13" i="38"/>
  <c r="DB140" i="34"/>
  <c r="AD13" i="38"/>
  <c r="AC13" i="38"/>
  <c r="CZ140" i="34"/>
  <c r="AB13" i="38"/>
  <c r="AA13" i="38"/>
  <c r="CX140" i="34"/>
  <c r="Z13" i="38"/>
  <c r="Y13" i="38"/>
  <c r="CV140" i="34"/>
  <c r="X13" i="38"/>
  <c r="W13" i="38"/>
  <c r="CT140" i="34"/>
  <c r="V13" i="38"/>
  <c r="U13" i="38"/>
  <c r="CR140" i="34"/>
  <c r="T13" i="38"/>
  <c r="S13" i="38"/>
  <c r="CP140" i="34"/>
  <c r="R13" i="38"/>
  <c r="Q13" i="38"/>
  <c r="CN140" i="34"/>
  <c r="P13" i="38"/>
  <c r="O13" i="38"/>
  <c r="CL140" i="34"/>
  <c r="N13" i="38"/>
  <c r="M13" i="38"/>
  <c r="CJ140" i="34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AE68" i="24"/>
  <c r="AE69" i="24"/>
  <c r="AD68" i="24"/>
  <c r="AD69" i="24"/>
  <c r="AC68" i="24"/>
  <c r="AC69" i="24"/>
  <c r="AB68" i="24"/>
  <c r="AB69" i="24"/>
  <c r="AA68" i="24"/>
  <c r="AA69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AE52" i="24"/>
  <c r="AD52" i="24"/>
  <c r="AD67" i="24"/>
  <c r="AC52" i="24"/>
  <c r="AC67" i="24"/>
  <c r="AC71" i="24"/>
  <c r="AS168" i="34"/>
  <c r="AB52" i="24"/>
  <c r="AB67" i="24"/>
  <c r="AA52" i="24"/>
  <c r="Z52" i="24"/>
  <c r="Z67" i="24"/>
  <c r="Z71" i="24"/>
  <c r="Y52" i="24"/>
  <c r="X52" i="24"/>
  <c r="W52" i="24"/>
  <c r="V52" i="24"/>
  <c r="V55" i="24"/>
  <c r="U52" i="24"/>
  <c r="U67" i="24"/>
  <c r="U71" i="24"/>
  <c r="T52" i="24"/>
  <c r="S52" i="24"/>
  <c r="R52" i="24"/>
  <c r="R67" i="24"/>
  <c r="R71" i="24"/>
  <c r="Q52" i="24"/>
  <c r="P52" i="24"/>
  <c r="O52" i="24"/>
  <c r="O67" i="24"/>
  <c r="O71" i="24"/>
  <c r="N52" i="24"/>
  <c r="N67" i="24"/>
  <c r="N71" i="24"/>
  <c r="M52" i="24"/>
  <c r="M67" i="24"/>
  <c r="L52" i="24"/>
  <c r="K52" i="24"/>
  <c r="J52" i="24"/>
  <c r="I52" i="24"/>
  <c r="H52" i="24"/>
  <c r="H55" i="24"/>
  <c r="X164" i="39"/>
  <c r="G52" i="24"/>
  <c r="G55" i="24"/>
  <c r="F52" i="24"/>
  <c r="F67" i="24"/>
  <c r="F71" i="24"/>
  <c r="E52" i="24"/>
  <c r="E55" i="24"/>
  <c r="D52" i="24"/>
  <c r="CE50" i="24"/>
  <c r="CE53" i="24"/>
  <c r="CD50" i="24"/>
  <c r="CD53" i="24"/>
  <c r="CC50" i="24"/>
  <c r="CC53" i="24"/>
  <c r="CB50" i="24"/>
  <c r="CB53" i="24"/>
  <c r="CA50" i="24"/>
  <c r="CA53" i="24"/>
  <c r="BZ50" i="24"/>
  <c r="BZ53" i="24"/>
  <c r="BY50" i="24"/>
  <c r="BY53" i="24"/>
  <c r="BX50" i="24"/>
  <c r="BX53" i="24"/>
  <c r="BW50" i="24"/>
  <c r="BV50" i="24"/>
  <c r="BV53" i="24"/>
  <c r="BU50" i="24"/>
  <c r="BU53" i="24"/>
  <c r="BT50" i="24"/>
  <c r="BT53" i="24"/>
  <c r="BS50" i="24"/>
  <c r="BR50" i="24"/>
  <c r="BR53" i="24"/>
  <c r="BQ50" i="24"/>
  <c r="BQ53" i="24"/>
  <c r="BP50" i="24"/>
  <c r="BP53" i="24"/>
  <c r="BO50" i="24"/>
  <c r="BN50" i="24"/>
  <c r="BN53" i="24"/>
  <c r="BM50" i="24"/>
  <c r="BM53" i="24"/>
  <c r="BL50" i="24"/>
  <c r="BL53" i="24"/>
  <c r="BK50" i="24"/>
  <c r="BJ50" i="24"/>
  <c r="BJ53" i="24"/>
  <c r="BI50" i="24"/>
  <c r="BI53" i="24"/>
  <c r="BH50" i="24"/>
  <c r="BH53" i="24"/>
  <c r="BG50" i="24"/>
  <c r="BG53" i="24"/>
  <c r="BF50" i="24"/>
  <c r="BF53" i="24"/>
  <c r="BF55" i="24"/>
  <c r="BV164" i="39"/>
  <c r="BE50" i="24"/>
  <c r="BD50" i="24"/>
  <c r="BD53" i="24"/>
  <c r="BC50" i="24"/>
  <c r="BC53" i="24"/>
  <c r="BB50" i="24"/>
  <c r="BB53" i="24"/>
  <c r="BA50" i="24"/>
  <c r="BA53" i="24"/>
  <c r="AZ50" i="24"/>
  <c r="AZ53" i="24"/>
  <c r="AY50" i="24"/>
  <c r="AX50" i="24"/>
  <c r="AX53" i="24"/>
  <c r="AX55" i="24"/>
  <c r="AW50" i="24"/>
  <c r="AW53" i="24"/>
  <c r="AV50" i="24"/>
  <c r="AV53" i="24"/>
  <c r="AU50" i="24"/>
  <c r="AT50" i="24"/>
  <c r="AS50" i="24"/>
  <c r="AS53" i="24"/>
  <c r="AR50" i="24"/>
  <c r="AR53" i="24"/>
  <c r="AQ50" i="24"/>
  <c r="AP50" i="24"/>
  <c r="AP53" i="24"/>
  <c r="AO50" i="24"/>
  <c r="AO53" i="24"/>
  <c r="AN50" i="24"/>
  <c r="AN53" i="24"/>
  <c r="AM50" i="24"/>
  <c r="AL50" i="24"/>
  <c r="AL53" i="24"/>
  <c r="AK50" i="24"/>
  <c r="AK53" i="24"/>
  <c r="AJ50" i="24"/>
  <c r="AJ53" i="24"/>
  <c r="AI50" i="24"/>
  <c r="AI53" i="24"/>
  <c r="AH50" i="24"/>
  <c r="AH53" i="24"/>
  <c r="AH55" i="24"/>
  <c r="AX164" i="39"/>
  <c r="AG50" i="24"/>
  <c r="AF50" i="24"/>
  <c r="AF53" i="24"/>
  <c r="AE50" i="24"/>
  <c r="AE53" i="24"/>
  <c r="AD50" i="24"/>
  <c r="AC50" i="24"/>
  <c r="AC53" i="24"/>
  <c r="AB50" i="24"/>
  <c r="AA50" i="24"/>
  <c r="AA53" i="24"/>
  <c r="EJ49" i="24"/>
  <c r="EJ52" i="24"/>
  <c r="EI49" i="24"/>
  <c r="EI52" i="24"/>
  <c r="EI67" i="24"/>
  <c r="EH49" i="24"/>
  <c r="EH52" i="24"/>
  <c r="EG49" i="24"/>
  <c r="EG52" i="24"/>
  <c r="EG67" i="24"/>
  <c r="EF49" i="24"/>
  <c r="EF52" i="24"/>
  <c r="EF67" i="24"/>
  <c r="EE49" i="24"/>
  <c r="EE52" i="24"/>
  <c r="EE67" i="24"/>
  <c r="ED49" i="24"/>
  <c r="ED52" i="24"/>
  <c r="ED67" i="24"/>
  <c r="EC49" i="24"/>
  <c r="EC52" i="24"/>
  <c r="EC67" i="24"/>
  <c r="EB49" i="24"/>
  <c r="EB52" i="24"/>
  <c r="EB67" i="24"/>
  <c r="EA49" i="24"/>
  <c r="EA52" i="24"/>
  <c r="EA67" i="24"/>
  <c r="DZ49" i="24"/>
  <c r="DZ52" i="24"/>
  <c r="DZ67" i="24"/>
  <c r="DY49" i="24"/>
  <c r="DY52" i="24"/>
  <c r="DY67" i="24"/>
  <c r="DX49" i="24"/>
  <c r="DX52" i="24"/>
  <c r="DX67" i="24"/>
  <c r="DW49" i="24"/>
  <c r="DW52" i="24"/>
  <c r="DW67" i="24"/>
  <c r="DV49" i="24"/>
  <c r="DV52" i="24"/>
  <c r="DV67" i="24"/>
  <c r="DU49" i="24"/>
  <c r="DU52" i="24"/>
  <c r="DU67" i="24"/>
  <c r="DT49" i="24"/>
  <c r="DS49" i="24"/>
  <c r="DS52" i="24"/>
  <c r="DS67" i="24"/>
  <c r="DS71" i="24"/>
  <c r="EI173" i="39"/>
  <c r="DR49" i="24"/>
  <c r="DR52" i="24"/>
  <c r="DQ49" i="24"/>
  <c r="DQ52" i="24"/>
  <c r="DQ67" i="24"/>
  <c r="DP49" i="24"/>
  <c r="DP52" i="24"/>
  <c r="DP67" i="24"/>
  <c r="DO49" i="24"/>
  <c r="DO52" i="24"/>
  <c r="DO67" i="24"/>
  <c r="DN49" i="24"/>
  <c r="DM49" i="24"/>
  <c r="DM52" i="24"/>
  <c r="DM67" i="24"/>
  <c r="DL49" i="24"/>
  <c r="DL52" i="24"/>
  <c r="DL67" i="24"/>
  <c r="DK49" i="24"/>
  <c r="DK52" i="24"/>
  <c r="DK67" i="24"/>
  <c r="DJ49" i="24"/>
  <c r="DJ52" i="24"/>
  <c r="DJ67" i="24"/>
  <c r="DI49" i="24"/>
  <c r="DI52" i="24"/>
  <c r="DI67" i="24"/>
  <c r="DH49" i="24"/>
  <c r="DH52" i="24"/>
  <c r="DH67" i="24"/>
  <c r="DG49" i="24"/>
  <c r="DG52" i="24"/>
  <c r="DG67" i="24"/>
  <c r="DF49" i="24"/>
  <c r="DF52" i="24"/>
  <c r="DF67" i="24"/>
  <c r="DE49" i="24"/>
  <c r="DE52" i="24"/>
  <c r="DE67" i="24"/>
  <c r="DD49" i="24"/>
  <c r="DC49" i="24"/>
  <c r="DC52" i="24"/>
  <c r="DC67" i="24"/>
  <c r="DB49" i="24"/>
  <c r="DA49" i="24"/>
  <c r="DA52" i="24"/>
  <c r="DA67" i="24"/>
  <c r="CZ49" i="24"/>
  <c r="CZ52" i="24"/>
  <c r="CY49" i="24"/>
  <c r="CY52" i="24"/>
  <c r="CY67" i="24"/>
  <c r="CX49" i="24"/>
  <c r="CX52" i="24"/>
  <c r="CX67" i="24"/>
  <c r="CW49" i="24"/>
  <c r="CW52" i="24"/>
  <c r="CW67" i="24"/>
  <c r="CV49" i="24"/>
  <c r="CU49" i="24"/>
  <c r="CU52" i="24"/>
  <c r="CU67" i="24"/>
  <c r="CT49" i="24"/>
  <c r="CT52" i="24"/>
  <c r="CT67" i="24"/>
  <c r="CS49" i="24"/>
  <c r="CS52" i="24"/>
  <c r="CS67" i="24"/>
  <c r="CR49" i="24"/>
  <c r="CQ49" i="24"/>
  <c r="CQ52" i="24"/>
  <c r="CQ67" i="24"/>
  <c r="CP49" i="24"/>
  <c r="CP52" i="24"/>
  <c r="CP67" i="24"/>
  <c r="CO49" i="24"/>
  <c r="CO52" i="24"/>
  <c r="CO67" i="24"/>
  <c r="CN49" i="24"/>
  <c r="CM49" i="24"/>
  <c r="CM52" i="24"/>
  <c r="CM67" i="24"/>
  <c r="CL49" i="24"/>
  <c r="CL52" i="24"/>
  <c r="CL67" i="24"/>
  <c r="CK49" i="24"/>
  <c r="CK52" i="24"/>
  <c r="CK67" i="24"/>
  <c r="CJ49" i="24"/>
  <c r="CJ52" i="24"/>
  <c r="CJ67" i="24"/>
  <c r="CI49" i="24"/>
  <c r="CI52" i="24"/>
  <c r="CI67" i="24"/>
  <c r="CH49" i="24"/>
  <c r="CH52" i="24"/>
  <c r="CH67" i="24"/>
  <c r="CG49" i="24"/>
  <c r="CG52" i="24"/>
  <c r="CG67" i="24"/>
  <c r="CF49" i="24"/>
  <c r="CF52" i="24"/>
  <c r="CE49" i="24"/>
  <c r="CE52" i="24"/>
  <c r="CE55" i="24"/>
  <c r="CU159" i="34"/>
  <c r="CD49" i="24"/>
  <c r="CD52" i="24"/>
  <c r="CC49" i="24"/>
  <c r="CC52" i="24"/>
  <c r="CB49" i="24"/>
  <c r="CB52" i="24"/>
  <c r="CB67" i="24"/>
  <c r="CA49" i="24"/>
  <c r="CA52" i="24"/>
  <c r="CA67" i="24"/>
  <c r="BZ49" i="24"/>
  <c r="BY49" i="24"/>
  <c r="BY52" i="24"/>
  <c r="BX49" i="24"/>
  <c r="BX52" i="24"/>
  <c r="BW49" i="24"/>
  <c r="BW52" i="24"/>
  <c r="BW67" i="24"/>
  <c r="BV49" i="24"/>
  <c r="BU49" i="24"/>
  <c r="BU52" i="24"/>
  <c r="BU55" i="24"/>
  <c r="CK164" i="39"/>
  <c r="BT49" i="24"/>
  <c r="BT52" i="24"/>
  <c r="BT67" i="24"/>
  <c r="BS49" i="24"/>
  <c r="BR49" i="24"/>
  <c r="BQ49" i="24"/>
  <c r="BQ52" i="24"/>
  <c r="BQ67" i="24"/>
  <c r="BP49" i="24"/>
  <c r="BP52" i="24"/>
  <c r="BO49" i="24"/>
  <c r="BO52" i="24"/>
  <c r="BN49" i="24"/>
  <c r="BN52" i="24"/>
  <c r="BM49" i="24"/>
  <c r="BM52" i="24"/>
  <c r="BM67" i="24"/>
  <c r="BL49" i="24"/>
  <c r="BL52" i="24"/>
  <c r="BK49" i="24"/>
  <c r="BJ49" i="24"/>
  <c r="BJ52" i="24"/>
  <c r="BI49" i="24"/>
  <c r="BI52" i="24"/>
  <c r="BH49" i="24"/>
  <c r="BH52" i="24"/>
  <c r="BG49" i="24"/>
  <c r="BG52" i="24"/>
  <c r="BF49" i="24"/>
  <c r="BE49" i="24"/>
  <c r="BE52" i="24"/>
  <c r="BE55" i="24"/>
  <c r="BD49" i="24"/>
  <c r="BD52" i="24"/>
  <c r="BC49" i="24"/>
  <c r="BB49" i="24"/>
  <c r="BA49" i="24"/>
  <c r="BA52" i="24"/>
  <c r="BA55" i="24"/>
  <c r="BQ159" i="34"/>
  <c r="AZ49" i="24"/>
  <c r="AZ52" i="24"/>
  <c r="AY49" i="24"/>
  <c r="AY52" i="24"/>
  <c r="AY67" i="24"/>
  <c r="AX49" i="24"/>
  <c r="AX52" i="24"/>
  <c r="AX67" i="24"/>
  <c r="AW49" i="24"/>
  <c r="AW52" i="24"/>
  <c r="AV49" i="24"/>
  <c r="AU49" i="24"/>
  <c r="AU52" i="24"/>
  <c r="AT49" i="24"/>
  <c r="AT52" i="24"/>
  <c r="AT67" i="24"/>
  <c r="AS49" i="24"/>
  <c r="AS52" i="24"/>
  <c r="AS67" i="24"/>
  <c r="AR49" i="24"/>
  <c r="AQ49" i="24"/>
  <c r="AQ52" i="24"/>
  <c r="AP49" i="24"/>
  <c r="AP52" i="24"/>
  <c r="AO49" i="24"/>
  <c r="AO52" i="24"/>
  <c r="AN49" i="24"/>
  <c r="AN52" i="24"/>
  <c r="AM49" i="24"/>
  <c r="AM52" i="24"/>
  <c r="AM67" i="24"/>
  <c r="AL49" i="24"/>
  <c r="AL52" i="24"/>
  <c r="AK49" i="24"/>
  <c r="AK52" i="24"/>
  <c r="AK67" i="24"/>
  <c r="AJ49" i="24"/>
  <c r="AJ52" i="24"/>
  <c r="AI49" i="24"/>
  <c r="AH49" i="24"/>
  <c r="AH52" i="24"/>
  <c r="AH67" i="24"/>
  <c r="AG49" i="24"/>
  <c r="AG52" i="24"/>
  <c r="AF49" i="24"/>
  <c r="AF52" i="24"/>
  <c r="AF67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EJ34" i="24"/>
  <c r="EJ35" i="24"/>
  <c r="EI34" i="24"/>
  <c r="EI35" i="24"/>
  <c r="EH34" i="24"/>
  <c r="EH68" i="24"/>
  <c r="EH69" i="24"/>
  <c r="EG34" i="24"/>
  <c r="EG68" i="24"/>
  <c r="EG69" i="24"/>
  <c r="EF34" i="24"/>
  <c r="EF35" i="24"/>
  <c r="EE34" i="24"/>
  <c r="ED34" i="24"/>
  <c r="ED68" i="24"/>
  <c r="ED69" i="24"/>
  <c r="EC34" i="24"/>
  <c r="EB34" i="24"/>
  <c r="EB68" i="24"/>
  <c r="EB69" i="24"/>
  <c r="EA34" i="24"/>
  <c r="EA35" i="24"/>
  <c r="DZ34" i="24"/>
  <c r="DZ35" i="24"/>
  <c r="DY34" i="24"/>
  <c r="DY68" i="24"/>
  <c r="DY69" i="24"/>
  <c r="DX34" i="24"/>
  <c r="DW34" i="24"/>
  <c r="DW35" i="24"/>
  <c r="DV34" i="24"/>
  <c r="DV35" i="24"/>
  <c r="DU34" i="24"/>
  <c r="DU68" i="24"/>
  <c r="DU69" i="24"/>
  <c r="DT34" i="24"/>
  <c r="DT68" i="24"/>
  <c r="DT69" i="24"/>
  <c r="DS34" i="24"/>
  <c r="DS68" i="24"/>
  <c r="DS69" i="24"/>
  <c r="DR34" i="24"/>
  <c r="DR68" i="24"/>
  <c r="DR69" i="24"/>
  <c r="DQ34" i="24"/>
  <c r="DQ68" i="24"/>
  <c r="DQ69" i="24"/>
  <c r="DP34" i="24"/>
  <c r="DP35" i="24"/>
  <c r="DO34" i="24"/>
  <c r="DN34" i="24"/>
  <c r="DN68" i="24"/>
  <c r="DN69" i="24"/>
  <c r="DM34" i="24"/>
  <c r="DL34" i="24"/>
  <c r="DL35" i="24"/>
  <c r="DK34" i="24"/>
  <c r="DK68" i="24"/>
  <c r="DK69" i="24"/>
  <c r="DJ34" i="24"/>
  <c r="DJ68" i="24"/>
  <c r="DJ69" i="24"/>
  <c r="DJ71" i="24"/>
  <c r="DI34" i="24"/>
  <c r="DI35" i="24"/>
  <c r="DH34" i="24"/>
  <c r="DG34" i="24"/>
  <c r="DF34" i="24"/>
  <c r="DF35" i="24"/>
  <c r="DE34" i="24"/>
  <c r="DE35" i="24"/>
  <c r="DD34" i="24"/>
  <c r="DD35" i="24"/>
  <c r="DC34" i="24"/>
  <c r="DB34" i="24"/>
  <c r="DB68" i="24"/>
  <c r="DB69" i="24"/>
  <c r="DA34" i="24"/>
  <c r="DA35" i="24"/>
  <c r="CZ34" i="24"/>
  <c r="CZ68" i="24"/>
  <c r="CZ69" i="24"/>
  <c r="CY34" i="24"/>
  <c r="CY35" i="24"/>
  <c r="CX34" i="24"/>
  <c r="CW34" i="24"/>
  <c r="CW68" i="24"/>
  <c r="CW69" i="24"/>
  <c r="CV34" i="24"/>
  <c r="CV35" i="24"/>
  <c r="CU34" i="24"/>
  <c r="CU68" i="24"/>
  <c r="CU69" i="24"/>
  <c r="CT34" i="24"/>
  <c r="CT35" i="24"/>
  <c r="CS34" i="24"/>
  <c r="CS68" i="24"/>
  <c r="CS69" i="24"/>
  <c r="CR34" i="24"/>
  <c r="CR68" i="24"/>
  <c r="CR69" i="24"/>
  <c r="CQ34" i="24"/>
  <c r="CP34" i="24"/>
  <c r="CO34" i="24"/>
  <c r="CO35" i="24"/>
  <c r="CN34" i="24"/>
  <c r="CM34" i="24"/>
  <c r="CL34" i="24"/>
  <c r="CL68" i="24"/>
  <c r="CL69" i="24"/>
  <c r="CL71" i="24"/>
  <c r="DB168" i="34"/>
  <c r="CK34" i="24"/>
  <c r="CJ34" i="24"/>
  <c r="CJ35" i="24"/>
  <c r="CI34" i="24"/>
  <c r="CH34" i="24"/>
  <c r="CH68" i="24"/>
  <c r="CH69" i="24"/>
  <c r="CG34" i="24"/>
  <c r="CF34" i="24"/>
  <c r="CF68" i="24"/>
  <c r="CF69" i="24"/>
  <c r="CE34" i="24"/>
  <c r="CE35" i="24"/>
  <c r="CD34" i="24"/>
  <c r="CC34" i="24"/>
  <c r="CC35" i="24"/>
  <c r="CB34" i="24"/>
  <c r="CB68" i="24"/>
  <c r="CB69" i="24"/>
  <c r="CA34" i="24"/>
  <c r="BZ34" i="24"/>
  <c r="BZ35" i="24"/>
  <c r="BY34" i="24"/>
  <c r="BX34" i="24"/>
  <c r="BX35" i="24"/>
  <c r="BW34" i="24"/>
  <c r="BW68" i="24"/>
  <c r="BW69" i="24"/>
  <c r="BV34" i="24"/>
  <c r="BV35" i="24"/>
  <c r="BU34" i="24"/>
  <c r="BT34" i="24"/>
  <c r="BT35" i="24"/>
  <c r="BS34" i="24"/>
  <c r="BS68" i="24"/>
  <c r="BS69" i="24"/>
  <c r="BR34" i="24"/>
  <c r="BQ34" i="24"/>
  <c r="BQ68" i="24"/>
  <c r="BQ69" i="24"/>
  <c r="BP34" i="24"/>
  <c r="BP35" i="24"/>
  <c r="BO34" i="24"/>
  <c r="BO35" i="24"/>
  <c r="BN34" i="24"/>
  <c r="BN35" i="24"/>
  <c r="BM34" i="24"/>
  <c r="BL34" i="24"/>
  <c r="BK34" i="24"/>
  <c r="BJ34" i="24"/>
  <c r="BI34" i="24"/>
  <c r="BI68" i="24"/>
  <c r="BI69" i="24"/>
  <c r="BH34" i="24"/>
  <c r="BG34" i="24"/>
  <c r="BG68" i="24"/>
  <c r="BG69" i="24"/>
  <c r="BF34" i="24"/>
  <c r="BE34" i="24"/>
  <c r="BD34" i="24"/>
  <c r="BD68" i="24"/>
  <c r="BD69" i="24"/>
  <c r="BC34" i="24"/>
  <c r="BC68" i="24"/>
  <c r="BC69" i="24"/>
  <c r="BB34" i="24"/>
  <c r="BB68" i="24"/>
  <c r="BB69" i="24"/>
  <c r="BA34" i="24"/>
  <c r="AZ34" i="24"/>
  <c r="AZ68" i="24"/>
  <c r="AZ69" i="24"/>
  <c r="AY34" i="24"/>
  <c r="AY35" i="24"/>
  <c r="AX34" i="24"/>
  <c r="AX68" i="24"/>
  <c r="AX69" i="24"/>
  <c r="AX71" i="24"/>
  <c r="BN173" i="39"/>
  <c r="AW34" i="24"/>
  <c r="AV34" i="24"/>
  <c r="AU34" i="24"/>
  <c r="AT34" i="24"/>
  <c r="AT35" i="24"/>
  <c r="AS34" i="24"/>
  <c r="AR34" i="24"/>
  <c r="AR35" i="24"/>
  <c r="AQ34" i="24"/>
  <c r="AQ68" i="24"/>
  <c r="AQ69" i="24"/>
  <c r="AP34" i="24"/>
  <c r="AO34" i="24"/>
  <c r="AN34" i="24"/>
  <c r="AN68" i="24"/>
  <c r="AN69" i="24"/>
  <c r="AM34" i="24"/>
  <c r="AM68" i="24"/>
  <c r="AM69" i="24"/>
  <c r="AL34" i="24"/>
  <c r="AL35" i="24"/>
  <c r="AK34" i="24"/>
  <c r="AJ34" i="24"/>
  <c r="AJ35" i="24"/>
  <c r="AI34" i="24"/>
  <c r="AI68" i="24"/>
  <c r="AI69" i="24"/>
  <c r="AH34" i="24"/>
  <c r="AG34" i="24"/>
  <c r="AF34" i="24"/>
  <c r="CE21" i="24"/>
  <c r="CD21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EJ20" i="24"/>
  <c r="EI20" i="24"/>
  <c r="EI21" i="24"/>
  <c r="EH20" i="24"/>
  <c r="EG20" i="24"/>
  <c r="EF20" i="24"/>
  <c r="EF21" i="24"/>
  <c r="EE20" i="24"/>
  <c r="EE21" i="24"/>
  <c r="ED20" i="24"/>
  <c r="EC20" i="24"/>
  <c r="EC21" i="24"/>
  <c r="EC23" i="24"/>
  <c r="EB20" i="24"/>
  <c r="EB50" i="24"/>
  <c r="EB53" i="24"/>
  <c r="EA20" i="24"/>
  <c r="DZ20" i="24"/>
  <c r="DY20" i="24"/>
  <c r="DY21" i="24"/>
  <c r="DY23" i="24"/>
  <c r="EO165" i="39"/>
  <c r="DX20" i="24"/>
  <c r="DW20" i="24"/>
  <c r="DV20" i="24"/>
  <c r="DU20" i="24"/>
  <c r="DU50" i="24"/>
  <c r="DU53" i="24"/>
  <c r="DT20" i="24"/>
  <c r="DT50" i="24"/>
  <c r="DT53" i="24"/>
  <c r="DS20" i="24"/>
  <c r="DS21" i="24"/>
  <c r="DR20" i="24"/>
  <c r="DQ20" i="24"/>
  <c r="DQ50" i="24"/>
  <c r="DQ53" i="24"/>
  <c r="DP20" i="24"/>
  <c r="DO20" i="24"/>
  <c r="DO50" i="24"/>
  <c r="DO53" i="24"/>
  <c r="DO55" i="24"/>
  <c r="EE164" i="39"/>
  <c r="DN20" i="24"/>
  <c r="DM20" i="24"/>
  <c r="DM21" i="24"/>
  <c r="DM23" i="24"/>
  <c r="DL20" i="24"/>
  <c r="DL21" i="24"/>
  <c r="DK20" i="24"/>
  <c r="DK50" i="24"/>
  <c r="DK53" i="24"/>
  <c r="DJ20" i="24"/>
  <c r="DI20" i="24"/>
  <c r="DI21" i="24"/>
  <c r="DI23" i="24"/>
  <c r="DH20" i="24"/>
  <c r="DH21" i="24"/>
  <c r="DG20" i="24"/>
  <c r="DG21" i="24"/>
  <c r="DF20" i="24"/>
  <c r="DE20" i="24"/>
  <c r="DE21" i="24"/>
  <c r="DD20" i="24"/>
  <c r="DC20" i="24"/>
  <c r="DB20" i="24"/>
  <c r="DA20" i="24"/>
  <c r="CZ20" i="24"/>
  <c r="CY20" i="24"/>
  <c r="CY21" i="24"/>
  <c r="CX20" i="24"/>
  <c r="CW20" i="24"/>
  <c r="CW50" i="24"/>
  <c r="CW53" i="24"/>
  <c r="CV20" i="24"/>
  <c r="CU20" i="24"/>
  <c r="CT20" i="24"/>
  <c r="CS20" i="24"/>
  <c r="CS50" i="24"/>
  <c r="CS53" i="24"/>
  <c r="CR20" i="24"/>
  <c r="CR21" i="24"/>
  <c r="CQ20" i="24"/>
  <c r="CQ21" i="24"/>
  <c r="CP20" i="24"/>
  <c r="CO20" i="24"/>
  <c r="CO50" i="24"/>
  <c r="CO53" i="24"/>
  <c r="CN20" i="24"/>
  <c r="CN21" i="24"/>
  <c r="CM20" i="24"/>
  <c r="CM21" i="24"/>
  <c r="CL20" i="24"/>
  <c r="CK20" i="24"/>
  <c r="CK50" i="24"/>
  <c r="CK53" i="24"/>
  <c r="CJ20" i="24"/>
  <c r="CJ50" i="24"/>
  <c r="CJ53" i="24"/>
  <c r="CI20" i="24"/>
  <c r="CH20" i="24"/>
  <c r="CH21" i="24"/>
  <c r="CG20" i="24"/>
  <c r="CF20" i="24"/>
  <c r="AE18" i="24"/>
  <c r="AD18" i="24"/>
  <c r="AC18" i="24"/>
  <c r="AB18" i="24"/>
  <c r="AA18" i="24"/>
  <c r="Z18" i="24"/>
  <c r="Y18" i="24"/>
  <c r="X18" i="24"/>
  <c r="W18" i="24"/>
  <c r="V18" i="24"/>
  <c r="U18" i="24"/>
  <c r="U23" i="24"/>
  <c r="AK165" i="39"/>
  <c r="T18" i="24"/>
  <c r="S18" i="24"/>
  <c r="R18" i="24"/>
  <c r="Q18" i="24"/>
  <c r="P18" i="24"/>
  <c r="O18" i="24"/>
  <c r="O23" i="24"/>
  <c r="O33" i="24"/>
  <c r="O36" i="24"/>
  <c r="N18" i="24"/>
  <c r="M18" i="24"/>
  <c r="L18" i="24"/>
  <c r="K18" i="24"/>
  <c r="J18" i="24"/>
  <c r="I18" i="24"/>
  <c r="H18" i="24"/>
  <c r="G18" i="24"/>
  <c r="F18" i="24"/>
  <c r="E18" i="24"/>
  <c r="D18" i="24"/>
  <c r="EJ17" i="24"/>
  <c r="EJ18" i="24"/>
  <c r="EI17" i="24"/>
  <c r="EI18" i="24"/>
  <c r="EH17" i="24"/>
  <c r="EH18" i="24"/>
  <c r="EG17" i="24"/>
  <c r="EG18" i="24"/>
  <c r="EF17" i="24"/>
  <c r="EF18" i="24"/>
  <c r="EE17" i="24"/>
  <c r="EE18" i="24"/>
  <c r="ED17" i="24"/>
  <c r="ED18" i="24"/>
  <c r="EC17" i="24"/>
  <c r="EC18" i="24"/>
  <c r="EB17" i="24"/>
  <c r="EB18" i="24"/>
  <c r="EA17" i="24"/>
  <c r="EA18" i="24"/>
  <c r="DZ17" i="24"/>
  <c r="DZ18" i="24"/>
  <c r="DY17" i="24"/>
  <c r="DY18" i="24"/>
  <c r="DX17" i="24"/>
  <c r="DX18" i="24"/>
  <c r="DW17" i="24"/>
  <c r="DW18" i="24"/>
  <c r="DV17" i="24"/>
  <c r="DV18" i="24"/>
  <c r="DU17" i="24"/>
  <c r="DT17" i="24"/>
  <c r="DT18" i="24"/>
  <c r="DS17" i="24"/>
  <c r="DS18" i="24"/>
  <c r="DR17" i="24"/>
  <c r="DR18" i="24"/>
  <c r="DQ17" i="24"/>
  <c r="DQ18" i="24"/>
  <c r="DP17" i="24"/>
  <c r="DP18" i="24"/>
  <c r="DO17" i="24"/>
  <c r="DN17" i="24"/>
  <c r="DN18" i="24"/>
  <c r="DM17" i="24"/>
  <c r="DM18" i="24"/>
  <c r="DL17" i="24"/>
  <c r="DL18" i="24"/>
  <c r="DK17" i="24"/>
  <c r="DK18" i="24"/>
  <c r="DJ17" i="24"/>
  <c r="DJ18" i="24"/>
  <c r="DI17" i="24"/>
  <c r="DI18" i="24"/>
  <c r="DH17" i="24"/>
  <c r="DH18" i="24"/>
  <c r="DG17" i="24"/>
  <c r="DG18" i="24"/>
  <c r="DF17" i="24"/>
  <c r="DF18" i="24"/>
  <c r="DE17" i="24"/>
  <c r="DE18" i="24"/>
  <c r="DD17" i="24"/>
  <c r="DD18" i="24"/>
  <c r="DC17" i="24"/>
  <c r="DC18" i="24"/>
  <c r="DB17" i="24"/>
  <c r="DB18" i="24"/>
  <c r="DA17" i="24"/>
  <c r="DA18" i="24"/>
  <c r="CZ17" i="24"/>
  <c r="CZ18" i="24"/>
  <c r="CY17" i="24"/>
  <c r="CY18" i="24"/>
  <c r="CX17" i="24"/>
  <c r="CX18" i="24"/>
  <c r="CW17" i="24"/>
  <c r="CW18" i="24"/>
  <c r="CV17" i="24"/>
  <c r="CV18" i="24"/>
  <c r="CU17" i="24"/>
  <c r="CU18" i="24"/>
  <c r="CT17" i="24"/>
  <c r="CT18" i="24"/>
  <c r="CS17" i="24"/>
  <c r="CS18" i="24"/>
  <c r="CR17" i="24"/>
  <c r="CR18" i="24"/>
  <c r="CR23" i="24"/>
  <c r="CQ17" i="24"/>
  <c r="CP17" i="24"/>
  <c r="CP18" i="24"/>
  <c r="CO17" i="24"/>
  <c r="CO18" i="24"/>
  <c r="CN17" i="24"/>
  <c r="CN18" i="24"/>
  <c r="CM17" i="24"/>
  <c r="CL17" i="24"/>
  <c r="CL18" i="24"/>
  <c r="CK17" i="24"/>
  <c r="CK18" i="24"/>
  <c r="CJ17" i="24"/>
  <c r="CJ18" i="24"/>
  <c r="CI17" i="24"/>
  <c r="CH17" i="24"/>
  <c r="CH18" i="24"/>
  <c r="CG17" i="24"/>
  <c r="CG18" i="24"/>
  <c r="CF17" i="24"/>
  <c r="CF18" i="24"/>
  <c r="CE17" i="24"/>
  <c r="CD17" i="24"/>
  <c r="CD18" i="24"/>
  <c r="CC17" i="24"/>
  <c r="CC18" i="24"/>
  <c r="CB17" i="24"/>
  <c r="CB18" i="24"/>
  <c r="CB23" i="24"/>
  <c r="CA17" i="24"/>
  <c r="BZ17" i="24"/>
  <c r="BZ18" i="24"/>
  <c r="BY17" i="24"/>
  <c r="BY18" i="24"/>
  <c r="BX17" i="24"/>
  <c r="BX18" i="24"/>
  <c r="BX23" i="24"/>
  <c r="CN160" i="34"/>
  <c r="BW17" i="24"/>
  <c r="BV17" i="24"/>
  <c r="BV18" i="24"/>
  <c r="BU17" i="24"/>
  <c r="BT17" i="24"/>
  <c r="BT18" i="24"/>
  <c r="BT23" i="24"/>
  <c r="BS17" i="24"/>
  <c r="BR17" i="24"/>
  <c r="BR18" i="24"/>
  <c r="BQ17" i="24"/>
  <c r="BQ18" i="24"/>
  <c r="BP17" i="24"/>
  <c r="BP18" i="24"/>
  <c r="BP23" i="24"/>
  <c r="CF165" i="39"/>
  <c r="BO17" i="24"/>
  <c r="BN17" i="24"/>
  <c r="BN18" i="24"/>
  <c r="BM17" i="24"/>
  <c r="BM18" i="24"/>
  <c r="BL17" i="24"/>
  <c r="BL18" i="24"/>
  <c r="BL23" i="24"/>
  <c r="BK17" i="24"/>
  <c r="BJ17" i="24"/>
  <c r="BJ18" i="24"/>
  <c r="BI17" i="24"/>
  <c r="BI18" i="24"/>
  <c r="BH17" i="24"/>
  <c r="BH18" i="24"/>
  <c r="BH23" i="24"/>
  <c r="BG17" i="24"/>
  <c r="BF17" i="24"/>
  <c r="BF18" i="24"/>
  <c r="BE17" i="24"/>
  <c r="BE18" i="24"/>
  <c r="BD17" i="24"/>
  <c r="BD18" i="24"/>
  <c r="BD23" i="24"/>
  <c r="BC17" i="24"/>
  <c r="BB17" i="24"/>
  <c r="BB18" i="24"/>
  <c r="BA17" i="24"/>
  <c r="BA18" i="24"/>
  <c r="AZ17" i="24"/>
  <c r="AZ18" i="24"/>
  <c r="AZ23" i="24"/>
  <c r="BP160" i="34"/>
  <c r="AY17" i="24"/>
  <c r="AX17" i="24"/>
  <c r="AX18" i="24"/>
  <c r="AW17" i="24"/>
  <c r="AW18" i="24"/>
  <c r="AV17" i="24"/>
  <c r="AV18" i="24"/>
  <c r="AV23" i="24"/>
  <c r="BL165" i="39"/>
  <c r="AU17" i="24"/>
  <c r="AT17" i="24"/>
  <c r="AT18" i="24"/>
  <c r="AS17" i="24"/>
  <c r="AS18" i="24"/>
  <c r="AR17" i="24"/>
  <c r="AR18" i="24"/>
  <c r="AR23" i="24"/>
  <c r="AQ17" i="24"/>
  <c r="AP17" i="24"/>
  <c r="AP18" i="24"/>
  <c r="AO17" i="24"/>
  <c r="AO18" i="24"/>
  <c r="AN17" i="24"/>
  <c r="AN18" i="24"/>
  <c r="AN23" i="24"/>
  <c r="AM17" i="24"/>
  <c r="AL17" i="24"/>
  <c r="AL18" i="24"/>
  <c r="AK17" i="24"/>
  <c r="AK18" i="24"/>
  <c r="AJ17" i="24"/>
  <c r="AJ18" i="24"/>
  <c r="AJ23" i="24"/>
  <c r="AI17" i="24"/>
  <c r="AH17" i="24"/>
  <c r="AH18" i="24"/>
  <c r="AG17" i="24"/>
  <c r="AF17" i="24"/>
  <c r="AF18" i="24"/>
  <c r="AF23" i="24"/>
  <c r="AV165" i="39"/>
  <c r="N137" i="32"/>
  <c r="N139" i="32"/>
  <c r="M137" i="32"/>
  <c r="M139" i="32"/>
  <c r="L137" i="32"/>
  <c r="L139" i="32"/>
  <c r="K137" i="32"/>
  <c r="K139" i="32"/>
  <c r="J137" i="32"/>
  <c r="J139" i="32"/>
  <c r="I137" i="32"/>
  <c r="I139" i="32"/>
  <c r="H137" i="32"/>
  <c r="H139" i="32"/>
  <c r="G137" i="32"/>
  <c r="G139" i="32"/>
  <c r="F137" i="32"/>
  <c r="F139" i="32"/>
  <c r="E137" i="32"/>
  <c r="E139" i="32"/>
  <c r="N136" i="32"/>
  <c r="N138" i="32"/>
  <c r="M136" i="32"/>
  <c r="M138" i="32"/>
  <c r="M140" i="32"/>
  <c r="FT210" i="39"/>
  <c r="L136" i="32"/>
  <c r="L138" i="32"/>
  <c r="K136" i="32"/>
  <c r="K138" i="32"/>
  <c r="J136" i="32"/>
  <c r="J138" i="32"/>
  <c r="I136" i="32"/>
  <c r="I138" i="32"/>
  <c r="H136" i="32"/>
  <c r="H138" i="32"/>
  <c r="G136" i="32"/>
  <c r="G138" i="32"/>
  <c r="F136" i="32"/>
  <c r="F138" i="32"/>
  <c r="E136" i="32"/>
  <c r="E138" i="32"/>
  <c r="P130" i="32"/>
  <c r="P132" i="32"/>
  <c r="O130" i="32"/>
  <c r="O132" i="32"/>
  <c r="N130" i="32"/>
  <c r="N132" i="32"/>
  <c r="M130" i="32"/>
  <c r="M132" i="32"/>
  <c r="L130" i="32"/>
  <c r="L132" i="32"/>
  <c r="K130" i="32"/>
  <c r="K132" i="32"/>
  <c r="J130" i="32"/>
  <c r="J132" i="32"/>
  <c r="I130" i="32"/>
  <c r="I132" i="32"/>
  <c r="H130" i="32"/>
  <c r="H132" i="32"/>
  <c r="G130" i="32"/>
  <c r="G132" i="32"/>
  <c r="F130" i="32"/>
  <c r="F132" i="32"/>
  <c r="E130" i="32"/>
  <c r="E132" i="32"/>
  <c r="AB53" i="24"/>
  <c r="DM133" i="34"/>
  <c r="BO53" i="24"/>
  <c r="BW53" i="24"/>
  <c r="BS53" i="24"/>
  <c r="AG53" i="24"/>
  <c r="AD53" i="24"/>
  <c r="AQ53" i="24"/>
  <c r="AM53" i="24"/>
  <c r="AY53" i="24"/>
  <c r="AU53" i="24"/>
  <c r="AT53" i="24"/>
  <c r="AT55" i="24"/>
  <c r="BE53" i="24"/>
  <c r="BK53" i="24"/>
  <c r="G67" i="24"/>
  <c r="G71" i="24"/>
  <c r="S67" i="24"/>
  <c r="O55" i="24"/>
  <c r="B45" i="35"/>
  <c r="BN133" i="34"/>
  <c r="B39" i="35"/>
  <c r="B41" i="35"/>
  <c r="B44" i="35"/>
  <c r="BQ35" i="24"/>
  <c r="P129" i="32"/>
  <c r="P131" i="32"/>
  <c r="O129" i="32"/>
  <c r="O131" i="32"/>
  <c r="O133" i="32"/>
  <c r="FJ210" i="39"/>
  <c r="N129" i="32"/>
  <c r="N131" i="32"/>
  <c r="M129" i="32"/>
  <c r="M131" i="32"/>
  <c r="L129" i="32"/>
  <c r="L131" i="32"/>
  <c r="K129" i="32"/>
  <c r="K131" i="32"/>
  <c r="J129" i="32"/>
  <c r="J131" i="32"/>
  <c r="I129" i="32"/>
  <c r="I131" i="32"/>
  <c r="I133" i="32"/>
  <c r="FD210" i="39"/>
  <c r="H129" i="32"/>
  <c r="H131" i="32"/>
  <c r="G129" i="32"/>
  <c r="G131" i="32"/>
  <c r="F129" i="32"/>
  <c r="F131" i="32"/>
  <c r="E129" i="32"/>
  <c r="E131" i="32"/>
  <c r="P123" i="32"/>
  <c r="P125" i="32"/>
  <c r="O123" i="32"/>
  <c r="O125" i="32"/>
  <c r="N123" i="32"/>
  <c r="N125" i="32"/>
  <c r="M123" i="32"/>
  <c r="M125" i="32"/>
  <c r="L123" i="32"/>
  <c r="L125" i="32"/>
  <c r="K123" i="32"/>
  <c r="K125" i="32"/>
  <c r="J123" i="32"/>
  <c r="J125" i="32"/>
  <c r="I123" i="32"/>
  <c r="I125" i="32"/>
  <c r="H123" i="32"/>
  <c r="H125" i="32"/>
  <c r="G123" i="32"/>
  <c r="G125" i="32"/>
  <c r="F123" i="32"/>
  <c r="F125" i="32"/>
  <c r="E123" i="32"/>
  <c r="E125" i="32"/>
  <c r="P122" i="32"/>
  <c r="P124" i="32"/>
  <c r="O122" i="32"/>
  <c r="O124" i="32"/>
  <c r="N122" i="32"/>
  <c r="N124" i="32"/>
  <c r="N126" i="32"/>
  <c r="EW210" i="39"/>
  <c r="M122" i="32"/>
  <c r="M124" i="32"/>
  <c r="L122" i="32"/>
  <c r="L124" i="32"/>
  <c r="L126" i="32"/>
  <c r="EU210" i="39"/>
  <c r="K122" i="32"/>
  <c r="K124" i="32"/>
  <c r="J122" i="32"/>
  <c r="J124" i="32"/>
  <c r="I122" i="32"/>
  <c r="I124" i="32"/>
  <c r="I126" i="32"/>
  <c r="ER210" i="39"/>
  <c r="H122" i="32"/>
  <c r="H124" i="32"/>
  <c r="G122" i="32"/>
  <c r="G124" i="32"/>
  <c r="F122" i="32"/>
  <c r="F124" i="32"/>
  <c r="E122" i="32"/>
  <c r="E124" i="32"/>
  <c r="E126" i="32"/>
  <c r="EN210" i="39"/>
  <c r="P116" i="32"/>
  <c r="P118" i="32"/>
  <c r="O116" i="32"/>
  <c r="O118" i="32"/>
  <c r="N116" i="32"/>
  <c r="N118" i="32"/>
  <c r="M116" i="32"/>
  <c r="M118" i="32"/>
  <c r="L116" i="32"/>
  <c r="L118" i="32"/>
  <c r="K116" i="32"/>
  <c r="K118" i="32"/>
  <c r="J116" i="32"/>
  <c r="J118" i="32"/>
  <c r="I116" i="32"/>
  <c r="I118" i="32"/>
  <c r="H116" i="32"/>
  <c r="H118" i="32"/>
  <c r="G116" i="32"/>
  <c r="G118" i="32"/>
  <c r="F116" i="32"/>
  <c r="F118" i="32"/>
  <c r="E116" i="32"/>
  <c r="E118" i="32"/>
  <c r="P115" i="32"/>
  <c r="P117" i="32"/>
  <c r="P119" i="32"/>
  <c r="EM210" i="39"/>
  <c r="O115" i="32"/>
  <c r="O117" i="32"/>
  <c r="N115" i="32"/>
  <c r="N117" i="32"/>
  <c r="M115" i="32"/>
  <c r="M117" i="32"/>
  <c r="L115" i="32"/>
  <c r="L117" i="32"/>
  <c r="L119" i="32"/>
  <c r="EI210" i="39"/>
  <c r="K115" i="32"/>
  <c r="K117" i="32"/>
  <c r="J115" i="32"/>
  <c r="J117" i="32"/>
  <c r="I115" i="32"/>
  <c r="I117" i="32"/>
  <c r="H115" i="32"/>
  <c r="H117" i="32"/>
  <c r="H119" i="32"/>
  <c r="EE210" i="39"/>
  <c r="G115" i="32"/>
  <c r="G117" i="32"/>
  <c r="F115" i="32"/>
  <c r="F117" i="32"/>
  <c r="E115" i="32"/>
  <c r="E117" i="32"/>
  <c r="P109" i="32"/>
  <c r="P111" i="32"/>
  <c r="O109" i="32"/>
  <c r="O111" i="32"/>
  <c r="N109" i="32"/>
  <c r="N111" i="32"/>
  <c r="M109" i="32"/>
  <c r="M111" i="32"/>
  <c r="L109" i="32"/>
  <c r="L111" i="32"/>
  <c r="K109" i="32"/>
  <c r="K111" i="32"/>
  <c r="J109" i="32"/>
  <c r="J111" i="32"/>
  <c r="I109" i="32"/>
  <c r="I111" i="32"/>
  <c r="H109" i="32"/>
  <c r="H111" i="32"/>
  <c r="G109" i="32"/>
  <c r="G111" i="32"/>
  <c r="F109" i="32"/>
  <c r="F111" i="32"/>
  <c r="E109" i="32"/>
  <c r="E111" i="32"/>
  <c r="P108" i="32"/>
  <c r="P110" i="32"/>
  <c r="P112" i="32"/>
  <c r="EA210" i="39"/>
  <c r="O108" i="32"/>
  <c r="O110" i="32"/>
  <c r="O112" i="32"/>
  <c r="N108" i="32"/>
  <c r="N110" i="32"/>
  <c r="N112" i="32"/>
  <c r="DY210" i="39"/>
  <c r="M108" i="32"/>
  <c r="M110" i="32"/>
  <c r="M112" i="32"/>
  <c r="DX210" i="39"/>
  <c r="L108" i="32"/>
  <c r="L110" i="32"/>
  <c r="K108" i="32"/>
  <c r="K110" i="32"/>
  <c r="J108" i="32"/>
  <c r="J110" i="32"/>
  <c r="I108" i="32"/>
  <c r="I110" i="32"/>
  <c r="I112" i="32"/>
  <c r="DT210" i="39"/>
  <c r="H108" i="32"/>
  <c r="H110" i="32"/>
  <c r="G108" i="32"/>
  <c r="G110" i="32"/>
  <c r="G112" i="32"/>
  <c r="DR210" i="39"/>
  <c r="F108" i="32"/>
  <c r="F110" i="32"/>
  <c r="E108" i="32"/>
  <c r="E110" i="32"/>
  <c r="P101" i="32"/>
  <c r="O101" i="32"/>
  <c r="N101" i="32"/>
  <c r="M101" i="32"/>
  <c r="L101" i="32"/>
  <c r="K101" i="32"/>
  <c r="J101" i="32"/>
  <c r="I101" i="32"/>
  <c r="H101" i="32"/>
  <c r="G101" i="32"/>
  <c r="F101" i="32"/>
  <c r="E101" i="32"/>
  <c r="P99" i="32"/>
  <c r="P102" i="32"/>
  <c r="P103" i="32"/>
  <c r="DO210" i="39"/>
  <c r="O99" i="32"/>
  <c r="O102" i="32"/>
  <c r="N99" i="32"/>
  <c r="N102" i="32"/>
  <c r="N103" i="32"/>
  <c r="M99" i="32"/>
  <c r="M102" i="32"/>
  <c r="L99" i="32"/>
  <c r="L102" i="32"/>
  <c r="L103" i="32"/>
  <c r="K99" i="32"/>
  <c r="K102" i="32"/>
  <c r="K103" i="32"/>
  <c r="DJ205" i="34"/>
  <c r="J99" i="32"/>
  <c r="J102" i="32"/>
  <c r="J103" i="32"/>
  <c r="I99" i="32"/>
  <c r="I102" i="32"/>
  <c r="H99" i="32"/>
  <c r="H102" i="32"/>
  <c r="H103" i="32"/>
  <c r="G99" i="32"/>
  <c r="G102" i="32"/>
  <c r="F99" i="32"/>
  <c r="F102" i="32"/>
  <c r="F103" i="32"/>
  <c r="E99" i="32"/>
  <c r="E102" i="32"/>
  <c r="P91" i="32"/>
  <c r="O91" i="32"/>
  <c r="N91" i="32"/>
  <c r="M91" i="32"/>
  <c r="L91" i="32"/>
  <c r="K91" i="32"/>
  <c r="J91" i="32"/>
  <c r="I91" i="32"/>
  <c r="H91" i="32"/>
  <c r="G91" i="32"/>
  <c r="F91" i="32"/>
  <c r="E91" i="32"/>
  <c r="P89" i="32"/>
  <c r="P92" i="32"/>
  <c r="P93" i="32"/>
  <c r="O89" i="32"/>
  <c r="O92" i="32"/>
  <c r="O93" i="32"/>
  <c r="N89" i="32"/>
  <c r="N92" i="32"/>
  <c r="N93" i="32"/>
  <c r="M89" i="32"/>
  <c r="M92" i="32"/>
  <c r="L89" i="32"/>
  <c r="L92" i="32"/>
  <c r="L93" i="32"/>
  <c r="K89" i="32"/>
  <c r="K92" i="32"/>
  <c r="J89" i="32"/>
  <c r="J92" i="32"/>
  <c r="J93" i="32"/>
  <c r="I89" i="32"/>
  <c r="I92" i="32"/>
  <c r="H89" i="32"/>
  <c r="H92" i="32"/>
  <c r="H93" i="32"/>
  <c r="CU210" i="39"/>
  <c r="G89" i="32"/>
  <c r="G92" i="32"/>
  <c r="F89" i="32"/>
  <c r="F92" i="32"/>
  <c r="F93" i="32"/>
  <c r="E89" i="32"/>
  <c r="E92" i="32"/>
  <c r="P81" i="32"/>
  <c r="O81" i="32"/>
  <c r="N81" i="32"/>
  <c r="M81" i="32"/>
  <c r="L81" i="32"/>
  <c r="K81" i="32"/>
  <c r="J81" i="32"/>
  <c r="I81" i="32"/>
  <c r="H81" i="32"/>
  <c r="G81" i="32"/>
  <c r="F81" i="32"/>
  <c r="E81" i="32"/>
  <c r="P79" i="32"/>
  <c r="P82" i="32"/>
  <c r="P83" i="32"/>
  <c r="CQ205" i="34"/>
  <c r="O79" i="32"/>
  <c r="O82" i="32"/>
  <c r="O83" i="32"/>
  <c r="N79" i="32"/>
  <c r="N82" i="32"/>
  <c r="M79" i="32"/>
  <c r="M82" i="32"/>
  <c r="L79" i="32"/>
  <c r="L82" i="32"/>
  <c r="K79" i="32"/>
  <c r="K82" i="32"/>
  <c r="K83" i="32"/>
  <c r="J79" i="32"/>
  <c r="J82" i="32"/>
  <c r="I79" i="32"/>
  <c r="I82" i="32"/>
  <c r="I83" i="32"/>
  <c r="H79" i="32"/>
  <c r="H82" i="32"/>
  <c r="G79" i="32"/>
  <c r="G82" i="32"/>
  <c r="G83" i="32"/>
  <c r="F79" i="32"/>
  <c r="F82" i="32"/>
  <c r="E79" i="32"/>
  <c r="E82" i="32"/>
  <c r="P71" i="32"/>
  <c r="O71" i="32"/>
  <c r="N71" i="32"/>
  <c r="M71" i="32"/>
  <c r="L71" i="32"/>
  <c r="K71" i="32"/>
  <c r="J71" i="32"/>
  <c r="I71" i="32"/>
  <c r="H71" i="32"/>
  <c r="G71" i="32"/>
  <c r="F71" i="32"/>
  <c r="E71" i="32"/>
  <c r="P69" i="32"/>
  <c r="P72" i="32"/>
  <c r="P73" i="32"/>
  <c r="O69" i="32"/>
  <c r="O72" i="32"/>
  <c r="O73" i="32"/>
  <c r="N69" i="32"/>
  <c r="N72" i="32"/>
  <c r="N73" i="32"/>
  <c r="M69" i="32"/>
  <c r="M72" i="32"/>
  <c r="L69" i="32"/>
  <c r="L72" i="32"/>
  <c r="L73" i="32"/>
  <c r="K69" i="32"/>
  <c r="K72" i="32"/>
  <c r="K73" i="32"/>
  <c r="J69" i="32"/>
  <c r="J72" i="32"/>
  <c r="J73" i="32"/>
  <c r="I69" i="32"/>
  <c r="I72" i="32"/>
  <c r="H69" i="32"/>
  <c r="H72" i="32"/>
  <c r="H73" i="32"/>
  <c r="G69" i="32"/>
  <c r="G72" i="32"/>
  <c r="F69" i="32"/>
  <c r="F72" i="32"/>
  <c r="F73" i="32"/>
  <c r="BU205" i="34"/>
  <c r="E69" i="32"/>
  <c r="E72" i="32"/>
  <c r="P61" i="32"/>
  <c r="O61" i="32"/>
  <c r="N61" i="32"/>
  <c r="M61" i="32"/>
  <c r="L61" i="32"/>
  <c r="K61" i="32"/>
  <c r="J61" i="32"/>
  <c r="I61" i="32"/>
  <c r="H61" i="32"/>
  <c r="G61" i="32"/>
  <c r="F61" i="32"/>
  <c r="E61" i="32"/>
  <c r="P59" i="32"/>
  <c r="P62" i="32"/>
  <c r="P63" i="32"/>
  <c r="O59" i="32"/>
  <c r="O62" i="32"/>
  <c r="O63" i="32"/>
  <c r="BR205" i="34"/>
  <c r="N59" i="32"/>
  <c r="N62" i="32"/>
  <c r="N63" i="32"/>
  <c r="M59" i="32"/>
  <c r="M62" i="32"/>
  <c r="M63" i="32"/>
  <c r="BP205" i="34"/>
  <c r="L59" i="32"/>
  <c r="L62" i="32"/>
  <c r="L63" i="32"/>
  <c r="BO205" i="34"/>
  <c r="K59" i="32"/>
  <c r="K62" i="32"/>
  <c r="K63" i="32"/>
  <c r="BN210" i="39"/>
  <c r="J59" i="32"/>
  <c r="J62" i="32"/>
  <c r="I59" i="32"/>
  <c r="I62" i="32"/>
  <c r="I63" i="32"/>
  <c r="BL205" i="34"/>
  <c r="H59" i="32"/>
  <c r="H62" i="32"/>
  <c r="G59" i="32"/>
  <c r="G62" i="32"/>
  <c r="G63" i="32"/>
  <c r="F59" i="32"/>
  <c r="F62" i="32"/>
  <c r="E59" i="32"/>
  <c r="E62" i="32"/>
  <c r="E63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P49" i="32"/>
  <c r="P52" i="32"/>
  <c r="P53" i="32"/>
  <c r="O49" i="32"/>
  <c r="O52" i="32"/>
  <c r="O53" i="32"/>
  <c r="N49" i="32"/>
  <c r="N52" i="32"/>
  <c r="N53" i="32"/>
  <c r="M49" i="32"/>
  <c r="M52" i="32"/>
  <c r="M53" i="32"/>
  <c r="L49" i="32"/>
  <c r="L52" i="32"/>
  <c r="K49" i="32"/>
  <c r="K52" i="32"/>
  <c r="K53" i="32"/>
  <c r="J49" i="32"/>
  <c r="J52" i="32"/>
  <c r="I49" i="32"/>
  <c r="I52" i="32"/>
  <c r="I53" i="32"/>
  <c r="AZ205" i="34"/>
  <c r="H49" i="32"/>
  <c r="H52" i="32"/>
  <c r="G49" i="32"/>
  <c r="G52" i="32"/>
  <c r="G53" i="32"/>
  <c r="F49" i="32"/>
  <c r="F52" i="32"/>
  <c r="E49" i="32"/>
  <c r="E52" i="32"/>
  <c r="E53" i="32"/>
  <c r="M41" i="32"/>
  <c r="L41" i="32"/>
  <c r="K41" i="32"/>
  <c r="J41" i="32"/>
  <c r="I41" i="32"/>
  <c r="H41" i="32"/>
  <c r="G41" i="32"/>
  <c r="F41" i="32"/>
  <c r="E41" i="32"/>
  <c r="P40" i="32"/>
  <c r="O40" i="32"/>
  <c r="N40" i="32"/>
  <c r="M40" i="32"/>
  <c r="M43" i="32"/>
  <c r="L40" i="32"/>
  <c r="L43" i="32"/>
  <c r="K40" i="32"/>
  <c r="K43" i="32"/>
  <c r="J40" i="32"/>
  <c r="I40" i="32"/>
  <c r="I43" i="32"/>
  <c r="H40" i="32"/>
  <c r="H43" i="32"/>
  <c r="G40" i="32"/>
  <c r="G43" i="32"/>
  <c r="F40" i="32"/>
  <c r="F43" i="32"/>
  <c r="E40" i="32"/>
  <c r="E43" i="32"/>
  <c r="P38" i="32"/>
  <c r="P41" i="32"/>
  <c r="P43" i="32"/>
  <c r="O38" i="32"/>
  <c r="O41" i="32"/>
  <c r="O43" i="32"/>
  <c r="AT205" i="34"/>
  <c r="N38" i="32"/>
  <c r="N41" i="32"/>
  <c r="N43" i="32"/>
  <c r="AS205" i="34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W30" i="32"/>
  <c r="V30" i="32"/>
  <c r="U30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C28" i="32"/>
  <c r="C38" i="32"/>
  <c r="C49" i="32"/>
  <c r="C59" i="32"/>
  <c r="C69" i="32"/>
  <c r="C79" i="32"/>
  <c r="C89" i="32"/>
  <c r="C99" i="32"/>
  <c r="C109" i="32"/>
  <c r="B28" i="32"/>
  <c r="C27" i="32"/>
  <c r="C37" i="32"/>
  <c r="C48" i="32"/>
  <c r="C58" i="32"/>
  <c r="C68" i="32"/>
  <c r="C78" i="32"/>
  <c r="C88" i="32"/>
  <c r="C98" i="32"/>
  <c r="C108" i="32"/>
  <c r="B27" i="32"/>
  <c r="H14" i="32"/>
  <c r="G14" i="32"/>
  <c r="F14" i="32"/>
  <c r="E13" i="32"/>
  <c r="E14" i="32"/>
  <c r="D13" i="32"/>
  <c r="D14" i="32"/>
  <c r="C13" i="32"/>
  <c r="C14" i="32"/>
  <c r="E217" i="31"/>
  <c r="N216" i="31"/>
  <c r="N219" i="31"/>
  <c r="N222" i="31"/>
  <c r="M216" i="31"/>
  <c r="M219" i="31"/>
  <c r="M222" i="31"/>
  <c r="L216" i="31"/>
  <c r="L219" i="31"/>
  <c r="L222" i="31"/>
  <c r="K216" i="31"/>
  <c r="K219" i="31"/>
  <c r="K222" i="31"/>
  <c r="J216" i="31"/>
  <c r="J219" i="31"/>
  <c r="J222" i="31"/>
  <c r="I216" i="31"/>
  <c r="I219" i="31"/>
  <c r="I222" i="31"/>
  <c r="H216" i="31"/>
  <c r="H219" i="31"/>
  <c r="H222" i="31"/>
  <c r="G216" i="31"/>
  <c r="G219" i="31"/>
  <c r="G222" i="31"/>
  <c r="F216" i="31"/>
  <c r="F219" i="31"/>
  <c r="F222" i="31"/>
  <c r="E216" i="31"/>
  <c r="N214" i="31"/>
  <c r="N220" i="31"/>
  <c r="M214" i="31"/>
  <c r="M220" i="31"/>
  <c r="L214" i="31"/>
  <c r="L220" i="31"/>
  <c r="K214" i="31"/>
  <c r="K220" i="31"/>
  <c r="J214" i="31"/>
  <c r="J220" i="31"/>
  <c r="I214" i="31"/>
  <c r="I220" i="31"/>
  <c r="H214" i="31"/>
  <c r="H220" i="31"/>
  <c r="G214" i="31"/>
  <c r="G220" i="31"/>
  <c r="F214" i="31"/>
  <c r="F220" i="31"/>
  <c r="E214" i="31"/>
  <c r="E220" i="31"/>
  <c r="P202" i="31"/>
  <c r="P205" i="31"/>
  <c r="P208" i="31"/>
  <c r="O202" i="31"/>
  <c r="O205" i="31"/>
  <c r="O208" i="31"/>
  <c r="N202" i="31"/>
  <c r="N205" i="31"/>
  <c r="N208" i="31"/>
  <c r="M202" i="31"/>
  <c r="M205" i="31"/>
  <c r="M208" i="31"/>
  <c r="L202" i="31"/>
  <c r="L205" i="31"/>
  <c r="L208" i="31"/>
  <c r="K202" i="31"/>
  <c r="K205" i="31"/>
  <c r="K208" i="31"/>
  <c r="J202" i="31"/>
  <c r="J205" i="31"/>
  <c r="J208" i="31"/>
  <c r="I202" i="31"/>
  <c r="I205" i="31"/>
  <c r="I208" i="31"/>
  <c r="H202" i="31"/>
  <c r="H205" i="31"/>
  <c r="H208" i="31"/>
  <c r="G202" i="31"/>
  <c r="G205" i="31"/>
  <c r="G208" i="31"/>
  <c r="F202" i="31"/>
  <c r="F205" i="31"/>
  <c r="F208" i="31"/>
  <c r="E202" i="31"/>
  <c r="E205" i="31"/>
  <c r="E208" i="31"/>
  <c r="P200" i="31"/>
  <c r="P206" i="31"/>
  <c r="O200" i="31"/>
  <c r="O206" i="31"/>
  <c r="N200" i="31"/>
  <c r="N206" i="31"/>
  <c r="M200" i="31"/>
  <c r="M206" i="31"/>
  <c r="L200" i="31"/>
  <c r="L206" i="31"/>
  <c r="K200" i="31"/>
  <c r="K206" i="31"/>
  <c r="J200" i="31"/>
  <c r="J206" i="31"/>
  <c r="I200" i="31"/>
  <c r="I206" i="31"/>
  <c r="H200" i="31"/>
  <c r="H206" i="31"/>
  <c r="G200" i="31"/>
  <c r="G206" i="31"/>
  <c r="F200" i="31"/>
  <c r="F206" i="31"/>
  <c r="E200" i="31"/>
  <c r="E206" i="31"/>
  <c r="M191" i="31"/>
  <c r="L191" i="31"/>
  <c r="K191" i="31"/>
  <c r="J191" i="31"/>
  <c r="I191" i="31"/>
  <c r="H191" i="31"/>
  <c r="G191" i="31"/>
  <c r="P190" i="31"/>
  <c r="P193" i="31"/>
  <c r="P196" i="31"/>
  <c r="O190" i="31"/>
  <c r="O193" i="31"/>
  <c r="O196" i="31"/>
  <c r="N190" i="31"/>
  <c r="N193" i="31"/>
  <c r="N196" i="31"/>
  <c r="M190" i="31"/>
  <c r="M193" i="31"/>
  <c r="M196" i="31"/>
  <c r="L190" i="31"/>
  <c r="K190" i="31"/>
  <c r="J190" i="31"/>
  <c r="I190" i="31"/>
  <c r="I193" i="31"/>
  <c r="I196" i="31"/>
  <c r="H190" i="31"/>
  <c r="G190" i="31"/>
  <c r="F190" i="31"/>
  <c r="F193" i="31"/>
  <c r="F196" i="31"/>
  <c r="E190" i="31"/>
  <c r="E193" i="31"/>
  <c r="E196" i="31"/>
  <c r="P188" i="31"/>
  <c r="P194" i="31"/>
  <c r="O188" i="31"/>
  <c r="O194" i="31"/>
  <c r="N188" i="31"/>
  <c r="N194" i="31"/>
  <c r="M188" i="31"/>
  <c r="M194" i="31"/>
  <c r="L188" i="31"/>
  <c r="L194" i="31"/>
  <c r="K188" i="31"/>
  <c r="K194" i="31"/>
  <c r="J188" i="31"/>
  <c r="J194" i="31"/>
  <c r="I188" i="31"/>
  <c r="I194" i="31"/>
  <c r="H188" i="31"/>
  <c r="H194" i="31"/>
  <c r="G188" i="31"/>
  <c r="G194" i="31"/>
  <c r="F188" i="31"/>
  <c r="F194" i="31"/>
  <c r="E188" i="31"/>
  <c r="E194" i="31"/>
  <c r="L179" i="31"/>
  <c r="I179" i="31"/>
  <c r="H179" i="31"/>
  <c r="G179" i="31"/>
  <c r="F179" i="31"/>
  <c r="E179" i="31"/>
  <c r="P178" i="31"/>
  <c r="P181" i="31"/>
  <c r="P184" i="31"/>
  <c r="O178" i="31"/>
  <c r="O181" i="31"/>
  <c r="O184" i="31"/>
  <c r="N178" i="31"/>
  <c r="N181" i="31"/>
  <c r="N184" i="31"/>
  <c r="M178" i="31"/>
  <c r="M181" i="31"/>
  <c r="M184" i="31"/>
  <c r="L178" i="31"/>
  <c r="K178" i="31"/>
  <c r="J178" i="31"/>
  <c r="I178" i="31"/>
  <c r="H178" i="31"/>
  <c r="H181" i="31"/>
  <c r="H184" i="31"/>
  <c r="G178" i="31"/>
  <c r="F178" i="31"/>
  <c r="E178" i="31"/>
  <c r="P176" i="31"/>
  <c r="P182" i="31"/>
  <c r="O176" i="31"/>
  <c r="O182" i="31"/>
  <c r="N176" i="31"/>
  <c r="N182" i="31"/>
  <c r="M176" i="31"/>
  <c r="M182" i="31"/>
  <c r="L176" i="31"/>
  <c r="L182" i="31"/>
  <c r="K176" i="31"/>
  <c r="K182" i="31"/>
  <c r="J176" i="31"/>
  <c r="J182" i="31"/>
  <c r="I176" i="31"/>
  <c r="I182" i="31"/>
  <c r="H176" i="31"/>
  <c r="H182" i="31"/>
  <c r="G176" i="31"/>
  <c r="G182" i="31"/>
  <c r="F176" i="31"/>
  <c r="F182" i="31"/>
  <c r="E176" i="31"/>
  <c r="E182" i="31"/>
  <c r="P165" i="31"/>
  <c r="O165" i="31"/>
  <c r="N165" i="31"/>
  <c r="M165" i="31"/>
  <c r="L165" i="31"/>
  <c r="K165" i="31"/>
  <c r="I165" i="31"/>
  <c r="P164" i="31"/>
  <c r="O164" i="31"/>
  <c r="N164" i="31"/>
  <c r="M164" i="31"/>
  <c r="L164" i="31"/>
  <c r="K164" i="31"/>
  <c r="J164" i="31"/>
  <c r="J167" i="31"/>
  <c r="J171" i="31"/>
  <c r="I164" i="31"/>
  <c r="I167" i="31"/>
  <c r="I171" i="31"/>
  <c r="H164" i="31"/>
  <c r="H167" i="31"/>
  <c r="H171" i="31"/>
  <c r="G164" i="31"/>
  <c r="G167" i="31"/>
  <c r="G171" i="31"/>
  <c r="F164" i="31"/>
  <c r="F167" i="31"/>
  <c r="F171" i="31"/>
  <c r="E164" i="31"/>
  <c r="E167" i="31"/>
  <c r="E171" i="31"/>
  <c r="P162" i="31"/>
  <c r="P169" i="31"/>
  <c r="O162" i="31"/>
  <c r="O169" i="31"/>
  <c r="N162" i="31"/>
  <c r="N169" i="31"/>
  <c r="M162" i="31"/>
  <c r="M169" i="31"/>
  <c r="L162" i="31"/>
  <c r="L169" i="31"/>
  <c r="K162" i="31"/>
  <c r="K169" i="31"/>
  <c r="J162" i="31"/>
  <c r="J169" i="31"/>
  <c r="I162" i="31"/>
  <c r="I169" i="31"/>
  <c r="H162" i="31"/>
  <c r="H169" i="31"/>
  <c r="G162" i="31"/>
  <c r="G169" i="31"/>
  <c r="F162" i="31"/>
  <c r="F169" i="31"/>
  <c r="E162" i="31"/>
  <c r="E169" i="31"/>
  <c r="L149" i="31"/>
  <c r="K149" i="31"/>
  <c r="J149" i="31"/>
  <c r="I149" i="31"/>
  <c r="H149" i="31"/>
  <c r="G149" i="31"/>
  <c r="P148" i="31"/>
  <c r="P151" i="31"/>
  <c r="P155" i="31"/>
  <c r="O148" i="31"/>
  <c r="O151" i="31"/>
  <c r="O155" i="31"/>
  <c r="N148" i="31"/>
  <c r="N151" i="31"/>
  <c r="N155" i="31"/>
  <c r="M148" i="31"/>
  <c r="M151" i="31"/>
  <c r="M155" i="31"/>
  <c r="L148" i="31"/>
  <c r="K148" i="31"/>
  <c r="J148" i="31"/>
  <c r="I148" i="31"/>
  <c r="H148" i="31"/>
  <c r="G148" i="31"/>
  <c r="F148" i="31"/>
  <c r="F151" i="31"/>
  <c r="F155" i="31"/>
  <c r="E148" i="31"/>
  <c r="E151" i="31"/>
  <c r="E155" i="31"/>
  <c r="P146" i="31"/>
  <c r="P153" i="31"/>
  <c r="O146" i="31"/>
  <c r="O153" i="31"/>
  <c r="N146" i="31"/>
  <c r="N153" i="31"/>
  <c r="M146" i="31"/>
  <c r="M153" i="31"/>
  <c r="L146" i="31"/>
  <c r="L153" i="31"/>
  <c r="K146" i="31"/>
  <c r="K153" i="31"/>
  <c r="J146" i="31"/>
  <c r="J153" i="31"/>
  <c r="I146" i="31"/>
  <c r="I153" i="31"/>
  <c r="H146" i="31"/>
  <c r="H153" i="31"/>
  <c r="G146" i="31"/>
  <c r="G153" i="31"/>
  <c r="F146" i="31"/>
  <c r="F153" i="31"/>
  <c r="E146" i="31"/>
  <c r="E153" i="31"/>
  <c r="P133" i="31"/>
  <c r="O133" i="31"/>
  <c r="N133" i="31"/>
  <c r="M133" i="31"/>
  <c r="L133" i="31"/>
  <c r="K133" i="31"/>
  <c r="J133" i="31"/>
  <c r="I133" i="31"/>
  <c r="H133" i="31"/>
  <c r="G133" i="31"/>
  <c r="F133" i="31"/>
  <c r="E133" i="31"/>
  <c r="P132" i="31"/>
  <c r="P135" i="31"/>
  <c r="P139" i="31"/>
  <c r="O132" i="31"/>
  <c r="N132" i="31"/>
  <c r="M132" i="31"/>
  <c r="M135" i="31"/>
  <c r="M139" i="31"/>
  <c r="L132" i="31"/>
  <c r="K132" i="31"/>
  <c r="J132" i="31"/>
  <c r="J135" i="31"/>
  <c r="J139" i="31"/>
  <c r="I132" i="31"/>
  <c r="I135" i="31"/>
  <c r="I139" i="31"/>
  <c r="H132" i="31"/>
  <c r="H135" i="31"/>
  <c r="H139" i="31"/>
  <c r="G132" i="31"/>
  <c r="F132" i="31"/>
  <c r="E132" i="31"/>
  <c r="E135" i="31"/>
  <c r="E139" i="31"/>
  <c r="P130" i="31"/>
  <c r="P137" i="31"/>
  <c r="O130" i="31"/>
  <c r="O137" i="31"/>
  <c r="N130" i="31"/>
  <c r="N137" i="31"/>
  <c r="M130" i="31"/>
  <c r="M137" i="31"/>
  <c r="L130" i="31"/>
  <c r="L137" i="31"/>
  <c r="K130" i="31"/>
  <c r="K137" i="31"/>
  <c r="J130" i="31"/>
  <c r="J137" i="31"/>
  <c r="I130" i="31"/>
  <c r="I137" i="31"/>
  <c r="H130" i="31"/>
  <c r="H137" i="31"/>
  <c r="G130" i="31"/>
  <c r="G137" i="31"/>
  <c r="F130" i="31"/>
  <c r="F137" i="31"/>
  <c r="E130" i="31"/>
  <c r="E137" i="31"/>
  <c r="P118" i="31"/>
  <c r="O118" i="31"/>
  <c r="N118" i="31"/>
  <c r="M118" i="31"/>
  <c r="L118" i="31"/>
  <c r="K118" i="31"/>
  <c r="J118" i="31"/>
  <c r="I118" i="31"/>
  <c r="H118" i="31"/>
  <c r="G118" i="31"/>
  <c r="F118" i="31"/>
  <c r="E118" i="31"/>
  <c r="P117" i="31"/>
  <c r="O117" i="31"/>
  <c r="N117" i="31"/>
  <c r="M117" i="31"/>
  <c r="L117" i="31"/>
  <c r="K117" i="31"/>
  <c r="I117" i="31"/>
  <c r="G117" i="31"/>
  <c r="F117" i="31"/>
  <c r="E117" i="31"/>
  <c r="P116" i="31"/>
  <c r="O116" i="31"/>
  <c r="N116" i="31"/>
  <c r="N119" i="31"/>
  <c r="N123" i="31"/>
  <c r="M116" i="31"/>
  <c r="L116" i="31"/>
  <c r="K116" i="31"/>
  <c r="J116" i="31"/>
  <c r="I116" i="31"/>
  <c r="H116" i="31"/>
  <c r="G116" i="31"/>
  <c r="F116" i="31"/>
  <c r="F119" i="31"/>
  <c r="F123" i="31"/>
  <c r="E116" i="31"/>
  <c r="P114" i="31"/>
  <c r="P121" i="31"/>
  <c r="O114" i="31"/>
  <c r="O121" i="31"/>
  <c r="N114" i="31"/>
  <c r="N121" i="31"/>
  <c r="M114" i="31"/>
  <c r="M121" i="31"/>
  <c r="L114" i="31"/>
  <c r="L121" i="31"/>
  <c r="K114" i="31"/>
  <c r="K121" i="31"/>
  <c r="J114" i="31"/>
  <c r="J121" i="31"/>
  <c r="I114" i="31"/>
  <c r="I121" i="31"/>
  <c r="H114" i="31"/>
  <c r="H121" i="31"/>
  <c r="G114" i="31"/>
  <c r="G121" i="31"/>
  <c r="F114" i="31"/>
  <c r="F121" i="31"/>
  <c r="E114" i="31"/>
  <c r="E121" i="31"/>
  <c r="O102" i="31"/>
  <c r="N102" i="31"/>
  <c r="M102" i="31"/>
  <c r="L102" i="31"/>
  <c r="K102" i="31"/>
  <c r="J102" i="31"/>
  <c r="I102" i="31"/>
  <c r="H102" i="31"/>
  <c r="G102" i="31"/>
  <c r="F102" i="31"/>
  <c r="E102" i="31"/>
  <c r="P101" i="31"/>
  <c r="P100" i="31"/>
  <c r="O100" i="31"/>
  <c r="N100" i="31"/>
  <c r="M100" i="31"/>
  <c r="L100" i="31"/>
  <c r="K100" i="31"/>
  <c r="J100" i="31"/>
  <c r="I100" i="31"/>
  <c r="H100" i="31"/>
  <c r="G100" i="31"/>
  <c r="F100" i="31"/>
  <c r="E100" i="31"/>
  <c r="P98" i="31"/>
  <c r="P105" i="31"/>
  <c r="O98" i="31"/>
  <c r="O105" i="31"/>
  <c r="N98" i="31"/>
  <c r="N105" i="31"/>
  <c r="M98" i="31"/>
  <c r="M105" i="31"/>
  <c r="L98" i="31"/>
  <c r="L105" i="31"/>
  <c r="K98" i="31"/>
  <c r="K105" i="31"/>
  <c r="J98" i="31"/>
  <c r="J105" i="31"/>
  <c r="I98" i="31"/>
  <c r="I105" i="31"/>
  <c r="H98" i="31"/>
  <c r="H105" i="31"/>
  <c r="G98" i="31"/>
  <c r="G105" i="31"/>
  <c r="F98" i="31"/>
  <c r="F105" i="31"/>
  <c r="E98" i="31"/>
  <c r="E105" i="31"/>
  <c r="Q67" i="24"/>
  <c r="P86" i="31"/>
  <c r="O86" i="31"/>
  <c r="N86" i="31"/>
  <c r="M86" i="31"/>
  <c r="L86" i="31"/>
  <c r="K86" i="31"/>
  <c r="J86" i="31"/>
  <c r="I86" i="31"/>
  <c r="I87" i="31"/>
  <c r="I91" i="31"/>
  <c r="H86" i="31"/>
  <c r="G86" i="31"/>
  <c r="F86" i="31"/>
  <c r="E86" i="31"/>
  <c r="E87" i="31"/>
  <c r="E91" i="31"/>
  <c r="P85" i="31"/>
  <c r="O85" i="31"/>
  <c r="N85" i="31"/>
  <c r="M85" i="31"/>
  <c r="L85" i="31"/>
  <c r="K85" i="31"/>
  <c r="I85" i="31"/>
  <c r="H85" i="31"/>
  <c r="F85" i="31"/>
  <c r="E85" i="31"/>
  <c r="P84" i="31"/>
  <c r="P87" i="31"/>
  <c r="P91" i="31"/>
  <c r="O84" i="31"/>
  <c r="N84" i="31"/>
  <c r="N87" i="31"/>
  <c r="N91" i="31"/>
  <c r="M84" i="31"/>
  <c r="L84" i="31"/>
  <c r="K84" i="31"/>
  <c r="J84" i="31"/>
  <c r="I84" i="31"/>
  <c r="H84" i="31"/>
  <c r="G84" i="31"/>
  <c r="F84" i="31"/>
  <c r="F87" i="31"/>
  <c r="F91" i="31"/>
  <c r="E84" i="31"/>
  <c r="P82" i="31"/>
  <c r="P89" i="31"/>
  <c r="O82" i="31"/>
  <c r="O89" i="31"/>
  <c r="N82" i="31"/>
  <c r="N89" i="31"/>
  <c r="M82" i="31"/>
  <c r="M89" i="31"/>
  <c r="L82" i="31"/>
  <c r="L89" i="31"/>
  <c r="K82" i="31"/>
  <c r="K89" i="31"/>
  <c r="J82" i="31"/>
  <c r="J89" i="31"/>
  <c r="I82" i="31"/>
  <c r="I89" i="31"/>
  <c r="H82" i="31"/>
  <c r="H89" i="31"/>
  <c r="G82" i="31"/>
  <c r="G89" i="31"/>
  <c r="F82" i="31"/>
  <c r="F89" i="31"/>
  <c r="E82" i="31"/>
  <c r="E89" i="31"/>
  <c r="E70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E71" i="31"/>
  <c r="E75" i="31"/>
  <c r="P67" i="31"/>
  <c r="P73" i="31"/>
  <c r="O67" i="31"/>
  <c r="O73" i="31"/>
  <c r="N67" i="31"/>
  <c r="N73" i="31"/>
  <c r="M67" i="31"/>
  <c r="M73" i="31"/>
  <c r="L67" i="31"/>
  <c r="L73" i="31"/>
  <c r="K67" i="31"/>
  <c r="K73" i="31"/>
  <c r="J67" i="31"/>
  <c r="J73" i="31"/>
  <c r="I67" i="31"/>
  <c r="I73" i="31"/>
  <c r="H67" i="31"/>
  <c r="H73" i="31"/>
  <c r="G67" i="31"/>
  <c r="G73" i="31"/>
  <c r="F67" i="31"/>
  <c r="F73" i="31"/>
  <c r="E67" i="31"/>
  <c r="E73" i="31"/>
  <c r="M58" i="31"/>
  <c r="L58" i="31"/>
  <c r="K58" i="31"/>
  <c r="J58" i="31"/>
  <c r="I58" i="31"/>
  <c r="H58" i="31"/>
  <c r="G58" i="31"/>
  <c r="F58" i="31"/>
  <c r="E58" i="31"/>
  <c r="M57" i="31"/>
  <c r="L57" i="31"/>
  <c r="K57" i="31"/>
  <c r="J57" i="31"/>
  <c r="I57" i="31"/>
  <c r="H57" i="31"/>
  <c r="G57" i="31"/>
  <c r="F57" i="31"/>
  <c r="E57" i="31"/>
  <c r="L55" i="31"/>
  <c r="L59" i="31"/>
  <c r="K55" i="31"/>
  <c r="K59" i="31"/>
  <c r="J55" i="31"/>
  <c r="J59" i="31"/>
  <c r="I55" i="31"/>
  <c r="I59" i="31"/>
  <c r="H55" i="31"/>
  <c r="H59" i="31"/>
  <c r="G55" i="31"/>
  <c r="G59" i="31"/>
  <c r="F55" i="31"/>
  <c r="F59" i="31"/>
  <c r="E55" i="31"/>
  <c r="E59" i="31"/>
  <c r="M54" i="31"/>
  <c r="M55" i="31"/>
  <c r="M59" i="31"/>
  <c r="P51" i="31"/>
  <c r="P57" i="31"/>
  <c r="O51" i="31"/>
  <c r="O57" i="31"/>
  <c r="N51" i="31"/>
  <c r="N57" i="31"/>
  <c r="F43" i="31"/>
  <c r="E43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P41" i="31"/>
  <c r="O41" i="31"/>
  <c r="N41" i="31"/>
  <c r="M41" i="31"/>
  <c r="L41" i="31"/>
  <c r="K41" i="31"/>
  <c r="J41" i="31"/>
  <c r="I41" i="31"/>
  <c r="H41" i="31"/>
  <c r="G41" i="31"/>
  <c r="F41" i="31"/>
  <c r="F45" i="31"/>
  <c r="E41" i="31"/>
  <c r="E45" i="31"/>
  <c r="P39" i="31"/>
  <c r="P43" i="31"/>
  <c r="O39" i="31"/>
  <c r="O43" i="31"/>
  <c r="N39" i="31"/>
  <c r="N43" i="31"/>
  <c r="M39" i="31"/>
  <c r="M43" i="31"/>
  <c r="M45" i="31"/>
  <c r="L39" i="31"/>
  <c r="L43" i="31"/>
  <c r="K39" i="31"/>
  <c r="K43" i="31"/>
  <c r="J39" i="31"/>
  <c r="J43" i="31"/>
  <c r="I39" i="31"/>
  <c r="I43" i="31"/>
  <c r="H39" i="31"/>
  <c r="H43" i="31"/>
  <c r="G39" i="31"/>
  <c r="G43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P23" i="31"/>
  <c r="P27" i="31"/>
  <c r="O23" i="31"/>
  <c r="N23" i="31"/>
  <c r="N27" i="31"/>
  <c r="M23" i="31"/>
  <c r="L23" i="31"/>
  <c r="L27" i="31"/>
  <c r="K23" i="31"/>
  <c r="J23" i="31"/>
  <c r="J27" i="31"/>
  <c r="I23" i="31"/>
  <c r="H23" i="31"/>
  <c r="H27" i="31"/>
  <c r="G23" i="31"/>
  <c r="F23" i="31"/>
  <c r="F27" i="31"/>
  <c r="E23" i="31"/>
  <c r="E27" i="31"/>
  <c r="C19" i="31"/>
  <c r="B19" i="31"/>
  <c r="B37" i="31"/>
  <c r="B53" i="31"/>
  <c r="B69" i="31"/>
  <c r="B84" i="31"/>
  <c r="C17" i="31"/>
  <c r="E191" i="30"/>
  <c r="N190" i="30"/>
  <c r="N193" i="30"/>
  <c r="N196" i="30"/>
  <c r="M190" i="30"/>
  <c r="M193" i="30"/>
  <c r="M196" i="30"/>
  <c r="L190" i="30"/>
  <c r="L193" i="30"/>
  <c r="L196" i="30"/>
  <c r="K190" i="30"/>
  <c r="K193" i="30"/>
  <c r="K196" i="30"/>
  <c r="J190" i="30"/>
  <c r="J193" i="30"/>
  <c r="J196" i="30"/>
  <c r="I190" i="30"/>
  <c r="I193" i="30"/>
  <c r="I196" i="30"/>
  <c r="H190" i="30"/>
  <c r="H193" i="30"/>
  <c r="H196" i="30"/>
  <c r="G190" i="30"/>
  <c r="G193" i="30"/>
  <c r="G196" i="30"/>
  <c r="F190" i="30"/>
  <c r="F193" i="30"/>
  <c r="F196" i="30"/>
  <c r="E190" i="30"/>
  <c r="N189" i="30"/>
  <c r="N195" i="30"/>
  <c r="M189" i="30"/>
  <c r="M195" i="30"/>
  <c r="L189" i="30"/>
  <c r="L195" i="30"/>
  <c r="K189" i="30"/>
  <c r="K195" i="30"/>
  <c r="J189" i="30"/>
  <c r="J195" i="30"/>
  <c r="J198" i="30"/>
  <c r="FQ207" i="39"/>
  <c r="I189" i="30"/>
  <c r="I195" i="30"/>
  <c r="H189" i="30"/>
  <c r="H195" i="30"/>
  <c r="G189" i="30"/>
  <c r="G195" i="30"/>
  <c r="F189" i="30"/>
  <c r="F195" i="30"/>
  <c r="F198" i="30"/>
  <c r="FM207" i="39"/>
  <c r="E189" i="30"/>
  <c r="E195" i="30"/>
  <c r="P177" i="30"/>
  <c r="P180" i="30"/>
  <c r="P183" i="30"/>
  <c r="O177" i="30"/>
  <c r="O180" i="30"/>
  <c r="O183" i="30"/>
  <c r="N177" i="30"/>
  <c r="N180" i="30"/>
  <c r="N183" i="30"/>
  <c r="M177" i="30"/>
  <c r="M180" i="30"/>
  <c r="M183" i="30"/>
  <c r="L177" i="30"/>
  <c r="L180" i="30"/>
  <c r="L183" i="30"/>
  <c r="K177" i="30"/>
  <c r="K180" i="30"/>
  <c r="K183" i="30"/>
  <c r="J177" i="30"/>
  <c r="J180" i="30"/>
  <c r="J183" i="30"/>
  <c r="I177" i="30"/>
  <c r="I180" i="30"/>
  <c r="I183" i="30"/>
  <c r="H177" i="30"/>
  <c r="H180" i="30"/>
  <c r="H183" i="30"/>
  <c r="G177" i="30"/>
  <c r="G180" i="30"/>
  <c r="G183" i="30"/>
  <c r="F177" i="30"/>
  <c r="F180" i="30"/>
  <c r="F183" i="30"/>
  <c r="E177" i="30"/>
  <c r="E180" i="30"/>
  <c r="E183" i="30"/>
  <c r="P176" i="30"/>
  <c r="P182" i="30"/>
  <c r="P185" i="30"/>
  <c r="FK207" i="39"/>
  <c r="O176" i="30"/>
  <c r="O182" i="30"/>
  <c r="N176" i="30"/>
  <c r="N182" i="30"/>
  <c r="M176" i="30"/>
  <c r="M182" i="30"/>
  <c r="M185" i="30"/>
  <c r="FH207" i="39"/>
  <c r="L176" i="30"/>
  <c r="L182" i="30"/>
  <c r="L185" i="30"/>
  <c r="FG207" i="39"/>
  <c r="K176" i="30"/>
  <c r="K182" i="30"/>
  <c r="J176" i="30"/>
  <c r="J182" i="30"/>
  <c r="I176" i="30"/>
  <c r="I182" i="30"/>
  <c r="H176" i="30"/>
  <c r="H182" i="30"/>
  <c r="G176" i="30"/>
  <c r="G182" i="30"/>
  <c r="G185" i="30"/>
  <c r="FB207" i="39"/>
  <c r="F176" i="30"/>
  <c r="F182" i="30"/>
  <c r="F185" i="30"/>
  <c r="FA207" i="39"/>
  <c r="E176" i="30"/>
  <c r="E182" i="30"/>
  <c r="M166" i="30"/>
  <c r="L166" i="30"/>
  <c r="K166" i="30"/>
  <c r="J166" i="30"/>
  <c r="I166" i="30"/>
  <c r="H166" i="30"/>
  <c r="G166" i="30"/>
  <c r="P165" i="30"/>
  <c r="P168" i="30"/>
  <c r="P171" i="30"/>
  <c r="O165" i="30"/>
  <c r="O168" i="30"/>
  <c r="O171" i="30"/>
  <c r="N165" i="30"/>
  <c r="N168" i="30"/>
  <c r="N171" i="30"/>
  <c r="M165" i="30"/>
  <c r="L165" i="30"/>
  <c r="K165" i="30"/>
  <c r="J165" i="30"/>
  <c r="I165" i="30"/>
  <c r="H165" i="30"/>
  <c r="G165" i="30"/>
  <c r="F165" i="30"/>
  <c r="F168" i="30"/>
  <c r="F171" i="30"/>
  <c r="E165" i="30"/>
  <c r="E168" i="30"/>
  <c r="E171" i="30"/>
  <c r="P164" i="30"/>
  <c r="P170" i="30"/>
  <c r="P173" i="30"/>
  <c r="EY207" i="39"/>
  <c r="O164" i="30"/>
  <c r="O170" i="30"/>
  <c r="N164" i="30"/>
  <c r="N170" i="30"/>
  <c r="M164" i="30"/>
  <c r="M170" i="30"/>
  <c r="L164" i="30"/>
  <c r="L170" i="30"/>
  <c r="K164" i="30"/>
  <c r="K170" i="30"/>
  <c r="J164" i="30"/>
  <c r="J170" i="30"/>
  <c r="I164" i="30"/>
  <c r="I170" i="30"/>
  <c r="H164" i="30"/>
  <c r="H170" i="30"/>
  <c r="G164" i="30"/>
  <c r="G170" i="30"/>
  <c r="F164" i="30"/>
  <c r="F170" i="30"/>
  <c r="F173" i="30"/>
  <c r="EO207" i="39"/>
  <c r="E164" i="30"/>
  <c r="E170" i="30"/>
  <c r="P154" i="30"/>
  <c r="O154" i="30"/>
  <c r="N154" i="30"/>
  <c r="M154" i="30"/>
  <c r="L154" i="30"/>
  <c r="I154" i="30"/>
  <c r="H154" i="30"/>
  <c r="G154" i="30"/>
  <c r="F154" i="30"/>
  <c r="E154" i="30"/>
  <c r="P153" i="30"/>
  <c r="O153" i="30"/>
  <c r="N153" i="30"/>
  <c r="M153" i="30"/>
  <c r="L153" i="30"/>
  <c r="K153" i="30"/>
  <c r="J153" i="30"/>
  <c r="I153" i="30"/>
  <c r="I156" i="30"/>
  <c r="I159" i="30"/>
  <c r="H153" i="30"/>
  <c r="H156" i="30"/>
  <c r="H159" i="30"/>
  <c r="G153" i="30"/>
  <c r="F153" i="30"/>
  <c r="F156" i="30"/>
  <c r="F159" i="30"/>
  <c r="E153" i="30"/>
  <c r="P152" i="30"/>
  <c r="P158" i="30"/>
  <c r="O152" i="30"/>
  <c r="O158" i="30"/>
  <c r="N152" i="30"/>
  <c r="N158" i="30"/>
  <c r="M152" i="30"/>
  <c r="M158" i="30"/>
  <c r="L152" i="30"/>
  <c r="L158" i="30"/>
  <c r="K152" i="30"/>
  <c r="K158" i="30"/>
  <c r="J152" i="30"/>
  <c r="J158" i="30"/>
  <c r="I152" i="30"/>
  <c r="I158" i="30"/>
  <c r="I161" i="30"/>
  <c r="EF207" i="39"/>
  <c r="H152" i="30"/>
  <c r="H158" i="30"/>
  <c r="G152" i="30"/>
  <c r="G158" i="30"/>
  <c r="F152" i="30"/>
  <c r="F158" i="30"/>
  <c r="E152" i="30"/>
  <c r="E158" i="30"/>
  <c r="P143" i="30"/>
  <c r="O143" i="30"/>
  <c r="N143" i="30"/>
  <c r="M143" i="30"/>
  <c r="P142" i="30"/>
  <c r="P145" i="30"/>
  <c r="P148" i="30"/>
  <c r="O142" i="30"/>
  <c r="N142" i="30"/>
  <c r="M142" i="30"/>
  <c r="L142" i="30"/>
  <c r="L145" i="30"/>
  <c r="L148" i="30"/>
  <c r="K142" i="30"/>
  <c r="K145" i="30"/>
  <c r="K148" i="30"/>
  <c r="J142" i="30"/>
  <c r="J145" i="30"/>
  <c r="J148" i="30"/>
  <c r="I142" i="30"/>
  <c r="I145" i="30"/>
  <c r="I148" i="30"/>
  <c r="H142" i="30"/>
  <c r="H145" i="30"/>
  <c r="H148" i="30"/>
  <c r="G142" i="30"/>
  <c r="G145" i="30"/>
  <c r="G148" i="30"/>
  <c r="F142" i="30"/>
  <c r="F145" i="30"/>
  <c r="F148" i="30"/>
  <c r="E142" i="30"/>
  <c r="E145" i="30"/>
  <c r="E148" i="30"/>
  <c r="P141" i="30"/>
  <c r="P147" i="30"/>
  <c r="O141" i="30"/>
  <c r="O147" i="30"/>
  <c r="N141" i="30"/>
  <c r="N147" i="30"/>
  <c r="M141" i="30"/>
  <c r="M147" i="30"/>
  <c r="L141" i="30"/>
  <c r="L147" i="30"/>
  <c r="L149" i="30"/>
  <c r="DW207" i="39"/>
  <c r="K141" i="30"/>
  <c r="K147" i="30"/>
  <c r="J141" i="30"/>
  <c r="J147" i="30"/>
  <c r="I141" i="30"/>
  <c r="I147" i="30"/>
  <c r="H141" i="30"/>
  <c r="H147" i="30"/>
  <c r="G141" i="30"/>
  <c r="G147" i="30"/>
  <c r="F141" i="30"/>
  <c r="F147" i="30"/>
  <c r="E141" i="30"/>
  <c r="E147" i="30"/>
  <c r="E149" i="30"/>
  <c r="DP207" i="39"/>
  <c r="L131" i="30"/>
  <c r="K131" i="30"/>
  <c r="J131" i="30"/>
  <c r="I131" i="30"/>
  <c r="H131" i="30"/>
  <c r="G131" i="30"/>
  <c r="P130" i="30"/>
  <c r="P133" i="30"/>
  <c r="P136" i="30"/>
  <c r="O130" i="30"/>
  <c r="O133" i="30"/>
  <c r="O136" i="30"/>
  <c r="N130" i="30"/>
  <c r="N133" i="30"/>
  <c r="N136" i="30"/>
  <c r="M130" i="30"/>
  <c r="M133" i="30"/>
  <c r="M136" i="30"/>
  <c r="L130" i="30"/>
  <c r="K130" i="30"/>
  <c r="J130" i="30"/>
  <c r="I130" i="30"/>
  <c r="H130" i="30"/>
  <c r="G130" i="30"/>
  <c r="F130" i="30"/>
  <c r="F133" i="30"/>
  <c r="F136" i="30"/>
  <c r="E130" i="30"/>
  <c r="E133" i="30"/>
  <c r="E136" i="30"/>
  <c r="P129" i="30"/>
  <c r="P135" i="30"/>
  <c r="O129" i="30"/>
  <c r="O135" i="30"/>
  <c r="O138" i="30"/>
  <c r="DN207" i="39"/>
  <c r="N129" i="30"/>
  <c r="N135" i="30"/>
  <c r="M129" i="30"/>
  <c r="M135" i="30"/>
  <c r="L129" i="30"/>
  <c r="L135" i="30"/>
  <c r="K129" i="30"/>
  <c r="K135" i="30"/>
  <c r="J129" i="30"/>
  <c r="J135" i="30"/>
  <c r="I129" i="30"/>
  <c r="I135" i="30"/>
  <c r="H129" i="30"/>
  <c r="H135" i="30"/>
  <c r="G129" i="30"/>
  <c r="G135" i="30"/>
  <c r="F129" i="30"/>
  <c r="F135" i="30"/>
  <c r="F138" i="30"/>
  <c r="E129" i="30"/>
  <c r="E135" i="30"/>
  <c r="E138" i="30"/>
  <c r="J118" i="30"/>
  <c r="I118" i="30"/>
  <c r="H118" i="30"/>
  <c r="G118" i="30"/>
  <c r="F118" i="30"/>
  <c r="E118" i="30"/>
  <c r="J117" i="30"/>
  <c r="I117" i="30"/>
  <c r="H117" i="30"/>
  <c r="G117" i="30"/>
  <c r="F117" i="30"/>
  <c r="E117" i="30"/>
  <c r="P116" i="30"/>
  <c r="P119" i="30"/>
  <c r="P122" i="30"/>
  <c r="O116" i="30"/>
  <c r="O119" i="30"/>
  <c r="O122" i="30"/>
  <c r="N116" i="30"/>
  <c r="N119" i="30"/>
  <c r="N122" i="30"/>
  <c r="M116" i="30"/>
  <c r="M119" i="30"/>
  <c r="M122" i="30"/>
  <c r="L116" i="30"/>
  <c r="L119" i="30"/>
  <c r="L122" i="30"/>
  <c r="K116" i="30"/>
  <c r="K119" i="30"/>
  <c r="K122" i="30"/>
  <c r="J116" i="30"/>
  <c r="I116" i="30"/>
  <c r="H116" i="30"/>
  <c r="G116" i="30"/>
  <c r="F116" i="30"/>
  <c r="E116" i="30"/>
  <c r="P115" i="30"/>
  <c r="P121" i="30"/>
  <c r="O115" i="30"/>
  <c r="O121" i="30"/>
  <c r="N115" i="30"/>
  <c r="N121" i="30"/>
  <c r="M115" i="30"/>
  <c r="M121" i="30"/>
  <c r="L115" i="30"/>
  <c r="L121" i="30"/>
  <c r="K115" i="30"/>
  <c r="K121" i="30"/>
  <c r="K124" i="30"/>
  <c r="J115" i="30"/>
  <c r="J121" i="30"/>
  <c r="I115" i="30"/>
  <c r="I121" i="30"/>
  <c r="H115" i="30"/>
  <c r="H121" i="30"/>
  <c r="G115" i="30"/>
  <c r="G121" i="30"/>
  <c r="F115" i="30"/>
  <c r="F121" i="30"/>
  <c r="E115" i="30"/>
  <c r="E121" i="30"/>
  <c r="P104" i="30"/>
  <c r="O104" i="30"/>
  <c r="N104" i="30"/>
  <c r="M104" i="30"/>
  <c r="L104" i="30"/>
  <c r="K104" i="30"/>
  <c r="J104" i="30"/>
  <c r="I104" i="30"/>
  <c r="H104" i="30"/>
  <c r="G104" i="30"/>
  <c r="F104" i="30"/>
  <c r="E104" i="30"/>
  <c r="P103" i="30"/>
  <c r="O103" i="30"/>
  <c r="N103" i="30"/>
  <c r="M103" i="30"/>
  <c r="L103" i="30"/>
  <c r="K103" i="30"/>
  <c r="I103" i="30"/>
  <c r="H103" i="30"/>
  <c r="G103" i="30"/>
  <c r="F103" i="30"/>
  <c r="E103" i="30"/>
  <c r="P102" i="30"/>
  <c r="O102" i="30"/>
  <c r="N102" i="30"/>
  <c r="M102" i="30"/>
  <c r="L102" i="30"/>
  <c r="K102" i="30"/>
  <c r="J102" i="30"/>
  <c r="I102" i="30"/>
  <c r="H102" i="30"/>
  <c r="G102" i="30"/>
  <c r="G105" i="30"/>
  <c r="G108" i="30"/>
  <c r="F102" i="30"/>
  <c r="E102" i="30"/>
  <c r="P101" i="30"/>
  <c r="P107" i="30"/>
  <c r="O101" i="30"/>
  <c r="O107" i="30"/>
  <c r="N101" i="30"/>
  <c r="N107" i="30"/>
  <c r="M101" i="30"/>
  <c r="M107" i="30"/>
  <c r="L101" i="30"/>
  <c r="L107" i="30"/>
  <c r="K101" i="30"/>
  <c r="K107" i="30"/>
  <c r="J101" i="30"/>
  <c r="J107" i="30"/>
  <c r="I101" i="30"/>
  <c r="I107" i="30"/>
  <c r="H101" i="30"/>
  <c r="H107" i="30"/>
  <c r="G101" i="30"/>
  <c r="G107" i="30"/>
  <c r="F101" i="30"/>
  <c r="F107" i="30"/>
  <c r="E101" i="30"/>
  <c r="E107" i="30"/>
  <c r="R91" i="30"/>
  <c r="O90" i="30"/>
  <c r="N90" i="30"/>
  <c r="M90" i="30"/>
  <c r="L90" i="30"/>
  <c r="K90" i="30"/>
  <c r="J90" i="30"/>
  <c r="I90" i="30"/>
  <c r="H90" i="30"/>
  <c r="G90" i="30"/>
  <c r="F90" i="30"/>
  <c r="E90" i="30"/>
  <c r="P89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P87" i="30"/>
  <c r="P93" i="30"/>
  <c r="O87" i="30"/>
  <c r="O93" i="30"/>
  <c r="N87" i="30"/>
  <c r="N93" i="30"/>
  <c r="M87" i="30"/>
  <c r="M93" i="30"/>
  <c r="L87" i="30"/>
  <c r="L93" i="30"/>
  <c r="K87" i="30"/>
  <c r="K93" i="30"/>
  <c r="J87" i="30"/>
  <c r="J93" i="30"/>
  <c r="I87" i="30"/>
  <c r="I93" i="30"/>
  <c r="H87" i="30"/>
  <c r="H93" i="30"/>
  <c r="G87" i="30"/>
  <c r="G93" i="30"/>
  <c r="F87" i="30"/>
  <c r="F93" i="30"/>
  <c r="E87" i="30"/>
  <c r="E93" i="30"/>
  <c r="R77" i="30"/>
  <c r="P76" i="30"/>
  <c r="O76" i="30"/>
  <c r="N76" i="30"/>
  <c r="M76" i="30"/>
  <c r="L76" i="30"/>
  <c r="K76" i="30"/>
  <c r="J76" i="30"/>
  <c r="I76" i="30"/>
  <c r="I77" i="30"/>
  <c r="I80" i="30"/>
  <c r="I82" i="30"/>
  <c r="BL202" i="34"/>
  <c r="H76" i="30"/>
  <c r="F76" i="30"/>
  <c r="E76" i="30"/>
  <c r="P75" i="30"/>
  <c r="O75" i="30"/>
  <c r="N75" i="30"/>
  <c r="K75" i="30"/>
  <c r="I75" i="30"/>
  <c r="H75" i="30"/>
  <c r="F75" i="30"/>
  <c r="E75" i="30"/>
  <c r="P74" i="30"/>
  <c r="P77" i="30"/>
  <c r="P80" i="30"/>
  <c r="O74" i="30"/>
  <c r="N74" i="30"/>
  <c r="M74" i="30"/>
  <c r="L74" i="30"/>
  <c r="K74" i="30"/>
  <c r="J74" i="30"/>
  <c r="I74" i="30"/>
  <c r="H74" i="30"/>
  <c r="G74" i="30"/>
  <c r="F74" i="30"/>
  <c r="E74" i="30"/>
  <c r="P73" i="30"/>
  <c r="P79" i="30"/>
  <c r="O73" i="30"/>
  <c r="O79" i="30"/>
  <c r="N73" i="30"/>
  <c r="N79" i="30"/>
  <c r="M73" i="30"/>
  <c r="M79" i="30"/>
  <c r="L73" i="30"/>
  <c r="L79" i="30"/>
  <c r="K73" i="30"/>
  <c r="K79" i="30"/>
  <c r="J73" i="30"/>
  <c r="J79" i="30"/>
  <c r="I73" i="30"/>
  <c r="I79" i="30"/>
  <c r="H73" i="30"/>
  <c r="H79" i="30"/>
  <c r="G73" i="30"/>
  <c r="G79" i="30"/>
  <c r="F73" i="30"/>
  <c r="F79" i="30"/>
  <c r="E73" i="30"/>
  <c r="E79" i="30"/>
  <c r="R63" i="30"/>
  <c r="P62" i="30"/>
  <c r="P70" i="31"/>
  <c r="P71" i="31"/>
  <c r="P75" i="31"/>
  <c r="N62" i="30"/>
  <c r="M62" i="30"/>
  <c r="M70" i="31"/>
  <c r="L62" i="30"/>
  <c r="L70" i="31"/>
  <c r="K62" i="30"/>
  <c r="K70" i="31"/>
  <c r="E62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P60" i="30"/>
  <c r="P65" i="30"/>
  <c r="O60" i="30"/>
  <c r="O65" i="30"/>
  <c r="N60" i="30"/>
  <c r="N65" i="30"/>
  <c r="M60" i="30"/>
  <c r="M65" i="30"/>
  <c r="L60" i="30"/>
  <c r="L65" i="30"/>
  <c r="K60" i="30"/>
  <c r="K65" i="30"/>
  <c r="J60" i="30"/>
  <c r="J65" i="30"/>
  <c r="I60" i="30"/>
  <c r="I65" i="30"/>
  <c r="H60" i="30"/>
  <c r="H65" i="30"/>
  <c r="G60" i="30"/>
  <c r="G65" i="30"/>
  <c r="F60" i="30"/>
  <c r="F65" i="30"/>
  <c r="E60" i="30"/>
  <c r="E65" i="30"/>
  <c r="M51" i="30"/>
  <c r="L51" i="30"/>
  <c r="K51" i="30"/>
  <c r="J51" i="30"/>
  <c r="I51" i="30"/>
  <c r="H51" i="30"/>
  <c r="G51" i="30"/>
  <c r="F51" i="30"/>
  <c r="E51" i="30"/>
  <c r="R49" i="30"/>
  <c r="M49" i="30"/>
  <c r="M52" i="30"/>
  <c r="L49" i="30"/>
  <c r="L52" i="30"/>
  <c r="L54" i="30"/>
  <c r="K49" i="30"/>
  <c r="K52" i="30"/>
  <c r="J49" i="30"/>
  <c r="J52" i="30"/>
  <c r="I49" i="30"/>
  <c r="I52" i="30"/>
  <c r="H49" i="30"/>
  <c r="H52" i="30"/>
  <c r="G49" i="30"/>
  <c r="G52" i="30"/>
  <c r="G54" i="30"/>
  <c r="F49" i="30"/>
  <c r="F52" i="30"/>
  <c r="E49" i="30"/>
  <c r="E52" i="30"/>
  <c r="N48" i="30"/>
  <c r="P46" i="30"/>
  <c r="P51" i="30"/>
  <c r="O46" i="30"/>
  <c r="O51" i="30"/>
  <c r="N46" i="30"/>
  <c r="N51" i="30"/>
  <c r="T38" i="30"/>
  <c r="F38" i="30"/>
  <c r="E38" i="30"/>
  <c r="P37" i="30"/>
  <c r="O37" i="30"/>
  <c r="N37" i="30"/>
  <c r="M37" i="30"/>
  <c r="L37" i="30"/>
  <c r="K37" i="30"/>
  <c r="J37" i="30"/>
  <c r="I37" i="30"/>
  <c r="H37" i="30"/>
  <c r="G37" i="30"/>
  <c r="F37" i="30"/>
  <c r="F40" i="30"/>
  <c r="E37" i="30"/>
  <c r="E40" i="30"/>
  <c r="R35" i="30"/>
  <c r="P35" i="30"/>
  <c r="P38" i="30"/>
  <c r="O35" i="30"/>
  <c r="O38" i="30"/>
  <c r="N35" i="30"/>
  <c r="N38" i="30"/>
  <c r="M35" i="30"/>
  <c r="M38" i="30"/>
  <c r="L35" i="30"/>
  <c r="L38" i="30"/>
  <c r="K35" i="30"/>
  <c r="K38" i="30"/>
  <c r="J35" i="30"/>
  <c r="J38" i="30"/>
  <c r="I35" i="30"/>
  <c r="I38" i="30"/>
  <c r="H35" i="30"/>
  <c r="H38" i="30"/>
  <c r="G35" i="30"/>
  <c r="G38" i="30"/>
  <c r="B33" i="30"/>
  <c r="B47" i="30"/>
  <c r="B32" i="30"/>
  <c r="B46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C19" i="30"/>
  <c r="C33" i="30"/>
  <c r="C47" i="30"/>
  <c r="C61" i="30"/>
  <c r="B19" i="30"/>
  <c r="C18" i="30"/>
  <c r="C32" i="30"/>
  <c r="C46" i="30"/>
  <c r="C60" i="30"/>
  <c r="B18" i="30"/>
  <c r="L156" i="29"/>
  <c r="K156" i="29"/>
  <c r="J156" i="29"/>
  <c r="I156" i="29"/>
  <c r="H156" i="29"/>
  <c r="G156" i="29"/>
  <c r="F156" i="29"/>
  <c r="E156" i="29"/>
  <c r="D156" i="29"/>
  <c r="C156" i="29"/>
  <c r="L153" i="29"/>
  <c r="L154" i="29"/>
  <c r="K153" i="29"/>
  <c r="K154" i="29"/>
  <c r="J153" i="29"/>
  <c r="J154" i="29"/>
  <c r="J158" i="29"/>
  <c r="FS197" i="39"/>
  <c r="I153" i="29"/>
  <c r="I154" i="29"/>
  <c r="I158" i="29"/>
  <c r="FR197" i="39"/>
  <c r="H153" i="29"/>
  <c r="H154" i="29"/>
  <c r="G153" i="29"/>
  <c r="G154" i="29"/>
  <c r="F153" i="29"/>
  <c r="F154" i="29"/>
  <c r="F158" i="29"/>
  <c r="FO197" i="39"/>
  <c r="E153" i="29"/>
  <c r="E154" i="29"/>
  <c r="D153" i="29"/>
  <c r="D154" i="29"/>
  <c r="C153" i="29"/>
  <c r="C154" i="29"/>
  <c r="N146" i="29"/>
  <c r="M146" i="29"/>
  <c r="L146" i="29"/>
  <c r="K146" i="29"/>
  <c r="J146" i="29"/>
  <c r="I146" i="29"/>
  <c r="H146" i="29"/>
  <c r="G146" i="29"/>
  <c r="F146" i="29"/>
  <c r="E146" i="29"/>
  <c r="D146" i="29"/>
  <c r="C146" i="29"/>
  <c r="N143" i="29"/>
  <c r="N144" i="29"/>
  <c r="N148" i="29"/>
  <c r="FK197" i="39"/>
  <c r="M143" i="29"/>
  <c r="M144" i="29"/>
  <c r="M148" i="29"/>
  <c r="FJ197" i="39"/>
  <c r="L143" i="29"/>
  <c r="L144" i="29"/>
  <c r="L148" i="29"/>
  <c r="FI197" i="39"/>
  <c r="K143" i="29"/>
  <c r="K144" i="29"/>
  <c r="K148" i="29"/>
  <c r="FH197" i="39"/>
  <c r="J143" i="29"/>
  <c r="J144" i="29"/>
  <c r="I143" i="29"/>
  <c r="I144" i="29"/>
  <c r="I148" i="29"/>
  <c r="FF197" i="39"/>
  <c r="H143" i="29"/>
  <c r="H144" i="29"/>
  <c r="G143" i="29"/>
  <c r="G144" i="29"/>
  <c r="F143" i="29"/>
  <c r="F144" i="29"/>
  <c r="E143" i="29"/>
  <c r="E144" i="29"/>
  <c r="D143" i="29"/>
  <c r="D144" i="29"/>
  <c r="C143" i="29"/>
  <c r="C144" i="29"/>
  <c r="N136" i="29"/>
  <c r="M136" i="29"/>
  <c r="L136" i="29"/>
  <c r="K136" i="29"/>
  <c r="J136" i="29"/>
  <c r="I136" i="29"/>
  <c r="H136" i="29"/>
  <c r="G136" i="29"/>
  <c r="F136" i="29"/>
  <c r="E136" i="29"/>
  <c r="D136" i="29"/>
  <c r="C136" i="29"/>
  <c r="N133" i="29"/>
  <c r="N134" i="29"/>
  <c r="N138" i="29"/>
  <c r="EY197" i="39"/>
  <c r="M133" i="29"/>
  <c r="M134" i="29"/>
  <c r="M138" i="29"/>
  <c r="EX197" i="39"/>
  <c r="L133" i="29"/>
  <c r="L134" i="29"/>
  <c r="L138" i="29"/>
  <c r="EW197" i="39"/>
  <c r="K133" i="29"/>
  <c r="K134" i="29"/>
  <c r="J133" i="29"/>
  <c r="J134" i="29"/>
  <c r="J138" i="29"/>
  <c r="EU197" i="39"/>
  <c r="I133" i="29"/>
  <c r="I134" i="29"/>
  <c r="H133" i="29"/>
  <c r="H134" i="29"/>
  <c r="G133" i="29"/>
  <c r="G134" i="29"/>
  <c r="F133" i="29"/>
  <c r="F134" i="29"/>
  <c r="E133" i="29"/>
  <c r="E134" i="29"/>
  <c r="D133" i="29"/>
  <c r="D134" i="29"/>
  <c r="C133" i="29"/>
  <c r="C134" i="29"/>
  <c r="N127" i="29"/>
  <c r="M127" i="29"/>
  <c r="L127" i="29"/>
  <c r="K127" i="29"/>
  <c r="J127" i="29"/>
  <c r="H127" i="29"/>
  <c r="G127" i="29"/>
  <c r="F127" i="29"/>
  <c r="E127" i="29"/>
  <c r="D127" i="29"/>
  <c r="C127" i="29"/>
  <c r="N124" i="29"/>
  <c r="N125" i="29"/>
  <c r="M124" i="29"/>
  <c r="M125" i="29"/>
  <c r="L124" i="29"/>
  <c r="L125" i="29"/>
  <c r="K124" i="29"/>
  <c r="K125" i="29"/>
  <c r="J124" i="29"/>
  <c r="J125" i="29"/>
  <c r="I124" i="29"/>
  <c r="I125" i="29"/>
  <c r="I129" i="29"/>
  <c r="EH197" i="39"/>
  <c r="H124" i="29"/>
  <c r="H125" i="29"/>
  <c r="G124" i="29"/>
  <c r="G125" i="29"/>
  <c r="G129" i="29"/>
  <c r="EF197" i="39"/>
  <c r="F124" i="29"/>
  <c r="F125" i="29"/>
  <c r="E124" i="29"/>
  <c r="E125" i="29"/>
  <c r="E129" i="29"/>
  <c r="ED197" i="39"/>
  <c r="D124" i="29"/>
  <c r="D125" i="29"/>
  <c r="C124" i="29"/>
  <c r="C125" i="29"/>
  <c r="C129" i="29"/>
  <c r="EB197" i="3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N114" i="29"/>
  <c r="N115" i="29"/>
  <c r="N120" i="29"/>
  <c r="EA197" i="39"/>
  <c r="M114" i="29"/>
  <c r="M115" i="29"/>
  <c r="M120" i="29"/>
  <c r="L114" i="29"/>
  <c r="L115" i="29"/>
  <c r="L120" i="29"/>
  <c r="DY197" i="39"/>
  <c r="K114" i="29"/>
  <c r="K115" i="29"/>
  <c r="K120" i="29"/>
  <c r="DX197" i="39"/>
  <c r="J114" i="29"/>
  <c r="J115" i="29"/>
  <c r="J120" i="29"/>
  <c r="DW197" i="39"/>
  <c r="I114" i="29"/>
  <c r="I115" i="29"/>
  <c r="I120" i="29"/>
  <c r="DV197" i="39"/>
  <c r="H114" i="29"/>
  <c r="H115" i="29"/>
  <c r="H120" i="29"/>
  <c r="DU197" i="39"/>
  <c r="G114" i="29"/>
  <c r="G115" i="29"/>
  <c r="G120" i="29"/>
  <c r="DT197" i="39"/>
  <c r="F114" i="29"/>
  <c r="F115" i="29"/>
  <c r="E114" i="29"/>
  <c r="E115" i="29"/>
  <c r="E120" i="29"/>
  <c r="DR197" i="39"/>
  <c r="D114" i="29"/>
  <c r="D115" i="29"/>
  <c r="C114" i="29"/>
  <c r="C115" i="29"/>
  <c r="C120" i="29"/>
  <c r="DP197" i="3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N104" i="29"/>
  <c r="N110" i="29"/>
  <c r="DO197" i="39"/>
  <c r="M104" i="29"/>
  <c r="M110" i="29"/>
  <c r="DN197" i="39"/>
  <c r="L104" i="29"/>
  <c r="K104" i="29"/>
  <c r="K110" i="29"/>
  <c r="J104" i="29"/>
  <c r="J110" i="29"/>
  <c r="I104" i="29"/>
  <c r="I110" i="29"/>
  <c r="H104" i="29"/>
  <c r="H110" i="29"/>
  <c r="DI192" i="34"/>
  <c r="G104" i="29"/>
  <c r="G110" i="29"/>
  <c r="F104" i="29"/>
  <c r="F110" i="29"/>
  <c r="E104" i="29"/>
  <c r="E110" i="29"/>
  <c r="D104" i="29"/>
  <c r="D110" i="29"/>
  <c r="C104" i="29"/>
  <c r="C110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N93" i="29"/>
  <c r="N99" i="29"/>
  <c r="DC192" i="34"/>
  <c r="M93" i="29"/>
  <c r="M99" i="29"/>
  <c r="L93" i="29"/>
  <c r="K93" i="29"/>
  <c r="J93" i="29"/>
  <c r="J99" i="29"/>
  <c r="I93" i="29"/>
  <c r="H93" i="29"/>
  <c r="G93" i="29"/>
  <c r="F93" i="29"/>
  <c r="F99" i="29"/>
  <c r="CU192" i="34"/>
  <c r="E93" i="29"/>
  <c r="D93" i="29"/>
  <c r="C93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2" i="29"/>
  <c r="N88" i="29"/>
  <c r="M82" i="29"/>
  <c r="L82" i="29"/>
  <c r="L88" i="29"/>
  <c r="K82" i="29"/>
  <c r="K88" i="29"/>
  <c r="J82" i="29"/>
  <c r="J88" i="29"/>
  <c r="I82" i="29"/>
  <c r="I88" i="29"/>
  <c r="H82" i="29"/>
  <c r="H88" i="29"/>
  <c r="G82" i="29"/>
  <c r="G88" i="29"/>
  <c r="F82" i="29"/>
  <c r="F88" i="29"/>
  <c r="E82" i="29"/>
  <c r="E88" i="29"/>
  <c r="D82" i="29"/>
  <c r="C82" i="29"/>
  <c r="C88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N71" i="29"/>
  <c r="N77" i="29"/>
  <c r="CE192" i="34"/>
  <c r="M71" i="29"/>
  <c r="M77" i="29"/>
  <c r="L71" i="29"/>
  <c r="K71" i="29"/>
  <c r="K77" i="29"/>
  <c r="J71" i="29"/>
  <c r="J77" i="29"/>
  <c r="I71" i="29"/>
  <c r="I77" i="29"/>
  <c r="H71" i="29"/>
  <c r="H77" i="29"/>
  <c r="BY192" i="34"/>
  <c r="G71" i="29"/>
  <c r="G77" i="29"/>
  <c r="F71" i="29"/>
  <c r="F77" i="29"/>
  <c r="E71" i="29"/>
  <c r="D71" i="29"/>
  <c r="D77" i="29"/>
  <c r="C71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N60" i="29"/>
  <c r="N66" i="29"/>
  <c r="M60" i="29"/>
  <c r="L60" i="29"/>
  <c r="L66" i="29"/>
  <c r="K60" i="29"/>
  <c r="K66" i="29"/>
  <c r="J60" i="29"/>
  <c r="J66" i="29"/>
  <c r="I60" i="29"/>
  <c r="I66" i="29"/>
  <c r="H60" i="29"/>
  <c r="G60" i="29"/>
  <c r="G66" i="29"/>
  <c r="F60" i="29"/>
  <c r="E60" i="29"/>
  <c r="E66" i="29"/>
  <c r="BJ192" i="34"/>
  <c r="D60" i="29"/>
  <c r="C60" i="29"/>
  <c r="C66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N49" i="29"/>
  <c r="N55" i="29"/>
  <c r="M49" i="29"/>
  <c r="L49" i="29"/>
  <c r="L55" i="29"/>
  <c r="K49" i="29"/>
  <c r="J49" i="29"/>
  <c r="J55" i="29"/>
  <c r="I49" i="29"/>
  <c r="H49" i="29"/>
  <c r="H55" i="29"/>
  <c r="G49" i="29"/>
  <c r="F49" i="29"/>
  <c r="F55" i="29"/>
  <c r="AY192" i="34"/>
  <c r="E49" i="29"/>
  <c r="E55" i="29"/>
  <c r="AX192" i="34"/>
  <c r="D49" i="29"/>
  <c r="D55" i="29"/>
  <c r="AW192" i="34"/>
  <c r="C49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N38" i="29"/>
  <c r="N44" i="29"/>
  <c r="AU192" i="34"/>
  <c r="M38" i="29"/>
  <c r="L38" i="29"/>
  <c r="K38" i="29"/>
  <c r="K44" i="29"/>
  <c r="J38" i="29"/>
  <c r="I38" i="29"/>
  <c r="I44" i="29"/>
  <c r="H38" i="29"/>
  <c r="H44" i="29"/>
  <c r="G38" i="29"/>
  <c r="G44" i="29"/>
  <c r="F38" i="29"/>
  <c r="F44" i="29"/>
  <c r="E38" i="29"/>
  <c r="E44" i="29"/>
  <c r="D38" i="29"/>
  <c r="D44" i="29"/>
  <c r="C38" i="29"/>
  <c r="C44" i="29"/>
  <c r="K29" i="29"/>
  <c r="J29" i="29"/>
  <c r="I29" i="29"/>
  <c r="H29" i="29"/>
  <c r="G29" i="29"/>
  <c r="F29" i="29"/>
  <c r="E29" i="29"/>
  <c r="D29" i="29"/>
  <c r="C29" i="29"/>
  <c r="N26" i="29"/>
  <c r="N32" i="29"/>
  <c r="M26" i="29"/>
  <c r="M32" i="29"/>
  <c r="L26" i="29"/>
  <c r="L32" i="29"/>
  <c r="K26" i="29"/>
  <c r="J26" i="29"/>
  <c r="J32" i="29"/>
  <c r="I26" i="29"/>
  <c r="I32" i="29"/>
  <c r="H26" i="29"/>
  <c r="H32" i="29"/>
  <c r="G26" i="29"/>
  <c r="F26" i="29"/>
  <c r="F32" i="29"/>
  <c r="E26" i="29"/>
  <c r="E32" i="29"/>
  <c r="D26" i="29"/>
  <c r="D32" i="29"/>
  <c r="C26" i="29"/>
  <c r="C32" i="29"/>
  <c r="Y23" i="29"/>
  <c r="Y35" i="29"/>
  <c r="Y46" i="29"/>
  <c r="Y57" i="29"/>
  <c r="Y6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O15" i="29"/>
  <c r="N15" i="29"/>
  <c r="M15" i="29"/>
  <c r="L15" i="29"/>
  <c r="K15" i="29"/>
  <c r="J15" i="29"/>
  <c r="I15" i="29"/>
  <c r="H15" i="29"/>
  <c r="G15" i="29"/>
  <c r="F15" i="29"/>
  <c r="D15" i="29"/>
  <c r="C15" i="29"/>
  <c r="C21" i="29"/>
  <c r="E14" i="29"/>
  <c r="E15" i="29"/>
  <c r="N182" i="28"/>
  <c r="N184" i="28"/>
  <c r="M182" i="28"/>
  <c r="M184" i="28"/>
  <c r="L182" i="28"/>
  <c r="L184" i="28"/>
  <c r="K182" i="28"/>
  <c r="K184" i="28"/>
  <c r="J182" i="28"/>
  <c r="J184" i="28"/>
  <c r="I182" i="28"/>
  <c r="I184" i="28"/>
  <c r="H182" i="28"/>
  <c r="H184" i="28"/>
  <c r="G182" i="28"/>
  <c r="G184" i="28"/>
  <c r="F182" i="28"/>
  <c r="F184" i="28"/>
  <c r="E182" i="28"/>
  <c r="E184" i="28"/>
  <c r="N181" i="28"/>
  <c r="N185" i="28"/>
  <c r="M181" i="28"/>
  <c r="M185" i="28"/>
  <c r="L181" i="28"/>
  <c r="L185" i="28"/>
  <c r="K181" i="28"/>
  <c r="K185" i="28"/>
  <c r="J181" i="28"/>
  <c r="J185" i="28"/>
  <c r="I181" i="28"/>
  <c r="I185" i="28"/>
  <c r="H181" i="28"/>
  <c r="H185" i="28"/>
  <c r="G181" i="28"/>
  <c r="G185" i="28"/>
  <c r="F181" i="28"/>
  <c r="F185" i="28"/>
  <c r="E181" i="28"/>
  <c r="E185" i="28"/>
  <c r="I40" i="30"/>
  <c r="I62" i="30"/>
  <c r="P171" i="28"/>
  <c r="P173" i="28"/>
  <c r="O171" i="28"/>
  <c r="O173" i="28"/>
  <c r="N171" i="28"/>
  <c r="N173" i="28"/>
  <c r="M171" i="28"/>
  <c r="M173" i="28"/>
  <c r="L171" i="28"/>
  <c r="L173" i="28"/>
  <c r="K171" i="28"/>
  <c r="K173" i="28"/>
  <c r="J171" i="28"/>
  <c r="J173" i="28"/>
  <c r="I171" i="28"/>
  <c r="I173" i="28"/>
  <c r="H171" i="28"/>
  <c r="H173" i="28"/>
  <c r="G171" i="28"/>
  <c r="G173" i="28"/>
  <c r="F171" i="28"/>
  <c r="F173" i="28"/>
  <c r="E171" i="28"/>
  <c r="E173" i="28"/>
  <c r="P170" i="28"/>
  <c r="P174" i="28"/>
  <c r="O170" i="28"/>
  <c r="O174" i="28"/>
  <c r="N170" i="28"/>
  <c r="N174" i="28"/>
  <c r="M170" i="28"/>
  <c r="M174" i="28"/>
  <c r="L170" i="28"/>
  <c r="L174" i="28"/>
  <c r="K170" i="28"/>
  <c r="K174" i="28"/>
  <c r="J170" i="28"/>
  <c r="J174" i="28"/>
  <c r="I170" i="28"/>
  <c r="I174" i="28"/>
  <c r="H170" i="28"/>
  <c r="H174" i="28"/>
  <c r="G170" i="28"/>
  <c r="G174" i="28"/>
  <c r="F170" i="28"/>
  <c r="F174" i="28"/>
  <c r="E170" i="28"/>
  <c r="E174" i="28"/>
  <c r="P160" i="28"/>
  <c r="P162" i="28"/>
  <c r="O160" i="28"/>
  <c r="O162" i="28"/>
  <c r="N160" i="28"/>
  <c r="N162" i="28"/>
  <c r="M160" i="28"/>
  <c r="M162" i="28"/>
  <c r="L160" i="28"/>
  <c r="L162" i="28"/>
  <c r="K160" i="28"/>
  <c r="K162" i="28"/>
  <c r="J160" i="28"/>
  <c r="J162" i="28"/>
  <c r="I160" i="28"/>
  <c r="I162" i="28"/>
  <c r="H160" i="28"/>
  <c r="H162" i="28"/>
  <c r="G160" i="28"/>
  <c r="G162" i="28"/>
  <c r="F160" i="28"/>
  <c r="F162" i="28"/>
  <c r="E160" i="28"/>
  <c r="E162" i="28"/>
  <c r="P159" i="28"/>
  <c r="P163" i="28"/>
  <c r="O159" i="28"/>
  <c r="O163" i="28"/>
  <c r="N159" i="28"/>
  <c r="N163" i="28"/>
  <c r="M159" i="28"/>
  <c r="M163" i="28"/>
  <c r="L159" i="28"/>
  <c r="L163" i="28"/>
  <c r="K159" i="28"/>
  <c r="K163" i="28"/>
  <c r="J159" i="28"/>
  <c r="J163" i="28"/>
  <c r="I159" i="28"/>
  <c r="I163" i="28"/>
  <c r="H159" i="28"/>
  <c r="H163" i="28"/>
  <c r="G159" i="28"/>
  <c r="G163" i="28"/>
  <c r="F159" i="28"/>
  <c r="F163" i="28"/>
  <c r="E159" i="28"/>
  <c r="E163" i="28"/>
  <c r="P151" i="28"/>
  <c r="P153" i="28"/>
  <c r="O151" i="28"/>
  <c r="O153" i="28"/>
  <c r="N151" i="28"/>
  <c r="N153" i="28"/>
  <c r="M151" i="28"/>
  <c r="M153" i="28"/>
  <c r="L151" i="28"/>
  <c r="L153" i="28"/>
  <c r="K151" i="28"/>
  <c r="K153" i="28"/>
  <c r="J151" i="28"/>
  <c r="J153" i="28"/>
  <c r="I151" i="28"/>
  <c r="I153" i="28"/>
  <c r="H151" i="28"/>
  <c r="H153" i="28"/>
  <c r="G151" i="28"/>
  <c r="G153" i="28"/>
  <c r="F151" i="28"/>
  <c r="F153" i="28"/>
  <c r="E151" i="28"/>
  <c r="E153" i="28"/>
  <c r="P150" i="28"/>
  <c r="P154" i="28"/>
  <c r="O150" i="28"/>
  <c r="O154" i="28"/>
  <c r="N150" i="28"/>
  <c r="N154" i="28"/>
  <c r="M150" i="28"/>
  <c r="M154" i="28"/>
  <c r="L150" i="28"/>
  <c r="L154" i="28"/>
  <c r="K150" i="28"/>
  <c r="K154" i="28"/>
  <c r="J150" i="28"/>
  <c r="J154" i="28"/>
  <c r="I150" i="28"/>
  <c r="I154" i="28"/>
  <c r="H150" i="28"/>
  <c r="H154" i="28"/>
  <c r="G150" i="28"/>
  <c r="G154" i="28"/>
  <c r="F150" i="28"/>
  <c r="F154" i="28"/>
  <c r="E150" i="28"/>
  <c r="E154" i="28"/>
  <c r="P140" i="28"/>
  <c r="P144" i="28"/>
  <c r="O140" i="28"/>
  <c r="O144" i="28"/>
  <c r="N140" i="28"/>
  <c r="N144" i="28"/>
  <c r="M140" i="28"/>
  <c r="M144" i="28"/>
  <c r="L140" i="28"/>
  <c r="L144" i="28"/>
  <c r="K140" i="28"/>
  <c r="K144" i="28"/>
  <c r="J140" i="28"/>
  <c r="J144" i="28"/>
  <c r="I140" i="28"/>
  <c r="I144" i="28"/>
  <c r="H140" i="28"/>
  <c r="H144" i="28"/>
  <c r="G140" i="28"/>
  <c r="G144" i="28"/>
  <c r="F140" i="28"/>
  <c r="F144" i="28"/>
  <c r="E140" i="28"/>
  <c r="E144" i="28"/>
  <c r="P127" i="28"/>
  <c r="P133" i="28"/>
  <c r="O127" i="28"/>
  <c r="O133" i="28"/>
  <c r="N127" i="28"/>
  <c r="N133" i="28"/>
  <c r="M127" i="28"/>
  <c r="M133" i="28"/>
  <c r="L127" i="28"/>
  <c r="L133" i="28"/>
  <c r="K127" i="28"/>
  <c r="K133" i="28"/>
  <c r="J127" i="28"/>
  <c r="J133" i="28"/>
  <c r="I127" i="28"/>
  <c r="I133" i="28"/>
  <c r="H127" i="28"/>
  <c r="H133" i="28"/>
  <c r="G127" i="28"/>
  <c r="G133" i="28"/>
  <c r="F127" i="28"/>
  <c r="F133" i="28"/>
  <c r="E127" i="28"/>
  <c r="E133" i="28"/>
  <c r="P110" i="28"/>
  <c r="P116" i="28"/>
  <c r="O110" i="28"/>
  <c r="O116" i="28"/>
  <c r="N110" i="28"/>
  <c r="N116" i="28"/>
  <c r="M110" i="28"/>
  <c r="M116" i="28"/>
  <c r="L110" i="28"/>
  <c r="L116" i="28"/>
  <c r="K110" i="28"/>
  <c r="K116" i="28"/>
  <c r="J110" i="28"/>
  <c r="J116" i="28"/>
  <c r="I110" i="28"/>
  <c r="I116" i="28"/>
  <c r="H110" i="28"/>
  <c r="H116" i="28"/>
  <c r="G110" i="28"/>
  <c r="G116" i="28"/>
  <c r="F110" i="28"/>
  <c r="F116" i="28"/>
  <c r="E110" i="28"/>
  <c r="E116" i="28"/>
  <c r="P96" i="28"/>
  <c r="P102" i="28"/>
  <c r="O96" i="28"/>
  <c r="O102" i="28"/>
  <c r="N96" i="28"/>
  <c r="N102" i="28"/>
  <c r="M96" i="28"/>
  <c r="M102" i="28"/>
  <c r="L96" i="28"/>
  <c r="L102" i="28"/>
  <c r="K96" i="28"/>
  <c r="K102" i="28"/>
  <c r="J96" i="28"/>
  <c r="J102" i="28"/>
  <c r="I96" i="28"/>
  <c r="I102" i="28"/>
  <c r="H96" i="28"/>
  <c r="H102" i="28"/>
  <c r="G96" i="28"/>
  <c r="G102" i="28"/>
  <c r="F96" i="28"/>
  <c r="F102" i="28"/>
  <c r="E96" i="28"/>
  <c r="E102" i="28"/>
  <c r="P83" i="28"/>
  <c r="P89" i="28"/>
  <c r="O83" i="28"/>
  <c r="O89" i="28"/>
  <c r="N83" i="28"/>
  <c r="N89" i="28"/>
  <c r="M83" i="28"/>
  <c r="M89" i="28"/>
  <c r="L83" i="28"/>
  <c r="L89" i="28"/>
  <c r="K83" i="28"/>
  <c r="K89" i="28"/>
  <c r="J83" i="28"/>
  <c r="J89" i="28"/>
  <c r="I83" i="28"/>
  <c r="I89" i="28"/>
  <c r="H83" i="28"/>
  <c r="H89" i="28"/>
  <c r="G83" i="28"/>
  <c r="G89" i="28"/>
  <c r="F83" i="28"/>
  <c r="F89" i="28"/>
  <c r="E83" i="28"/>
  <c r="E89" i="28"/>
  <c r="P70" i="28"/>
  <c r="P76" i="28"/>
  <c r="O70" i="28"/>
  <c r="O76" i="28"/>
  <c r="N70" i="28"/>
  <c r="N76" i="28"/>
  <c r="M70" i="28"/>
  <c r="M76" i="28"/>
  <c r="L70" i="28"/>
  <c r="L76" i="28"/>
  <c r="K70" i="28"/>
  <c r="K76" i="28"/>
  <c r="J70" i="28"/>
  <c r="J76" i="28"/>
  <c r="I70" i="28"/>
  <c r="I76" i="28"/>
  <c r="H70" i="28"/>
  <c r="H76" i="28"/>
  <c r="G70" i="28"/>
  <c r="G76" i="28"/>
  <c r="F70" i="28"/>
  <c r="F76" i="28"/>
  <c r="E70" i="28"/>
  <c r="E76" i="28"/>
  <c r="F62" i="28"/>
  <c r="E62" i="28"/>
  <c r="M58" i="28"/>
  <c r="M62" i="28"/>
  <c r="L58" i="28"/>
  <c r="L62" i="28"/>
  <c r="K58" i="28"/>
  <c r="K62" i="28"/>
  <c r="J58" i="28"/>
  <c r="J62" i="28"/>
  <c r="P57" i="28"/>
  <c r="P63" i="28"/>
  <c r="O57" i="28"/>
  <c r="O63" i="28"/>
  <c r="N57" i="28"/>
  <c r="N63" i="28"/>
  <c r="M57" i="28"/>
  <c r="M63" i="28"/>
  <c r="L57" i="28"/>
  <c r="L63" i="28"/>
  <c r="K57" i="28"/>
  <c r="K63" i="28"/>
  <c r="J57" i="28"/>
  <c r="J63" i="28"/>
  <c r="I57" i="28"/>
  <c r="I63" i="28"/>
  <c r="H57" i="28"/>
  <c r="H63" i="28"/>
  <c r="G57" i="28"/>
  <c r="G63" i="28"/>
  <c r="F57" i="28"/>
  <c r="F63" i="28"/>
  <c r="E57" i="28"/>
  <c r="E63" i="28"/>
  <c r="J50" i="28"/>
  <c r="I50" i="28"/>
  <c r="I49" i="28"/>
  <c r="I53" i="28"/>
  <c r="H50" i="28"/>
  <c r="G50" i="28"/>
  <c r="F50" i="28"/>
  <c r="E50" i="28"/>
  <c r="P49" i="28"/>
  <c r="O49" i="28"/>
  <c r="N49" i="28"/>
  <c r="M49" i="28"/>
  <c r="L49" i="28"/>
  <c r="K49" i="28"/>
  <c r="J49" i="28"/>
  <c r="J53" i="28"/>
  <c r="H49" i="28"/>
  <c r="G49" i="28"/>
  <c r="F49" i="28"/>
  <c r="E49" i="28"/>
  <c r="J48" i="28"/>
  <c r="I48" i="28"/>
  <c r="H48" i="28"/>
  <c r="G48" i="28"/>
  <c r="F48" i="28"/>
  <c r="K44" i="28"/>
  <c r="K50" i="28"/>
  <c r="K43" i="28"/>
  <c r="K48" i="28"/>
  <c r="P35" i="28"/>
  <c r="P34" i="28"/>
  <c r="P38" i="28"/>
  <c r="O35" i="28"/>
  <c r="N35" i="28"/>
  <c r="M35" i="28"/>
  <c r="L35" i="28"/>
  <c r="K35" i="28"/>
  <c r="J35" i="28"/>
  <c r="I35" i="28"/>
  <c r="H35" i="28"/>
  <c r="G35" i="28"/>
  <c r="F35" i="28"/>
  <c r="E35" i="28"/>
  <c r="O34" i="28"/>
  <c r="N34" i="28"/>
  <c r="M34" i="28"/>
  <c r="L34" i="28"/>
  <c r="K34" i="28"/>
  <c r="J34" i="28"/>
  <c r="I34" i="28"/>
  <c r="H34" i="28"/>
  <c r="G34" i="28"/>
  <c r="F34" i="28"/>
  <c r="E34" i="28"/>
  <c r="P22" i="28"/>
  <c r="O22" i="28"/>
  <c r="N22" i="28"/>
  <c r="M22" i="28"/>
  <c r="M21" i="28"/>
  <c r="M24" i="28"/>
  <c r="L22" i="28"/>
  <c r="K22" i="28"/>
  <c r="K21" i="28"/>
  <c r="K24" i="28"/>
  <c r="J22" i="28"/>
  <c r="I22" i="28"/>
  <c r="H22" i="28"/>
  <c r="G22" i="28"/>
  <c r="F22" i="28"/>
  <c r="E22" i="28"/>
  <c r="P21" i="28"/>
  <c r="O21" i="28"/>
  <c r="N21" i="28"/>
  <c r="L21" i="28"/>
  <c r="J21" i="28"/>
  <c r="I21" i="28"/>
  <c r="H21" i="28"/>
  <c r="G21" i="28"/>
  <c r="F21" i="28"/>
  <c r="E21" i="28"/>
  <c r="H24" i="28"/>
  <c r="G38" i="28"/>
  <c r="AA73" i="27"/>
  <c r="Z73" i="27"/>
  <c r="Y73" i="27"/>
  <c r="X73" i="27"/>
  <c r="W73" i="27"/>
  <c r="V73" i="27"/>
  <c r="U73" i="27"/>
  <c r="T73" i="27"/>
  <c r="S73" i="27"/>
  <c r="R73" i="27"/>
  <c r="Q73" i="27"/>
  <c r="P73" i="27"/>
  <c r="L73" i="27"/>
  <c r="K73" i="27"/>
  <c r="J73" i="27"/>
  <c r="I73" i="27"/>
  <c r="H73" i="27"/>
  <c r="G73" i="27"/>
  <c r="F73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AB71" i="27"/>
  <c r="AA71" i="27"/>
  <c r="Z71" i="27"/>
  <c r="Y71" i="27"/>
  <c r="X71" i="27"/>
  <c r="W71" i="27"/>
  <c r="V71" i="27"/>
  <c r="U71" i="27"/>
  <c r="T71" i="27"/>
  <c r="S71" i="27"/>
  <c r="R71" i="27"/>
  <c r="Q71" i="27"/>
  <c r="P71" i="27"/>
  <c r="L71" i="27"/>
  <c r="K71" i="27"/>
  <c r="J71" i="27"/>
  <c r="I71" i="27"/>
  <c r="H71" i="27"/>
  <c r="G71" i="27"/>
  <c r="F71" i="27"/>
  <c r="AB70" i="27"/>
  <c r="AA70" i="27"/>
  <c r="Z70" i="27"/>
  <c r="Y70" i="27"/>
  <c r="Y74" i="27"/>
  <c r="X70" i="27"/>
  <c r="W70" i="27"/>
  <c r="V70" i="27"/>
  <c r="U70" i="27"/>
  <c r="U74" i="27"/>
  <c r="T70" i="27"/>
  <c r="S70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F70" i="27"/>
  <c r="DT52" i="24"/>
  <c r="G62" i="30"/>
  <c r="G70" i="31"/>
  <c r="AC67" i="27"/>
  <c r="FG66" i="27"/>
  <c r="FG71" i="27"/>
  <c r="FF66" i="27"/>
  <c r="FF71" i="27"/>
  <c r="FE66" i="27"/>
  <c r="FE71" i="27"/>
  <c r="FD66" i="27"/>
  <c r="FD71" i="27"/>
  <c r="FC66" i="27"/>
  <c r="FC71" i="27"/>
  <c r="FB66" i="27"/>
  <c r="FB71" i="27"/>
  <c r="FA66" i="27"/>
  <c r="FA71" i="27"/>
  <c r="EZ66" i="27"/>
  <c r="EZ71" i="27"/>
  <c r="EY66" i="27"/>
  <c r="EY71" i="27"/>
  <c r="EX66" i="27"/>
  <c r="EX71" i="27"/>
  <c r="EW66" i="27"/>
  <c r="EW71" i="27"/>
  <c r="EV66" i="27"/>
  <c r="EV71" i="27"/>
  <c r="EU66" i="27"/>
  <c r="EU71" i="27"/>
  <c r="ET66" i="27"/>
  <c r="ET71" i="27"/>
  <c r="ES66" i="27"/>
  <c r="ES71" i="27"/>
  <c r="ER66" i="27"/>
  <c r="ER71" i="27"/>
  <c r="EQ66" i="27"/>
  <c r="EQ71" i="27"/>
  <c r="EP66" i="27"/>
  <c r="EP71" i="27"/>
  <c r="EO66" i="27"/>
  <c r="EO71" i="27"/>
  <c r="EN66" i="27"/>
  <c r="EN71" i="27"/>
  <c r="EM66" i="27"/>
  <c r="EM71" i="27"/>
  <c r="EL66" i="27"/>
  <c r="EL71" i="27"/>
  <c r="EK66" i="27"/>
  <c r="EK71" i="27"/>
  <c r="EJ66" i="27"/>
  <c r="EJ71" i="27"/>
  <c r="EI66" i="27"/>
  <c r="EI71" i="27"/>
  <c r="EH66" i="27"/>
  <c r="EH71" i="27"/>
  <c r="EG66" i="27"/>
  <c r="EG71" i="27"/>
  <c r="EF66" i="27"/>
  <c r="EF71" i="27"/>
  <c r="EE66" i="27"/>
  <c r="EE71" i="27"/>
  <c r="ED66" i="27"/>
  <c r="ED71" i="27"/>
  <c r="EC66" i="27"/>
  <c r="EC71" i="27"/>
  <c r="EB66" i="27"/>
  <c r="EB71" i="27"/>
  <c r="EA66" i="27"/>
  <c r="EA71" i="27"/>
  <c r="DZ66" i="27"/>
  <c r="DZ71" i="27"/>
  <c r="DY66" i="27"/>
  <c r="DY71" i="27"/>
  <c r="DX66" i="27"/>
  <c r="DX71" i="27"/>
  <c r="DW66" i="27"/>
  <c r="DW71" i="27"/>
  <c r="DV66" i="27"/>
  <c r="DV71" i="27"/>
  <c r="DU66" i="27"/>
  <c r="DU71" i="27"/>
  <c r="DT66" i="27"/>
  <c r="DT71" i="27"/>
  <c r="DS66" i="27"/>
  <c r="DS71" i="27"/>
  <c r="DR66" i="27"/>
  <c r="DR71" i="27"/>
  <c r="DQ66" i="27"/>
  <c r="DQ71" i="27"/>
  <c r="DP66" i="27"/>
  <c r="DP71" i="27"/>
  <c r="DO66" i="27"/>
  <c r="DO71" i="27"/>
  <c r="DN66" i="27"/>
  <c r="DN71" i="27"/>
  <c r="DM66" i="27"/>
  <c r="DM71" i="27"/>
  <c r="DL66" i="27"/>
  <c r="DL71" i="27"/>
  <c r="DK66" i="27"/>
  <c r="DK71" i="27"/>
  <c r="DJ66" i="27"/>
  <c r="DJ71" i="27"/>
  <c r="DI66" i="27"/>
  <c r="DI71" i="27"/>
  <c r="DH66" i="27"/>
  <c r="DH71" i="27"/>
  <c r="DG66" i="27"/>
  <c r="DG71" i="27"/>
  <c r="DF66" i="27"/>
  <c r="DF71" i="27"/>
  <c r="DE66" i="27"/>
  <c r="DE71" i="27"/>
  <c r="DD66" i="27"/>
  <c r="DD71" i="27"/>
  <c r="DC66" i="27"/>
  <c r="DC71" i="27"/>
  <c r="DB66" i="27"/>
  <c r="DB71" i="27"/>
  <c r="DA66" i="27"/>
  <c r="DA71" i="27"/>
  <c r="CZ66" i="27"/>
  <c r="CZ71" i="27"/>
  <c r="CY66" i="27"/>
  <c r="CY71" i="27"/>
  <c r="CX66" i="27"/>
  <c r="CX71" i="27"/>
  <c r="CW66" i="27"/>
  <c r="CW71" i="27"/>
  <c r="CV66" i="27"/>
  <c r="CV71" i="27"/>
  <c r="CU66" i="27"/>
  <c r="CU71" i="27"/>
  <c r="CT66" i="27"/>
  <c r="CT71" i="27"/>
  <c r="CS66" i="27"/>
  <c r="CS71" i="27"/>
  <c r="CR66" i="27"/>
  <c r="CR71" i="27"/>
  <c r="CQ66" i="27"/>
  <c r="CQ71" i="27"/>
  <c r="CP66" i="27"/>
  <c r="CP71" i="27"/>
  <c r="CO66" i="27"/>
  <c r="CO71" i="27"/>
  <c r="CN66" i="27"/>
  <c r="CN71" i="27"/>
  <c r="CM66" i="27"/>
  <c r="CM71" i="27"/>
  <c r="CL66" i="27"/>
  <c r="CL71" i="27"/>
  <c r="CK66" i="27"/>
  <c r="CK71" i="27"/>
  <c r="CJ66" i="27"/>
  <c r="CJ71" i="27"/>
  <c r="CI66" i="27"/>
  <c r="CI71" i="27"/>
  <c r="CH66" i="27"/>
  <c r="CH71" i="27"/>
  <c r="CG66" i="27"/>
  <c r="CG71" i="27"/>
  <c r="CF66" i="27"/>
  <c r="CF71" i="27"/>
  <c r="CE66" i="27"/>
  <c r="CE71" i="27"/>
  <c r="CD66" i="27"/>
  <c r="CD71" i="27"/>
  <c r="CC66" i="27"/>
  <c r="CC71" i="27"/>
  <c r="CB66" i="27"/>
  <c r="CB71" i="27"/>
  <c r="CA66" i="27"/>
  <c r="CA71" i="27"/>
  <c r="BZ66" i="27"/>
  <c r="BZ71" i="27"/>
  <c r="BY66" i="27"/>
  <c r="BY71" i="27"/>
  <c r="BX66" i="27"/>
  <c r="BX71" i="27"/>
  <c r="BW66" i="27"/>
  <c r="BW71" i="27"/>
  <c r="BV66" i="27"/>
  <c r="BV71" i="27"/>
  <c r="BU66" i="27"/>
  <c r="BU71" i="27"/>
  <c r="BT66" i="27"/>
  <c r="BT71" i="27"/>
  <c r="BS66" i="27"/>
  <c r="BS71" i="27"/>
  <c r="BR66" i="27"/>
  <c r="BR71" i="27"/>
  <c r="BQ66" i="27"/>
  <c r="BQ71" i="27"/>
  <c r="BP66" i="27"/>
  <c r="BP71" i="27"/>
  <c r="BO66" i="27"/>
  <c r="BO71" i="27"/>
  <c r="BN66" i="27"/>
  <c r="BN71" i="27"/>
  <c r="BM66" i="27"/>
  <c r="BM71" i="27"/>
  <c r="BL66" i="27"/>
  <c r="BL71" i="27"/>
  <c r="BK66" i="27"/>
  <c r="BK71" i="27"/>
  <c r="BJ66" i="27"/>
  <c r="BJ71" i="27"/>
  <c r="BI66" i="27"/>
  <c r="BI71" i="27"/>
  <c r="BH66" i="27"/>
  <c r="BH71" i="27"/>
  <c r="BG66" i="27"/>
  <c r="BG71" i="27"/>
  <c r="BF66" i="27"/>
  <c r="BF71" i="27"/>
  <c r="BE66" i="27"/>
  <c r="BE71" i="27"/>
  <c r="BD66" i="27"/>
  <c r="BD71" i="27"/>
  <c r="BC66" i="27"/>
  <c r="BC71" i="27"/>
  <c r="BB66" i="27"/>
  <c r="BB71" i="27"/>
  <c r="BA66" i="27"/>
  <c r="BA71" i="27"/>
  <c r="AZ66" i="27"/>
  <c r="AZ71" i="27"/>
  <c r="AY66" i="27"/>
  <c r="AY71" i="27"/>
  <c r="AX66" i="27"/>
  <c r="AX71" i="27"/>
  <c r="AW66" i="27"/>
  <c r="AW71" i="27"/>
  <c r="AV66" i="27"/>
  <c r="AV71" i="27"/>
  <c r="AU66" i="27"/>
  <c r="AU71" i="27"/>
  <c r="AT66" i="27"/>
  <c r="AT71" i="27"/>
  <c r="AS66" i="27"/>
  <c r="AS71" i="27"/>
  <c r="AR66" i="27"/>
  <c r="AR71" i="27"/>
  <c r="AQ66" i="27"/>
  <c r="AQ71" i="27"/>
  <c r="AP66" i="27"/>
  <c r="AP71" i="27"/>
  <c r="AO66" i="27"/>
  <c r="AO71" i="27"/>
  <c r="AN66" i="27"/>
  <c r="AN71" i="27"/>
  <c r="AM66" i="27"/>
  <c r="AM71" i="27"/>
  <c r="AL66" i="27"/>
  <c r="AL71" i="27"/>
  <c r="AK66" i="27"/>
  <c r="AK71" i="27"/>
  <c r="AJ66" i="27"/>
  <c r="AJ71" i="27"/>
  <c r="AI66" i="27"/>
  <c r="AI71" i="27"/>
  <c r="AH66" i="27"/>
  <c r="AH71" i="27"/>
  <c r="DN52" i="24"/>
  <c r="DN67" i="24"/>
  <c r="K55" i="27"/>
  <c r="AA53" i="27"/>
  <c r="Z53" i="27"/>
  <c r="Y53" i="27"/>
  <c r="W53" i="27"/>
  <c r="V53" i="27"/>
  <c r="U53" i="27"/>
  <c r="T53" i="27"/>
  <c r="T55" i="27"/>
  <c r="S53" i="27"/>
  <c r="R53" i="27"/>
  <c r="Q53" i="27"/>
  <c r="P53" i="27"/>
  <c r="I53" i="27"/>
  <c r="H53" i="27"/>
  <c r="G53" i="27"/>
  <c r="F53" i="27"/>
  <c r="AB52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AB51" i="27"/>
  <c r="AA51" i="27"/>
  <c r="Z51" i="27"/>
  <c r="Y51" i="27"/>
  <c r="W51" i="27"/>
  <c r="V51" i="27"/>
  <c r="U51" i="27"/>
  <c r="T51" i="27"/>
  <c r="S51" i="27"/>
  <c r="R51" i="27"/>
  <c r="Q51" i="27"/>
  <c r="P51" i="27"/>
  <c r="J51" i="27"/>
  <c r="I51" i="27"/>
  <c r="H51" i="27"/>
  <c r="G51" i="27"/>
  <c r="F51" i="27"/>
  <c r="Z50" i="27"/>
  <c r="Y50" i="27"/>
  <c r="V50" i="27"/>
  <c r="U50" i="27"/>
  <c r="T50" i="27"/>
  <c r="S50" i="27"/>
  <c r="S55" i="27"/>
  <c r="R50" i="27"/>
  <c r="Q50" i="27"/>
  <c r="P50" i="27"/>
  <c r="AD48" i="27"/>
  <c r="AC48" i="27"/>
  <c r="AB48" i="27"/>
  <c r="AB68" i="27"/>
  <c r="AB73" i="27"/>
  <c r="X48" i="27"/>
  <c r="X53" i="27"/>
  <c r="O48" i="27"/>
  <c r="O68" i="27"/>
  <c r="O73" i="27"/>
  <c r="N48" i="27"/>
  <c r="M48" i="27"/>
  <c r="M68" i="27"/>
  <c r="M73" i="27"/>
  <c r="L48" i="27"/>
  <c r="L53" i="27"/>
  <c r="K48" i="27"/>
  <c r="J48" i="27"/>
  <c r="J53" i="27"/>
  <c r="AP47" i="27"/>
  <c r="AO47" i="27"/>
  <c r="AN47" i="27"/>
  <c r="AM47" i="27"/>
  <c r="AM67" i="27"/>
  <c r="AM72" i="27"/>
  <c r="AI47" i="27"/>
  <c r="AH47" i="27"/>
  <c r="AC47" i="27"/>
  <c r="AC52" i="27"/>
  <c r="J47" i="27"/>
  <c r="I47" i="27"/>
  <c r="I67" i="27"/>
  <c r="I72" i="27"/>
  <c r="H47" i="27"/>
  <c r="G47" i="27"/>
  <c r="G67" i="27"/>
  <c r="G72" i="27"/>
  <c r="F47" i="27"/>
  <c r="O53" i="27"/>
  <c r="DU18" i="24"/>
  <c r="AD46" i="27"/>
  <c r="AD66" i="27"/>
  <c r="AD71" i="27"/>
  <c r="AC46" i="27"/>
  <c r="X46" i="27"/>
  <c r="X51" i="27"/>
  <c r="O46" i="27"/>
  <c r="O51" i="27"/>
  <c r="N46" i="27"/>
  <c r="N66" i="27"/>
  <c r="N71" i="27"/>
  <c r="M46" i="27"/>
  <c r="L46" i="27"/>
  <c r="L51" i="27"/>
  <c r="AD45" i="27"/>
  <c r="AB45" i="27"/>
  <c r="AB50" i="27"/>
  <c r="X45" i="27"/>
  <c r="X50" i="27"/>
  <c r="W45" i="27"/>
  <c r="W50" i="27"/>
  <c r="O45" i="27"/>
  <c r="O50" i="27"/>
  <c r="N45" i="27"/>
  <c r="N50" i="27"/>
  <c r="M45" i="27"/>
  <c r="M50" i="27"/>
  <c r="L45" i="27"/>
  <c r="L50" i="27"/>
  <c r="K45" i="27"/>
  <c r="J45" i="27"/>
  <c r="J50" i="27"/>
  <c r="I45" i="27"/>
  <c r="I50" i="27"/>
  <c r="H45" i="27"/>
  <c r="H50" i="27"/>
  <c r="G45" i="27"/>
  <c r="G50" i="27"/>
  <c r="F45" i="27"/>
  <c r="F50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AP27" i="27"/>
  <c r="AO27" i="27"/>
  <c r="AN27" i="27"/>
  <c r="AM27" i="27"/>
  <c r="AI27" i="27"/>
  <c r="AH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H30" i="27"/>
  <c r="G26" i="27"/>
  <c r="F26" i="27"/>
  <c r="AD25" i="27"/>
  <c r="AB25" i="27"/>
  <c r="Z25" i="27"/>
  <c r="Y25" i="27"/>
  <c r="Y30" i="27"/>
  <c r="X25" i="27"/>
  <c r="W25" i="27"/>
  <c r="V25" i="27"/>
  <c r="U25" i="27"/>
  <c r="T25" i="27"/>
  <c r="S25" i="27"/>
  <c r="R25" i="27"/>
  <c r="Q25" i="27"/>
  <c r="P25" i="27"/>
  <c r="O25" i="27"/>
  <c r="O30" i="27"/>
  <c r="N25" i="27"/>
  <c r="M25" i="27"/>
  <c r="L25" i="27"/>
  <c r="K25" i="27"/>
  <c r="K30" i="27"/>
  <c r="J25" i="27"/>
  <c r="I25" i="27"/>
  <c r="H25" i="27"/>
  <c r="G25" i="27"/>
  <c r="F25" i="27"/>
  <c r="FG23" i="27"/>
  <c r="FF23" i="27"/>
  <c r="FE23" i="27"/>
  <c r="FD23" i="27"/>
  <c r="FC23" i="27"/>
  <c r="FC28" i="27"/>
  <c r="FB23" i="27"/>
  <c r="FB28" i="27"/>
  <c r="FA23" i="27"/>
  <c r="FA48" i="27"/>
  <c r="FA53" i="27"/>
  <c r="EZ23" i="27"/>
  <c r="EY23" i="27"/>
  <c r="EX23" i="27"/>
  <c r="EX48" i="27"/>
  <c r="EX68" i="27"/>
  <c r="EX73" i="27"/>
  <c r="EW23" i="27"/>
  <c r="EW48" i="27"/>
  <c r="EW53" i="27"/>
  <c r="EV23" i="27"/>
  <c r="EU23" i="27"/>
  <c r="ET23" i="27"/>
  <c r="ES23" i="27"/>
  <c r="ES48" i="27"/>
  <c r="ES68" i="27"/>
  <c r="ES73" i="27"/>
  <c r="ER23" i="27"/>
  <c r="ER48" i="27"/>
  <c r="ER53" i="27"/>
  <c r="EQ23" i="27"/>
  <c r="EQ28" i="27"/>
  <c r="EP23" i="27"/>
  <c r="EP28" i="27"/>
  <c r="EO23" i="27"/>
  <c r="EN23" i="27"/>
  <c r="EM23" i="27"/>
  <c r="EL23" i="27"/>
  <c r="EL28" i="27"/>
  <c r="EK23" i="27"/>
  <c r="EK28" i="27"/>
  <c r="EJ23" i="27"/>
  <c r="EI23" i="27"/>
  <c r="EI48" i="27"/>
  <c r="EI68" i="27"/>
  <c r="EI73" i="27"/>
  <c r="EH23" i="27"/>
  <c r="EH48" i="27"/>
  <c r="EH68" i="27"/>
  <c r="EH73" i="27"/>
  <c r="EG23" i="27"/>
  <c r="EF23" i="27"/>
  <c r="EF28" i="27"/>
  <c r="EE23" i="27"/>
  <c r="ED23" i="27"/>
  <c r="EC23" i="27"/>
  <c r="EC28" i="27"/>
  <c r="EB23" i="27"/>
  <c r="EA23" i="27"/>
  <c r="EA28" i="27"/>
  <c r="DZ23" i="27"/>
  <c r="DZ48" i="27"/>
  <c r="DY23" i="27"/>
  <c r="DY28" i="27"/>
  <c r="DX23" i="27"/>
  <c r="DW23" i="27"/>
  <c r="DV23" i="27"/>
  <c r="DV28" i="27"/>
  <c r="DU23" i="27"/>
  <c r="DU28" i="27"/>
  <c r="DT23" i="27"/>
  <c r="DS23" i="27"/>
  <c r="DS28" i="27"/>
  <c r="DR23" i="27"/>
  <c r="DR48" i="27"/>
  <c r="DQ23" i="27"/>
  <c r="DQ28" i="27"/>
  <c r="DP23" i="27"/>
  <c r="DP28" i="27"/>
  <c r="DO23" i="27"/>
  <c r="DN23" i="27"/>
  <c r="DN48" i="27"/>
  <c r="DM23" i="27"/>
  <c r="DM48" i="27"/>
  <c r="DM53" i="27"/>
  <c r="DL23" i="27"/>
  <c r="DK23" i="27"/>
  <c r="DK28" i="27"/>
  <c r="DJ23" i="27"/>
  <c r="DI23" i="27"/>
  <c r="DI48" i="27"/>
  <c r="DI68" i="27"/>
  <c r="DI73" i="27"/>
  <c r="DH23" i="27"/>
  <c r="DG23" i="27"/>
  <c r="DG48" i="27"/>
  <c r="DG68" i="27"/>
  <c r="DG73" i="27"/>
  <c r="DF23" i="27"/>
  <c r="DE23" i="27"/>
  <c r="DE48" i="27"/>
  <c r="DD23" i="27"/>
  <c r="DC23" i="27"/>
  <c r="DC48" i="27"/>
  <c r="DC53" i="27"/>
  <c r="DB23" i="27"/>
  <c r="DB48" i="27"/>
  <c r="DB53" i="27"/>
  <c r="DA23" i="27"/>
  <c r="DA28" i="27"/>
  <c r="CZ23" i="27"/>
  <c r="CY23" i="27"/>
  <c r="CX23" i="27"/>
  <c r="CX48" i="27"/>
  <c r="CW23" i="27"/>
  <c r="CW28" i="27"/>
  <c r="CV23" i="27"/>
  <c r="CU23" i="27"/>
  <c r="CT23" i="27"/>
  <c r="CT28" i="27"/>
  <c r="CS23" i="27"/>
  <c r="CS48" i="27"/>
  <c r="CS68" i="27"/>
  <c r="CS73" i="27"/>
  <c r="CR23" i="27"/>
  <c r="CR28" i="27"/>
  <c r="CQ23" i="27"/>
  <c r="CP23" i="27"/>
  <c r="CP28" i="27"/>
  <c r="CO23" i="27"/>
  <c r="CN23" i="27"/>
  <c r="CN28" i="27"/>
  <c r="CM23" i="27"/>
  <c r="CL23" i="27"/>
  <c r="CL28" i="27"/>
  <c r="CK23" i="27"/>
  <c r="CK48" i="27"/>
  <c r="CK53" i="27"/>
  <c r="CJ23" i="27"/>
  <c r="CJ48" i="27"/>
  <c r="CJ68" i="27"/>
  <c r="CJ73" i="27"/>
  <c r="CI23" i="27"/>
  <c r="CI48" i="27"/>
  <c r="CI68" i="27"/>
  <c r="CI73" i="27"/>
  <c r="CH23" i="27"/>
  <c r="CG23" i="27"/>
  <c r="CF23" i="27"/>
  <c r="CF28" i="27"/>
  <c r="CE23" i="27"/>
  <c r="CD23" i="27"/>
  <c r="CD28" i="27"/>
  <c r="CC23" i="27"/>
  <c r="CC48" i="27"/>
  <c r="CC68" i="27"/>
  <c r="CC73" i="27"/>
  <c r="CB23" i="27"/>
  <c r="CA23" i="27"/>
  <c r="CA48" i="27"/>
  <c r="CA68" i="27"/>
  <c r="CA73" i="27"/>
  <c r="BZ23" i="27"/>
  <c r="BZ28" i="27"/>
  <c r="BY23" i="27"/>
  <c r="BY28" i="27"/>
  <c r="BX23" i="27"/>
  <c r="BX48" i="27"/>
  <c r="BX68" i="27"/>
  <c r="BX73" i="27"/>
  <c r="BW23" i="27"/>
  <c r="BV23" i="27"/>
  <c r="BV28" i="27"/>
  <c r="BU23" i="27"/>
  <c r="BU48" i="27"/>
  <c r="BT23" i="27"/>
  <c r="BT48" i="27"/>
  <c r="BS23" i="27"/>
  <c r="BR23" i="27"/>
  <c r="BR28" i="27"/>
  <c r="BQ23" i="27"/>
  <c r="BQ48" i="27"/>
  <c r="BQ53" i="27"/>
  <c r="BP23" i="27"/>
  <c r="BO23" i="27"/>
  <c r="BN23" i="27"/>
  <c r="BN48" i="27"/>
  <c r="BN53" i="27"/>
  <c r="BM23" i="27"/>
  <c r="BM48" i="27"/>
  <c r="BM53" i="27"/>
  <c r="BL23" i="27"/>
  <c r="BK23" i="27"/>
  <c r="BJ23" i="27"/>
  <c r="BI23" i="27"/>
  <c r="BI48" i="27"/>
  <c r="BI68" i="27"/>
  <c r="BI73" i="27"/>
  <c r="BH23" i="27"/>
  <c r="BG23" i="27"/>
  <c r="BG28" i="27"/>
  <c r="BF23" i="27"/>
  <c r="BE23" i="27"/>
  <c r="BE48" i="27"/>
  <c r="BD23" i="27"/>
  <c r="BD48" i="27"/>
  <c r="BC23" i="27"/>
  <c r="BB23" i="27"/>
  <c r="BB28" i="27"/>
  <c r="BA23" i="27"/>
  <c r="AZ23" i="27"/>
  <c r="AZ28" i="27"/>
  <c r="AY23" i="27"/>
  <c r="AX23" i="27"/>
  <c r="AW23" i="27"/>
  <c r="AW28" i="27"/>
  <c r="AV23" i="27"/>
  <c r="AU23" i="27"/>
  <c r="AT23" i="27"/>
  <c r="AS23" i="27"/>
  <c r="AS28" i="27"/>
  <c r="AR23" i="27"/>
  <c r="AQ23" i="27"/>
  <c r="AQ28" i="27"/>
  <c r="AP23" i="27"/>
  <c r="AP48" i="27"/>
  <c r="AP68" i="27"/>
  <c r="AP73" i="27"/>
  <c r="AO23" i="27"/>
  <c r="AO48" i="27"/>
  <c r="AN23" i="27"/>
  <c r="AM23" i="27"/>
  <c r="AM48" i="27"/>
  <c r="AM68" i="27"/>
  <c r="AM73" i="27"/>
  <c r="AL23" i="27"/>
  <c r="AK23" i="27"/>
  <c r="AK28" i="27"/>
  <c r="AJ23" i="27"/>
  <c r="AI23" i="27"/>
  <c r="AH23" i="27"/>
  <c r="AH48" i="27"/>
  <c r="AH53" i="27"/>
  <c r="AE23" i="27"/>
  <c r="AE28" i="27"/>
  <c r="AS22" i="27"/>
  <c r="AQ22" i="27"/>
  <c r="AQ47" i="27"/>
  <c r="AQ52" i="27"/>
  <c r="AJ22" i="27"/>
  <c r="AC22" i="27"/>
  <c r="AC27" i="27"/>
  <c r="FG21" i="27"/>
  <c r="FG46" i="27"/>
  <c r="FG51" i="27"/>
  <c r="FF21" i="27"/>
  <c r="FF26" i="27"/>
  <c r="FE21" i="27"/>
  <c r="FD21" i="27"/>
  <c r="FD46" i="27"/>
  <c r="FD51" i="27"/>
  <c r="FC21" i="27"/>
  <c r="FC46" i="27"/>
  <c r="FC51" i="27"/>
  <c r="FB21" i="27"/>
  <c r="FB46" i="27"/>
  <c r="FB51" i="27"/>
  <c r="FA21" i="27"/>
  <c r="EZ21" i="27"/>
  <c r="EZ46" i="27"/>
  <c r="EZ51" i="27"/>
  <c r="EY21" i="27"/>
  <c r="EX21" i="27"/>
  <c r="EW21" i="27"/>
  <c r="EW26" i="27"/>
  <c r="EV21" i="27"/>
  <c r="EV46" i="27"/>
  <c r="EV51" i="27"/>
  <c r="EU21" i="27"/>
  <c r="ET21" i="27"/>
  <c r="ET26" i="27"/>
  <c r="ES21" i="27"/>
  <c r="ES46" i="27"/>
  <c r="ES51" i="27"/>
  <c r="ER21" i="27"/>
  <c r="ER46" i="27"/>
  <c r="ER51" i="27"/>
  <c r="EQ21" i="27"/>
  <c r="EQ26" i="27"/>
  <c r="EP21" i="27"/>
  <c r="EO21" i="27"/>
  <c r="EN21" i="27"/>
  <c r="EN26" i="27"/>
  <c r="EM21" i="27"/>
  <c r="EM26" i="27"/>
  <c r="EL21" i="27"/>
  <c r="EL46" i="27"/>
  <c r="EL51" i="27"/>
  <c r="EK21" i="27"/>
  <c r="EJ21" i="27"/>
  <c r="EJ26" i="27"/>
  <c r="EI21" i="27"/>
  <c r="EH21" i="27"/>
  <c r="EG21" i="27"/>
  <c r="EF21" i="27"/>
  <c r="EE21" i="27"/>
  <c r="EE46" i="27"/>
  <c r="EE51" i="27"/>
  <c r="ED21" i="27"/>
  <c r="ED46" i="27"/>
  <c r="ED51" i="27"/>
  <c r="EC21" i="27"/>
  <c r="EB21" i="27"/>
  <c r="EB46" i="27"/>
  <c r="EB51" i="27"/>
  <c r="EA21" i="27"/>
  <c r="EA46" i="27"/>
  <c r="EA51" i="27"/>
  <c r="DZ21" i="27"/>
  <c r="DY21" i="27"/>
  <c r="DY26" i="27"/>
  <c r="DX21" i="27"/>
  <c r="DW21" i="27"/>
  <c r="DW46" i="27"/>
  <c r="DW51" i="27"/>
  <c r="DV21" i="27"/>
  <c r="DU21" i="27"/>
  <c r="DU46" i="27"/>
  <c r="DU51" i="27"/>
  <c r="DT21" i="27"/>
  <c r="DS21" i="27"/>
  <c r="DR21" i="27"/>
  <c r="DQ21" i="27"/>
  <c r="DQ26" i="27"/>
  <c r="DP21" i="27"/>
  <c r="DP26" i="27"/>
  <c r="DO21" i="27"/>
  <c r="DO26" i="27"/>
  <c r="DN21" i="27"/>
  <c r="DM21" i="27"/>
  <c r="DM26" i="27"/>
  <c r="DL21" i="27"/>
  <c r="DL46" i="27"/>
  <c r="DL51" i="27"/>
  <c r="DK21" i="27"/>
  <c r="DK46" i="27"/>
  <c r="DK51" i="27"/>
  <c r="DJ21" i="27"/>
  <c r="DJ26" i="27"/>
  <c r="DI21" i="27"/>
  <c r="DI46" i="27"/>
  <c r="DI51" i="27"/>
  <c r="DH21" i="27"/>
  <c r="DG21" i="27"/>
  <c r="DG26" i="27"/>
  <c r="DF21" i="27"/>
  <c r="DF46" i="27"/>
  <c r="DF51" i="27"/>
  <c r="DE21" i="27"/>
  <c r="DE46" i="27"/>
  <c r="DE51" i="27"/>
  <c r="DD21" i="27"/>
  <c r="DD46" i="27"/>
  <c r="DD51" i="27"/>
  <c r="DC21" i="27"/>
  <c r="DB21" i="27"/>
  <c r="DB26" i="27"/>
  <c r="DA21" i="27"/>
  <c r="DA26" i="27"/>
  <c r="CZ21" i="27"/>
  <c r="CZ46" i="27"/>
  <c r="CZ51" i="27"/>
  <c r="CY21" i="27"/>
  <c r="CY46" i="27"/>
  <c r="CY51" i="27"/>
  <c r="CX21" i="27"/>
  <c r="CX46" i="27"/>
  <c r="CX51" i="27"/>
  <c r="CW21" i="27"/>
  <c r="CV21" i="27"/>
  <c r="CV46" i="27"/>
  <c r="CV51" i="27"/>
  <c r="CU21" i="27"/>
  <c r="CT21" i="27"/>
  <c r="CT26" i="27"/>
  <c r="CS21" i="27"/>
  <c r="CS26" i="27"/>
  <c r="CR21" i="27"/>
  <c r="CR46" i="27"/>
  <c r="CR51" i="27"/>
  <c r="CQ21" i="27"/>
  <c r="CQ46" i="27"/>
  <c r="CQ51" i="27"/>
  <c r="CP21" i="27"/>
  <c r="CO21" i="27"/>
  <c r="CO26" i="27"/>
  <c r="CN21" i="27"/>
  <c r="CN46" i="27"/>
  <c r="CN51" i="27"/>
  <c r="CM21" i="27"/>
  <c r="CM26" i="27"/>
  <c r="CL21" i="27"/>
  <c r="CL46" i="27"/>
  <c r="CL51" i="27"/>
  <c r="CK21" i="27"/>
  <c r="CK26" i="27"/>
  <c r="CJ21" i="27"/>
  <c r="CJ26" i="27"/>
  <c r="CI21" i="27"/>
  <c r="CH21" i="27"/>
  <c r="CG21" i="27"/>
  <c r="CF21" i="27"/>
  <c r="CF26" i="27"/>
  <c r="CE21" i="27"/>
  <c r="CD21" i="27"/>
  <c r="CD26" i="27"/>
  <c r="CC21" i="27"/>
  <c r="CB21" i="27"/>
  <c r="CB26" i="27"/>
  <c r="CA21" i="27"/>
  <c r="BZ21" i="27"/>
  <c r="BZ46" i="27"/>
  <c r="BZ51" i="27"/>
  <c r="BY21" i="27"/>
  <c r="BY46" i="27"/>
  <c r="BY51" i="27"/>
  <c r="BX21" i="27"/>
  <c r="BX26" i="27"/>
  <c r="BW21" i="27"/>
  <c r="BV21" i="27"/>
  <c r="BV46" i="27"/>
  <c r="BV51" i="27"/>
  <c r="BU21" i="27"/>
  <c r="BU26" i="27"/>
  <c r="BT21" i="27"/>
  <c r="BT26" i="27"/>
  <c r="BS21" i="27"/>
  <c r="BS46" i="27"/>
  <c r="BS51" i="27"/>
  <c r="BR21" i="27"/>
  <c r="BQ21" i="27"/>
  <c r="BP21" i="27"/>
  <c r="BP26" i="27"/>
  <c r="BO21" i="27"/>
  <c r="BN21" i="27"/>
  <c r="BM21" i="27"/>
  <c r="BL21" i="27"/>
  <c r="BL46" i="27"/>
  <c r="BL51" i="27"/>
  <c r="BK21" i="27"/>
  <c r="BJ21" i="27"/>
  <c r="BI21" i="27"/>
  <c r="BH21" i="27"/>
  <c r="BG21" i="27"/>
  <c r="BG26" i="27"/>
  <c r="BF21" i="27"/>
  <c r="BE21" i="27"/>
  <c r="BD21" i="27"/>
  <c r="BC21" i="27"/>
  <c r="BB21" i="27"/>
  <c r="BB46" i="27"/>
  <c r="BB51" i="27"/>
  <c r="BA21" i="27"/>
  <c r="AZ21" i="27"/>
  <c r="AZ46" i="27"/>
  <c r="AZ51" i="27"/>
  <c r="AY21" i="27"/>
  <c r="AX21" i="27"/>
  <c r="AX46" i="27"/>
  <c r="AX51" i="27"/>
  <c r="AW21" i="27"/>
  <c r="AV21" i="27"/>
  <c r="AV46" i="27"/>
  <c r="AV51" i="27"/>
  <c r="AU21" i="27"/>
  <c r="AT21" i="27"/>
  <c r="AT46" i="27"/>
  <c r="AT51" i="27"/>
  <c r="AS21" i="27"/>
  <c r="AS26" i="27"/>
  <c r="AR21" i="27"/>
  <c r="AR46" i="27"/>
  <c r="AR51" i="27"/>
  <c r="AQ21" i="27"/>
  <c r="AP21" i="27"/>
  <c r="AP46" i="27"/>
  <c r="AP51" i="27"/>
  <c r="AO21" i="27"/>
  <c r="AN21" i="27"/>
  <c r="AN46" i="27"/>
  <c r="AN51" i="27"/>
  <c r="AM21" i="27"/>
  <c r="AM46" i="27"/>
  <c r="AM51" i="27"/>
  <c r="AL21" i="27"/>
  <c r="AL46" i="27"/>
  <c r="AL51" i="27"/>
  <c r="AK21" i="27"/>
  <c r="AJ21" i="27"/>
  <c r="AJ26" i="27"/>
  <c r="AI21" i="27"/>
  <c r="AH21" i="27"/>
  <c r="AG21" i="27"/>
  <c r="AG26" i="27"/>
  <c r="AF21" i="27"/>
  <c r="AE21" i="27"/>
  <c r="AE46" i="27"/>
  <c r="AD51" i="27"/>
  <c r="AK22" i="27"/>
  <c r="H58" i="28"/>
  <c r="H62" i="28"/>
  <c r="DO18" i="24"/>
  <c r="E35" i="26"/>
  <c r="IT34" i="26"/>
  <c r="DD52" i="24"/>
  <c r="DD67" i="24"/>
  <c r="E34" i="26"/>
  <c r="E33" i="26"/>
  <c r="JA32" i="26"/>
  <c r="JA33" i="26"/>
  <c r="IZ32" i="26"/>
  <c r="IZ33" i="26"/>
  <c r="IY32" i="26"/>
  <c r="IX32" i="26"/>
  <c r="IX33" i="26"/>
  <c r="IW32" i="26"/>
  <c r="IW33" i="26"/>
  <c r="IV32" i="26"/>
  <c r="IY33" i="26"/>
  <c r="IV33" i="26"/>
  <c r="E32" i="26"/>
  <c r="E31" i="26"/>
  <c r="E30" i="26"/>
  <c r="E29" i="26"/>
  <c r="JC28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JA25" i="26"/>
  <c r="IZ25" i="26"/>
  <c r="IY25" i="26"/>
  <c r="IX25" i="26"/>
  <c r="IW25" i="26"/>
  <c r="IV25" i="26"/>
  <c r="IU25" i="26"/>
  <c r="IT25" i="26"/>
  <c r="AO25" i="26"/>
  <c r="AN25" i="26"/>
  <c r="AM25" i="26"/>
  <c r="AL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E25" i="26"/>
  <c r="AC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JA23" i="26"/>
  <c r="JA28" i="26"/>
  <c r="IZ23" i="26"/>
  <c r="IZ28" i="26"/>
  <c r="IY23" i="26"/>
  <c r="IY28" i="26"/>
  <c r="IX23" i="26"/>
  <c r="IX28" i="26"/>
  <c r="IW23" i="26"/>
  <c r="IW28" i="26"/>
  <c r="IV23" i="26"/>
  <c r="IV28" i="26"/>
  <c r="IU23" i="26"/>
  <c r="IU28" i="26"/>
  <c r="IT23" i="26"/>
  <c r="IR22" i="26"/>
  <c r="IR23" i="26"/>
  <c r="FG22" i="26"/>
  <c r="FG26" i="26"/>
  <c r="FF22" i="26"/>
  <c r="FF26" i="26"/>
  <c r="FE22" i="26"/>
  <c r="FE26" i="26"/>
  <c r="FD22" i="26"/>
  <c r="FD26" i="26"/>
  <c r="FC22" i="26"/>
  <c r="FC26" i="26"/>
  <c r="FB22" i="26"/>
  <c r="FB26" i="26"/>
  <c r="FA22" i="26"/>
  <c r="FA26" i="26"/>
  <c r="EZ22" i="26"/>
  <c r="EZ26" i="26"/>
  <c r="EY22" i="26"/>
  <c r="EY26" i="26"/>
  <c r="EX22" i="26"/>
  <c r="EX26" i="26"/>
  <c r="EW22" i="26"/>
  <c r="EW26" i="26"/>
  <c r="EV22" i="26"/>
  <c r="EV26" i="26"/>
  <c r="EU22" i="26"/>
  <c r="EU26" i="26"/>
  <c r="ET22" i="26"/>
  <c r="ET26" i="26"/>
  <c r="ES22" i="26"/>
  <c r="ES26" i="26"/>
  <c r="ER22" i="26"/>
  <c r="ER26" i="26"/>
  <c r="EQ22" i="26"/>
  <c r="EQ26" i="26"/>
  <c r="EP22" i="26"/>
  <c r="EP26" i="26"/>
  <c r="EO22" i="26"/>
  <c r="EO26" i="26"/>
  <c r="EN22" i="26"/>
  <c r="EN26" i="26"/>
  <c r="EM22" i="26"/>
  <c r="EM26" i="26"/>
  <c r="EL22" i="26"/>
  <c r="EL26" i="26"/>
  <c r="EK22" i="26"/>
  <c r="EK26" i="26"/>
  <c r="EJ22" i="26"/>
  <c r="EJ26" i="26"/>
  <c r="EI22" i="26"/>
  <c r="EI26" i="26"/>
  <c r="EH22" i="26"/>
  <c r="EH26" i="26"/>
  <c r="EG22" i="26"/>
  <c r="EG26" i="26"/>
  <c r="EF22" i="26"/>
  <c r="EF26" i="26"/>
  <c r="EE22" i="26"/>
  <c r="EE26" i="26"/>
  <c r="ED22" i="26"/>
  <c r="ED26" i="26"/>
  <c r="EC22" i="26"/>
  <c r="EC26" i="26"/>
  <c r="EB22" i="26"/>
  <c r="EB26" i="26"/>
  <c r="EA22" i="26"/>
  <c r="EA26" i="26"/>
  <c r="DZ22" i="26"/>
  <c r="DZ26" i="26"/>
  <c r="DY22" i="26"/>
  <c r="DY26" i="26"/>
  <c r="DX22" i="26"/>
  <c r="DX26" i="26"/>
  <c r="DW22" i="26"/>
  <c r="DW26" i="26"/>
  <c r="DV22" i="26"/>
  <c r="DV26" i="26"/>
  <c r="DU22" i="26"/>
  <c r="DU26" i="26"/>
  <c r="DT22" i="26"/>
  <c r="DT26" i="26"/>
  <c r="DS22" i="26"/>
  <c r="DS26" i="26"/>
  <c r="DR22" i="26"/>
  <c r="DR26" i="26"/>
  <c r="DQ22" i="26"/>
  <c r="DQ26" i="26"/>
  <c r="DP22" i="26"/>
  <c r="DP26" i="26"/>
  <c r="DO22" i="26"/>
  <c r="DO26" i="26"/>
  <c r="DN22" i="26"/>
  <c r="DN26" i="26"/>
  <c r="DM22" i="26"/>
  <c r="DM26" i="26"/>
  <c r="DL22" i="26"/>
  <c r="DL26" i="26"/>
  <c r="DK22" i="26"/>
  <c r="DK26" i="26"/>
  <c r="DJ22" i="26"/>
  <c r="DJ26" i="26"/>
  <c r="DI22" i="26"/>
  <c r="DI26" i="26"/>
  <c r="DH22" i="26"/>
  <c r="DH26" i="26"/>
  <c r="DG22" i="26"/>
  <c r="DG26" i="26"/>
  <c r="DF22" i="26"/>
  <c r="DF26" i="26"/>
  <c r="DE22" i="26"/>
  <c r="DE26" i="26"/>
  <c r="DD22" i="26"/>
  <c r="DD26" i="26"/>
  <c r="DC22" i="26"/>
  <c r="DC26" i="26"/>
  <c r="DB22" i="26"/>
  <c r="DB26" i="26"/>
  <c r="DA22" i="26"/>
  <c r="DA26" i="26"/>
  <c r="CZ22" i="26"/>
  <c r="CZ26" i="26"/>
  <c r="CY22" i="26"/>
  <c r="CY26" i="26"/>
  <c r="CX22" i="26"/>
  <c r="CX26" i="26"/>
  <c r="CW22" i="26"/>
  <c r="CW26" i="26"/>
  <c r="CV22" i="26"/>
  <c r="CV26" i="26"/>
  <c r="CU22" i="26"/>
  <c r="CU26" i="26"/>
  <c r="CT22" i="26"/>
  <c r="CT26" i="26"/>
  <c r="CS22" i="26"/>
  <c r="CS26" i="26"/>
  <c r="CR22" i="26"/>
  <c r="CR26" i="26"/>
  <c r="CQ22" i="26"/>
  <c r="CQ26" i="26"/>
  <c r="CP22" i="26"/>
  <c r="CP26" i="26"/>
  <c r="CO22" i="26"/>
  <c r="CO26" i="26"/>
  <c r="CN22" i="26"/>
  <c r="CN26" i="26"/>
  <c r="CM22" i="26"/>
  <c r="CM26" i="26"/>
  <c r="CL22" i="26"/>
  <c r="CL26" i="26"/>
  <c r="CK22" i="26"/>
  <c r="CK26" i="26"/>
  <c r="CJ22" i="26"/>
  <c r="CJ26" i="26"/>
  <c r="CI22" i="26"/>
  <c r="CI26" i="26"/>
  <c r="CH22" i="26"/>
  <c r="CH26" i="26"/>
  <c r="CG22" i="26"/>
  <c r="CG26" i="26"/>
  <c r="CF22" i="26"/>
  <c r="CF26" i="26"/>
  <c r="CE22" i="26"/>
  <c r="CE26" i="26"/>
  <c r="CD22" i="26"/>
  <c r="CD26" i="26"/>
  <c r="CC22" i="26"/>
  <c r="CC26" i="26"/>
  <c r="CB22" i="26"/>
  <c r="CB26" i="26"/>
  <c r="CA22" i="26"/>
  <c r="CA26" i="26"/>
  <c r="BZ22" i="26"/>
  <c r="BZ26" i="26"/>
  <c r="BY22" i="26"/>
  <c r="BY26" i="26"/>
  <c r="BX22" i="26"/>
  <c r="BX26" i="26"/>
  <c r="BW22" i="26"/>
  <c r="BW26" i="26"/>
  <c r="BV22" i="26"/>
  <c r="BV26" i="26"/>
  <c r="BU22" i="26"/>
  <c r="BU26" i="26"/>
  <c r="BT22" i="26"/>
  <c r="BT26" i="26"/>
  <c r="BS22" i="26"/>
  <c r="BS26" i="26"/>
  <c r="BR22" i="26"/>
  <c r="BR26" i="26"/>
  <c r="BQ22" i="26"/>
  <c r="BQ26" i="26"/>
  <c r="BP22" i="26"/>
  <c r="BP26" i="26"/>
  <c r="BO22" i="26"/>
  <c r="BO26" i="26"/>
  <c r="BN22" i="26"/>
  <c r="BN26" i="26"/>
  <c r="BM22" i="26"/>
  <c r="BM26" i="26"/>
  <c r="BL22" i="26"/>
  <c r="BL26" i="26"/>
  <c r="BK22" i="26"/>
  <c r="BK26" i="26"/>
  <c r="BJ22" i="26"/>
  <c r="BJ26" i="26"/>
  <c r="BI22" i="26"/>
  <c r="BI26" i="26"/>
  <c r="BH22" i="26"/>
  <c r="BH26" i="26"/>
  <c r="BG22" i="26"/>
  <c r="BG26" i="26"/>
  <c r="BF22" i="26"/>
  <c r="BF26" i="26"/>
  <c r="BE22" i="26"/>
  <c r="BE26" i="26"/>
  <c r="BD22" i="26"/>
  <c r="BD26" i="26"/>
  <c r="BC22" i="26"/>
  <c r="BC26" i="26"/>
  <c r="BB22" i="26"/>
  <c r="BB26" i="26"/>
  <c r="BA22" i="26"/>
  <c r="BA26" i="26"/>
  <c r="AZ22" i="26"/>
  <c r="AZ26" i="26"/>
  <c r="AY22" i="26"/>
  <c r="AY26" i="26"/>
  <c r="AX22" i="26"/>
  <c r="AX26" i="26"/>
  <c r="AW22" i="26"/>
  <c r="AW26" i="26"/>
  <c r="AV22" i="26"/>
  <c r="AV26" i="26"/>
  <c r="AU22" i="26"/>
  <c r="AU26" i="26"/>
  <c r="AT22" i="26"/>
  <c r="AT26" i="26"/>
  <c r="AS22" i="26"/>
  <c r="AS26" i="26"/>
  <c r="AR22" i="26"/>
  <c r="AR26" i="26"/>
  <c r="AQ22" i="26"/>
  <c r="AQ26" i="26"/>
  <c r="AP22" i="26"/>
  <c r="AP26" i="26"/>
  <c r="AO22" i="26"/>
  <c r="AO26" i="26"/>
  <c r="AN22" i="26"/>
  <c r="AN26" i="26"/>
  <c r="AM22" i="26"/>
  <c r="AM26" i="26"/>
  <c r="AL22" i="26"/>
  <c r="AL26" i="26"/>
  <c r="AK22" i="26"/>
  <c r="AK26" i="26"/>
  <c r="AJ22" i="26"/>
  <c r="AJ26" i="26"/>
  <c r="AI22" i="26"/>
  <c r="AI26" i="26"/>
  <c r="AH22" i="26"/>
  <c r="AH26" i="26"/>
  <c r="AG22" i="26"/>
  <c r="AG26" i="26"/>
  <c r="AF22" i="26"/>
  <c r="AE22" i="26"/>
  <c r="AF23" i="27"/>
  <c r="FG21" i="26"/>
  <c r="FG25" i="26"/>
  <c r="FF21" i="26"/>
  <c r="FF25" i="26"/>
  <c r="FE21" i="26"/>
  <c r="FE25" i="26"/>
  <c r="FD21" i="26"/>
  <c r="FD25" i="26"/>
  <c r="FC21" i="26"/>
  <c r="FB21" i="26"/>
  <c r="FC22" i="27"/>
  <c r="FC47" i="27"/>
  <c r="FC67" i="27"/>
  <c r="FA21" i="26"/>
  <c r="EZ21" i="26"/>
  <c r="FA22" i="27"/>
  <c r="FA27" i="27"/>
  <c r="EY21" i="26"/>
  <c r="EX21" i="26"/>
  <c r="EY22" i="27"/>
  <c r="EW21" i="26"/>
  <c r="EX22" i="27"/>
  <c r="EX27" i="27"/>
  <c r="EV21" i="26"/>
  <c r="EW22" i="27"/>
  <c r="EW27" i="27"/>
  <c r="EU21" i="26"/>
  <c r="EU25" i="26"/>
  <c r="ET21" i="26"/>
  <c r="ET25" i="26"/>
  <c r="ES21" i="26"/>
  <c r="ET22" i="27"/>
  <c r="ER21" i="26"/>
  <c r="ER25" i="26"/>
  <c r="EQ21" i="26"/>
  <c r="ER22" i="27"/>
  <c r="EP21" i="26"/>
  <c r="EO21" i="26"/>
  <c r="EN21" i="26"/>
  <c r="EM21" i="26"/>
  <c r="EN22" i="27"/>
  <c r="EL21" i="26"/>
  <c r="EL25" i="26"/>
  <c r="EK21" i="26"/>
  <c r="EL22" i="27"/>
  <c r="EL47" i="27"/>
  <c r="EL52" i="27"/>
  <c r="EJ21" i="26"/>
  <c r="EI21" i="26"/>
  <c r="EI25" i="26"/>
  <c r="EH21" i="26"/>
  <c r="EH25" i="26"/>
  <c r="EG21" i="26"/>
  <c r="EH22" i="27"/>
  <c r="EH47" i="27"/>
  <c r="EH67" i="27"/>
  <c r="EF21" i="26"/>
  <c r="EG22" i="27"/>
  <c r="EE21" i="26"/>
  <c r="EF22" i="27"/>
  <c r="EF27" i="27"/>
  <c r="ED21" i="26"/>
  <c r="EE22" i="27"/>
  <c r="EC21" i="26"/>
  <c r="EB21" i="26"/>
  <c r="EC22" i="27"/>
  <c r="EA21" i="26"/>
  <c r="EA25" i="26"/>
  <c r="DZ21" i="26"/>
  <c r="DY21" i="26"/>
  <c r="DZ22" i="27"/>
  <c r="DX21" i="26"/>
  <c r="DY22" i="27"/>
  <c r="DY47" i="27"/>
  <c r="DY52" i="27"/>
  <c r="DW21" i="26"/>
  <c r="DX22" i="27"/>
  <c r="DV21" i="26"/>
  <c r="DU21" i="26"/>
  <c r="DT21" i="26"/>
  <c r="DT25" i="26"/>
  <c r="DS21" i="26"/>
  <c r="DR21" i="26"/>
  <c r="DQ21" i="26"/>
  <c r="DP21" i="26"/>
  <c r="DP25" i="26"/>
  <c r="DO21" i="26"/>
  <c r="DP22" i="27"/>
  <c r="DP27" i="27"/>
  <c r="DN21" i="26"/>
  <c r="DO22" i="27"/>
  <c r="DO47" i="27"/>
  <c r="DM21" i="26"/>
  <c r="DM25" i="26"/>
  <c r="DL21" i="26"/>
  <c r="DL25" i="26"/>
  <c r="DK21" i="26"/>
  <c r="DL22" i="27"/>
  <c r="DL47" i="27"/>
  <c r="DJ21" i="26"/>
  <c r="DI21" i="26"/>
  <c r="DH21" i="26"/>
  <c r="DG21" i="26"/>
  <c r="DH22" i="27"/>
  <c r="DH27" i="27"/>
  <c r="DF21" i="26"/>
  <c r="DG22" i="27"/>
  <c r="DE21" i="26"/>
  <c r="DD21" i="26"/>
  <c r="DD25" i="26"/>
  <c r="DC21" i="26"/>
  <c r="DC25" i="26"/>
  <c r="DB21" i="26"/>
  <c r="DA21" i="26"/>
  <c r="DB22" i="27"/>
  <c r="CZ21" i="26"/>
  <c r="CY21" i="26"/>
  <c r="CY25" i="26"/>
  <c r="CX21" i="26"/>
  <c r="CW21" i="26"/>
  <c r="CX22" i="27"/>
  <c r="CX27" i="27"/>
  <c r="CV21" i="26"/>
  <c r="CU21" i="26"/>
  <c r="CT21" i="26"/>
  <c r="CS21" i="26"/>
  <c r="CR21" i="26"/>
  <c r="CQ21" i="26"/>
  <c r="CP21" i="26"/>
  <c r="CO21" i="26"/>
  <c r="CP22" i="27"/>
  <c r="CP47" i="27"/>
  <c r="CP67" i="27"/>
  <c r="CN21" i="26"/>
  <c r="CO22" i="27"/>
  <c r="CM21" i="26"/>
  <c r="CM25" i="26"/>
  <c r="CL21" i="26"/>
  <c r="CM22" i="27"/>
  <c r="CM47" i="27"/>
  <c r="CM67" i="27"/>
  <c r="CK21" i="26"/>
  <c r="CK25" i="26"/>
  <c r="CJ21" i="26"/>
  <c r="CJ25" i="26"/>
  <c r="CI21" i="26"/>
  <c r="CJ22" i="27"/>
  <c r="CJ47" i="27"/>
  <c r="CJ67" i="27"/>
  <c r="CJ72" i="27"/>
  <c r="CH21" i="26"/>
  <c r="CG21" i="26"/>
  <c r="CH22" i="27"/>
  <c r="CH27" i="27"/>
  <c r="CF21" i="26"/>
  <c r="CF25" i="26"/>
  <c r="CE21" i="26"/>
  <c r="CF22" i="27"/>
  <c r="CD21" i="26"/>
  <c r="CC21" i="26"/>
  <c r="CD22" i="27"/>
  <c r="CB21" i="26"/>
  <c r="CA21" i="26"/>
  <c r="BZ21" i="26"/>
  <c r="BZ25" i="26"/>
  <c r="BY21" i="26"/>
  <c r="BZ22" i="27"/>
  <c r="BX21" i="26"/>
  <c r="BX25" i="26"/>
  <c r="BW21" i="26"/>
  <c r="BV21" i="26"/>
  <c r="BV25" i="26"/>
  <c r="BU21" i="26"/>
  <c r="BT21" i="26"/>
  <c r="BT25" i="26"/>
  <c r="BS21" i="26"/>
  <c r="BT22" i="27"/>
  <c r="BR21" i="26"/>
  <c r="BR25" i="26"/>
  <c r="BQ21" i="26"/>
  <c r="BP21" i="26"/>
  <c r="BQ22" i="27"/>
  <c r="BO21" i="26"/>
  <c r="BN21" i="26"/>
  <c r="BM21" i="26"/>
  <c r="BN22" i="27"/>
  <c r="BN27" i="27"/>
  <c r="BL21" i="26"/>
  <c r="BL25" i="26"/>
  <c r="BK21" i="26"/>
  <c r="BJ21" i="26"/>
  <c r="BI21" i="26"/>
  <c r="BJ22" i="27"/>
  <c r="BH21" i="26"/>
  <c r="BG21" i="26"/>
  <c r="BH22" i="27"/>
  <c r="BF21" i="26"/>
  <c r="BE21" i="26"/>
  <c r="BD21" i="26"/>
  <c r="BC21" i="26"/>
  <c r="BD22" i="27"/>
  <c r="BB21" i="26"/>
  <c r="AY21" i="26"/>
  <c r="AX21" i="26"/>
  <c r="AV21" i="26"/>
  <c r="AW22" i="27"/>
  <c r="AU21" i="26"/>
  <c r="AT21" i="26"/>
  <c r="AS21" i="26"/>
  <c r="AT22" i="27"/>
  <c r="AT27" i="27"/>
  <c r="AR21" i="26"/>
  <c r="AR25" i="26"/>
  <c r="AP21" i="26"/>
  <c r="AP25" i="26"/>
  <c r="AJ21" i="26"/>
  <c r="AJ25" i="26"/>
  <c r="JA20" i="26"/>
  <c r="IT28" i="26"/>
  <c r="E41" i="26"/>
  <c r="E40" i="26"/>
  <c r="DB52" i="24"/>
  <c r="DB67" i="24"/>
  <c r="IT35" i="26"/>
  <c r="N358" i="33"/>
  <c r="N364" i="33"/>
  <c r="M358" i="33"/>
  <c r="M364" i="33"/>
  <c r="L358" i="33"/>
  <c r="L364" i="33"/>
  <c r="K358" i="33"/>
  <c r="K364" i="33"/>
  <c r="J358" i="33"/>
  <c r="J364" i="33"/>
  <c r="I358" i="33"/>
  <c r="I364" i="33"/>
  <c r="H358" i="33"/>
  <c r="H364" i="33"/>
  <c r="G358" i="33"/>
  <c r="G364" i="33"/>
  <c r="F358" i="33"/>
  <c r="F364" i="33"/>
  <c r="E358" i="33"/>
  <c r="E364" i="33"/>
  <c r="D358" i="33"/>
  <c r="D364" i="33"/>
  <c r="N357" i="33"/>
  <c r="N363" i="33"/>
  <c r="M357" i="33"/>
  <c r="M363" i="33"/>
  <c r="L357" i="33"/>
  <c r="L363" i="33"/>
  <c r="K357" i="33"/>
  <c r="K363" i="33"/>
  <c r="J357" i="33"/>
  <c r="J363" i="33"/>
  <c r="I357" i="33"/>
  <c r="I363" i="33"/>
  <c r="H357" i="33"/>
  <c r="H363" i="33"/>
  <c r="G357" i="33"/>
  <c r="G363" i="33"/>
  <c r="F357" i="33"/>
  <c r="F363" i="33"/>
  <c r="E357" i="33"/>
  <c r="E363" i="33"/>
  <c r="D357" i="33"/>
  <c r="D363" i="33"/>
  <c r="N356" i="33"/>
  <c r="N362" i="33"/>
  <c r="M356" i="33"/>
  <c r="M362" i="33"/>
  <c r="L356" i="33"/>
  <c r="L362" i="33"/>
  <c r="K356" i="33"/>
  <c r="K362" i="33"/>
  <c r="J356" i="33"/>
  <c r="J362" i="33"/>
  <c r="I356" i="33"/>
  <c r="I362" i="33"/>
  <c r="H356" i="33"/>
  <c r="H362" i="33"/>
  <c r="G356" i="33"/>
  <c r="G362" i="33"/>
  <c r="F356" i="33"/>
  <c r="F362" i="33"/>
  <c r="E356" i="33"/>
  <c r="E362" i="33"/>
  <c r="D356" i="33"/>
  <c r="D362" i="33"/>
  <c r="N355" i="33"/>
  <c r="N361" i="33"/>
  <c r="M355" i="33"/>
  <c r="M361" i="33"/>
  <c r="L355" i="33"/>
  <c r="L361" i="33"/>
  <c r="K355" i="33"/>
  <c r="K361" i="33"/>
  <c r="J355" i="33"/>
  <c r="J361" i="33"/>
  <c r="I355" i="33"/>
  <c r="I361" i="33"/>
  <c r="H355" i="33"/>
  <c r="H361" i="33"/>
  <c r="G355" i="33"/>
  <c r="G361" i="33"/>
  <c r="F355" i="33"/>
  <c r="F361" i="33"/>
  <c r="E355" i="33"/>
  <c r="E361" i="33"/>
  <c r="D355" i="33"/>
  <c r="D361" i="33"/>
  <c r="N354" i="33"/>
  <c r="N360" i="33"/>
  <c r="M354" i="33"/>
  <c r="M360" i="33"/>
  <c r="L354" i="33"/>
  <c r="L360" i="33"/>
  <c r="K354" i="33"/>
  <c r="K360" i="33"/>
  <c r="CV52" i="24"/>
  <c r="CV67" i="24"/>
  <c r="J354" i="33"/>
  <c r="J360" i="33"/>
  <c r="I354" i="33"/>
  <c r="I360" i="33"/>
  <c r="H354" i="33"/>
  <c r="H360" i="33"/>
  <c r="G354" i="33"/>
  <c r="G360" i="33"/>
  <c r="F354" i="33"/>
  <c r="F360" i="33"/>
  <c r="E354" i="33"/>
  <c r="E360" i="33"/>
  <c r="D354" i="33"/>
  <c r="D360" i="33"/>
  <c r="O338" i="33"/>
  <c r="O344" i="33"/>
  <c r="N338" i="33"/>
  <c r="N344" i="33"/>
  <c r="M338" i="33"/>
  <c r="M344" i="33"/>
  <c r="L338" i="33"/>
  <c r="L344" i="33"/>
  <c r="K338" i="33"/>
  <c r="K344" i="33"/>
  <c r="J338" i="33"/>
  <c r="J344" i="33"/>
  <c r="I338" i="33"/>
  <c r="I344" i="33"/>
  <c r="H338" i="33"/>
  <c r="H344" i="33"/>
  <c r="G338" i="33"/>
  <c r="G344" i="33"/>
  <c r="F338" i="33"/>
  <c r="F344" i="33"/>
  <c r="E338" i="33"/>
  <c r="E344" i="33"/>
  <c r="D338" i="33"/>
  <c r="D344" i="33"/>
  <c r="O337" i="33"/>
  <c r="O343" i="33"/>
  <c r="N337" i="33"/>
  <c r="N343" i="33"/>
  <c r="M337" i="33"/>
  <c r="M343" i="33"/>
  <c r="L337" i="33"/>
  <c r="L343" i="33"/>
  <c r="K337" i="33"/>
  <c r="K343" i="33"/>
  <c r="J337" i="33"/>
  <c r="J343" i="33"/>
  <c r="I337" i="33"/>
  <c r="I343" i="33"/>
  <c r="H337" i="33"/>
  <c r="H343" i="33"/>
  <c r="G337" i="33"/>
  <c r="G343" i="33"/>
  <c r="F337" i="33"/>
  <c r="F343" i="33"/>
  <c r="E337" i="33"/>
  <c r="E343" i="33"/>
  <c r="D337" i="33"/>
  <c r="D343" i="33"/>
  <c r="O336" i="33"/>
  <c r="O342" i="33"/>
  <c r="N336" i="33"/>
  <c r="N342" i="33"/>
  <c r="M336" i="33"/>
  <c r="M342" i="33"/>
  <c r="L336" i="33"/>
  <c r="L342" i="33"/>
  <c r="K336" i="33"/>
  <c r="K342" i="33"/>
  <c r="J336" i="33"/>
  <c r="J342" i="33"/>
  <c r="I336" i="33"/>
  <c r="I342" i="33"/>
  <c r="H336" i="33"/>
  <c r="H342" i="33"/>
  <c r="G336" i="33"/>
  <c r="G342" i="33"/>
  <c r="F336" i="33"/>
  <c r="F342" i="33"/>
  <c r="E336" i="33"/>
  <c r="E342" i="33"/>
  <c r="D336" i="33"/>
  <c r="D342" i="33"/>
  <c r="O335" i="33"/>
  <c r="O341" i="33"/>
  <c r="N335" i="33"/>
  <c r="N341" i="33"/>
  <c r="M335" i="33"/>
  <c r="M341" i="33"/>
  <c r="L335" i="33"/>
  <c r="L341" i="33"/>
  <c r="K335" i="33"/>
  <c r="K341" i="33"/>
  <c r="J335" i="33"/>
  <c r="J341" i="33"/>
  <c r="I335" i="33"/>
  <c r="I341" i="33"/>
  <c r="H335" i="33"/>
  <c r="H341" i="33"/>
  <c r="G335" i="33"/>
  <c r="G341" i="33"/>
  <c r="F335" i="33"/>
  <c r="F341" i="33"/>
  <c r="E335" i="33"/>
  <c r="E341" i="33"/>
  <c r="D335" i="33"/>
  <c r="D341" i="33"/>
  <c r="O334" i="33"/>
  <c r="O340" i="33"/>
  <c r="N334" i="33"/>
  <c r="N340" i="33"/>
  <c r="M334" i="33"/>
  <c r="M340" i="33"/>
  <c r="L334" i="33"/>
  <c r="L340" i="33"/>
  <c r="L348" i="33"/>
  <c r="K334" i="33"/>
  <c r="K340" i="33"/>
  <c r="J334" i="33"/>
  <c r="J340" i="33"/>
  <c r="I334" i="33"/>
  <c r="I340" i="33"/>
  <c r="H334" i="33"/>
  <c r="H340" i="33"/>
  <c r="G334" i="33"/>
  <c r="G340" i="33"/>
  <c r="F334" i="33"/>
  <c r="F340" i="33"/>
  <c r="E334" i="33"/>
  <c r="E340" i="33"/>
  <c r="E349" i="33"/>
  <c r="FA193" i="39"/>
  <c r="D334" i="33"/>
  <c r="D340" i="33"/>
  <c r="D348" i="33"/>
  <c r="O315" i="33"/>
  <c r="O322" i="33"/>
  <c r="N315" i="33"/>
  <c r="N322" i="33"/>
  <c r="M315" i="33"/>
  <c r="M322" i="33"/>
  <c r="L315" i="33"/>
  <c r="L322" i="33"/>
  <c r="K315" i="33"/>
  <c r="K322" i="33"/>
  <c r="J315" i="33"/>
  <c r="J322" i="33"/>
  <c r="I315" i="33"/>
  <c r="I322" i="33"/>
  <c r="H315" i="33"/>
  <c r="H322" i="33"/>
  <c r="G315" i="33"/>
  <c r="G322" i="33"/>
  <c r="F315" i="33"/>
  <c r="F322" i="33"/>
  <c r="E315" i="33"/>
  <c r="E322" i="33"/>
  <c r="D315" i="33"/>
  <c r="D322" i="33"/>
  <c r="O314" i="33"/>
  <c r="O321" i="33"/>
  <c r="N314" i="33"/>
  <c r="N321" i="33"/>
  <c r="M314" i="33"/>
  <c r="M321" i="33"/>
  <c r="L314" i="33"/>
  <c r="L321" i="33"/>
  <c r="K314" i="33"/>
  <c r="K321" i="33"/>
  <c r="J314" i="33"/>
  <c r="J321" i="33"/>
  <c r="I314" i="33"/>
  <c r="I321" i="33"/>
  <c r="H314" i="33"/>
  <c r="H321" i="33"/>
  <c r="G314" i="33"/>
  <c r="G321" i="33"/>
  <c r="F314" i="33"/>
  <c r="F321" i="33"/>
  <c r="E314" i="33"/>
  <c r="E321" i="33"/>
  <c r="D314" i="33"/>
  <c r="D321" i="33"/>
  <c r="O313" i="33"/>
  <c r="O320" i="33"/>
  <c r="N313" i="33"/>
  <c r="N320" i="33"/>
  <c r="M313" i="33"/>
  <c r="M320" i="33"/>
  <c r="L313" i="33"/>
  <c r="L320" i="33"/>
  <c r="K313" i="33"/>
  <c r="K320" i="33"/>
  <c r="J313" i="33"/>
  <c r="J320" i="33"/>
  <c r="I313" i="33"/>
  <c r="I320" i="33"/>
  <c r="H313" i="33"/>
  <c r="H320" i="33"/>
  <c r="G313" i="33"/>
  <c r="G320" i="33"/>
  <c r="F313" i="33"/>
  <c r="F320" i="33"/>
  <c r="E313" i="33"/>
  <c r="E320" i="33"/>
  <c r="D313" i="33"/>
  <c r="D320" i="33"/>
  <c r="O312" i="33"/>
  <c r="O319" i="33"/>
  <c r="N312" i="33"/>
  <c r="N319" i="33"/>
  <c r="M312" i="33"/>
  <c r="M319" i="33"/>
  <c r="L312" i="33"/>
  <c r="L319" i="33"/>
  <c r="K312" i="33"/>
  <c r="K319" i="33"/>
  <c r="J312" i="33"/>
  <c r="J319" i="33"/>
  <c r="I312" i="33"/>
  <c r="I319" i="33"/>
  <c r="H312" i="33"/>
  <c r="H319" i="33"/>
  <c r="G312" i="33"/>
  <c r="G319" i="33"/>
  <c r="F312" i="33"/>
  <c r="F319" i="33"/>
  <c r="E312" i="33"/>
  <c r="E319" i="33"/>
  <c r="D312" i="33"/>
  <c r="D319" i="33"/>
  <c r="O311" i="33"/>
  <c r="O318" i="33"/>
  <c r="N311" i="33"/>
  <c r="N318" i="33"/>
  <c r="M311" i="33"/>
  <c r="M318" i="33"/>
  <c r="M328" i="33"/>
  <c r="L311" i="33"/>
  <c r="L318" i="33"/>
  <c r="K311" i="33"/>
  <c r="K318" i="33"/>
  <c r="K327" i="33"/>
  <c r="EU191" i="39"/>
  <c r="J311" i="33"/>
  <c r="J318" i="33"/>
  <c r="I311" i="33"/>
  <c r="I318" i="33"/>
  <c r="I330" i="33"/>
  <c r="ES194" i="39"/>
  <c r="H311" i="33"/>
  <c r="H318" i="33"/>
  <c r="G311" i="33"/>
  <c r="G318" i="33"/>
  <c r="G328" i="33"/>
  <c r="EQ192" i="39"/>
  <c r="F311" i="33"/>
  <c r="F318" i="33"/>
  <c r="E311" i="33"/>
  <c r="E318" i="33"/>
  <c r="E327" i="33"/>
  <c r="EO191" i="39"/>
  <c r="D311" i="33"/>
  <c r="D318" i="33"/>
  <c r="O291" i="33"/>
  <c r="O298" i="33"/>
  <c r="N291" i="33"/>
  <c r="N298" i="33"/>
  <c r="M291" i="33"/>
  <c r="M298" i="33"/>
  <c r="L291" i="33"/>
  <c r="L298" i="33"/>
  <c r="K291" i="33"/>
  <c r="K298" i="33"/>
  <c r="J291" i="33"/>
  <c r="J298" i="33"/>
  <c r="I291" i="33"/>
  <c r="I298" i="33"/>
  <c r="H291" i="33"/>
  <c r="H298" i="33"/>
  <c r="G291" i="33"/>
  <c r="G298" i="33"/>
  <c r="F291" i="33"/>
  <c r="F298" i="33"/>
  <c r="E291" i="33"/>
  <c r="E298" i="33"/>
  <c r="D291" i="33"/>
  <c r="D298" i="33"/>
  <c r="O290" i="33"/>
  <c r="O297" i="33"/>
  <c r="N290" i="33"/>
  <c r="N297" i="33"/>
  <c r="M290" i="33"/>
  <c r="M297" i="33"/>
  <c r="L290" i="33"/>
  <c r="L297" i="33"/>
  <c r="K290" i="33"/>
  <c r="K297" i="33"/>
  <c r="J290" i="33"/>
  <c r="J297" i="33"/>
  <c r="I290" i="33"/>
  <c r="I297" i="33"/>
  <c r="H290" i="33"/>
  <c r="H297" i="33"/>
  <c r="G290" i="33"/>
  <c r="G297" i="33"/>
  <c r="F290" i="33"/>
  <c r="F297" i="33"/>
  <c r="E290" i="33"/>
  <c r="E297" i="33"/>
  <c r="D290" i="33"/>
  <c r="D297" i="33"/>
  <c r="O289" i="33"/>
  <c r="O296" i="33"/>
  <c r="N289" i="33"/>
  <c r="N296" i="33"/>
  <c r="M289" i="33"/>
  <c r="M296" i="33"/>
  <c r="L289" i="33"/>
  <c r="L296" i="33"/>
  <c r="K289" i="33"/>
  <c r="K296" i="33"/>
  <c r="J289" i="33"/>
  <c r="J296" i="33"/>
  <c r="I289" i="33"/>
  <c r="I296" i="33"/>
  <c r="H289" i="33"/>
  <c r="H296" i="33"/>
  <c r="G289" i="33"/>
  <c r="G296" i="33"/>
  <c r="F289" i="33"/>
  <c r="F296" i="33"/>
  <c r="E289" i="33"/>
  <c r="E296" i="33"/>
  <c r="D289" i="33"/>
  <c r="D296" i="33"/>
  <c r="O288" i="33"/>
  <c r="O295" i="33"/>
  <c r="N288" i="33"/>
  <c r="N295" i="33"/>
  <c r="M288" i="33"/>
  <c r="M295" i="33"/>
  <c r="L288" i="33"/>
  <c r="L295" i="33"/>
  <c r="K288" i="33"/>
  <c r="K295" i="33"/>
  <c r="J288" i="33"/>
  <c r="J295" i="33"/>
  <c r="I288" i="33"/>
  <c r="I295" i="33"/>
  <c r="H288" i="33"/>
  <c r="H295" i="33"/>
  <c r="G288" i="33"/>
  <c r="G295" i="33"/>
  <c r="F288" i="33"/>
  <c r="F295" i="33"/>
  <c r="E288" i="33"/>
  <c r="E295" i="33"/>
  <c r="D288" i="33"/>
  <c r="D295" i="33"/>
  <c r="O287" i="33"/>
  <c r="O294" i="33"/>
  <c r="O306" i="33"/>
  <c r="EM194" i="39"/>
  <c r="N287" i="33"/>
  <c r="N294" i="33"/>
  <c r="M287" i="33"/>
  <c r="M294" i="33"/>
  <c r="M304" i="33"/>
  <c r="L287" i="33"/>
  <c r="L294" i="33"/>
  <c r="L304" i="33"/>
  <c r="EJ192" i="39"/>
  <c r="K287" i="33"/>
  <c r="K294" i="33"/>
  <c r="K305" i="33"/>
  <c r="EI193" i="39"/>
  <c r="J287" i="33"/>
  <c r="J294" i="33"/>
  <c r="I287" i="33"/>
  <c r="I294" i="33"/>
  <c r="H287" i="33"/>
  <c r="H294" i="33"/>
  <c r="G287" i="33"/>
  <c r="G294" i="33"/>
  <c r="G305" i="33"/>
  <c r="EE193" i="39"/>
  <c r="F287" i="33"/>
  <c r="F294" i="33"/>
  <c r="E287" i="33"/>
  <c r="E294" i="33"/>
  <c r="D287" i="33"/>
  <c r="D294" i="33"/>
  <c r="D303" i="33"/>
  <c r="EB191" i="39"/>
  <c r="O266" i="33"/>
  <c r="O273" i="33"/>
  <c r="N266" i="33"/>
  <c r="N273" i="33"/>
  <c r="M266" i="33"/>
  <c r="M273" i="33"/>
  <c r="L266" i="33"/>
  <c r="L273" i="33"/>
  <c r="K266" i="33"/>
  <c r="K273" i="33"/>
  <c r="J266" i="33"/>
  <c r="J273" i="33"/>
  <c r="I266" i="33"/>
  <c r="I273" i="33"/>
  <c r="H266" i="33"/>
  <c r="H273" i="33"/>
  <c r="G266" i="33"/>
  <c r="G273" i="33"/>
  <c r="F266" i="33"/>
  <c r="F273" i="33"/>
  <c r="E266" i="33"/>
  <c r="E273" i="33"/>
  <c r="D266" i="33"/>
  <c r="D273" i="33"/>
  <c r="O265" i="33"/>
  <c r="O272" i="33"/>
  <c r="N265" i="33"/>
  <c r="N272" i="33"/>
  <c r="M265" i="33"/>
  <c r="M272" i="33"/>
  <c r="L265" i="33"/>
  <c r="L272" i="33"/>
  <c r="K265" i="33"/>
  <c r="K272" i="33"/>
  <c r="J265" i="33"/>
  <c r="J272" i="33"/>
  <c r="I265" i="33"/>
  <c r="I272" i="33"/>
  <c r="H265" i="33"/>
  <c r="H272" i="33"/>
  <c r="G265" i="33"/>
  <c r="G272" i="33"/>
  <c r="F265" i="33"/>
  <c r="F272" i="33"/>
  <c r="E265" i="33"/>
  <c r="E272" i="33"/>
  <c r="D265" i="33"/>
  <c r="D272" i="33"/>
  <c r="O264" i="33"/>
  <c r="O271" i="33"/>
  <c r="N264" i="33"/>
  <c r="N271" i="33"/>
  <c r="M264" i="33"/>
  <c r="M271" i="33"/>
  <c r="L264" i="33"/>
  <c r="L271" i="33"/>
  <c r="K264" i="33"/>
  <c r="K271" i="33"/>
  <c r="J264" i="33"/>
  <c r="J271" i="33"/>
  <c r="I264" i="33"/>
  <c r="I271" i="33"/>
  <c r="H264" i="33"/>
  <c r="H271" i="33"/>
  <c r="G264" i="33"/>
  <c r="G271" i="33"/>
  <c r="F264" i="33"/>
  <c r="F271" i="33"/>
  <c r="E264" i="33"/>
  <c r="E271" i="33"/>
  <c r="D264" i="33"/>
  <c r="D271" i="33"/>
  <c r="O263" i="33"/>
  <c r="O270" i="33"/>
  <c r="N263" i="33"/>
  <c r="N270" i="33"/>
  <c r="M263" i="33"/>
  <c r="M270" i="33"/>
  <c r="L263" i="33"/>
  <c r="L270" i="33"/>
  <c r="K263" i="33"/>
  <c r="K270" i="33"/>
  <c r="J263" i="33"/>
  <c r="J270" i="33"/>
  <c r="I263" i="33"/>
  <c r="I270" i="33"/>
  <c r="H263" i="33"/>
  <c r="H270" i="33"/>
  <c r="G263" i="33"/>
  <c r="G270" i="33"/>
  <c r="F263" i="33"/>
  <c r="F270" i="33"/>
  <c r="E263" i="33"/>
  <c r="E270" i="33"/>
  <c r="D263" i="33"/>
  <c r="D270" i="33"/>
  <c r="O262" i="33"/>
  <c r="O269" i="33"/>
  <c r="O278" i="33"/>
  <c r="EA191" i="39"/>
  <c r="N262" i="33"/>
  <c r="N269" i="33"/>
  <c r="M262" i="33"/>
  <c r="M269" i="33"/>
  <c r="M278" i="33"/>
  <c r="DY191" i="39"/>
  <c r="L262" i="33"/>
  <c r="L269" i="33"/>
  <c r="L280" i="33"/>
  <c r="DX193" i="39"/>
  <c r="K262" i="33"/>
  <c r="K269" i="33"/>
  <c r="K278" i="33"/>
  <c r="DW191" i="39"/>
  <c r="J262" i="33"/>
  <c r="J269" i="33"/>
  <c r="I262" i="33"/>
  <c r="I269" i="33"/>
  <c r="I279" i="33"/>
  <c r="J163" i="31"/>
  <c r="J170" i="31"/>
  <c r="H262" i="33"/>
  <c r="H269" i="33"/>
  <c r="H281" i="33"/>
  <c r="DT194" i="39"/>
  <c r="G262" i="33"/>
  <c r="G269" i="33"/>
  <c r="G281" i="33"/>
  <c r="DS194" i="39"/>
  <c r="F262" i="33"/>
  <c r="F269" i="33"/>
  <c r="E262" i="33"/>
  <c r="E269" i="33"/>
  <c r="E281" i="33"/>
  <c r="DQ194" i="39"/>
  <c r="D262" i="33"/>
  <c r="D269" i="33"/>
  <c r="D281" i="33"/>
  <c r="DP194" i="39"/>
  <c r="O240" i="33"/>
  <c r="O247" i="33"/>
  <c r="N240" i="33"/>
  <c r="N247" i="33"/>
  <c r="M240" i="33"/>
  <c r="M247" i="33"/>
  <c r="L240" i="33"/>
  <c r="L247" i="33"/>
  <c r="K240" i="33"/>
  <c r="K247" i="33"/>
  <c r="J240" i="33"/>
  <c r="J247" i="33"/>
  <c r="I240" i="33"/>
  <c r="I247" i="33"/>
  <c r="H240" i="33"/>
  <c r="H247" i="33"/>
  <c r="G240" i="33"/>
  <c r="G247" i="33"/>
  <c r="F240" i="33"/>
  <c r="F247" i="33"/>
  <c r="E240" i="33"/>
  <c r="E247" i="33"/>
  <c r="D240" i="33"/>
  <c r="D247" i="33"/>
  <c r="O239" i="33"/>
  <c r="O246" i="33"/>
  <c r="N239" i="33"/>
  <c r="N246" i="33"/>
  <c r="M239" i="33"/>
  <c r="M246" i="33"/>
  <c r="L239" i="33"/>
  <c r="L246" i="33"/>
  <c r="K239" i="33"/>
  <c r="K246" i="33"/>
  <c r="J239" i="33"/>
  <c r="J246" i="33"/>
  <c r="I239" i="33"/>
  <c r="I246" i="33"/>
  <c r="H239" i="33"/>
  <c r="H246" i="33"/>
  <c r="G239" i="33"/>
  <c r="G246" i="33"/>
  <c r="F239" i="33"/>
  <c r="F246" i="33"/>
  <c r="E239" i="33"/>
  <c r="E246" i="33"/>
  <c r="D239" i="33"/>
  <c r="D246" i="33"/>
  <c r="O238" i="33"/>
  <c r="O245" i="33"/>
  <c r="N238" i="33"/>
  <c r="N245" i="33"/>
  <c r="M238" i="33"/>
  <c r="M245" i="33"/>
  <c r="L238" i="33"/>
  <c r="L245" i="33"/>
  <c r="K238" i="33"/>
  <c r="K245" i="33"/>
  <c r="J238" i="33"/>
  <c r="J245" i="33"/>
  <c r="I238" i="33"/>
  <c r="I245" i="33"/>
  <c r="H238" i="33"/>
  <c r="H245" i="33"/>
  <c r="G238" i="33"/>
  <c r="G245" i="33"/>
  <c r="F238" i="33"/>
  <c r="F245" i="33"/>
  <c r="E238" i="33"/>
  <c r="E245" i="33"/>
  <c r="D238" i="33"/>
  <c r="D245" i="33"/>
  <c r="O237" i="33"/>
  <c r="O244" i="33"/>
  <c r="N237" i="33"/>
  <c r="N244" i="33"/>
  <c r="M237" i="33"/>
  <c r="M244" i="33"/>
  <c r="L237" i="33"/>
  <c r="L244" i="33"/>
  <c r="K237" i="33"/>
  <c r="K244" i="33"/>
  <c r="J237" i="33"/>
  <c r="J244" i="33"/>
  <c r="I237" i="33"/>
  <c r="I244" i="33"/>
  <c r="H237" i="33"/>
  <c r="H244" i="33"/>
  <c r="G237" i="33"/>
  <c r="G244" i="33"/>
  <c r="F237" i="33"/>
  <c r="F244" i="33"/>
  <c r="E237" i="33"/>
  <c r="E244" i="33"/>
  <c r="D237" i="33"/>
  <c r="D244" i="33"/>
  <c r="O236" i="33"/>
  <c r="O243" i="33"/>
  <c r="O253" i="33"/>
  <c r="P147" i="31"/>
  <c r="P154" i="31"/>
  <c r="P157" i="31"/>
  <c r="DO208" i="39"/>
  <c r="N236" i="33"/>
  <c r="N243" i="33"/>
  <c r="N252" i="33"/>
  <c r="DN191" i="39"/>
  <c r="M236" i="33"/>
  <c r="M243" i="33"/>
  <c r="L236" i="33"/>
  <c r="L243" i="33"/>
  <c r="K236" i="33"/>
  <c r="K243" i="33"/>
  <c r="K253" i="33"/>
  <c r="J236" i="33"/>
  <c r="J243" i="33"/>
  <c r="I236" i="33"/>
  <c r="I243" i="33"/>
  <c r="H236" i="33"/>
  <c r="H243" i="33"/>
  <c r="H255" i="33"/>
  <c r="DH194" i="39"/>
  <c r="G236" i="33"/>
  <c r="G243" i="33"/>
  <c r="F236" i="33"/>
  <c r="F243" i="33"/>
  <c r="E236" i="33"/>
  <c r="E243" i="33"/>
  <c r="D236" i="33"/>
  <c r="D243" i="33"/>
  <c r="O215" i="33"/>
  <c r="O222" i="33"/>
  <c r="N215" i="33"/>
  <c r="N222" i="33"/>
  <c r="M215" i="33"/>
  <c r="M222" i="33"/>
  <c r="L215" i="33"/>
  <c r="L222" i="33"/>
  <c r="K215" i="33"/>
  <c r="K222" i="33"/>
  <c r="J215" i="33"/>
  <c r="J222" i="33"/>
  <c r="I215" i="33"/>
  <c r="I222" i="33"/>
  <c r="H215" i="33"/>
  <c r="H222" i="33"/>
  <c r="G215" i="33"/>
  <c r="G222" i="33"/>
  <c r="F215" i="33"/>
  <c r="F222" i="33"/>
  <c r="E215" i="33"/>
  <c r="E222" i="33"/>
  <c r="D215" i="33"/>
  <c r="D222" i="33"/>
  <c r="O214" i="33"/>
  <c r="O221" i="33"/>
  <c r="N214" i="33"/>
  <c r="N221" i="33"/>
  <c r="M214" i="33"/>
  <c r="M221" i="33"/>
  <c r="L214" i="33"/>
  <c r="L221" i="33"/>
  <c r="K214" i="33"/>
  <c r="K221" i="33"/>
  <c r="J214" i="33"/>
  <c r="J221" i="33"/>
  <c r="I214" i="33"/>
  <c r="I221" i="33"/>
  <c r="H214" i="33"/>
  <c r="H221" i="33"/>
  <c r="G214" i="33"/>
  <c r="G221" i="33"/>
  <c r="F214" i="33"/>
  <c r="F221" i="33"/>
  <c r="E214" i="33"/>
  <c r="E221" i="33"/>
  <c r="D214" i="33"/>
  <c r="D221" i="33"/>
  <c r="O213" i="33"/>
  <c r="O220" i="33"/>
  <c r="N213" i="33"/>
  <c r="N220" i="33"/>
  <c r="M213" i="33"/>
  <c r="M220" i="33"/>
  <c r="L213" i="33"/>
  <c r="L220" i="33"/>
  <c r="K213" i="33"/>
  <c r="K220" i="33"/>
  <c r="J213" i="33"/>
  <c r="J220" i="33"/>
  <c r="I213" i="33"/>
  <c r="I220" i="33"/>
  <c r="H213" i="33"/>
  <c r="H220" i="33"/>
  <c r="G213" i="33"/>
  <c r="G220" i="33"/>
  <c r="F213" i="33"/>
  <c r="F220" i="33"/>
  <c r="E213" i="33"/>
  <c r="E220" i="33"/>
  <c r="D213" i="33"/>
  <c r="D220" i="33"/>
  <c r="O212" i="33"/>
  <c r="O219" i="33"/>
  <c r="N212" i="33"/>
  <c r="N219" i="33"/>
  <c r="M212" i="33"/>
  <c r="M219" i="33"/>
  <c r="L212" i="33"/>
  <c r="L219" i="33"/>
  <c r="K212" i="33"/>
  <c r="K219" i="33"/>
  <c r="J212" i="33"/>
  <c r="J219" i="33"/>
  <c r="I212" i="33"/>
  <c r="I219" i="33"/>
  <c r="H212" i="33"/>
  <c r="H219" i="33"/>
  <c r="G212" i="33"/>
  <c r="G219" i="33"/>
  <c r="F212" i="33"/>
  <c r="F219" i="33"/>
  <c r="E212" i="33"/>
  <c r="E219" i="33"/>
  <c r="D212" i="33"/>
  <c r="D219" i="33"/>
  <c r="O211" i="33"/>
  <c r="O218" i="33"/>
  <c r="N211" i="33"/>
  <c r="N218" i="33"/>
  <c r="M211" i="33"/>
  <c r="M218" i="33"/>
  <c r="M227" i="33"/>
  <c r="DA186" i="34"/>
  <c r="L211" i="33"/>
  <c r="L218" i="33"/>
  <c r="K211" i="33"/>
  <c r="K218" i="33"/>
  <c r="J211" i="33"/>
  <c r="J218" i="33"/>
  <c r="I211" i="33"/>
  <c r="I218" i="33"/>
  <c r="I229" i="33"/>
  <c r="CW193" i="39"/>
  <c r="H211" i="33"/>
  <c r="H218" i="33"/>
  <c r="H230" i="33"/>
  <c r="CV189" i="34"/>
  <c r="G211" i="33"/>
  <c r="G218" i="33"/>
  <c r="G228" i="33"/>
  <c r="F211" i="33"/>
  <c r="F218" i="33"/>
  <c r="F227" i="33"/>
  <c r="E211" i="33"/>
  <c r="E218" i="33"/>
  <c r="E228" i="33"/>
  <c r="D211" i="33"/>
  <c r="D218" i="33"/>
  <c r="D227" i="33"/>
  <c r="O190" i="33"/>
  <c r="O197" i="33"/>
  <c r="N190" i="33"/>
  <c r="N197" i="33"/>
  <c r="M190" i="33"/>
  <c r="M197" i="33"/>
  <c r="L190" i="33"/>
  <c r="L197" i="33"/>
  <c r="K190" i="33"/>
  <c r="K197" i="33"/>
  <c r="J190" i="33"/>
  <c r="J197" i="33"/>
  <c r="I190" i="33"/>
  <c r="I197" i="33"/>
  <c r="H190" i="33"/>
  <c r="H197" i="33"/>
  <c r="G190" i="33"/>
  <c r="G197" i="33"/>
  <c r="F190" i="33"/>
  <c r="F197" i="33"/>
  <c r="E190" i="33"/>
  <c r="E197" i="33"/>
  <c r="D190" i="33"/>
  <c r="D197" i="33"/>
  <c r="O189" i="33"/>
  <c r="O196" i="33"/>
  <c r="N189" i="33"/>
  <c r="N196" i="33"/>
  <c r="M189" i="33"/>
  <c r="M196" i="33"/>
  <c r="L189" i="33"/>
  <c r="L196" i="33"/>
  <c r="K189" i="33"/>
  <c r="K196" i="33"/>
  <c r="J189" i="33"/>
  <c r="J196" i="33"/>
  <c r="I189" i="33"/>
  <c r="I196" i="33"/>
  <c r="H189" i="33"/>
  <c r="H196" i="33"/>
  <c r="G189" i="33"/>
  <c r="G196" i="33"/>
  <c r="F189" i="33"/>
  <c r="F196" i="33"/>
  <c r="E189" i="33"/>
  <c r="E196" i="33"/>
  <c r="D189" i="33"/>
  <c r="D196" i="33"/>
  <c r="O188" i="33"/>
  <c r="O195" i="33"/>
  <c r="N188" i="33"/>
  <c r="N195" i="33"/>
  <c r="M188" i="33"/>
  <c r="M195" i="33"/>
  <c r="L188" i="33"/>
  <c r="L195" i="33"/>
  <c r="K188" i="33"/>
  <c r="K195" i="33"/>
  <c r="J188" i="33"/>
  <c r="J195" i="33"/>
  <c r="I188" i="33"/>
  <c r="I195" i="33"/>
  <c r="H188" i="33"/>
  <c r="H195" i="33"/>
  <c r="G188" i="33"/>
  <c r="G195" i="33"/>
  <c r="F188" i="33"/>
  <c r="F195" i="33"/>
  <c r="E188" i="33"/>
  <c r="E195" i="33"/>
  <c r="D188" i="33"/>
  <c r="D195" i="33"/>
  <c r="O187" i="33"/>
  <c r="O194" i="33"/>
  <c r="N187" i="33"/>
  <c r="N194" i="33"/>
  <c r="M187" i="33"/>
  <c r="M194" i="33"/>
  <c r="L187" i="33"/>
  <c r="L194" i="33"/>
  <c r="K187" i="33"/>
  <c r="K194" i="33"/>
  <c r="J187" i="33"/>
  <c r="J194" i="33"/>
  <c r="I187" i="33"/>
  <c r="I194" i="33"/>
  <c r="H187" i="33"/>
  <c r="H194" i="33"/>
  <c r="G187" i="33"/>
  <c r="G194" i="33"/>
  <c r="F187" i="33"/>
  <c r="F194" i="33"/>
  <c r="E187" i="33"/>
  <c r="E194" i="33"/>
  <c r="D187" i="33"/>
  <c r="D194" i="33"/>
  <c r="O186" i="33"/>
  <c r="O193" i="33"/>
  <c r="O204" i="33"/>
  <c r="N186" i="33"/>
  <c r="N193" i="33"/>
  <c r="M186" i="33"/>
  <c r="M193" i="33"/>
  <c r="M205" i="33"/>
  <c r="L186" i="33"/>
  <c r="L193" i="33"/>
  <c r="L203" i="33"/>
  <c r="CN187" i="34"/>
  <c r="K186" i="33"/>
  <c r="K193" i="33"/>
  <c r="K204" i="33"/>
  <c r="CM193" i="39"/>
  <c r="J186" i="33"/>
  <c r="J193" i="33"/>
  <c r="I186" i="33"/>
  <c r="I193" i="33"/>
  <c r="H186" i="33"/>
  <c r="H193" i="33"/>
  <c r="H205" i="33"/>
  <c r="CJ194" i="39"/>
  <c r="G186" i="33"/>
  <c r="G193" i="33"/>
  <c r="G204" i="33"/>
  <c r="CI193" i="39"/>
  <c r="F186" i="33"/>
  <c r="F193" i="33"/>
  <c r="E186" i="33"/>
  <c r="E193" i="33"/>
  <c r="E203" i="33"/>
  <c r="D186" i="33"/>
  <c r="D193" i="33"/>
  <c r="D204" i="33"/>
  <c r="CF193" i="39"/>
  <c r="O169" i="33"/>
  <c r="O176" i="33"/>
  <c r="N169" i="33"/>
  <c r="N176" i="33"/>
  <c r="M169" i="33"/>
  <c r="M176" i="33"/>
  <c r="L169" i="33"/>
  <c r="L176" i="33"/>
  <c r="K169" i="33"/>
  <c r="K176" i="33"/>
  <c r="J169" i="33"/>
  <c r="J176" i="33"/>
  <c r="I169" i="33"/>
  <c r="I176" i="33"/>
  <c r="H169" i="33"/>
  <c r="H176" i="33"/>
  <c r="G169" i="33"/>
  <c r="G176" i="33"/>
  <c r="F169" i="33"/>
  <c r="F176" i="33"/>
  <c r="E169" i="33"/>
  <c r="E176" i="33"/>
  <c r="D169" i="33"/>
  <c r="D176" i="33"/>
  <c r="O168" i="33"/>
  <c r="O175" i="33"/>
  <c r="N168" i="33"/>
  <c r="N175" i="33"/>
  <c r="M168" i="33"/>
  <c r="M175" i="33"/>
  <c r="L168" i="33"/>
  <c r="L175" i="33"/>
  <c r="K168" i="33"/>
  <c r="K175" i="33"/>
  <c r="J168" i="33"/>
  <c r="J175" i="33"/>
  <c r="I168" i="33"/>
  <c r="I175" i="33"/>
  <c r="H168" i="33"/>
  <c r="H175" i="33"/>
  <c r="G168" i="33"/>
  <c r="G175" i="33"/>
  <c r="F168" i="33"/>
  <c r="F175" i="33"/>
  <c r="E168" i="33"/>
  <c r="E175" i="33"/>
  <c r="D168" i="33"/>
  <c r="D175" i="33"/>
  <c r="O167" i="33"/>
  <c r="O174" i="33"/>
  <c r="N167" i="33"/>
  <c r="N174" i="33"/>
  <c r="M167" i="33"/>
  <c r="M174" i="33"/>
  <c r="L167" i="33"/>
  <c r="L174" i="33"/>
  <c r="K167" i="33"/>
  <c r="K174" i="33"/>
  <c r="J167" i="33"/>
  <c r="J174" i="33"/>
  <c r="I167" i="33"/>
  <c r="I174" i="33"/>
  <c r="H167" i="33"/>
  <c r="H174" i="33"/>
  <c r="G167" i="33"/>
  <c r="G174" i="33"/>
  <c r="F167" i="33"/>
  <c r="F174" i="33"/>
  <c r="E167" i="33"/>
  <c r="E174" i="33"/>
  <c r="D167" i="33"/>
  <c r="D174" i="33"/>
  <c r="O166" i="33"/>
  <c r="O173" i="33"/>
  <c r="N166" i="33"/>
  <c r="N173" i="33"/>
  <c r="M166" i="33"/>
  <c r="M173" i="33"/>
  <c r="L166" i="33"/>
  <c r="L173" i="33"/>
  <c r="K166" i="33"/>
  <c r="K173" i="33"/>
  <c r="J166" i="33"/>
  <c r="J173" i="33"/>
  <c r="I166" i="33"/>
  <c r="I173" i="33"/>
  <c r="H166" i="33"/>
  <c r="H173" i="33"/>
  <c r="G166" i="33"/>
  <c r="G173" i="33"/>
  <c r="F166" i="33"/>
  <c r="F173" i="33"/>
  <c r="E166" i="33"/>
  <c r="E173" i="33"/>
  <c r="D166" i="33"/>
  <c r="D173" i="33"/>
  <c r="O165" i="33"/>
  <c r="O172" i="33"/>
  <c r="O178" i="33"/>
  <c r="P99" i="31"/>
  <c r="P106" i="31"/>
  <c r="N165" i="33"/>
  <c r="N172" i="33"/>
  <c r="M165" i="33"/>
  <c r="M172" i="33"/>
  <c r="L165" i="33"/>
  <c r="L172" i="33"/>
  <c r="K165" i="33"/>
  <c r="K172" i="33"/>
  <c r="J165" i="33"/>
  <c r="J172" i="33"/>
  <c r="J180" i="33"/>
  <c r="BZ189" i="34"/>
  <c r="I165" i="33"/>
  <c r="I172" i="33"/>
  <c r="I177" i="33"/>
  <c r="H165" i="33"/>
  <c r="H172" i="33"/>
  <c r="H177" i="33"/>
  <c r="BX191" i="39"/>
  <c r="G165" i="33"/>
  <c r="G172" i="33"/>
  <c r="F165" i="33"/>
  <c r="F172" i="33"/>
  <c r="F178" i="33"/>
  <c r="BV187" i="34"/>
  <c r="E165" i="33"/>
  <c r="E172" i="33"/>
  <c r="E178" i="33"/>
  <c r="D165" i="33"/>
  <c r="D172" i="33"/>
  <c r="D158" i="33"/>
  <c r="O142" i="33"/>
  <c r="O148" i="33"/>
  <c r="N142" i="33"/>
  <c r="N148" i="33"/>
  <c r="M142" i="33"/>
  <c r="M148" i="33"/>
  <c r="L142" i="33"/>
  <c r="L148" i="33"/>
  <c r="L144" i="33"/>
  <c r="L145" i="33"/>
  <c r="L146" i="33"/>
  <c r="L147" i="33"/>
  <c r="L156" i="33"/>
  <c r="BP194" i="39"/>
  <c r="K142" i="33"/>
  <c r="K148" i="33"/>
  <c r="J142" i="33"/>
  <c r="J148" i="33"/>
  <c r="H142" i="33"/>
  <c r="H148" i="33"/>
  <c r="G142" i="33"/>
  <c r="G148" i="33"/>
  <c r="E142" i="33"/>
  <c r="E148" i="33"/>
  <c r="D142" i="33"/>
  <c r="D148" i="33"/>
  <c r="O141" i="33"/>
  <c r="O147" i="33"/>
  <c r="N141" i="33"/>
  <c r="N147" i="33"/>
  <c r="M141" i="33"/>
  <c r="M147" i="33"/>
  <c r="L141" i="33"/>
  <c r="K141" i="33"/>
  <c r="K147" i="33"/>
  <c r="J141" i="33"/>
  <c r="J147" i="33"/>
  <c r="I141" i="33"/>
  <c r="I147" i="33"/>
  <c r="H141" i="33"/>
  <c r="H147" i="33"/>
  <c r="G141" i="33"/>
  <c r="G147" i="33"/>
  <c r="F141" i="33"/>
  <c r="F147" i="33"/>
  <c r="E141" i="33"/>
  <c r="E147" i="33"/>
  <c r="D141" i="33"/>
  <c r="D147" i="33"/>
  <c r="O140" i="33"/>
  <c r="O146" i="33"/>
  <c r="N140" i="33"/>
  <c r="N146" i="33"/>
  <c r="M140" i="33"/>
  <c r="M146" i="33"/>
  <c r="L140" i="33"/>
  <c r="K140" i="33"/>
  <c r="K146" i="33"/>
  <c r="J140" i="33"/>
  <c r="J146" i="33"/>
  <c r="I140" i="33"/>
  <c r="I146" i="33"/>
  <c r="H140" i="33"/>
  <c r="H146" i="33"/>
  <c r="G140" i="33"/>
  <c r="G146" i="33"/>
  <c r="F140" i="33"/>
  <c r="F146" i="33"/>
  <c r="E140" i="33"/>
  <c r="E146" i="33"/>
  <c r="D140" i="33"/>
  <c r="D146" i="33"/>
  <c r="O139" i="33"/>
  <c r="O145" i="33"/>
  <c r="N139" i="33"/>
  <c r="N145" i="33"/>
  <c r="M139" i="33"/>
  <c r="M145" i="33"/>
  <c r="L139" i="33"/>
  <c r="K139" i="33"/>
  <c r="K145" i="33"/>
  <c r="J139" i="33"/>
  <c r="J145" i="33"/>
  <c r="I139" i="33"/>
  <c r="I145" i="33"/>
  <c r="H139" i="33"/>
  <c r="H145" i="33"/>
  <c r="G139" i="33"/>
  <c r="G145" i="33"/>
  <c r="F139" i="33"/>
  <c r="F145" i="33"/>
  <c r="E139" i="33"/>
  <c r="E145" i="33"/>
  <c r="D139" i="33"/>
  <c r="D145" i="33"/>
  <c r="O138" i="33"/>
  <c r="O144" i="33"/>
  <c r="O156" i="33"/>
  <c r="BS194" i="39"/>
  <c r="N138" i="33"/>
  <c r="N144" i="33"/>
  <c r="M138" i="33"/>
  <c r="M144" i="33"/>
  <c r="L138" i="33"/>
  <c r="K138" i="33"/>
  <c r="K144" i="33"/>
  <c r="K156" i="33"/>
  <c r="J138" i="33"/>
  <c r="J144" i="33"/>
  <c r="J153" i="33"/>
  <c r="BN186" i="34"/>
  <c r="I138" i="33"/>
  <c r="I144" i="33"/>
  <c r="H138" i="33"/>
  <c r="H144" i="33"/>
  <c r="G138" i="33"/>
  <c r="G144" i="33"/>
  <c r="F138" i="33"/>
  <c r="F144" i="33"/>
  <c r="E138" i="33"/>
  <c r="E144" i="33"/>
  <c r="E154" i="33"/>
  <c r="D138" i="33"/>
  <c r="D144" i="33"/>
  <c r="D131" i="33"/>
  <c r="L121" i="33"/>
  <c r="L117" i="33"/>
  <c r="L118" i="33"/>
  <c r="L119" i="33"/>
  <c r="L120" i="33"/>
  <c r="L129" i="33"/>
  <c r="K121" i="33"/>
  <c r="J121" i="33"/>
  <c r="J117" i="33"/>
  <c r="J118" i="33"/>
  <c r="J119" i="33"/>
  <c r="J120" i="33"/>
  <c r="J129" i="33"/>
  <c r="I121" i="33"/>
  <c r="O114" i="33"/>
  <c r="O121" i="33"/>
  <c r="O117" i="33"/>
  <c r="O118" i="33"/>
  <c r="O119" i="33"/>
  <c r="O120" i="33"/>
  <c r="O129" i="33"/>
  <c r="BG189" i="34"/>
  <c r="N114" i="33"/>
  <c r="N121" i="33"/>
  <c r="M114" i="33"/>
  <c r="M121" i="33"/>
  <c r="H114" i="33"/>
  <c r="H121" i="33"/>
  <c r="G114" i="33"/>
  <c r="G121" i="33"/>
  <c r="F114" i="33"/>
  <c r="F121" i="33"/>
  <c r="E114" i="33"/>
  <c r="E121" i="33"/>
  <c r="D114" i="33"/>
  <c r="D121" i="33"/>
  <c r="O113" i="33"/>
  <c r="N113" i="33"/>
  <c r="N120" i="33"/>
  <c r="M113" i="33"/>
  <c r="M120" i="33"/>
  <c r="L113" i="33"/>
  <c r="K113" i="33"/>
  <c r="K120" i="33"/>
  <c r="J113" i="33"/>
  <c r="I113" i="33"/>
  <c r="I120" i="33"/>
  <c r="H113" i="33"/>
  <c r="H120" i="33"/>
  <c r="G113" i="33"/>
  <c r="G120" i="33"/>
  <c r="F113" i="33"/>
  <c r="F120" i="33"/>
  <c r="E113" i="33"/>
  <c r="E120" i="33"/>
  <c r="D113" i="33"/>
  <c r="D120" i="33"/>
  <c r="O112" i="33"/>
  <c r="N112" i="33"/>
  <c r="N119" i="33"/>
  <c r="M112" i="33"/>
  <c r="M119" i="33"/>
  <c r="L112" i="33"/>
  <c r="K112" i="33"/>
  <c r="K119" i="33"/>
  <c r="J112" i="33"/>
  <c r="I112" i="33"/>
  <c r="I119" i="33"/>
  <c r="H112" i="33"/>
  <c r="H119" i="33"/>
  <c r="G112" i="33"/>
  <c r="G119" i="33"/>
  <c r="F112" i="33"/>
  <c r="F119" i="33"/>
  <c r="E112" i="33"/>
  <c r="E119" i="33"/>
  <c r="D112" i="33"/>
  <c r="D119" i="33"/>
  <c r="O111" i="33"/>
  <c r="N111" i="33"/>
  <c r="N118" i="33"/>
  <c r="M111" i="33"/>
  <c r="M118" i="33"/>
  <c r="L111" i="33"/>
  <c r="K111" i="33"/>
  <c r="K118" i="33"/>
  <c r="J111" i="33"/>
  <c r="I111" i="33"/>
  <c r="I118" i="33"/>
  <c r="H111" i="33"/>
  <c r="H118" i="33"/>
  <c r="G111" i="33"/>
  <c r="G118" i="33"/>
  <c r="F111" i="33"/>
  <c r="F118" i="33"/>
  <c r="E111" i="33"/>
  <c r="E118" i="33"/>
  <c r="D111" i="33"/>
  <c r="D118" i="33"/>
  <c r="O110" i="33"/>
  <c r="N110" i="33"/>
  <c r="N117" i="33"/>
  <c r="M110" i="33"/>
  <c r="M117" i="33"/>
  <c r="M126" i="33"/>
  <c r="BE186" i="34"/>
  <c r="L110" i="33"/>
  <c r="K110" i="33"/>
  <c r="K117" i="33"/>
  <c r="K129" i="33"/>
  <c r="BC189" i="34"/>
  <c r="J110" i="33"/>
  <c r="I110" i="33"/>
  <c r="I117" i="33"/>
  <c r="H110" i="33"/>
  <c r="H117" i="33"/>
  <c r="H129" i="33"/>
  <c r="G110" i="33"/>
  <c r="G117" i="33"/>
  <c r="G127" i="33"/>
  <c r="AY192" i="39"/>
  <c r="F110" i="33"/>
  <c r="F117" i="33"/>
  <c r="E110" i="33"/>
  <c r="E117" i="33"/>
  <c r="E126" i="33"/>
  <c r="AW186" i="34"/>
  <c r="D110" i="33"/>
  <c r="D117" i="33"/>
  <c r="D126" i="33"/>
  <c r="L91" i="33"/>
  <c r="O89" i="33"/>
  <c r="N89" i="33"/>
  <c r="M89" i="33"/>
  <c r="L89" i="33"/>
  <c r="L85" i="33"/>
  <c r="L86" i="33"/>
  <c r="L87" i="33"/>
  <c r="L88" i="33"/>
  <c r="L96" i="33"/>
  <c r="K89" i="33"/>
  <c r="J89" i="33"/>
  <c r="I89" i="33"/>
  <c r="H89" i="33"/>
  <c r="G89" i="33"/>
  <c r="F89" i="33"/>
  <c r="E89" i="33"/>
  <c r="D89" i="33"/>
  <c r="M88" i="33"/>
  <c r="K88" i="33"/>
  <c r="J88" i="33"/>
  <c r="J85" i="33"/>
  <c r="J86" i="33"/>
  <c r="J87" i="33"/>
  <c r="J97" i="33"/>
  <c r="I88" i="33"/>
  <c r="H88" i="33"/>
  <c r="G88" i="33"/>
  <c r="F88" i="33"/>
  <c r="E88" i="33"/>
  <c r="D88" i="33"/>
  <c r="M87" i="33"/>
  <c r="K87" i="33"/>
  <c r="I87" i="33"/>
  <c r="H87" i="33"/>
  <c r="H85" i="33"/>
  <c r="H86" i="33"/>
  <c r="H97" i="33"/>
  <c r="G87" i="33"/>
  <c r="F87" i="33"/>
  <c r="E87" i="33"/>
  <c r="D87" i="33"/>
  <c r="M86" i="33"/>
  <c r="K86" i="33"/>
  <c r="I86" i="33"/>
  <c r="G86" i="33"/>
  <c r="F86" i="33"/>
  <c r="E86" i="33"/>
  <c r="D86" i="33"/>
  <c r="M85" i="33"/>
  <c r="K85" i="33"/>
  <c r="I85" i="33"/>
  <c r="G85" i="33"/>
  <c r="F85" i="33"/>
  <c r="E85" i="33"/>
  <c r="D85" i="33"/>
  <c r="D94" i="33"/>
  <c r="O81" i="33"/>
  <c r="O88" i="33"/>
  <c r="N81" i="33"/>
  <c r="N88" i="33"/>
  <c r="O80" i="33"/>
  <c r="O87" i="33"/>
  <c r="N80" i="33"/>
  <c r="N87" i="33"/>
  <c r="O79" i="33"/>
  <c r="O86" i="33"/>
  <c r="N79" i="33"/>
  <c r="N86" i="33"/>
  <c r="O78" i="33"/>
  <c r="O85" i="33"/>
  <c r="N78" i="33"/>
  <c r="N85" i="33"/>
  <c r="L75" i="33"/>
  <c r="L56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O50" i="33"/>
  <c r="O61" i="33"/>
  <c r="N50" i="33"/>
  <c r="N61" i="33"/>
  <c r="M50" i="33"/>
  <c r="L50" i="33"/>
  <c r="K50" i="33"/>
  <c r="J50" i="33"/>
  <c r="J59" i="33"/>
  <c r="I50" i="33"/>
  <c r="H50" i="33"/>
  <c r="H59" i="33"/>
  <c r="G50" i="33"/>
  <c r="F50" i="33"/>
  <c r="E50" i="33"/>
  <c r="D50" i="33"/>
  <c r="D59" i="33"/>
  <c r="L40" i="33"/>
  <c r="J35" i="33"/>
  <c r="I35" i="33"/>
  <c r="H35" i="33"/>
  <c r="G35" i="33"/>
  <c r="F35" i="33"/>
  <c r="E35" i="33"/>
  <c r="D35" i="33"/>
  <c r="J34" i="33"/>
  <c r="I34" i="33"/>
  <c r="H34" i="33"/>
  <c r="G34" i="33"/>
  <c r="F34" i="33"/>
  <c r="E34" i="33"/>
  <c r="D34" i="33"/>
  <c r="J33" i="33"/>
  <c r="I33" i="33"/>
  <c r="H33" i="33"/>
  <c r="G33" i="33"/>
  <c r="F33" i="33"/>
  <c r="E33" i="33"/>
  <c r="D33" i="33"/>
  <c r="J32" i="33"/>
  <c r="I32" i="33"/>
  <c r="H32" i="33"/>
  <c r="G32" i="33"/>
  <c r="F32" i="33"/>
  <c r="E32" i="33"/>
  <c r="D32" i="33"/>
  <c r="P29" i="33"/>
  <c r="O29" i="33"/>
  <c r="N29" i="33"/>
  <c r="M29" i="33"/>
  <c r="L29" i="33"/>
  <c r="K29" i="33"/>
  <c r="K32" i="33"/>
  <c r="P28" i="33"/>
  <c r="O28" i="33"/>
  <c r="P27" i="33"/>
  <c r="O27" i="33"/>
  <c r="P26" i="33"/>
  <c r="O26" i="33"/>
  <c r="P25" i="33"/>
  <c r="O25" i="33"/>
  <c r="N33" i="33"/>
  <c r="M94" i="33"/>
  <c r="N591" i="25"/>
  <c r="N592" i="25"/>
  <c r="M591" i="25"/>
  <c r="M592" i="25"/>
  <c r="L591" i="25"/>
  <c r="L592" i="25"/>
  <c r="K591" i="25"/>
  <c r="K592" i="25"/>
  <c r="J591" i="25"/>
  <c r="J592" i="25"/>
  <c r="I591" i="25"/>
  <c r="I592" i="25"/>
  <c r="H591" i="25"/>
  <c r="H592" i="25"/>
  <c r="G591" i="25"/>
  <c r="G592" i="25"/>
  <c r="F591" i="25"/>
  <c r="F592" i="25"/>
  <c r="E591" i="25"/>
  <c r="E592" i="25"/>
  <c r="P585" i="25"/>
  <c r="P586" i="25"/>
  <c r="O585" i="25"/>
  <c r="O586" i="25"/>
  <c r="N585" i="25"/>
  <c r="N586" i="25"/>
  <c r="M585" i="25"/>
  <c r="M586" i="25"/>
  <c r="L585" i="25"/>
  <c r="L586" i="25"/>
  <c r="K585" i="25"/>
  <c r="K586" i="25"/>
  <c r="J585" i="25"/>
  <c r="J586" i="25"/>
  <c r="I585" i="25"/>
  <c r="I586" i="25"/>
  <c r="H585" i="25"/>
  <c r="H586" i="25"/>
  <c r="G585" i="25"/>
  <c r="G586" i="25"/>
  <c r="F585" i="25"/>
  <c r="F586" i="25"/>
  <c r="E585" i="25"/>
  <c r="E586" i="25"/>
  <c r="P579" i="25"/>
  <c r="P580" i="25"/>
  <c r="O579" i="25"/>
  <c r="O580" i="25"/>
  <c r="N579" i="25"/>
  <c r="N580" i="25"/>
  <c r="M579" i="25"/>
  <c r="M580" i="25"/>
  <c r="L579" i="25"/>
  <c r="L580" i="25"/>
  <c r="K579" i="25"/>
  <c r="K580" i="25"/>
  <c r="J579" i="25"/>
  <c r="J580" i="25"/>
  <c r="I579" i="25"/>
  <c r="I580" i="25"/>
  <c r="H579" i="25"/>
  <c r="H580" i="25"/>
  <c r="G579" i="25"/>
  <c r="G580" i="25"/>
  <c r="F579" i="25"/>
  <c r="F580" i="25"/>
  <c r="E579" i="25"/>
  <c r="E580" i="25"/>
  <c r="P573" i="25"/>
  <c r="P574" i="25"/>
  <c r="O573" i="25"/>
  <c r="O574" i="25"/>
  <c r="N573" i="25"/>
  <c r="N574" i="25"/>
  <c r="M573" i="25"/>
  <c r="M574" i="25"/>
  <c r="L573" i="25"/>
  <c r="L574" i="25"/>
  <c r="K573" i="25"/>
  <c r="K574" i="25"/>
  <c r="J573" i="25"/>
  <c r="J574" i="25"/>
  <c r="I573" i="25"/>
  <c r="I574" i="25"/>
  <c r="H573" i="25"/>
  <c r="H574" i="25"/>
  <c r="G573" i="25"/>
  <c r="G574" i="25"/>
  <c r="F573" i="25"/>
  <c r="F574" i="25"/>
  <c r="E573" i="25"/>
  <c r="E574" i="25"/>
  <c r="I527" i="25"/>
  <c r="H527" i="25"/>
  <c r="G527" i="25"/>
  <c r="F527" i="25"/>
  <c r="E527" i="25"/>
  <c r="D527" i="25"/>
  <c r="L526" i="25"/>
  <c r="L527" i="25"/>
  <c r="J526" i="25"/>
  <c r="J527" i="25"/>
  <c r="O519" i="25"/>
  <c r="N519" i="25"/>
  <c r="M519" i="25"/>
  <c r="L519" i="25"/>
  <c r="K519" i="25"/>
  <c r="J519" i="25"/>
  <c r="I519" i="25"/>
  <c r="H519" i="25"/>
  <c r="G519" i="25"/>
  <c r="F519" i="25"/>
  <c r="E519" i="25"/>
  <c r="D519" i="25"/>
  <c r="P511" i="25"/>
  <c r="O511" i="25"/>
  <c r="N511" i="25"/>
  <c r="M511" i="25"/>
  <c r="L511" i="25"/>
  <c r="K511" i="25"/>
  <c r="J511" i="25"/>
  <c r="I511" i="25"/>
  <c r="H511" i="25"/>
  <c r="G511" i="25"/>
  <c r="F511" i="25"/>
  <c r="E511" i="25"/>
  <c r="D511" i="25"/>
  <c r="N447" i="25"/>
  <c r="N449" i="25"/>
  <c r="FW167" i="58"/>
  <c r="FW175" i="58"/>
  <c r="M447" i="25"/>
  <c r="M449" i="25"/>
  <c r="FG20" i="27"/>
  <c r="FG25" i="27"/>
  <c r="L447" i="25"/>
  <c r="L449" i="25"/>
  <c r="M590" i="25"/>
  <c r="M593" i="25"/>
  <c r="FT179" i="39"/>
  <c r="K447" i="25"/>
  <c r="K449" i="25"/>
  <c r="FS176" i="39"/>
  <c r="FS184" i="39"/>
  <c r="J447" i="25"/>
  <c r="J449" i="25"/>
  <c r="K590" i="25"/>
  <c r="I447" i="25"/>
  <c r="I449" i="25"/>
  <c r="H447" i="25"/>
  <c r="H449" i="25"/>
  <c r="I590" i="25"/>
  <c r="I593" i="25"/>
  <c r="FP179" i="39"/>
  <c r="G447" i="25"/>
  <c r="G449" i="25"/>
  <c r="H180" i="28"/>
  <c r="H183" i="28"/>
  <c r="F447" i="25"/>
  <c r="F449" i="25"/>
  <c r="EZ20" i="27"/>
  <c r="EZ25" i="27"/>
  <c r="E447" i="25"/>
  <c r="E449" i="25"/>
  <c r="F180" i="28"/>
  <c r="F183" i="28"/>
  <c r="D447" i="25"/>
  <c r="D449" i="25"/>
  <c r="E590" i="25"/>
  <c r="E593" i="25"/>
  <c r="FL179" i="39"/>
  <c r="O441" i="25"/>
  <c r="O443" i="25"/>
  <c r="P169" i="28"/>
  <c r="P172" i="28"/>
  <c r="N441" i="25"/>
  <c r="N443" i="25"/>
  <c r="EV20" i="27"/>
  <c r="M441" i="25"/>
  <c r="M443" i="25"/>
  <c r="EU20" i="27"/>
  <c r="EU45" i="27"/>
  <c r="EU50" i="27"/>
  <c r="L441" i="25"/>
  <c r="L443" i="25"/>
  <c r="FH176" i="39"/>
  <c r="FH184" i="39"/>
  <c r="K441" i="25"/>
  <c r="K443" i="25"/>
  <c r="L169" i="28"/>
  <c r="L172" i="28"/>
  <c r="J441" i="25"/>
  <c r="J443" i="25"/>
  <c r="FF176" i="39"/>
  <c r="FF184" i="39"/>
  <c r="I441" i="25"/>
  <c r="I443" i="25"/>
  <c r="EQ20" i="27"/>
  <c r="EQ25" i="27"/>
  <c r="H441" i="25"/>
  <c r="H443" i="25"/>
  <c r="I169" i="28"/>
  <c r="I172" i="28"/>
  <c r="G441" i="25"/>
  <c r="G443" i="25"/>
  <c r="FC176" i="39"/>
  <c r="FC184" i="39"/>
  <c r="F441" i="25"/>
  <c r="F443" i="25"/>
  <c r="G169" i="28"/>
  <c r="G172" i="28"/>
  <c r="E441" i="25"/>
  <c r="E443" i="25"/>
  <c r="F584" i="25"/>
  <c r="F587" i="25"/>
  <c r="FA179" i="39"/>
  <c r="D441" i="25"/>
  <c r="D443" i="25"/>
  <c r="EZ176" i="39"/>
  <c r="EZ184" i="39"/>
  <c r="O435" i="25"/>
  <c r="O437" i="25"/>
  <c r="EK20" i="27"/>
  <c r="EK25" i="27"/>
  <c r="N435" i="25"/>
  <c r="N437" i="25"/>
  <c r="EX176" i="39"/>
  <c r="EX184" i="39"/>
  <c r="M435" i="25"/>
  <c r="M437" i="25"/>
  <c r="EI20" i="27"/>
  <c r="EI45" i="27"/>
  <c r="EI50" i="27"/>
  <c r="L435" i="25"/>
  <c r="L437" i="25"/>
  <c r="EV176" i="39"/>
  <c r="EV184" i="39"/>
  <c r="K435" i="25"/>
  <c r="K437" i="25"/>
  <c r="L158" i="28"/>
  <c r="L161" i="28"/>
  <c r="J435" i="25"/>
  <c r="J437" i="25"/>
  <c r="ET176" i="39"/>
  <c r="ET184" i="39"/>
  <c r="I435" i="25"/>
  <c r="I437" i="25"/>
  <c r="J578" i="25"/>
  <c r="H435" i="25"/>
  <c r="H437" i="25"/>
  <c r="I578" i="25"/>
  <c r="I581" i="25"/>
  <c r="ER179" i="39"/>
  <c r="G435" i="25"/>
  <c r="G437" i="25"/>
  <c r="H158" i="28"/>
  <c r="H161" i="28"/>
  <c r="F435" i="25"/>
  <c r="F437" i="25"/>
  <c r="EB20" i="27"/>
  <c r="EB25" i="27"/>
  <c r="E435" i="25"/>
  <c r="E437" i="25"/>
  <c r="F578" i="25"/>
  <c r="F581" i="25"/>
  <c r="EO179" i="39"/>
  <c r="D435" i="25"/>
  <c r="D437" i="25"/>
  <c r="E578" i="25"/>
  <c r="O429" i="25"/>
  <c r="O431" i="25"/>
  <c r="DY20" i="27"/>
  <c r="DY25" i="27"/>
  <c r="N429" i="25"/>
  <c r="N431" i="25"/>
  <c r="EL176" i="39"/>
  <c r="EL184" i="39"/>
  <c r="M429" i="25"/>
  <c r="M431" i="25"/>
  <c r="EK176" i="39"/>
  <c r="EK184" i="39"/>
  <c r="L429" i="25"/>
  <c r="L431" i="25"/>
  <c r="EJ176" i="39"/>
  <c r="EJ184" i="39"/>
  <c r="K429" i="25"/>
  <c r="K431" i="25"/>
  <c r="EI176" i="39"/>
  <c r="EI184" i="39"/>
  <c r="J429" i="25"/>
  <c r="J431" i="25"/>
  <c r="EH176" i="39"/>
  <c r="EH184" i="39"/>
  <c r="I429" i="25"/>
  <c r="I431" i="25"/>
  <c r="EG176" i="39"/>
  <c r="EG184" i="39"/>
  <c r="H429" i="25"/>
  <c r="H431" i="25"/>
  <c r="I572" i="25"/>
  <c r="I575" i="25"/>
  <c r="EF179" i="39"/>
  <c r="G429" i="25"/>
  <c r="G431" i="25"/>
  <c r="DQ20" i="27"/>
  <c r="DQ25" i="27"/>
  <c r="F429" i="25"/>
  <c r="F431" i="25"/>
  <c r="ED176" i="39"/>
  <c r="ED184" i="39"/>
  <c r="E429" i="25"/>
  <c r="E431" i="25"/>
  <c r="EC176" i="39"/>
  <c r="EC184" i="39"/>
  <c r="D429" i="25"/>
  <c r="D431" i="25"/>
  <c r="DN20" i="27"/>
  <c r="DN25" i="27"/>
  <c r="O423" i="25"/>
  <c r="O425" i="25"/>
  <c r="EA176" i="39"/>
  <c r="EA184" i="39"/>
  <c r="N423" i="25"/>
  <c r="N425" i="25"/>
  <c r="O566" i="25"/>
  <c r="M423" i="25"/>
  <c r="M425" i="25"/>
  <c r="DY176" i="39"/>
  <c r="DY184" i="39"/>
  <c r="L423" i="25"/>
  <c r="L425" i="25"/>
  <c r="DJ20" i="27"/>
  <c r="DJ45" i="27"/>
  <c r="DJ50" i="27"/>
  <c r="K423" i="25"/>
  <c r="K425" i="25"/>
  <c r="DI20" i="27"/>
  <c r="DI45" i="27"/>
  <c r="DI50" i="27"/>
  <c r="J423" i="25"/>
  <c r="J425" i="25"/>
  <c r="DH20" i="27"/>
  <c r="DH45" i="27"/>
  <c r="DH50" i="27"/>
  <c r="I423" i="25"/>
  <c r="I425" i="25"/>
  <c r="DG20" i="27"/>
  <c r="DG25" i="27"/>
  <c r="H423" i="25"/>
  <c r="H425" i="25"/>
  <c r="DF20" i="27"/>
  <c r="DF45" i="27"/>
  <c r="DF50" i="27"/>
  <c r="G423" i="25"/>
  <c r="G425" i="25"/>
  <c r="DS176" i="39"/>
  <c r="DS184" i="39"/>
  <c r="F423" i="25"/>
  <c r="F425" i="25"/>
  <c r="DD20" i="27"/>
  <c r="E423" i="25"/>
  <c r="E425" i="25"/>
  <c r="DQ176" i="39"/>
  <c r="DQ184" i="39"/>
  <c r="D423" i="25"/>
  <c r="D425" i="25"/>
  <c r="E566" i="25"/>
  <c r="O417" i="25"/>
  <c r="O419" i="25"/>
  <c r="DA20" i="27"/>
  <c r="N417" i="25"/>
  <c r="N419" i="25"/>
  <c r="CZ20" i="27"/>
  <c r="M417" i="25"/>
  <c r="M419" i="25"/>
  <c r="N560" i="25"/>
  <c r="L417" i="25"/>
  <c r="L419" i="25"/>
  <c r="CX20" i="27"/>
  <c r="K417" i="25"/>
  <c r="K419" i="25"/>
  <c r="L126" i="28"/>
  <c r="L131" i="28"/>
  <c r="J417" i="25"/>
  <c r="J419" i="25"/>
  <c r="I417" i="25"/>
  <c r="I419" i="25"/>
  <c r="DI176" i="39"/>
  <c r="DI184" i="39"/>
  <c r="H417" i="25"/>
  <c r="H419" i="25"/>
  <c r="I126" i="28"/>
  <c r="I131" i="28"/>
  <c r="G417" i="25"/>
  <c r="G419" i="25"/>
  <c r="H560" i="25"/>
  <c r="F417" i="25"/>
  <c r="F419" i="25"/>
  <c r="DF171" i="34"/>
  <c r="DF179" i="34"/>
  <c r="E417" i="25"/>
  <c r="E419" i="25"/>
  <c r="DE171" i="34"/>
  <c r="DE179" i="34"/>
  <c r="D417" i="25"/>
  <c r="D419" i="25"/>
  <c r="E560" i="25"/>
  <c r="O411" i="25"/>
  <c r="O413" i="25"/>
  <c r="DC176" i="39"/>
  <c r="DC184" i="39"/>
  <c r="N411" i="25"/>
  <c r="N413" i="25"/>
  <c r="O109" i="28"/>
  <c r="O114" i="28"/>
  <c r="M411" i="25"/>
  <c r="M413" i="25"/>
  <c r="N109" i="28"/>
  <c r="N114" i="28"/>
  <c r="L411" i="25"/>
  <c r="L413" i="25"/>
  <c r="M109" i="28"/>
  <c r="M114" i="28"/>
  <c r="K411" i="25"/>
  <c r="K413" i="25"/>
  <c r="CY176" i="39"/>
  <c r="CY184" i="39"/>
  <c r="J411" i="25"/>
  <c r="J413" i="25"/>
  <c r="CJ20" i="27"/>
  <c r="CJ25" i="27"/>
  <c r="I411" i="25"/>
  <c r="I413" i="25"/>
  <c r="CW171" i="34"/>
  <c r="CW179" i="34"/>
  <c r="H411" i="25"/>
  <c r="H413" i="25"/>
  <c r="G411" i="25"/>
  <c r="G413" i="25"/>
  <c r="H109" i="28"/>
  <c r="H114" i="28"/>
  <c r="F411" i="25"/>
  <c r="F413" i="25"/>
  <c r="CT171" i="34"/>
  <c r="CT179" i="34"/>
  <c r="E411" i="25"/>
  <c r="E413" i="25"/>
  <c r="F109" i="28"/>
  <c r="F114" i="28"/>
  <c r="D411" i="25"/>
  <c r="D413" i="25"/>
  <c r="CR176" i="39"/>
  <c r="CR184" i="39"/>
  <c r="O405" i="25"/>
  <c r="O407" i="25"/>
  <c r="P95" i="28"/>
  <c r="P100" i="28"/>
  <c r="N405" i="25"/>
  <c r="N407" i="25"/>
  <c r="CB20" i="27"/>
  <c r="M405" i="25"/>
  <c r="M407" i="25"/>
  <c r="N548" i="25"/>
  <c r="L405" i="25"/>
  <c r="L407" i="25"/>
  <c r="M548" i="25"/>
  <c r="K405" i="25"/>
  <c r="K407" i="25"/>
  <c r="BY20" i="27"/>
  <c r="J405" i="25"/>
  <c r="J407" i="25"/>
  <c r="CL176" i="39"/>
  <c r="CL184" i="39"/>
  <c r="I405" i="25"/>
  <c r="I407" i="25"/>
  <c r="CK176" i="39"/>
  <c r="CK184" i="39"/>
  <c r="H405" i="25"/>
  <c r="H407" i="25"/>
  <c r="CJ176" i="39"/>
  <c r="CJ184" i="39"/>
  <c r="G405" i="25"/>
  <c r="G407" i="25"/>
  <c r="CI171" i="34"/>
  <c r="CI179" i="34"/>
  <c r="F405" i="25"/>
  <c r="F407" i="25"/>
  <c r="CH176" i="39"/>
  <c r="CH184" i="39"/>
  <c r="E405" i="25"/>
  <c r="E407" i="25"/>
  <c r="F95" i="28"/>
  <c r="F100" i="28"/>
  <c r="D405" i="25"/>
  <c r="D407" i="25"/>
  <c r="O399" i="25"/>
  <c r="O401" i="25"/>
  <c r="P82" i="28"/>
  <c r="N399" i="25"/>
  <c r="N401" i="25"/>
  <c r="CD176" i="39"/>
  <c r="CD184" i="39"/>
  <c r="M399" i="25"/>
  <c r="M401" i="25"/>
  <c r="BO20" i="27"/>
  <c r="BO45" i="27"/>
  <c r="BO50" i="27"/>
  <c r="L399" i="25"/>
  <c r="L401" i="25"/>
  <c r="BN20" i="27"/>
  <c r="BN45" i="27"/>
  <c r="BN50" i="27"/>
  <c r="K399" i="25"/>
  <c r="K401" i="25"/>
  <c r="CA171" i="34"/>
  <c r="CA179" i="34"/>
  <c r="J399" i="25"/>
  <c r="J401" i="25"/>
  <c r="BZ171" i="34"/>
  <c r="BZ179" i="34"/>
  <c r="I399" i="25"/>
  <c r="I401" i="25"/>
  <c r="BK20" i="27"/>
  <c r="BK25" i="27"/>
  <c r="H399" i="25"/>
  <c r="H401" i="25"/>
  <c r="BJ20" i="27"/>
  <c r="G399" i="25"/>
  <c r="G401" i="25"/>
  <c r="BW176" i="39"/>
  <c r="BW184" i="39"/>
  <c r="F399" i="25"/>
  <c r="F401" i="25"/>
  <c r="BV176" i="39"/>
  <c r="BV184" i="39"/>
  <c r="E399" i="25"/>
  <c r="E401" i="25"/>
  <c r="F82" i="28"/>
  <c r="F87" i="28"/>
  <c r="D399" i="25"/>
  <c r="D401" i="25"/>
  <c r="E542" i="25"/>
  <c r="J395" i="25"/>
  <c r="AZ20" i="27"/>
  <c r="AZ25" i="27"/>
  <c r="I395" i="25"/>
  <c r="J536" i="25"/>
  <c r="H395" i="25"/>
  <c r="AX20" i="27"/>
  <c r="G395" i="25"/>
  <c r="F395" i="25"/>
  <c r="BJ171" i="34"/>
  <c r="BJ179" i="34"/>
  <c r="E395" i="25"/>
  <c r="BI176" i="39"/>
  <c r="BI184" i="39"/>
  <c r="D395" i="25"/>
  <c r="E69" i="28"/>
  <c r="E74" i="28"/>
  <c r="O393" i="25"/>
  <c r="O395" i="25"/>
  <c r="P536" i="25"/>
  <c r="N393" i="25"/>
  <c r="N395" i="25"/>
  <c r="BD20" i="27"/>
  <c r="M393" i="25"/>
  <c r="M395" i="25"/>
  <c r="BQ171" i="34"/>
  <c r="BQ179" i="34"/>
  <c r="L393" i="25"/>
  <c r="L395" i="25"/>
  <c r="M536" i="25"/>
  <c r="K393" i="25"/>
  <c r="K395" i="25"/>
  <c r="BO171" i="34"/>
  <c r="BO179" i="34"/>
  <c r="N389" i="25"/>
  <c r="AR20" i="27"/>
  <c r="M389" i="25"/>
  <c r="N56" i="28"/>
  <c r="N61" i="28"/>
  <c r="L389" i="25"/>
  <c r="M530" i="25"/>
  <c r="K389" i="25"/>
  <c r="BC171" i="34"/>
  <c r="BC179" i="34"/>
  <c r="J389" i="25"/>
  <c r="K56" i="28"/>
  <c r="I389" i="25"/>
  <c r="AM20" i="27"/>
  <c r="H389" i="25"/>
  <c r="AZ176" i="39"/>
  <c r="AZ184" i="39"/>
  <c r="G389" i="25"/>
  <c r="H56" i="28"/>
  <c r="H61" i="28"/>
  <c r="F389" i="25"/>
  <c r="E389" i="25"/>
  <c r="D389" i="25"/>
  <c r="AV171" i="34"/>
  <c r="AV179" i="34"/>
  <c r="O387" i="25"/>
  <c r="O389" i="25"/>
  <c r="P530" i="25"/>
  <c r="O383" i="25"/>
  <c r="O525" i="25"/>
  <c r="N383" i="25"/>
  <c r="AT171" i="34"/>
  <c r="AT179" i="34"/>
  <c r="M383" i="25"/>
  <c r="N43" i="28"/>
  <c r="N48" i="28"/>
  <c r="L383" i="25"/>
  <c r="M43" i="28"/>
  <c r="M48" i="28"/>
  <c r="K383" i="25"/>
  <c r="AC20" i="27"/>
  <c r="J383" i="25"/>
  <c r="J525" i="25"/>
  <c r="I383" i="25"/>
  <c r="I525" i="25"/>
  <c r="H383" i="25"/>
  <c r="AN171" i="34"/>
  <c r="G383" i="25"/>
  <c r="AM171" i="34"/>
  <c r="F383" i="25"/>
  <c r="AL176" i="39"/>
  <c r="E383" i="25"/>
  <c r="E525" i="25"/>
  <c r="D383" i="25"/>
  <c r="AJ176" i="39"/>
  <c r="O377" i="25"/>
  <c r="AI171" i="34"/>
  <c r="N377" i="25"/>
  <c r="AH171" i="34"/>
  <c r="M377" i="25"/>
  <c r="AG176" i="39"/>
  <c r="L377" i="25"/>
  <c r="L517" i="25"/>
  <c r="L520" i="25"/>
  <c r="K377" i="25"/>
  <c r="AE171" i="34"/>
  <c r="J377" i="25"/>
  <c r="J517" i="25"/>
  <c r="J520" i="25"/>
  <c r="I377" i="25"/>
  <c r="I517" i="25"/>
  <c r="H377" i="25"/>
  <c r="AB171" i="34"/>
  <c r="G377" i="25"/>
  <c r="AA176" i="39"/>
  <c r="F377" i="25"/>
  <c r="F517" i="25"/>
  <c r="F520" i="25"/>
  <c r="E377" i="25"/>
  <c r="E517" i="25"/>
  <c r="E520" i="25"/>
  <c r="D377" i="25"/>
  <c r="X176" i="39"/>
  <c r="O371" i="25"/>
  <c r="W176" i="39"/>
  <c r="N371" i="25"/>
  <c r="O509" i="25"/>
  <c r="M371" i="25"/>
  <c r="U176" i="39"/>
  <c r="L371" i="25"/>
  <c r="T176" i="39"/>
  <c r="K371" i="25"/>
  <c r="S171" i="34"/>
  <c r="J371" i="25"/>
  <c r="R171" i="34"/>
  <c r="I371" i="25"/>
  <c r="Q176" i="39"/>
  <c r="H371" i="25"/>
  <c r="P171" i="34"/>
  <c r="G371" i="25"/>
  <c r="F371" i="25"/>
  <c r="N171" i="34"/>
  <c r="E371" i="25"/>
  <c r="M176" i="39"/>
  <c r="D371" i="25"/>
  <c r="L171" i="34"/>
  <c r="C371" i="25"/>
  <c r="D509" i="25"/>
  <c r="M284" i="25"/>
  <c r="M285" i="25"/>
  <c r="L284" i="25"/>
  <c r="L285" i="25"/>
  <c r="K284" i="25"/>
  <c r="K285" i="25"/>
  <c r="J284" i="25"/>
  <c r="J285" i="25"/>
  <c r="I284" i="25"/>
  <c r="I285" i="25"/>
  <c r="H284" i="25"/>
  <c r="H285" i="25"/>
  <c r="G284" i="25"/>
  <c r="G285" i="25"/>
  <c r="F284" i="25"/>
  <c r="F285" i="25"/>
  <c r="E284" i="25"/>
  <c r="E285" i="25"/>
  <c r="D284" i="25"/>
  <c r="D285" i="25"/>
  <c r="O276" i="25"/>
  <c r="O277" i="25"/>
  <c r="N276" i="25"/>
  <c r="N277" i="25"/>
  <c r="M276" i="25"/>
  <c r="M277" i="25"/>
  <c r="L276" i="25"/>
  <c r="L277" i="25"/>
  <c r="K276" i="25"/>
  <c r="K277" i="25"/>
  <c r="J276" i="25"/>
  <c r="J277" i="25"/>
  <c r="I276" i="25"/>
  <c r="I277" i="25"/>
  <c r="H276" i="25"/>
  <c r="H277" i="25"/>
  <c r="G276" i="25"/>
  <c r="G277" i="25"/>
  <c r="F276" i="25"/>
  <c r="F277" i="25"/>
  <c r="E276" i="25"/>
  <c r="E277" i="25"/>
  <c r="D276" i="25"/>
  <c r="D277" i="25"/>
  <c r="O268" i="25"/>
  <c r="O269" i="25"/>
  <c r="N268" i="25"/>
  <c r="N269" i="25"/>
  <c r="M268" i="25"/>
  <c r="M269" i="25"/>
  <c r="L268" i="25"/>
  <c r="L269" i="25"/>
  <c r="K268" i="25"/>
  <c r="K269" i="25"/>
  <c r="J268" i="25"/>
  <c r="J269" i="25"/>
  <c r="I268" i="25"/>
  <c r="I269" i="25"/>
  <c r="H268" i="25"/>
  <c r="H269" i="25"/>
  <c r="G268" i="25"/>
  <c r="G269" i="25"/>
  <c r="F268" i="25"/>
  <c r="F269" i="25"/>
  <c r="E268" i="25"/>
  <c r="E269" i="25"/>
  <c r="D268" i="25"/>
  <c r="D269" i="25"/>
  <c r="O260" i="25"/>
  <c r="O261" i="25"/>
  <c r="N260" i="25"/>
  <c r="N261" i="25"/>
  <c r="M260" i="25"/>
  <c r="M261" i="25"/>
  <c r="L260" i="25"/>
  <c r="L261" i="25"/>
  <c r="K260" i="25"/>
  <c r="K261" i="25"/>
  <c r="J260" i="25"/>
  <c r="J261" i="25"/>
  <c r="I260" i="25"/>
  <c r="I261" i="25"/>
  <c r="H260" i="25"/>
  <c r="H261" i="25"/>
  <c r="G260" i="25"/>
  <c r="G261" i="25"/>
  <c r="F260" i="25"/>
  <c r="F261" i="25"/>
  <c r="E260" i="25"/>
  <c r="E261" i="25"/>
  <c r="D260" i="25"/>
  <c r="D261" i="25"/>
  <c r="O252" i="25"/>
  <c r="N252" i="25"/>
  <c r="O567" i="25"/>
  <c r="O568" i="25"/>
  <c r="M252" i="25"/>
  <c r="L252" i="25"/>
  <c r="L253" i="25"/>
  <c r="K252" i="25"/>
  <c r="L567" i="25"/>
  <c r="L568" i="25"/>
  <c r="J252" i="25"/>
  <c r="K567" i="25"/>
  <c r="K568" i="25"/>
  <c r="I252" i="25"/>
  <c r="I253" i="25"/>
  <c r="H252" i="25"/>
  <c r="H253" i="25"/>
  <c r="G252" i="25"/>
  <c r="F252" i="25"/>
  <c r="F253" i="25"/>
  <c r="E252" i="25"/>
  <c r="E253" i="25"/>
  <c r="D252" i="25"/>
  <c r="D253" i="25"/>
  <c r="O245" i="25"/>
  <c r="N245" i="25"/>
  <c r="N246" i="25"/>
  <c r="M245" i="25"/>
  <c r="N561" i="25"/>
  <c r="N562" i="25"/>
  <c r="L245" i="25"/>
  <c r="K245" i="25"/>
  <c r="J245" i="25"/>
  <c r="J246" i="25"/>
  <c r="I245" i="25"/>
  <c r="J561" i="25"/>
  <c r="J562" i="25"/>
  <c r="H245" i="25"/>
  <c r="G245" i="25"/>
  <c r="G246" i="25"/>
  <c r="F245" i="25"/>
  <c r="G561" i="25"/>
  <c r="G562" i="25"/>
  <c r="E245" i="25"/>
  <c r="D245" i="25"/>
  <c r="D246" i="25"/>
  <c r="O237" i="25"/>
  <c r="P555" i="25"/>
  <c r="P556" i="25"/>
  <c r="N237" i="25"/>
  <c r="M237" i="25"/>
  <c r="L237" i="25"/>
  <c r="M555" i="25"/>
  <c r="M556" i="25"/>
  <c r="K237" i="25"/>
  <c r="J237" i="25"/>
  <c r="K555" i="25"/>
  <c r="K556" i="25"/>
  <c r="I237" i="25"/>
  <c r="I238" i="25"/>
  <c r="H237" i="25"/>
  <c r="I555" i="25"/>
  <c r="I556" i="25"/>
  <c r="G237" i="25"/>
  <c r="F237" i="25"/>
  <c r="G555" i="25"/>
  <c r="G556" i="25"/>
  <c r="E237" i="25"/>
  <c r="F555" i="25"/>
  <c r="F556" i="25"/>
  <c r="D237" i="25"/>
  <c r="D238" i="25"/>
  <c r="O229" i="25"/>
  <c r="P549" i="25"/>
  <c r="P550" i="25"/>
  <c r="N229" i="25"/>
  <c r="M229" i="25"/>
  <c r="N549" i="25"/>
  <c r="N550" i="25"/>
  <c r="L229" i="25"/>
  <c r="L230" i="25"/>
  <c r="K229" i="25"/>
  <c r="J229" i="25"/>
  <c r="J230" i="25"/>
  <c r="I229" i="25"/>
  <c r="J549" i="25"/>
  <c r="J550" i="25"/>
  <c r="H229" i="25"/>
  <c r="G229" i="25"/>
  <c r="H549" i="25"/>
  <c r="H550" i="25"/>
  <c r="F229" i="25"/>
  <c r="E229" i="25"/>
  <c r="F549" i="25"/>
  <c r="F550" i="25"/>
  <c r="D229" i="25"/>
  <c r="O221" i="25"/>
  <c r="O222" i="25"/>
  <c r="N221" i="25"/>
  <c r="O543" i="25"/>
  <c r="O544" i="25"/>
  <c r="M221" i="25"/>
  <c r="N543" i="25"/>
  <c r="N544" i="25"/>
  <c r="L221" i="25"/>
  <c r="L222" i="25"/>
  <c r="K221" i="25"/>
  <c r="K222" i="25"/>
  <c r="J221" i="25"/>
  <c r="I221" i="25"/>
  <c r="J543" i="25"/>
  <c r="J544" i="25"/>
  <c r="H221" i="25"/>
  <c r="I543" i="25"/>
  <c r="I544" i="25"/>
  <c r="G221" i="25"/>
  <c r="G222" i="25"/>
  <c r="F221" i="25"/>
  <c r="F222" i="25"/>
  <c r="E221" i="25"/>
  <c r="F543" i="25"/>
  <c r="F544" i="25"/>
  <c r="D221" i="25"/>
  <c r="O213" i="25"/>
  <c r="P537" i="25"/>
  <c r="P538" i="25"/>
  <c r="N213" i="25"/>
  <c r="O537" i="25"/>
  <c r="O538" i="25"/>
  <c r="M213" i="25"/>
  <c r="N537" i="25"/>
  <c r="N538" i="25"/>
  <c r="L213" i="25"/>
  <c r="K213" i="25"/>
  <c r="L537" i="25"/>
  <c r="L538" i="25"/>
  <c r="J213" i="25"/>
  <c r="J214" i="25"/>
  <c r="I213" i="25"/>
  <c r="J537" i="25"/>
  <c r="J538" i="25"/>
  <c r="H213" i="25"/>
  <c r="G213" i="25"/>
  <c r="H537" i="25"/>
  <c r="H538" i="25"/>
  <c r="F213" i="25"/>
  <c r="F214" i="25"/>
  <c r="E213" i="25"/>
  <c r="F537" i="25"/>
  <c r="F538" i="25"/>
  <c r="D213" i="25"/>
  <c r="O205" i="25"/>
  <c r="O206" i="25"/>
  <c r="N205" i="25"/>
  <c r="O531" i="25"/>
  <c r="O532" i="25"/>
  <c r="M205" i="25"/>
  <c r="N531" i="25"/>
  <c r="N532" i="25"/>
  <c r="L205" i="25"/>
  <c r="K205" i="25"/>
  <c r="L531" i="25"/>
  <c r="L532" i="25"/>
  <c r="J205" i="25"/>
  <c r="K531" i="25"/>
  <c r="K532" i="25"/>
  <c r="I205" i="25"/>
  <c r="J531" i="25"/>
  <c r="J532" i="25"/>
  <c r="H205" i="25"/>
  <c r="I531" i="25"/>
  <c r="I532" i="25"/>
  <c r="G205" i="25"/>
  <c r="G206" i="25"/>
  <c r="F205" i="25"/>
  <c r="G531" i="25"/>
  <c r="G532" i="25"/>
  <c r="E205" i="25"/>
  <c r="F531" i="25"/>
  <c r="F532" i="25"/>
  <c r="D205" i="25"/>
  <c r="L198" i="25"/>
  <c r="J198" i="25"/>
  <c r="I198" i="25"/>
  <c r="H198" i="25"/>
  <c r="G198" i="25"/>
  <c r="F198" i="25"/>
  <c r="E198" i="25"/>
  <c r="D198" i="25"/>
  <c r="O197" i="25"/>
  <c r="O526" i="25"/>
  <c r="O527" i="25"/>
  <c r="N197" i="25"/>
  <c r="N198" i="25"/>
  <c r="M197" i="25"/>
  <c r="M526" i="25"/>
  <c r="M527" i="25"/>
  <c r="K197" i="25"/>
  <c r="K198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D191" i="25"/>
  <c r="X173" i="34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M110" i="25"/>
  <c r="M111" i="25"/>
  <c r="M113" i="25"/>
  <c r="FG65" i="27"/>
  <c r="FG70" i="27"/>
  <c r="L110" i="25"/>
  <c r="L111" i="25"/>
  <c r="L113" i="25"/>
  <c r="FT177" i="39"/>
  <c r="K110" i="25"/>
  <c r="K111" i="25"/>
  <c r="K113" i="25"/>
  <c r="FS177" i="39"/>
  <c r="J110" i="25"/>
  <c r="J111" i="25"/>
  <c r="J113" i="25"/>
  <c r="FC20" i="26"/>
  <c r="FC24" i="26"/>
  <c r="I110" i="25"/>
  <c r="I111" i="25"/>
  <c r="I113" i="25"/>
  <c r="I283" i="25"/>
  <c r="H110" i="25"/>
  <c r="H111" i="25"/>
  <c r="H113" i="25"/>
  <c r="G110" i="25"/>
  <c r="G111" i="25"/>
  <c r="G113" i="25"/>
  <c r="FO177" i="39"/>
  <c r="F110" i="25"/>
  <c r="F111" i="25"/>
  <c r="F113" i="25"/>
  <c r="E110" i="25"/>
  <c r="E111" i="25"/>
  <c r="E113" i="25"/>
  <c r="D110" i="25"/>
  <c r="D111" i="25"/>
  <c r="D113" i="25"/>
  <c r="D283" i="25"/>
  <c r="O103" i="25"/>
  <c r="O104" i="25"/>
  <c r="O106" i="25"/>
  <c r="EV20" i="26"/>
  <c r="EV24" i="26"/>
  <c r="N103" i="25"/>
  <c r="N104" i="25"/>
  <c r="N106" i="25"/>
  <c r="N275" i="25"/>
  <c r="M103" i="25"/>
  <c r="M104" i="25"/>
  <c r="M106" i="25"/>
  <c r="EU65" i="27"/>
  <c r="EU70" i="27"/>
  <c r="L103" i="25"/>
  <c r="L104" i="25"/>
  <c r="L106" i="25"/>
  <c r="ET65" i="27"/>
  <c r="ET70" i="27"/>
  <c r="K103" i="25"/>
  <c r="K104" i="25"/>
  <c r="K106" i="25"/>
  <c r="ER20" i="26"/>
  <c r="ER24" i="26"/>
  <c r="J103" i="25"/>
  <c r="J104" i="25"/>
  <c r="J106" i="25"/>
  <c r="FF177" i="39"/>
  <c r="I103" i="25"/>
  <c r="I104" i="25"/>
  <c r="I106" i="25"/>
  <c r="FE177" i="39"/>
  <c r="H103" i="25"/>
  <c r="H104" i="25"/>
  <c r="H106" i="25"/>
  <c r="H275" i="25"/>
  <c r="G103" i="25"/>
  <c r="G104" i="25"/>
  <c r="G106" i="25"/>
  <c r="G275" i="25"/>
  <c r="F103" i="25"/>
  <c r="F104" i="25"/>
  <c r="F106" i="25"/>
  <c r="EN65" i="27"/>
  <c r="EN70" i="27"/>
  <c r="E103" i="25"/>
  <c r="E104" i="25"/>
  <c r="E106" i="25"/>
  <c r="EM65" i="27"/>
  <c r="EM70" i="27"/>
  <c r="D103" i="25"/>
  <c r="D104" i="25"/>
  <c r="D106" i="25"/>
  <c r="D275" i="25"/>
  <c r="O96" i="25"/>
  <c r="O97" i="25"/>
  <c r="O99" i="25"/>
  <c r="EY177" i="39"/>
  <c r="N96" i="25"/>
  <c r="N97" i="25"/>
  <c r="N99" i="25"/>
  <c r="M96" i="25"/>
  <c r="M97" i="25"/>
  <c r="M99" i="25"/>
  <c r="EH20" i="26"/>
  <c r="EH24" i="26"/>
  <c r="L96" i="25"/>
  <c r="L97" i="25"/>
  <c r="L99" i="25"/>
  <c r="K96" i="25"/>
  <c r="K97" i="25"/>
  <c r="K99" i="25"/>
  <c r="EU177" i="39"/>
  <c r="J96" i="25"/>
  <c r="J97" i="25"/>
  <c r="J99" i="25"/>
  <c r="I96" i="25"/>
  <c r="I97" i="25"/>
  <c r="I99" i="25"/>
  <c r="H96" i="25"/>
  <c r="H97" i="25"/>
  <c r="H99" i="25"/>
  <c r="G96" i="25"/>
  <c r="G97" i="25"/>
  <c r="G99" i="25"/>
  <c r="EC65" i="27"/>
  <c r="EC70" i="27"/>
  <c r="F96" i="25"/>
  <c r="F97" i="25"/>
  <c r="F99" i="25"/>
  <c r="EB65" i="27"/>
  <c r="EB70" i="27"/>
  <c r="E96" i="25"/>
  <c r="E97" i="25"/>
  <c r="E99" i="25"/>
  <c r="EA65" i="27"/>
  <c r="EA70" i="27"/>
  <c r="D96" i="25"/>
  <c r="D97" i="25"/>
  <c r="D99" i="25"/>
  <c r="EN177" i="39"/>
  <c r="O89" i="25"/>
  <c r="O90" i="25"/>
  <c r="O92" i="25"/>
  <c r="DY65" i="27"/>
  <c r="DY70" i="27"/>
  <c r="N89" i="25"/>
  <c r="N90" i="25"/>
  <c r="N92" i="25"/>
  <c r="N259" i="25"/>
  <c r="M89" i="25"/>
  <c r="M90" i="25"/>
  <c r="M92" i="25"/>
  <c r="EK177" i="39"/>
  <c r="L89" i="25"/>
  <c r="L90" i="25"/>
  <c r="L92" i="25"/>
  <c r="EJ177" i="39"/>
  <c r="K89" i="25"/>
  <c r="K90" i="25"/>
  <c r="K92" i="25"/>
  <c r="DT20" i="26"/>
  <c r="DT24" i="26"/>
  <c r="J89" i="25"/>
  <c r="J90" i="25"/>
  <c r="J92" i="25"/>
  <c r="EH177" i="39"/>
  <c r="I89" i="25"/>
  <c r="I90" i="25"/>
  <c r="I92" i="25"/>
  <c r="I259" i="25"/>
  <c r="H89" i="25"/>
  <c r="H90" i="25"/>
  <c r="H92" i="25"/>
  <c r="DR65" i="27"/>
  <c r="DR70" i="27"/>
  <c r="G89" i="25"/>
  <c r="G90" i="25"/>
  <c r="G92" i="25"/>
  <c r="G259" i="25"/>
  <c r="F89" i="25"/>
  <c r="F90" i="25"/>
  <c r="F92" i="25"/>
  <c r="DO20" i="26"/>
  <c r="DO24" i="26"/>
  <c r="E89" i="25"/>
  <c r="E90" i="25"/>
  <c r="E92" i="25"/>
  <c r="DN20" i="26"/>
  <c r="DN24" i="26"/>
  <c r="D89" i="25"/>
  <c r="D90" i="25"/>
  <c r="D92" i="25"/>
  <c r="O82" i="25"/>
  <c r="O83" i="25"/>
  <c r="O85" i="25"/>
  <c r="DL20" i="26"/>
  <c r="DL24" i="26"/>
  <c r="N82" i="25"/>
  <c r="N83" i="25"/>
  <c r="N85" i="25"/>
  <c r="N251" i="25"/>
  <c r="M82" i="25"/>
  <c r="M83" i="25"/>
  <c r="M85" i="25"/>
  <c r="DY177" i="39"/>
  <c r="L82" i="25"/>
  <c r="L83" i="25"/>
  <c r="L85" i="25"/>
  <c r="DJ65" i="27"/>
  <c r="DJ70" i="27"/>
  <c r="K82" i="25"/>
  <c r="K83" i="25"/>
  <c r="K85" i="25"/>
  <c r="DI65" i="27"/>
  <c r="DI70" i="27"/>
  <c r="J82" i="25"/>
  <c r="J83" i="25"/>
  <c r="J85" i="25"/>
  <c r="DG20" i="26"/>
  <c r="DG24" i="26"/>
  <c r="I82" i="25"/>
  <c r="I83" i="25"/>
  <c r="I85" i="25"/>
  <c r="DG65" i="27"/>
  <c r="DG70" i="27"/>
  <c r="H82" i="25"/>
  <c r="H83" i="25"/>
  <c r="H85" i="25"/>
  <c r="H251" i="25"/>
  <c r="G82" i="25"/>
  <c r="G83" i="25"/>
  <c r="G85" i="25"/>
  <c r="DD20" i="26"/>
  <c r="DD24" i="26"/>
  <c r="F82" i="25"/>
  <c r="F83" i="25"/>
  <c r="F85" i="25"/>
  <c r="F251" i="25"/>
  <c r="E82" i="25"/>
  <c r="E83" i="25"/>
  <c r="E85" i="25"/>
  <c r="D82" i="25"/>
  <c r="D83" i="25"/>
  <c r="D85" i="25"/>
  <c r="DB65" i="27"/>
  <c r="DB70" i="27"/>
  <c r="O75" i="25"/>
  <c r="O76" i="25"/>
  <c r="O78" i="25"/>
  <c r="CZ20" i="26"/>
  <c r="CZ24" i="26"/>
  <c r="N75" i="25"/>
  <c r="N76" i="25"/>
  <c r="N78" i="25"/>
  <c r="N244" i="25"/>
  <c r="M75" i="25"/>
  <c r="M76" i="25"/>
  <c r="M78" i="25"/>
  <c r="CY65" i="27"/>
  <c r="CY70" i="27"/>
  <c r="L75" i="25"/>
  <c r="L76" i="25"/>
  <c r="L78" i="25"/>
  <c r="DL172" i="34"/>
  <c r="K75" i="25"/>
  <c r="K76" i="25"/>
  <c r="K78" i="25"/>
  <c r="K244" i="25"/>
  <c r="J75" i="25"/>
  <c r="J76" i="25"/>
  <c r="J78" i="25"/>
  <c r="DJ172" i="34"/>
  <c r="I75" i="25"/>
  <c r="I76" i="25"/>
  <c r="I78" i="25"/>
  <c r="H75" i="25"/>
  <c r="H76" i="25"/>
  <c r="H78" i="25"/>
  <c r="DH172" i="34"/>
  <c r="G75" i="25"/>
  <c r="G76" i="25"/>
  <c r="G78" i="25"/>
  <c r="F75" i="25"/>
  <c r="F76" i="25"/>
  <c r="F78" i="25"/>
  <c r="CQ20" i="26"/>
  <c r="CQ24" i="26"/>
  <c r="E75" i="25"/>
  <c r="E76" i="25"/>
  <c r="E78" i="25"/>
  <c r="CQ65" i="27"/>
  <c r="CQ70" i="27"/>
  <c r="D75" i="25"/>
  <c r="D76" i="25"/>
  <c r="D78" i="25"/>
  <c r="CP65" i="27"/>
  <c r="CP70" i="27"/>
  <c r="O68" i="25"/>
  <c r="O69" i="25"/>
  <c r="O71" i="25"/>
  <c r="DC172" i="34"/>
  <c r="N68" i="25"/>
  <c r="N69" i="25"/>
  <c r="N71" i="25"/>
  <c r="DB172" i="34"/>
  <c r="M68" i="25"/>
  <c r="M69" i="25"/>
  <c r="M71" i="25"/>
  <c r="CM65" i="27"/>
  <c r="CM70" i="27"/>
  <c r="L68" i="25"/>
  <c r="L69" i="25"/>
  <c r="L71" i="25"/>
  <c r="L236" i="25"/>
  <c r="K68" i="25"/>
  <c r="K69" i="25"/>
  <c r="K71" i="25"/>
  <c r="CJ20" i="26"/>
  <c r="CJ24" i="26"/>
  <c r="J68" i="25"/>
  <c r="J69" i="25"/>
  <c r="J71" i="25"/>
  <c r="CX172" i="34"/>
  <c r="I68" i="25"/>
  <c r="I69" i="25"/>
  <c r="I71" i="25"/>
  <c r="CW177" i="39"/>
  <c r="H68" i="25"/>
  <c r="H69" i="25"/>
  <c r="H71" i="25"/>
  <c r="CG20" i="26"/>
  <c r="CG24" i="26"/>
  <c r="G68" i="25"/>
  <c r="G69" i="25"/>
  <c r="G71" i="25"/>
  <c r="CU177" i="39"/>
  <c r="F68" i="25"/>
  <c r="F69" i="25"/>
  <c r="F71" i="25"/>
  <c r="F236" i="25"/>
  <c r="E68" i="25"/>
  <c r="E69" i="25"/>
  <c r="E71" i="25"/>
  <c r="E236" i="25"/>
  <c r="D68" i="25"/>
  <c r="D69" i="25"/>
  <c r="D71" i="25"/>
  <c r="E61" i="25"/>
  <c r="BR20" i="26"/>
  <c r="BR24" i="26"/>
  <c r="O60" i="25"/>
  <c r="O61" i="25"/>
  <c r="CB20" i="26"/>
  <c r="CB24" i="26"/>
  <c r="N60" i="25"/>
  <c r="N61" i="25"/>
  <c r="CA20" i="26"/>
  <c r="CA24" i="26"/>
  <c r="M60" i="25"/>
  <c r="M61" i="25"/>
  <c r="BZ20" i="26"/>
  <c r="BZ24" i="26"/>
  <c r="L60" i="25"/>
  <c r="L61" i="25"/>
  <c r="L64" i="25"/>
  <c r="CN172" i="34"/>
  <c r="K60" i="25"/>
  <c r="K61" i="25"/>
  <c r="K64" i="25"/>
  <c r="J60" i="25"/>
  <c r="J61" i="25"/>
  <c r="J64" i="25"/>
  <c r="BX65" i="27"/>
  <c r="BX70" i="27"/>
  <c r="I60" i="25"/>
  <c r="I61" i="25"/>
  <c r="I64" i="25"/>
  <c r="CK177" i="39"/>
  <c r="H60" i="25"/>
  <c r="H61" i="25"/>
  <c r="H64" i="25"/>
  <c r="CJ172" i="34"/>
  <c r="G60" i="25"/>
  <c r="G61" i="25"/>
  <c r="G64" i="25"/>
  <c r="F60" i="25"/>
  <c r="F61" i="25"/>
  <c r="BS20" i="26"/>
  <c r="BS24" i="26"/>
  <c r="D60" i="25"/>
  <c r="D61" i="25"/>
  <c r="D64" i="25"/>
  <c r="CF172" i="34"/>
  <c r="O51" i="25"/>
  <c r="O52" i="25"/>
  <c r="O55" i="25"/>
  <c r="O220" i="25"/>
  <c r="N51" i="25"/>
  <c r="N52" i="25"/>
  <c r="N55" i="25"/>
  <c r="CD172" i="34"/>
  <c r="M51" i="25"/>
  <c r="M52" i="25"/>
  <c r="M55" i="25"/>
  <c r="BO65" i="27"/>
  <c r="BO70" i="27"/>
  <c r="L51" i="25"/>
  <c r="L52" i="25"/>
  <c r="L55" i="25"/>
  <c r="BN65" i="27"/>
  <c r="BN70" i="27"/>
  <c r="K51" i="25"/>
  <c r="K52" i="25"/>
  <c r="K55" i="25"/>
  <c r="CA172" i="34"/>
  <c r="J51" i="25"/>
  <c r="J52" i="25"/>
  <c r="J55" i="25"/>
  <c r="BL65" i="27"/>
  <c r="BL70" i="27"/>
  <c r="I51" i="25"/>
  <c r="I52" i="25"/>
  <c r="I55" i="25"/>
  <c r="BK65" i="27"/>
  <c r="BK70" i="27"/>
  <c r="H51" i="25"/>
  <c r="H52" i="25"/>
  <c r="H55" i="25"/>
  <c r="BJ65" i="27"/>
  <c r="BJ70" i="27"/>
  <c r="G51" i="25"/>
  <c r="G52" i="25"/>
  <c r="G55" i="25"/>
  <c r="BI65" i="27"/>
  <c r="BI70" i="27"/>
  <c r="F51" i="25"/>
  <c r="F52" i="25"/>
  <c r="F55" i="25"/>
  <c r="BV172" i="34"/>
  <c r="E51" i="25"/>
  <c r="E52" i="25"/>
  <c r="E55" i="25"/>
  <c r="BG65" i="27"/>
  <c r="BG70" i="27"/>
  <c r="D51" i="25"/>
  <c r="D52" i="25"/>
  <c r="D55" i="25"/>
  <c r="BF65" i="27"/>
  <c r="BF70" i="27"/>
  <c r="J44" i="25"/>
  <c r="J47" i="25"/>
  <c r="I44" i="25"/>
  <c r="I47" i="25"/>
  <c r="H44" i="25"/>
  <c r="H47" i="25"/>
  <c r="G44" i="25"/>
  <c r="G47" i="25"/>
  <c r="F44" i="25"/>
  <c r="F47" i="25"/>
  <c r="E44" i="25"/>
  <c r="E47" i="25"/>
  <c r="BI177" i="39"/>
  <c r="D44" i="25"/>
  <c r="D47" i="25"/>
  <c r="O43" i="25"/>
  <c r="O44" i="25"/>
  <c r="O47" i="25"/>
  <c r="BE65" i="27"/>
  <c r="BE70" i="27"/>
  <c r="N43" i="25"/>
  <c r="N44" i="25"/>
  <c r="N47" i="25"/>
  <c r="N212" i="25"/>
  <c r="M43" i="25"/>
  <c r="M44" i="25"/>
  <c r="M47" i="25"/>
  <c r="BQ177" i="39"/>
  <c r="L43" i="25"/>
  <c r="L44" i="25"/>
  <c r="L47" i="25"/>
  <c r="BP177" i="39"/>
  <c r="K43" i="25"/>
  <c r="K44" i="25"/>
  <c r="K47" i="25"/>
  <c r="BO172" i="34"/>
  <c r="L36" i="25"/>
  <c r="L39" i="25"/>
  <c r="BD177" i="39"/>
  <c r="K36" i="25"/>
  <c r="K39" i="25"/>
  <c r="BC172" i="34"/>
  <c r="J36" i="25"/>
  <c r="J39" i="25"/>
  <c r="I36" i="25"/>
  <c r="I39" i="25"/>
  <c r="BA172" i="34"/>
  <c r="H36" i="25"/>
  <c r="H39" i="25"/>
  <c r="AK20" i="26"/>
  <c r="AK24" i="26"/>
  <c r="G36" i="25"/>
  <c r="G39" i="25"/>
  <c r="AJ20" i="26"/>
  <c r="AJ24" i="26"/>
  <c r="F36" i="25"/>
  <c r="F39" i="25"/>
  <c r="AI20" i="26"/>
  <c r="AI24" i="26"/>
  <c r="E36" i="25"/>
  <c r="E39" i="25"/>
  <c r="AH20" i="26"/>
  <c r="AH24" i="26"/>
  <c r="D36" i="25"/>
  <c r="D39" i="25"/>
  <c r="O35" i="25"/>
  <c r="O36" i="25"/>
  <c r="O39" i="25"/>
  <c r="BG172" i="34"/>
  <c r="N35" i="25"/>
  <c r="N36" i="25"/>
  <c r="N39" i="25"/>
  <c r="AR65" i="27"/>
  <c r="AR70" i="27"/>
  <c r="M35" i="25"/>
  <c r="M36" i="25"/>
  <c r="M39" i="25"/>
  <c r="BE177" i="39"/>
  <c r="L28" i="25"/>
  <c r="L31" i="25"/>
  <c r="J28" i="25"/>
  <c r="J31" i="25"/>
  <c r="AP172" i="34"/>
  <c r="I28" i="25"/>
  <c r="I31" i="25"/>
  <c r="AO177" i="39"/>
  <c r="H28" i="25"/>
  <c r="H31" i="25"/>
  <c r="AN172" i="34"/>
  <c r="G28" i="25"/>
  <c r="G31" i="25"/>
  <c r="G196" i="25"/>
  <c r="F28" i="25"/>
  <c r="F31" i="25"/>
  <c r="AL177" i="39"/>
  <c r="E28" i="25"/>
  <c r="E31" i="25"/>
  <c r="E196" i="25"/>
  <c r="D28" i="25"/>
  <c r="D31" i="25"/>
  <c r="AJ172" i="34"/>
  <c r="O27" i="25"/>
  <c r="O28" i="25"/>
  <c r="O31" i="25"/>
  <c r="O196" i="25"/>
  <c r="N27" i="25"/>
  <c r="N28" i="25"/>
  <c r="N31" i="25"/>
  <c r="AF65" i="27"/>
  <c r="AF70" i="27"/>
  <c r="M27" i="25"/>
  <c r="M28" i="25"/>
  <c r="M31" i="25"/>
  <c r="M196" i="25"/>
  <c r="K27" i="25"/>
  <c r="K28" i="25"/>
  <c r="K31" i="25"/>
  <c r="AQ172" i="34"/>
  <c r="O20" i="25"/>
  <c r="O23" i="25"/>
  <c r="N20" i="25"/>
  <c r="N23" i="25"/>
  <c r="N188" i="25"/>
  <c r="M20" i="25"/>
  <c r="M23" i="25"/>
  <c r="M188" i="25"/>
  <c r="L20" i="25"/>
  <c r="L23" i="25"/>
  <c r="AF172" i="34"/>
  <c r="K20" i="25"/>
  <c r="K23" i="25"/>
  <c r="J20" i="25"/>
  <c r="J23" i="25"/>
  <c r="I20" i="25"/>
  <c r="I23" i="25"/>
  <c r="AC177" i="39"/>
  <c r="H20" i="25"/>
  <c r="H23" i="25"/>
  <c r="AB172" i="34"/>
  <c r="G20" i="25"/>
  <c r="G23" i="25"/>
  <c r="AA172" i="34"/>
  <c r="F20" i="25"/>
  <c r="F23" i="25"/>
  <c r="E20" i="25"/>
  <c r="E23" i="25"/>
  <c r="D20" i="25"/>
  <c r="D23" i="25"/>
  <c r="X172" i="34"/>
  <c r="O12" i="25"/>
  <c r="O15" i="25"/>
  <c r="W172" i="34"/>
  <c r="N12" i="25"/>
  <c r="N15" i="25"/>
  <c r="M12" i="25"/>
  <c r="M15" i="25"/>
  <c r="L12" i="25"/>
  <c r="L15" i="25"/>
  <c r="K12" i="25"/>
  <c r="K15" i="25"/>
  <c r="J12" i="25"/>
  <c r="J15" i="25"/>
  <c r="I12" i="25"/>
  <c r="I15" i="25"/>
  <c r="Q177" i="39"/>
  <c r="H12" i="25"/>
  <c r="H15" i="25"/>
  <c r="H181" i="25"/>
  <c r="G12" i="25"/>
  <c r="G15" i="25"/>
  <c r="O172" i="34"/>
  <c r="F12" i="25"/>
  <c r="F15" i="25"/>
  <c r="F181" i="25"/>
  <c r="E12" i="25"/>
  <c r="E15" i="25"/>
  <c r="E181" i="25"/>
  <c r="D12" i="25"/>
  <c r="D15" i="25"/>
  <c r="D181" i="25"/>
  <c r="C12" i="25"/>
  <c r="C15" i="25"/>
  <c r="C181" i="25"/>
  <c r="FQ275" i="39"/>
  <c r="FR275" i="39"/>
  <c r="FV218" i="39"/>
  <c r="FV217" i="39"/>
  <c r="FV215" i="39"/>
  <c r="FV214" i="39"/>
  <c r="FV213" i="39"/>
  <c r="FV212" i="39"/>
  <c r="FV211" i="39"/>
  <c r="G204" i="25"/>
  <c r="M525" i="25"/>
  <c r="I509" i="25"/>
  <c r="CQ18" i="24"/>
  <c r="DM210" i="39"/>
  <c r="AT210" i="39"/>
  <c r="CR52" i="24"/>
  <c r="CR67" i="24"/>
  <c r="CM18" i="24"/>
  <c r="CI18" i="24"/>
  <c r="FV206" i="39"/>
  <c r="FV204" i="39"/>
  <c r="FV201" i="39"/>
  <c r="FV200" i="39"/>
  <c r="CE18" i="24"/>
  <c r="DI197" i="39"/>
  <c r="DC197" i="39"/>
  <c r="BY197" i="39"/>
  <c r="BJ197" i="39"/>
  <c r="AY197" i="39"/>
  <c r="AX197" i="39"/>
  <c r="AW197" i="39"/>
  <c r="FV190" i="39"/>
  <c r="FV189" i="39"/>
  <c r="FV188" i="39"/>
  <c r="FV187" i="39"/>
  <c r="DZ184" i="39"/>
  <c r="D184" i="39"/>
  <c r="CN52" i="24"/>
  <c r="CN67" i="24"/>
  <c r="CA18" i="24"/>
  <c r="FV175" i="39"/>
  <c r="EA175" i="39"/>
  <c r="DZ175" i="39"/>
  <c r="DY175" i="39"/>
  <c r="DX175" i="39"/>
  <c r="DW175" i="39"/>
  <c r="DV175" i="39"/>
  <c r="DT175" i="39"/>
  <c r="DS175" i="39"/>
  <c r="DR175" i="39"/>
  <c r="DQ175" i="39"/>
  <c r="DP175" i="39"/>
  <c r="DO175" i="39"/>
  <c r="DN175" i="39"/>
  <c r="DM175" i="39"/>
  <c r="DL175" i="39"/>
  <c r="DK175" i="39"/>
  <c r="DJ175" i="39"/>
  <c r="DI175" i="39"/>
  <c r="DH175" i="39"/>
  <c r="DG175" i="39"/>
  <c r="DF175" i="39"/>
  <c r="DE175" i="39"/>
  <c r="DD175" i="39"/>
  <c r="DC175" i="39"/>
  <c r="DB175" i="39"/>
  <c r="DA175" i="39"/>
  <c r="CZ175" i="39"/>
  <c r="CY175" i="39"/>
  <c r="CX175" i="39"/>
  <c r="CW175" i="39"/>
  <c r="CV175" i="39"/>
  <c r="CU175" i="39"/>
  <c r="CT175" i="39"/>
  <c r="CS175" i="39"/>
  <c r="CR175" i="39"/>
  <c r="CQ175" i="39"/>
  <c r="CP175" i="39"/>
  <c r="CO175" i="39"/>
  <c r="FV174" i="39"/>
  <c r="AS173" i="39"/>
  <c r="FV172" i="39"/>
  <c r="EC171" i="39"/>
  <c r="EC170" i="39"/>
  <c r="FV167" i="39"/>
  <c r="AE165" i="39"/>
  <c r="FV163" i="39"/>
  <c r="FV162" i="39"/>
  <c r="FV161" i="39"/>
  <c r="FV160" i="39"/>
  <c r="BK176" i="39"/>
  <c r="BK184" i="39"/>
  <c r="BW18" i="24"/>
  <c r="BU18" i="24"/>
  <c r="BU23" i="24"/>
  <c r="BZ52" i="24"/>
  <c r="BS18" i="24"/>
  <c r="FV155" i="39"/>
  <c r="FV154" i="39"/>
  <c r="FV153" i="39"/>
  <c r="FV152" i="39"/>
  <c r="FV151" i="39"/>
  <c r="FV150" i="39"/>
  <c r="FV149" i="39"/>
  <c r="FV148" i="39"/>
  <c r="FV147" i="39"/>
  <c r="FV146" i="39"/>
  <c r="CS146" i="39"/>
  <c r="CQ146" i="39"/>
  <c r="ET145" i="39"/>
  <c r="EP145" i="39"/>
  <c r="EL145" i="39"/>
  <c r="EH145" i="39"/>
  <c r="ED145" i="39"/>
  <c r="DX145" i="39"/>
  <c r="DV145" i="39"/>
  <c r="DT145" i="39"/>
  <c r="DR145" i="39"/>
  <c r="DQ145" i="39"/>
  <c r="DP145" i="39"/>
  <c r="DN145" i="39"/>
  <c r="DL145" i="39"/>
  <c r="DJ145" i="39"/>
  <c r="DH145" i="39"/>
  <c r="DF145" i="39"/>
  <c r="DD145" i="39"/>
  <c r="DB145" i="39"/>
  <c r="CZ145" i="39"/>
  <c r="CX145" i="39"/>
  <c r="CV145" i="39"/>
  <c r="CT145" i="39"/>
  <c r="CR145" i="39"/>
  <c r="CP145" i="39"/>
  <c r="CN145" i="39"/>
  <c r="CL145" i="39"/>
  <c r="CJ145" i="39"/>
  <c r="FV144" i="39"/>
  <c r="CR144" i="39"/>
  <c r="FV143" i="39"/>
  <c r="FV142" i="39"/>
  <c r="FV141" i="39"/>
  <c r="BM141" i="39"/>
  <c r="FV140" i="39"/>
  <c r="FV139" i="39"/>
  <c r="CS139" i="39"/>
  <c r="CQ139" i="39"/>
  <c r="EJ138" i="39"/>
  <c r="EI138" i="39"/>
  <c r="EH138" i="39"/>
  <c r="EG138" i="39"/>
  <c r="EF138" i="39"/>
  <c r="EE138" i="39"/>
  <c r="ED138" i="39"/>
  <c r="EC138" i="39"/>
  <c r="EB138" i="39"/>
  <c r="EA138" i="39"/>
  <c r="DZ138" i="39"/>
  <c r="DY138" i="39"/>
  <c r="DX138" i="39"/>
  <c r="DW138" i="39"/>
  <c r="DV138" i="39"/>
  <c r="DT138" i="39"/>
  <c r="DS138" i="39"/>
  <c r="DR138" i="39"/>
  <c r="DQ138" i="39"/>
  <c r="DP138" i="39"/>
  <c r="DO138" i="39"/>
  <c r="DN138" i="39"/>
  <c r="DM138" i="39"/>
  <c r="DL138" i="39"/>
  <c r="DK138" i="39"/>
  <c r="DJ138" i="39"/>
  <c r="DI138" i="39"/>
  <c r="DH138" i="39"/>
  <c r="DG138" i="39"/>
  <c r="DF138" i="39"/>
  <c r="DE138" i="39"/>
  <c r="DD138" i="39"/>
  <c r="DC138" i="39"/>
  <c r="DB138" i="39"/>
  <c r="DA138" i="39"/>
  <c r="CZ138" i="39"/>
  <c r="CY138" i="39"/>
  <c r="CX138" i="39"/>
  <c r="CW138" i="39"/>
  <c r="CV138" i="39"/>
  <c r="CU138" i="39"/>
  <c r="CT138" i="39"/>
  <c r="CS138" i="39"/>
  <c r="CR138" i="39"/>
  <c r="CQ138" i="39"/>
  <c r="CP138" i="39"/>
  <c r="CO138" i="39"/>
  <c r="CN138" i="39"/>
  <c r="CM138" i="39"/>
  <c r="CL138" i="39"/>
  <c r="BM138" i="39"/>
  <c r="BN138" i="39"/>
  <c r="FV137" i="39"/>
  <c r="FV136" i="39"/>
  <c r="CR136" i="39"/>
  <c r="CN136" i="39"/>
  <c r="CL136" i="39"/>
  <c r="CJ136" i="39"/>
  <c r="CH136" i="39"/>
  <c r="CF136" i="39"/>
  <c r="FV135" i="39"/>
  <c r="FV134" i="39"/>
  <c r="FV133" i="39"/>
  <c r="FV132" i="39"/>
  <c r="FV131" i="39"/>
  <c r="FV130" i="39"/>
  <c r="FV129" i="39"/>
  <c r="FV128" i="39"/>
  <c r="FV127" i="39"/>
  <c r="FV126" i="39"/>
  <c r="FV125" i="39"/>
  <c r="FV124" i="39"/>
  <c r="FV123" i="39"/>
  <c r="FV122" i="39"/>
  <c r="FV121" i="39"/>
  <c r="FV120" i="39"/>
  <c r="FV119" i="39"/>
  <c r="CS119" i="39"/>
  <c r="CQ119" i="39"/>
  <c r="FV118" i="39"/>
  <c r="FV117" i="39"/>
  <c r="FV116" i="39"/>
  <c r="FV115" i="39"/>
  <c r="FV114" i="39"/>
  <c r="CS114" i="39"/>
  <c r="CR114" i="39"/>
  <c r="CQ114" i="39"/>
  <c r="CL114" i="39"/>
  <c r="CJ114" i="39"/>
  <c r="CH114" i="39"/>
  <c r="CF114" i="39"/>
  <c r="FV113" i="39"/>
  <c r="FV112" i="39"/>
  <c r="FV111" i="39"/>
  <c r="FV110" i="39"/>
  <c r="FV109" i="39"/>
  <c r="CS109" i="39"/>
  <c r="CR109" i="39"/>
  <c r="CQ109" i="39"/>
  <c r="CO109" i="39"/>
  <c r="CP109" i="39"/>
  <c r="CN109" i="39"/>
  <c r="CM109" i="39"/>
  <c r="CL109" i="39"/>
  <c r="CK109" i="39"/>
  <c r="CJ109" i="39"/>
  <c r="CI109" i="39"/>
  <c r="CH109" i="39"/>
  <c r="CG109" i="39"/>
  <c r="CF109" i="39"/>
  <c r="CE109" i="39"/>
  <c r="FV108" i="39"/>
  <c r="FV107" i="39"/>
  <c r="FV106" i="39"/>
  <c r="FV105" i="39"/>
  <c r="FV104" i="39"/>
  <c r="FV103" i="39"/>
  <c r="FV102" i="39"/>
  <c r="FV101" i="39"/>
  <c r="FV100" i="39"/>
  <c r="FV99" i="39"/>
  <c r="FV98" i="39"/>
  <c r="FV97" i="39"/>
  <c r="FV96" i="39"/>
  <c r="CS96" i="39"/>
  <c r="CQ96" i="39"/>
  <c r="FV95" i="39"/>
  <c r="FV94" i="39"/>
  <c r="FV93" i="39"/>
  <c r="FV92" i="39"/>
  <c r="FV91" i="39"/>
  <c r="FV90" i="39"/>
  <c r="FV89" i="39"/>
  <c r="FV88" i="39"/>
  <c r="FV87" i="39"/>
  <c r="FV86" i="39"/>
  <c r="FV85" i="39"/>
  <c r="FV84" i="39"/>
  <c r="FV83" i="39"/>
  <c r="FV82" i="39"/>
  <c r="FV81" i="39"/>
  <c r="FV80" i="39"/>
  <c r="FV79" i="39"/>
  <c r="FV78" i="39"/>
  <c r="CR78" i="39"/>
  <c r="FV77" i="39"/>
  <c r="FV76" i="39"/>
  <c r="FV75" i="39"/>
  <c r="FV74" i="39"/>
  <c r="FV73" i="39"/>
  <c r="FV72" i="39"/>
  <c r="FV71" i="39"/>
  <c r="FV70" i="39"/>
  <c r="FV69" i="39"/>
  <c r="FV68" i="39"/>
  <c r="FV67" i="39"/>
  <c r="FV66" i="39"/>
  <c r="FV65" i="39"/>
  <c r="FV64" i="39"/>
  <c r="FV63" i="39"/>
  <c r="FV62" i="39"/>
  <c r="FV61" i="39"/>
  <c r="FV60" i="39"/>
  <c r="FV59" i="39"/>
  <c r="FV58" i="39"/>
  <c r="FV57" i="39"/>
  <c r="FV56" i="39"/>
  <c r="FV55" i="39"/>
  <c r="FV54" i="39"/>
  <c r="FV53" i="39"/>
  <c r="FV52" i="39"/>
  <c r="FV51" i="39"/>
  <c r="FV50" i="39"/>
  <c r="FV49" i="39"/>
  <c r="FV48" i="39"/>
  <c r="FV47" i="39"/>
  <c r="FV46" i="39"/>
  <c r="FV45" i="39"/>
  <c r="FV44" i="39"/>
  <c r="FV43" i="39"/>
  <c r="FV42" i="39"/>
  <c r="FV41" i="39"/>
  <c r="FV40" i="39"/>
  <c r="FV39" i="39"/>
  <c r="FV38" i="39"/>
  <c r="FV37" i="39"/>
  <c r="FV36" i="39"/>
  <c r="EH34" i="39"/>
  <c r="EG34" i="39"/>
  <c r="EH33" i="39"/>
  <c r="EG33" i="39"/>
  <c r="EH32" i="39"/>
  <c r="EG32" i="39"/>
  <c r="EH31" i="39"/>
  <c r="K179" i="31"/>
  <c r="K181" i="31"/>
  <c r="K184" i="31"/>
  <c r="EG31" i="39"/>
  <c r="BP14" i="39"/>
  <c r="BO14" i="39"/>
  <c r="BM14" i="39"/>
  <c r="BL14" i="39"/>
  <c r="BJ14" i="39"/>
  <c r="BF14" i="39"/>
  <c r="BA14" i="39"/>
  <c r="AZ14" i="39"/>
  <c r="AY14" i="39"/>
  <c r="AX14" i="39"/>
  <c r="BP13" i="39"/>
  <c r="BO13" i="39"/>
  <c r="BM13" i="39"/>
  <c r="BK13" i="39"/>
  <c r="BL13" i="39"/>
  <c r="BI13" i="39"/>
  <c r="BJ13" i="39"/>
  <c r="BH13" i="39"/>
  <c r="BF13" i="39"/>
  <c r="BA13" i="39"/>
  <c r="AZ13" i="39"/>
  <c r="AY13" i="39"/>
  <c r="AX13" i="39"/>
  <c r="BP12" i="39"/>
  <c r="BO12" i="39"/>
  <c r="BM12" i="39"/>
  <c r="BL12" i="39"/>
  <c r="BJ12" i="39"/>
  <c r="BF12" i="39"/>
  <c r="BA12" i="39"/>
  <c r="AZ12" i="39"/>
  <c r="AY12" i="39"/>
  <c r="AX12" i="39"/>
  <c r="BP11" i="39"/>
  <c r="BO11" i="39"/>
  <c r="BM11" i="39"/>
  <c r="BL11" i="39"/>
  <c r="BJ11" i="39"/>
  <c r="BF11" i="39"/>
  <c r="BA11" i="39"/>
  <c r="AZ11" i="39"/>
  <c r="AY11" i="39"/>
  <c r="AX11" i="39"/>
  <c r="AW10" i="39"/>
  <c r="AV10" i="39"/>
  <c r="FV8" i="39"/>
  <c r="BJ8" i="39"/>
  <c r="FV7" i="39"/>
  <c r="BJ7" i="39"/>
  <c r="FV6" i="39"/>
  <c r="BJ6" i="39"/>
  <c r="FV5" i="39"/>
  <c r="BJ5" i="39"/>
  <c r="BO18" i="24"/>
  <c r="BV52" i="24"/>
  <c r="BS52" i="24"/>
  <c r="BS67" i="24"/>
  <c r="BR52" i="24"/>
  <c r="BR67" i="24"/>
  <c r="BK18" i="24"/>
  <c r="BG18" i="24"/>
  <c r="BK52" i="24"/>
  <c r="BK55" i="24"/>
  <c r="CA164" i="39"/>
  <c r="BC18" i="24"/>
  <c r="AD50" i="27"/>
  <c r="BF52" i="24"/>
  <c r="BF67" i="24"/>
  <c r="AY18" i="24"/>
  <c r="BC52" i="24"/>
  <c r="BC67" i="24"/>
  <c r="BB52" i="24"/>
  <c r="AU18" i="24"/>
  <c r="AU23" i="24"/>
  <c r="AU33" i="24"/>
  <c r="AQ18" i="24"/>
  <c r="AV52" i="24"/>
  <c r="AM18" i="24"/>
  <c r="AR52" i="24"/>
  <c r="AI18" i="24"/>
  <c r="AG18" i="24"/>
  <c r="AG23" i="24"/>
  <c r="AW160" i="34"/>
  <c r="AI52" i="24"/>
  <c r="AC72" i="27"/>
  <c r="CO78" i="39"/>
  <c r="CP78" i="39"/>
  <c r="CN78" i="39"/>
  <c r="CM78" i="39"/>
  <c r="CL78" i="39"/>
  <c r="CK78" i="39"/>
  <c r="CJ78" i="39"/>
  <c r="CI78" i="39"/>
  <c r="CH78" i="39"/>
  <c r="CG78" i="39"/>
  <c r="CF78" i="39"/>
  <c r="CE78" i="39"/>
  <c r="CN114" i="39"/>
  <c r="CO119" i="39"/>
  <c r="CP119" i="39"/>
  <c r="CM119" i="39"/>
  <c r="CK119" i="39"/>
  <c r="CI119" i="39"/>
  <c r="CG119" i="39"/>
  <c r="CE119" i="39"/>
  <c r="CO139" i="39"/>
  <c r="CP139" i="39"/>
  <c r="CM139" i="39"/>
  <c r="CK139" i="39"/>
  <c r="CI139" i="39"/>
  <c r="CG139" i="39"/>
  <c r="CE139" i="39"/>
  <c r="CO146" i="39"/>
  <c r="CP146" i="39"/>
  <c r="CN146" i="39"/>
  <c r="CM146" i="39"/>
  <c r="CL146" i="39"/>
  <c r="CK146" i="39"/>
  <c r="CJ146" i="39"/>
  <c r="CI146" i="39"/>
  <c r="CH146" i="39"/>
  <c r="CG146" i="39"/>
  <c r="CF146" i="39"/>
  <c r="CE146" i="39"/>
  <c r="CD146" i="39"/>
  <c r="CC146" i="39"/>
  <c r="EY145" i="39"/>
  <c r="EX145" i="39"/>
  <c r="CO96" i="39"/>
  <c r="CP96" i="39"/>
  <c r="CM96" i="39"/>
  <c r="CK96" i="39"/>
  <c r="CI96" i="39"/>
  <c r="CG96" i="39"/>
  <c r="CE96" i="39"/>
  <c r="CN144" i="39"/>
  <c r="CL144" i="39"/>
  <c r="CJ144" i="39"/>
  <c r="CH144" i="39"/>
  <c r="CF144" i="39"/>
  <c r="AD22" i="27"/>
  <c r="AD27" i="27"/>
  <c r="F305" i="33"/>
  <c r="ED193" i="39"/>
  <c r="F350" i="33"/>
  <c r="FB194" i="39"/>
  <c r="F349" i="33"/>
  <c r="FB193" i="39"/>
  <c r="F348" i="33"/>
  <c r="G201" i="31"/>
  <c r="G207" i="31"/>
  <c r="N227" i="33"/>
  <c r="J281" i="33"/>
  <c r="DV194" i="39"/>
  <c r="J306" i="33"/>
  <c r="EH194" i="39"/>
  <c r="N303" i="33"/>
  <c r="EL191" i="39"/>
  <c r="H327" i="33"/>
  <c r="ER191" i="39"/>
  <c r="H328" i="33"/>
  <c r="I189" i="31"/>
  <c r="I195" i="31"/>
  <c r="N330" i="33"/>
  <c r="EX194" i="39"/>
  <c r="F329" i="33"/>
  <c r="EP193" i="39"/>
  <c r="H349" i="33"/>
  <c r="FD193" i="39"/>
  <c r="H348" i="33"/>
  <c r="L347" i="33"/>
  <c r="FH191" i="39"/>
  <c r="J350" i="33"/>
  <c r="FF194" i="39"/>
  <c r="J349" i="33"/>
  <c r="FF193" i="39"/>
  <c r="P35" i="33"/>
  <c r="H153" i="33"/>
  <c r="M62" i="33"/>
  <c r="M60" i="33"/>
  <c r="M61" i="33"/>
  <c r="M59" i="33"/>
  <c r="D61" i="33"/>
  <c r="K155" i="33"/>
  <c r="O155" i="33"/>
  <c r="J179" i="33"/>
  <c r="E304" i="33"/>
  <c r="L329" i="33"/>
  <c r="EV193" i="39"/>
  <c r="M347" i="33"/>
  <c r="FI191" i="39"/>
  <c r="AA55" i="24"/>
  <c r="AQ159" i="34"/>
  <c r="AA67" i="24"/>
  <c r="O32" i="33"/>
  <c r="E62" i="33"/>
  <c r="E61" i="33"/>
  <c r="E59" i="33"/>
  <c r="J254" i="33"/>
  <c r="H280" i="33"/>
  <c r="DT193" i="39"/>
  <c r="N278" i="33"/>
  <c r="F327" i="33"/>
  <c r="EP191" i="39"/>
  <c r="D349" i="33"/>
  <c r="EZ193" i="39"/>
  <c r="J348" i="33"/>
  <c r="K201" i="31"/>
  <c r="K207" i="31"/>
  <c r="J347" i="33"/>
  <c r="FF191" i="39"/>
  <c r="N349" i="33"/>
  <c r="FJ193" i="39"/>
  <c r="N348" i="33"/>
  <c r="O201" i="31"/>
  <c r="O207" i="31"/>
  <c r="N347" i="33"/>
  <c r="FJ191" i="39"/>
  <c r="N350" i="33"/>
  <c r="FJ194" i="39"/>
  <c r="CF192" i="34"/>
  <c r="CF197" i="39"/>
  <c r="CJ192" i="34"/>
  <c r="CJ197" i="39"/>
  <c r="L61" i="33"/>
  <c r="K60" i="33"/>
  <c r="K59" i="33"/>
  <c r="E253" i="33"/>
  <c r="DE187" i="34"/>
  <c r="M305" i="33"/>
  <c r="EK193" i="39"/>
  <c r="R31" i="26"/>
  <c r="R40" i="26"/>
  <c r="R32" i="26"/>
  <c r="R41" i="26"/>
  <c r="I24" i="28"/>
  <c r="E38" i="28"/>
  <c r="G61" i="33"/>
  <c r="G59" i="33"/>
  <c r="I62" i="33"/>
  <c r="I61" i="33"/>
  <c r="I94" i="33"/>
  <c r="I96" i="33"/>
  <c r="K94" i="33"/>
  <c r="I252" i="33"/>
  <c r="DI186" i="34"/>
  <c r="E329" i="33"/>
  <c r="EO193" i="39"/>
  <c r="I347" i="33"/>
  <c r="FE191" i="39"/>
  <c r="F31" i="26"/>
  <c r="F40" i="26"/>
  <c r="O66" i="27"/>
  <c r="O71" i="27"/>
  <c r="O74" i="27"/>
  <c r="O62" i="33"/>
  <c r="O60" i="33"/>
  <c r="O97" i="33"/>
  <c r="AU189" i="34"/>
  <c r="H156" i="33"/>
  <c r="F180" i="33"/>
  <c r="BV194" i="39"/>
  <c r="N180" i="33"/>
  <c r="CD194" i="39"/>
  <c r="G253" i="33"/>
  <c r="H147" i="31"/>
  <c r="H154" i="31"/>
  <c r="J53" i="32"/>
  <c r="E103" i="32"/>
  <c r="DD210" i="39"/>
  <c r="K33" i="33"/>
  <c r="M34" i="33"/>
  <c r="P30" i="27"/>
  <c r="AB30" i="27"/>
  <c r="AM52" i="27"/>
  <c r="AB53" i="27"/>
  <c r="N70" i="31"/>
  <c r="N71" i="31"/>
  <c r="N75" i="31"/>
  <c r="N63" i="30"/>
  <c r="N66" i="30"/>
  <c r="F149" i="30"/>
  <c r="DQ207" i="39"/>
  <c r="H83" i="32"/>
  <c r="CI205" i="34"/>
  <c r="R55" i="24"/>
  <c r="AH159" i="34"/>
  <c r="M53" i="27"/>
  <c r="I70" i="31"/>
  <c r="L77" i="29"/>
  <c r="D88" i="29"/>
  <c r="E83" i="32"/>
  <c r="AM35" i="24"/>
  <c r="BC35" i="24"/>
  <c r="BS35" i="24"/>
  <c r="CI68" i="24"/>
  <c r="CI69" i="24"/>
  <c r="CI35" i="24"/>
  <c r="CY68" i="24"/>
  <c r="CY69" i="24"/>
  <c r="CY71" i="24"/>
  <c r="DO173" i="39"/>
  <c r="DO68" i="24"/>
  <c r="DO69" i="24"/>
  <c r="DO35" i="24"/>
  <c r="I52" i="27"/>
  <c r="I55" i="27"/>
  <c r="F24" i="28"/>
  <c r="N24" i="28"/>
  <c r="J38" i="28"/>
  <c r="E53" i="28"/>
  <c r="J40" i="30"/>
  <c r="N54" i="31"/>
  <c r="O54" i="31"/>
  <c r="J119" i="31"/>
  <c r="J123" i="31"/>
  <c r="I73" i="32"/>
  <c r="DC205" i="34"/>
  <c r="F126" i="32"/>
  <c r="EO210" i="39"/>
  <c r="Y55" i="24"/>
  <c r="AO159" i="34"/>
  <c r="Y67" i="24"/>
  <c r="Y71" i="24"/>
  <c r="G32" i="29"/>
  <c r="K40" i="30"/>
  <c r="H54" i="30"/>
  <c r="E77" i="30"/>
  <c r="E80" i="30"/>
  <c r="E82" i="30"/>
  <c r="N45" i="31"/>
  <c r="L61" i="31"/>
  <c r="H53" i="32"/>
  <c r="AY205" i="34"/>
  <c r="G103" i="32"/>
  <c r="AO68" i="24"/>
  <c r="AO69" i="24"/>
  <c r="AO35" i="24"/>
  <c r="BE68" i="24"/>
  <c r="BE69" i="24"/>
  <c r="BE35" i="24"/>
  <c r="CC68" i="24"/>
  <c r="CC69" i="24"/>
  <c r="CS35" i="24"/>
  <c r="DA68" i="24"/>
  <c r="DA69" i="24"/>
  <c r="DI68" i="24"/>
  <c r="DI69" i="24"/>
  <c r="DQ35" i="24"/>
  <c r="DY35" i="24"/>
  <c r="EG35" i="24"/>
  <c r="EH67" i="24"/>
  <c r="AK35" i="24"/>
  <c r="AK68" i="24"/>
  <c r="AK69" i="24"/>
  <c r="CO68" i="24"/>
  <c r="CO69" i="24"/>
  <c r="CW35" i="24"/>
  <c r="DE68" i="24"/>
  <c r="DE69" i="24"/>
  <c r="DU35" i="24"/>
  <c r="AY68" i="24"/>
  <c r="AY69" i="24"/>
  <c r="BG35" i="24"/>
  <c r="BO68" i="24"/>
  <c r="BO69" i="24"/>
  <c r="CE68" i="24"/>
  <c r="CE69" i="24"/>
  <c r="EA68" i="24"/>
  <c r="EA69" i="24"/>
  <c r="M71" i="24"/>
  <c r="AC168" i="34"/>
  <c r="F25" i="44"/>
  <c r="O591" i="25"/>
  <c r="O592" i="25"/>
  <c r="BS189" i="34"/>
  <c r="DC210" i="39"/>
  <c r="X159" i="34"/>
  <c r="BZ194" i="39"/>
  <c r="BU187" i="34"/>
  <c r="BO189" i="34"/>
  <c r="BO194" i="39"/>
  <c r="AH164" i="39"/>
  <c r="G99" i="31"/>
  <c r="G106" i="31"/>
  <c r="FJ192" i="39"/>
  <c r="AC173" i="39"/>
  <c r="BU210" i="39"/>
  <c r="CU205" i="34"/>
  <c r="AJ55" i="24"/>
  <c r="AJ67" i="24"/>
  <c r="AN55" i="24"/>
  <c r="AN67" i="24"/>
  <c r="I129" i="33"/>
  <c r="BA189" i="34"/>
  <c r="CZ67" i="24"/>
  <c r="CJ46" i="27"/>
  <c r="CJ51" i="27"/>
  <c r="CK21" i="24"/>
  <c r="CT50" i="24"/>
  <c r="CT53" i="24"/>
  <c r="CT21" i="24"/>
  <c r="CX21" i="24"/>
  <c r="CX50" i="24"/>
  <c r="CX53" i="24"/>
  <c r="CX55" i="24"/>
  <c r="DN164" i="39"/>
  <c r="CK68" i="24"/>
  <c r="CK69" i="24"/>
  <c r="CK35" i="24"/>
  <c r="BL67" i="24"/>
  <c r="G153" i="33"/>
  <c r="J63" i="30"/>
  <c r="J66" i="30"/>
  <c r="J68" i="30"/>
  <c r="DT67" i="24"/>
  <c r="DT21" i="24"/>
  <c r="AR68" i="24"/>
  <c r="AR69" i="24"/>
  <c r="BM68" i="24"/>
  <c r="BM69" i="24"/>
  <c r="BM35" i="24"/>
  <c r="EJ68" i="24"/>
  <c r="EJ69" i="24"/>
  <c r="G71" i="31"/>
  <c r="G75" i="31"/>
  <c r="CN50" i="24"/>
  <c r="CN53" i="24"/>
  <c r="CP21" i="24"/>
  <c r="CP50" i="24"/>
  <c r="CP53" i="24"/>
  <c r="AI35" i="24"/>
  <c r="DB35" i="24"/>
  <c r="DK35" i="24"/>
  <c r="DT35" i="24"/>
  <c r="G133" i="30"/>
  <c r="G136" i="30"/>
  <c r="G138" i="30"/>
  <c r="DF207" i="39"/>
  <c r="J185" i="30"/>
  <c r="FE207" i="39"/>
  <c r="N185" i="30"/>
  <c r="FI207" i="39"/>
  <c r="H87" i="31"/>
  <c r="H91" i="31"/>
  <c r="F181" i="31"/>
  <c r="F184" i="31"/>
  <c r="CL21" i="24"/>
  <c r="CL50" i="24"/>
  <c r="CL53" i="24"/>
  <c r="DN50" i="24"/>
  <c r="DN53" i="24"/>
  <c r="DN21" i="24"/>
  <c r="ED50" i="24"/>
  <c r="ED53" i="24"/>
  <c r="ED21" i="24"/>
  <c r="AW68" i="24"/>
  <c r="AW69" i="24"/>
  <c r="AW35" i="24"/>
  <c r="AZ35" i="24"/>
  <c r="CF35" i="24"/>
  <c r="CR35" i="24"/>
  <c r="CU35" i="24"/>
  <c r="DL68" i="24"/>
  <c r="DL69" i="24"/>
  <c r="DL71" i="24"/>
  <c r="EB173" i="39"/>
  <c r="DS35" i="24"/>
  <c r="K119" i="32"/>
  <c r="EH210" i="39"/>
  <c r="BL207" i="39"/>
  <c r="O96" i="33"/>
  <c r="AU193" i="39"/>
  <c r="F127" i="33"/>
  <c r="AX187" i="34"/>
  <c r="G68" i="31"/>
  <c r="G74" i="31"/>
  <c r="G129" i="33"/>
  <c r="AY194" i="39"/>
  <c r="M129" i="33"/>
  <c r="BE194" i="39"/>
  <c r="D155" i="33"/>
  <c r="BH193" i="39"/>
  <c r="D154" i="33"/>
  <c r="E155" i="33"/>
  <c r="BI188" i="34"/>
  <c r="O205" i="33"/>
  <c r="D230" i="33"/>
  <c r="F252" i="33"/>
  <c r="L252" i="33"/>
  <c r="N254" i="33"/>
  <c r="DN193" i="39"/>
  <c r="N255" i="33"/>
  <c r="DN194" i="39"/>
  <c r="N253" i="33"/>
  <c r="O147" i="31"/>
  <c r="O154" i="31"/>
  <c r="O157" i="31"/>
  <c r="DN208" i="39"/>
  <c r="D255" i="33"/>
  <c r="DD189" i="34"/>
  <c r="D253" i="33"/>
  <c r="E147" i="31"/>
  <c r="E154" i="31"/>
  <c r="H252" i="33"/>
  <c r="E278" i="33"/>
  <c r="DQ191" i="39"/>
  <c r="G279" i="33"/>
  <c r="DS192" i="39"/>
  <c r="I278" i="33"/>
  <c r="DU191" i="39"/>
  <c r="AZ160" i="34"/>
  <c r="BK67" i="24"/>
  <c r="BX55" i="24"/>
  <c r="CN164" i="39"/>
  <c r="BX67" i="24"/>
  <c r="M128" i="33"/>
  <c r="BE188" i="34"/>
  <c r="CV194" i="39"/>
  <c r="F129" i="33"/>
  <c r="AX189" i="34"/>
  <c r="M280" i="33"/>
  <c r="DY193" i="39"/>
  <c r="M279" i="33"/>
  <c r="DY192" i="39"/>
  <c r="F179" i="33"/>
  <c r="CF67" i="24"/>
  <c r="AZ67" i="24"/>
  <c r="AZ55" i="24"/>
  <c r="BP159" i="34"/>
  <c r="J128" i="33"/>
  <c r="BB193" i="39"/>
  <c r="N129" i="33"/>
  <c r="BF189" i="34"/>
  <c r="E205" i="33"/>
  <c r="CG194" i="39"/>
  <c r="N202" i="33"/>
  <c r="M306" i="33"/>
  <c r="EK194" i="39"/>
  <c r="CQ210" i="39"/>
  <c r="BP55" i="24"/>
  <c r="CF159" i="34"/>
  <c r="BP67" i="24"/>
  <c r="K153" i="33"/>
  <c r="BO186" i="34"/>
  <c r="K154" i="33"/>
  <c r="BO192" i="39"/>
  <c r="N154" i="33"/>
  <c r="BR192" i="39"/>
  <c r="O153" i="33"/>
  <c r="BS191" i="39"/>
  <c r="O154" i="33"/>
  <c r="BS187" i="34"/>
  <c r="P83" i="31"/>
  <c r="P90" i="31"/>
  <c r="P93" i="31"/>
  <c r="G178" i="33"/>
  <c r="BW192" i="39"/>
  <c r="J177" i="33"/>
  <c r="BZ186" i="34"/>
  <c r="J178" i="33"/>
  <c r="BZ192" i="39"/>
  <c r="O177" i="33"/>
  <c r="CE191" i="39"/>
  <c r="H203" i="33"/>
  <c r="I115" i="31"/>
  <c r="I122" i="31"/>
  <c r="I204" i="33"/>
  <c r="CK193" i="39"/>
  <c r="J205" i="33"/>
  <c r="CL189" i="34"/>
  <c r="K202" i="33"/>
  <c r="N204" i="33"/>
  <c r="CP193" i="39"/>
  <c r="J305" i="33"/>
  <c r="EH193" i="39"/>
  <c r="J303" i="33"/>
  <c r="EH191" i="39"/>
  <c r="J304" i="33"/>
  <c r="N304" i="33"/>
  <c r="O177" i="31"/>
  <c r="O183" i="31"/>
  <c r="O185" i="31"/>
  <c r="EL208" i="39"/>
  <c r="D156" i="33"/>
  <c r="BH189" i="34"/>
  <c r="CO21" i="24"/>
  <c r="DI50" i="24"/>
  <c r="DI53" i="24"/>
  <c r="DM50" i="24"/>
  <c r="DM53" i="24"/>
  <c r="DY50" i="24"/>
  <c r="DY53" i="24"/>
  <c r="EC50" i="24"/>
  <c r="EC53" i="24"/>
  <c r="M127" i="33"/>
  <c r="BE192" i="39"/>
  <c r="G154" i="33"/>
  <c r="BK187" i="34"/>
  <c r="H83" i="31"/>
  <c r="H90" i="31"/>
  <c r="G252" i="33"/>
  <c r="DG186" i="34"/>
  <c r="CW21" i="24"/>
  <c r="CW23" i="24"/>
  <c r="DM165" i="39"/>
  <c r="DF50" i="24"/>
  <c r="DF53" i="24"/>
  <c r="DF55" i="24"/>
  <c r="DV164" i="39"/>
  <c r="DF21" i="24"/>
  <c r="DF23" i="24"/>
  <c r="DF33" i="24"/>
  <c r="DH50" i="24"/>
  <c r="DH53" i="24"/>
  <c r="DH55" i="24"/>
  <c r="DX164" i="39"/>
  <c r="DJ21" i="24"/>
  <c r="DJ23" i="24"/>
  <c r="DJ33" i="24"/>
  <c r="DJ50" i="24"/>
  <c r="DJ53" i="24"/>
  <c r="DL50" i="24"/>
  <c r="DL53" i="24"/>
  <c r="DL55" i="24"/>
  <c r="EB164" i="39"/>
  <c r="AJ68" i="24"/>
  <c r="AJ69" i="24"/>
  <c r="BA68" i="24"/>
  <c r="BA69" i="24"/>
  <c r="BA35" i="24"/>
  <c r="CJ68" i="24"/>
  <c r="CJ69" i="24"/>
  <c r="CJ71" i="24"/>
  <c r="CZ173" i="39"/>
  <c r="DV68" i="24"/>
  <c r="DV69" i="24"/>
  <c r="DV71" i="24"/>
  <c r="EL173" i="39"/>
  <c r="EF68" i="24"/>
  <c r="EF69" i="24"/>
  <c r="EJ67" i="24"/>
  <c r="D347" i="33"/>
  <c r="EZ191" i="39"/>
  <c r="F347" i="33"/>
  <c r="FB191" i="39"/>
  <c r="AR26" i="27"/>
  <c r="DI28" i="27"/>
  <c r="F77" i="30"/>
  <c r="F80" i="30"/>
  <c r="F82" i="30"/>
  <c r="P105" i="30"/>
  <c r="P108" i="30"/>
  <c r="P110" i="30"/>
  <c r="H105" i="30"/>
  <c r="H108" i="30"/>
  <c r="H110" i="30"/>
  <c r="K105" i="30"/>
  <c r="K108" i="30"/>
  <c r="K110" i="30"/>
  <c r="G156" i="30"/>
  <c r="G159" i="30"/>
  <c r="G161" i="30"/>
  <c r="ED207" i="39"/>
  <c r="E173" i="30"/>
  <c r="EN207" i="39"/>
  <c r="E185" i="30"/>
  <c r="EZ207" i="39"/>
  <c r="L87" i="31"/>
  <c r="L91" i="31"/>
  <c r="H151" i="31"/>
  <c r="H155" i="31"/>
  <c r="I181" i="31"/>
  <c r="I184" i="31"/>
  <c r="CR50" i="24"/>
  <c r="CR53" i="24"/>
  <c r="CR55" i="24"/>
  <c r="DH159" i="34"/>
  <c r="I198" i="30"/>
  <c r="FP207" i="39"/>
  <c r="H103" i="31"/>
  <c r="H107" i="31"/>
  <c r="J112" i="32"/>
  <c r="DU210" i="39"/>
  <c r="O119" i="32"/>
  <c r="EL210" i="39"/>
  <c r="DT71" i="24"/>
  <c r="EJ173" i="39"/>
  <c r="BA67" i="24"/>
  <c r="E128" i="33"/>
  <c r="AW193" i="39"/>
  <c r="E127" i="33"/>
  <c r="AW187" i="34"/>
  <c r="F68" i="31"/>
  <c r="F74" i="31"/>
  <c r="BV192" i="39"/>
  <c r="DE192" i="39"/>
  <c r="FF192" i="39"/>
  <c r="BM55" i="24"/>
  <c r="BK165" i="39"/>
  <c r="BD67" i="24"/>
  <c r="BD55" i="24"/>
  <c r="BT159" i="34"/>
  <c r="N95" i="33"/>
  <c r="O52" i="31"/>
  <c r="O58" i="31"/>
  <c r="D128" i="33"/>
  <c r="AV188" i="34"/>
  <c r="L128" i="33"/>
  <c r="BD188" i="34"/>
  <c r="BP46" i="27"/>
  <c r="BP51" i="27"/>
  <c r="CJ21" i="24"/>
  <c r="BX68" i="24"/>
  <c r="BX69" i="24"/>
  <c r="BX71" i="24"/>
  <c r="CG68" i="24"/>
  <c r="CG69" i="24"/>
  <c r="CG35" i="24"/>
  <c r="DJ35" i="24"/>
  <c r="DR67" i="24"/>
  <c r="O128" i="33"/>
  <c r="BG193" i="39"/>
  <c r="D153" i="33"/>
  <c r="BH186" i="34"/>
  <c r="F177" i="33"/>
  <c r="BV191" i="39"/>
  <c r="M252" i="33"/>
  <c r="DM191" i="39"/>
  <c r="I253" i="33"/>
  <c r="DI192" i="39"/>
  <c r="G348" i="33"/>
  <c r="H201" i="31"/>
  <c r="H207" i="31"/>
  <c r="L349" i="33"/>
  <c r="FH193" i="39"/>
  <c r="BZ26" i="27"/>
  <c r="P82" i="30"/>
  <c r="BS207" i="39"/>
  <c r="E156" i="30"/>
  <c r="E159" i="30"/>
  <c r="E161" i="30"/>
  <c r="EB207" i="39"/>
  <c r="H198" i="30"/>
  <c r="FO207" i="39"/>
  <c r="N58" i="28"/>
  <c r="N62" i="28"/>
  <c r="DE50" i="24"/>
  <c r="DE53" i="24"/>
  <c r="DV50" i="24"/>
  <c r="DV53" i="24"/>
  <c r="DV55" i="24"/>
  <c r="EL164" i="39"/>
  <c r="DV21" i="24"/>
  <c r="EB21" i="24"/>
  <c r="AS68" i="24"/>
  <c r="AS69" i="24"/>
  <c r="AS35" i="24"/>
  <c r="CZ35" i="24"/>
  <c r="DN35" i="24"/>
  <c r="I149" i="30"/>
  <c r="DT207" i="39"/>
  <c r="DB21" i="24"/>
  <c r="DB23" i="24"/>
  <c r="DR165" i="39"/>
  <c r="DB50" i="24"/>
  <c r="DB53" i="24"/>
  <c r="DB55" i="24"/>
  <c r="DR164" i="39"/>
  <c r="AG68" i="24"/>
  <c r="AG69" i="24"/>
  <c r="AG35" i="24"/>
  <c r="BT68" i="24"/>
  <c r="BT69" i="24"/>
  <c r="DR35" i="24"/>
  <c r="H185" i="30"/>
  <c r="FC207" i="39"/>
  <c r="E119" i="31"/>
  <c r="E123" i="31"/>
  <c r="G135" i="31"/>
  <c r="G139" i="31"/>
  <c r="K135" i="31"/>
  <c r="K139" i="31"/>
  <c r="O135" i="31"/>
  <c r="O139" i="31"/>
  <c r="K112" i="32"/>
  <c r="DV210" i="39"/>
  <c r="H126" i="32"/>
  <c r="EQ210" i="39"/>
  <c r="L140" i="32"/>
  <c r="FS210" i="39"/>
  <c r="FA68" i="27"/>
  <c r="FA73" i="27"/>
  <c r="DQ48" i="27"/>
  <c r="DQ53" i="27"/>
  <c r="CK188" i="34"/>
  <c r="CJ189" i="34"/>
  <c r="BE193" i="39"/>
  <c r="AX192" i="39"/>
  <c r="BE187" i="34"/>
  <c r="N68" i="31"/>
  <c r="N74" i="31"/>
  <c r="BZ191" i="39"/>
  <c r="M115" i="31"/>
  <c r="M122" i="31"/>
  <c r="CN192" i="39"/>
  <c r="CA159" i="34"/>
  <c r="AU188" i="34"/>
  <c r="AV193" i="39"/>
  <c r="J43" i="32"/>
  <c r="M133" i="32"/>
  <c r="FH210" i="39"/>
  <c r="BO210" i="39"/>
  <c r="H133" i="32"/>
  <c r="FC210" i="39"/>
  <c r="I93" i="32"/>
  <c r="M103" i="32"/>
  <c r="DL205" i="34"/>
  <c r="BP210" i="39"/>
  <c r="L133" i="32"/>
  <c r="FG210" i="39"/>
  <c r="K32" i="29"/>
  <c r="CE197" i="39"/>
  <c r="K99" i="29"/>
  <c r="L110" i="29"/>
  <c r="DM197" i="39"/>
  <c r="M66" i="29"/>
  <c r="AU197" i="39"/>
  <c r="K279" i="33"/>
  <c r="L163" i="31"/>
  <c r="L170" i="31"/>
  <c r="E96" i="33"/>
  <c r="N155" i="33"/>
  <c r="O127" i="33"/>
  <c r="J154" i="33"/>
  <c r="BN187" i="34"/>
  <c r="K83" i="31"/>
  <c r="K90" i="31"/>
  <c r="K304" i="33"/>
  <c r="K127" i="33"/>
  <c r="M97" i="33"/>
  <c r="D97" i="33"/>
  <c r="J156" i="33"/>
  <c r="BN194" i="39"/>
  <c r="M38" i="28"/>
  <c r="O38" i="28"/>
  <c r="J581" i="25"/>
  <c r="ES179" i="39"/>
  <c r="K593" i="25"/>
  <c r="FR179" i="39"/>
  <c r="E73" i="32"/>
  <c r="BT205" i="34"/>
  <c r="M73" i="32"/>
  <c r="CB205" i="34"/>
  <c r="M83" i="32"/>
  <c r="CN205" i="34"/>
  <c r="M93" i="32"/>
  <c r="CZ205" i="34"/>
  <c r="BN205" i="34"/>
  <c r="DD205" i="34"/>
  <c r="DJ210" i="39"/>
  <c r="I119" i="32"/>
  <c r="EF210" i="39"/>
  <c r="M119" i="32"/>
  <c r="EJ210" i="39"/>
  <c r="BL210" i="39"/>
  <c r="BR210" i="39"/>
  <c r="DL210" i="39"/>
  <c r="K32" i="32"/>
  <c r="CH20" i="43"/>
  <c r="CH21" i="43"/>
  <c r="CH22" i="43"/>
  <c r="CH23" i="43"/>
  <c r="CH25" i="43"/>
  <c r="CH24" i="43"/>
  <c r="DM22" i="27"/>
  <c r="DM27" i="27"/>
  <c r="DG28" i="27"/>
  <c r="DC68" i="27"/>
  <c r="DC73" i="27"/>
  <c r="AN20" i="26"/>
  <c r="AN24" i="26"/>
  <c r="M528" i="25"/>
  <c r="AS179" i="39"/>
  <c r="BG187" i="34"/>
  <c r="E83" i="31"/>
  <c r="E90" i="31"/>
  <c r="BG192" i="39"/>
  <c r="BB189" i="34"/>
  <c r="BB194" i="39"/>
  <c r="CG192" i="39"/>
  <c r="CG187" i="34"/>
  <c r="CQ188" i="34"/>
  <c r="CQ193" i="39"/>
  <c r="F131" i="31"/>
  <c r="F138" i="31"/>
  <c r="CS187" i="34"/>
  <c r="CS192" i="39"/>
  <c r="L147" i="31"/>
  <c r="L154" i="31"/>
  <c r="L157" i="31"/>
  <c r="DK203" i="34"/>
  <c r="DK187" i="34"/>
  <c r="EW192" i="39"/>
  <c r="N189" i="31"/>
  <c r="N195" i="31"/>
  <c r="AQ67" i="24"/>
  <c r="AQ55" i="24"/>
  <c r="BG164" i="39"/>
  <c r="F77" i="31"/>
  <c r="AW203" i="34"/>
  <c r="CG197" i="39"/>
  <c r="CG192" i="34"/>
  <c r="F177" i="31"/>
  <c r="F183" i="31"/>
  <c r="EC192" i="39"/>
  <c r="AI67" i="24"/>
  <c r="AI55" i="24"/>
  <c r="AY164" i="39"/>
  <c r="P32" i="33"/>
  <c r="P33" i="33"/>
  <c r="P34" i="33"/>
  <c r="L34" i="33"/>
  <c r="L35" i="33"/>
  <c r="N35" i="33"/>
  <c r="N32" i="33"/>
  <c r="L62" i="33"/>
  <c r="L59" i="33"/>
  <c r="F97" i="33"/>
  <c r="F96" i="33"/>
  <c r="F94" i="33"/>
  <c r="H94" i="33"/>
  <c r="H95" i="33"/>
  <c r="J96" i="33"/>
  <c r="J95" i="33"/>
  <c r="L97" i="33"/>
  <c r="L94" i="33"/>
  <c r="BU192" i="39"/>
  <c r="F99" i="31"/>
  <c r="F106" i="31"/>
  <c r="E255" i="33"/>
  <c r="DE194" i="39"/>
  <c r="E252" i="33"/>
  <c r="DE191" i="39"/>
  <c r="I254" i="33"/>
  <c r="I255" i="33"/>
  <c r="DI189" i="34"/>
  <c r="M254" i="33"/>
  <c r="DM193" i="39"/>
  <c r="M253" i="33"/>
  <c r="I303" i="33"/>
  <c r="EG191" i="39"/>
  <c r="I306" i="33"/>
  <c r="EG194" i="39"/>
  <c r="O330" i="33"/>
  <c r="EY194" i="39"/>
  <c r="O328" i="33"/>
  <c r="P189" i="31"/>
  <c r="P195" i="31"/>
  <c r="P197" i="31"/>
  <c r="EY208" i="39"/>
  <c r="I348" i="33"/>
  <c r="J201" i="31"/>
  <c r="J207" i="31"/>
  <c r="I349" i="33"/>
  <c r="FE193" i="39"/>
  <c r="EA21" i="24"/>
  <c r="EA50" i="24"/>
  <c r="EA53" i="24"/>
  <c r="EA55" i="24"/>
  <c r="EQ164" i="39"/>
  <c r="EG50" i="24"/>
  <c r="EG53" i="24"/>
  <c r="EG21" i="24"/>
  <c r="EG23" i="24"/>
  <c r="AV68" i="24"/>
  <c r="AV69" i="24"/>
  <c r="AV35" i="24"/>
  <c r="BH68" i="24"/>
  <c r="BH69" i="24"/>
  <c r="BH35" i="24"/>
  <c r="BL68" i="24"/>
  <c r="BL69" i="24"/>
  <c r="BL35" i="24"/>
  <c r="BR68" i="24"/>
  <c r="BR69" i="24"/>
  <c r="BR35" i="24"/>
  <c r="D55" i="24"/>
  <c r="D67" i="24"/>
  <c r="D71" i="24"/>
  <c r="J67" i="24"/>
  <c r="J71" i="24"/>
  <c r="J55" i="24"/>
  <c r="L55" i="24"/>
  <c r="L67" i="24"/>
  <c r="L71" i="24"/>
  <c r="AD168" i="34"/>
  <c r="AD173" i="39"/>
  <c r="P67" i="24"/>
  <c r="P71" i="24"/>
  <c r="P55" i="24"/>
  <c r="T67" i="24"/>
  <c r="T71" i="24"/>
  <c r="T55" i="24"/>
  <c r="X67" i="24"/>
  <c r="X71" i="24"/>
  <c r="X55" i="24"/>
  <c r="CK140" i="34"/>
  <c r="CK145" i="39"/>
  <c r="CM140" i="34"/>
  <c r="CM145" i="39"/>
  <c r="CO140" i="34"/>
  <c r="CO145" i="39"/>
  <c r="CQ140" i="34"/>
  <c r="CQ145" i="39"/>
  <c r="CS140" i="34"/>
  <c r="CS145" i="39"/>
  <c r="CU140" i="34"/>
  <c r="CU145" i="39"/>
  <c r="CW140" i="34"/>
  <c r="CW145" i="39"/>
  <c r="CY140" i="34"/>
  <c r="CY145" i="39"/>
  <c r="DA140" i="34"/>
  <c r="DA145" i="39"/>
  <c r="DC140" i="34"/>
  <c r="DC145" i="39"/>
  <c r="DE140" i="34"/>
  <c r="DE145" i="39"/>
  <c r="DI140" i="34"/>
  <c r="DI145" i="39"/>
  <c r="CQ73" i="34"/>
  <c r="CQ78" i="39"/>
  <c r="CS73" i="34"/>
  <c r="CS78" i="39"/>
  <c r="CF91" i="34"/>
  <c r="CF96" i="39"/>
  <c r="CH91" i="34"/>
  <c r="CH96" i="39"/>
  <c r="CJ91" i="34"/>
  <c r="CJ96" i="39"/>
  <c r="CL91" i="34"/>
  <c r="CL96" i="39"/>
  <c r="CN91" i="34"/>
  <c r="CN96" i="39"/>
  <c r="CR91" i="34"/>
  <c r="CR96" i="39"/>
  <c r="CE109" i="34"/>
  <c r="CE114" i="39"/>
  <c r="CG109" i="34"/>
  <c r="CG114" i="39"/>
  <c r="CI109" i="34"/>
  <c r="CI114" i="39"/>
  <c r="CK109" i="34"/>
  <c r="CK114" i="39"/>
  <c r="CM109" i="34"/>
  <c r="CM114" i="39"/>
  <c r="CO109" i="34"/>
  <c r="CP109" i="34"/>
  <c r="CO114" i="39"/>
  <c r="CP114" i="39"/>
  <c r="CR114" i="34"/>
  <c r="CR119" i="39"/>
  <c r="CQ131" i="34"/>
  <c r="CQ136" i="39"/>
  <c r="CS131" i="34"/>
  <c r="CS136" i="39"/>
  <c r="CF134" i="34"/>
  <c r="CF139" i="39"/>
  <c r="CH134" i="34"/>
  <c r="CH139" i="39"/>
  <c r="CJ134" i="34"/>
  <c r="CJ139" i="39"/>
  <c r="CL134" i="34"/>
  <c r="CL139" i="39"/>
  <c r="CN134" i="34"/>
  <c r="CN139" i="39"/>
  <c r="CE139" i="34"/>
  <c r="CE144" i="39"/>
  <c r="CG139" i="34"/>
  <c r="CG144" i="39"/>
  <c r="CI139" i="34"/>
  <c r="CI144" i="39"/>
  <c r="CK139" i="34"/>
  <c r="CK144" i="39"/>
  <c r="CM139" i="34"/>
  <c r="CM144" i="39"/>
  <c r="CO139" i="34"/>
  <c r="CP139" i="34"/>
  <c r="CO144" i="39"/>
  <c r="CP144" i="39"/>
  <c r="CR141" i="34"/>
  <c r="CR146" i="39"/>
  <c r="F70" i="31"/>
  <c r="F62" i="30"/>
  <c r="G75" i="30"/>
  <c r="G85" i="31"/>
  <c r="G87" i="31"/>
  <c r="G91" i="31"/>
  <c r="J85" i="31"/>
  <c r="I142" i="33"/>
  <c r="I148" i="33"/>
  <c r="I154" i="33"/>
  <c r="F142" i="33"/>
  <c r="F148" i="33"/>
  <c r="J147" i="31"/>
  <c r="J154" i="31"/>
  <c r="DW192" i="39"/>
  <c r="DV165" i="39"/>
  <c r="CN159" i="34"/>
  <c r="N163" i="31"/>
  <c r="N170" i="31"/>
  <c r="BP164" i="39"/>
  <c r="CL35" i="24"/>
  <c r="DV23" i="24"/>
  <c r="EL165" i="39"/>
  <c r="O252" i="33"/>
  <c r="DO191" i="39"/>
  <c r="E254" i="33"/>
  <c r="G126" i="33"/>
  <c r="DG50" i="24"/>
  <c r="DG53" i="24"/>
  <c r="DG55" i="24"/>
  <c r="DW164" i="39"/>
  <c r="J155" i="33"/>
  <c r="BN193" i="39"/>
  <c r="BD71" i="24"/>
  <c r="BT173" i="39"/>
  <c r="AV160" i="34"/>
  <c r="E129" i="33"/>
  <c r="BU67" i="24"/>
  <c r="EI50" i="24"/>
  <c r="EI53" i="24"/>
  <c r="EI55" i="24"/>
  <c r="EY164" i="39"/>
  <c r="E177" i="33"/>
  <c r="BU191" i="39"/>
  <c r="N153" i="33"/>
  <c r="O126" i="33"/>
  <c r="BG186" i="34"/>
  <c r="I281" i="33"/>
  <c r="DU194" i="39"/>
  <c r="E280" i="33"/>
  <c r="DQ193" i="39"/>
  <c r="I305" i="33"/>
  <c r="EG193" i="39"/>
  <c r="AY187" i="34"/>
  <c r="H68" i="31"/>
  <c r="H74" i="31"/>
  <c r="G202" i="33"/>
  <c r="CI186" i="34"/>
  <c r="BW55" i="24"/>
  <c r="CM159" i="34"/>
  <c r="I280" i="33"/>
  <c r="DU193" i="39"/>
  <c r="E279" i="33"/>
  <c r="G128" i="33"/>
  <c r="CL23" i="24"/>
  <c r="EB35" i="24"/>
  <c r="CV68" i="24"/>
  <c r="CV69" i="24"/>
  <c r="CV71" i="24"/>
  <c r="CS21" i="24"/>
  <c r="CS23" i="24"/>
  <c r="BP68" i="24"/>
  <c r="BP69" i="24"/>
  <c r="BC55" i="24"/>
  <c r="BS164" i="39"/>
  <c r="CX23" i="24"/>
  <c r="AW191" i="39"/>
  <c r="AQ164" i="39"/>
  <c r="Z55" i="24"/>
  <c r="H67" i="24"/>
  <c r="H71" i="24"/>
  <c r="X168" i="34"/>
  <c r="N55" i="24"/>
  <c r="AE160" i="34"/>
  <c r="J94" i="33"/>
  <c r="L33" i="33"/>
  <c r="M281" i="33"/>
  <c r="DY194" i="39"/>
  <c r="M229" i="33"/>
  <c r="D95" i="33"/>
  <c r="F95" i="33"/>
  <c r="DJ193" i="39"/>
  <c r="DJ188" i="34"/>
  <c r="M255" i="33"/>
  <c r="DM194" i="39"/>
  <c r="BS193" i="39"/>
  <c r="BS188" i="34"/>
  <c r="H96" i="33"/>
  <c r="L60" i="33"/>
  <c r="D62" i="33"/>
  <c r="N156" i="33"/>
  <c r="CF119" i="39"/>
  <c r="CH119" i="39"/>
  <c r="CJ119" i="39"/>
  <c r="CL119" i="39"/>
  <c r="CN119" i="39"/>
  <c r="CE136" i="39"/>
  <c r="CG136" i="39"/>
  <c r="CI136" i="39"/>
  <c r="CK136" i="39"/>
  <c r="CM136" i="39"/>
  <c r="CO136" i="39"/>
  <c r="CP136" i="39"/>
  <c r="CR139" i="39"/>
  <c r="CQ144" i="39"/>
  <c r="CS144" i="39"/>
  <c r="AK21" i="26"/>
  <c r="AK25" i="26"/>
  <c r="AK35" i="26"/>
  <c r="AK44" i="26"/>
  <c r="AQ21" i="26"/>
  <c r="AQ25" i="26"/>
  <c r="BN46" i="27"/>
  <c r="BN51" i="27"/>
  <c r="BN26" i="27"/>
  <c r="EG28" i="27"/>
  <c r="EG48" i="27"/>
  <c r="EG68" i="27"/>
  <c r="EG73" i="27"/>
  <c r="M66" i="27"/>
  <c r="M71" i="27"/>
  <c r="M51" i="27"/>
  <c r="AC51" i="27"/>
  <c r="AC66" i="27"/>
  <c r="AC71" i="27"/>
  <c r="J75" i="30"/>
  <c r="J77" i="30"/>
  <c r="J80" i="30"/>
  <c r="J82" i="30"/>
  <c r="G76" i="30"/>
  <c r="G77" i="30"/>
  <c r="G80" i="30"/>
  <c r="G82" i="30"/>
  <c r="G110" i="30"/>
  <c r="CH202" i="34"/>
  <c r="F161" i="30"/>
  <c r="EC207" i="39"/>
  <c r="DU21" i="24"/>
  <c r="DU23" i="24"/>
  <c r="AE159" i="34"/>
  <c r="AE164" i="39"/>
  <c r="ED23" i="24"/>
  <c r="DN23" i="24"/>
  <c r="DN33" i="24"/>
  <c r="DN36" i="24"/>
  <c r="ED166" i="39"/>
  <c r="BL71" i="24"/>
  <c r="CT23" i="24"/>
  <c r="CT33" i="24"/>
  <c r="CT36" i="24"/>
  <c r="AN71" i="24"/>
  <c r="EA71" i="24"/>
  <c r="EQ173" i="39"/>
  <c r="DO71" i="24"/>
  <c r="EE173" i="39"/>
  <c r="AR55" i="24"/>
  <c r="BB55" i="24"/>
  <c r="BR159" i="34"/>
  <c r="L38" i="28"/>
  <c r="BN192" i="34"/>
  <c r="BN197" i="39"/>
  <c r="DD192" i="34"/>
  <c r="DD197" i="39"/>
  <c r="N49" i="30"/>
  <c r="N52" i="30"/>
  <c r="O48" i="30"/>
  <c r="P48" i="30"/>
  <c r="P49" i="30"/>
  <c r="P52" i="30"/>
  <c r="P54" i="30"/>
  <c r="K87" i="31"/>
  <c r="K91" i="31"/>
  <c r="M87" i="31"/>
  <c r="M91" i="31"/>
  <c r="O87" i="31"/>
  <c r="O91" i="31"/>
  <c r="AB55" i="24"/>
  <c r="G176" i="28"/>
  <c r="FB183" i="39"/>
  <c r="K96" i="33"/>
  <c r="I127" i="33"/>
  <c r="M370" i="33"/>
  <c r="FU194" i="39"/>
  <c r="H31" i="26"/>
  <c r="H40" i="26"/>
  <c r="I29" i="26"/>
  <c r="I38" i="26"/>
  <c r="U34" i="26"/>
  <c r="U43" i="26"/>
  <c r="Y55" i="27"/>
  <c r="W55" i="27"/>
  <c r="I63" i="30"/>
  <c r="I66" i="30"/>
  <c r="I68" i="30"/>
  <c r="F26" i="30"/>
  <c r="M40" i="30"/>
  <c r="O40" i="30"/>
  <c r="O82" i="30"/>
  <c r="BR202" i="34"/>
  <c r="O77" i="30"/>
  <c r="O80" i="30"/>
  <c r="L105" i="30"/>
  <c r="L108" i="30"/>
  <c r="F71" i="31"/>
  <c r="F75" i="31"/>
  <c r="J87" i="31"/>
  <c r="J91" i="31"/>
  <c r="E32" i="32"/>
  <c r="I32" i="32"/>
  <c r="M32" i="32"/>
  <c r="G119" i="32"/>
  <c r="ED210" i="39"/>
  <c r="I23" i="24"/>
  <c r="Y165" i="39"/>
  <c r="O71" i="31"/>
  <c r="O75" i="31"/>
  <c r="M158" i="29"/>
  <c r="FW188" i="58"/>
  <c r="CI53" i="27"/>
  <c r="BU28" i="27"/>
  <c r="FB26" i="27"/>
  <c r="DG53" i="27"/>
  <c r="DP46" i="27"/>
  <c r="DP51" i="27"/>
  <c r="BI53" i="27"/>
  <c r="CA28" i="27"/>
  <c r="FA28" i="27"/>
  <c r="ED26" i="27"/>
  <c r="AO28" i="27"/>
  <c r="BT46" i="27"/>
  <c r="BT51" i="27"/>
  <c r="BQ68" i="27"/>
  <c r="BQ73" i="27"/>
  <c r="EZ25" i="26"/>
  <c r="U171" i="34"/>
  <c r="Y176" i="39"/>
  <c r="I181" i="25"/>
  <c r="I184" i="25"/>
  <c r="L509" i="25"/>
  <c r="AK171" i="34"/>
  <c r="AC176" i="39"/>
  <c r="J572" i="25"/>
  <c r="J575" i="25"/>
  <c r="EG179" i="39"/>
  <c r="BU46" i="27"/>
  <c r="BU51" i="27"/>
  <c r="BO55" i="24"/>
  <c r="CE164" i="39"/>
  <c r="BO67" i="24"/>
  <c r="CM191" i="39"/>
  <c r="CM186" i="34"/>
  <c r="CO194" i="39"/>
  <c r="CO189" i="34"/>
  <c r="P54" i="31"/>
  <c r="P55" i="31"/>
  <c r="P59" i="31"/>
  <c r="O55" i="31"/>
  <c r="O59" i="31"/>
  <c r="AS186" i="34"/>
  <c r="AS191" i="39"/>
  <c r="T29" i="26"/>
  <c r="T38" i="26"/>
  <c r="T31" i="26"/>
  <c r="T40" i="26"/>
  <c r="L110" i="30"/>
  <c r="CM207" i="39"/>
  <c r="CG189" i="34"/>
  <c r="ER192" i="39"/>
  <c r="DG187" i="34"/>
  <c r="AU194" i="39"/>
  <c r="AU67" i="24"/>
  <c r="AU55" i="24"/>
  <c r="AN65" i="27"/>
  <c r="AN70" i="27"/>
  <c r="BB177" i="39"/>
  <c r="H509" i="25"/>
  <c r="O176" i="39"/>
  <c r="G530" i="25"/>
  <c r="AJ20" i="27"/>
  <c r="AJ45" i="27"/>
  <c r="AJ50" i="27"/>
  <c r="FD192" i="39"/>
  <c r="I201" i="31"/>
  <c r="I207" i="31"/>
  <c r="BE191" i="39"/>
  <c r="H157" i="31"/>
  <c r="DG208" i="39"/>
  <c r="EI192" i="39"/>
  <c r="L177" i="31"/>
  <c r="L183" i="31"/>
  <c r="AO164" i="39"/>
  <c r="BI193" i="39"/>
  <c r="BO191" i="39"/>
  <c r="CE186" i="34"/>
  <c r="CE67" i="24"/>
  <c r="CE71" i="24"/>
  <c r="CU173" i="39"/>
  <c r="DA191" i="39"/>
  <c r="AY159" i="34"/>
  <c r="DQ192" i="39"/>
  <c r="F163" i="31"/>
  <c r="F170" i="31"/>
  <c r="F173" i="31"/>
  <c r="DQ208" i="39"/>
  <c r="BK191" i="39"/>
  <c r="BK186" i="34"/>
  <c r="H25" i="44"/>
  <c r="I25" i="44"/>
  <c r="CV210" i="39"/>
  <c r="CV205" i="34"/>
  <c r="M55" i="27"/>
  <c r="H33" i="26"/>
  <c r="H42" i="26"/>
  <c r="BB172" i="34"/>
  <c r="AX172" i="34"/>
  <c r="J154" i="30"/>
  <c r="J156" i="30"/>
  <c r="J159" i="30"/>
  <c r="J161" i="30"/>
  <c r="EG207" i="39"/>
  <c r="J179" i="31"/>
  <c r="J181" i="31"/>
  <c r="J184" i="31"/>
  <c r="AK177" i="39"/>
  <c r="M35" i="33"/>
  <c r="M33" i="33"/>
  <c r="K62" i="33"/>
  <c r="K61" i="33"/>
  <c r="O94" i="33"/>
  <c r="O95" i="33"/>
  <c r="P52" i="31"/>
  <c r="P58" i="31"/>
  <c r="P61" i="31"/>
  <c r="I156" i="33"/>
  <c r="BM189" i="34"/>
  <c r="J67" i="27"/>
  <c r="J72" i="27"/>
  <c r="J74" i="27"/>
  <c r="J52" i="27"/>
  <c r="J55" i="27"/>
  <c r="AC53" i="27"/>
  <c r="AC68" i="27"/>
  <c r="AC73" i="27"/>
  <c r="E24" i="28"/>
  <c r="I38" i="28"/>
  <c r="L306" i="33"/>
  <c r="EJ194" i="39"/>
  <c r="CS55" i="24"/>
  <c r="CN55" i="24"/>
  <c r="DD164" i="39"/>
  <c r="CB46" i="27"/>
  <c r="CB51" i="27"/>
  <c r="CE187" i="34"/>
  <c r="DA48" i="27"/>
  <c r="DA53" i="27"/>
  <c r="D350" i="33"/>
  <c r="EZ194" i="39"/>
  <c r="H278" i="33"/>
  <c r="DT191" i="39"/>
  <c r="L350" i="33"/>
  <c r="FH194" i="39"/>
  <c r="AE22" i="27"/>
  <c r="CU197" i="39"/>
  <c r="M369" i="33"/>
  <c r="FU193" i="39"/>
  <c r="J30" i="27"/>
  <c r="N30" i="27"/>
  <c r="Z30" i="27"/>
  <c r="F38" i="28"/>
  <c r="BW192" i="34"/>
  <c r="BW197" i="39"/>
  <c r="E99" i="29"/>
  <c r="CT197" i="39"/>
  <c r="I99" i="29"/>
  <c r="K26" i="30"/>
  <c r="O26" i="30"/>
  <c r="CH205" i="34"/>
  <c r="CH210" i="39"/>
  <c r="BP192" i="34"/>
  <c r="BP197" i="39"/>
  <c r="CM192" i="34"/>
  <c r="CM197" i="39"/>
  <c r="DF192" i="34"/>
  <c r="DF197" i="39"/>
  <c r="BG205" i="34"/>
  <c r="BG210" i="39"/>
  <c r="CY205" i="34"/>
  <c r="CY210" i="39"/>
  <c r="CU21" i="24"/>
  <c r="CU23" i="24"/>
  <c r="CU50" i="24"/>
  <c r="CU53" i="24"/>
  <c r="Z168" i="34"/>
  <c r="Z173" i="39"/>
  <c r="AL159" i="34"/>
  <c r="AL164" i="39"/>
  <c r="DG140" i="34"/>
  <c r="DG145" i="39"/>
  <c r="DK140" i="34"/>
  <c r="DK145" i="39"/>
  <c r="AI20" i="27"/>
  <c r="AI25" i="27"/>
  <c r="AW176" i="39"/>
  <c r="AW184" i="39"/>
  <c r="AP67" i="27"/>
  <c r="AP72" i="27"/>
  <c r="AP52" i="27"/>
  <c r="J140" i="32"/>
  <c r="FQ210" i="39"/>
  <c r="AD55" i="24"/>
  <c r="F23" i="24"/>
  <c r="F33" i="24"/>
  <c r="F36" i="24"/>
  <c r="J23" i="24"/>
  <c r="Z165" i="39"/>
  <c r="N23" i="24"/>
  <c r="R23" i="24"/>
  <c r="AH165" i="39"/>
  <c r="V23" i="24"/>
  <c r="Z23" i="24"/>
  <c r="AD23" i="24"/>
  <c r="O34" i="33"/>
  <c r="G97" i="33"/>
  <c r="F34" i="26"/>
  <c r="F43" i="26"/>
  <c r="R30" i="26"/>
  <c r="R39" i="26"/>
  <c r="L30" i="27"/>
  <c r="Z74" i="27"/>
  <c r="C99" i="29"/>
  <c r="G99" i="29"/>
  <c r="J129" i="29"/>
  <c r="EI197" i="39"/>
  <c r="K158" i="29"/>
  <c r="FT197" i="39"/>
  <c r="I26" i="30"/>
  <c r="M26" i="30"/>
  <c r="Q26" i="30"/>
  <c r="G40" i="30"/>
  <c r="E54" i="30"/>
  <c r="I54" i="30"/>
  <c r="K71" i="31"/>
  <c r="K75" i="31"/>
  <c r="E105" i="30"/>
  <c r="E108" i="30"/>
  <c r="E110" i="30"/>
  <c r="I105" i="30"/>
  <c r="I108" i="30"/>
  <c r="M105" i="30"/>
  <c r="M108" i="30"/>
  <c r="M110" i="30"/>
  <c r="J119" i="30"/>
  <c r="J122" i="30"/>
  <c r="G198" i="30"/>
  <c r="FN207" i="39"/>
  <c r="G119" i="31"/>
  <c r="G123" i="31"/>
  <c r="O119" i="31"/>
  <c r="O123" i="31"/>
  <c r="I151" i="31"/>
  <c r="I155" i="31"/>
  <c r="L167" i="31"/>
  <c r="L171" i="31"/>
  <c r="L173" i="31"/>
  <c r="DW208" i="39"/>
  <c r="J193" i="31"/>
  <c r="J196" i="31"/>
  <c r="W32" i="32"/>
  <c r="DQ21" i="24"/>
  <c r="BI35" i="24"/>
  <c r="G140" i="32"/>
  <c r="FN210" i="39"/>
  <c r="AK23" i="24"/>
  <c r="BA160" i="34"/>
  <c r="AO23" i="24"/>
  <c r="BE160" i="34"/>
  <c r="AS23" i="24"/>
  <c r="BI165" i="39"/>
  <c r="AW23" i="24"/>
  <c r="BA23" i="24"/>
  <c r="BE23" i="24"/>
  <c r="BI23" i="24"/>
  <c r="BY160" i="34"/>
  <c r="BM23" i="24"/>
  <c r="BM33" i="24"/>
  <c r="BQ23" i="24"/>
  <c r="CG165" i="39"/>
  <c r="BY23" i="24"/>
  <c r="CC23" i="24"/>
  <c r="D23" i="24"/>
  <c r="D33" i="24"/>
  <c r="D36" i="24"/>
  <c r="H23" i="24"/>
  <c r="L23" i="24"/>
  <c r="T23" i="24"/>
  <c r="X23" i="24"/>
  <c r="AB23" i="24"/>
  <c r="AR165" i="39"/>
  <c r="CJ55" i="24"/>
  <c r="AP55" i="24"/>
  <c r="BN55" i="24"/>
  <c r="CD55" i="24"/>
  <c r="N94" i="33"/>
  <c r="I30" i="27"/>
  <c r="M30" i="27"/>
  <c r="AA74" i="27"/>
  <c r="D99" i="29"/>
  <c r="H99" i="29"/>
  <c r="CW197" i="39"/>
  <c r="D158" i="29"/>
  <c r="FM197" i="39"/>
  <c r="H158" i="29"/>
  <c r="FQ197" i="39"/>
  <c r="L158" i="29"/>
  <c r="FU197" i="39"/>
  <c r="G119" i="30"/>
  <c r="G122" i="30"/>
  <c r="G124" i="30"/>
  <c r="K198" i="30"/>
  <c r="FR207" i="39"/>
  <c r="E193" i="30"/>
  <c r="E196" i="30"/>
  <c r="E67" i="24"/>
  <c r="E71" i="24"/>
  <c r="AC55" i="24"/>
  <c r="AE26" i="27"/>
  <c r="FG26" i="27"/>
  <c r="BP25" i="26"/>
  <c r="DG46" i="27"/>
  <c r="DG51" i="27"/>
  <c r="AA35" i="26"/>
  <c r="AA44" i="26"/>
  <c r="V30" i="26"/>
  <c r="V39" i="26"/>
  <c r="DY46" i="27"/>
  <c r="DY51" i="27"/>
  <c r="EQ46" i="27"/>
  <c r="EQ51" i="27"/>
  <c r="CR48" i="27"/>
  <c r="CR53" i="27"/>
  <c r="CJ28" i="27"/>
  <c r="CN48" i="27"/>
  <c r="CN53" i="27"/>
  <c r="EE26" i="27"/>
  <c r="EX25" i="26"/>
  <c r="DF25" i="26"/>
  <c r="CG22" i="27"/>
  <c r="CG27" i="27"/>
  <c r="FE22" i="27"/>
  <c r="FE47" i="27"/>
  <c r="FE52" i="27"/>
  <c r="J29" i="26"/>
  <c r="J38" i="26"/>
  <c r="L31" i="26"/>
  <c r="L40" i="26"/>
  <c r="N35" i="26"/>
  <c r="N44" i="26"/>
  <c r="P32" i="26"/>
  <c r="P41" i="26"/>
  <c r="X30" i="26"/>
  <c r="X39" i="26"/>
  <c r="Z32" i="26"/>
  <c r="Z41" i="26"/>
  <c r="EM25" i="26"/>
  <c r="ES25" i="26"/>
  <c r="EQ25" i="26"/>
  <c r="T33" i="26"/>
  <c r="T42" i="26"/>
  <c r="H30" i="26"/>
  <c r="H39" i="26"/>
  <c r="U32" i="26"/>
  <c r="U41" i="26"/>
  <c r="F33" i="26"/>
  <c r="F42" i="26"/>
  <c r="R33" i="26"/>
  <c r="R42" i="26"/>
  <c r="T35" i="26"/>
  <c r="T44" i="26"/>
  <c r="E39" i="26"/>
  <c r="E43" i="26"/>
  <c r="E44" i="26"/>
  <c r="CI25" i="26"/>
  <c r="T32" i="26"/>
  <c r="T41" i="26"/>
  <c r="H35" i="26"/>
  <c r="H44" i="26"/>
  <c r="U33" i="26"/>
  <c r="U42" i="26"/>
  <c r="U30" i="26"/>
  <c r="U39" i="26"/>
  <c r="F29" i="26"/>
  <c r="F38" i="26"/>
  <c r="R29" i="26"/>
  <c r="R38" i="26"/>
  <c r="R34" i="26"/>
  <c r="R43" i="26"/>
  <c r="X29" i="26"/>
  <c r="X38" i="26"/>
  <c r="F35" i="26"/>
  <c r="F44" i="26"/>
  <c r="G29" i="26"/>
  <c r="G38" i="26"/>
  <c r="U31" i="26"/>
  <c r="U40" i="26"/>
  <c r="E38" i="26"/>
  <c r="E46" i="26"/>
  <c r="E42" i="26"/>
  <c r="CC25" i="26"/>
  <c r="DN22" i="27"/>
  <c r="DN47" i="27"/>
  <c r="P30" i="26"/>
  <c r="P39" i="26"/>
  <c r="DO46" i="27"/>
  <c r="DO51" i="27"/>
  <c r="EW46" i="27"/>
  <c r="EW51" i="27"/>
  <c r="ER68" i="27"/>
  <c r="ER73" i="27"/>
  <c r="BV48" i="27"/>
  <c r="BV68" i="27"/>
  <c r="BV73" i="27"/>
  <c r="CT48" i="27"/>
  <c r="CT68" i="27"/>
  <c r="CT73" i="27"/>
  <c r="CQ26" i="27"/>
  <c r="CF48" i="27"/>
  <c r="BD28" i="27"/>
  <c r="AK27" i="27"/>
  <c r="ES26" i="27"/>
  <c r="CX28" i="27"/>
  <c r="DE26" i="27"/>
  <c r="EP48" i="27"/>
  <c r="EP53" i="27"/>
  <c r="K32" i="26"/>
  <c r="K41" i="26"/>
  <c r="DM46" i="27"/>
  <c r="DM51" i="27"/>
  <c r="DQ46" i="27"/>
  <c r="DQ51" i="27"/>
  <c r="BY26" i="27"/>
  <c r="DW26" i="27"/>
  <c r="AG46" i="27"/>
  <c r="AG66" i="27"/>
  <c r="AG71" i="27"/>
  <c r="BT28" i="27"/>
  <c r="BS26" i="27"/>
  <c r="BR48" i="27"/>
  <c r="BR68" i="27"/>
  <c r="BR73" i="27"/>
  <c r="EA26" i="27"/>
  <c r="DK26" i="27"/>
  <c r="CK46" i="27"/>
  <c r="CK51" i="27"/>
  <c r="AS46" i="27"/>
  <c r="AS51" i="27"/>
  <c r="EH28" i="27"/>
  <c r="AK65" i="27"/>
  <c r="AK70" i="27"/>
  <c r="Z176" i="39"/>
  <c r="AR176" i="39"/>
  <c r="BC176" i="39"/>
  <c r="BC184" i="39"/>
  <c r="L525" i="25"/>
  <c r="E206" i="25"/>
  <c r="AE20" i="26"/>
  <c r="AE24" i="26"/>
  <c r="BD172" i="34"/>
  <c r="BF176" i="39"/>
  <c r="BF184" i="39"/>
  <c r="O530" i="25"/>
  <c r="O533" i="25"/>
  <c r="BF179" i="39"/>
  <c r="AC171" i="34"/>
  <c r="AM20" i="26"/>
  <c r="AM24" i="26"/>
  <c r="AM32" i="26"/>
  <c r="AM41" i="26"/>
  <c r="AK176" i="39"/>
  <c r="AV176" i="39"/>
  <c r="AV184" i="39"/>
  <c r="BB176" i="39"/>
  <c r="BB184" i="39"/>
  <c r="BD176" i="39"/>
  <c r="BD184" i="39"/>
  <c r="AZ177" i="39"/>
  <c r="AA20" i="27"/>
  <c r="AA45" i="27"/>
  <c r="AA50" i="27"/>
  <c r="AA55" i="27"/>
  <c r="Y171" i="34"/>
  <c r="H566" i="25"/>
  <c r="N176" i="39"/>
  <c r="AE176" i="39"/>
  <c r="P177" i="39"/>
  <c r="AY177" i="39"/>
  <c r="H196" i="25"/>
  <c r="H199" i="25"/>
  <c r="K509" i="25"/>
  <c r="K512" i="25"/>
  <c r="R174" i="34"/>
  <c r="G69" i="28"/>
  <c r="G74" i="28"/>
  <c r="AH20" i="27"/>
  <c r="AH45" i="27"/>
  <c r="AH50" i="27"/>
  <c r="AO171" i="34"/>
  <c r="K517" i="25"/>
  <c r="K520" i="25"/>
  <c r="AE174" i="34"/>
  <c r="E184" i="25"/>
  <c r="M191" i="25"/>
  <c r="AG173" i="34"/>
  <c r="G199" i="25"/>
  <c r="AM173" i="34"/>
  <c r="EQ45" i="27"/>
  <c r="EQ50" i="27"/>
  <c r="EV65" i="27"/>
  <c r="EV70" i="27"/>
  <c r="N196" i="25"/>
  <c r="N199" i="25"/>
  <c r="AT173" i="34"/>
  <c r="Q172" i="34"/>
  <c r="AL65" i="27"/>
  <c r="AL70" i="27"/>
  <c r="J204" i="25"/>
  <c r="AG177" i="39"/>
  <c r="AX177" i="39"/>
  <c r="AJ65" i="27"/>
  <c r="AJ70" i="27"/>
  <c r="S176" i="39"/>
  <c r="AH176" i="39"/>
  <c r="N517" i="25"/>
  <c r="AR171" i="34"/>
  <c r="AK172" i="34"/>
  <c r="BW20" i="26"/>
  <c r="BW24" i="26"/>
  <c r="L212" i="25"/>
  <c r="EI28" i="27"/>
  <c r="DI53" i="27"/>
  <c r="FD26" i="27"/>
  <c r="CX26" i="27"/>
  <c r="AE48" i="27"/>
  <c r="AE68" i="27"/>
  <c r="N44" i="28"/>
  <c r="N50" i="28"/>
  <c r="N53" i="28"/>
  <c r="AS178" i="34"/>
  <c r="AQ27" i="27"/>
  <c r="DS48" i="27"/>
  <c r="DS53" i="27"/>
  <c r="EN46" i="27"/>
  <c r="EN51" i="27"/>
  <c r="BB26" i="27"/>
  <c r="CA53" i="27"/>
  <c r="CR26" i="27"/>
  <c r="DU48" i="27"/>
  <c r="DU53" i="27"/>
  <c r="DM68" i="27"/>
  <c r="DM73" i="27"/>
  <c r="EQ48" i="27"/>
  <c r="EQ68" i="27"/>
  <c r="EQ73" i="27"/>
  <c r="AM28" i="27"/>
  <c r="EL26" i="27"/>
  <c r="EK48" i="27"/>
  <c r="EK53" i="27"/>
  <c r="EW68" i="27"/>
  <c r="EW73" i="27"/>
  <c r="AW48" i="27"/>
  <c r="AL26" i="27"/>
  <c r="DE28" i="27"/>
  <c r="CN26" i="27"/>
  <c r="J31" i="26"/>
  <c r="J40" i="26"/>
  <c r="L32" i="26"/>
  <c r="L41" i="26"/>
  <c r="N29" i="26"/>
  <c r="N38" i="26"/>
  <c r="P33" i="26"/>
  <c r="P42" i="26"/>
  <c r="V35" i="26"/>
  <c r="V44" i="26"/>
  <c r="X35" i="26"/>
  <c r="X44" i="26"/>
  <c r="Z29" i="26"/>
  <c r="Z38" i="26"/>
  <c r="BH192" i="34"/>
  <c r="BH197" i="39"/>
  <c r="BG192" i="34"/>
  <c r="BG197" i="39"/>
  <c r="F368" i="33"/>
  <c r="FN192" i="39"/>
  <c r="J367" i="33"/>
  <c r="FR191" i="39"/>
  <c r="G53" i="28"/>
  <c r="J54" i="30"/>
  <c r="G63" i="30"/>
  <c r="G66" i="30"/>
  <c r="G68" i="30"/>
  <c r="AX207" i="39"/>
  <c r="M63" i="30"/>
  <c r="M66" i="30"/>
  <c r="M68" i="30"/>
  <c r="O63" i="30"/>
  <c r="O66" i="30"/>
  <c r="K91" i="30"/>
  <c r="K94" i="30"/>
  <c r="O91" i="30"/>
  <c r="O94" i="30"/>
  <c r="O96" i="30"/>
  <c r="I133" i="30"/>
  <c r="I136" i="30"/>
  <c r="I138" i="30"/>
  <c r="E198" i="30"/>
  <c r="FL207" i="39"/>
  <c r="M198" i="30"/>
  <c r="FT207" i="39"/>
  <c r="N167" i="31"/>
  <c r="N171" i="31"/>
  <c r="N173" i="31"/>
  <c r="DY208" i="39"/>
  <c r="N119" i="32"/>
  <c r="EK210" i="39"/>
  <c r="F133" i="32"/>
  <c r="FA210" i="39"/>
  <c r="K140" i="32"/>
  <c r="FR210" i="39"/>
  <c r="CQ23" i="24"/>
  <c r="DG160" i="34"/>
  <c r="CY23" i="24"/>
  <c r="CY33" i="24"/>
  <c r="DG23" i="24"/>
  <c r="DG33" i="24"/>
  <c r="DK55" i="24"/>
  <c r="EA164" i="39"/>
  <c r="DS23" i="24"/>
  <c r="EI165" i="39"/>
  <c r="EA23" i="24"/>
  <c r="EQ165" i="39"/>
  <c r="EE23" i="24"/>
  <c r="EU165" i="39"/>
  <c r="EI23" i="24"/>
  <c r="EY165" i="39"/>
  <c r="DN71" i="24"/>
  <c r="ED173" i="39"/>
  <c r="AK71" i="24"/>
  <c r="AO55" i="24"/>
  <c r="BE164" i="39"/>
  <c r="BQ71" i="24"/>
  <c r="CG173" i="39"/>
  <c r="DA71" i="24"/>
  <c r="DQ173" i="39"/>
  <c r="DY71" i="24"/>
  <c r="EO173" i="39"/>
  <c r="EG71" i="24"/>
  <c r="EW173" i="39"/>
  <c r="N158" i="29"/>
  <c r="FX188" i="58"/>
  <c r="AD47" i="27"/>
  <c r="I126" i="33"/>
  <c r="M29" i="26"/>
  <c r="M38" i="26"/>
  <c r="W35" i="26"/>
  <c r="W44" i="26"/>
  <c r="AA29" i="26"/>
  <c r="AA38" i="26"/>
  <c r="G52" i="27"/>
  <c r="G55" i="27"/>
  <c r="H53" i="28"/>
  <c r="H63" i="30"/>
  <c r="H66" i="30"/>
  <c r="I110" i="30"/>
  <c r="CJ207" i="39"/>
  <c r="F105" i="30"/>
  <c r="F108" i="30"/>
  <c r="F110" i="30"/>
  <c r="CG207" i="39"/>
  <c r="N105" i="30"/>
  <c r="N108" i="30"/>
  <c r="N110" i="30"/>
  <c r="CO207" i="39"/>
  <c r="J124" i="30"/>
  <c r="H133" i="30"/>
  <c r="H136" i="30"/>
  <c r="H138" i="30"/>
  <c r="DG202" i="34"/>
  <c r="I119" i="31"/>
  <c r="I123" i="31"/>
  <c r="G151" i="31"/>
  <c r="G155" i="31"/>
  <c r="K151" i="31"/>
  <c r="K155" i="31"/>
  <c r="G133" i="32"/>
  <c r="FB210" i="39"/>
  <c r="K133" i="32"/>
  <c r="FF210" i="39"/>
  <c r="E140" i="32"/>
  <c r="FL210" i="39"/>
  <c r="DQ23" i="24"/>
  <c r="DT55" i="24"/>
  <c r="EJ164" i="39"/>
  <c r="AI71" i="24"/>
  <c r="CB165" i="39"/>
  <c r="BL33" i="24"/>
  <c r="BL36" i="24"/>
  <c r="CB161" i="34"/>
  <c r="CJ165" i="39"/>
  <c r="CJ160" i="34"/>
  <c r="BT33" i="24"/>
  <c r="BT36" i="24"/>
  <c r="DS33" i="24"/>
  <c r="DS36" i="24"/>
  <c r="EI166" i="39"/>
  <c r="BA168" i="34"/>
  <c r="BA173" i="39"/>
  <c r="BT165" i="39"/>
  <c r="BD33" i="24"/>
  <c r="DH160" i="34"/>
  <c r="DH165" i="39"/>
  <c r="CR33" i="24"/>
  <c r="BE159" i="34"/>
  <c r="BI67" i="24"/>
  <c r="BI71" i="24"/>
  <c r="BI55" i="24"/>
  <c r="G215" i="31"/>
  <c r="G221" i="31"/>
  <c r="G223" i="31"/>
  <c r="FN208" i="39"/>
  <c r="CR160" i="34"/>
  <c r="CR165" i="39"/>
  <c r="CB33" i="24"/>
  <c r="AG67" i="24"/>
  <c r="AG71" i="24"/>
  <c r="AG55" i="24"/>
  <c r="AW159" i="34"/>
  <c r="CC55" i="24"/>
  <c r="CC67" i="24"/>
  <c r="CC71" i="24"/>
  <c r="CS173" i="39"/>
  <c r="BM165" i="39"/>
  <c r="BM160" i="34"/>
  <c r="BQ33" i="24"/>
  <c r="BQ36" i="24"/>
  <c r="CG166" i="39"/>
  <c r="CG160" i="34"/>
  <c r="AL67" i="24"/>
  <c r="AL55" i="24"/>
  <c r="AW67" i="24"/>
  <c r="AW55" i="24"/>
  <c r="D236" i="25"/>
  <c r="D239" i="25"/>
  <c r="CR173" i="34"/>
  <c r="CC20" i="26"/>
  <c r="CC24" i="26"/>
  <c r="BF22" i="27"/>
  <c r="BF27" i="27"/>
  <c r="BE25" i="26"/>
  <c r="AD53" i="27"/>
  <c r="AD68" i="27"/>
  <c r="CQ33" i="24"/>
  <c r="DL191" i="39"/>
  <c r="DL186" i="34"/>
  <c r="BX205" i="34"/>
  <c r="BX210" i="39"/>
  <c r="BZ193" i="39"/>
  <c r="BZ188" i="34"/>
  <c r="BR193" i="39"/>
  <c r="BR188" i="34"/>
  <c r="AV186" i="34"/>
  <c r="AV191" i="39"/>
  <c r="L202" i="33"/>
  <c r="L204" i="33"/>
  <c r="CN193" i="39"/>
  <c r="H306" i="33"/>
  <c r="EF194" i="39"/>
  <c r="H304" i="33"/>
  <c r="D330" i="33"/>
  <c r="EN194" i="39"/>
  <c r="D328" i="33"/>
  <c r="EZ192" i="39"/>
  <c r="E201" i="31"/>
  <c r="E207" i="31"/>
  <c r="E209" i="31"/>
  <c r="EZ208" i="39"/>
  <c r="H350" i="33"/>
  <c r="FD194" i="39"/>
  <c r="H347" i="33"/>
  <c r="FD191" i="39"/>
  <c r="M201" i="31"/>
  <c r="M207" i="31"/>
  <c r="FH192" i="39"/>
  <c r="I58" i="28"/>
  <c r="I62" i="28"/>
  <c r="AL27" i="27"/>
  <c r="CA205" i="34"/>
  <c r="CA210" i="39"/>
  <c r="CE205" i="34"/>
  <c r="CE210" i="39"/>
  <c r="DG205" i="34"/>
  <c r="DG210" i="39"/>
  <c r="BR71" i="24"/>
  <c r="CH173" i="39"/>
  <c r="P68" i="31"/>
  <c r="P74" i="31"/>
  <c r="P77" i="31"/>
  <c r="BG203" i="34"/>
  <c r="AX159" i="34"/>
  <c r="BG188" i="34"/>
  <c r="CF164" i="39"/>
  <c r="O561" i="25"/>
  <c r="O562" i="25"/>
  <c r="AF33" i="24"/>
  <c r="BQ55" i="24"/>
  <c r="DN25" i="26"/>
  <c r="DN29" i="26"/>
  <c r="DN38" i="26"/>
  <c r="DZ68" i="24"/>
  <c r="DZ69" i="24"/>
  <c r="DZ71" i="24"/>
  <c r="EP173" i="39"/>
  <c r="DI55" i="24"/>
  <c r="DY164" i="39"/>
  <c r="J584" i="25"/>
  <c r="J587" i="25"/>
  <c r="FE179" i="39"/>
  <c r="CT68" i="24"/>
  <c r="CT69" i="24"/>
  <c r="DO21" i="24"/>
  <c r="DO23" i="24"/>
  <c r="DO33" i="24"/>
  <c r="DO36" i="24"/>
  <c r="EE166" i="39"/>
  <c r="CP23" i="24"/>
  <c r="DF165" i="39"/>
  <c r="EE50" i="24"/>
  <c r="EE53" i="24"/>
  <c r="EE55" i="24"/>
  <c r="EU164" i="39"/>
  <c r="DK48" i="27"/>
  <c r="DK68" i="27"/>
  <c r="DK73" i="27"/>
  <c r="EL27" i="27"/>
  <c r="BR55" i="24"/>
  <c r="CH159" i="34"/>
  <c r="EL67" i="27"/>
  <c r="BF172" i="34"/>
  <c r="AY210" i="39"/>
  <c r="DI191" i="39"/>
  <c r="BG48" i="27"/>
  <c r="BG68" i="27"/>
  <c r="BG73" i="27"/>
  <c r="AI23" i="24"/>
  <c r="CM23" i="24"/>
  <c r="AS210" i="39"/>
  <c r="D367" i="33"/>
  <c r="FL191" i="39"/>
  <c r="DW68" i="24"/>
  <c r="DW69" i="24"/>
  <c r="DW71" i="24"/>
  <c r="EM173" i="39"/>
  <c r="CK165" i="39"/>
  <c r="BU33" i="24"/>
  <c r="ER177" i="39"/>
  <c r="H267" i="25"/>
  <c r="H270" i="25"/>
  <c r="ER178" i="39"/>
  <c r="DR22" i="27"/>
  <c r="DR27" i="27"/>
  <c r="DQ25" i="26"/>
  <c r="DZ27" i="27"/>
  <c r="DZ47" i="27"/>
  <c r="DZ67" i="27"/>
  <c r="EE33" i="24"/>
  <c r="BH192" i="39"/>
  <c r="BH187" i="34"/>
  <c r="F83" i="31"/>
  <c r="F90" i="31"/>
  <c r="F93" i="31"/>
  <c r="BD194" i="39"/>
  <c r="BD189" i="34"/>
  <c r="EH192" i="39"/>
  <c r="K177" i="31"/>
  <c r="K183" i="31"/>
  <c r="K185" i="31"/>
  <c r="EH208" i="39"/>
  <c r="BY186" i="34"/>
  <c r="BY191" i="39"/>
  <c r="CP186" i="34"/>
  <c r="CP191" i="39"/>
  <c r="BL186" i="34"/>
  <c r="BL191" i="39"/>
  <c r="K126" i="33"/>
  <c r="K128" i="33"/>
  <c r="H155" i="33"/>
  <c r="H154" i="33"/>
  <c r="L153" i="33"/>
  <c r="L154" i="33"/>
  <c r="BP192" i="39"/>
  <c r="L155" i="33"/>
  <c r="BP193" i="39"/>
  <c r="G255" i="33"/>
  <c r="DG194" i="39"/>
  <c r="G254" i="33"/>
  <c r="DG193" i="39"/>
  <c r="G280" i="33"/>
  <c r="DS193" i="39"/>
  <c r="G278" i="33"/>
  <c r="DS191" i="39"/>
  <c r="K280" i="33"/>
  <c r="DW193" i="39"/>
  <c r="K281" i="33"/>
  <c r="DW194" i="39"/>
  <c r="K306" i="33"/>
  <c r="EI194" i="39"/>
  <c r="K303" i="33"/>
  <c r="EI191" i="39"/>
  <c r="O347" i="33"/>
  <c r="FK191" i="39"/>
  <c r="O348" i="33"/>
  <c r="P201" i="31"/>
  <c r="P207" i="31"/>
  <c r="P209" i="31"/>
  <c r="FK208" i="39"/>
  <c r="CU26" i="27"/>
  <c r="CU46" i="27"/>
  <c r="CU51" i="27"/>
  <c r="DC26" i="27"/>
  <c r="DC46" i="27"/>
  <c r="DC51" i="27"/>
  <c r="DS46" i="27"/>
  <c r="DS51" i="27"/>
  <c r="DS26" i="27"/>
  <c r="EI46" i="27"/>
  <c r="EI51" i="27"/>
  <c r="EI26" i="27"/>
  <c r="BL48" i="27"/>
  <c r="BL53" i="27"/>
  <c r="BL28" i="27"/>
  <c r="CB28" i="27"/>
  <c r="CB48" i="27"/>
  <c r="CB68" i="27"/>
  <c r="CB73" i="27"/>
  <c r="CV28" i="27"/>
  <c r="CV48" i="27"/>
  <c r="CV53" i="27"/>
  <c r="EJ28" i="27"/>
  <c r="EJ48" i="27"/>
  <c r="EN48" i="27"/>
  <c r="EN68" i="27"/>
  <c r="EN73" i="27"/>
  <c r="EN28" i="27"/>
  <c r="BJ210" i="39"/>
  <c r="BJ205" i="34"/>
  <c r="DB205" i="34"/>
  <c r="DB210" i="39"/>
  <c r="CO55" i="24"/>
  <c r="CY36" i="24"/>
  <c r="DO166" i="39"/>
  <c r="CH71" i="24"/>
  <c r="ED71" i="24"/>
  <c r="ET173" i="39"/>
  <c r="BT164" i="39"/>
  <c r="BS202" i="34"/>
  <c r="CK159" i="34"/>
  <c r="AX194" i="39"/>
  <c r="BG191" i="39"/>
  <c r="CF188" i="34"/>
  <c r="BM194" i="39"/>
  <c r="AP26" i="27"/>
  <c r="BW22" i="27"/>
  <c r="BW47" i="27"/>
  <c r="BW52" i="27"/>
  <c r="EM22" i="27"/>
  <c r="EM27" i="27"/>
  <c r="AV25" i="26"/>
  <c r="ET46" i="27"/>
  <c r="ET51" i="27"/>
  <c r="CD46" i="27"/>
  <c r="CD51" i="27"/>
  <c r="DQ55" i="24"/>
  <c r="EG164" i="39"/>
  <c r="DF26" i="27"/>
  <c r="AX26" i="27"/>
  <c r="FE20" i="26"/>
  <c r="FE24" i="26"/>
  <c r="FE32" i="26"/>
  <c r="FE41" i="26"/>
  <c r="J126" i="28"/>
  <c r="J131" i="28"/>
  <c r="DK21" i="24"/>
  <c r="DK23" i="24"/>
  <c r="EA165" i="39"/>
  <c r="DJ55" i="24"/>
  <c r="EC55" i="24"/>
  <c r="ES164" i="39"/>
  <c r="DS50" i="24"/>
  <c r="DS53" i="24"/>
  <c r="DS55" i="24"/>
  <c r="EI164" i="39"/>
  <c r="M367" i="33"/>
  <c r="FU191" i="39"/>
  <c r="ED55" i="24"/>
  <c r="ET164" i="39"/>
  <c r="CQ50" i="24"/>
  <c r="CQ53" i="24"/>
  <c r="CQ55" i="24"/>
  <c r="F185" i="31"/>
  <c r="EC208" i="39"/>
  <c r="FC192" i="39"/>
  <c r="BC194" i="39"/>
  <c r="BF194" i="39"/>
  <c r="BP189" i="34"/>
  <c r="BH194" i="39"/>
  <c r="AY189" i="34"/>
  <c r="DD194" i="39"/>
  <c r="EL192" i="39"/>
  <c r="CI28" i="27"/>
  <c r="FF46" i="27"/>
  <c r="FF51" i="27"/>
  <c r="FC48" i="27"/>
  <c r="FC53" i="27"/>
  <c r="CW25" i="26"/>
  <c r="EX47" i="27"/>
  <c r="EX67" i="27"/>
  <c r="CL22" i="27"/>
  <c r="CL47" i="27"/>
  <c r="CL52" i="27"/>
  <c r="BI25" i="26"/>
  <c r="BV68" i="24"/>
  <c r="BV69" i="24"/>
  <c r="BN68" i="24"/>
  <c r="BN69" i="24"/>
  <c r="BZ68" i="24"/>
  <c r="BZ69" i="24"/>
  <c r="AX35" i="24"/>
  <c r="N95" i="28"/>
  <c r="N100" i="28"/>
  <c r="BX33" i="24"/>
  <c r="BX36" i="24"/>
  <c r="CK160" i="34"/>
  <c r="EA33" i="24"/>
  <c r="EA36" i="24"/>
  <c r="EQ166" i="39"/>
  <c r="BV26" i="27"/>
  <c r="DF36" i="24"/>
  <c r="DV166" i="39"/>
  <c r="M368" i="33"/>
  <c r="E157" i="31"/>
  <c r="DD203" i="34"/>
  <c r="G95" i="28"/>
  <c r="G100" i="28"/>
  <c r="BS159" i="34"/>
  <c r="DF68" i="24"/>
  <c r="DF69" i="24"/>
  <c r="DF71" i="24"/>
  <c r="DV173" i="39"/>
  <c r="CH35" i="24"/>
  <c r="CY50" i="24"/>
  <c r="CY53" i="24"/>
  <c r="CY55" i="24"/>
  <c r="DO164" i="39"/>
  <c r="ED35" i="24"/>
  <c r="EA48" i="27"/>
  <c r="EA68" i="27"/>
  <c r="EA73" i="27"/>
  <c r="N64" i="25"/>
  <c r="CB65" i="27"/>
  <c r="CB70" i="27"/>
  <c r="BP165" i="39"/>
  <c r="DJ46" i="27"/>
  <c r="DJ51" i="27"/>
  <c r="CN210" i="39"/>
  <c r="CI210" i="39"/>
  <c r="BN189" i="34"/>
  <c r="BW35" i="24"/>
  <c r="AQ35" i="24"/>
  <c r="CO71" i="24"/>
  <c r="DE173" i="39"/>
  <c r="BF23" i="24"/>
  <c r="H68" i="30"/>
  <c r="AY202" i="34"/>
  <c r="EI68" i="24"/>
  <c r="EI69" i="24"/>
  <c r="EI71" i="24"/>
  <c r="EY173" i="39"/>
  <c r="AZ189" i="34"/>
  <c r="AZ194" i="39"/>
  <c r="CQ189" i="34"/>
  <c r="CQ194" i="39"/>
  <c r="BU159" i="34"/>
  <c r="BU164" i="39"/>
  <c r="EB177" i="39"/>
  <c r="DN65" i="27"/>
  <c r="DN70" i="27"/>
  <c r="DU25" i="26"/>
  <c r="DV22" i="27"/>
  <c r="DV47" i="27"/>
  <c r="DV67" i="27"/>
  <c r="AV205" i="34"/>
  <c r="AV210" i="39"/>
  <c r="BY67" i="24"/>
  <c r="BY55" i="24"/>
  <c r="EK192" i="39"/>
  <c r="N177" i="31"/>
  <c r="N183" i="31"/>
  <c r="N185" i="31"/>
  <c r="EK208" i="39"/>
  <c r="BV188" i="34"/>
  <c r="BV193" i="39"/>
  <c r="EQ53" i="27"/>
  <c r="BA210" i="39"/>
  <c r="BA205" i="34"/>
  <c r="BN164" i="39"/>
  <c r="BN159" i="34"/>
  <c r="DI172" i="34"/>
  <c r="CU65" i="27"/>
  <c r="CU70" i="27"/>
  <c r="E251" i="25"/>
  <c r="E254" i="25"/>
  <c r="DQ178" i="39"/>
  <c r="DC65" i="27"/>
  <c r="DC70" i="27"/>
  <c r="ED20" i="26"/>
  <c r="ED24" i="26"/>
  <c r="EE65" i="27"/>
  <c r="EE70" i="27"/>
  <c r="ES177" i="39"/>
  <c r="E283" i="25"/>
  <c r="E286" i="25"/>
  <c r="FM178" i="39"/>
  <c r="EY65" i="27"/>
  <c r="EY70" i="27"/>
  <c r="DJ171" i="34"/>
  <c r="DJ179" i="34"/>
  <c r="CV20" i="27"/>
  <c r="CV25" i="27"/>
  <c r="BO22" i="27"/>
  <c r="BO47" i="27"/>
  <c r="BO52" i="27"/>
  <c r="BN25" i="26"/>
  <c r="DZ25" i="26"/>
  <c r="EA22" i="27"/>
  <c r="EA27" i="27"/>
  <c r="BJ26" i="27"/>
  <c r="BJ46" i="27"/>
  <c r="BJ51" i="27"/>
  <c r="AY48" i="27"/>
  <c r="AY28" i="27"/>
  <c r="BO28" i="27"/>
  <c r="BO48" i="27"/>
  <c r="BO68" i="27"/>
  <c r="BO73" i="27"/>
  <c r="CU28" i="27"/>
  <c r="CU48" i="27"/>
  <c r="CU53" i="27"/>
  <c r="CY28" i="27"/>
  <c r="CY48" i="27"/>
  <c r="CY53" i="27"/>
  <c r="DO48" i="27"/>
  <c r="DO28" i="27"/>
  <c r="DW48" i="27"/>
  <c r="DW28" i="27"/>
  <c r="EM48" i="27"/>
  <c r="EM68" i="27"/>
  <c r="EM73" i="27"/>
  <c r="EM28" i="27"/>
  <c r="FG28" i="27"/>
  <c r="FG48" i="27"/>
  <c r="FG68" i="27"/>
  <c r="FG73" i="27"/>
  <c r="CX202" i="34"/>
  <c r="CX207" i="39"/>
  <c r="BU165" i="39"/>
  <c r="BE33" i="24"/>
  <c r="CO160" i="34"/>
  <c r="CO165" i="39"/>
  <c r="CZ164" i="39"/>
  <c r="CZ159" i="34"/>
  <c r="CV50" i="24"/>
  <c r="CV53" i="24"/>
  <c r="CV55" i="24"/>
  <c r="DL164" i="39"/>
  <c r="CV21" i="24"/>
  <c r="CV23" i="24"/>
  <c r="DP21" i="24"/>
  <c r="DP23" i="24"/>
  <c r="DP33" i="24"/>
  <c r="DP36" i="24"/>
  <c r="EF166" i="39"/>
  <c r="DP50" i="24"/>
  <c r="DP53" i="24"/>
  <c r="EJ21" i="24"/>
  <c r="EJ23" i="24"/>
  <c r="EJ33" i="24"/>
  <c r="EJ36" i="24"/>
  <c r="EJ50" i="24"/>
  <c r="EJ53" i="24"/>
  <c r="EJ55" i="24"/>
  <c r="BK35" i="24"/>
  <c r="BK68" i="24"/>
  <c r="BK69" i="24"/>
  <c r="CA35" i="24"/>
  <c r="CA68" i="24"/>
  <c r="CA69" i="24"/>
  <c r="CQ35" i="24"/>
  <c r="CQ68" i="24"/>
  <c r="CQ69" i="24"/>
  <c r="CQ71" i="24"/>
  <c r="DG173" i="39"/>
  <c r="DG68" i="24"/>
  <c r="DG69" i="24"/>
  <c r="DG71" i="24"/>
  <c r="DW173" i="39"/>
  <c r="DG35" i="24"/>
  <c r="EE68" i="24"/>
  <c r="EE69" i="24"/>
  <c r="EE71" i="24"/>
  <c r="EU173" i="39"/>
  <c r="EE35" i="24"/>
  <c r="AS71" i="24"/>
  <c r="BI168" i="34"/>
  <c r="M119" i="31"/>
  <c r="M123" i="31"/>
  <c r="AD71" i="24"/>
  <c r="CH47" i="27"/>
  <c r="CH67" i="27"/>
  <c r="BH188" i="34"/>
  <c r="EG25" i="26"/>
  <c r="CO25" i="26"/>
  <c r="BM25" i="26"/>
  <c r="EB23" i="24"/>
  <c r="ER165" i="39"/>
  <c r="DE55" i="24"/>
  <c r="DU164" i="39"/>
  <c r="CJ23" i="24"/>
  <c r="CZ165" i="39"/>
  <c r="F566" i="25"/>
  <c r="BK160" i="34"/>
  <c r="AW165" i="39"/>
  <c r="EF71" i="24"/>
  <c r="EV173" i="39"/>
  <c r="BP176" i="39"/>
  <c r="BP184" i="39"/>
  <c r="I214" i="25"/>
  <c r="F554" i="25"/>
  <c r="F557" i="25"/>
  <c r="BB35" i="24"/>
  <c r="AT68" i="24"/>
  <c r="AT69" i="24"/>
  <c r="AL68" i="24"/>
  <c r="AL69" i="24"/>
  <c r="DT23" i="24"/>
  <c r="DA25" i="26"/>
  <c r="BX177" i="39"/>
  <c r="J95" i="28"/>
  <c r="J100" i="28"/>
  <c r="N197" i="31"/>
  <c r="EW208" i="39"/>
  <c r="BN192" i="39"/>
  <c r="EH71" i="24"/>
  <c r="EX173" i="39"/>
  <c r="AZ210" i="39"/>
  <c r="K63" i="30"/>
  <c r="K66" i="30"/>
  <c r="O68" i="30"/>
  <c r="BF202" i="34"/>
  <c r="L71" i="31"/>
  <c r="L75" i="31"/>
  <c r="K96" i="30"/>
  <c r="BZ207" i="39"/>
  <c r="CM50" i="24"/>
  <c r="CM53" i="24"/>
  <c r="CM55" i="24"/>
  <c r="DC164" i="39"/>
  <c r="CN23" i="24"/>
  <c r="DD160" i="34"/>
  <c r="DH23" i="24"/>
  <c r="DX165" i="39"/>
  <c r="DL23" i="24"/>
  <c r="DL33" i="24"/>
  <c r="DL36" i="24"/>
  <c r="EB166" i="39"/>
  <c r="EB55" i="24"/>
  <c r="ER164" i="39"/>
  <c r="DM140" i="34"/>
  <c r="CZ71" i="24"/>
  <c r="DP173" i="39"/>
  <c r="DE23" i="24"/>
  <c r="DU165" i="39"/>
  <c r="CW55" i="24"/>
  <c r="DM164" i="39"/>
  <c r="DY55" i="24"/>
  <c r="EO164" i="39"/>
  <c r="DM55" i="24"/>
  <c r="EC164" i="39"/>
  <c r="CO23" i="24"/>
  <c r="DE160" i="34"/>
  <c r="CL55" i="24"/>
  <c r="CK23" i="24"/>
  <c r="DA165" i="39"/>
  <c r="N55" i="31"/>
  <c r="N59" i="31"/>
  <c r="J173" i="31"/>
  <c r="DU208" i="39"/>
  <c r="I176" i="28"/>
  <c r="FD183" i="39"/>
  <c r="O156" i="30"/>
  <c r="O159" i="30"/>
  <c r="L193" i="31"/>
  <c r="L196" i="31"/>
  <c r="BD35" i="24"/>
  <c r="DP68" i="24"/>
  <c r="DP69" i="24"/>
  <c r="DP71" i="24"/>
  <c r="EF173" i="39"/>
  <c r="DD68" i="24"/>
  <c r="DD69" i="24"/>
  <c r="DD71" i="24"/>
  <c r="DT173" i="39"/>
  <c r="I140" i="32"/>
  <c r="FP210" i="39"/>
  <c r="DN55" i="24"/>
  <c r="ED164" i="39"/>
  <c r="BM71" i="24"/>
  <c r="CK55" i="24"/>
  <c r="DA164" i="39"/>
  <c r="I71" i="31"/>
  <c r="I75" i="31"/>
  <c r="AH23" i="24"/>
  <c r="AM23" i="24"/>
  <c r="AQ23" i="24"/>
  <c r="AQ33" i="24"/>
  <c r="AQ36" i="24"/>
  <c r="AX23" i="24"/>
  <c r="BN23" i="24"/>
  <c r="CD160" i="34"/>
  <c r="BW23" i="24"/>
  <c r="CA23" i="24"/>
  <c r="CQ165" i="39"/>
  <c r="H165" i="28"/>
  <c r="EQ183" i="39"/>
  <c r="L165" i="28"/>
  <c r="EU183" i="39"/>
  <c r="L176" i="28"/>
  <c r="FG183" i="39"/>
  <c r="P176" i="28"/>
  <c r="FK183" i="39"/>
  <c r="I128" i="33"/>
  <c r="BA193" i="39"/>
  <c r="H71" i="31"/>
  <c r="H75" i="31"/>
  <c r="J149" i="30"/>
  <c r="DU207" i="39"/>
  <c r="L168" i="30"/>
  <c r="L171" i="30"/>
  <c r="L198" i="30"/>
  <c r="FS207" i="39"/>
  <c r="J151" i="31"/>
  <c r="J155" i="31"/>
  <c r="J157" i="31"/>
  <c r="DI208" i="39"/>
  <c r="AL23" i="24"/>
  <c r="BB160" i="34"/>
  <c r="AP23" i="24"/>
  <c r="AP33" i="24"/>
  <c r="AT23" i="24"/>
  <c r="BB23" i="24"/>
  <c r="BR165" i="39"/>
  <c r="BJ23" i="24"/>
  <c r="BZ165" i="39"/>
  <c r="BR23" i="24"/>
  <c r="CH165" i="39"/>
  <c r="BV23" i="24"/>
  <c r="BZ23" i="24"/>
  <c r="BZ33" i="24"/>
  <c r="CD23" i="24"/>
  <c r="DU22" i="27"/>
  <c r="DU27" i="27"/>
  <c r="CL25" i="26"/>
  <c r="ES22" i="27"/>
  <c r="ES47" i="27"/>
  <c r="EI22" i="27"/>
  <c r="EI47" i="27"/>
  <c r="DQ22" i="27"/>
  <c r="DQ27" i="27"/>
  <c r="DQ30" i="27"/>
  <c r="EE157" i="39"/>
  <c r="FB25" i="26"/>
  <c r="ED25" i="26"/>
  <c r="FA47" i="27"/>
  <c r="FA67" i="27"/>
  <c r="FG22" i="27"/>
  <c r="FG47" i="27"/>
  <c r="AW25" i="26"/>
  <c r="P29" i="26"/>
  <c r="P38" i="26"/>
  <c r="L33" i="26"/>
  <c r="L42" i="26"/>
  <c r="N30" i="26"/>
  <c r="N39" i="26"/>
  <c r="X34" i="26"/>
  <c r="X43" i="26"/>
  <c r="AS25" i="26"/>
  <c r="CK22" i="27"/>
  <c r="CK47" i="27"/>
  <c r="AK32" i="26"/>
  <c r="AK41" i="26"/>
  <c r="CJ34" i="26"/>
  <c r="CJ43" i="26"/>
  <c r="L34" i="26"/>
  <c r="L43" i="26"/>
  <c r="M33" i="26"/>
  <c r="M42" i="26"/>
  <c r="W29" i="26"/>
  <c r="W38" i="26"/>
  <c r="AA34" i="26"/>
  <c r="AA43" i="26"/>
  <c r="AJ168" i="34"/>
  <c r="AJ173" i="39"/>
  <c r="AE168" i="34"/>
  <c r="AE173" i="39"/>
  <c r="AK168" i="34"/>
  <c r="AK173" i="39"/>
  <c r="N77" i="31"/>
  <c r="BE203" i="34"/>
  <c r="F59" i="33"/>
  <c r="L35" i="26"/>
  <c r="L44" i="26"/>
  <c r="N33" i="26"/>
  <c r="N42" i="26"/>
  <c r="P31" i="26"/>
  <c r="P40" i="26"/>
  <c r="R35" i="26"/>
  <c r="R44" i="26"/>
  <c r="V29" i="26"/>
  <c r="V38" i="26"/>
  <c r="X33" i="26"/>
  <c r="X42" i="26"/>
  <c r="Z34" i="26"/>
  <c r="Z43" i="26"/>
  <c r="L21" i="29"/>
  <c r="F66" i="29"/>
  <c r="H40" i="30"/>
  <c r="F54" i="30"/>
  <c r="M54" i="30"/>
  <c r="AR207" i="39"/>
  <c r="P103" i="31"/>
  <c r="P107" i="31"/>
  <c r="K167" i="31"/>
  <c r="K171" i="31"/>
  <c r="P167" i="31"/>
  <c r="P171" i="31"/>
  <c r="E23" i="24"/>
  <c r="E33" i="24"/>
  <c r="E36" i="24"/>
  <c r="Q23" i="24"/>
  <c r="AA23" i="24"/>
  <c r="V67" i="24"/>
  <c r="V71" i="24"/>
  <c r="P109" i="31"/>
  <c r="CE203" i="34"/>
  <c r="M32" i="33"/>
  <c r="N34" i="33"/>
  <c r="L44" i="29"/>
  <c r="FC26" i="27"/>
  <c r="AW27" i="27"/>
  <c r="AW47" i="27"/>
  <c r="AW52" i="27"/>
  <c r="BJ47" i="27"/>
  <c r="BJ52" i="27"/>
  <c r="BJ27" i="27"/>
  <c r="BN47" i="27"/>
  <c r="BN52" i="27"/>
  <c r="CN22" i="27"/>
  <c r="CN27" i="27"/>
  <c r="CG25" i="26"/>
  <c r="CG31" i="26"/>
  <c r="CG40" i="26"/>
  <c r="BY25" i="26"/>
  <c r="FF22" i="27"/>
  <c r="FF47" i="27"/>
  <c r="FF67" i="27"/>
  <c r="EK25" i="26"/>
  <c r="EE25" i="26"/>
  <c r="Z31" i="26"/>
  <c r="Z40" i="26"/>
  <c r="Z33" i="26"/>
  <c r="Z42" i="26"/>
  <c r="J33" i="26"/>
  <c r="J42" i="26"/>
  <c r="P35" i="26"/>
  <c r="P44" i="26"/>
  <c r="L30" i="26"/>
  <c r="L39" i="26"/>
  <c r="N31" i="26"/>
  <c r="N40" i="26"/>
  <c r="N34" i="26"/>
  <c r="N43" i="26"/>
  <c r="N32" i="26"/>
  <c r="N41" i="26"/>
  <c r="X32" i="26"/>
  <c r="X41" i="26"/>
  <c r="X31" i="26"/>
  <c r="X40" i="26"/>
  <c r="BB22" i="27"/>
  <c r="BB27" i="27"/>
  <c r="FH68" i="27"/>
  <c r="FH73" i="27"/>
  <c r="P34" i="26"/>
  <c r="P43" i="26"/>
  <c r="V34" i="26"/>
  <c r="V43" i="26"/>
  <c r="Z30" i="26"/>
  <c r="Z39" i="26"/>
  <c r="BK192" i="34"/>
  <c r="BK197" i="39"/>
  <c r="W171" i="34"/>
  <c r="P509" i="25"/>
  <c r="P512" i="25"/>
  <c r="AL171" i="34"/>
  <c r="F525" i="25"/>
  <c r="F528" i="25"/>
  <c r="AL179" i="39"/>
  <c r="BE176" i="39"/>
  <c r="BE184" i="39"/>
  <c r="N530" i="25"/>
  <c r="N533" i="25"/>
  <c r="BK171" i="34"/>
  <c r="BK179" i="34"/>
  <c r="AW20" i="27"/>
  <c r="E369" i="33"/>
  <c r="FM193" i="39"/>
  <c r="F32" i="26"/>
  <c r="F41" i="26"/>
  <c r="F30" i="26"/>
  <c r="F39" i="26"/>
  <c r="J35" i="26"/>
  <c r="J44" i="26"/>
  <c r="L55" i="27"/>
  <c r="G74" i="27"/>
  <c r="AB74" i="27"/>
  <c r="G24" i="28"/>
  <c r="O24" i="28"/>
  <c r="K38" i="28"/>
  <c r="O49" i="30"/>
  <c r="O52" i="30"/>
  <c r="O54" i="30"/>
  <c r="L40" i="30"/>
  <c r="BL192" i="34"/>
  <c r="BL197" i="39"/>
  <c r="DG192" i="34"/>
  <c r="DG197" i="39"/>
  <c r="DK192" i="34"/>
  <c r="DK197" i="39"/>
  <c r="H26" i="30"/>
  <c r="L26" i="30"/>
  <c r="N26" i="30"/>
  <c r="P26" i="30"/>
  <c r="J60" i="33"/>
  <c r="J62" i="33"/>
  <c r="J61" i="33"/>
  <c r="N60" i="33"/>
  <c r="N59" i="33"/>
  <c r="H34" i="26"/>
  <c r="H43" i="26"/>
  <c r="H29" i="26"/>
  <c r="H38" i="26"/>
  <c r="J32" i="26"/>
  <c r="J41" i="26"/>
  <c r="J34" i="26"/>
  <c r="J43" i="26"/>
  <c r="J30" i="26"/>
  <c r="J39" i="26"/>
  <c r="O34" i="26"/>
  <c r="O43" i="26"/>
  <c r="O32" i="26"/>
  <c r="O41" i="26"/>
  <c r="Q32" i="26"/>
  <c r="Q41" i="26"/>
  <c r="Q33" i="26"/>
  <c r="Q42" i="26"/>
  <c r="S33" i="26"/>
  <c r="S42" i="26"/>
  <c r="S30" i="26"/>
  <c r="S39" i="26"/>
  <c r="Y34" i="26"/>
  <c r="Y43" i="26"/>
  <c r="Y32" i="26"/>
  <c r="Y41" i="26"/>
  <c r="T34" i="26"/>
  <c r="T43" i="26"/>
  <c r="T30" i="26"/>
  <c r="T39" i="26"/>
  <c r="N68" i="27"/>
  <c r="N73" i="27"/>
  <c r="N74" i="27"/>
  <c r="N53" i="27"/>
  <c r="BO192" i="34"/>
  <c r="BO197" i="39"/>
  <c r="BU192" i="34"/>
  <c r="BU197" i="39"/>
  <c r="CK192" i="34"/>
  <c r="CK197" i="39"/>
  <c r="CQ192" i="34"/>
  <c r="CQ197" i="39"/>
  <c r="CY192" i="34"/>
  <c r="CY197" i="39"/>
  <c r="AR202" i="34"/>
  <c r="J45" i="31"/>
  <c r="AK160" i="34"/>
  <c r="U33" i="24"/>
  <c r="U36" i="24"/>
  <c r="I33" i="24"/>
  <c r="I36" i="24"/>
  <c r="Y160" i="34"/>
  <c r="DW50" i="24"/>
  <c r="DW53" i="24"/>
  <c r="DW55" i="24"/>
  <c r="EM164" i="39"/>
  <c r="DW21" i="24"/>
  <c r="D184" i="25"/>
  <c r="L178" i="39"/>
  <c r="F184" i="25"/>
  <c r="N173" i="34"/>
  <c r="N191" i="25"/>
  <c r="AH178" i="39"/>
  <c r="O512" i="25"/>
  <c r="V179" i="39"/>
  <c r="F187" i="28"/>
  <c r="FM183" i="39"/>
  <c r="H187" i="28"/>
  <c r="FO183" i="39"/>
  <c r="H61" i="33"/>
  <c r="L29" i="26"/>
  <c r="L38" i="26"/>
  <c r="Z35" i="26"/>
  <c r="Z44" i="26"/>
  <c r="G30" i="27"/>
  <c r="R30" i="27"/>
  <c r="T30" i="27"/>
  <c r="V30" i="27"/>
  <c r="X30" i="27"/>
  <c r="I74" i="27"/>
  <c r="P55" i="27"/>
  <c r="R55" i="27"/>
  <c r="V55" i="27"/>
  <c r="Z55" i="27"/>
  <c r="L74" i="27"/>
  <c r="P74" i="27"/>
  <c r="R74" i="27"/>
  <c r="T74" i="27"/>
  <c r="V74" i="27"/>
  <c r="X74" i="27"/>
  <c r="L24" i="28"/>
  <c r="E21" i="29"/>
  <c r="G21" i="29"/>
  <c r="I21" i="29"/>
  <c r="K21" i="29"/>
  <c r="M21" i="29"/>
  <c r="O21" i="29"/>
  <c r="D21" i="29"/>
  <c r="M44" i="29"/>
  <c r="AT192" i="34"/>
  <c r="G55" i="29"/>
  <c r="I55" i="29"/>
  <c r="BB197" i="39"/>
  <c r="H66" i="29"/>
  <c r="C77" i="29"/>
  <c r="BT192" i="34"/>
  <c r="E77" i="29"/>
  <c r="L99" i="29"/>
  <c r="DA192" i="34"/>
  <c r="D148" i="29"/>
  <c r="FA197" i="39"/>
  <c r="F148" i="29"/>
  <c r="FC197" i="39"/>
  <c r="H148" i="29"/>
  <c r="FE197" i="39"/>
  <c r="J148" i="29"/>
  <c r="FG197" i="39"/>
  <c r="K149" i="30"/>
  <c r="DV207" i="39"/>
  <c r="L173" i="30"/>
  <c r="EU207" i="39"/>
  <c r="H168" i="30"/>
  <c r="H171" i="30"/>
  <c r="H173" i="30"/>
  <c r="EQ207" i="39"/>
  <c r="J33" i="24"/>
  <c r="J36" i="24"/>
  <c r="Z160" i="34"/>
  <c r="AH160" i="34"/>
  <c r="R33" i="24"/>
  <c r="R36" i="24"/>
  <c r="AB33" i="24"/>
  <c r="AB36" i="24"/>
  <c r="CZ50" i="24"/>
  <c r="CZ53" i="24"/>
  <c r="CZ55" i="24"/>
  <c r="DP164" i="39"/>
  <c r="CZ21" i="24"/>
  <c r="CZ23" i="24"/>
  <c r="DP165" i="39"/>
  <c r="DX21" i="24"/>
  <c r="DX23" i="24"/>
  <c r="EN165" i="39"/>
  <c r="DX50" i="24"/>
  <c r="DX53" i="24"/>
  <c r="DX55" i="24"/>
  <c r="EN164" i="39"/>
  <c r="BU68" i="24"/>
  <c r="BU69" i="24"/>
  <c r="BU71" i="24"/>
  <c r="BU35" i="24"/>
  <c r="BU36" i="24"/>
  <c r="CM68" i="24"/>
  <c r="CM69" i="24"/>
  <c r="CM71" i="24"/>
  <c r="DC173" i="39"/>
  <c r="CM35" i="24"/>
  <c r="DU71" i="24"/>
  <c r="EK173" i="39"/>
  <c r="I55" i="24"/>
  <c r="I67" i="24"/>
  <c r="I71" i="24"/>
  <c r="K67" i="24"/>
  <c r="K71" i="24"/>
  <c r="K55" i="24"/>
  <c r="W67" i="24"/>
  <c r="W71" i="24"/>
  <c r="W55" i="24"/>
  <c r="G27" i="31"/>
  <c r="I27" i="31"/>
  <c r="Q71" i="24"/>
  <c r="G103" i="31"/>
  <c r="G107" i="31"/>
  <c r="G109" i="31"/>
  <c r="K103" i="31"/>
  <c r="K107" i="31"/>
  <c r="F32" i="32"/>
  <c r="H32" i="32"/>
  <c r="J32" i="32"/>
  <c r="L32" i="32"/>
  <c r="N32" i="32"/>
  <c r="P32" i="32"/>
  <c r="V32" i="32"/>
  <c r="J126" i="32"/>
  <c r="ES210" i="39"/>
  <c r="P126" i="32"/>
  <c r="EY210" i="39"/>
  <c r="E133" i="32"/>
  <c r="EZ210" i="39"/>
  <c r="S71" i="24"/>
  <c r="N140" i="32"/>
  <c r="FU210" i="39"/>
  <c r="FV210" i="39"/>
  <c r="CH23" i="24"/>
  <c r="CH33" i="24"/>
  <c r="EF23" i="24"/>
  <c r="G23" i="24"/>
  <c r="G33" i="24"/>
  <c r="G36" i="24"/>
  <c r="K23" i="24"/>
  <c r="M23" i="24"/>
  <c r="S23" i="24"/>
  <c r="AC23" i="24"/>
  <c r="AS165" i="39"/>
  <c r="Q55" i="24"/>
  <c r="S55" i="24"/>
  <c r="U55" i="24"/>
  <c r="N13" i="46"/>
  <c r="FX89" i="58"/>
  <c r="CZ26" i="27"/>
  <c r="BI28" i="27"/>
  <c r="DC28" i="27"/>
  <c r="E147" i="32"/>
  <c r="BC21" i="43"/>
  <c r="BC23" i="43"/>
  <c r="BC25" i="43"/>
  <c r="BC41" i="43"/>
  <c r="BC20" i="43"/>
  <c r="BC22" i="43"/>
  <c r="BC24" i="43"/>
  <c r="BC40" i="43"/>
  <c r="BC42" i="43"/>
  <c r="AL47" i="27"/>
  <c r="AL52" i="27"/>
  <c r="CY26" i="27"/>
  <c r="O198" i="30"/>
  <c r="FW198" i="58"/>
  <c r="P198" i="30"/>
  <c r="FX198" i="58"/>
  <c r="J25" i="44"/>
  <c r="AO168" i="34"/>
  <c r="AO173" i="39"/>
  <c r="I368" i="33"/>
  <c r="I369" i="33"/>
  <c r="FQ193" i="39"/>
  <c r="AT197" i="39"/>
  <c r="BM192" i="34"/>
  <c r="BM197" i="39"/>
  <c r="BR192" i="34"/>
  <c r="BR197" i="39"/>
  <c r="BT197" i="39"/>
  <c r="CA192" i="34"/>
  <c r="CA197" i="39"/>
  <c r="CH192" i="34"/>
  <c r="CH197" i="39"/>
  <c r="DH192" i="34"/>
  <c r="DH197" i="39"/>
  <c r="DL192" i="34"/>
  <c r="DL197" i="39"/>
  <c r="BA192" i="34"/>
  <c r="BA197" i="39"/>
  <c r="BQ192" i="34"/>
  <c r="BQ197" i="39"/>
  <c r="CD192" i="34"/>
  <c r="CD197" i="39"/>
  <c r="CW192" i="34"/>
  <c r="DE192" i="34"/>
  <c r="DE197" i="39"/>
  <c r="M74" i="27"/>
  <c r="N96" i="33"/>
  <c r="I95" i="33"/>
  <c r="K95" i="33"/>
  <c r="E204" i="33"/>
  <c r="CG188" i="34"/>
  <c r="H32" i="26"/>
  <c r="W33" i="26"/>
  <c r="W42" i="26"/>
  <c r="Y30" i="26"/>
  <c r="Y39" i="26"/>
  <c r="AA33" i="26"/>
  <c r="AA42" i="26"/>
  <c r="CT46" i="27"/>
  <c r="CT51" i="27"/>
  <c r="N51" i="27"/>
  <c r="J44" i="29"/>
  <c r="K66" i="28"/>
  <c r="BB178" i="34"/>
  <c r="F62" i="33"/>
  <c r="H62" i="33"/>
  <c r="I59" i="33"/>
  <c r="O59" i="33"/>
  <c r="G62" i="33"/>
  <c r="E94" i="33"/>
  <c r="I32" i="26"/>
  <c r="I41" i="26"/>
  <c r="K29" i="26"/>
  <c r="K38" i="26"/>
  <c r="O55" i="27"/>
  <c r="X55" i="27"/>
  <c r="F21" i="29"/>
  <c r="C55" i="29"/>
  <c r="M55" i="29"/>
  <c r="BF197" i="39"/>
  <c r="M88" i="29"/>
  <c r="L129" i="29"/>
  <c r="EK197" i="39"/>
  <c r="N129" i="29"/>
  <c r="EM197" i="39"/>
  <c r="H129" i="29"/>
  <c r="EG197" i="39"/>
  <c r="G26" i="30"/>
  <c r="P40" i="30"/>
  <c r="N54" i="30"/>
  <c r="K54" i="30"/>
  <c r="K27" i="31"/>
  <c r="M27" i="31"/>
  <c r="J61" i="31"/>
  <c r="I61" i="31"/>
  <c r="E181" i="31"/>
  <c r="E184" i="31"/>
  <c r="O32" i="32"/>
  <c r="Q32" i="32"/>
  <c r="S32" i="32"/>
  <c r="U32" i="32"/>
  <c r="G32" i="32"/>
  <c r="F53" i="32"/>
  <c r="AW205" i="34"/>
  <c r="J119" i="32"/>
  <c r="EG210" i="39"/>
  <c r="G126" i="32"/>
  <c r="EP210" i="39"/>
  <c r="M126" i="32"/>
  <c r="EV210" i="39"/>
  <c r="DW23" i="24"/>
  <c r="AA71" i="24"/>
  <c r="AQ168" i="34"/>
  <c r="D138" i="29"/>
  <c r="EO197" i="39"/>
  <c r="F138" i="29"/>
  <c r="EQ197" i="39"/>
  <c r="H138" i="29"/>
  <c r="ES197" i="39"/>
  <c r="C148" i="29"/>
  <c r="EZ197" i="39"/>
  <c r="E148" i="29"/>
  <c r="FB197" i="39"/>
  <c r="G148" i="29"/>
  <c r="FD197" i="39"/>
  <c r="J26" i="30"/>
  <c r="N124" i="30"/>
  <c r="H119" i="30"/>
  <c r="H122" i="30"/>
  <c r="G45" i="31"/>
  <c r="J133" i="32"/>
  <c r="FE210" i="39"/>
  <c r="F140" i="32"/>
  <c r="FM210" i="39"/>
  <c r="Y23" i="24"/>
  <c r="AO165" i="39"/>
  <c r="AE23" i="24"/>
  <c r="CS71" i="24"/>
  <c r="DI168" i="34"/>
  <c r="BL55" i="24"/>
  <c r="CB164" i="39"/>
  <c r="CB71" i="24"/>
  <c r="EG55" i="24"/>
  <c r="EW164" i="39"/>
  <c r="AB71" i="24"/>
  <c r="AR173" i="39"/>
  <c r="BU68" i="27"/>
  <c r="BU73" i="27"/>
  <c r="BU53" i="27"/>
  <c r="FC52" i="27"/>
  <c r="CS53" i="27"/>
  <c r="ES53" i="27"/>
  <c r="EJ46" i="27"/>
  <c r="EJ51" i="27"/>
  <c r="AJ46" i="27"/>
  <c r="AJ51" i="27"/>
  <c r="EB26" i="27"/>
  <c r="AK47" i="27"/>
  <c r="AK52" i="27"/>
  <c r="FI48" i="27"/>
  <c r="FI68" i="27"/>
  <c r="FI73" i="27"/>
  <c r="CS28" i="27"/>
  <c r="AV26" i="27"/>
  <c r="EW28" i="27"/>
  <c r="EG53" i="27"/>
  <c r="CL48" i="27"/>
  <c r="CL53" i="27"/>
  <c r="AP28" i="27"/>
  <c r="CL26" i="27"/>
  <c r="CF46" i="27"/>
  <c r="CF51" i="27"/>
  <c r="BX46" i="27"/>
  <c r="BX51" i="27"/>
  <c r="EH53" i="27"/>
  <c r="CC53" i="27"/>
  <c r="DM28" i="27"/>
  <c r="BM68" i="27"/>
  <c r="BM73" i="27"/>
  <c r="DU26" i="27"/>
  <c r="DI26" i="27"/>
  <c r="CM46" i="27"/>
  <c r="CM51" i="27"/>
  <c r="EZ26" i="27"/>
  <c r="EX28" i="27"/>
  <c r="CW48" i="27"/>
  <c r="AZ26" i="27"/>
  <c r="FB48" i="27"/>
  <c r="FB53" i="27"/>
  <c r="DA46" i="27"/>
  <c r="DA51" i="27"/>
  <c r="AH68" i="27"/>
  <c r="AH73" i="27"/>
  <c r="DQ68" i="27"/>
  <c r="DQ73" i="27"/>
  <c r="AQ67" i="27"/>
  <c r="AQ72" i="27"/>
  <c r="AP53" i="27"/>
  <c r="AM26" i="27"/>
  <c r="BE28" i="27"/>
  <c r="BZ48" i="27"/>
  <c r="BZ53" i="27"/>
  <c r="BQ28" i="27"/>
  <c r="DB46" i="27"/>
  <c r="DB51" i="27"/>
  <c r="ES28" i="27"/>
  <c r="DY48" i="27"/>
  <c r="BB48" i="27"/>
  <c r="BB53" i="27"/>
  <c r="DD26" i="27"/>
  <c r="DR28" i="27"/>
  <c r="BY48" i="27"/>
  <c r="BY53" i="27"/>
  <c r="AS48" i="27"/>
  <c r="EV26" i="27"/>
  <c r="CK68" i="27"/>
  <c r="CK73" i="27"/>
  <c r="CO46" i="27"/>
  <c r="CO51" i="27"/>
  <c r="BG46" i="27"/>
  <c r="BG51" i="27"/>
  <c r="AK48" i="27"/>
  <c r="EC48" i="27"/>
  <c r="BL26" i="27"/>
  <c r="CV26" i="27"/>
  <c r="DO27" i="27"/>
  <c r="CC28" i="27"/>
  <c r="ER26" i="27"/>
  <c r="CS46" i="27"/>
  <c r="CS51" i="27"/>
  <c r="BM28" i="27"/>
  <c r="CK28" i="27"/>
  <c r="H209" i="31"/>
  <c r="FC208" i="39"/>
  <c r="I209" i="31"/>
  <c r="FD208" i="39"/>
  <c r="K61" i="31"/>
  <c r="K209" i="31"/>
  <c r="FF208" i="39"/>
  <c r="H61" i="31"/>
  <c r="F61" i="31"/>
  <c r="BQ47" i="27"/>
  <c r="BQ52" i="27"/>
  <c r="BQ27" i="27"/>
  <c r="AF48" i="27"/>
  <c r="AF28" i="27"/>
  <c r="BD27" i="27"/>
  <c r="BD47" i="27"/>
  <c r="BH47" i="27"/>
  <c r="BH27" i="27"/>
  <c r="CJ27" i="27"/>
  <c r="CN25" i="26"/>
  <c r="FH22" i="27"/>
  <c r="FH27" i="27"/>
  <c r="EF25" i="26"/>
  <c r="DX25" i="26"/>
  <c r="AE26" i="26"/>
  <c r="AE33" i="26"/>
  <c r="AE42" i="26"/>
  <c r="EV22" i="27"/>
  <c r="DL27" i="27"/>
  <c r="EJ22" i="27"/>
  <c r="EJ27" i="27"/>
  <c r="DE22" i="27"/>
  <c r="DE47" i="27"/>
  <c r="AJ32" i="26"/>
  <c r="AJ41" i="26"/>
  <c r="EB25" i="26"/>
  <c r="CJ52" i="27"/>
  <c r="CE25" i="26"/>
  <c r="BG25" i="26"/>
  <c r="BC25" i="26"/>
  <c r="DD22" i="27"/>
  <c r="DD27" i="27"/>
  <c r="DY67" i="27"/>
  <c r="DY27" i="27"/>
  <c r="DY30" i="27"/>
  <c r="EM157" i="39"/>
  <c r="EW47" i="27"/>
  <c r="EW52" i="27"/>
  <c r="BM22" i="27"/>
  <c r="BM27" i="27"/>
  <c r="EV25" i="26"/>
  <c r="EV33" i="26"/>
  <c r="EV42" i="26"/>
  <c r="BU22" i="27"/>
  <c r="BU27" i="27"/>
  <c r="BY22" i="27"/>
  <c r="CZ22" i="27"/>
  <c r="DT30" i="26"/>
  <c r="DT39" i="26"/>
  <c r="K111" i="28"/>
  <c r="K115" i="28"/>
  <c r="BS25" i="26"/>
  <c r="BS33" i="26"/>
  <c r="BS42" i="26"/>
  <c r="DK25" i="26"/>
  <c r="AH33" i="26"/>
  <c r="AH42" i="26"/>
  <c r="BZ30" i="26"/>
  <c r="BZ39" i="26"/>
  <c r="K561" i="25"/>
  <c r="K562" i="25"/>
  <c r="FF20" i="26"/>
  <c r="FF24" i="26"/>
  <c r="FF34" i="26"/>
  <c r="FF43" i="26"/>
  <c r="N253" i="25"/>
  <c r="N254" i="25"/>
  <c r="EF20" i="27"/>
  <c r="EF45" i="27"/>
  <c r="EF50" i="27"/>
  <c r="K566" i="25"/>
  <c r="K569" i="25"/>
  <c r="DV179" i="39"/>
  <c r="EJ20" i="27"/>
  <c r="EC177" i="39"/>
  <c r="G158" i="28"/>
  <c r="G161" i="28"/>
  <c r="G165" i="28"/>
  <c r="EP183" i="39"/>
  <c r="DA177" i="39"/>
  <c r="F64" i="25"/>
  <c r="BT65" i="27"/>
  <c r="BT70" i="27"/>
  <c r="BF177" i="39"/>
  <c r="E567" i="25"/>
  <c r="E568" i="25"/>
  <c r="E569" i="25"/>
  <c r="DP179" i="39"/>
  <c r="N262" i="25"/>
  <c r="EL178" i="39"/>
  <c r="M567" i="25"/>
  <c r="M568" i="25"/>
  <c r="CO20" i="27"/>
  <c r="CO25" i="27"/>
  <c r="BV20" i="27"/>
  <c r="BV45" i="27"/>
  <c r="BV50" i="27"/>
  <c r="E64" i="25"/>
  <c r="BS65" i="27"/>
  <c r="BS70" i="27"/>
  <c r="P172" i="34"/>
  <c r="L512" i="25"/>
  <c r="S174" i="34"/>
  <c r="BF171" i="34"/>
  <c r="BF179" i="34"/>
  <c r="O56" i="28"/>
  <c r="O61" i="28"/>
  <c r="BJ176" i="39"/>
  <c r="BJ184" i="39"/>
  <c r="L176" i="39"/>
  <c r="AX176" i="39"/>
  <c r="AX184" i="39"/>
  <c r="BN176" i="39"/>
  <c r="BN184" i="39"/>
  <c r="E509" i="25"/>
  <c r="E512" i="25"/>
  <c r="H530" i="25"/>
  <c r="AV20" i="27"/>
  <c r="BB171" i="34"/>
  <c r="BB179" i="34"/>
  <c r="L56" i="28"/>
  <c r="K204" i="25"/>
  <c r="D512" i="25"/>
  <c r="H512" i="25"/>
  <c r="O179" i="39"/>
  <c r="DM20" i="27"/>
  <c r="DM45" i="27"/>
  <c r="DM50" i="27"/>
  <c r="L548" i="25"/>
  <c r="EO20" i="27"/>
  <c r="EO45" i="27"/>
  <c r="EO50" i="27"/>
  <c r="AE65" i="27"/>
  <c r="AE70" i="27"/>
  <c r="K525" i="25"/>
  <c r="P176" i="39"/>
  <c r="AF177" i="39"/>
  <c r="BC177" i="39"/>
  <c r="G56" i="28"/>
  <c r="G61" i="28"/>
  <c r="G536" i="25"/>
  <c r="AN20" i="27"/>
  <c r="AN45" i="27"/>
  <c r="AN50" i="27"/>
  <c r="L530" i="25"/>
  <c r="L533" i="25"/>
  <c r="AO20" i="27"/>
  <c r="AO45" i="27"/>
  <c r="AO50" i="27"/>
  <c r="AU65" i="27"/>
  <c r="AU70" i="27"/>
  <c r="CY20" i="26"/>
  <c r="CY24" i="26"/>
  <c r="CY29" i="26"/>
  <c r="CY38" i="26"/>
  <c r="AY172" i="34"/>
  <c r="AO65" i="27"/>
  <c r="AO70" i="27"/>
  <c r="E528" i="25"/>
  <c r="AK174" i="34"/>
  <c r="C184" i="25"/>
  <c r="AX171" i="34"/>
  <c r="AX179" i="34"/>
  <c r="K530" i="25"/>
  <c r="K533" i="25"/>
  <c r="BB179" i="39"/>
  <c r="D517" i="25"/>
  <c r="D520" i="25"/>
  <c r="X174" i="34"/>
  <c r="CT20" i="27"/>
  <c r="CT25" i="27"/>
  <c r="FE65" i="27"/>
  <c r="FE70" i="27"/>
  <c r="CK65" i="27"/>
  <c r="CK70" i="27"/>
  <c r="H542" i="25"/>
  <c r="CE20" i="26"/>
  <c r="CE24" i="26"/>
  <c r="BE20" i="27"/>
  <c r="BE45" i="27"/>
  <c r="BE50" i="27"/>
  <c r="DK171" i="34"/>
  <c r="DK179" i="34"/>
  <c r="H238" i="25"/>
  <c r="BG171" i="34"/>
  <c r="BG179" i="34"/>
  <c r="EL20" i="27"/>
  <c r="EL25" i="27"/>
  <c r="DT65" i="27"/>
  <c r="DT70" i="27"/>
  <c r="O198" i="25"/>
  <c r="O199" i="25"/>
  <c r="AU178" i="39"/>
  <c r="CU176" i="39"/>
  <c r="CU184" i="39"/>
  <c r="CM176" i="39"/>
  <c r="CM184" i="39"/>
  <c r="EU20" i="26"/>
  <c r="EU24" i="26"/>
  <c r="EU33" i="26"/>
  <c r="EU42" i="26"/>
  <c r="DN177" i="39"/>
  <c r="BQ172" i="34"/>
  <c r="EL177" i="39"/>
  <c r="DG171" i="34"/>
  <c r="DG179" i="34"/>
  <c r="EM20" i="26"/>
  <c r="EM24" i="26"/>
  <c r="L542" i="25"/>
  <c r="M543" i="25"/>
  <c r="M544" i="25"/>
  <c r="EE176" i="39"/>
  <c r="EE184" i="39"/>
  <c r="J259" i="25"/>
  <c r="J262" i="25"/>
  <c r="EH178" i="39"/>
  <c r="CA177" i="39"/>
  <c r="EC20" i="27"/>
  <c r="EC25" i="27"/>
  <c r="EP20" i="27"/>
  <c r="EP25" i="27"/>
  <c r="BQ20" i="27"/>
  <c r="BQ25" i="27"/>
  <c r="DL65" i="27"/>
  <c r="DL70" i="27"/>
  <c r="EF176" i="39"/>
  <c r="EF184" i="39"/>
  <c r="P560" i="25"/>
  <c r="F259" i="25"/>
  <c r="F262" i="25"/>
  <c r="ED178" i="39"/>
  <c r="BK20" i="26"/>
  <c r="BK24" i="26"/>
  <c r="DH176" i="39"/>
  <c r="DH184" i="39"/>
  <c r="DO176" i="39"/>
  <c r="DO184" i="39"/>
  <c r="AQ177" i="39"/>
  <c r="CZ65" i="27"/>
  <c r="CZ70" i="27"/>
  <c r="BX176" i="39"/>
  <c r="BX184" i="39"/>
  <c r="M549" i="25"/>
  <c r="M550" i="25"/>
  <c r="M551" i="25"/>
  <c r="CN179" i="39"/>
  <c r="EQ20" i="26"/>
  <c r="EQ24" i="26"/>
  <c r="DD65" i="27"/>
  <c r="DD70" i="27"/>
  <c r="P584" i="25"/>
  <c r="P587" i="25"/>
  <c r="FK179" i="39"/>
  <c r="H548" i="25"/>
  <c r="H551" i="25"/>
  <c r="CI179" i="39"/>
  <c r="EA20" i="26"/>
  <c r="EA24" i="26"/>
  <c r="EA34" i="26"/>
  <c r="EA43" i="26"/>
  <c r="I567" i="25"/>
  <c r="I568" i="25"/>
  <c r="E169" i="28"/>
  <c r="E172" i="28"/>
  <c r="E176" i="28"/>
  <c r="EZ183" i="39"/>
  <c r="DG176" i="39"/>
  <c r="DG184" i="39"/>
  <c r="H254" i="25"/>
  <c r="DT178" i="39"/>
  <c r="D278" i="25"/>
  <c r="EZ178" i="39"/>
  <c r="H278" i="25"/>
  <c r="FD178" i="39"/>
  <c r="D286" i="25"/>
  <c r="FL178" i="39"/>
  <c r="L566" i="25"/>
  <c r="L569" i="25"/>
  <c r="L139" i="28"/>
  <c r="L142" i="28"/>
  <c r="CC20" i="27"/>
  <c r="CC25" i="27"/>
  <c r="CE171" i="34"/>
  <c r="CE179" i="34"/>
  <c r="K61" i="28"/>
  <c r="O536" i="25"/>
  <c r="O539" i="25"/>
  <c r="BR179" i="39"/>
  <c r="FD65" i="27"/>
  <c r="FD70" i="27"/>
  <c r="H554" i="25"/>
  <c r="CN65" i="27"/>
  <c r="CN70" i="27"/>
  <c r="ER65" i="27"/>
  <c r="ER70" i="27"/>
  <c r="H590" i="25"/>
  <c r="H593" i="25"/>
  <c r="FO179" i="39"/>
  <c r="BP65" i="27"/>
  <c r="BP70" i="27"/>
  <c r="K206" i="25"/>
  <c r="EM176" i="39"/>
  <c r="EM184" i="39"/>
  <c r="G278" i="25"/>
  <c r="FC178" i="39"/>
  <c r="K188" i="25"/>
  <c r="K191" i="25"/>
  <c r="AE173" i="34"/>
  <c r="AE177" i="39"/>
  <c r="AR172" i="34"/>
  <c r="AD65" i="27"/>
  <c r="AD70" i="27"/>
  <c r="AR177" i="39"/>
  <c r="N126" i="28"/>
  <c r="N131" i="28"/>
  <c r="EE20" i="27"/>
  <c r="EE25" i="27"/>
  <c r="J560" i="25"/>
  <c r="J563" i="25"/>
  <c r="DI174" i="34"/>
  <c r="FH177" i="39"/>
  <c r="FA176" i="39"/>
  <c r="FA184" i="39"/>
  <c r="N158" i="28"/>
  <c r="N161" i="28"/>
  <c r="N165" i="28"/>
  <c r="EW183" i="39"/>
  <c r="BM20" i="26"/>
  <c r="BM24" i="26"/>
  <c r="BW20" i="27"/>
  <c r="O212" i="25"/>
  <c r="DE176" i="39"/>
  <c r="DE184" i="39"/>
  <c r="R176" i="39"/>
  <c r="M56" i="28"/>
  <c r="M61" i="28"/>
  <c r="N554" i="25"/>
  <c r="M198" i="25"/>
  <c r="M199" i="25"/>
  <c r="M222" i="25"/>
  <c r="BY171" i="34"/>
  <c r="BY179" i="34"/>
  <c r="ET20" i="27"/>
  <c r="ET45" i="27"/>
  <c r="ET50" i="27"/>
  <c r="DO20" i="27"/>
  <c r="DO25" i="27"/>
  <c r="N566" i="25"/>
  <c r="CO171" i="34"/>
  <c r="CO179" i="34"/>
  <c r="BP20" i="26"/>
  <c r="BP24" i="26"/>
  <c r="D220" i="25"/>
  <c r="M204" i="25"/>
  <c r="DI171" i="34"/>
  <c r="DI179" i="34"/>
  <c r="F560" i="25"/>
  <c r="CN20" i="26"/>
  <c r="CN24" i="26"/>
  <c r="EI25" i="27"/>
  <c r="K526" i="25"/>
  <c r="K527" i="25"/>
  <c r="N572" i="25"/>
  <c r="N575" i="25"/>
  <c r="EK179" i="39"/>
  <c r="CM20" i="27"/>
  <c r="CM45" i="27"/>
  <c r="CM50" i="27"/>
  <c r="H259" i="25"/>
  <c r="H262" i="25"/>
  <c r="EF178" i="39"/>
  <c r="FG45" i="27"/>
  <c r="FG50" i="27"/>
  <c r="DM176" i="39"/>
  <c r="DM184" i="39"/>
  <c r="CV177" i="39"/>
  <c r="EW176" i="39"/>
  <c r="EW184" i="39"/>
  <c r="N590" i="25"/>
  <c r="N593" i="25"/>
  <c r="FU179" i="39"/>
  <c r="FV179" i="39"/>
  <c r="F169" i="28"/>
  <c r="F172" i="28"/>
  <c r="F176" i="28"/>
  <c r="FA183" i="39"/>
  <c r="ES176" i="39"/>
  <c r="ES184" i="39"/>
  <c r="CW176" i="39"/>
  <c r="CW184" i="39"/>
  <c r="M82" i="28"/>
  <c r="M87" i="28"/>
  <c r="F567" i="25"/>
  <c r="F568" i="25"/>
  <c r="CB177" i="39"/>
  <c r="FF20" i="27"/>
  <c r="FF25" i="27"/>
  <c r="J566" i="25"/>
  <c r="BR65" i="27"/>
  <c r="BR70" i="27"/>
  <c r="CG171" i="34"/>
  <c r="CG179" i="34"/>
  <c r="L204" i="25"/>
  <c r="AL172" i="34"/>
  <c r="O181" i="25"/>
  <c r="O184" i="25"/>
  <c r="W178" i="39"/>
  <c r="FF65" i="27"/>
  <c r="FF70" i="27"/>
  <c r="V176" i="39"/>
  <c r="AB176" i="39"/>
  <c r="AO176" i="39"/>
  <c r="AT176" i="39"/>
  <c r="AT184" i="39"/>
  <c r="G509" i="25"/>
  <c r="G512" i="25"/>
  <c r="BL171" i="34"/>
  <c r="BL179" i="34"/>
  <c r="AT20" i="27"/>
  <c r="AT25" i="27"/>
  <c r="AS171" i="34"/>
  <c r="AS179" i="34"/>
  <c r="G525" i="25"/>
  <c r="G528" i="25"/>
  <c r="AF20" i="27"/>
  <c r="AF25" i="27"/>
  <c r="E199" i="25"/>
  <c r="AK178" i="39"/>
  <c r="G207" i="25"/>
  <c r="DA176" i="39"/>
  <c r="DA184" i="39"/>
  <c r="BT177" i="39"/>
  <c r="N542" i="25"/>
  <c r="N545" i="25"/>
  <c r="EM20" i="27"/>
  <c r="EM45" i="27"/>
  <c r="EM50" i="27"/>
  <c r="J169" i="28"/>
  <c r="J172" i="28"/>
  <c r="J176" i="28"/>
  <c r="FE183" i="39"/>
  <c r="FU176" i="39"/>
  <c r="FU184" i="39"/>
  <c r="BU176" i="39"/>
  <c r="BU184" i="39"/>
  <c r="CL65" i="27"/>
  <c r="CL70" i="27"/>
  <c r="AP176" i="39"/>
  <c r="E536" i="25"/>
  <c r="CE20" i="27"/>
  <c r="CE45" i="27"/>
  <c r="CE50" i="27"/>
  <c r="DW20" i="27"/>
  <c r="DW25" i="27"/>
  <c r="I206" i="25"/>
  <c r="L238" i="25"/>
  <c r="L239" i="25"/>
  <c r="CZ173" i="34"/>
  <c r="CS176" i="39"/>
  <c r="CS184" i="39"/>
  <c r="E214" i="25"/>
  <c r="J542" i="25"/>
  <c r="J545" i="25"/>
  <c r="I180" i="28"/>
  <c r="I183" i="28"/>
  <c r="I187" i="28"/>
  <c r="FP183" i="39"/>
  <c r="DS20" i="27"/>
  <c r="DS25" i="27"/>
  <c r="DK20" i="27"/>
  <c r="DK25" i="27"/>
  <c r="DC20" i="27"/>
  <c r="DC45" i="27"/>
  <c r="DC50" i="27"/>
  <c r="CA20" i="27"/>
  <c r="L283" i="25"/>
  <c r="L286" i="25"/>
  <c r="FT178" i="39"/>
  <c r="G220" i="25"/>
  <c r="G223" i="25"/>
  <c r="BE172" i="34"/>
  <c r="CU20" i="27"/>
  <c r="CN171" i="34"/>
  <c r="CN179" i="34"/>
  <c r="BC20" i="26"/>
  <c r="BC24" i="26"/>
  <c r="AZ45" i="27"/>
  <c r="AZ50" i="27"/>
  <c r="DA171" i="34"/>
  <c r="DA179" i="34"/>
  <c r="BY176" i="39"/>
  <c r="BY184" i="39"/>
  <c r="J567" i="25"/>
  <c r="J568" i="25"/>
  <c r="DQ20" i="26"/>
  <c r="DQ24" i="26"/>
  <c r="M214" i="25"/>
  <c r="BG20" i="27"/>
  <c r="BG25" i="27"/>
  <c r="N578" i="25"/>
  <c r="N581" i="25"/>
  <c r="EW179" i="39"/>
  <c r="DG45" i="27"/>
  <c r="DG50" i="27"/>
  <c r="CI20" i="27"/>
  <c r="CI25" i="27"/>
  <c r="BO176" i="39"/>
  <c r="BO184" i="39"/>
  <c r="H236" i="25"/>
  <c r="BO25" i="27"/>
  <c r="E555" i="25"/>
  <c r="E556" i="25"/>
  <c r="DV20" i="27"/>
  <c r="DV25" i="27"/>
  <c r="DE20" i="26"/>
  <c r="DE24" i="26"/>
  <c r="CF177" i="39"/>
  <c r="AQ65" i="27"/>
  <c r="AQ70" i="27"/>
  <c r="E572" i="25"/>
  <c r="E575" i="25"/>
  <c r="E149" i="28"/>
  <c r="E152" i="28"/>
  <c r="E156" i="28"/>
  <c r="EB183" i="39"/>
  <c r="BV20" i="26"/>
  <c r="BV24" i="26"/>
  <c r="BV34" i="26"/>
  <c r="BV43" i="26"/>
  <c r="F196" i="25"/>
  <c r="F199" i="25"/>
  <c r="AL178" i="39"/>
  <c r="F509" i="25"/>
  <c r="F512" i="25"/>
  <c r="M179" i="39"/>
  <c r="G181" i="25"/>
  <c r="G184" i="25"/>
  <c r="O178" i="39"/>
  <c r="N509" i="25"/>
  <c r="N512" i="25"/>
  <c r="U179" i="39"/>
  <c r="AM65" i="27"/>
  <c r="AM70" i="27"/>
  <c r="AM74" i="27"/>
  <c r="BA159" i="39"/>
  <c r="AF176" i="39"/>
  <c r="AM176" i="39"/>
  <c r="AS176" i="39"/>
  <c r="AS184" i="39"/>
  <c r="BL176" i="39"/>
  <c r="BL184" i="39"/>
  <c r="FI176" i="39"/>
  <c r="FI184" i="39"/>
  <c r="AA177" i="39"/>
  <c r="H517" i="25"/>
  <c r="H520" i="25"/>
  <c r="E561" i="25"/>
  <c r="E562" i="25"/>
  <c r="E563" i="25"/>
  <c r="DD174" i="34"/>
  <c r="I512" i="25"/>
  <c r="P179" i="39"/>
  <c r="I69" i="28"/>
  <c r="I74" i="28"/>
  <c r="AE20" i="27"/>
  <c r="H536" i="25"/>
  <c r="H539" i="25"/>
  <c r="N525" i="25"/>
  <c r="AY171" i="34"/>
  <c r="AY179" i="34"/>
  <c r="I286" i="25"/>
  <c r="FQ178" i="39"/>
  <c r="W177" i="39"/>
  <c r="E238" i="25"/>
  <c r="E239" i="25"/>
  <c r="N180" i="28"/>
  <c r="N183" i="28"/>
  <c r="N187" i="28"/>
  <c r="FU183" i="39"/>
  <c r="F572" i="25"/>
  <c r="F575" i="25"/>
  <c r="F149" i="28"/>
  <c r="F156" i="28"/>
  <c r="EC183" i="39"/>
  <c r="CO176" i="39"/>
  <c r="CO184" i="39"/>
  <c r="L220" i="25"/>
  <c r="L223" i="25"/>
  <c r="CQ20" i="27"/>
  <c r="CQ45" i="27"/>
  <c r="CQ50" i="27"/>
  <c r="O43" i="28"/>
  <c r="O48" i="28"/>
  <c r="DA45" i="27"/>
  <c r="DA50" i="27"/>
  <c r="DA25" i="27"/>
  <c r="G214" i="25"/>
  <c r="BM65" i="27"/>
  <c r="BM70" i="27"/>
  <c r="DC171" i="34"/>
  <c r="DC179" i="34"/>
  <c r="CA176" i="39"/>
  <c r="CA184" i="39"/>
  <c r="H584" i="25"/>
  <c r="H587" i="25"/>
  <c r="FC179" i="39"/>
  <c r="DE20" i="27"/>
  <c r="DE25" i="27"/>
  <c r="H578" i="25"/>
  <c r="H581" i="25"/>
  <c r="EQ179" i="39"/>
  <c r="K275" i="25"/>
  <c r="K278" i="25"/>
  <c r="FG178" i="39"/>
  <c r="CE176" i="39"/>
  <c r="CE184" i="39"/>
  <c r="DH25" i="27"/>
  <c r="G537" i="25"/>
  <c r="G538" i="25"/>
  <c r="G539" i="25"/>
  <c r="BJ179" i="39"/>
  <c r="H543" i="25"/>
  <c r="H544" i="25"/>
  <c r="O64" i="25"/>
  <c r="O228" i="25"/>
  <c r="FJ176" i="39"/>
  <c r="FJ184" i="39"/>
  <c r="DU20" i="27"/>
  <c r="G126" i="28"/>
  <c r="G131" i="28"/>
  <c r="P548" i="25"/>
  <c r="P551" i="25"/>
  <c r="CM171" i="34"/>
  <c r="CM179" i="34"/>
  <c r="BG176" i="39"/>
  <c r="BG184" i="39"/>
  <c r="P56" i="28"/>
  <c r="P61" i="28"/>
  <c r="O275" i="25"/>
  <c r="O278" i="25"/>
  <c r="FK178" i="39"/>
  <c r="EG65" i="27"/>
  <c r="EG70" i="27"/>
  <c r="ED177" i="39"/>
  <c r="F244" i="25"/>
  <c r="BW172" i="34"/>
  <c r="BB20" i="26"/>
  <c r="BB24" i="26"/>
  <c r="L180" i="28"/>
  <c r="L183" i="28"/>
  <c r="L187" i="28"/>
  <c r="FS183" i="39"/>
  <c r="CE177" i="39"/>
  <c r="K220" i="25"/>
  <c r="K223" i="25"/>
  <c r="H126" i="28"/>
  <c r="H131" i="28"/>
  <c r="P109" i="28"/>
  <c r="P114" i="28"/>
  <c r="O95" i="28"/>
  <c r="O100" i="28"/>
  <c r="EM177" i="39"/>
  <c r="K236" i="25"/>
  <c r="BG177" i="39"/>
  <c r="EY176" i="39"/>
  <c r="EY184" i="39"/>
  <c r="P126" i="28"/>
  <c r="P131" i="28"/>
  <c r="BM20" i="27"/>
  <c r="BM45" i="27"/>
  <c r="BM50" i="27"/>
  <c r="O69" i="28"/>
  <c r="O74" i="28"/>
  <c r="DS20" i="26"/>
  <c r="DS24" i="26"/>
  <c r="DK172" i="34"/>
  <c r="DM172" i="34"/>
  <c r="K82" i="28"/>
  <c r="K87" i="28"/>
  <c r="L584" i="25"/>
  <c r="L587" i="25"/>
  <c r="FG179" i="39"/>
  <c r="H169" i="28"/>
  <c r="H172" i="28"/>
  <c r="H176" i="28"/>
  <c r="FC183" i="39"/>
  <c r="L578" i="25"/>
  <c r="L581" i="25"/>
  <c r="EU179" i="39"/>
  <c r="CY171" i="34"/>
  <c r="CY179" i="34"/>
  <c r="CU171" i="34"/>
  <c r="CU179" i="34"/>
  <c r="BX20" i="27"/>
  <c r="BX25" i="27"/>
  <c r="O238" i="25"/>
  <c r="DK177" i="39"/>
  <c r="EK45" i="27"/>
  <c r="EK50" i="27"/>
  <c r="N526" i="25"/>
  <c r="N527" i="25"/>
  <c r="FG176" i="39"/>
  <c r="FG184" i="39"/>
  <c r="EQ176" i="39"/>
  <c r="EQ184" i="39"/>
  <c r="J283" i="25"/>
  <c r="J286" i="25"/>
  <c r="FR178" i="39"/>
  <c r="J275" i="25"/>
  <c r="J278" i="25"/>
  <c r="FF178" i="39"/>
  <c r="DS177" i="39"/>
  <c r="AU172" i="34"/>
  <c r="FO176" i="39"/>
  <c r="FO184" i="39"/>
  <c r="FK176" i="39"/>
  <c r="FK184" i="39"/>
  <c r="DK176" i="39"/>
  <c r="DK184" i="39"/>
  <c r="L560" i="25"/>
  <c r="BU20" i="27"/>
  <c r="L82" i="28"/>
  <c r="L87" i="28"/>
  <c r="EA177" i="39"/>
  <c r="DY45" i="27"/>
  <c r="DY50" i="27"/>
  <c r="N563" i="25"/>
  <c r="DM179" i="39"/>
  <c r="P566" i="25"/>
  <c r="DW176" i="39"/>
  <c r="DW184" i="39"/>
  <c r="CQ176" i="39"/>
  <c r="CQ184" i="39"/>
  <c r="CQ171" i="34"/>
  <c r="CQ179" i="34"/>
  <c r="L95" i="28"/>
  <c r="L100" i="28"/>
  <c r="BW177" i="39"/>
  <c r="FE20" i="27"/>
  <c r="DO177" i="39"/>
  <c r="CY177" i="39"/>
  <c r="P578" i="25"/>
  <c r="P581" i="25"/>
  <c r="EY179" i="39"/>
  <c r="BI20" i="27"/>
  <c r="CW65" i="27"/>
  <c r="CW70" i="27"/>
  <c r="K259" i="25"/>
  <c r="K262" i="25"/>
  <c r="EI178" i="39"/>
  <c r="ES20" i="27"/>
  <c r="ES25" i="27"/>
  <c r="L109" i="28"/>
  <c r="L114" i="28"/>
  <c r="CG20" i="27"/>
  <c r="CG45" i="27"/>
  <c r="CG50" i="27"/>
  <c r="P543" i="25"/>
  <c r="P544" i="25"/>
  <c r="CV20" i="26"/>
  <c r="CV24" i="26"/>
  <c r="P158" i="28"/>
  <c r="P161" i="28"/>
  <c r="P165" i="28"/>
  <c r="EY183" i="39"/>
  <c r="G251" i="25"/>
  <c r="FA20" i="27"/>
  <c r="FA25" i="27"/>
  <c r="EW20" i="27"/>
  <c r="CW20" i="27"/>
  <c r="CW25" i="27"/>
  <c r="CI176" i="39"/>
  <c r="CI184" i="39"/>
  <c r="H82" i="28"/>
  <c r="H87" i="28"/>
  <c r="EQ177" i="39"/>
  <c r="AJ29" i="26"/>
  <c r="AJ38" i="26"/>
  <c r="G567" i="25"/>
  <c r="G568" i="25"/>
  <c r="L554" i="25"/>
  <c r="L572" i="25"/>
  <c r="L575" i="25"/>
  <c r="EI179" i="39"/>
  <c r="O82" i="28"/>
  <c r="O87" i="28"/>
  <c r="AS20" i="27"/>
  <c r="AS25" i="27"/>
  <c r="EW65" i="27"/>
  <c r="EW70" i="27"/>
  <c r="EF20" i="26"/>
  <c r="EF24" i="26"/>
  <c r="DP65" i="27"/>
  <c r="DP70" i="27"/>
  <c r="BQ65" i="27"/>
  <c r="BQ70" i="27"/>
  <c r="BH20" i="26"/>
  <c r="BH24" i="26"/>
  <c r="L590" i="25"/>
  <c r="L593" i="25"/>
  <c r="FS179" i="39"/>
  <c r="K572" i="25"/>
  <c r="K575" i="25"/>
  <c r="EH179" i="39"/>
  <c r="CS20" i="27"/>
  <c r="P554" i="25"/>
  <c r="P557" i="25"/>
  <c r="CP176" i="39"/>
  <c r="CP184" i="39"/>
  <c r="P542" i="25"/>
  <c r="FB177" i="39"/>
  <c r="CO65" i="27"/>
  <c r="CO70" i="27"/>
  <c r="CY172" i="34"/>
  <c r="BD65" i="27"/>
  <c r="BD70" i="27"/>
  <c r="ER20" i="27"/>
  <c r="ER45" i="27"/>
  <c r="ER50" i="27"/>
  <c r="BW171" i="34"/>
  <c r="BW179" i="34"/>
  <c r="BZ177" i="39"/>
  <c r="DK20" i="26"/>
  <c r="DK24" i="26"/>
  <c r="H572" i="25"/>
  <c r="H575" i="25"/>
  <c r="EE179" i="39"/>
  <c r="FD20" i="27"/>
  <c r="FD25" i="27"/>
  <c r="EG20" i="27"/>
  <c r="CK20" i="27"/>
  <c r="BZ176" i="39"/>
  <c r="BZ184" i="39"/>
  <c r="F246" i="25"/>
  <c r="EU176" i="39"/>
  <c r="EU184" i="39"/>
  <c r="BR176" i="39"/>
  <c r="BR184" i="39"/>
  <c r="DU65" i="27"/>
  <c r="DU70" i="27"/>
  <c r="DE65" i="27"/>
  <c r="DE70" i="27"/>
  <c r="O236" i="25"/>
  <c r="O239" i="25"/>
  <c r="AU177" i="39"/>
  <c r="AT172" i="34"/>
  <c r="H95" i="28"/>
  <c r="H100" i="28"/>
  <c r="O223" i="25"/>
  <c r="CE173" i="34"/>
  <c r="BR171" i="34"/>
  <c r="BR179" i="34"/>
  <c r="AL173" i="34"/>
  <c r="M174" i="34"/>
  <c r="T177" i="39"/>
  <c r="T172" i="34"/>
  <c r="L181" i="25"/>
  <c r="L184" i="25"/>
  <c r="AH173" i="34"/>
  <c r="D212" i="25"/>
  <c r="BH172" i="34"/>
  <c r="AS20" i="26"/>
  <c r="AS24" i="26"/>
  <c r="AT65" i="27"/>
  <c r="AT70" i="27"/>
  <c r="AW20" i="26"/>
  <c r="AW24" i="26"/>
  <c r="AX65" i="27"/>
  <c r="AX70" i="27"/>
  <c r="BL172" i="34"/>
  <c r="AF174" i="34"/>
  <c r="AF179" i="39"/>
  <c r="K181" i="25"/>
  <c r="K184" i="25"/>
  <c r="S178" i="39"/>
  <c r="S177" i="39"/>
  <c r="AD172" i="34"/>
  <c r="J188" i="25"/>
  <c r="J191" i="25"/>
  <c r="AD173" i="34"/>
  <c r="AD177" i="39"/>
  <c r="AM178" i="39"/>
  <c r="AW65" i="27"/>
  <c r="AW70" i="27"/>
  <c r="G212" i="25"/>
  <c r="BK177" i="39"/>
  <c r="AV20" i="26"/>
  <c r="AV24" i="26"/>
  <c r="N178" i="39"/>
  <c r="R172" i="34"/>
  <c r="R177" i="39"/>
  <c r="J181" i="25"/>
  <c r="J184" i="25"/>
  <c r="V177" i="39"/>
  <c r="V172" i="34"/>
  <c r="N181" i="25"/>
  <c r="N184" i="25"/>
  <c r="V173" i="34"/>
  <c r="Z172" i="34"/>
  <c r="Z177" i="39"/>
  <c r="F188" i="25"/>
  <c r="F191" i="25"/>
  <c r="O188" i="25"/>
  <c r="O191" i="25"/>
  <c r="AI173" i="34"/>
  <c r="AI177" i="39"/>
  <c r="AI172" i="34"/>
  <c r="AV177" i="39"/>
  <c r="AH65" i="27"/>
  <c r="AH70" i="27"/>
  <c r="D204" i="25"/>
  <c r="AV172" i="34"/>
  <c r="AG20" i="26"/>
  <c r="AG24" i="26"/>
  <c r="AG35" i="26"/>
  <c r="AG44" i="26"/>
  <c r="BJ177" i="39"/>
  <c r="BJ172" i="34"/>
  <c r="F212" i="25"/>
  <c r="F215" i="25"/>
  <c r="BJ173" i="34"/>
  <c r="AZ65" i="27"/>
  <c r="AZ70" i="27"/>
  <c r="AY20" i="26"/>
  <c r="AY24" i="26"/>
  <c r="J212" i="25"/>
  <c r="J215" i="25"/>
  <c r="BN172" i="34"/>
  <c r="BN177" i="39"/>
  <c r="Z174" i="34"/>
  <c r="Z179" i="39"/>
  <c r="AD179" i="39"/>
  <c r="AD174" i="34"/>
  <c r="M181" i="25"/>
  <c r="M184" i="25"/>
  <c r="U178" i="39"/>
  <c r="U172" i="34"/>
  <c r="U177" i="39"/>
  <c r="Y172" i="34"/>
  <c r="E188" i="25"/>
  <c r="E191" i="25"/>
  <c r="Y177" i="39"/>
  <c r="AY65" i="27"/>
  <c r="AY70" i="27"/>
  <c r="I212" i="25"/>
  <c r="BM177" i="39"/>
  <c r="BM172" i="34"/>
  <c r="AX20" i="26"/>
  <c r="AX24" i="26"/>
  <c r="N267" i="25"/>
  <c r="N270" i="25"/>
  <c r="EX178" i="39"/>
  <c r="EI20" i="26"/>
  <c r="EI24" i="26"/>
  <c r="EI31" i="26"/>
  <c r="EI40" i="26"/>
  <c r="EV45" i="27"/>
  <c r="EV50" i="27"/>
  <c r="EV25" i="27"/>
  <c r="N69" i="28"/>
  <c r="N74" i="28"/>
  <c r="FN176" i="39"/>
  <c r="FN184" i="39"/>
  <c r="CX20" i="26"/>
  <c r="CX24" i="26"/>
  <c r="O204" i="25"/>
  <c r="O207" i="25"/>
  <c r="H561" i="25"/>
  <c r="H562" i="25"/>
  <c r="H563" i="25"/>
  <c r="BN20" i="26"/>
  <c r="BN24" i="26"/>
  <c r="O214" i="25"/>
  <c r="AQ20" i="27"/>
  <c r="Q171" i="34"/>
  <c r="E204" i="25"/>
  <c r="E212" i="25"/>
  <c r="M171" i="34"/>
  <c r="O171" i="34"/>
  <c r="J509" i="25"/>
  <c r="J512" i="25"/>
  <c r="AD171" i="34"/>
  <c r="AF171" i="34"/>
  <c r="L528" i="25"/>
  <c r="AR174" i="34"/>
  <c r="O578" i="25"/>
  <c r="O581" i="25"/>
  <c r="EX179" i="39"/>
  <c r="DX20" i="27"/>
  <c r="DX45" i="27"/>
  <c r="DX50" i="27"/>
  <c r="K126" i="28"/>
  <c r="K131" i="28"/>
  <c r="G560" i="25"/>
  <c r="G563" i="25"/>
  <c r="DF179" i="39"/>
  <c r="DI177" i="39"/>
  <c r="BU172" i="34"/>
  <c r="I267" i="25"/>
  <c r="I270" i="25"/>
  <c r="ES178" i="39"/>
  <c r="CL171" i="34"/>
  <c r="CL179" i="34"/>
  <c r="BY172" i="34"/>
  <c r="EP65" i="27"/>
  <c r="EP70" i="27"/>
  <c r="DF20" i="26"/>
  <c r="DF24" i="26"/>
  <c r="BS177" i="39"/>
  <c r="AQ171" i="34"/>
  <c r="AA171" i="34"/>
  <c r="AE172" i="34"/>
  <c r="AL20" i="26"/>
  <c r="AL24" i="26"/>
  <c r="AL35" i="26"/>
  <c r="AL44" i="26"/>
  <c r="O177" i="39"/>
  <c r="DQ45" i="27"/>
  <c r="DQ50" i="27"/>
  <c r="AH29" i="26"/>
  <c r="AH38" i="26"/>
  <c r="G572" i="25"/>
  <c r="G575" i="25"/>
  <c r="ED179" i="39"/>
  <c r="K253" i="25"/>
  <c r="CX176" i="39"/>
  <c r="CX184" i="39"/>
  <c r="O158" i="28"/>
  <c r="O161" i="28"/>
  <c r="O165" i="28"/>
  <c r="EX183" i="39"/>
  <c r="G590" i="25"/>
  <c r="G593" i="25"/>
  <c r="FN179" i="39"/>
  <c r="O572" i="25"/>
  <c r="O575" i="25"/>
  <c r="O149" i="28"/>
  <c r="O542" i="25"/>
  <c r="O545" i="25"/>
  <c r="EO177" i="39"/>
  <c r="M244" i="25"/>
  <c r="CT20" i="26"/>
  <c r="CT24" i="26"/>
  <c r="CL20" i="26"/>
  <c r="CL24" i="26"/>
  <c r="CB172" i="34"/>
  <c r="BT172" i="34"/>
  <c r="AB20" i="26"/>
  <c r="AB24" i="26"/>
  <c r="CP171" i="34"/>
  <c r="CP179" i="34"/>
  <c r="DU20" i="26"/>
  <c r="DU24" i="26"/>
  <c r="H220" i="25"/>
  <c r="AS65" i="27"/>
  <c r="AS70" i="27"/>
  <c r="DP20" i="27"/>
  <c r="DP45" i="27"/>
  <c r="DP50" i="27"/>
  <c r="CX171" i="34"/>
  <c r="CX179" i="34"/>
  <c r="L543" i="25"/>
  <c r="L544" i="25"/>
  <c r="BU177" i="39"/>
  <c r="K578" i="25"/>
  <c r="K581" i="25"/>
  <c r="ET179" i="39"/>
  <c r="N82" i="28"/>
  <c r="N87" i="28"/>
  <c r="BP171" i="34"/>
  <c r="BP179" i="34"/>
  <c r="H206" i="25"/>
  <c r="EF177" i="39"/>
  <c r="M236" i="25"/>
  <c r="F542" i="25"/>
  <c r="F545" i="25"/>
  <c r="BU179" i="39"/>
  <c r="FB176" i="39"/>
  <c r="FB184" i="39"/>
  <c r="FR176" i="39"/>
  <c r="FR184" i="39"/>
  <c r="O584" i="25"/>
  <c r="O587" i="25"/>
  <c r="FJ179" i="39"/>
  <c r="EN20" i="27"/>
  <c r="J158" i="28"/>
  <c r="J161" i="28"/>
  <c r="J165" i="28"/>
  <c r="ES183" i="39"/>
  <c r="CY20" i="27"/>
  <c r="J109" i="28"/>
  <c r="J114" i="28"/>
  <c r="CS171" i="34"/>
  <c r="CS179" i="34"/>
  <c r="K95" i="28"/>
  <c r="K100" i="28"/>
  <c r="G548" i="25"/>
  <c r="BH20" i="27"/>
  <c r="BC20" i="27"/>
  <c r="BC45" i="27"/>
  <c r="BC50" i="27"/>
  <c r="FA65" i="27"/>
  <c r="FA70" i="27"/>
  <c r="L251" i="25"/>
  <c r="L254" i="25"/>
  <c r="DX178" i="39"/>
  <c r="I236" i="25"/>
  <c r="I239" i="25"/>
  <c r="BK45" i="27"/>
  <c r="BK50" i="27"/>
  <c r="M64" i="25"/>
  <c r="CA65" i="27"/>
  <c r="CA70" i="27"/>
  <c r="F158" i="28"/>
  <c r="F161" i="28"/>
  <c r="F165" i="28"/>
  <c r="EO183" i="39"/>
  <c r="D259" i="25"/>
  <c r="D262" i="25"/>
  <c r="EB178" i="39"/>
  <c r="CZ177" i="39"/>
  <c r="M220" i="25"/>
  <c r="BY177" i="39"/>
  <c r="BF20" i="26"/>
  <c r="BF24" i="26"/>
  <c r="AG65" i="27"/>
  <c r="AG70" i="27"/>
  <c r="EY20" i="27"/>
  <c r="EY45" i="27"/>
  <c r="EY50" i="27"/>
  <c r="CS177" i="39"/>
  <c r="BD20" i="26"/>
  <c r="BD24" i="26"/>
  <c r="AQ20" i="26"/>
  <c r="AQ24" i="26"/>
  <c r="EB45" i="27"/>
  <c r="EB50" i="27"/>
  <c r="AW172" i="34"/>
  <c r="I220" i="25"/>
  <c r="AP65" i="27"/>
  <c r="AP70" i="27"/>
  <c r="AP74" i="27"/>
  <c r="F530" i="25"/>
  <c r="F533" i="25"/>
  <c r="AW179" i="39"/>
  <c r="G517" i="25"/>
  <c r="G520" i="25"/>
  <c r="F126" i="28"/>
  <c r="F131" i="28"/>
  <c r="H531" i="25"/>
  <c r="H532" i="25"/>
  <c r="AG172" i="34"/>
  <c r="I204" i="25"/>
  <c r="BA176" i="39"/>
  <c r="BA184" i="39"/>
  <c r="AD176" i="39"/>
  <c r="AN176" i="39"/>
  <c r="BH176" i="39"/>
  <c r="BH184" i="39"/>
  <c r="N177" i="39"/>
  <c r="AN177" i="39"/>
  <c r="I536" i="25"/>
  <c r="J530" i="25"/>
  <c r="J533" i="25"/>
  <c r="H525" i="25"/>
  <c r="H528" i="25"/>
  <c r="BH171" i="34"/>
  <c r="BH179" i="34"/>
  <c r="AL20" i="27"/>
  <c r="AL45" i="27"/>
  <c r="AL50" i="27"/>
  <c r="O517" i="25"/>
  <c r="O520" i="25"/>
  <c r="AI174" i="34"/>
  <c r="BE171" i="34"/>
  <c r="BE179" i="34"/>
  <c r="J56" i="28"/>
  <c r="J66" i="28"/>
  <c r="F56" i="28"/>
  <c r="H204" i="25"/>
  <c r="N172" i="34"/>
  <c r="G262" i="25"/>
  <c r="EE178" i="39"/>
  <c r="N214" i="25"/>
  <c r="N215" i="25"/>
  <c r="BR178" i="39"/>
  <c r="V171" i="34"/>
  <c r="X171" i="34"/>
  <c r="Z171" i="34"/>
  <c r="AP171" i="34"/>
  <c r="P539" i="25"/>
  <c r="BS179" i="39"/>
  <c r="J528" i="25"/>
  <c r="AP179" i="39"/>
  <c r="G578" i="25"/>
  <c r="G581" i="25"/>
  <c r="EP179" i="39"/>
  <c r="BP20" i="27"/>
  <c r="BP45" i="27"/>
  <c r="BP50" i="27"/>
  <c r="DT20" i="27"/>
  <c r="O548" i="25"/>
  <c r="K584" i="25"/>
  <c r="K587" i="25"/>
  <c r="FF179" i="39"/>
  <c r="K158" i="28"/>
  <c r="K161" i="28"/>
  <c r="K165" i="28"/>
  <c r="ET183" i="39"/>
  <c r="DM177" i="39"/>
  <c r="K180" i="28"/>
  <c r="K183" i="28"/>
  <c r="K187" i="28"/>
  <c r="FR183" i="39"/>
  <c r="O169" i="28"/>
  <c r="O172" i="28"/>
  <c r="O176" i="28"/>
  <c r="FJ183" i="39"/>
  <c r="G584" i="25"/>
  <c r="G587" i="25"/>
  <c r="FB179" i="39"/>
  <c r="K548" i="25"/>
  <c r="G82" i="28"/>
  <c r="G87" i="28"/>
  <c r="CS172" i="34"/>
  <c r="BS172" i="34"/>
  <c r="L196" i="25"/>
  <c r="L199" i="25"/>
  <c r="BJ20" i="26"/>
  <c r="BJ24" i="26"/>
  <c r="BA171" i="34"/>
  <c r="BA179" i="34"/>
  <c r="D196" i="25"/>
  <c r="D199" i="25"/>
  <c r="DI25" i="27"/>
  <c r="N66" i="28"/>
  <c r="BE183" i="39"/>
  <c r="G180" i="28"/>
  <c r="G183" i="28"/>
  <c r="G187" i="28"/>
  <c r="FN183" i="39"/>
  <c r="EP176" i="39"/>
  <c r="EP184" i="39"/>
  <c r="CD171" i="34"/>
  <c r="CD179" i="34"/>
  <c r="I244" i="25"/>
  <c r="DA172" i="34"/>
  <c r="BE20" i="26"/>
  <c r="BE24" i="26"/>
  <c r="K196" i="25"/>
  <c r="K199" i="25"/>
  <c r="CD20" i="26"/>
  <c r="CD24" i="26"/>
  <c r="L259" i="25"/>
  <c r="L262" i="25"/>
  <c r="EJ178" i="39"/>
  <c r="BX172" i="34"/>
  <c r="AR20" i="26"/>
  <c r="AR24" i="26"/>
  <c r="AR30" i="26"/>
  <c r="AR39" i="26"/>
  <c r="F254" i="25"/>
  <c r="DR178" i="39"/>
  <c r="K169" i="28"/>
  <c r="K172" i="28"/>
  <c r="K176" i="28"/>
  <c r="FF183" i="39"/>
  <c r="J82" i="28"/>
  <c r="J87" i="28"/>
  <c r="M69" i="28"/>
  <c r="M74" i="28"/>
  <c r="AC65" i="27"/>
  <c r="AC70" i="27"/>
  <c r="AC74" i="27"/>
  <c r="BI20" i="26"/>
  <c r="BI24" i="26"/>
  <c r="DX177" i="39"/>
  <c r="FR177" i="39"/>
  <c r="DU176" i="39"/>
  <c r="DU184" i="39"/>
  <c r="DV176" i="39"/>
  <c r="DV184" i="39"/>
  <c r="DI20" i="26"/>
  <c r="DI24" i="26"/>
  <c r="EA20" i="27"/>
  <c r="EA25" i="27"/>
  <c r="E220" i="25"/>
  <c r="AF20" i="26"/>
  <c r="AF24" i="26"/>
  <c r="F590" i="25"/>
  <c r="F593" i="25"/>
  <c r="FM179" i="39"/>
  <c r="CK171" i="34"/>
  <c r="CK179" i="34"/>
  <c r="BU171" i="34"/>
  <c r="BU179" i="34"/>
  <c r="N204" i="25"/>
  <c r="EZ45" i="27"/>
  <c r="EZ50" i="27"/>
  <c r="AI65" i="27"/>
  <c r="AI70" i="27"/>
  <c r="AM172" i="34"/>
  <c r="AO20" i="26"/>
  <c r="AO24" i="26"/>
  <c r="AZ172" i="34"/>
  <c r="H184" i="25"/>
  <c r="P178" i="39"/>
  <c r="AW171" i="34"/>
  <c r="AW179" i="34"/>
  <c r="M172" i="34"/>
  <c r="I520" i="25"/>
  <c r="AC174" i="34"/>
  <c r="BA177" i="39"/>
  <c r="AQ176" i="39"/>
  <c r="AU176" i="39"/>
  <c r="AU184" i="39"/>
  <c r="M177" i="39"/>
  <c r="AM177" i="39"/>
  <c r="AW177" i="39"/>
  <c r="N520" i="25"/>
  <c r="L43" i="28"/>
  <c r="L48" i="28"/>
  <c r="J69" i="28"/>
  <c r="J74" i="28"/>
  <c r="G188" i="25"/>
  <c r="G191" i="25"/>
  <c r="CS65" i="27"/>
  <c r="CS70" i="27"/>
  <c r="CR20" i="26"/>
  <c r="CR24" i="26"/>
  <c r="G244" i="25"/>
  <c r="G247" i="25"/>
  <c r="DG173" i="34"/>
  <c r="DL30" i="26"/>
  <c r="DL39" i="26"/>
  <c r="DL34" i="26"/>
  <c r="DL43" i="26"/>
  <c r="BJ25" i="27"/>
  <c r="BJ45" i="27"/>
  <c r="BJ50" i="27"/>
  <c r="EH65" i="27"/>
  <c r="EH70" i="27"/>
  <c r="EG20" i="26"/>
  <c r="EG24" i="26"/>
  <c r="EV177" i="39"/>
  <c r="L267" i="25"/>
  <c r="L270" i="25"/>
  <c r="EV178" i="39"/>
  <c r="CM172" i="34"/>
  <c r="BY65" i="27"/>
  <c r="BY70" i="27"/>
  <c r="EF65" i="27"/>
  <c r="EF70" i="27"/>
  <c r="J267" i="25"/>
  <c r="J270" i="25"/>
  <c r="ET178" i="39"/>
  <c r="FA20" i="26"/>
  <c r="FA24" i="26"/>
  <c r="H283" i="25"/>
  <c r="H286" i="25"/>
  <c r="FP178" i="39"/>
  <c r="FP177" i="39"/>
  <c r="FB65" i="27"/>
  <c r="FB70" i="27"/>
  <c r="FN177" i="39"/>
  <c r="EZ65" i="27"/>
  <c r="EZ70" i="27"/>
  <c r="DT32" i="26"/>
  <c r="DT41" i="26"/>
  <c r="I222" i="25"/>
  <c r="M230" i="25"/>
  <c r="FB20" i="27"/>
  <c r="FB45" i="27"/>
  <c r="FB50" i="27"/>
  <c r="M169" i="28"/>
  <c r="M172" i="28"/>
  <c r="M176" i="28"/>
  <c r="FH183" i="39"/>
  <c r="EK20" i="26"/>
  <c r="EK24" i="26"/>
  <c r="H244" i="25"/>
  <c r="BX20" i="26"/>
  <c r="BX24" i="26"/>
  <c r="BX33" i="26"/>
  <c r="BX42" i="26"/>
  <c r="BP172" i="34"/>
  <c r="DR20" i="27"/>
  <c r="DR45" i="27"/>
  <c r="DR50" i="27"/>
  <c r="M95" i="28"/>
  <c r="M100" i="28"/>
  <c r="L275" i="25"/>
  <c r="L278" i="25"/>
  <c r="FH178" i="39"/>
  <c r="O259" i="25"/>
  <c r="O262" i="25"/>
  <c r="EM178" i="39"/>
  <c r="DH20" i="26"/>
  <c r="DH24" i="26"/>
  <c r="CZ176" i="39"/>
  <c r="CZ184" i="39"/>
  <c r="DF65" i="27"/>
  <c r="DF70" i="27"/>
  <c r="EX20" i="27"/>
  <c r="E180" i="28"/>
  <c r="E183" i="28"/>
  <c r="E187" i="28"/>
  <c r="FL183" i="39"/>
  <c r="I584" i="25"/>
  <c r="I587" i="25"/>
  <c r="FD179" i="39"/>
  <c r="FD176" i="39"/>
  <c r="FD184" i="39"/>
  <c r="EH20" i="27"/>
  <c r="EH25" i="27"/>
  <c r="E158" i="28"/>
  <c r="E161" i="28"/>
  <c r="E165" i="28"/>
  <c r="EN183" i="39"/>
  <c r="P69" i="28"/>
  <c r="P74" i="28"/>
  <c r="BF20" i="27"/>
  <c r="BF25" i="27"/>
  <c r="E584" i="25"/>
  <c r="E587" i="25"/>
  <c r="EZ179" i="39"/>
  <c r="CB176" i="39"/>
  <c r="CB184" i="39"/>
  <c r="CT172" i="34"/>
  <c r="EO176" i="39"/>
  <c r="EO184" i="39"/>
  <c r="M572" i="25"/>
  <c r="M575" i="25"/>
  <c r="M149" i="28"/>
  <c r="M560" i="25"/>
  <c r="BB20" i="27"/>
  <c r="DX20" i="26"/>
  <c r="DX24" i="26"/>
  <c r="DX33" i="26"/>
  <c r="DX42" i="26"/>
  <c r="DT177" i="39"/>
  <c r="DC177" i="39"/>
  <c r="BY20" i="26"/>
  <c r="BY24" i="26"/>
  <c r="AP20" i="26"/>
  <c r="AP24" i="26"/>
  <c r="AP32" i="26"/>
  <c r="AP41" i="26"/>
  <c r="AT177" i="39"/>
  <c r="FM176" i="39"/>
  <c r="FM184" i="39"/>
  <c r="EB176" i="39"/>
  <c r="EB184" i="39"/>
  <c r="J548" i="25"/>
  <c r="J551" i="25"/>
  <c r="CK179" i="39"/>
  <c r="FD177" i="39"/>
  <c r="EB20" i="26"/>
  <c r="EB24" i="26"/>
  <c r="DU177" i="39"/>
  <c r="CX65" i="27"/>
  <c r="CX70" i="27"/>
  <c r="CD177" i="39"/>
  <c r="AS174" i="34"/>
  <c r="I251" i="25"/>
  <c r="I254" i="25"/>
  <c r="DU178" i="39"/>
  <c r="N220" i="25"/>
  <c r="J554" i="25"/>
  <c r="P531" i="25"/>
  <c r="P532" i="25"/>
  <c r="P533" i="25"/>
  <c r="N169" i="28"/>
  <c r="N172" i="28"/>
  <c r="N176" i="28"/>
  <c r="FI183" i="39"/>
  <c r="CJ45" i="27"/>
  <c r="CJ50" i="27"/>
  <c r="CR171" i="34"/>
  <c r="CR179" i="34"/>
  <c r="I230" i="25"/>
  <c r="M246" i="25"/>
  <c r="N206" i="25"/>
  <c r="E554" i="25"/>
  <c r="E557" i="25"/>
  <c r="FP176" i="39"/>
  <c r="FP184" i="39"/>
  <c r="M584" i="25"/>
  <c r="M587" i="25"/>
  <c r="FH179" i="39"/>
  <c r="DD171" i="34"/>
  <c r="DD179" i="34"/>
  <c r="CJ171" i="34"/>
  <c r="CJ179" i="34"/>
  <c r="EL65" i="27"/>
  <c r="EL70" i="27"/>
  <c r="DP20" i="26"/>
  <c r="DP24" i="26"/>
  <c r="J220" i="25"/>
  <c r="BZ20" i="27"/>
  <c r="ES20" i="26"/>
  <c r="ES24" i="26"/>
  <c r="CH172" i="34"/>
  <c r="E222" i="25"/>
  <c r="I548" i="25"/>
  <c r="CB171" i="34"/>
  <c r="CB179" i="34"/>
  <c r="L536" i="25"/>
  <c r="L539" i="25"/>
  <c r="BO174" i="34"/>
  <c r="J555" i="25"/>
  <c r="J556" i="25"/>
  <c r="CF65" i="27"/>
  <c r="CF70" i="27"/>
  <c r="BL20" i="26"/>
  <c r="BL24" i="26"/>
  <c r="BL35" i="26"/>
  <c r="BL44" i="26"/>
  <c r="J253" i="25"/>
  <c r="FE176" i="39"/>
  <c r="FE184" i="39"/>
  <c r="DM20" i="26"/>
  <c r="DM24" i="26"/>
  <c r="DM30" i="26"/>
  <c r="DM39" i="26"/>
  <c r="DZ20" i="27"/>
  <c r="DZ45" i="27"/>
  <c r="DZ50" i="27"/>
  <c r="F548" i="25"/>
  <c r="F551" i="25"/>
  <c r="CG174" i="34"/>
  <c r="CG176" i="39"/>
  <c r="CG184" i="39"/>
  <c r="EO20" i="26"/>
  <c r="EO24" i="26"/>
  <c r="F220" i="25"/>
  <c r="F223" i="25"/>
  <c r="EU25" i="27"/>
  <c r="K537" i="25"/>
  <c r="K538" i="25"/>
  <c r="N584" i="25"/>
  <c r="N587" i="25"/>
  <c r="FI179" i="39"/>
  <c r="I158" i="28"/>
  <c r="I161" i="28"/>
  <c r="I165" i="28"/>
  <c r="ER183" i="39"/>
  <c r="E230" i="25"/>
  <c r="I246" i="25"/>
  <c r="J206" i="25"/>
  <c r="J207" i="25"/>
  <c r="BB173" i="34"/>
  <c r="I95" i="28"/>
  <c r="I100" i="28"/>
  <c r="CP20" i="26"/>
  <c r="CP24" i="26"/>
  <c r="BZ172" i="34"/>
  <c r="CN176" i="39"/>
  <c r="CN184" i="39"/>
  <c r="FL176" i="39"/>
  <c r="FL184" i="39"/>
  <c r="EN176" i="39"/>
  <c r="EN184" i="39"/>
  <c r="AS172" i="34"/>
  <c r="EI177" i="39"/>
  <c r="M180" i="28"/>
  <c r="M183" i="28"/>
  <c r="M187" i="28"/>
  <c r="FT183" i="39"/>
  <c r="M542" i="25"/>
  <c r="CT177" i="39"/>
  <c r="M578" i="25"/>
  <c r="M581" i="25"/>
  <c r="EV179" i="39"/>
  <c r="G267" i="25"/>
  <c r="G270" i="25"/>
  <c r="EQ178" i="39"/>
  <c r="DE172" i="34"/>
  <c r="BO20" i="26"/>
  <c r="BO24" i="26"/>
  <c r="EZ177" i="39"/>
  <c r="F206" i="25"/>
  <c r="FW108" i="58"/>
  <c r="C148" i="46"/>
  <c r="M139" i="46"/>
  <c r="M141" i="46"/>
  <c r="FW154" i="58"/>
  <c r="N139" i="46"/>
  <c r="O180" i="28"/>
  <c r="O183" i="28"/>
  <c r="O187" i="28"/>
  <c r="FW174" i="58"/>
  <c r="O590" i="25"/>
  <c r="O593" i="25"/>
  <c r="FW170" i="58"/>
  <c r="O140" i="32"/>
  <c r="FW201" i="58"/>
  <c r="FH20" i="27"/>
  <c r="FH46" i="27"/>
  <c r="FH51" i="27"/>
  <c r="P590" i="25"/>
  <c r="P593" i="25"/>
  <c r="FX170" i="58"/>
  <c r="FI47" i="27"/>
  <c r="FI52" i="27"/>
  <c r="FH28" i="27"/>
  <c r="FI46" i="27"/>
  <c r="O370" i="33"/>
  <c r="FX185" i="58"/>
  <c r="O367" i="33"/>
  <c r="FX182" i="58"/>
  <c r="O368" i="33"/>
  <c r="FX183" i="58"/>
  <c r="O284" i="25"/>
  <c r="O285" i="25"/>
  <c r="BJ207" i="39"/>
  <c r="BJ202" i="34"/>
  <c r="CI177" i="39"/>
  <c r="G228" i="25"/>
  <c r="BU65" i="27"/>
  <c r="BU70" i="27"/>
  <c r="CI172" i="34"/>
  <c r="EH35" i="26"/>
  <c r="EH44" i="26"/>
  <c r="EH31" i="26"/>
  <c r="EH40" i="26"/>
  <c r="BI187" i="34"/>
  <c r="BI192" i="39"/>
  <c r="CR186" i="34"/>
  <c r="CR191" i="39"/>
  <c r="CU168" i="34"/>
  <c r="AV55" i="24"/>
  <c r="AV67" i="24"/>
  <c r="AV71" i="24"/>
  <c r="BL168" i="34"/>
  <c r="G549" i="25"/>
  <c r="G550" i="25"/>
  <c r="F230" i="25"/>
  <c r="AY25" i="26"/>
  <c r="AZ22" i="27"/>
  <c r="AZ47" i="27"/>
  <c r="AO52" i="27"/>
  <c r="AO67" i="27"/>
  <c r="AO72" i="27"/>
  <c r="DK205" i="34"/>
  <c r="DM205" i="34"/>
  <c r="DK210" i="39"/>
  <c r="DA21" i="24"/>
  <c r="DA50" i="24"/>
  <c r="DA53" i="24"/>
  <c r="DA55" i="24"/>
  <c r="DQ164" i="39"/>
  <c r="DZ50" i="24"/>
  <c r="DZ53" i="24"/>
  <c r="DZ55" i="24"/>
  <c r="EP164" i="39"/>
  <c r="DZ21" i="24"/>
  <c r="DZ23" i="24"/>
  <c r="EH21" i="24"/>
  <c r="EH50" i="24"/>
  <c r="EH53" i="24"/>
  <c r="EH55" i="24"/>
  <c r="EX164" i="39"/>
  <c r="AU35" i="24"/>
  <c r="AU36" i="24"/>
  <c r="AU68" i="24"/>
  <c r="AU69" i="24"/>
  <c r="AU71" i="24"/>
  <c r="CL177" i="39"/>
  <c r="BR187" i="34"/>
  <c r="O83" i="31"/>
  <c r="O90" i="31"/>
  <c r="O93" i="31"/>
  <c r="BR208" i="39"/>
  <c r="BS186" i="34"/>
  <c r="DY33" i="24"/>
  <c r="DY36" i="24"/>
  <c r="EO166" i="39"/>
  <c r="BU186" i="34"/>
  <c r="BK192" i="39"/>
  <c r="D163" i="29"/>
  <c r="CW33" i="24"/>
  <c r="CW36" i="24"/>
  <c r="DM166" i="39"/>
  <c r="I125" i="31"/>
  <c r="CJ208" i="39"/>
  <c r="BP71" i="24"/>
  <c r="EI53" i="27"/>
  <c r="CP27" i="27"/>
  <c r="CX47" i="27"/>
  <c r="CX52" i="27"/>
  <c r="K228" i="25"/>
  <c r="DI187" i="34"/>
  <c r="DK192" i="39"/>
  <c r="CL172" i="34"/>
  <c r="DE33" i="24"/>
  <c r="DE36" i="24"/>
  <c r="DU166" i="39"/>
  <c r="CM188" i="34"/>
  <c r="DF25" i="27"/>
  <c r="BB188" i="34"/>
  <c r="BG194" i="39"/>
  <c r="DN192" i="39"/>
  <c r="H163" i="31"/>
  <c r="H170" i="31"/>
  <c r="H173" i="31"/>
  <c r="DS208" i="39"/>
  <c r="CN188" i="34"/>
  <c r="K99" i="31"/>
  <c r="K106" i="31"/>
  <c r="K109" i="31"/>
  <c r="BZ208" i="39"/>
  <c r="DL35" i="26"/>
  <c r="DL44" i="26"/>
  <c r="ED20" i="27"/>
  <c r="ED45" i="27"/>
  <c r="ED50" i="27"/>
  <c r="EB71" i="24"/>
  <c r="ER173" i="39"/>
  <c r="AI33" i="24"/>
  <c r="AI36" i="24"/>
  <c r="AY161" i="34"/>
  <c r="BE36" i="24"/>
  <c r="AJ71" i="24"/>
  <c r="AZ173" i="39"/>
  <c r="FC27" i="27"/>
  <c r="I155" i="33"/>
  <c r="M158" i="28"/>
  <c r="M161" i="28"/>
  <c r="M165" i="28"/>
  <c r="EV183" i="39"/>
  <c r="AG33" i="24"/>
  <c r="AG36" i="24"/>
  <c r="E153" i="33"/>
  <c r="E156" i="33"/>
  <c r="FT176" i="39"/>
  <c r="FT184" i="39"/>
  <c r="AD20" i="26"/>
  <c r="AD24" i="26"/>
  <c r="AD34" i="26"/>
  <c r="AD43" i="26"/>
  <c r="BA194" i="39"/>
  <c r="CU71" i="24"/>
  <c r="DK173" i="39"/>
  <c r="CT71" i="24"/>
  <c r="CP55" i="24"/>
  <c r="DF159" i="34"/>
  <c r="EU22" i="27"/>
  <c r="EU47" i="27"/>
  <c r="AS177" i="39"/>
  <c r="BX186" i="34"/>
  <c r="F147" i="31"/>
  <c r="F154" i="31"/>
  <c r="F157" i="31"/>
  <c r="DE208" i="39"/>
  <c r="BT210" i="39"/>
  <c r="H180" i="33"/>
  <c r="G209" i="31"/>
  <c r="FB208" i="39"/>
  <c r="I153" i="33"/>
  <c r="BM186" i="34"/>
  <c r="O230" i="25"/>
  <c r="H368" i="33"/>
  <c r="EH23" i="24"/>
  <c r="AM71" i="24"/>
  <c r="BJ67" i="24"/>
  <c r="BJ55" i="24"/>
  <c r="BG20" i="26"/>
  <c r="BG24" i="26"/>
  <c r="BG31" i="26"/>
  <c r="BG40" i="26"/>
  <c r="BH65" i="27"/>
  <c r="BH70" i="27"/>
  <c r="D177" i="33"/>
  <c r="BT191" i="39"/>
  <c r="D179" i="33"/>
  <c r="BT193" i="39"/>
  <c r="L179" i="33"/>
  <c r="L180" i="33"/>
  <c r="CB189" i="34"/>
  <c r="J370" i="33"/>
  <c r="FR194" i="39"/>
  <c r="J369" i="33"/>
  <c r="FR193" i="39"/>
  <c r="J368" i="33"/>
  <c r="BK22" i="27"/>
  <c r="BK27" i="27"/>
  <c r="BJ25" i="26"/>
  <c r="CQ22" i="27"/>
  <c r="CQ47" i="27"/>
  <c r="CP25" i="26"/>
  <c r="CT25" i="26"/>
  <c r="CU22" i="27"/>
  <c r="CY22" i="27"/>
  <c r="CY27" i="27"/>
  <c r="CX25" i="26"/>
  <c r="DB25" i="26"/>
  <c r="DC22" i="27"/>
  <c r="DC27" i="27"/>
  <c r="DW22" i="27"/>
  <c r="DV25" i="26"/>
  <c r="EE27" i="27"/>
  <c r="EE47" i="27"/>
  <c r="EE67" i="27"/>
  <c r="EP25" i="26"/>
  <c r="EQ22" i="27"/>
  <c r="DE202" i="34"/>
  <c r="DE207" i="39"/>
  <c r="AX205" i="34"/>
  <c r="AX210" i="39"/>
  <c r="BB205" i="34"/>
  <c r="BB210" i="39"/>
  <c r="DD21" i="24"/>
  <c r="DD23" i="24"/>
  <c r="DD50" i="24"/>
  <c r="DD53" i="24"/>
  <c r="DD55" i="24"/>
  <c r="DT164" i="39"/>
  <c r="BF35" i="24"/>
  <c r="BF68" i="24"/>
  <c r="BF69" i="24"/>
  <c r="BF71" i="24"/>
  <c r="BV168" i="34"/>
  <c r="BJ68" i="24"/>
  <c r="BJ69" i="24"/>
  <c r="BJ35" i="24"/>
  <c r="AT168" i="34"/>
  <c r="AT173" i="39"/>
  <c r="L205" i="33"/>
  <c r="D203" i="33"/>
  <c r="CF187" i="34"/>
  <c r="H202" i="33"/>
  <c r="CJ186" i="34"/>
  <c r="E549" i="25"/>
  <c r="E550" i="25"/>
  <c r="D230" i="25"/>
  <c r="O230" i="33"/>
  <c r="O227" i="33"/>
  <c r="O228" i="33"/>
  <c r="O229" i="33"/>
  <c r="K252" i="33"/>
  <c r="K255" i="33"/>
  <c r="DK194" i="39"/>
  <c r="K254" i="33"/>
  <c r="O254" i="33"/>
  <c r="DO193" i="39"/>
  <c r="O255" i="33"/>
  <c r="DO194" i="39"/>
  <c r="O281" i="33"/>
  <c r="EA194" i="39"/>
  <c r="O279" i="33"/>
  <c r="O280" i="33"/>
  <c r="EA193" i="39"/>
  <c r="G304" i="33"/>
  <c r="G306" i="33"/>
  <c r="EE194" i="39"/>
  <c r="G303" i="33"/>
  <c r="EE191" i="39"/>
  <c r="O304" i="33"/>
  <c r="O303" i="33"/>
  <c r="EM191" i="39"/>
  <c r="O305" i="33"/>
  <c r="EM193" i="39"/>
  <c r="K330" i="33"/>
  <c r="EU194" i="39"/>
  <c r="K329" i="33"/>
  <c r="EU193" i="39"/>
  <c r="G350" i="33"/>
  <c r="FC194" i="39"/>
  <c r="G349" i="33"/>
  <c r="FC193" i="39"/>
  <c r="K347" i="33"/>
  <c r="FG191" i="39"/>
  <c r="K348" i="33"/>
  <c r="G368" i="33"/>
  <c r="G369" i="33"/>
  <c r="FO193" i="39"/>
  <c r="G370" i="33"/>
  <c r="FO194" i="39"/>
  <c r="G367" i="33"/>
  <c r="FO191" i="39"/>
  <c r="D368" i="33"/>
  <c r="D370" i="33"/>
  <c r="FL194" i="39"/>
  <c r="D369" i="33"/>
  <c r="FL193" i="39"/>
  <c r="BE205" i="34"/>
  <c r="BE210" i="39"/>
  <c r="BY35" i="24"/>
  <c r="BY68" i="24"/>
  <c r="BY69" i="24"/>
  <c r="DM68" i="24"/>
  <c r="DM69" i="24"/>
  <c r="DM71" i="24"/>
  <c r="EC173" i="39"/>
  <c r="DM35" i="24"/>
  <c r="DT31" i="26"/>
  <c r="DT40" i="26"/>
  <c r="CM177" i="39"/>
  <c r="DC168" i="34"/>
  <c r="BN188" i="34"/>
  <c r="CI188" i="34"/>
  <c r="AW164" i="39"/>
  <c r="CM164" i="39"/>
  <c r="DG188" i="34"/>
  <c r="BB65" i="27"/>
  <c r="BB70" i="27"/>
  <c r="EX65" i="27"/>
  <c r="EX70" i="27"/>
  <c r="BA20" i="26"/>
  <c r="BA24" i="26"/>
  <c r="BA34" i="26"/>
  <c r="BA43" i="26"/>
  <c r="BT20" i="26"/>
  <c r="BT24" i="26"/>
  <c r="BT35" i="26"/>
  <c r="BT44" i="26"/>
  <c r="BV177" i="39"/>
  <c r="BS22" i="27"/>
  <c r="BS27" i="27"/>
  <c r="L177" i="33"/>
  <c r="CA22" i="27"/>
  <c r="CA27" i="27"/>
  <c r="CA55" i="24"/>
  <c r="ER176" i="39"/>
  <c r="ER184" i="39"/>
  <c r="DO65" i="27"/>
  <c r="DO70" i="27"/>
  <c r="E259" i="25"/>
  <c r="E262" i="25"/>
  <c r="EC178" i="39"/>
  <c r="M531" i="25"/>
  <c r="M532" i="25"/>
  <c r="M533" i="25"/>
  <c r="L206" i="25"/>
  <c r="L549" i="25"/>
  <c r="L550" i="25"/>
  <c r="K230" i="25"/>
  <c r="L555" i="25"/>
  <c r="L556" i="25"/>
  <c r="K238" i="25"/>
  <c r="L561" i="25"/>
  <c r="L562" i="25"/>
  <c r="K246" i="25"/>
  <c r="K247" i="25"/>
  <c r="J230" i="33"/>
  <c r="J228" i="33"/>
  <c r="CX187" i="34"/>
  <c r="F367" i="33"/>
  <c r="FN191" i="39"/>
  <c r="F370" i="33"/>
  <c r="FN194" i="39"/>
  <c r="F369" i="33"/>
  <c r="FN193" i="39"/>
  <c r="AO26" i="27"/>
  <c r="AO46" i="27"/>
  <c r="AO51" i="27"/>
  <c r="AW26" i="27"/>
  <c r="AW46" i="27"/>
  <c r="AW51" i="27"/>
  <c r="BA26" i="27"/>
  <c r="BA46" i="27"/>
  <c r="BA51" i="27"/>
  <c r="EX46" i="27"/>
  <c r="EX51" i="27"/>
  <c r="EX26" i="27"/>
  <c r="AU48" i="27"/>
  <c r="AU28" i="27"/>
  <c r="BC28" i="27"/>
  <c r="BC48" i="27"/>
  <c r="BC53" i="27"/>
  <c r="BK28" i="27"/>
  <c r="BK48" i="27"/>
  <c r="BK53" i="27"/>
  <c r="BW28" i="27"/>
  <c r="BW48" i="27"/>
  <c r="CM28" i="27"/>
  <c r="CM48" i="27"/>
  <c r="CQ48" i="27"/>
  <c r="CQ68" i="27"/>
  <c r="CQ73" i="27"/>
  <c r="CQ28" i="27"/>
  <c r="EY48" i="27"/>
  <c r="EY53" i="27"/>
  <c r="EY28" i="27"/>
  <c r="BD210" i="39"/>
  <c r="BD205" i="34"/>
  <c r="DI210" i="39"/>
  <c r="DI205" i="34"/>
  <c r="DR21" i="24"/>
  <c r="DR23" i="24"/>
  <c r="DR50" i="24"/>
  <c r="DR53" i="24"/>
  <c r="DR55" i="24"/>
  <c r="EH164" i="39"/>
  <c r="DX33" i="24"/>
  <c r="BG159" i="34"/>
  <c r="AW192" i="39"/>
  <c r="BZ187" i="34"/>
  <c r="BV159" i="34"/>
  <c r="DI71" i="24"/>
  <c r="DY173" i="39"/>
  <c r="DE71" i="24"/>
  <c r="DU173" i="39"/>
  <c r="CG71" i="24"/>
  <c r="CW168" i="34"/>
  <c r="BZ32" i="26"/>
  <c r="BZ41" i="26"/>
  <c r="F119" i="30"/>
  <c r="F122" i="30"/>
  <c r="F124" i="30"/>
  <c r="N68" i="30"/>
  <c r="I197" i="31"/>
  <c r="ER208" i="39"/>
  <c r="AO67" i="24"/>
  <c r="AO71" i="24"/>
  <c r="BC23" i="24"/>
  <c r="BO23" i="24"/>
  <c r="BS23" i="24"/>
  <c r="BS33" i="24"/>
  <c r="BS36" i="24"/>
  <c r="G205" i="33"/>
  <c r="K205" i="33"/>
  <c r="O369" i="33"/>
  <c r="FX184" i="58"/>
  <c r="AT26" i="27"/>
  <c r="E63" i="30"/>
  <c r="E66" i="30"/>
  <c r="E68" i="30"/>
  <c r="P63" i="30"/>
  <c r="P66" i="30"/>
  <c r="P68" i="30"/>
  <c r="BG202" i="34"/>
  <c r="M91" i="30"/>
  <c r="M94" i="30"/>
  <c r="M96" i="30"/>
  <c r="E119" i="30"/>
  <c r="E122" i="30"/>
  <c r="E124" i="30"/>
  <c r="CR202" i="34"/>
  <c r="I119" i="30"/>
  <c r="I122" i="30"/>
  <c r="I124" i="30"/>
  <c r="M156" i="30"/>
  <c r="M159" i="30"/>
  <c r="M161" i="30"/>
  <c r="EJ207" i="39"/>
  <c r="O173" i="30"/>
  <c r="EX207" i="39"/>
  <c r="O185" i="30"/>
  <c r="FJ207" i="39"/>
  <c r="F103" i="31"/>
  <c r="F107" i="31"/>
  <c r="F109" i="31"/>
  <c r="J103" i="31"/>
  <c r="J107" i="31"/>
  <c r="N103" i="31"/>
  <c r="N107" i="31"/>
  <c r="L119" i="31"/>
  <c r="L123" i="31"/>
  <c r="P119" i="31"/>
  <c r="P123" i="31"/>
  <c r="G181" i="31"/>
  <c r="G184" i="31"/>
  <c r="K193" i="31"/>
  <c r="K196" i="31"/>
  <c r="F119" i="32"/>
  <c r="EC210" i="39"/>
  <c r="AN35" i="24"/>
  <c r="EH35" i="24"/>
  <c r="M209" i="31"/>
  <c r="FH208" i="39"/>
  <c r="CE23" i="24"/>
  <c r="CU165" i="39"/>
  <c r="CU55" i="24"/>
  <c r="DK164" i="39"/>
  <c r="E328" i="33"/>
  <c r="J209" i="31"/>
  <c r="FE208" i="39"/>
  <c r="AN26" i="27"/>
  <c r="AD30" i="27"/>
  <c r="L63" i="30"/>
  <c r="L66" i="30"/>
  <c r="L68" i="30"/>
  <c r="M71" i="31"/>
  <c r="M75" i="31"/>
  <c r="O105" i="30"/>
  <c r="O108" i="30"/>
  <c r="O110" i="30"/>
  <c r="CP207" i="39"/>
  <c r="H124" i="30"/>
  <c r="CU202" i="34"/>
  <c r="P124" i="30"/>
  <c r="P149" i="30"/>
  <c r="EA207" i="39"/>
  <c r="P156" i="30"/>
  <c r="P159" i="30"/>
  <c r="P161" i="30"/>
  <c r="EM207" i="39"/>
  <c r="N173" i="30"/>
  <c r="EW207" i="39"/>
  <c r="J168" i="30"/>
  <c r="J171" i="30"/>
  <c r="J173" i="30"/>
  <c r="ES207" i="39"/>
  <c r="I185" i="30"/>
  <c r="FD207" i="39"/>
  <c r="E103" i="31"/>
  <c r="E107" i="31"/>
  <c r="I103" i="31"/>
  <c r="I107" i="31"/>
  <c r="M103" i="31"/>
  <c r="M107" i="31"/>
  <c r="K119" i="31"/>
  <c r="K123" i="31"/>
  <c r="L151" i="31"/>
  <c r="L155" i="31"/>
  <c r="M167" i="31"/>
  <c r="M171" i="31"/>
  <c r="G193" i="31"/>
  <c r="G196" i="31"/>
  <c r="CB35" i="24"/>
  <c r="CB36" i="24"/>
  <c r="BR35" i="26"/>
  <c r="BR44" i="26"/>
  <c r="O209" i="31"/>
  <c r="FJ208" i="39"/>
  <c r="AM55" i="24"/>
  <c r="BC164" i="39"/>
  <c r="AP67" i="24"/>
  <c r="AY23" i="24"/>
  <c r="BO160" i="34"/>
  <c r="BG23" i="24"/>
  <c r="BK23" i="24"/>
  <c r="BY71" i="24"/>
  <c r="K549" i="25"/>
  <c r="K550" i="25"/>
  <c r="E202" i="33"/>
  <c r="AC32" i="26"/>
  <c r="AC41" i="26"/>
  <c r="K53" i="28"/>
  <c r="J105" i="30"/>
  <c r="J108" i="30"/>
  <c r="J110" i="30"/>
  <c r="K133" i="30"/>
  <c r="K136" i="30"/>
  <c r="N138" i="30"/>
  <c r="DM207" i="39"/>
  <c r="I168" i="30"/>
  <c r="I171" i="30"/>
  <c r="I173" i="30"/>
  <c r="ER207" i="39"/>
  <c r="K126" i="32"/>
  <c r="ET210" i="39"/>
  <c r="CB25" i="27"/>
  <c r="CB45" i="27"/>
  <c r="CB50" i="27"/>
  <c r="EU46" i="27"/>
  <c r="EU51" i="27"/>
  <c r="EU26" i="27"/>
  <c r="FA46" i="27"/>
  <c r="FA51" i="27"/>
  <c r="FA26" i="27"/>
  <c r="AV28" i="27"/>
  <c r="AV48" i="27"/>
  <c r="AV53" i="27"/>
  <c r="BD53" i="27"/>
  <c r="BD68" i="27"/>
  <c r="BD73" i="27"/>
  <c r="DH48" i="27"/>
  <c r="DH28" i="27"/>
  <c r="DX28" i="27"/>
  <c r="DX48" i="27"/>
  <c r="EB48" i="27"/>
  <c r="EB28" i="27"/>
  <c r="EV48" i="27"/>
  <c r="EV28" i="27"/>
  <c r="FF48" i="27"/>
  <c r="FF28" i="27"/>
  <c r="DG47" i="27"/>
  <c r="DG27" i="27"/>
  <c r="DG30" i="27"/>
  <c r="DU157" i="39"/>
  <c r="BY25" i="27"/>
  <c r="BY45" i="27"/>
  <c r="BY50" i="27"/>
  <c r="DK53" i="27"/>
  <c r="EK68" i="27"/>
  <c r="EK73" i="27"/>
  <c r="AR25" i="27"/>
  <c r="AR45" i="27"/>
  <c r="AR50" i="27"/>
  <c r="AX45" i="27"/>
  <c r="AX50" i="27"/>
  <c r="AX25" i="27"/>
  <c r="EG47" i="27"/>
  <c r="EG27" i="27"/>
  <c r="AI46" i="27"/>
  <c r="AI51" i="27"/>
  <c r="AI26" i="27"/>
  <c r="AK26" i="27"/>
  <c r="AK46" i="27"/>
  <c r="AK51" i="27"/>
  <c r="AQ26" i="27"/>
  <c r="AQ46" i="27"/>
  <c r="AQ51" i="27"/>
  <c r="AU26" i="27"/>
  <c r="AU46" i="27"/>
  <c r="AU51" i="27"/>
  <c r="AY26" i="27"/>
  <c r="AY46" i="27"/>
  <c r="AY51" i="27"/>
  <c r="BC26" i="27"/>
  <c r="BC46" i="27"/>
  <c r="BC51" i="27"/>
  <c r="BM26" i="27"/>
  <c r="BM46" i="27"/>
  <c r="BM51" i="27"/>
  <c r="CA46" i="27"/>
  <c r="CA51" i="27"/>
  <c r="CA26" i="27"/>
  <c r="CG26" i="27"/>
  <c r="CG46" i="27"/>
  <c r="CG51" i="27"/>
  <c r="CP46" i="27"/>
  <c r="CP51" i="27"/>
  <c r="CP26" i="27"/>
  <c r="DN46" i="27"/>
  <c r="DN51" i="27"/>
  <c r="DN26" i="27"/>
  <c r="DT46" i="27"/>
  <c r="DT51" i="27"/>
  <c r="DT26" i="27"/>
  <c r="DV26" i="27"/>
  <c r="DV46" i="27"/>
  <c r="DV51" i="27"/>
  <c r="DX46" i="27"/>
  <c r="DX51" i="27"/>
  <c r="DX26" i="27"/>
  <c r="DZ26" i="27"/>
  <c r="DZ46" i="27"/>
  <c r="DZ51" i="27"/>
  <c r="EP46" i="27"/>
  <c r="EP51" i="27"/>
  <c r="EP26" i="27"/>
  <c r="CE28" i="27"/>
  <c r="CE48" i="27"/>
  <c r="CE53" i="27"/>
  <c r="CO48" i="27"/>
  <c r="CO28" i="27"/>
  <c r="EO48" i="27"/>
  <c r="EO28" i="27"/>
  <c r="EH52" i="27"/>
  <c r="BX53" i="27"/>
  <c r="FC68" i="27"/>
  <c r="FC73" i="27"/>
  <c r="BN68" i="27"/>
  <c r="BN73" i="27"/>
  <c r="DJ25" i="27"/>
  <c r="DV48" i="27"/>
  <c r="AH28" i="27"/>
  <c r="DB28" i="27"/>
  <c r="BX28" i="27"/>
  <c r="BN28" i="27"/>
  <c r="CP48" i="27"/>
  <c r="DN28" i="27"/>
  <c r="CJ53" i="27"/>
  <c r="AZ48" i="27"/>
  <c r="AZ68" i="27"/>
  <c r="AZ73" i="27"/>
  <c r="EL48" i="27"/>
  <c r="EL68" i="27"/>
  <c r="EL73" i="27"/>
  <c r="ER28" i="27"/>
  <c r="AM53" i="27"/>
  <c r="DP48" i="27"/>
  <c r="DP53" i="27"/>
  <c r="CD48" i="27"/>
  <c r="EX53" i="27"/>
  <c r="EF48" i="27"/>
  <c r="EM46" i="27"/>
  <c r="EM51" i="27"/>
  <c r="DZ28" i="27"/>
  <c r="EK46" i="27"/>
  <c r="EK51" i="27"/>
  <c r="EK26" i="27"/>
  <c r="AJ28" i="27"/>
  <c r="AJ48" i="27"/>
  <c r="AL28" i="27"/>
  <c r="AL48" i="27"/>
  <c r="AN28" i="27"/>
  <c r="AN48" i="27"/>
  <c r="AN68" i="27"/>
  <c r="AN73" i="27"/>
  <c r="AX28" i="27"/>
  <c r="AX48" i="27"/>
  <c r="CZ48" i="27"/>
  <c r="CZ28" i="27"/>
  <c r="DD28" i="27"/>
  <c r="DD48" i="27"/>
  <c r="DJ48" i="27"/>
  <c r="DJ28" i="27"/>
  <c r="DL28" i="27"/>
  <c r="DL48" i="27"/>
  <c r="DT28" i="27"/>
  <c r="DT48" i="27"/>
  <c r="DZ68" i="27"/>
  <c r="DZ73" i="27"/>
  <c r="DZ53" i="27"/>
  <c r="ET28" i="27"/>
  <c r="ET48" i="27"/>
  <c r="EY27" i="27"/>
  <c r="EY47" i="27"/>
  <c r="EY52" i="27"/>
  <c r="DL33" i="26"/>
  <c r="DL42" i="26"/>
  <c r="DL29" i="26"/>
  <c r="DL38" i="26"/>
  <c r="DL31" i="26"/>
  <c r="DL40" i="26"/>
  <c r="DL32" i="26"/>
  <c r="DL41" i="26"/>
  <c r="AX47" i="27"/>
  <c r="AX27" i="27"/>
  <c r="CO27" i="27"/>
  <c r="CO47" i="27"/>
  <c r="CO67" i="27"/>
  <c r="P111" i="28"/>
  <c r="P115" i="28"/>
  <c r="CR25" i="26"/>
  <c r="CS22" i="27"/>
  <c r="CV25" i="26"/>
  <c r="CW22" i="27"/>
  <c r="CZ25" i="26"/>
  <c r="CZ30" i="26"/>
  <c r="CZ39" i="26"/>
  <c r="DA22" i="27"/>
  <c r="DA27" i="27"/>
  <c r="EC27" i="27"/>
  <c r="EC47" i="27"/>
  <c r="EH29" i="26"/>
  <c r="EH38" i="26"/>
  <c r="EH32" i="26"/>
  <c r="EH41" i="26"/>
  <c r="EO22" i="27"/>
  <c r="EN25" i="26"/>
  <c r="ER32" i="26"/>
  <c r="ER41" i="26"/>
  <c r="ER34" i="26"/>
  <c r="ER43" i="26"/>
  <c r="EH27" i="27"/>
  <c r="AH30" i="26"/>
  <c r="AH39" i="26"/>
  <c r="DM47" i="27"/>
  <c r="BZ31" i="26"/>
  <c r="BZ40" i="26"/>
  <c r="EW25" i="26"/>
  <c r="DP47" i="27"/>
  <c r="DW25" i="26"/>
  <c r="DY25" i="26"/>
  <c r="AT47" i="27"/>
  <c r="AT67" i="27"/>
  <c r="DG25" i="26"/>
  <c r="DG29" i="26"/>
  <c r="DG38" i="26"/>
  <c r="EB22" i="27"/>
  <c r="DO25" i="26"/>
  <c r="CJ33" i="26"/>
  <c r="CJ42" i="26"/>
  <c r="BR31" i="26"/>
  <c r="BR40" i="26"/>
  <c r="BR33" i="26"/>
  <c r="BR42" i="26"/>
  <c r="AH32" i="26"/>
  <c r="AH41" i="26"/>
  <c r="AH31" i="26"/>
  <c r="AH40" i="26"/>
  <c r="AH35" i="26"/>
  <c r="AH44" i="26"/>
  <c r="AH34" i="26"/>
  <c r="AH43" i="26"/>
  <c r="AJ34" i="26"/>
  <c r="AJ43" i="26"/>
  <c r="AJ31" i="26"/>
  <c r="AJ40" i="26"/>
  <c r="AY22" i="27"/>
  <c r="AY27" i="27"/>
  <c r="AX25" i="26"/>
  <c r="BF25" i="26"/>
  <c r="BG22" i="27"/>
  <c r="BG47" i="27"/>
  <c r="BH25" i="26"/>
  <c r="BI22" i="27"/>
  <c r="BI27" i="27"/>
  <c r="BL22" i="27"/>
  <c r="BK25" i="26"/>
  <c r="BP22" i="27"/>
  <c r="BO25" i="26"/>
  <c r="BT47" i="27"/>
  <c r="BT67" i="27"/>
  <c r="BT27" i="27"/>
  <c r="BX22" i="27"/>
  <c r="BW25" i="26"/>
  <c r="BZ27" i="27"/>
  <c r="BZ47" i="27"/>
  <c r="CB22" i="27"/>
  <c r="CA25" i="26"/>
  <c r="CF47" i="27"/>
  <c r="CF67" i="27"/>
  <c r="CF27" i="27"/>
  <c r="CQ25" i="26"/>
  <c r="CQ33" i="26"/>
  <c r="CQ42" i="26"/>
  <c r="CR22" i="27"/>
  <c r="CS25" i="26"/>
  <c r="CT22" i="27"/>
  <c r="CU25" i="26"/>
  <c r="CV22" i="27"/>
  <c r="CV47" i="27"/>
  <c r="DI25" i="26"/>
  <c r="DJ22" i="27"/>
  <c r="DL67" i="27"/>
  <c r="O141" i="28"/>
  <c r="O143" i="28"/>
  <c r="DL52" i="27"/>
  <c r="DT22" i="27"/>
  <c r="DS25" i="26"/>
  <c r="FB22" i="27"/>
  <c r="FA25" i="26"/>
  <c r="FC25" i="26"/>
  <c r="FC29" i="26"/>
  <c r="FC38" i="26"/>
  <c r="FD22" i="27"/>
  <c r="ER33" i="26"/>
  <c r="ER42" i="26"/>
  <c r="EH30" i="26"/>
  <c r="EH39" i="26"/>
  <c r="BG160" i="34"/>
  <c r="CU207" i="39"/>
  <c r="BW187" i="34"/>
  <c r="H99" i="31"/>
  <c r="H106" i="31"/>
  <c r="H109" i="31"/>
  <c r="BW203" i="34"/>
  <c r="CR189" i="34"/>
  <c r="CR194" i="39"/>
  <c r="AY173" i="39"/>
  <c r="AY168" i="34"/>
  <c r="DX27" i="27"/>
  <c r="DX47" i="27"/>
  <c r="DB27" i="27"/>
  <c r="DB47" i="27"/>
  <c r="BD164" i="39"/>
  <c r="BD159" i="34"/>
  <c r="BH207" i="39"/>
  <c r="BH202" i="34"/>
  <c r="DE186" i="34"/>
  <c r="EN192" i="39"/>
  <c r="E189" i="31"/>
  <c r="E195" i="31"/>
  <c r="E197" i="31"/>
  <c r="EN208" i="39"/>
  <c r="DB186" i="34"/>
  <c r="DB191" i="39"/>
  <c r="BG67" i="24"/>
  <c r="BG71" i="24"/>
  <c r="BG55" i="24"/>
  <c r="BR160" i="34"/>
  <c r="BV55" i="24"/>
  <c r="BV67" i="24"/>
  <c r="CA33" i="24"/>
  <c r="CA36" i="24"/>
  <c r="DY165" i="39"/>
  <c r="DI33" i="24"/>
  <c r="DI36" i="24"/>
  <c r="DY166" i="39"/>
  <c r="EC165" i="39"/>
  <c r="DM33" i="24"/>
  <c r="DM36" i="24"/>
  <c r="EC166" i="39"/>
  <c r="DH186" i="34"/>
  <c r="DH191" i="39"/>
  <c r="BC187" i="34"/>
  <c r="L68" i="31"/>
  <c r="L74" i="31"/>
  <c r="BC192" i="39"/>
  <c r="AU192" i="39"/>
  <c r="DO52" i="27"/>
  <c r="DO67" i="27"/>
  <c r="CX25" i="27"/>
  <c r="CX45" i="27"/>
  <c r="CX50" i="27"/>
  <c r="H131" i="31"/>
  <c r="H138" i="31"/>
  <c r="H141" i="31"/>
  <c r="CU192" i="39"/>
  <c r="CU187" i="34"/>
  <c r="CT186" i="34"/>
  <c r="CT191" i="39"/>
  <c r="DC192" i="39"/>
  <c r="DC187" i="34"/>
  <c r="BO193" i="39"/>
  <c r="BO188" i="34"/>
  <c r="K131" i="31"/>
  <c r="K138" i="31"/>
  <c r="AE27" i="27"/>
  <c r="AE47" i="27"/>
  <c r="AF22" i="27"/>
  <c r="AJ35" i="26"/>
  <c r="AJ44" i="26"/>
  <c r="AJ33" i="26"/>
  <c r="AJ42" i="26"/>
  <c r="AJ30" i="26"/>
  <c r="AJ39" i="26"/>
  <c r="CI160" i="34"/>
  <c r="BZ67" i="24"/>
  <c r="BZ55" i="24"/>
  <c r="CP159" i="34"/>
  <c r="CD65" i="27"/>
  <c r="CD70" i="27"/>
  <c r="CR172" i="34"/>
  <c r="CR177" i="39"/>
  <c r="AM45" i="27"/>
  <c r="AM50" i="27"/>
  <c r="AM25" i="27"/>
  <c r="CV172" i="34"/>
  <c r="CH65" i="27"/>
  <c r="CH70" i="27"/>
  <c r="CI20" i="26"/>
  <c r="CI24" i="26"/>
  <c r="CX177" i="39"/>
  <c r="J236" i="25"/>
  <c r="CJ65" i="27"/>
  <c r="CJ70" i="27"/>
  <c r="CJ74" i="27"/>
  <c r="CZ172" i="34"/>
  <c r="CK20" i="26"/>
  <c r="CK24" i="26"/>
  <c r="CM20" i="26"/>
  <c r="CM24" i="26"/>
  <c r="CM33" i="26"/>
  <c r="CM42" i="26"/>
  <c r="DB177" i="39"/>
  <c r="N236" i="25"/>
  <c r="CO20" i="26"/>
  <c r="CO24" i="26"/>
  <c r="D244" i="25"/>
  <c r="D247" i="25"/>
  <c r="DD172" i="34"/>
  <c r="DD177" i="39"/>
  <c r="DG177" i="39"/>
  <c r="DG172" i="34"/>
  <c r="CU20" i="26"/>
  <c r="CU24" i="26"/>
  <c r="CV65" i="27"/>
  <c r="CV70" i="27"/>
  <c r="J244" i="25"/>
  <c r="J247" i="25"/>
  <c r="DJ177" i="39"/>
  <c r="CW20" i="26"/>
  <c r="CW24" i="26"/>
  <c r="DL177" i="39"/>
  <c r="L244" i="25"/>
  <c r="DA20" i="26"/>
  <c r="DA24" i="26"/>
  <c r="D251" i="25"/>
  <c r="D254" i="25"/>
  <c r="DP178" i="39"/>
  <c r="DP177" i="39"/>
  <c r="DR177" i="39"/>
  <c r="DC20" i="26"/>
  <c r="DC24" i="26"/>
  <c r="DH65" i="27"/>
  <c r="DH70" i="27"/>
  <c r="DV177" i="39"/>
  <c r="J251" i="25"/>
  <c r="M251" i="25"/>
  <c r="DK65" i="27"/>
  <c r="DK70" i="27"/>
  <c r="O251" i="25"/>
  <c r="DM65" i="27"/>
  <c r="DM70" i="27"/>
  <c r="DW20" i="26"/>
  <c r="DW24" i="26"/>
  <c r="DX65" i="27"/>
  <c r="DX70" i="27"/>
  <c r="D267" i="25"/>
  <c r="D270" i="25"/>
  <c r="EN178" i="39"/>
  <c r="DY20" i="26"/>
  <c r="DY24" i="26"/>
  <c r="F267" i="25"/>
  <c r="F270" i="25"/>
  <c r="EP178" i="39"/>
  <c r="EP177" i="39"/>
  <c r="ED65" i="27"/>
  <c r="ED70" i="27"/>
  <c r="EC20" i="26"/>
  <c r="EC24" i="26"/>
  <c r="ET177" i="39"/>
  <c r="EE20" i="26"/>
  <c r="EE24" i="26"/>
  <c r="M267" i="25"/>
  <c r="M270" i="25"/>
  <c r="EW178" i="39"/>
  <c r="EI65" i="27"/>
  <c r="EI70" i="27"/>
  <c r="EW177" i="39"/>
  <c r="EJ65" i="27"/>
  <c r="EJ70" i="27"/>
  <c r="EX177" i="39"/>
  <c r="EK65" i="27"/>
  <c r="EK70" i="27"/>
  <c r="O267" i="25"/>
  <c r="O270" i="25"/>
  <c r="EY178" i="39"/>
  <c r="EJ20" i="26"/>
  <c r="EJ24" i="26"/>
  <c r="E275" i="25"/>
  <c r="E278" i="25"/>
  <c r="FA178" i="39"/>
  <c r="EL20" i="26"/>
  <c r="EL24" i="26"/>
  <c r="FA177" i="39"/>
  <c r="FC177" i="39"/>
  <c r="EO65" i="27"/>
  <c r="EO70" i="27"/>
  <c r="EN20" i="26"/>
  <c r="EN24" i="26"/>
  <c r="EQ65" i="27"/>
  <c r="EQ70" i="27"/>
  <c r="EP20" i="26"/>
  <c r="EP24" i="26"/>
  <c r="ES65" i="27"/>
  <c r="ES70" i="27"/>
  <c r="FG177" i="39"/>
  <c r="ET20" i="26"/>
  <c r="ET24" i="26"/>
  <c r="ET33" i="26"/>
  <c r="ET42" i="26"/>
  <c r="M275" i="25"/>
  <c r="M278" i="25"/>
  <c r="FI178" i="39"/>
  <c r="FI177" i="39"/>
  <c r="EV32" i="26"/>
  <c r="EV41" i="26"/>
  <c r="EW20" i="26"/>
  <c r="EW24" i="26"/>
  <c r="FL177" i="39"/>
  <c r="EX20" i="26"/>
  <c r="EX24" i="26"/>
  <c r="FM177" i="39"/>
  <c r="F283" i="25"/>
  <c r="F286" i="25"/>
  <c r="FN178" i="39"/>
  <c r="EY20" i="26"/>
  <c r="EY24" i="26"/>
  <c r="EZ20" i="26"/>
  <c r="EZ24" i="26"/>
  <c r="G283" i="25"/>
  <c r="G286" i="25"/>
  <c r="FO178" i="39"/>
  <c r="FC65" i="27"/>
  <c r="FC70" i="27"/>
  <c r="FB20" i="26"/>
  <c r="FB24" i="26"/>
  <c r="K283" i="25"/>
  <c r="K286" i="25"/>
  <c r="FS178" i="39"/>
  <c r="FD20" i="26"/>
  <c r="FD24" i="26"/>
  <c r="FD33" i="26"/>
  <c r="FD42" i="26"/>
  <c r="H214" i="25"/>
  <c r="I537" i="25"/>
  <c r="I538" i="25"/>
  <c r="N555" i="25"/>
  <c r="N556" i="25"/>
  <c r="M238" i="25"/>
  <c r="F561" i="25"/>
  <c r="F562" i="25"/>
  <c r="E246" i="25"/>
  <c r="P561" i="25"/>
  <c r="P562" i="25"/>
  <c r="O246" i="25"/>
  <c r="H567" i="25"/>
  <c r="H568" i="25"/>
  <c r="G253" i="25"/>
  <c r="N567" i="25"/>
  <c r="N568" i="25"/>
  <c r="M253" i="25"/>
  <c r="P567" i="25"/>
  <c r="P568" i="25"/>
  <c r="O253" i="25"/>
  <c r="AC45" i="27"/>
  <c r="AC50" i="27"/>
  <c r="AC25" i="27"/>
  <c r="AC30" i="27"/>
  <c r="L69" i="28"/>
  <c r="L74" i="28"/>
  <c r="BA20" i="27"/>
  <c r="N536" i="25"/>
  <c r="N539" i="25"/>
  <c r="BQ176" i="39"/>
  <c r="BQ184" i="39"/>
  <c r="BS176" i="39"/>
  <c r="BS184" i="39"/>
  <c r="BS171" i="34"/>
  <c r="BS179" i="34"/>
  <c r="E82" i="28"/>
  <c r="E87" i="28"/>
  <c r="BT176" i="39"/>
  <c r="BT184" i="39"/>
  <c r="BT171" i="34"/>
  <c r="BT179" i="34"/>
  <c r="G542" i="25"/>
  <c r="BV171" i="34"/>
  <c r="BV179" i="34"/>
  <c r="I82" i="28"/>
  <c r="I87" i="28"/>
  <c r="BX171" i="34"/>
  <c r="BX179" i="34"/>
  <c r="I542" i="25"/>
  <c r="I545" i="25"/>
  <c r="K542" i="25"/>
  <c r="BL20" i="27"/>
  <c r="BR20" i="27"/>
  <c r="E548" i="25"/>
  <c r="CF171" i="34"/>
  <c r="CF179" i="34"/>
  <c r="CF176" i="39"/>
  <c r="CF184" i="39"/>
  <c r="E95" i="28"/>
  <c r="E100" i="28"/>
  <c r="BT20" i="27"/>
  <c r="BT45" i="27"/>
  <c r="BT50" i="27"/>
  <c r="CH171" i="34"/>
  <c r="CH179" i="34"/>
  <c r="CD20" i="27"/>
  <c r="E109" i="28"/>
  <c r="E114" i="28"/>
  <c r="CF20" i="27"/>
  <c r="CT176" i="39"/>
  <c r="CT184" i="39"/>
  <c r="G554" i="25"/>
  <c r="G557" i="25"/>
  <c r="G109" i="28"/>
  <c r="G114" i="28"/>
  <c r="CH20" i="27"/>
  <c r="CV171" i="34"/>
  <c r="CV179" i="34"/>
  <c r="I109" i="28"/>
  <c r="I114" i="28"/>
  <c r="I554" i="25"/>
  <c r="I557" i="25"/>
  <c r="CV176" i="39"/>
  <c r="CV184" i="39"/>
  <c r="K109" i="28"/>
  <c r="K114" i="28"/>
  <c r="K554" i="25"/>
  <c r="K557" i="25"/>
  <c r="CL20" i="27"/>
  <c r="M554" i="25"/>
  <c r="M557" i="25"/>
  <c r="CZ179" i="39"/>
  <c r="CZ171" i="34"/>
  <c r="CZ179" i="34"/>
  <c r="CN20" i="27"/>
  <c r="O554" i="25"/>
  <c r="DB171" i="34"/>
  <c r="DB179" i="34"/>
  <c r="DB176" i="39"/>
  <c r="DB184" i="39"/>
  <c r="DD176" i="39"/>
  <c r="DD184" i="39"/>
  <c r="E126" i="28"/>
  <c r="E131" i="28"/>
  <c r="CP20" i="27"/>
  <c r="DF176" i="39"/>
  <c r="DF184" i="39"/>
  <c r="CR20" i="27"/>
  <c r="CR45" i="27"/>
  <c r="CR50" i="27"/>
  <c r="DH171" i="34"/>
  <c r="DH179" i="34"/>
  <c r="I560" i="25"/>
  <c r="K560" i="25"/>
  <c r="DJ176" i="39"/>
  <c r="DJ184" i="39"/>
  <c r="M126" i="28"/>
  <c r="M131" i="28"/>
  <c r="DL171" i="34"/>
  <c r="DL176" i="39"/>
  <c r="DL184" i="39"/>
  <c r="O560" i="25"/>
  <c r="O126" i="28"/>
  <c r="DN176" i="39"/>
  <c r="DN184" i="39"/>
  <c r="DP176" i="39"/>
  <c r="DP184" i="39"/>
  <c r="DB20" i="27"/>
  <c r="G566" i="25"/>
  <c r="DR176" i="39"/>
  <c r="DR184" i="39"/>
  <c r="I566" i="25"/>
  <c r="DT176" i="39"/>
  <c r="DT184" i="39"/>
  <c r="M566" i="25"/>
  <c r="DX176" i="39"/>
  <c r="DX184" i="39"/>
  <c r="N126" i="33"/>
  <c r="N127" i="33"/>
  <c r="N128" i="33"/>
  <c r="D129" i="33"/>
  <c r="D127" i="33"/>
  <c r="F128" i="33"/>
  <c r="F126" i="33"/>
  <c r="H128" i="33"/>
  <c r="H126" i="33"/>
  <c r="J127" i="33"/>
  <c r="J126" i="33"/>
  <c r="L126" i="33"/>
  <c r="L127" i="33"/>
  <c r="M178" i="33"/>
  <c r="N99" i="31"/>
  <c r="N106" i="31"/>
  <c r="N109" i="31"/>
  <c r="M180" i="33"/>
  <c r="M177" i="33"/>
  <c r="M179" i="33"/>
  <c r="O179" i="33"/>
  <c r="O180" i="33"/>
  <c r="E179" i="33"/>
  <c r="E180" i="33"/>
  <c r="G180" i="33"/>
  <c r="G177" i="33"/>
  <c r="G179" i="33"/>
  <c r="I178" i="33"/>
  <c r="I179" i="33"/>
  <c r="I180" i="33"/>
  <c r="K180" i="33"/>
  <c r="CA194" i="39"/>
  <c r="K177" i="33"/>
  <c r="K178" i="33"/>
  <c r="CA192" i="39"/>
  <c r="I203" i="33"/>
  <c r="I205" i="33"/>
  <c r="M203" i="33"/>
  <c r="M202" i="33"/>
  <c r="M204" i="33"/>
  <c r="O203" i="33"/>
  <c r="O202" i="33"/>
  <c r="N203" i="33"/>
  <c r="N205" i="33"/>
  <c r="CP194" i="39"/>
  <c r="E115" i="31"/>
  <c r="E122" i="31"/>
  <c r="E125" i="31"/>
  <c r="CF208" i="39"/>
  <c r="CF192" i="39"/>
  <c r="F205" i="33"/>
  <c r="F204" i="33"/>
  <c r="F202" i="33"/>
  <c r="J202" i="33"/>
  <c r="CL191" i="39"/>
  <c r="J203" i="33"/>
  <c r="D229" i="33"/>
  <c r="D228" i="33"/>
  <c r="E229" i="33"/>
  <c r="CS188" i="34"/>
  <c r="E227" i="33"/>
  <c r="E230" i="33"/>
  <c r="F229" i="33"/>
  <c r="F228" i="33"/>
  <c r="CT187" i="34"/>
  <c r="F230" i="33"/>
  <c r="G227" i="33"/>
  <c r="CU191" i="39"/>
  <c r="G229" i="33"/>
  <c r="CU193" i="39"/>
  <c r="G230" i="33"/>
  <c r="H229" i="33"/>
  <c r="H228" i="33"/>
  <c r="H227" i="33"/>
  <c r="CV186" i="34"/>
  <c r="I228" i="33"/>
  <c r="I230" i="33"/>
  <c r="I227" i="33"/>
  <c r="J227" i="33"/>
  <c r="J229" i="33"/>
  <c r="K229" i="33"/>
  <c r="CY188" i="34"/>
  <c r="K230" i="33"/>
  <c r="CY194" i="39"/>
  <c r="K227" i="33"/>
  <c r="K228" i="33"/>
  <c r="L227" i="33"/>
  <c r="L230" i="33"/>
  <c r="CZ194" i="39"/>
  <c r="L229" i="33"/>
  <c r="L228" i="33"/>
  <c r="N228" i="33"/>
  <c r="DB192" i="39"/>
  <c r="N230" i="33"/>
  <c r="DB189" i="34"/>
  <c r="N229" i="33"/>
  <c r="D252" i="33"/>
  <c r="D254" i="33"/>
  <c r="F254" i="33"/>
  <c r="F253" i="33"/>
  <c r="F255" i="33"/>
  <c r="H253" i="33"/>
  <c r="H254" i="33"/>
  <c r="J253" i="33"/>
  <c r="J252" i="33"/>
  <c r="J255" i="33"/>
  <c r="L254" i="33"/>
  <c r="L255" i="33"/>
  <c r="L253" i="33"/>
  <c r="D280" i="33"/>
  <c r="DP193" i="39"/>
  <c r="D279" i="33"/>
  <c r="D278" i="33"/>
  <c r="DP191" i="39"/>
  <c r="F279" i="33"/>
  <c r="F280" i="33"/>
  <c r="DR193" i="39"/>
  <c r="F281" i="33"/>
  <c r="DR194" i="39"/>
  <c r="F278" i="33"/>
  <c r="DR191" i="39"/>
  <c r="J280" i="33"/>
  <c r="DV193" i="39"/>
  <c r="J279" i="33"/>
  <c r="L278" i="33"/>
  <c r="DX191" i="39"/>
  <c r="L281" i="33"/>
  <c r="DX194" i="39"/>
  <c r="L279" i="33"/>
  <c r="DX192" i="39"/>
  <c r="N281" i="33"/>
  <c r="N279" i="33"/>
  <c r="O163" i="31"/>
  <c r="O170" i="31"/>
  <c r="N280" i="33"/>
  <c r="D304" i="33"/>
  <c r="D306" i="33"/>
  <c r="EB194" i="39"/>
  <c r="D305" i="33"/>
  <c r="EB193" i="39"/>
  <c r="F306" i="33"/>
  <c r="ED194" i="39"/>
  <c r="F304" i="33"/>
  <c r="F303" i="33"/>
  <c r="ED191" i="39"/>
  <c r="H305" i="33"/>
  <c r="EF193" i="39"/>
  <c r="H303" i="33"/>
  <c r="EF191" i="39"/>
  <c r="L303" i="33"/>
  <c r="EJ191" i="39"/>
  <c r="L305" i="33"/>
  <c r="EJ193" i="39"/>
  <c r="N305" i="33"/>
  <c r="EL193" i="39"/>
  <c r="N306" i="33"/>
  <c r="EL194" i="39"/>
  <c r="D329" i="33"/>
  <c r="EN193" i="39"/>
  <c r="D327" i="33"/>
  <c r="EN191" i="39"/>
  <c r="F328" i="33"/>
  <c r="F330" i="33"/>
  <c r="EP194" i="39"/>
  <c r="H330" i="33"/>
  <c r="ER194" i="39"/>
  <c r="H329" i="33"/>
  <c r="ER193" i="39"/>
  <c r="J330" i="33"/>
  <c r="ET194" i="39"/>
  <c r="J327" i="33"/>
  <c r="ET191" i="39"/>
  <c r="J329" i="33"/>
  <c r="ET193" i="39"/>
  <c r="L328" i="33"/>
  <c r="L330" i="33"/>
  <c r="EV194" i="39"/>
  <c r="L327" i="33"/>
  <c r="EV191" i="39"/>
  <c r="N328" i="33"/>
  <c r="O189" i="31"/>
  <c r="O195" i="31"/>
  <c r="O197" i="31"/>
  <c r="EX208" i="39"/>
  <c r="N327" i="33"/>
  <c r="EX191" i="39"/>
  <c r="N329" i="33"/>
  <c r="EX193" i="39"/>
  <c r="L367" i="33"/>
  <c r="FT191" i="39"/>
  <c r="FV191" i="39"/>
  <c r="L370" i="33"/>
  <c r="FT194" i="39"/>
  <c r="L368" i="33"/>
  <c r="AI35" i="26"/>
  <c r="AI44" i="26"/>
  <c r="AI33" i="26"/>
  <c r="AI42" i="26"/>
  <c r="AI29" i="26"/>
  <c r="AI38" i="26"/>
  <c r="AI32" i="26"/>
  <c r="AI41" i="26"/>
  <c r="AI30" i="26"/>
  <c r="AI39" i="26"/>
  <c r="AI34" i="26"/>
  <c r="AI43" i="26"/>
  <c r="AI31" i="26"/>
  <c r="AI40" i="26"/>
  <c r="AK34" i="26"/>
  <c r="AK43" i="26"/>
  <c r="AV22" i="27"/>
  <c r="AU25" i="26"/>
  <c r="AZ25" i="26"/>
  <c r="BA22" i="27"/>
  <c r="BB25" i="26"/>
  <c r="BC22" i="27"/>
  <c r="BD25" i="26"/>
  <c r="BE22" i="27"/>
  <c r="BQ25" i="26"/>
  <c r="BR22" i="27"/>
  <c r="BU25" i="26"/>
  <c r="BV22" i="27"/>
  <c r="AR27" i="27"/>
  <c r="O58" i="28"/>
  <c r="O62" i="28"/>
  <c r="BE26" i="27"/>
  <c r="BE46" i="27"/>
  <c r="BE51" i="27"/>
  <c r="BI46" i="27"/>
  <c r="BI51" i="27"/>
  <c r="BI26" i="27"/>
  <c r="BK26" i="27"/>
  <c r="BK46" i="27"/>
  <c r="BK51" i="27"/>
  <c r="BO46" i="27"/>
  <c r="BO51" i="27"/>
  <c r="BO26" i="27"/>
  <c r="BQ26" i="27"/>
  <c r="BQ46" i="27"/>
  <c r="BQ51" i="27"/>
  <c r="BW26" i="27"/>
  <c r="BW46" i="27"/>
  <c r="BW51" i="27"/>
  <c r="CC26" i="27"/>
  <c r="CC46" i="27"/>
  <c r="CC51" i="27"/>
  <c r="CE26" i="27"/>
  <c r="CE46" i="27"/>
  <c r="CE51" i="27"/>
  <c r="CI26" i="27"/>
  <c r="CI46" i="27"/>
  <c r="CI51" i="27"/>
  <c r="CW26" i="27"/>
  <c r="CW46" i="27"/>
  <c r="CW51" i="27"/>
  <c r="DH46" i="27"/>
  <c r="DH51" i="27"/>
  <c r="DH26" i="27"/>
  <c r="FE46" i="27"/>
  <c r="FE51" i="27"/>
  <c r="FE26" i="27"/>
  <c r="AJ47" i="27"/>
  <c r="G58" i="28"/>
  <c r="G62" i="28"/>
  <c r="AJ27" i="27"/>
  <c r="P58" i="28"/>
  <c r="P62" i="28"/>
  <c r="AS47" i="27"/>
  <c r="AS27" i="27"/>
  <c r="AR48" i="27"/>
  <c r="AR28" i="27"/>
  <c r="BH48" i="27"/>
  <c r="BH28" i="27"/>
  <c r="BJ48" i="27"/>
  <c r="BJ28" i="27"/>
  <c r="AH67" i="27"/>
  <c r="AH72" i="27"/>
  <c r="AH52" i="27"/>
  <c r="BN67" i="24"/>
  <c r="CP52" i="27"/>
  <c r="EH33" i="26"/>
  <c r="EH42" i="26"/>
  <c r="EH34" i="26"/>
  <c r="EH43" i="26"/>
  <c r="J228" i="25"/>
  <c r="J231" i="25"/>
  <c r="CS168" i="34"/>
  <c r="O61" i="31"/>
  <c r="BD193" i="39"/>
  <c r="DG191" i="39"/>
  <c r="EI33" i="24"/>
  <c r="EI36" i="24"/>
  <c r="EY166" i="39"/>
  <c r="BE189" i="34"/>
  <c r="DH189" i="34"/>
  <c r="BO187" i="34"/>
  <c r="L83" i="31"/>
  <c r="L90" i="31"/>
  <c r="L93" i="31"/>
  <c r="BO203" i="34"/>
  <c r="BS192" i="39"/>
  <c r="CL194" i="39"/>
  <c r="CP188" i="34"/>
  <c r="M177" i="31"/>
  <c r="M183" i="31"/>
  <c r="M185" i="31"/>
  <c r="EJ208" i="39"/>
  <c r="F115" i="31"/>
  <c r="F122" i="31"/>
  <c r="F125" i="31"/>
  <c r="CG203" i="34"/>
  <c r="BG207" i="39"/>
  <c r="DN45" i="27"/>
  <c r="DN50" i="27"/>
  <c r="AR67" i="27"/>
  <c r="AR72" i="27"/>
  <c r="BR32" i="26"/>
  <c r="BR41" i="26"/>
  <c r="K141" i="31"/>
  <c r="BZ36" i="24"/>
  <c r="CP166" i="39"/>
  <c r="BE67" i="24"/>
  <c r="BE71" i="24"/>
  <c r="BU168" i="34"/>
  <c r="AW33" i="24"/>
  <c r="AW36" i="24"/>
  <c r="BL173" i="39"/>
  <c r="BV173" i="39"/>
  <c r="AS55" i="24"/>
  <c r="DG168" i="34"/>
  <c r="DF202" i="34"/>
  <c r="AZ71" i="24"/>
  <c r="BP173" i="39"/>
  <c r="H77" i="31"/>
  <c r="AY208" i="39"/>
  <c r="DU192" i="39"/>
  <c r="DI194" i="39"/>
  <c r="H189" i="31"/>
  <c r="H195" i="31"/>
  <c r="DK189" i="34"/>
  <c r="CH164" i="39"/>
  <c r="CR207" i="39"/>
  <c r="G77" i="31"/>
  <c r="EF47" i="27"/>
  <c r="EF52" i="27"/>
  <c r="CW71" i="24"/>
  <c r="DM173" i="39"/>
  <c r="CG168" i="34"/>
  <c r="CW188" i="34"/>
  <c r="CE192" i="39"/>
  <c r="N284" i="25"/>
  <c r="N285" i="25"/>
  <c r="CQ202" i="34"/>
  <c r="CQ207" i="39"/>
  <c r="DE165" i="39"/>
  <c r="CJ192" i="39"/>
  <c r="CJ187" i="34"/>
  <c r="CZ45" i="27"/>
  <c r="CZ50" i="27"/>
  <c r="CZ25" i="27"/>
  <c r="DF191" i="39"/>
  <c r="DF186" i="34"/>
  <c r="CK202" i="34"/>
  <c r="CK207" i="39"/>
  <c r="DJ173" i="39"/>
  <c r="DJ168" i="34"/>
  <c r="CP202" i="34"/>
  <c r="BL189" i="34"/>
  <c r="BL194" i="39"/>
  <c r="BR34" i="26"/>
  <c r="BR43" i="26"/>
  <c r="BR29" i="26"/>
  <c r="BR38" i="26"/>
  <c r="BR30" i="26"/>
  <c r="BR39" i="26"/>
  <c r="CX194" i="39"/>
  <c r="CX189" i="34"/>
  <c r="BT188" i="34"/>
  <c r="BA165" i="39"/>
  <c r="AO33" i="24"/>
  <c r="BE165" i="39"/>
  <c r="BH55" i="24"/>
  <c r="BH67" i="24"/>
  <c r="BH71" i="24"/>
  <c r="BX173" i="39"/>
  <c r="BW210" i="39"/>
  <c r="BW205" i="34"/>
  <c r="BY210" i="39"/>
  <c r="BY205" i="34"/>
  <c r="BQ20" i="26"/>
  <c r="BQ24" i="26"/>
  <c r="D228" i="25"/>
  <c r="DQ65" i="27"/>
  <c r="DQ70" i="27"/>
  <c r="EE177" i="39"/>
  <c r="N230" i="25"/>
  <c r="O549" i="25"/>
  <c r="O550" i="25"/>
  <c r="O555" i="25"/>
  <c r="O556" i="25"/>
  <c r="N238" i="25"/>
  <c r="L246" i="25"/>
  <c r="M561" i="25"/>
  <c r="M562" i="25"/>
  <c r="DK159" i="34"/>
  <c r="G155" i="33"/>
  <c r="G156" i="33"/>
  <c r="M153" i="33"/>
  <c r="M156" i="33"/>
  <c r="M154" i="33"/>
  <c r="M155" i="33"/>
  <c r="D180" i="33"/>
  <c r="D178" i="33"/>
  <c r="H179" i="33"/>
  <c r="H178" i="33"/>
  <c r="N177" i="33"/>
  <c r="N179" i="33"/>
  <c r="N178" i="33"/>
  <c r="CD187" i="34"/>
  <c r="E303" i="33"/>
  <c r="EC191" i="39"/>
  <c r="E305" i="33"/>
  <c r="EC193" i="39"/>
  <c r="M330" i="33"/>
  <c r="EW194" i="39"/>
  <c r="M329" i="33"/>
  <c r="EW193" i="39"/>
  <c r="M327" i="33"/>
  <c r="EW191" i="39"/>
  <c r="O327" i="33"/>
  <c r="EY191" i="39"/>
  <c r="O329" i="33"/>
  <c r="EY193" i="39"/>
  <c r="G330" i="33"/>
  <c r="EQ194" i="39"/>
  <c r="G327" i="33"/>
  <c r="EQ191" i="39"/>
  <c r="I327" i="33"/>
  <c r="ES191" i="39"/>
  <c r="I329" i="33"/>
  <c r="ES193" i="39"/>
  <c r="E350" i="33"/>
  <c r="FA194" i="39"/>
  <c r="E348" i="33"/>
  <c r="M350" i="33"/>
  <c r="FI194" i="39"/>
  <c r="M348" i="33"/>
  <c r="O349" i="33"/>
  <c r="FK193" i="39"/>
  <c r="O350" i="33"/>
  <c r="FK194" i="39"/>
  <c r="E368" i="33"/>
  <c r="E370" i="33"/>
  <c r="FM194" i="39"/>
  <c r="E367" i="33"/>
  <c r="FM191" i="39"/>
  <c r="H370" i="33"/>
  <c r="FP194" i="39"/>
  <c r="H367" i="33"/>
  <c r="FP191" i="39"/>
  <c r="H369" i="33"/>
  <c r="FP193" i="39"/>
  <c r="CB25" i="26"/>
  <c r="CB33" i="26"/>
  <c r="CB42" i="26"/>
  <c r="CC22" i="27"/>
  <c r="CD25" i="26"/>
  <c r="CE22" i="27"/>
  <c r="CH25" i="26"/>
  <c r="CI22" i="27"/>
  <c r="DI22" i="27"/>
  <c r="DH25" i="26"/>
  <c r="DK22" i="27"/>
  <c r="DJ25" i="26"/>
  <c r="ED22" i="27"/>
  <c r="EC25" i="26"/>
  <c r="ET47" i="27"/>
  <c r="ET27" i="27"/>
  <c r="AF26" i="27"/>
  <c r="AF46" i="27"/>
  <c r="BF46" i="27"/>
  <c r="BF51" i="27"/>
  <c r="BF26" i="27"/>
  <c r="EC46" i="27"/>
  <c r="EC51" i="27"/>
  <c r="EC26" i="27"/>
  <c r="EG46" i="27"/>
  <c r="EG51" i="27"/>
  <c r="EG26" i="27"/>
  <c r="EY26" i="27"/>
  <c r="EY46" i="27"/>
  <c r="EY51" i="27"/>
  <c r="BA48" i="27"/>
  <c r="BA28" i="27"/>
  <c r="BE53" i="27"/>
  <c r="BE68" i="27"/>
  <c r="BE73" i="27"/>
  <c r="CH28" i="27"/>
  <c r="CH48" i="27"/>
  <c r="H93" i="31"/>
  <c r="BK203" i="34"/>
  <c r="BT71" i="24"/>
  <c r="CR36" i="24"/>
  <c r="DQ71" i="24"/>
  <c r="EG173" i="39"/>
  <c r="H66" i="28"/>
  <c r="AY183" i="39"/>
  <c r="DP55" i="24"/>
  <c r="EF164" i="39"/>
  <c r="DJ36" i="24"/>
  <c r="AW71" i="24"/>
  <c r="I262" i="25"/>
  <c r="EG178" i="39"/>
  <c r="BJ71" i="24"/>
  <c r="D202" i="33"/>
  <c r="L369" i="33"/>
  <c r="FT193" i="39"/>
  <c r="FV193" i="39"/>
  <c r="CJ30" i="26"/>
  <c r="CJ39" i="26"/>
  <c r="N247" i="25"/>
  <c r="DN178" i="39"/>
  <c r="H127" i="33"/>
  <c r="K179" i="33"/>
  <c r="I138" i="29"/>
  <c r="ET197" i="39"/>
  <c r="K138" i="29"/>
  <c r="EV197" i="39"/>
  <c r="P138" i="30"/>
  <c r="DO207" i="39"/>
  <c r="J133" i="30"/>
  <c r="J136" i="30"/>
  <c r="J138" i="30"/>
  <c r="DI207" i="39"/>
  <c r="L133" i="30"/>
  <c r="L136" i="30"/>
  <c r="L138" i="30"/>
  <c r="N145" i="30"/>
  <c r="N148" i="30"/>
  <c r="N149" i="30"/>
  <c r="DY207" i="39"/>
  <c r="H119" i="31"/>
  <c r="H123" i="31"/>
  <c r="F135" i="31"/>
  <c r="F139" i="31"/>
  <c r="F141" i="31"/>
  <c r="N135" i="31"/>
  <c r="N139" i="31"/>
  <c r="L181" i="31"/>
  <c r="L184" i="31"/>
  <c r="L185" i="31"/>
  <c r="EI208" i="39"/>
  <c r="F83" i="32"/>
  <c r="CG205" i="34"/>
  <c r="N133" i="32"/>
  <c r="FI210" i="39"/>
  <c r="P133" i="32"/>
  <c r="FK210" i="39"/>
  <c r="CH50" i="24"/>
  <c r="CH53" i="24"/>
  <c r="CH55" i="24"/>
  <c r="EF50" i="24"/>
  <c r="EF53" i="24"/>
  <c r="EF55" i="24"/>
  <c r="EV164" i="39"/>
  <c r="FH25" i="26"/>
  <c r="E210" i="30"/>
  <c r="F129" i="29"/>
  <c r="EE197" i="39"/>
  <c r="C158" i="29"/>
  <c r="FL197" i="39"/>
  <c r="K68" i="30"/>
  <c r="N198" i="30"/>
  <c r="FU207" i="39"/>
  <c r="I103" i="32"/>
  <c r="O103" i="32"/>
  <c r="DN210" i="39"/>
  <c r="L112" i="32"/>
  <c r="DW210" i="39"/>
  <c r="N369" i="33"/>
  <c r="FW184" i="58"/>
  <c r="N367" i="33"/>
  <c r="FW182" i="58"/>
  <c r="N370" i="33"/>
  <c r="FW185" i="58"/>
  <c r="N368" i="33"/>
  <c r="FW183" i="58"/>
  <c r="P140" i="32"/>
  <c r="FX201" i="58"/>
  <c r="BW208" i="39"/>
  <c r="N111" i="28"/>
  <c r="N115" i="28"/>
  <c r="N119" i="28"/>
  <c r="N122" i="28"/>
  <c r="CM72" i="27"/>
  <c r="CL207" i="39"/>
  <c r="CL202" i="34"/>
  <c r="CM202" i="34"/>
  <c r="AY203" i="34"/>
  <c r="CJ202" i="34"/>
  <c r="DJ160" i="34"/>
  <c r="DJ165" i="39"/>
  <c r="BR203" i="34"/>
  <c r="BI173" i="39"/>
  <c r="EB33" i="24"/>
  <c r="EB36" i="24"/>
  <c r="ER166" i="39"/>
  <c r="CI207" i="39"/>
  <c r="CI202" i="34"/>
  <c r="DH33" i="24"/>
  <c r="DB165" i="39"/>
  <c r="CL33" i="24"/>
  <c r="CL36" i="24"/>
  <c r="DB160" i="34"/>
  <c r="DI164" i="39"/>
  <c r="DI159" i="34"/>
  <c r="AP168" i="34"/>
  <c r="AP173" i="39"/>
  <c r="AH168" i="34"/>
  <c r="AH173" i="39"/>
  <c r="S179" i="39"/>
  <c r="U174" i="34"/>
  <c r="AD178" i="39"/>
  <c r="BX160" i="34"/>
  <c r="BH33" i="24"/>
  <c r="BX165" i="39"/>
  <c r="M173" i="34"/>
  <c r="M178" i="39"/>
  <c r="AK30" i="26"/>
  <c r="AK39" i="26"/>
  <c r="Y174" i="34"/>
  <c r="Y179" i="39"/>
  <c r="K370" i="33"/>
  <c r="FS194" i="39"/>
  <c r="K367" i="33"/>
  <c r="FS191" i="39"/>
  <c r="K369" i="33"/>
  <c r="FS193" i="39"/>
  <c r="BF192" i="34"/>
  <c r="CM27" i="27"/>
  <c r="DR71" i="24"/>
  <c r="EH173" i="39"/>
  <c r="EJ71" i="24"/>
  <c r="X173" i="39"/>
  <c r="AE166" i="39"/>
  <c r="AE161" i="34"/>
  <c r="AR33" i="24"/>
  <c r="AR36" i="24"/>
  <c r="BH165" i="39"/>
  <c r="BH160" i="34"/>
  <c r="CB159" i="34"/>
  <c r="CE159" i="34"/>
  <c r="CG161" i="34"/>
  <c r="CP160" i="34"/>
  <c r="CO192" i="34"/>
  <c r="CO197" i="39"/>
  <c r="C116" i="32"/>
  <c r="C130" i="32"/>
  <c r="C123" i="32"/>
  <c r="CF71" i="24"/>
  <c r="DB71" i="24"/>
  <c r="DR173" i="39"/>
  <c r="BO71" i="24"/>
  <c r="CE173" i="39"/>
  <c r="AC172" i="34"/>
  <c r="I188" i="25"/>
  <c r="I191" i="25"/>
  <c r="BI172" i="34"/>
  <c r="AT20" i="26"/>
  <c r="AT24" i="26"/>
  <c r="K543" i="25"/>
  <c r="K544" i="25"/>
  <c r="J222" i="25"/>
  <c r="H555" i="25"/>
  <c r="H556" i="25"/>
  <c r="G238" i="25"/>
  <c r="AJ171" i="34"/>
  <c r="D525" i="25"/>
  <c r="D528" i="25"/>
  <c r="I530" i="25"/>
  <c r="I533" i="25"/>
  <c r="AZ171" i="34"/>
  <c r="AZ179" i="34"/>
  <c r="I56" i="28"/>
  <c r="BD171" i="34"/>
  <c r="BD179" i="34"/>
  <c r="AP20" i="27"/>
  <c r="K536" i="25"/>
  <c r="K69" i="28"/>
  <c r="K74" i="28"/>
  <c r="BN171" i="34"/>
  <c r="BN179" i="34"/>
  <c r="K35" i="33"/>
  <c r="K34" i="33"/>
  <c r="O35" i="33"/>
  <c r="O33" i="33"/>
  <c r="M228" i="33"/>
  <c r="M230" i="33"/>
  <c r="AT25" i="26"/>
  <c r="AU22" i="27"/>
  <c r="I35" i="26"/>
  <c r="I44" i="26"/>
  <c r="I34" i="26"/>
  <c r="I43" i="26"/>
  <c r="I33" i="26"/>
  <c r="I42" i="26"/>
  <c r="I30" i="26"/>
  <c r="I39" i="26"/>
  <c r="I31" i="26"/>
  <c r="I40" i="26"/>
  <c r="K35" i="26"/>
  <c r="K44" i="26"/>
  <c r="K34" i="26"/>
  <c r="K43" i="26"/>
  <c r="K33" i="26"/>
  <c r="K42" i="26"/>
  <c r="K30" i="26"/>
  <c r="K39" i="26"/>
  <c r="K31" i="26"/>
  <c r="K40" i="26"/>
  <c r="V31" i="26"/>
  <c r="V40" i="26"/>
  <c r="V33" i="26"/>
  <c r="V42" i="26"/>
  <c r="V32" i="26"/>
  <c r="V41" i="26"/>
  <c r="BR46" i="27"/>
  <c r="BR51" i="27"/>
  <c r="BR26" i="27"/>
  <c r="EF26" i="27"/>
  <c r="EF46" i="27"/>
  <c r="EF51" i="27"/>
  <c r="AI48" i="27"/>
  <c r="AI28" i="27"/>
  <c r="BS48" i="27"/>
  <c r="BS28" i="27"/>
  <c r="BC192" i="34"/>
  <c r="BC197" i="39"/>
  <c r="BE192" i="34"/>
  <c r="BE197" i="39"/>
  <c r="BZ192" i="34"/>
  <c r="BZ197" i="39"/>
  <c r="CI192" i="34"/>
  <c r="CI197" i="39"/>
  <c r="CL192" i="34"/>
  <c r="CL197" i="39"/>
  <c r="CN192" i="34"/>
  <c r="CN197" i="39"/>
  <c r="CP192" i="34"/>
  <c r="CP197" i="39"/>
  <c r="CZ192" i="34"/>
  <c r="CZ197" i="39"/>
  <c r="BF205" i="34"/>
  <c r="BF210" i="39"/>
  <c r="BH205" i="34"/>
  <c r="BH210" i="39"/>
  <c r="ER29" i="26"/>
  <c r="ER38" i="26"/>
  <c r="AQ71" i="24"/>
  <c r="BG173" i="39"/>
  <c r="BS55" i="24"/>
  <c r="CI159" i="34"/>
  <c r="F204" i="25"/>
  <c r="BY33" i="24"/>
  <c r="AK55" i="24"/>
  <c r="BC159" i="34"/>
  <c r="AR67" i="24"/>
  <c r="AR71" i="24"/>
  <c r="AY55" i="24"/>
  <c r="AB55" i="27"/>
  <c r="K154" i="30"/>
  <c r="K156" i="30"/>
  <c r="K159" i="30"/>
  <c r="K161" i="30"/>
  <c r="EH207" i="39"/>
  <c r="CP164" i="39"/>
  <c r="CB55" i="24"/>
  <c r="AY176" i="39"/>
  <c r="AY184" i="39"/>
  <c r="BM176" i="39"/>
  <c r="BM184" i="39"/>
  <c r="AI176" i="39"/>
  <c r="L177" i="39"/>
  <c r="X177" i="39"/>
  <c r="AB177" i="39"/>
  <c r="AH177" i="39"/>
  <c r="AJ177" i="39"/>
  <c r="AP177" i="39"/>
  <c r="BH177" i="39"/>
  <c r="BL177" i="39"/>
  <c r="X178" i="39"/>
  <c r="L188" i="25"/>
  <c r="L191" i="25"/>
  <c r="F238" i="25"/>
  <c r="F239" i="25"/>
  <c r="G230" i="25"/>
  <c r="K214" i="25"/>
  <c r="G543" i="25"/>
  <c r="G544" i="25"/>
  <c r="AY20" i="27"/>
  <c r="BM171" i="34"/>
  <c r="BM179" i="34"/>
  <c r="H69" i="28"/>
  <c r="H74" i="28"/>
  <c r="AK20" i="27"/>
  <c r="H212" i="25"/>
  <c r="BK172" i="34"/>
  <c r="J196" i="25"/>
  <c r="J199" i="25"/>
  <c r="AH172" i="34"/>
  <c r="S172" i="34"/>
  <c r="L172" i="34"/>
  <c r="H188" i="25"/>
  <c r="H191" i="25"/>
  <c r="I528" i="25"/>
  <c r="M96" i="33"/>
  <c r="L32" i="33"/>
  <c r="N62" i="33"/>
  <c r="F61" i="33"/>
  <c r="N97" i="33"/>
  <c r="D96" i="33"/>
  <c r="I97" i="33"/>
  <c r="K97" i="33"/>
  <c r="L95" i="33"/>
  <c r="D205" i="33"/>
  <c r="F203" i="33"/>
  <c r="G203" i="33"/>
  <c r="H204" i="33"/>
  <c r="I202" i="33"/>
  <c r="K203" i="33"/>
  <c r="E330" i="33"/>
  <c r="EO194" i="39"/>
  <c r="G329" i="33"/>
  <c r="EQ193" i="39"/>
  <c r="M32" i="26"/>
  <c r="M41" i="26"/>
  <c r="Y31" i="26"/>
  <c r="Y40" i="26"/>
  <c r="S31" i="26"/>
  <c r="S40" i="26"/>
  <c r="S29" i="26"/>
  <c r="S38" i="26"/>
  <c r="O29" i="26"/>
  <c r="O38" i="26"/>
  <c r="S32" i="26"/>
  <c r="S41" i="26"/>
  <c r="O35" i="26"/>
  <c r="O44" i="26"/>
  <c r="H41" i="26"/>
  <c r="DL26" i="27"/>
  <c r="AQ48" i="27"/>
  <c r="F30" i="27"/>
  <c r="Q30" i="27"/>
  <c r="S30" i="27"/>
  <c r="U30" i="27"/>
  <c r="W30" i="27"/>
  <c r="C138" i="29"/>
  <c r="EN197" i="39"/>
  <c r="N40" i="30"/>
  <c r="E61" i="31"/>
  <c r="F63" i="32"/>
  <c r="H63" i="32"/>
  <c r="AO172" i="34"/>
  <c r="I196" i="25"/>
  <c r="I199" i="25"/>
  <c r="AU20" i="26"/>
  <c r="AU24" i="26"/>
  <c r="AV65" i="27"/>
  <c r="AV70" i="27"/>
  <c r="E531" i="25"/>
  <c r="E532" i="25"/>
  <c r="D206" i="25"/>
  <c r="H246" i="25"/>
  <c r="I561" i="25"/>
  <c r="I562" i="25"/>
  <c r="T171" i="34"/>
  <c r="M509" i="25"/>
  <c r="M512" i="25"/>
  <c r="M517" i="25"/>
  <c r="M520" i="25"/>
  <c r="AG171" i="34"/>
  <c r="P43" i="28"/>
  <c r="P48" i="28"/>
  <c r="AU171" i="34"/>
  <c r="AU179" i="34"/>
  <c r="AG20" i="27"/>
  <c r="E56" i="28"/>
  <c r="E530" i="25"/>
  <c r="E533" i="25"/>
  <c r="BI171" i="34"/>
  <c r="BI179" i="34"/>
  <c r="F69" i="28"/>
  <c r="F74" i="28"/>
  <c r="AU20" i="27"/>
  <c r="F536" i="25"/>
  <c r="F539" i="25"/>
  <c r="E95" i="33"/>
  <c r="E97" i="33"/>
  <c r="G94" i="33"/>
  <c r="G96" i="33"/>
  <c r="G35" i="26"/>
  <c r="G44" i="26"/>
  <c r="G34" i="26"/>
  <c r="G43" i="26"/>
  <c r="G33" i="26"/>
  <c r="G42" i="26"/>
  <c r="G30" i="26"/>
  <c r="G39" i="26"/>
  <c r="G31" i="26"/>
  <c r="G40" i="26"/>
  <c r="G32" i="26"/>
  <c r="G41" i="26"/>
  <c r="M35" i="26"/>
  <c r="M44" i="26"/>
  <c r="M34" i="26"/>
  <c r="M43" i="26"/>
  <c r="M30" i="26"/>
  <c r="M39" i="26"/>
  <c r="M31" i="26"/>
  <c r="M40" i="26"/>
  <c r="O33" i="26"/>
  <c r="O42" i="26"/>
  <c r="O30" i="26"/>
  <c r="O39" i="26"/>
  <c r="O31" i="26"/>
  <c r="O40" i="26"/>
  <c r="Q35" i="26"/>
  <c r="Q44" i="26"/>
  <c r="Q34" i="26"/>
  <c r="Q43" i="26"/>
  <c r="Q30" i="26"/>
  <c r="Q39" i="26"/>
  <c r="Q29" i="26"/>
  <c r="Q38" i="26"/>
  <c r="Q31" i="26"/>
  <c r="Q40" i="26"/>
  <c r="S34" i="26"/>
  <c r="S43" i="26"/>
  <c r="S35" i="26"/>
  <c r="S44" i="26"/>
  <c r="U35" i="26"/>
  <c r="U44" i="26"/>
  <c r="U29" i="26"/>
  <c r="U38" i="26"/>
  <c r="W34" i="26"/>
  <c r="W43" i="26"/>
  <c r="W30" i="26"/>
  <c r="W39" i="26"/>
  <c r="W32" i="26"/>
  <c r="W41" i="26"/>
  <c r="W31" i="26"/>
  <c r="W40" i="26"/>
  <c r="Y35" i="26"/>
  <c r="Y44" i="26"/>
  <c r="Y33" i="26"/>
  <c r="Y42" i="26"/>
  <c r="Y29" i="26"/>
  <c r="Y38" i="26"/>
  <c r="AA30" i="26"/>
  <c r="AA39" i="26"/>
  <c r="AA32" i="26"/>
  <c r="AA41" i="26"/>
  <c r="AA31" i="26"/>
  <c r="AA40" i="26"/>
  <c r="AH46" i="27"/>
  <c r="AH51" i="27"/>
  <c r="AH26" i="27"/>
  <c r="DR26" i="27"/>
  <c r="DR46" i="27"/>
  <c r="DR51" i="27"/>
  <c r="BF48" i="27"/>
  <c r="BF28" i="27"/>
  <c r="EU48" i="27"/>
  <c r="EU28" i="27"/>
  <c r="EZ48" i="27"/>
  <c r="EZ28" i="27"/>
  <c r="AZ192" i="34"/>
  <c r="AZ197" i="39"/>
  <c r="BS192" i="34"/>
  <c r="BS197" i="39"/>
  <c r="CB192" i="34"/>
  <c r="CB197" i="39"/>
  <c r="BX192" i="34"/>
  <c r="BX197" i="39"/>
  <c r="CX192" i="34"/>
  <c r="CX197" i="39"/>
  <c r="DB192" i="34"/>
  <c r="DB197" i="39"/>
  <c r="DJ192" i="34"/>
  <c r="DJ197" i="39"/>
  <c r="AU205" i="34"/>
  <c r="AU210" i="39"/>
  <c r="BQ205" i="34"/>
  <c r="BQ210" i="39"/>
  <c r="BS205" i="34"/>
  <c r="BS210" i="39"/>
  <c r="BZ205" i="34"/>
  <c r="BZ210" i="39"/>
  <c r="CD205" i="34"/>
  <c r="CD210" i="39"/>
  <c r="CJ205" i="34"/>
  <c r="CJ210" i="39"/>
  <c r="CL205" i="34"/>
  <c r="CL210" i="39"/>
  <c r="CP205" i="34"/>
  <c r="CP210" i="39"/>
  <c r="CS205" i="34"/>
  <c r="CS210" i="39"/>
  <c r="CW205" i="34"/>
  <c r="CW210" i="39"/>
  <c r="DA205" i="34"/>
  <c r="DA210" i="39"/>
  <c r="DE205" i="34"/>
  <c r="DE210" i="39"/>
  <c r="K93" i="31"/>
  <c r="BZ71" i="24"/>
  <c r="CP173" i="39"/>
  <c r="DD35" i="26"/>
  <c r="DD44" i="26"/>
  <c r="O528" i="25"/>
  <c r="AU174" i="34"/>
  <c r="M95" i="33"/>
  <c r="G95" i="33"/>
  <c r="H77" i="30"/>
  <c r="H80" i="30"/>
  <c r="H82" i="30"/>
  <c r="N77" i="30"/>
  <c r="N80" i="30"/>
  <c r="N82" i="30"/>
  <c r="BQ207" i="39"/>
  <c r="H45" i="31"/>
  <c r="F67" i="27"/>
  <c r="F52" i="27"/>
  <c r="F55" i="27"/>
  <c r="H67" i="27"/>
  <c r="H72" i="27"/>
  <c r="H74" i="27"/>
  <c r="H52" i="27"/>
  <c r="H55" i="27"/>
  <c r="AO160" i="34"/>
  <c r="Y33" i="24"/>
  <c r="Y36" i="24"/>
  <c r="FV197" i="39"/>
  <c r="CR71" i="24"/>
  <c r="I370" i="33"/>
  <c r="FQ194" i="39"/>
  <c r="N278" i="25"/>
  <c r="FJ178" i="39"/>
  <c r="G533" i="25"/>
  <c r="AX179" i="39"/>
  <c r="J539" i="25"/>
  <c r="N551" i="25"/>
  <c r="O569" i="25"/>
  <c r="O139" i="28"/>
  <c r="E581" i="25"/>
  <c r="EN179" i="39"/>
  <c r="F154" i="33"/>
  <c r="L178" i="33"/>
  <c r="H279" i="33"/>
  <c r="J278" i="33"/>
  <c r="DV191" i="39"/>
  <c r="J328" i="33"/>
  <c r="E347" i="33"/>
  <c r="FA191" i="39"/>
  <c r="G347" i="33"/>
  <c r="FC191" i="39"/>
  <c r="K350" i="33"/>
  <c r="FG194" i="39"/>
  <c r="M349" i="33"/>
  <c r="FI193" i="39"/>
  <c r="Q55" i="27"/>
  <c r="U55" i="27"/>
  <c r="K74" i="27"/>
  <c r="Q74" i="27"/>
  <c r="S74" i="27"/>
  <c r="W74" i="27"/>
  <c r="J24" i="28"/>
  <c r="P24" i="28"/>
  <c r="H38" i="28"/>
  <c r="N38" i="28"/>
  <c r="F53" i="28"/>
  <c r="H21" i="29"/>
  <c r="J21" i="29"/>
  <c r="N21" i="29"/>
  <c r="K55" i="29"/>
  <c r="D66" i="29"/>
  <c r="D120" i="29"/>
  <c r="DQ197" i="39"/>
  <c r="F120" i="29"/>
  <c r="DS197" i="39"/>
  <c r="D129" i="29"/>
  <c r="EC197" i="39"/>
  <c r="K129" i="29"/>
  <c r="EJ197" i="39"/>
  <c r="M129" i="29"/>
  <c r="EL197" i="39"/>
  <c r="G138" i="29"/>
  <c r="ER197" i="39"/>
  <c r="E26" i="30"/>
  <c r="K138" i="30"/>
  <c r="M138" i="30"/>
  <c r="H149" i="30"/>
  <c r="DS207" i="39"/>
  <c r="M168" i="30"/>
  <c r="M171" i="30"/>
  <c r="M173" i="30"/>
  <c r="EV207" i="39"/>
  <c r="O27" i="31"/>
  <c r="I45" i="31"/>
  <c r="K45" i="31"/>
  <c r="O45" i="31"/>
  <c r="L45" i="31"/>
  <c r="P45" i="31"/>
  <c r="M61" i="31"/>
  <c r="G61" i="31"/>
  <c r="L135" i="31"/>
  <c r="L139" i="31"/>
  <c r="E219" i="31"/>
  <c r="E222" i="31"/>
  <c r="R32" i="32"/>
  <c r="T32" i="32"/>
  <c r="J63" i="32"/>
  <c r="L83" i="32"/>
  <c r="N83" i="32"/>
  <c r="K93" i="32"/>
  <c r="F15" i="44"/>
  <c r="N76" i="46"/>
  <c r="FX153" i="58"/>
  <c r="E138" i="29"/>
  <c r="EP197" i="39"/>
  <c r="E158" i="29"/>
  <c r="FN197" i="39"/>
  <c r="G158" i="29"/>
  <c r="FP197" i="39"/>
  <c r="L77" i="30"/>
  <c r="L80" i="30"/>
  <c r="E91" i="30"/>
  <c r="E94" i="30"/>
  <c r="E96" i="30"/>
  <c r="G91" i="30"/>
  <c r="G94" i="30"/>
  <c r="G96" i="30"/>
  <c r="I91" i="30"/>
  <c r="I94" i="30"/>
  <c r="I96" i="30"/>
  <c r="F91" i="30"/>
  <c r="F94" i="30"/>
  <c r="F96" i="30"/>
  <c r="H91" i="30"/>
  <c r="H94" i="30"/>
  <c r="H96" i="30"/>
  <c r="BW202" i="34"/>
  <c r="J91" i="30"/>
  <c r="J94" i="30"/>
  <c r="J96" i="30"/>
  <c r="L91" i="30"/>
  <c r="L94" i="30"/>
  <c r="L96" i="30"/>
  <c r="N91" i="30"/>
  <c r="N94" i="30"/>
  <c r="N96" i="30"/>
  <c r="L124" i="30"/>
  <c r="N156" i="30"/>
  <c r="N159" i="30"/>
  <c r="N161" i="30"/>
  <c r="EK207" i="39"/>
  <c r="G168" i="30"/>
  <c r="G171" i="30"/>
  <c r="G173" i="30"/>
  <c r="EP207" i="39"/>
  <c r="K168" i="30"/>
  <c r="K171" i="30"/>
  <c r="K173" i="30"/>
  <c r="ET207" i="39"/>
  <c r="K185" i="30"/>
  <c r="FF207" i="39"/>
  <c r="O103" i="31"/>
  <c r="O107" i="31"/>
  <c r="O167" i="31"/>
  <c r="O171" i="31"/>
  <c r="O173" i="31"/>
  <c r="H193" i="31"/>
  <c r="H196" i="31"/>
  <c r="H197" i="31"/>
  <c r="EQ208" i="39"/>
  <c r="L53" i="32"/>
  <c r="G73" i="32"/>
  <c r="J83" i="32"/>
  <c r="E93" i="32"/>
  <c r="G93" i="32"/>
  <c r="O126" i="32"/>
  <c r="EX210" i="39"/>
  <c r="P23" i="24"/>
  <c r="W23" i="24"/>
  <c r="AE67" i="24"/>
  <c r="AE71" i="24"/>
  <c r="AE55" i="24"/>
  <c r="E112" i="32"/>
  <c r="DP210" i="39"/>
  <c r="F112" i="32"/>
  <c r="DQ210" i="39"/>
  <c r="H112" i="32"/>
  <c r="DS210" i="39"/>
  <c r="F55" i="24"/>
  <c r="M55" i="24"/>
  <c r="DA23" i="24"/>
  <c r="BI208" i="39"/>
  <c r="BI203" i="34"/>
  <c r="BZ203" i="34"/>
  <c r="CJ203" i="34"/>
  <c r="CJ173" i="39"/>
  <c r="CJ168" i="34"/>
  <c r="DG207" i="39"/>
  <c r="AW208" i="39"/>
  <c r="CO202" i="34"/>
  <c r="EC33" i="24"/>
  <c r="ES165" i="39"/>
  <c r="BE208" i="39"/>
  <c r="DD208" i="39"/>
  <c r="BS203" i="34"/>
  <c r="BS208" i="39"/>
  <c r="AY207" i="39"/>
  <c r="CN168" i="34"/>
  <c r="CN173" i="39"/>
  <c r="BI207" i="39"/>
  <c r="BI202" i="34"/>
  <c r="BG208" i="39"/>
  <c r="CQ30" i="26"/>
  <c r="CQ39" i="26"/>
  <c r="FK192" i="39"/>
  <c r="DN68" i="27"/>
  <c r="DN73" i="27"/>
  <c r="DN53" i="27"/>
  <c r="DD207" i="39"/>
  <c r="DD202" i="34"/>
  <c r="ED165" i="39"/>
  <c r="CH168" i="34"/>
  <c r="DF164" i="39"/>
  <c r="EN27" i="27"/>
  <c r="EN47" i="27"/>
  <c r="CH207" i="39"/>
  <c r="BZ202" i="34"/>
  <c r="BQ202" i="34"/>
  <c r="CB168" i="34"/>
  <c r="CB173" i="39"/>
  <c r="CX33" i="24"/>
  <c r="DN165" i="39"/>
  <c r="CV33" i="24"/>
  <c r="CV36" i="24"/>
  <c r="DL160" i="34"/>
  <c r="DL165" i="39"/>
  <c r="BJ164" i="39"/>
  <c r="BJ159" i="34"/>
  <c r="AZ159" i="34"/>
  <c r="AZ164" i="39"/>
  <c r="CE168" i="34"/>
  <c r="DE53" i="27"/>
  <c r="DE68" i="27"/>
  <c r="DE73" i="27"/>
  <c r="AN33" i="26"/>
  <c r="AN42" i="26"/>
  <c r="AN32" i="26"/>
  <c r="AN41" i="26"/>
  <c r="AN31" i="26"/>
  <c r="AN40" i="26"/>
  <c r="AN34" i="26"/>
  <c r="AN43" i="26"/>
  <c r="AN35" i="26"/>
  <c r="AN44" i="26"/>
  <c r="AN30" i="26"/>
  <c r="AN39" i="26"/>
  <c r="AN29" i="26"/>
  <c r="AN38" i="26"/>
  <c r="CP72" i="27"/>
  <c r="E128" i="28"/>
  <c r="E132" i="28"/>
  <c r="AE66" i="27"/>
  <c r="AE71" i="27"/>
  <c r="AE51" i="27"/>
  <c r="CD27" i="27"/>
  <c r="CD47" i="27"/>
  <c r="BT68" i="27"/>
  <c r="BT73" i="27"/>
  <c r="BT53" i="27"/>
  <c r="I177" i="31"/>
  <c r="I183" i="31"/>
  <c r="I185" i="31"/>
  <c r="EF208" i="39"/>
  <c r="EF192" i="39"/>
  <c r="CJ33" i="24"/>
  <c r="CJ36" i="24"/>
  <c r="AT192" i="39"/>
  <c r="AT187" i="34"/>
  <c r="DA160" i="34"/>
  <c r="DD187" i="34"/>
  <c r="DD192" i="39"/>
  <c r="DK168" i="34"/>
  <c r="CX168" i="34"/>
  <c r="CX173" i="39"/>
  <c r="DH202" i="34"/>
  <c r="DH207" i="39"/>
  <c r="CW202" i="34"/>
  <c r="CW207" i="39"/>
  <c r="DL168" i="34"/>
  <c r="DL173" i="39"/>
  <c r="EE165" i="39"/>
  <c r="BA202" i="34"/>
  <c r="BA207" i="39"/>
  <c r="DL159" i="34"/>
  <c r="DM159" i="34"/>
  <c r="DR53" i="27"/>
  <c r="DR68" i="27"/>
  <c r="DR73" i="27"/>
  <c r="AO53" i="27"/>
  <c r="AO68" i="27"/>
  <c r="AO73" i="27"/>
  <c r="L228" i="25"/>
  <c r="L231" i="25"/>
  <c r="CN177" i="39"/>
  <c r="BZ65" i="27"/>
  <c r="BZ70" i="27"/>
  <c r="BS35" i="26"/>
  <c r="BS44" i="26"/>
  <c r="DD45" i="27"/>
  <c r="DD50" i="27"/>
  <c r="DD25" i="27"/>
  <c r="P87" i="28"/>
  <c r="CB166" i="39"/>
  <c r="DF210" i="39"/>
  <c r="DF205" i="34"/>
  <c r="DI202" i="34"/>
  <c r="DC202" i="34"/>
  <c r="DC207" i="39"/>
  <c r="FV194" i="39"/>
  <c r="DT34" i="26"/>
  <c r="DT43" i="26"/>
  <c r="E93" i="31"/>
  <c r="DB68" i="27"/>
  <c r="DB73" i="27"/>
  <c r="CM52" i="27"/>
  <c r="ER30" i="26"/>
  <c r="ER39" i="26"/>
  <c r="ER35" i="26"/>
  <c r="ER44" i="26"/>
  <c r="ER31" i="26"/>
  <c r="ER40" i="26"/>
  <c r="I149" i="28"/>
  <c r="AY166" i="39"/>
  <c r="BN191" i="39"/>
  <c r="CG202" i="34"/>
  <c r="DB173" i="39"/>
  <c r="DB33" i="24"/>
  <c r="DB36" i="24"/>
  <c r="DR166" i="39"/>
  <c r="BQ164" i="39"/>
  <c r="AW188" i="34"/>
  <c r="BH191" i="39"/>
  <c r="BV186" i="34"/>
  <c r="DW165" i="39"/>
  <c r="BN168" i="34"/>
  <c r="BN25" i="27"/>
  <c r="M125" i="31"/>
  <c r="CL187" i="34"/>
  <c r="CP189" i="34"/>
  <c r="M163" i="31"/>
  <c r="M170" i="31"/>
  <c r="M173" i="31"/>
  <c r="DX208" i="39"/>
  <c r="DK33" i="24"/>
  <c r="DK36" i="24"/>
  <c r="EA166" i="39"/>
  <c r="DH164" i="39"/>
  <c r="BP168" i="34"/>
  <c r="CZ168" i="34"/>
  <c r="DG203" i="34"/>
  <c r="BA71" i="24"/>
  <c r="DO165" i="39"/>
  <c r="BF207" i="39"/>
  <c r="BW71" i="24"/>
  <c r="DK71" i="24"/>
  <c r="EA173" i="39"/>
  <c r="BK68" i="27"/>
  <c r="BK73" i="27"/>
  <c r="BD165" i="39"/>
  <c r="AN33" i="24"/>
  <c r="BF165" i="39"/>
  <c r="DF160" i="34"/>
  <c r="BK207" i="39"/>
  <c r="BK202" i="34"/>
  <c r="ER47" i="27"/>
  <c r="ER27" i="27"/>
  <c r="CK172" i="34"/>
  <c r="BW65" i="27"/>
  <c r="BW70" i="27"/>
  <c r="I228" i="25"/>
  <c r="BD173" i="39"/>
  <c r="BD168" i="34"/>
  <c r="CF210" i="39"/>
  <c r="CF205" i="34"/>
  <c r="CX53" i="27"/>
  <c r="CX68" i="27"/>
  <c r="CX73" i="27"/>
  <c r="AJ33" i="24"/>
  <c r="AJ36" i="24"/>
  <c r="AZ165" i="39"/>
  <c r="BL160" i="34"/>
  <c r="AV33" i="24"/>
  <c r="AY33" i="24"/>
  <c r="AY36" i="24"/>
  <c r="BY168" i="34"/>
  <c r="BY173" i="39"/>
  <c r="BC65" i="27"/>
  <c r="BC70" i="27"/>
  <c r="M212" i="25"/>
  <c r="M215" i="25"/>
  <c r="BV65" i="27"/>
  <c r="BV70" i="27"/>
  <c r="H228" i="25"/>
  <c r="CJ177" i="39"/>
  <c r="CH20" i="26"/>
  <c r="CH24" i="26"/>
  <c r="CI65" i="27"/>
  <c r="CI70" i="27"/>
  <c r="CW172" i="34"/>
  <c r="E244" i="25"/>
  <c r="DE177" i="39"/>
  <c r="CT65" i="27"/>
  <c r="CT70" i="27"/>
  <c r="CS20" i="26"/>
  <c r="CS24" i="26"/>
  <c r="DH177" i="39"/>
  <c r="DB20" i="26"/>
  <c r="DB24" i="26"/>
  <c r="DQ177" i="39"/>
  <c r="K251" i="25"/>
  <c r="DW177" i="39"/>
  <c r="DS65" i="27"/>
  <c r="DS70" i="27"/>
  <c r="DR20" i="26"/>
  <c r="DR24" i="26"/>
  <c r="EG177" i="39"/>
  <c r="E267" i="25"/>
  <c r="E270" i="25"/>
  <c r="EO178" i="39"/>
  <c r="DZ20" i="26"/>
  <c r="DZ24" i="26"/>
  <c r="M283" i="25"/>
  <c r="M286" i="25"/>
  <c r="FU178" i="39"/>
  <c r="FU177" i="39"/>
  <c r="FV177" i="39"/>
  <c r="AT71" i="24"/>
  <c r="DT29" i="26"/>
  <c r="DT38" i="26"/>
  <c r="DT35" i="26"/>
  <c r="DT44" i="26"/>
  <c r="DT33" i="26"/>
  <c r="DT42" i="26"/>
  <c r="DD29" i="26"/>
  <c r="DD38" i="26"/>
  <c r="DD33" i="26"/>
  <c r="DD42" i="26"/>
  <c r="DD34" i="26"/>
  <c r="DD43" i="26"/>
  <c r="DD30" i="26"/>
  <c r="DD39" i="26"/>
  <c r="DD31" i="26"/>
  <c r="DD40" i="26"/>
  <c r="DD32" i="26"/>
  <c r="DD41" i="26"/>
  <c r="FJ177" i="39"/>
  <c r="DF177" i="39"/>
  <c r="CN165" i="39"/>
  <c r="BN165" i="39"/>
  <c r="O244" i="25"/>
  <c r="DA65" i="27"/>
  <c r="DA70" i="27"/>
  <c r="BU160" i="34"/>
  <c r="BK71" i="24"/>
  <c r="BD160" i="34"/>
  <c r="BR164" i="39"/>
  <c r="CU164" i="39"/>
  <c r="CB160" i="34"/>
  <c r="AO36" i="24"/>
  <c r="AY71" i="24"/>
  <c r="BS71" i="24"/>
  <c r="BM36" i="24"/>
  <c r="CI71" i="24"/>
  <c r="BI160" i="34"/>
  <c r="BY165" i="39"/>
  <c r="BP33" i="24"/>
  <c r="BP36" i="24"/>
  <c r="CF160" i="34"/>
  <c r="BR33" i="24"/>
  <c r="BR36" i="24"/>
  <c r="CR168" i="34"/>
  <c r="CR173" i="39"/>
  <c r="CX165" i="39"/>
  <c r="BA65" i="27"/>
  <c r="BA70" i="27"/>
  <c r="BO177" i="39"/>
  <c r="AZ20" i="26"/>
  <c r="AZ24" i="26"/>
  <c r="K212" i="25"/>
  <c r="BR172" i="34"/>
  <c r="BR177" i="39"/>
  <c r="BZ29" i="26"/>
  <c r="BZ38" i="26"/>
  <c r="BZ34" i="26"/>
  <c r="BZ43" i="26"/>
  <c r="BZ35" i="26"/>
  <c r="BZ44" i="26"/>
  <c r="BZ33" i="26"/>
  <c r="BZ42" i="26"/>
  <c r="CG65" i="27"/>
  <c r="CG70" i="27"/>
  <c r="CF20" i="26"/>
  <c r="CF24" i="26"/>
  <c r="CU172" i="34"/>
  <c r="G236" i="25"/>
  <c r="CJ31" i="26"/>
  <c r="CJ40" i="26"/>
  <c r="CJ32" i="26"/>
  <c r="CJ41" i="26"/>
  <c r="CJ29" i="26"/>
  <c r="CJ38" i="26"/>
  <c r="CJ35" i="26"/>
  <c r="CJ44" i="26"/>
  <c r="DF172" i="34"/>
  <c r="CR65" i="27"/>
  <c r="CR70" i="27"/>
  <c r="DV20" i="26"/>
  <c r="DV24" i="26"/>
  <c r="M259" i="25"/>
  <c r="M262" i="25"/>
  <c r="EK178" i="39"/>
  <c r="DW65" i="27"/>
  <c r="DW70" i="27"/>
  <c r="BD45" i="27"/>
  <c r="BD50" i="27"/>
  <c r="BD25" i="27"/>
  <c r="J590" i="25"/>
  <c r="J593" i="25"/>
  <c r="FQ179" i="39"/>
  <c r="FQ176" i="39"/>
  <c r="FQ184" i="39"/>
  <c r="J180" i="28"/>
  <c r="J183" i="28"/>
  <c r="J187" i="28"/>
  <c r="FQ183" i="39"/>
  <c r="FC20" i="27"/>
  <c r="BC71" i="24"/>
  <c r="CA71" i="24"/>
  <c r="CK71" i="24"/>
  <c r="D214" i="25"/>
  <c r="D215" i="25"/>
  <c r="E537" i="25"/>
  <c r="E538" i="25"/>
  <c r="E539" i="25"/>
  <c r="L214" i="25"/>
  <c r="M537" i="25"/>
  <c r="M538" i="25"/>
  <c r="M539" i="25"/>
  <c r="H230" i="25"/>
  <c r="I549" i="25"/>
  <c r="I550" i="25"/>
  <c r="CG193" i="39"/>
  <c r="CZ189" i="34"/>
  <c r="P131" i="31"/>
  <c r="P138" i="31"/>
  <c r="P141" i="31"/>
  <c r="DE189" i="34"/>
  <c r="DH47" i="27"/>
  <c r="CD189" i="34"/>
  <c r="EX192" i="39"/>
  <c r="DB194" i="39"/>
  <c r="CY193" i="39"/>
  <c r="BA188" i="34"/>
  <c r="CY189" i="34"/>
  <c r="DO192" i="39"/>
  <c r="FE192" i="39"/>
  <c r="BV189" i="34"/>
  <c r="BT186" i="34"/>
  <c r="FB192" i="39"/>
  <c r="DG189" i="34"/>
  <c r="CV191" i="39"/>
  <c r="CU186" i="34"/>
  <c r="DG192" i="39"/>
  <c r="DZ65" i="27"/>
  <c r="DZ70" i="27"/>
  <c r="DJ20" i="26"/>
  <c r="DJ24" i="26"/>
  <c r="DV65" i="27"/>
  <c r="DV70" i="27"/>
  <c r="I367" i="33"/>
  <c r="FQ191" i="39"/>
  <c r="BU20" i="26"/>
  <c r="BU24" i="26"/>
  <c r="K267" i="25"/>
  <c r="K270" i="25"/>
  <c r="EU178" i="39"/>
  <c r="FK177" i="39"/>
  <c r="BS20" i="27"/>
  <c r="I275" i="25"/>
  <c r="I278" i="25"/>
  <c r="FE178" i="39"/>
  <c r="CE65" i="27"/>
  <c r="CE70" i="27"/>
  <c r="BT55" i="24"/>
  <c r="AF55" i="24"/>
  <c r="F275" i="25"/>
  <c r="F278" i="25"/>
  <c r="FB178" i="39"/>
  <c r="CE172" i="34"/>
  <c r="CD67" i="24"/>
  <c r="BB67" i="24"/>
  <c r="BB71" i="24"/>
  <c r="DL20" i="27"/>
  <c r="P572" i="25"/>
  <c r="P575" i="25"/>
  <c r="BT160" i="34"/>
  <c r="AZ33" i="24"/>
  <c r="AZ36" i="24"/>
  <c r="FQ177" i="39"/>
  <c r="J238" i="25"/>
  <c r="N222" i="25"/>
  <c r="H222" i="25"/>
  <c r="M206" i="25"/>
  <c r="CT55" i="24"/>
  <c r="J204" i="33"/>
  <c r="D222" i="25"/>
  <c r="E543" i="25"/>
  <c r="E544" i="25"/>
  <c r="E545" i="25"/>
  <c r="P180" i="28"/>
  <c r="P183" i="28"/>
  <c r="P187" i="28"/>
  <c r="FX174" i="58"/>
  <c r="FI20" i="27"/>
  <c r="EK22" i="27"/>
  <c r="EJ25" i="26"/>
  <c r="AG23" i="27"/>
  <c r="AF26" i="26"/>
  <c r="AC34" i="26"/>
  <c r="AC43" i="26"/>
  <c r="AC30" i="26"/>
  <c r="AC39" i="26"/>
  <c r="AC33" i="26"/>
  <c r="AC42" i="26"/>
  <c r="AC31" i="26"/>
  <c r="AC40" i="26"/>
  <c r="BD46" i="27"/>
  <c r="BD51" i="27"/>
  <c r="BD26" i="27"/>
  <c r="CH46" i="27"/>
  <c r="CH51" i="27"/>
  <c r="CH26" i="27"/>
  <c r="CG48" i="27"/>
  <c r="CG28" i="27"/>
  <c r="ED28" i="27"/>
  <c r="ED48" i="27"/>
  <c r="FE48" i="27"/>
  <c r="FE28" i="27"/>
  <c r="AH68" i="24"/>
  <c r="AH69" i="24"/>
  <c r="AH71" i="24"/>
  <c r="AH35" i="24"/>
  <c r="CP68" i="24"/>
  <c r="CP69" i="24"/>
  <c r="CP71" i="24"/>
  <c r="CP35" i="24"/>
  <c r="DC35" i="24"/>
  <c r="DC68" i="24"/>
  <c r="DC69" i="24"/>
  <c r="DC71" i="24"/>
  <c r="DS173" i="39"/>
  <c r="DX68" i="24"/>
  <c r="DX69" i="24"/>
  <c r="DX71" i="24"/>
  <c r="EN173" i="39"/>
  <c r="DX35" i="24"/>
  <c r="DF22" i="27"/>
  <c r="DE25" i="26"/>
  <c r="EP22" i="27"/>
  <c r="EO25" i="26"/>
  <c r="EZ22" i="27"/>
  <c r="EY25" i="26"/>
  <c r="BP48" i="27"/>
  <c r="BP28" i="27"/>
  <c r="K349" i="33"/>
  <c r="FG193" i="39"/>
  <c r="E306" i="33"/>
  <c r="EC194" i="39"/>
  <c r="I304" i="33"/>
  <c r="M303" i="33"/>
  <c r="EK191" i="39"/>
  <c r="I328" i="33"/>
  <c r="K328" i="33"/>
  <c r="I350" i="33"/>
  <c r="FE194" i="39"/>
  <c r="AC29" i="26"/>
  <c r="AC38" i="26"/>
  <c r="AC35" i="26"/>
  <c r="AC44" i="26"/>
  <c r="DU55" i="24"/>
  <c r="EK164" i="39"/>
  <c r="M77" i="30"/>
  <c r="M80" i="30"/>
  <c r="M82" i="30"/>
  <c r="P91" i="30"/>
  <c r="P94" i="30"/>
  <c r="P96" i="30"/>
  <c r="L156" i="30"/>
  <c r="L159" i="30"/>
  <c r="L161" i="30"/>
  <c r="EI207" i="39"/>
  <c r="L103" i="31"/>
  <c r="L107" i="31"/>
  <c r="DS22" i="27"/>
  <c r="DR25" i="26"/>
  <c r="BH46" i="27"/>
  <c r="BH51" i="27"/>
  <c r="BH26" i="27"/>
  <c r="EH26" i="27"/>
  <c r="EH46" i="27"/>
  <c r="EH51" i="27"/>
  <c r="EO46" i="27"/>
  <c r="EO51" i="27"/>
  <c r="EO26" i="27"/>
  <c r="AT48" i="27"/>
  <c r="AT28" i="27"/>
  <c r="DF28" i="27"/>
  <c r="DF48" i="27"/>
  <c r="EE28" i="27"/>
  <c r="EE48" i="27"/>
  <c r="FD28" i="27"/>
  <c r="FD48" i="27"/>
  <c r="AI67" i="27"/>
  <c r="AI72" i="27"/>
  <c r="AI52" i="27"/>
  <c r="AN67" i="27"/>
  <c r="AN72" i="27"/>
  <c r="AN52" i="27"/>
  <c r="CG21" i="24"/>
  <c r="CG23" i="24"/>
  <c r="CG50" i="24"/>
  <c r="CG53" i="24"/>
  <c r="CG55" i="24"/>
  <c r="CI21" i="24"/>
  <c r="CI23" i="24"/>
  <c r="CI50" i="24"/>
  <c r="CI53" i="24"/>
  <c r="CI55" i="24"/>
  <c r="AP68" i="24"/>
  <c r="AP69" i="24"/>
  <c r="AP71" i="24"/>
  <c r="AP35" i="24"/>
  <c r="DH68" i="24"/>
  <c r="DH69" i="24"/>
  <c r="DH71" i="24"/>
  <c r="DX173" i="39"/>
  <c r="DH35" i="24"/>
  <c r="DH36" i="24"/>
  <c r="DX166" i="39"/>
  <c r="K368" i="33"/>
  <c r="F63" i="30"/>
  <c r="F66" i="30"/>
  <c r="F68" i="30"/>
  <c r="L82" i="30"/>
  <c r="K77" i="30"/>
  <c r="K80" i="30"/>
  <c r="K82" i="30"/>
  <c r="M124" i="30"/>
  <c r="O124" i="30"/>
  <c r="G149" i="30"/>
  <c r="DR207" i="39"/>
  <c r="M145" i="30"/>
  <c r="M148" i="30"/>
  <c r="M149" i="30"/>
  <c r="DX207" i="39"/>
  <c r="O145" i="30"/>
  <c r="O148" i="30"/>
  <c r="O149" i="30"/>
  <c r="H161" i="30"/>
  <c r="EE207" i="39"/>
  <c r="O161" i="30"/>
  <c r="EL207" i="39"/>
  <c r="J71" i="31"/>
  <c r="J75" i="31"/>
  <c r="E119" i="32"/>
  <c r="EB210" i="39"/>
  <c r="CF50" i="24"/>
  <c r="CF53" i="24"/>
  <c r="CF55" i="24"/>
  <c r="CF21" i="24"/>
  <c r="CF23" i="24"/>
  <c r="DC50" i="24"/>
  <c r="DC53" i="24"/>
  <c r="DC55" i="24"/>
  <c r="DS164" i="39"/>
  <c r="DC21" i="24"/>
  <c r="DC23" i="24"/>
  <c r="AF35" i="24"/>
  <c r="AF68" i="24"/>
  <c r="AF69" i="24"/>
  <c r="AF71" i="24"/>
  <c r="CD68" i="24"/>
  <c r="CD69" i="24"/>
  <c r="CD35" i="24"/>
  <c r="CN68" i="24"/>
  <c r="CN69" i="24"/>
  <c r="CN71" i="24"/>
  <c r="CN35" i="24"/>
  <c r="CX68" i="24"/>
  <c r="CX69" i="24"/>
  <c r="CX71" i="24"/>
  <c r="DN173" i="39"/>
  <c r="CX35" i="24"/>
  <c r="EC35" i="24"/>
  <c r="EC68" i="24"/>
  <c r="EC69" i="24"/>
  <c r="EC71" i="24"/>
  <c r="ES173" i="39"/>
  <c r="H140" i="32"/>
  <c r="FO210" i="39"/>
  <c r="CZ210" i="39"/>
  <c r="CB210" i="39"/>
  <c r="FV207" i="39"/>
  <c r="CT192" i="34"/>
  <c r="CF203" i="34"/>
  <c r="AS189" i="34"/>
  <c r="AS194" i="39"/>
  <c r="CA189" i="34"/>
  <c r="DI179" i="39"/>
  <c r="AR179" i="39"/>
  <c r="L173" i="34"/>
  <c r="AW210" i="39"/>
  <c r="CI23" i="43"/>
  <c r="CI22" i="43"/>
  <c r="CI21" i="43"/>
  <c r="CI24" i="43"/>
  <c r="CI25" i="43"/>
  <c r="CI20" i="43"/>
  <c r="AJ25" i="27"/>
  <c r="DS68" i="27"/>
  <c r="DS73" i="27"/>
  <c r="DN33" i="26"/>
  <c r="DN42" i="26"/>
  <c r="BE35" i="26"/>
  <c r="BE44" i="26"/>
  <c r="CC33" i="26"/>
  <c r="CC42" i="26"/>
  <c r="CH52" i="27"/>
  <c r="FB68" i="27"/>
  <c r="FB73" i="27"/>
  <c r="AQ31" i="26"/>
  <c r="AQ40" i="26"/>
  <c r="BW27" i="27"/>
  <c r="CN47" i="27"/>
  <c r="CN52" i="27"/>
  <c r="CX67" i="27"/>
  <c r="M128" i="28"/>
  <c r="M132" i="28"/>
  <c r="M136" i="28"/>
  <c r="BQ67" i="27"/>
  <c r="P84" i="28"/>
  <c r="P88" i="28"/>
  <c r="P92" i="28"/>
  <c r="EM53" i="27"/>
  <c r="AE53" i="27"/>
  <c r="BO67" i="27"/>
  <c r="BO72" i="27"/>
  <c r="BO74" i="27"/>
  <c r="DA68" i="27"/>
  <c r="DA73" i="27"/>
  <c r="AK67" i="27"/>
  <c r="AK72" i="27"/>
  <c r="BS31" i="26"/>
  <c r="BS40" i="26"/>
  <c r="AK33" i="26"/>
  <c r="AK42" i="26"/>
  <c r="AK31" i="26"/>
  <c r="AK40" i="26"/>
  <c r="EV29" i="26"/>
  <c r="EV38" i="26"/>
  <c r="CV29" i="26"/>
  <c r="CV38" i="26"/>
  <c r="DU33" i="24"/>
  <c r="DU36" i="24"/>
  <c r="EK166" i="39"/>
  <c r="EK165" i="39"/>
  <c r="DI165" i="39"/>
  <c r="CS33" i="24"/>
  <c r="CS36" i="24"/>
  <c r="DI161" i="34"/>
  <c r="DI160" i="34"/>
  <c r="BM187" i="34"/>
  <c r="J83" i="31"/>
  <c r="J90" i="31"/>
  <c r="J93" i="31"/>
  <c r="BM203" i="34"/>
  <c r="BM192" i="39"/>
  <c r="CF202" i="34"/>
  <c r="CF207" i="39"/>
  <c r="AU208" i="39"/>
  <c r="AU203" i="34"/>
  <c r="AZ202" i="34"/>
  <c r="AZ207" i="39"/>
  <c r="AR159" i="34"/>
  <c r="AR164" i="39"/>
  <c r="BH159" i="34"/>
  <c r="BH164" i="39"/>
  <c r="BM207" i="39"/>
  <c r="BM202" i="34"/>
  <c r="DA188" i="34"/>
  <c r="DA193" i="39"/>
  <c r="AY188" i="34"/>
  <c r="AY193" i="39"/>
  <c r="BR191" i="39"/>
  <c r="BR186" i="34"/>
  <c r="AW194" i="39"/>
  <c r="AW189" i="34"/>
  <c r="DE188" i="34"/>
  <c r="DE193" i="39"/>
  <c r="AN159" i="34"/>
  <c r="AN164" i="39"/>
  <c r="AJ159" i="34"/>
  <c r="AJ164" i="39"/>
  <c r="AF159" i="34"/>
  <c r="AF164" i="39"/>
  <c r="AB168" i="34"/>
  <c r="AB173" i="39"/>
  <c r="Z164" i="39"/>
  <c r="Z159" i="34"/>
  <c r="DM192" i="39"/>
  <c r="N147" i="31"/>
  <c r="N154" i="31"/>
  <c r="N157" i="31"/>
  <c r="DM208" i="39"/>
  <c r="DX36" i="24"/>
  <c r="EN166" i="39"/>
  <c r="CQ160" i="34"/>
  <c r="CU188" i="34"/>
  <c r="CX160" i="34"/>
  <c r="CH160" i="34"/>
  <c r="BI33" i="24"/>
  <c r="BI36" i="24"/>
  <c r="BY166" i="39"/>
  <c r="AS33" i="24"/>
  <c r="AS36" i="24"/>
  <c r="BF160" i="34"/>
  <c r="BN33" i="24"/>
  <c r="BN36" i="24"/>
  <c r="CD165" i="39"/>
  <c r="AV36" i="24"/>
  <c r="CB53" i="27"/>
  <c r="AN36" i="24"/>
  <c r="AX202" i="34"/>
  <c r="DD159" i="34"/>
  <c r="CE208" i="39"/>
  <c r="EB165" i="39"/>
  <c r="CJ191" i="39"/>
  <c r="BS32" i="26"/>
  <c r="BS41" i="26"/>
  <c r="BS29" i="26"/>
  <c r="BS38" i="26"/>
  <c r="EA53" i="27"/>
  <c r="CK33" i="24"/>
  <c r="CK36" i="24"/>
  <c r="DA166" i="39"/>
  <c r="EL53" i="27"/>
  <c r="CZ160" i="34"/>
  <c r="CR68" i="27"/>
  <c r="CR73" i="27"/>
  <c r="EU31" i="26"/>
  <c r="EU40" i="26"/>
  <c r="CG210" i="39"/>
  <c r="L44" i="28"/>
  <c r="L50" i="28"/>
  <c r="BY36" i="24"/>
  <c r="CP165" i="39"/>
  <c r="AE178" i="39"/>
  <c r="AK29" i="26"/>
  <c r="AK38" i="26"/>
  <c r="AK173" i="34"/>
  <c r="BH36" i="24"/>
  <c r="BX166" i="39"/>
  <c r="U173" i="34"/>
  <c r="CG208" i="39"/>
  <c r="AK33" i="24"/>
  <c r="AK36" i="24"/>
  <c r="CO33" i="24"/>
  <c r="CO36" i="24"/>
  <c r="DE161" i="34"/>
  <c r="CB194" i="39"/>
  <c r="BR207" i="39"/>
  <c r="BB33" i="24"/>
  <c r="BB36" i="24"/>
  <c r="BP188" i="34"/>
  <c r="BN71" i="24"/>
  <c r="AC55" i="27"/>
  <c r="EZ32" i="26"/>
  <c r="EZ41" i="26"/>
  <c r="EV34" i="26"/>
  <c r="EV43" i="26"/>
  <c r="EV35" i="26"/>
  <c r="EV44" i="26"/>
  <c r="EP34" i="26"/>
  <c r="EP43" i="26"/>
  <c r="EN33" i="26"/>
  <c r="EN42" i="26"/>
  <c r="DY30" i="26"/>
  <c r="DY39" i="26"/>
  <c r="CX192" i="39"/>
  <c r="AU187" i="34"/>
  <c r="BG165" i="39"/>
  <c r="AI45" i="27"/>
  <c r="AI50" i="27"/>
  <c r="CN68" i="27"/>
  <c r="CN73" i="27"/>
  <c r="DG165" i="39"/>
  <c r="DD165" i="39"/>
  <c r="BT168" i="34"/>
  <c r="CN33" i="24"/>
  <c r="ES29" i="26"/>
  <c r="ES38" i="26"/>
  <c r="EB31" i="26"/>
  <c r="EB40" i="26"/>
  <c r="DU30" i="26"/>
  <c r="DU39" i="26"/>
  <c r="O174" i="34"/>
  <c r="AV29" i="26"/>
  <c r="AV38" i="26"/>
  <c r="BP33" i="26"/>
  <c r="BP42" i="26"/>
  <c r="BM31" i="26"/>
  <c r="BM40" i="26"/>
  <c r="K207" i="25"/>
  <c r="BC173" i="34"/>
  <c r="EL30" i="27"/>
  <c r="EZ157" i="39"/>
  <c r="AC33" i="24"/>
  <c r="AC36" i="24"/>
  <c r="DA197" i="39"/>
  <c r="BB192" i="34"/>
  <c r="AR160" i="34"/>
  <c r="BN55" i="27"/>
  <c r="CB153" i="34"/>
  <c r="DG36" i="24"/>
  <c r="DW166" i="39"/>
  <c r="CI191" i="39"/>
  <c r="EY192" i="39"/>
  <c r="DV33" i="24"/>
  <c r="DV36" i="24"/>
  <c r="EL166" i="39"/>
  <c r="BA192" i="39"/>
  <c r="BA187" i="34"/>
  <c r="J68" i="31"/>
  <c r="J74" i="31"/>
  <c r="J77" i="31"/>
  <c r="ET165" i="39"/>
  <c r="ED33" i="24"/>
  <c r="ED36" i="24"/>
  <c r="ET166" i="39"/>
  <c r="BR194" i="39"/>
  <c r="BR189" i="34"/>
  <c r="AD159" i="34"/>
  <c r="AD164" i="39"/>
  <c r="AP164" i="39"/>
  <c r="AP159" i="34"/>
  <c r="H15" i="41"/>
  <c r="AY186" i="34"/>
  <c r="AY191" i="39"/>
  <c r="F153" i="33"/>
  <c r="F155" i="33"/>
  <c r="F156" i="33"/>
  <c r="AN168" i="34"/>
  <c r="AN173" i="39"/>
  <c r="AF168" i="34"/>
  <c r="AF173" i="39"/>
  <c r="AB159" i="34"/>
  <c r="AB164" i="39"/>
  <c r="DI188" i="34"/>
  <c r="DI193" i="39"/>
  <c r="FG53" i="27"/>
  <c r="BZ68" i="27"/>
  <c r="BZ73" i="27"/>
  <c r="CL68" i="27"/>
  <c r="CL73" i="27"/>
  <c r="CX30" i="27"/>
  <c r="DL152" i="34"/>
  <c r="BN67" i="27"/>
  <c r="BN72" i="27"/>
  <c r="BN74" i="27"/>
  <c r="CB159" i="39"/>
  <c r="BJ67" i="27"/>
  <c r="BJ72" i="27"/>
  <c r="FE67" i="27"/>
  <c r="FE72" i="27"/>
  <c r="CT53" i="27"/>
  <c r="DU68" i="27"/>
  <c r="DU73" i="27"/>
  <c r="DO45" i="27"/>
  <c r="DO50" i="27"/>
  <c r="CJ30" i="27"/>
  <c r="CX157" i="39"/>
  <c r="EP68" i="27"/>
  <c r="EP73" i="27"/>
  <c r="ED35" i="26"/>
  <c r="ED44" i="26"/>
  <c r="Q178" i="39"/>
  <c r="Q173" i="34"/>
  <c r="AC179" i="39"/>
  <c r="V178" i="39"/>
  <c r="AI178" i="39"/>
  <c r="AK179" i="39"/>
  <c r="J149" i="28"/>
  <c r="J156" i="28"/>
  <c r="EG183" i="39"/>
  <c r="AM35" i="26"/>
  <c r="AM44" i="26"/>
  <c r="G66" i="28"/>
  <c r="AX178" i="34"/>
  <c r="H545" i="25"/>
  <c r="BW174" i="34"/>
  <c r="H239" i="25"/>
  <c r="CV173" i="34"/>
  <c r="O247" i="25"/>
  <c r="DO178" i="39"/>
  <c r="AQ29" i="26"/>
  <c r="AQ38" i="26"/>
  <c r="AP174" i="34"/>
  <c r="AI179" i="39"/>
  <c r="BX29" i="26"/>
  <c r="BX38" i="26"/>
  <c r="BQ45" i="27"/>
  <c r="BQ50" i="27"/>
  <c r="BQ55" i="27"/>
  <c r="CE158" i="39"/>
  <c r="AN25" i="27"/>
  <c r="AN30" i="27"/>
  <c r="AE179" i="39"/>
  <c r="V174" i="34"/>
  <c r="P174" i="34"/>
  <c r="X179" i="39"/>
  <c r="K528" i="25"/>
  <c r="AQ174" i="34"/>
  <c r="AZ53" i="27"/>
  <c r="DW31" i="26"/>
  <c r="DW40" i="26"/>
  <c r="BS30" i="26"/>
  <c r="BS39" i="26"/>
  <c r="BS34" i="26"/>
  <c r="BS43" i="26"/>
  <c r="DN31" i="26"/>
  <c r="DN40" i="26"/>
  <c r="CQ31" i="26"/>
  <c r="CQ40" i="26"/>
  <c r="BB47" i="27"/>
  <c r="BB67" i="27"/>
  <c r="EV31" i="26"/>
  <c r="EV40" i="26"/>
  <c r="EV30" i="26"/>
  <c r="EV39" i="26"/>
  <c r="BW29" i="26"/>
  <c r="BW38" i="26"/>
  <c r="BC31" i="26"/>
  <c r="BC40" i="26"/>
  <c r="EM29" i="26"/>
  <c r="EM38" i="26"/>
  <c r="AG51" i="27"/>
  <c r="CN207" i="39"/>
  <c r="CN202" i="34"/>
  <c r="F46" i="26"/>
  <c r="CT159" i="34"/>
  <c r="CT164" i="39"/>
  <c r="H33" i="24"/>
  <c r="H36" i="24"/>
  <c r="X165" i="39"/>
  <c r="X160" i="34"/>
  <c r="BA33" i="24"/>
  <c r="BA36" i="24"/>
  <c r="BQ160" i="34"/>
  <c r="BQ165" i="39"/>
  <c r="AP165" i="39"/>
  <c r="AP160" i="34"/>
  <c r="Z33" i="24"/>
  <c r="Z36" i="24"/>
  <c r="CD159" i="34"/>
  <c r="CD164" i="39"/>
  <c r="AN165" i="39"/>
  <c r="AN160" i="34"/>
  <c r="X33" i="24"/>
  <c r="X36" i="24"/>
  <c r="CV192" i="34"/>
  <c r="CV197" i="39"/>
  <c r="AL165" i="39"/>
  <c r="V33" i="24"/>
  <c r="V36" i="24"/>
  <c r="AL160" i="34"/>
  <c r="AS159" i="34"/>
  <c r="AS164" i="39"/>
  <c r="BF159" i="34"/>
  <c r="BF164" i="39"/>
  <c r="AJ165" i="39"/>
  <c r="T33" i="24"/>
  <c r="T36" i="24"/>
  <c r="AJ160" i="34"/>
  <c r="CS165" i="39"/>
  <c r="CS160" i="34"/>
  <c r="CC33" i="24"/>
  <c r="CC36" i="24"/>
  <c r="CR197" i="39"/>
  <c r="CR192" i="34"/>
  <c r="AT159" i="34"/>
  <c r="AT164" i="39"/>
  <c r="AU191" i="39"/>
  <c r="AU186" i="34"/>
  <c r="DV72" i="27"/>
  <c r="CS192" i="34"/>
  <c r="CS197" i="39"/>
  <c r="AT191" i="39"/>
  <c r="AT186" i="34"/>
  <c r="AB165" i="39"/>
  <c r="AB160" i="34"/>
  <c r="L33" i="24"/>
  <c r="L36" i="24"/>
  <c r="AT160" i="34"/>
  <c r="AD33" i="24"/>
  <c r="AD36" i="24"/>
  <c r="AT165" i="39"/>
  <c r="AD165" i="39"/>
  <c r="N33" i="24"/>
  <c r="N36" i="24"/>
  <c r="AD160" i="34"/>
  <c r="BK164" i="39"/>
  <c r="BK159" i="34"/>
  <c r="BN30" i="27"/>
  <c r="CB152" i="34"/>
  <c r="DL72" i="27"/>
  <c r="CG47" i="27"/>
  <c r="CG67" i="27"/>
  <c r="BR53" i="27"/>
  <c r="BB68" i="27"/>
  <c r="BB73" i="27"/>
  <c r="AA25" i="27"/>
  <c r="AA30" i="27"/>
  <c r="BS47" i="27"/>
  <c r="BS67" i="27"/>
  <c r="BO53" i="27"/>
  <c r="EO25" i="27"/>
  <c r="BV53" i="27"/>
  <c r="EA47" i="27"/>
  <c r="EA67" i="27"/>
  <c r="EA72" i="27"/>
  <c r="EA74" i="27"/>
  <c r="EO159" i="39"/>
  <c r="DN34" i="26"/>
  <c r="DN43" i="26"/>
  <c r="DN32" i="26"/>
  <c r="DN41" i="26"/>
  <c r="EY67" i="27"/>
  <c r="EY72" i="27"/>
  <c r="DV52" i="27"/>
  <c r="DN27" i="27"/>
  <c r="DN30" i="27"/>
  <c r="EB157" i="39"/>
  <c r="FB30" i="26"/>
  <c r="FB39" i="26"/>
  <c r="CO33" i="26"/>
  <c r="CO42" i="26"/>
  <c r="FF32" i="26"/>
  <c r="FF41" i="26"/>
  <c r="BY33" i="26"/>
  <c r="BY42" i="26"/>
  <c r="EK33" i="26"/>
  <c r="EK42" i="26"/>
  <c r="DF32" i="26"/>
  <c r="DF41" i="26"/>
  <c r="EQ33" i="26"/>
  <c r="EQ42" i="26"/>
  <c r="FE27" i="27"/>
  <c r="FH66" i="27"/>
  <c r="FH71" i="27"/>
  <c r="CD30" i="26"/>
  <c r="CD39" i="26"/>
  <c r="CT29" i="26"/>
  <c r="CT38" i="26"/>
  <c r="CQ27" i="27"/>
  <c r="FC31" i="26"/>
  <c r="FC40" i="26"/>
  <c r="CQ34" i="26"/>
  <c r="CQ43" i="26"/>
  <c r="CQ35" i="26"/>
  <c r="CQ44" i="26"/>
  <c r="H46" i="26"/>
  <c r="DR47" i="27"/>
  <c r="DR67" i="27"/>
  <c r="DR72" i="27"/>
  <c r="DR74" i="27"/>
  <c r="EF159" i="39"/>
  <c r="AY47" i="27"/>
  <c r="AY67" i="27"/>
  <c r="ES33" i="26"/>
  <c r="ES42" i="26"/>
  <c r="BC29" i="26"/>
  <c r="BC38" i="26"/>
  <c r="ES27" i="27"/>
  <c r="ES30" i="27"/>
  <c r="FG157" i="39"/>
  <c r="DG34" i="26"/>
  <c r="DG43" i="26"/>
  <c r="CG35" i="26"/>
  <c r="CG44" i="26"/>
  <c r="EX29" i="26"/>
  <c r="EX38" i="26"/>
  <c r="DA34" i="26"/>
  <c r="DA43" i="26"/>
  <c r="FG27" i="27"/>
  <c r="FG30" i="27"/>
  <c r="FU157" i="39"/>
  <c r="DU47" i="27"/>
  <c r="DU52" i="27"/>
  <c r="BW67" i="27"/>
  <c r="BW72" i="27"/>
  <c r="BI30" i="26"/>
  <c r="BI39" i="26"/>
  <c r="AS31" i="26"/>
  <c r="AS40" i="26"/>
  <c r="R46" i="26"/>
  <c r="BH33" i="26"/>
  <c r="BH42" i="26"/>
  <c r="CN34" i="26"/>
  <c r="CN43" i="26"/>
  <c r="N46" i="26"/>
  <c r="J46" i="26"/>
  <c r="P46" i="26"/>
  <c r="DC47" i="27"/>
  <c r="DC52" i="27"/>
  <c r="DC55" i="27"/>
  <c r="DQ158" i="39"/>
  <c r="CZ34" i="26"/>
  <c r="CZ43" i="26"/>
  <c r="DG35" i="26"/>
  <c r="DG44" i="26"/>
  <c r="DU33" i="26"/>
  <c r="DU42" i="26"/>
  <c r="DN30" i="26"/>
  <c r="DN39" i="26"/>
  <c r="DN35" i="26"/>
  <c r="DN44" i="26"/>
  <c r="CN31" i="26"/>
  <c r="CN40" i="26"/>
  <c r="DG31" i="26"/>
  <c r="DG40" i="26"/>
  <c r="CL67" i="27"/>
  <c r="M111" i="28"/>
  <c r="M115" i="28"/>
  <c r="M119" i="28"/>
  <c r="CZ183" i="39"/>
  <c r="CI31" i="26"/>
  <c r="CI40" i="26"/>
  <c r="CL27" i="27"/>
  <c r="AE73" i="27"/>
  <c r="DQ32" i="26"/>
  <c r="DQ41" i="26"/>
  <c r="AE29" i="26"/>
  <c r="AE38" i="26"/>
  <c r="BF47" i="27"/>
  <c r="DG30" i="26"/>
  <c r="DG39" i="26"/>
  <c r="DX30" i="26"/>
  <c r="DX39" i="26"/>
  <c r="CO35" i="26"/>
  <c r="CO44" i="26"/>
  <c r="DG33" i="26"/>
  <c r="DG42" i="26"/>
  <c r="DG32" i="26"/>
  <c r="DG41" i="26"/>
  <c r="BK47" i="27"/>
  <c r="BK52" i="27"/>
  <c r="BK55" i="27"/>
  <c r="BY153" i="34"/>
  <c r="FF52" i="27"/>
  <c r="CG33" i="26"/>
  <c r="CG42" i="26"/>
  <c r="DV27" i="27"/>
  <c r="DV30" i="27"/>
  <c r="EJ157" i="39"/>
  <c r="EI27" i="27"/>
  <c r="EI30" i="27"/>
  <c r="EW157" i="39"/>
  <c r="FF27" i="27"/>
  <c r="FF30" i="27"/>
  <c r="FT157" i="39"/>
  <c r="EG30" i="26"/>
  <c r="EG39" i="26"/>
  <c r="CL31" i="26"/>
  <c r="CL40" i="26"/>
  <c r="DO30" i="27"/>
  <c r="EC157" i="39"/>
  <c r="E34" i="42"/>
  <c r="FW195" i="58"/>
  <c r="CF68" i="27"/>
  <c r="CF73" i="27"/>
  <c r="CF53" i="27"/>
  <c r="AO74" i="27"/>
  <c r="BC154" i="34"/>
  <c r="EC30" i="26"/>
  <c r="EC39" i="26"/>
  <c r="CP34" i="26"/>
  <c r="CP43" i="26"/>
  <c r="BJ34" i="26"/>
  <c r="BJ43" i="26"/>
  <c r="CX31" i="26"/>
  <c r="CX40" i="26"/>
  <c r="X46" i="26"/>
  <c r="ED33" i="26"/>
  <c r="ED42" i="26"/>
  <c r="BO30" i="26"/>
  <c r="BO39" i="26"/>
  <c r="FA31" i="26"/>
  <c r="FA40" i="26"/>
  <c r="CR29" i="26"/>
  <c r="CR38" i="26"/>
  <c r="CT31" i="26"/>
  <c r="CT40" i="26"/>
  <c r="BH29" i="26"/>
  <c r="BH38" i="26"/>
  <c r="BW30" i="26"/>
  <c r="BW39" i="26"/>
  <c r="AE31" i="26"/>
  <c r="AE40" i="26"/>
  <c r="AO29" i="26"/>
  <c r="AO38" i="26"/>
  <c r="AO30" i="26"/>
  <c r="AO39" i="26"/>
  <c r="AR178" i="39"/>
  <c r="AR173" i="34"/>
  <c r="AB29" i="26"/>
  <c r="AB38" i="26"/>
  <c r="AB35" i="26"/>
  <c r="AB44" i="26"/>
  <c r="BN35" i="26"/>
  <c r="BN44" i="26"/>
  <c r="BN33" i="26"/>
  <c r="BN42" i="26"/>
  <c r="Z178" i="39"/>
  <c r="Z173" i="34"/>
  <c r="AW29" i="26"/>
  <c r="AW38" i="26"/>
  <c r="AW34" i="26"/>
  <c r="AW43" i="26"/>
  <c r="AW30" i="26"/>
  <c r="AW39" i="26"/>
  <c r="CS25" i="27"/>
  <c r="CS45" i="27"/>
  <c r="CS50" i="27"/>
  <c r="EF31" i="26"/>
  <c r="EF40" i="26"/>
  <c r="EF35" i="26"/>
  <c r="EF44" i="26"/>
  <c r="CV31" i="26"/>
  <c r="CV40" i="26"/>
  <c r="CV30" i="26"/>
  <c r="CV39" i="26"/>
  <c r="CN32" i="26"/>
  <c r="CN41" i="26"/>
  <c r="CN35" i="26"/>
  <c r="CN44" i="26"/>
  <c r="CN33" i="26"/>
  <c r="CN42" i="26"/>
  <c r="AM34" i="26"/>
  <c r="AM43" i="26"/>
  <c r="AM30" i="26"/>
  <c r="AM39" i="26"/>
  <c r="AM29" i="26"/>
  <c r="AM38" i="26"/>
  <c r="AM31" i="26"/>
  <c r="AM40" i="26"/>
  <c r="D223" i="25"/>
  <c r="BT173" i="34"/>
  <c r="AG30" i="26"/>
  <c r="AG39" i="26"/>
  <c r="AM33" i="26"/>
  <c r="AM42" i="26"/>
  <c r="CN30" i="26"/>
  <c r="CN39" i="26"/>
  <c r="CN29" i="26"/>
  <c r="CN38" i="26"/>
  <c r="R179" i="39"/>
  <c r="S173" i="34"/>
  <c r="W173" i="34"/>
  <c r="P173" i="34"/>
  <c r="CV33" i="26"/>
  <c r="CV42" i="26"/>
  <c r="AH25" i="27"/>
  <c r="AH30" i="27"/>
  <c r="AV157" i="39"/>
  <c r="AW32" i="26"/>
  <c r="AW41" i="26"/>
  <c r="AW31" i="26"/>
  <c r="AW40" i="26"/>
  <c r="P66" i="28"/>
  <c r="BG178" i="34"/>
  <c r="CK34" i="26"/>
  <c r="CK43" i="26"/>
  <c r="CK29" i="26"/>
  <c r="CK38" i="26"/>
  <c r="CV32" i="26"/>
  <c r="CV41" i="26"/>
  <c r="AW33" i="26"/>
  <c r="AW42" i="26"/>
  <c r="DM32" i="26"/>
  <c r="DM41" i="26"/>
  <c r="DM35" i="26"/>
  <c r="DM44" i="26"/>
  <c r="DP29" i="26"/>
  <c r="DP38" i="26"/>
  <c r="DP32" i="26"/>
  <c r="DP41" i="26"/>
  <c r="AG178" i="39"/>
  <c r="CU45" i="27"/>
  <c r="CU50" i="27"/>
  <c r="CU25" i="27"/>
  <c r="CA25" i="27"/>
  <c r="CA30" i="27"/>
  <c r="CO152" i="34"/>
  <c r="CA45" i="27"/>
  <c r="CA50" i="27"/>
  <c r="N174" i="34"/>
  <c r="N179" i="39"/>
  <c r="W174" i="34"/>
  <c r="W179" i="39"/>
  <c r="L61" i="28"/>
  <c r="L66" i="28"/>
  <c r="BC183" i="39"/>
  <c r="AV45" i="27"/>
  <c r="AV50" i="27"/>
  <c r="AV25" i="27"/>
  <c r="L174" i="34"/>
  <c r="L179" i="39"/>
  <c r="F228" i="25"/>
  <c r="F231" i="25"/>
  <c r="CH178" i="39"/>
  <c r="CH177" i="39"/>
  <c r="EJ25" i="27"/>
  <c r="EJ30" i="27"/>
  <c r="EX157" i="39"/>
  <c r="EJ45" i="27"/>
  <c r="EJ50" i="27"/>
  <c r="FF29" i="26"/>
  <c r="FF38" i="26"/>
  <c r="FF35" i="26"/>
  <c r="FF44" i="26"/>
  <c r="FF33" i="26"/>
  <c r="FF42" i="26"/>
  <c r="AW25" i="27"/>
  <c r="AW30" i="27"/>
  <c r="BK152" i="34"/>
  <c r="AW45" i="27"/>
  <c r="AW50" i="27"/>
  <c r="FE31" i="26"/>
  <c r="FE40" i="26"/>
  <c r="FE29" i="26"/>
  <c r="FE38" i="26"/>
  <c r="I563" i="25"/>
  <c r="DH179" i="39"/>
  <c r="D207" i="25"/>
  <c r="AV173" i="34"/>
  <c r="G545" i="25"/>
  <c r="BV179" i="39"/>
  <c r="M569" i="25"/>
  <c r="DX179" i="39"/>
  <c r="I569" i="25"/>
  <c r="I139" i="28"/>
  <c r="I142" i="28"/>
  <c r="G569" i="25"/>
  <c r="DR179" i="39"/>
  <c r="H569" i="25"/>
  <c r="DS179" i="39"/>
  <c r="P563" i="25"/>
  <c r="DO179" i="39"/>
  <c r="L207" i="25"/>
  <c r="BD178" i="39"/>
  <c r="E207" i="25"/>
  <c r="AW178" i="39"/>
  <c r="F569" i="25"/>
  <c r="F139" i="28"/>
  <c r="F142" i="28"/>
  <c r="M223" i="25"/>
  <c r="L215" i="25"/>
  <c r="BP178" i="39"/>
  <c r="K254" i="25"/>
  <c r="DW178" i="39"/>
  <c r="BB178" i="39"/>
  <c r="CX32" i="26"/>
  <c r="CX41" i="26"/>
  <c r="BM32" i="26"/>
  <c r="BM41" i="26"/>
  <c r="BE178" i="34"/>
  <c r="G231" i="25"/>
  <c r="CI173" i="34"/>
  <c r="CC34" i="26"/>
  <c r="CC43" i="26"/>
  <c r="AP35" i="26"/>
  <c r="AP44" i="26"/>
  <c r="AQ33" i="26"/>
  <c r="AQ42" i="26"/>
  <c r="AV35" i="26"/>
  <c r="AV44" i="26"/>
  <c r="CP31" i="26"/>
  <c r="CP40" i="26"/>
  <c r="EC179" i="39"/>
  <c r="EB35" i="26"/>
  <c r="EB44" i="26"/>
  <c r="AT178" i="39"/>
  <c r="BM33" i="26"/>
  <c r="BM42" i="26"/>
  <c r="EI33" i="26"/>
  <c r="EI42" i="26"/>
  <c r="DQ30" i="26"/>
  <c r="DQ39" i="26"/>
  <c r="CL30" i="26"/>
  <c r="CL39" i="26"/>
  <c r="BO35" i="26"/>
  <c r="BO44" i="26"/>
  <c r="CO34" i="26"/>
  <c r="CO43" i="26"/>
  <c r="CK33" i="26"/>
  <c r="CK42" i="26"/>
  <c r="AD30" i="26"/>
  <c r="AD39" i="26"/>
  <c r="AR31" i="26"/>
  <c r="AR40" i="26"/>
  <c r="BW32" i="26"/>
  <c r="BW41" i="26"/>
  <c r="BW35" i="26"/>
  <c r="BW44" i="26"/>
  <c r="FD31" i="26"/>
  <c r="FD40" i="26"/>
  <c r="FB25" i="27"/>
  <c r="BJ174" i="34"/>
  <c r="CY34" i="26"/>
  <c r="CY43" i="26"/>
  <c r="AH74" i="27"/>
  <c r="AV154" i="34"/>
  <c r="K563" i="25"/>
  <c r="DJ174" i="34"/>
  <c r="N569" i="25"/>
  <c r="N139" i="28"/>
  <c r="N142" i="28"/>
  <c r="P119" i="28"/>
  <c r="DC178" i="34"/>
  <c r="EP45" i="27"/>
  <c r="EP50" i="27"/>
  <c r="CV45" i="27"/>
  <c r="CV50" i="27"/>
  <c r="CI29" i="26"/>
  <c r="CI38" i="26"/>
  <c r="ES34" i="26"/>
  <c r="ES43" i="26"/>
  <c r="DX32" i="26"/>
  <c r="DX41" i="26"/>
  <c r="DY34" i="26"/>
  <c r="DY43" i="26"/>
  <c r="ES31" i="26"/>
  <c r="ES40" i="26"/>
  <c r="ES32" i="26"/>
  <c r="ES41" i="26"/>
  <c r="EP29" i="26"/>
  <c r="EP38" i="26"/>
  <c r="EK35" i="26"/>
  <c r="EK44" i="26"/>
  <c r="ES35" i="26"/>
  <c r="ES44" i="26"/>
  <c r="ED29" i="26"/>
  <c r="ED38" i="26"/>
  <c r="EA32" i="26"/>
  <c r="EA41" i="26"/>
  <c r="AN178" i="39"/>
  <c r="AN173" i="34"/>
  <c r="J61" i="28"/>
  <c r="I539" i="25"/>
  <c r="H533" i="25"/>
  <c r="AY179" i="39"/>
  <c r="CG177" i="39"/>
  <c r="E228" i="25"/>
  <c r="E231" i="25"/>
  <c r="O173" i="34"/>
  <c r="EO34" i="26"/>
  <c r="EO43" i="26"/>
  <c r="M207" i="25"/>
  <c r="BE173" i="34"/>
  <c r="AV34" i="26"/>
  <c r="AV43" i="26"/>
  <c r="CY32" i="26"/>
  <c r="CY41" i="26"/>
  <c r="AV30" i="26"/>
  <c r="AV39" i="26"/>
  <c r="BM35" i="26"/>
  <c r="BM44" i="26"/>
  <c r="FF45" i="27"/>
  <c r="FF50" i="27"/>
  <c r="DQ35" i="26"/>
  <c r="DQ44" i="26"/>
  <c r="AB31" i="26"/>
  <c r="AB40" i="26"/>
  <c r="BE33" i="26"/>
  <c r="BE42" i="26"/>
  <c r="BH35" i="26"/>
  <c r="BH44" i="26"/>
  <c r="DP34" i="26"/>
  <c r="DP43" i="26"/>
  <c r="DP35" i="26"/>
  <c r="DP44" i="26"/>
  <c r="DM31" i="26"/>
  <c r="DM40" i="26"/>
  <c r="BW31" i="26"/>
  <c r="BW40" i="26"/>
  <c r="BW34" i="26"/>
  <c r="BW43" i="26"/>
  <c r="BW33" i="26"/>
  <c r="BW42" i="26"/>
  <c r="EU32" i="26"/>
  <c r="EU41" i="26"/>
  <c r="EU35" i="26"/>
  <c r="EU44" i="26"/>
  <c r="F152" i="28"/>
  <c r="ED30" i="26"/>
  <c r="ED39" i="26"/>
  <c r="K139" i="28"/>
  <c r="K142" i="28"/>
  <c r="EQ32" i="26"/>
  <c r="EQ41" i="26"/>
  <c r="EA33" i="26"/>
  <c r="EA42" i="26"/>
  <c r="CZ178" i="39"/>
  <c r="CC31" i="26"/>
  <c r="CC40" i="26"/>
  <c r="CC29" i="26"/>
  <c r="CC38" i="26"/>
  <c r="AF45" i="27"/>
  <c r="AF50" i="27"/>
  <c r="CY35" i="26"/>
  <c r="CY44" i="26"/>
  <c r="BH30" i="26"/>
  <c r="BH39" i="26"/>
  <c r="BF32" i="26"/>
  <c r="BF41" i="26"/>
  <c r="AO34" i="26"/>
  <c r="AO43" i="26"/>
  <c r="EQ29" i="26"/>
  <c r="EQ38" i="26"/>
  <c r="AO33" i="26"/>
  <c r="AO42" i="26"/>
  <c r="M545" i="25"/>
  <c r="CB179" i="39"/>
  <c r="I223" i="25"/>
  <c r="BY178" i="39"/>
  <c r="P569" i="25"/>
  <c r="P139" i="28"/>
  <c r="P142" i="28"/>
  <c r="J239" i="25"/>
  <c r="CX178" i="39"/>
  <c r="BB174" i="34"/>
  <c r="AQ34" i="26"/>
  <c r="AQ43" i="26"/>
  <c r="AQ35" i="26"/>
  <c r="AQ44" i="26"/>
  <c r="AV32" i="26"/>
  <c r="AV41" i="26"/>
  <c r="AV31" i="26"/>
  <c r="AV40" i="26"/>
  <c r="CY31" i="26"/>
  <c r="CY40" i="26"/>
  <c r="CY30" i="26"/>
  <c r="CY39" i="26"/>
  <c r="CC45" i="27"/>
  <c r="CC50" i="27"/>
  <c r="BM29" i="26"/>
  <c r="BM38" i="26"/>
  <c r="BM34" i="26"/>
  <c r="BM43" i="26"/>
  <c r="BM30" i="26"/>
  <c r="BM39" i="26"/>
  <c r="EI35" i="26"/>
  <c r="EI44" i="26"/>
  <c r="AO55" i="27"/>
  <c r="BC158" i="39"/>
  <c r="DQ29" i="26"/>
  <c r="DQ38" i="26"/>
  <c r="CL29" i="26"/>
  <c r="CL38" i="26"/>
  <c r="DP31" i="26"/>
  <c r="DP40" i="26"/>
  <c r="DP30" i="26"/>
  <c r="DP39" i="26"/>
  <c r="DP33" i="26"/>
  <c r="DP42" i="26"/>
  <c r="BO29" i="26"/>
  <c r="BO38" i="26"/>
  <c r="DM33" i="26"/>
  <c r="DM42" i="26"/>
  <c r="DM29" i="26"/>
  <c r="DM38" i="26"/>
  <c r="DM34" i="26"/>
  <c r="DM43" i="26"/>
  <c r="EU34" i="26"/>
  <c r="EU43" i="26"/>
  <c r="EU30" i="26"/>
  <c r="EU39" i="26"/>
  <c r="EU29" i="26"/>
  <c r="EU38" i="26"/>
  <c r="ED31" i="26"/>
  <c r="ED40" i="26"/>
  <c r="ED32" i="26"/>
  <c r="ED41" i="26"/>
  <c r="ED34" i="26"/>
  <c r="ED43" i="26"/>
  <c r="EQ34" i="26"/>
  <c r="EQ43" i="26"/>
  <c r="EA35" i="26"/>
  <c r="EA44" i="26"/>
  <c r="CY33" i="26"/>
  <c r="CY42" i="26"/>
  <c r="CC32" i="26"/>
  <c r="CC41" i="26"/>
  <c r="CC35" i="26"/>
  <c r="CC44" i="26"/>
  <c r="CC30" i="26"/>
  <c r="CC39" i="26"/>
  <c r="BY32" i="26"/>
  <c r="BY41" i="26"/>
  <c r="O66" i="28"/>
  <c r="BF183" i="39"/>
  <c r="O563" i="25"/>
  <c r="DN179" i="39"/>
  <c r="DM171" i="34"/>
  <c r="EA30" i="26"/>
  <c r="EA39" i="26"/>
  <c r="EQ31" i="26"/>
  <c r="EQ40" i="26"/>
  <c r="FA30" i="26"/>
  <c r="FA39" i="26"/>
  <c r="AO35" i="26"/>
  <c r="AO44" i="26"/>
  <c r="EA29" i="26"/>
  <c r="EA38" i="26"/>
  <c r="L563" i="25"/>
  <c r="DK179" i="39"/>
  <c r="L557" i="25"/>
  <c r="CY174" i="34"/>
  <c r="FV176" i="39"/>
  <c r="AY33" i="26"/>
  <c r="AY42" i="26"/>
  <c r="FD45" i="27"/>
  <c r="FD50" i="27"/>
  <c r="I215" i="25"/>
  <c r="BM173" i="34"/>
  <c r="CE30" i="26"/>
  <c r="CE39" i="26"/>
  <c r="BI47" i="27"/>
  <c r="BI67" i="27"/>
  <c r="AV68" i="27"/>
  <c r="AV73" i="27"/>
  <c r="BC25" i="27"/>
  <c r="DQ47" i="27"/>
  <c r="DQ52" i="27"/>
  <c r="DQ55" i="27"/>
  <c r="EE158" i="39"/>
  <c r="BC68" i="27"/>
  <c r="BC73" i="27"/>
  <c r="EX52" i="27"/>
  <c r="DX25" i="27"/>
  <c r="DX30" i="27"/>
  <c r="EL157" i="39"/>
  <c r="CV68" i="27"/>
  <c r="CV73" i="27"/>
  <c r="BV25" i="27"/>
  <c r="BG53" i="27"/>
  <c r="CU68" i="27"/>
  <c r="CU73" i="27"/>
  <c r="CN67" i="27"/>
  <c r="CN72" i="27"/>
  <c r="FI53" i="27"/>
  <c r="ES45" i="27"/>
  <c r="ES50" i="27"/>
  <c r="EA30" i="27"/>
  <c r="EO157" i="39"/>
  <c r="CI45" i="27"/>
  <c r="CI50" i="27"/>
  <c r="CY68" i="27"/>
  <c r="CY73" i="27"/>
  <c r="AW67" i="27"/>
  <c r="ET32" i="26"/>
  <c r="ET41" i="26"/>
  <c r="BH31" i="26"/>
  <c r="BH40" i="26"/>
  <c r="BH32" i="26"/>
  <c r="BH41" i="26"/>
  <c r="BH34" i="26"/>
  <c r="BH43" i="26"/>
  <c r="CQ32" i="26"/>
  <c r="CQ41" i="26"/>
  <c r="CQ29" i="26"/>
  <c r="CQ38" i="26"/>
  <c r="CV34" i="26"/>
  <c r="CV43" i="26"/>
  <c r="CV35" i="26"/>
  <c r="CV44" i="26"/>
  <c r="BX34" i="26"/>
  <c r="BX43" i="26"/>
  <c r="AW35" i="26"/>
  <c r="AW44" i="26"/>
  <c r="BM47" i="27"/>
  <c r="BM67" i="27"/>
  <c r="BT34" i="26"/>
  <c r="BT43" i="26"/>
  <c r="BY34" i="26"/>
  <c r="BY43" i="26"/>
  <c r="CE34" i="26"/>
  <c r="CE43" i="26"/>
  <c r="EG32" i="26"/>
  <c r="EG41" i="26"/>
  <c r="BD32" i="26"/>
  <c r="BD41" i="26"/>
  <c r="BB32" i="26"/>
  <c r="BB41" i="26"/>
  <c r="BL32" i="26"/>
  <c r="BL41" i="26"/>
  <c r="EW67" i="27"/>
  <c r="EW72" i="27"/>
  <c r="EW74" i="27"/>
  <c r="FK159" i="39"/>
  <c r="CT32" i="26"/>
  <c r="CT41" i="26"/>
  <c r="FF30" i="26"/>
  <c r="FF39" i="26"/>
  <c r="FF31" i="26"/>
  <c r="FF40" i="26"/>
  <c r="DK32" i="26"/>
  <c r="DK41" i="26"/>
  <c r="EM30" i="26"/>
  <c r="EM39" i="26"/>
  <c r="L46" i="26"/>
  <c r="FB32" i="26"/>
  <c r="FB41" i="26"/>
  <c r="FD35" i="26"/>
  <c r="FD44" i="26"/>
  <c r="AW68" i="27"/>
  <c r="AW73" i="27"/>
  <c r="AW53" i="27"/>
  <c r="CD202" i="34"/>
  <c r="CD207" i="39"/>
  <c r="DH29" i="26"/>
  <c r="DH38" i="26"/>
  <c r="CX34" i="26"/>
  <c r="CX43" i="26"/>
  <c r="DS29" i="26"/>
  <c r="DS38" i="26"/>
  <c r="CO30" i="27"/>
  <c r="DC157" i="39"/>
  <c r="DQ33" i="24"/>
  <c r="DQ36" i="24"/>
  <c r="EG166" i="39"/>
  <c r="EG165" i="39"/>
  <c r="AD52" i="27"/>
  <c r="AD55" i="27"/>
  <c r="AD67" i="27"/>
  <c r="AD72" i="27"/>
  <c r="BD207" i="39"/>
  <c r="BD202" i="34"/>
  <c r="T46" i="26"/>
  <c r="BE31" i="26"/>
  <c r="BE40" i="26"/>
  <c r="BA186" i="34"/>
  <c r="BA191" i="39"/>
  <c r="CI161" i="34"/>
  <c r="CI166" i="39"/>
  <c r="BK168" i="34"/>
  <c r="BK173" i="39"/>
  <c r="CJ161" i="34"/>
  <c r="CJ166" i="39"/>
  <c r="EI52" i="27"/>
  <c r="EI55" i="27"/>
  <c r="EW158" i="39"/>
  <c r="EI67" i="27"/>
  <c r="EI72" i="27"/>
  <c r="EI74" i="27"/>
  <c r="EW159" i="39"/>
  <c r="AW173" i="39"/>
  <c r="AW168" i="34"/>
  <c r="EJ165" i="39"/>
  <c r="DT33" i="24"/>
  <c r="DT36" i="24"/>
  <c r="EJ166" i="39"/>
  <c r="BV165" i="39"/>
  <c r="BF33" i="24"/>
  <c r="BF36" i="24"/>
  <c r="BV160" i="34"/>
  <c r="DG164" i="39"/>
  <c r="DG159" i="34"/>
  <c r="BL193" i="39"/>
  <c r="BL188" i="34"/>
  <c r="DC165" i="39"/>
  <c r="DC160" i="34"/>
  <c r="CM33" i="24"/>
  <c r="CM36" i="24"/>
  <c r="CG164" i="39"/>
  <c r="CG159" i="34"/>
  <c r="CW173" i="39"/>
  <c r="EF33" i="26"/>
  <c r="EF42" i="26"/>
  <c r="P215" i="31"/>
  <c r="P221" i="31"/>
  <c r="P223" i="31"/>
  <c r="FX199" i="58"/>
  <c r="BE29" i="26"/>
  <c r="BE38" i="26"/>
  <c r="CE68" i="27"/>
  <c r="CE73" i="27"/>
  <c r="EK31" i="26"/>
  <c r="EK40" i="26"/>
  <c r="FE33" i="26"/>
  <c r="FE42" i="26"/>
  <c r="D231" i="25"/>
  <c r="CF173" i="34"/>
  <c r="BT29" i="26"/>
  <c r="BT38" i="26"/>
  <c r="EF165" i="39"/>
  <c r="DS34" i="26"/>
  <c r="DS43" i="26"/>
  <c r="EF30" i="26"/>
  <c r="EF39" i="26"/>
  <c r="CW33" i="26"/>
  <c r="CW42" i="26"/>
  <c r="CI165" i="39"/>
  <c r="BM191" i="39"/>
  <c r="AN53" i="27"/>
  <c r="AN55" i="27"/>
  <c r="BV71" i="24"/>
  <c r="CL168" i="34"/>
  <c r="CG34" i="26"/>
  <c r="CG43" i="26"/>
  <c r="AZ168" i="34"/>
  <c r="DS30" i="26"/>
  <c r="DS39" i="26"/>
  <c r="CG32" i="26"/>
  <c r="CG41" i="26"/>
  <c r="BU47" i="27"/>
  <c r="BU67" i="27"/>
  <c r="FA52" i="27"/>
  <c r="AQ173" i="39"/>
  <c r="EF32" i="26"/>
  <c r="EF41" i="26"/>
  <c r="AO25" i="27"/>
  <c r="AO30" i="27"/>
  <c r="CO45" i="27"/>
  <c r="CO50" i="27"/>
  <c r="EE36" i="24"/>
  <c r="EU166" i="39"/>
  <c r="AL71" i="24"/>
  <c r="BC165" i="39"/>
  <c r="BC160" i="34"/>
  <c r="AM33" i="24"/>
  <c r="AM36" i="24"/>
  <c r="DW53" i="27"/>
  <c r="DW68" i="27"/>
  <c r="DW73" i="27"/>
  <c r="DE159" i="34"/>
  <c r="DE164" i="39"/>
  <c r="BC188" i="34"/>
  <c r="BC193" i="39"/>
  <c r="CN186" i="34"/>
  <c r="CN191" i="39"/>
  <c r="BM159" i="34"/>
  <c r="BM164" i="39"/>
  <c r="CL160" i="34"/>
  <c r="BV33" i="24"/>
  <c r="BV36" i="24"/>
  <c r="CL165" i="39"/>
  <c r="BJ160" i="34"/>
  <c r="BJ165" i="39"/>
  <c r="AT33" i="24"/>
  <c r="AT36" i="24"/>
  <c r="BN160" i="34"/>
  <c r="AX33" i="24"/>
  <c r="AX36" i="24"/>
  <c r="BN166" i="39"/>
  <c r="DB164" i="39"/>
  <c r="DB159" i="34"/>
  <c r="DO68" i="27"/>
  <c r="DO73" i="27"/>
  <c r="DO53" i="27"/>
  <c r="AY53" i="27"/>
  <c r="AY68" i="27"/>
  <c r="AY73" i="27"/>
  <c r="CO159" i="34"/>
  <c r="CO164" i="39"/>
  <c r="CU33" i="24"/>
  <c r="CU36" i="24"/>
  <c r="DK165" i="39"/>
  <c r="DK160" i="34"/>
  <c r="DM160" i="34"/>
  <c r="N215" i="31"/>
  <c r="N221" i="31"/>
  <c r="N223" i="31"/>
  <c r="FU208" i="39"/>
  <c r="FU192" i="39"/>
  <c r="BL187" i="34"/>
  <c r="I83" i="31"/>
  <c r="I90" i="31"/>
  <c r="I93" i="31"/>
  <c r="BL192" i="39"/>
  <c r="AD73" i="27"/>
  <c r="M44" i="28"/>
  <c r="M50" i="28"/>
  <c r="M53" i="28"/>
  <c r="BB159" i="34"/>
  <c r="BB164" i="39"/>
  <c r="CS164" i="39"/>
  <c r="CS159" i="34"/>
  <c r="BY159" i="34"/>
  <c r="BY164" i="39"/>
  <c r="CQ36" i="24"/>
  <c r="AF36" i="24"/>
  <c r="AV161" i="34"/>
  <c r="FC34" i="26"/>
  <c r="FC43" i="26"/>
  <c r="BO165" i="39"/>
  <c r="ET29" i="26"/>
  <c r="ET38" i="26"/>
  <c r="CP33" i="24"/>
  <c r="BU173" i="39"/>
  <c r="DE45" i="27"/>
  <c r="DE50" i="27"/>
  <c r="BN32" i="26"/>
  <c r="BN41" i="26"/>
  <c r="CN36" i="24"/>
  <c r="DD166" i="39"/>
  <c r="CS193" i="39"/>
  <c r="CH36" i="24"/>
  <c r="CX161" i="34"/>
  <c r="FC35" i="26"/>
  <c r="FC44" i="26"/>
  <c r="FC32" i="26"/>
  <c r="FC41" i="26"/>
  <c r="CZ35" i="26"/>
  <c r="CZ44" i="26"/>
  <c r="FV178" i="39"/>
  <c r="CE33" i="24"/>
  <c r="CE36" i="24"/>
  <c r="CU166" i="39"/>
  <c r="CP172" i="34"/>
  <c r="DZ52" i="27"/>
  <c r="DZ55" i="27"/>
  <c r="EN158" i="39"/>
  <c r="DE168" i="34"/>
  <c r="DS33" i="26"/>
  <c r="DS42" i="26"/>
  <c r="CP161" i="34"/>
  <c r="DC159" i="34"/>
  <c r="DI166" i="39"/>
  <c r="BF29" i="26"/>
  <c r="BF38" i="26"/>
  <c r="BB35" i="26"/>
  <c r="BB44" i="26"/>
  <c r="BE32" i="26"/>
  <c r="BE41" i="26"/>
  <c r="BP32" i="26"/>
  <c r="BP41" i="26"/>
  <c r="CL35" i="26"/>
  <c r="CL44" i="26"/>
  <c r="CL34" i="26"/>
  <c r="CL43" i="26"/>
  <c r="AE32" i="26"/>
  <c r="AE41" i="26"/>
  <c r="AE35" i="26"/>
  <c r="AE44" i="26"/>
  <c r="EK30" i="26"/>
  <c r="EK39" i="26"/>
  <c r="FE35" i="26"/>
  <c r="FE44" i="26"/>
  <c r="DS45" i="27"/>
  <c r="DS50" i="27"/>
  <c r="CE25" i="27"/>
  <c r="BN31" i="26"/>
  <c r="BN40" i="26"/>
  <c r="CZ31" i="26"/>
  <c r="CZ40" i="26"/>
  <c r="EF34" i="26"/>
  <c r="EF43" i="26"/>
  <c r="BR174" i="34"/>
  <c r="DA159" i="34"/>
  <c r="DS35" i="26"/>
  <c r="DS44" i="26"/>
  <c r="BP187" i="34"/>
  <c r="M83" i="31"/>
  <c r="M90" i="31"/>
  <c r="M93" i="31"/>
  <c r="N228" i="25"/>
  <c r="N231" i="25"/>
  <c r="DI173" i="39"/>
  <c r="BX45" i="27"/>
  <c r="BX50" i="27"/>
  <c r="AS32" i="26"/>
  <c r="AS41" i="26"/>
  <c r="L77" i="31"/>
  <c r="CG30" i="26"/>
  <c r="CG39" i="26"/>
  <c r="DE203" i="34"/>
  <c r="EF29" i="26"/>
  <c r="EF38" i="26"/>
  <c r="CK27" i="27"/>
  <c r="DE27" i="27"/>
  <c r="DE30" i="27"/>
  <c r="DS157" i="39"/>
  <c r="CG29" i="26"/>
  <c r="CG38" i="26"/>
  <c r="EM47" i="27"/>
  <c r="EM52" i="27"/>
  <c r="EM55" i="27"/>
  <c r="FA158" i="39"/>
  <c r="DP25" i="27"/>
  <c r="DP30" i="27"/>
  <c r="ED157" i="39"/>
  <c r="FH47" i="27"/>
  <c r="FH67" i="27"/>
  <c r="FH72" i="27"/>
  <c r="BO27" i="27"/>
  <c r="BO30" i="27"/>
  <c r="AR168" i="34"/>
  <c r="CZ33" i="24"/>
  <c r="CZ36" i="24"/>
  <c r="DP166" i="39"/>
  <c r="L545" i="25"/>
  <c r="CA174" i="34"/>
  <c r="EF25" i="27"/>
  <c r="EF30" i="27"/>
  <c r="ET157" i="39"/>
  <c r="FE34" i="26"/>
  <c r="FE43" i="26"/>
  <c r="CD33" i="24"/>
  <c r="CD36" i="24"/>
  <c r="CT165" i="39"/>
  <c r="CT160" i="34"/>
  <c r="BJ33" i="24"/>
  <c r="BZ160" i="34"/>
  <c r="AL33" i="24"/>
  <c r="AL36" i="24"/>
  <c r="BB165" i="39"/>
  <c r="BW33" i="24"/>
  <c r="BW36" i="24"/>
  <c r="CM166" i="39"/>
  <c r="CM165" i="39"/>
  <c r="AX160" i="34"/>
  <c r="AX165" i="39"/>
  <c r="AH33" i="24"/>
  <c r="EJ68" i="27"/>
  <c r="EJ73" i="27"/>
  <c r="EJ53" i="27"/>
  <c r="BP186" i="34"/>
  <c r="BP191" i="39"/>
  <c r="BC186" i="34"/>
  <c r="BC191" i="39"/>
  <c r="AY165" i="39"/>
  <c r="AY160" i="34"/>
  <c r="FC30" i="26"/>
  <c r="FC39" i="26"/>
  <c r="CU160" i="34"/>
  <c r="BE34" i="26"/>
  <c r="BE43" i="26"/>
  <c r="BP34" i="26"/>
  <c r="BP43" i="26"/>
  <c r="CL32" i="26"/>
  <c r="CL41" i="26"/>
  <c r="CM30" i="26"/>
  <c r="CM39" i="26"/>
  <c r="AG31" i="26"/>
  <c r="AG40" i="26"/>
  <c r="AE34" i="26"/>
  <c r="AE43" i="26"/>
  <c r="AE30" i="26"/>
  <c r="AE39" i="26"/>
  <c r="CX33" i="26"/>
  <c r="CX42" i="26"/>
  <c r="AH36" i="24"/>
  <c r="AX161" i="34"/>
  <c r="CM160" i="34"/>
  <c r="CI164" i="39"/>
  <c r="CZ29" i="26"/>
  <c r="CZ38" i="26"/>
  <c r="FC33" i="26"/>
  <c r="FC42" i="26"/>
  <c r="CP177" i="39"/>
  <c r="BX161" i="34"/>
  <c r="BL68" i="27"/>
  <c r="BL73" i="27"/>
  <c r="CL186" i="34"/>
  <c r="CP168" i="34"/>
  <c r="DE166" i="39"/>
  <c r="BK208" i="39"/>
  <c r="BW207" i="39"/>
  <c r="BB30" i="26"/>
  <c r="BB39" i="26"/>
  <c r="BE30" i="26"/>
  <c r="BE39" i="26"/>
  <c r="BP30" i="26"/>
  <c r="BP39" i="26"/>
  <c r="CL33" i="26"/>
  <c r="CL42" i="26"/>
  <c r="AL30" i="26"/>
  <c r="AL39" i="26"/>
  <c r="AG33" i="26"/>
  <c r="AG42" i="26"/>
  <c r="DR25" i="27"/>
  <c r="DR30" i="27"/>
  <c r="EF157" i="39"/>
  <c r="EK29" i="26"/>
  <c r="EK38" i="26"/>
  <c r="FE30" i="26"/>
  <c r="FE39" i="26"/>
  <c r="BN34" i="26"/>
  <c r="BN43" i="26"/>
  <c r="DK208" i="39"/>
  <c r="DH31" i="26"/>
  <c r="DH40" i="26"/>
  <c r="DP68" i="27"/>
  <c r="DP73" i="27"/>
  <c r="BO55" i="27"/>
  <c r="DD47" i="27"/>
  <c r="DD52" i="27"/>
  <c r="EN53" i="27"/>
  <c r="AL67" i="27"/>
  <c r="AL72" i="27"/>
  <c r="CQ53" i="27"/>
  <c r="EL45" i="27"/>
  <c r="EL50" i="27"/>
  <c r="L551" i="25"/>
  <c r="CM179" i="39"/>
  <c r="EM25" i="27"/>
  <c r="EM30" i="27"/>
  <c r="FA157" i="39"/>
  <c r="BJ36" i="24"/>
  <c r="BZ161" i="34"/>
  <c r="DI203" i="34"/>
  <c r="EB179" i="39"/>
  <c r="BD36" i="24"/>
  <c r="Z46" i="26"/>
  <c r="BC179" i="39"/>
  <c r="BC174" i="34"/>
  <c r="AL168" i="34"/>
  <c r="AL173" i="39"/>
  <c r="AG160" i="34"/>
  <c r="AG165" i="39"/>
  <c r="Q33" i="24"/>
  <c r="Q36" i="24"/>
  <c r="BX168" i="34"/>
  <c r="CV27" i="27"/>
  <c r="CV30" i="27"/>
  <c r="DJ157" i="39"/>
  <c r="DS31" i="26"/>
  <c r="DS40" i="26"/>
  <c r="DW32" i="26"/>
  <c r="DW41" i="26"/>
  <c r="BG27" i="27"/>
  <c r="BG30" i="27"/>
  <c r="BU157" i="39"/>
  <c r="BT32" i="26"/>
  <c r="BT41" i="26"/>
  <c r="BJ35" i="26"/>
  <c r="BJ44" i="26"/>
  <c r="BP25" i="27"/>
  <c r="L149" i="28"/>
  <c r="L152" i="28"/>
  <c r="CG172" i="34"/>
  <c r="AS160" i="34"/>
  <c r="N55" i="27"/>
  <c r="DM192" i="34"/>
  <c r="AS192" i="34"/>
  <c r="AS197" i="39"/>
  <c r="AA33" i="24"/>
  <c r="AA36" i="24"/>
  <c r="AQ165" i="39"/>
  <c r="AQ160" i="34"/>
  <c r="DS32" i="26"/>
  <c r="DS41" i="26"/>
  <c r="BT33" i="26"/>
  <c r="BT42" i="26"/>
  <c r="AY35" i="26"/>
  <c r="AY44" i="26"/>
  <c r="EU27" i="27"/>
  <c r="EU30" i="27"/>
  <c r="FI157" i="39"/>
  <c r="AV33" i="26"/>
  <c r="AV42" i="26"/>
  <c r="EA31" i="26"/>
  <c r="EA40" i="26"/>
  <c r="CE32" i="26"/>
  <c r="CE41" i="26"/>
  <c r="BV208" i="39"/>
  <c r="BV203" i="34"/>
  <c r="CK168" i="34"/>
  <c r="CK173" i="39"/>
  <c r="CK161" i="34"/>
  <c r="CK166" i="39"/>
  <c r="AJ30" i="27"/>
  <c r="AX152" i="34"/>
  <c r="AK159" i="34"/>
  <c r="AK164" i="39"/>
  <c r="AG159" i="34"/>
  <c r="AG164" i="39"/>
  <c r="S33" i="24"/>
  <c r="S36" i="24"/>
  <c r="AI160" i="34"/>
  <c r="AI165" i="39"/>
  <c r="AA160" i="34"/>
  <c r="K33" i="24"/>
  <c r="K36" i="24"/>
  <c r="AA165" i="39"/>
  <c r="EF33" i="24"/>
  <c r="EF36" i="24"/>
  <c r="EV166" i="39"/>
  <c r="EV165" i="39"/>
  <c r="AG168" i="34"/>
  <c r="AG173" i="39"/>
  <c r="AM168" i="34"/>
  <c r="AM173" i="39"/>
  <c r="AA168" i="34"/>
  <c r="AA173" i="39"/>
  <c r="Y159" i="34"/>
  <c r="Y164" i="39"/>
  <c r="AH161" i="34"/>
  <c r="AH166" i="39"/>
  <c r="Y161" i="34"/>
  <c r="Y166" i="39"/>
  <c r="AT202" i="34"/>
  <c r="AT207" i="39"/>
  <c r="AI159" i="34"/>
  <c r="AI164" i="39"/>
  <c r="AC165" i="39"/>
  <c r="M33" i="24"/>
  <c r="M36" i="24"/>
  <c r="AC160" i="34"/>
  <c r="AI173" i="39"/>
  <c r="AI168" i="34"/>
  <c r="AM159" i="34"/>
  <c r="AM164" i="39"/>
  <c r="AA159" i="34"/>
  <c r="AA164" i="39"/>
  <c r="Y173" i="39"/>
  <c r="Y168" i="34"/>
  <c r="AR161" i="34"/>
  <c r="AR166" i="39"/>
  <c r="Z161" i="34"/>
  <c r="Z166" i="39"/>
  <c r="BV192" i="34"/>
  <c r="BV197" i="39"/>
  <c r="AK161" i="34"/>
  <c r="AK166" i="39"/>
  <c r="BD40" i="43"/>
  <c r="BD24" i="43"/>
  <c r="BD22" i="43"/>
  <c r="BD20" i="43"/>
  <c r="BD41" i="43"/>
  <c r="BD25" i="43"/>
  <c r="BD23" i="43"/>
  <c r="BD21" i="43"/>
  <c r="BD42" i="43"/>
  <c r="BG67" i="27"/>
  <c r="BG72" i="27"/>
  <c r="BG74" i="27"/>
  <c r="BG52" i="27"/>
  <c r="EE30" i="27"/>
  <c r="ES157" i="39"/>
  <c r="EY25" i="27"/>
  <c r="EY30" i="27"/>
  <c r="FM157" i="39"/>
  <c r="EF67" i="27"/>
  <c r="EF72" i="27"/>
  <c r="CQ25" i="27"/>
  <c r="EJ47" i="27"/>
  <c r="EJ67" i="27"/>
  <c r="EJ72" i="27"/>
  <c r="CA47" i="27"/>
  <c r="BQ30" i="27"/>
  <c r="CE152" i="34"/>
  <c r="AM30" i="27"/>
  <c r="BA152" i="34"/>
  <c r="FI67" i="27"/>
  <c r="FI72" i="27"/>
  <c r="DV45" i="27"/>
  <c r="DV50" i="27"/>
  <c r="BB183" i="39"/>
  <c r="EE45" i="27"/>
  <c r="EE50" i="27"/>
  <c r="EE52" i="27"/>
  <c r="BY68" i="27"/>
  <c r="BY73" i="27"/>
  <c r="CW45" i="27"/>
  <c r="CW50" i="27"/>
  <c r="DM25" i="27"/>
  <c r="DM30" i="27"/>
  <c r="EA157" i="39"/>
  <c r="CM25" i="27"/>
  <c r="CM30" i="27"/>
  <c r="DA152" i="34"/>
  <c r="AW166" i="39"/>
  <c r="AW161" i="34"/>
  <c r="AN74" i="27"/>
  <c r="BB159" i="39"/>
  <c r="G215" i="25"/>
  <c r="BK178" i="39"/>
  <c r="AU202" i="34"/>
  <c r="AU207" i="39"/>
  <c r="AS161" i="34"/>
  <c r="AS166" i="39"/>
  <c r="AT188" i="34"/>
  <c r="AT193" i="39"/>
  <c r="FQ192" i="39"/>
  <c r="J215" i="31"/>
  <c r="J221" i="31"/>
  <c r="J223" i="31"/>
  <c r="FQ208" i="39"/>
  <c r="K25" i="44"/>
  <c r="AA46" i="26"/>
  <c r="W46" i="26"/>
  <c r="U46" i="26"/>
  <c r="G46" i="26"/>
  <c r="K46" i="26"/>
  <c r="AE33" i="24"/>
  <c r="AE36" i="24"/>
  <c r="AU160" i="34"/>
  <c r="AU165" i="39"/>
  <c r="DA202" i="34"/>
  <c r="DA207" i="39"/>
  <c r="EM165" i="39"/>
  <c r="DW33" i="24"/>
  <c r="DW36" i="24"/>
  <c r="EM166" i="39"/>
  <c r="AS202" i="34"/>
  <c r="AS207" i="39"/>
  <c r="AV197" i="39"/>
  <c r="AV192" i="34"/>
  <c r="AZ52" i="27"/>
  <c r="AZ67" i="27"/>
  <c r="AZ72" i="27"/>
  <c r="AZ74" i="27"/>
  <c r="DY68" i="27"/>
  <c r="DY73" i="27"/>
  <c r="DY53" i="27"/>
  <c r="DY55" i="27"/>
  <c r="EM158" i="39"/>
  <c r="DD30" i="27"/>
  <c r="DR157" i="39"/>
  <c r="BT25" i="27"/>
  <c r="BT30" i="27"/>
  <c r="CH157" i="39"/>
  <c r="BT52" i="27"/>
  <c r="BT55" i="27"/>
  <c r="AM55" i="27"/>
  <c r="BA158" i="39"/>
  <c r="CY47" i="27"/>
  <c r="CY52" i="27"/>
  <c r="EY68" i="27"/>
  <c r="EY73" i="27"/>
  <c r="AX30" i="27"/>
  <c r="BL157" i="39"/>
  <c r="BJ30" i="27"/>
  <c r="BX157" i="39"/>
  <c r="FA30" i="27"/>
  <c r="FO157" i="39"/>
  <c r="AS53" i="27"/>
  <c r="AS68" i="27"/>
  <c r="AS73" i="27"/>
  <c r="CF52" i="27"/>
  <c r="CO72" i="27"/>
  <c r="BK30" i="27"/>
  <c r="BY157" i="39"/>
  <c r="CO52" i="27"/>
  <c r="AZ27" i="27"/>
  <c r="AZ30" i="27"/>
  <c r="BN157" i="39"/>
  <c r="BG45" i="27"/>
  <c r="BG50" i="27"/>
  <c r="AK68" i="27"/>
  <c r="AK73" i="27"/>
  <c r="AK74" i="27"/>
  <c r="AK53" i="27"/>
  <c r="CW68" i="27"/>
  <c r="CW73" i="27"/>
  <c r="CW53" i="27"/>
  <c r="DA47" i="27"/>
  <c r="DA67" i="27"/>
  <c r="EC53" i="27"/>
  <c r="EC68" i="27"/>
  <c r="EC73" i="27"/>
  <c r="CJ55" i="27"/>
  <c r="CX153" i="34"/>
  <c r="BO208" i="39"/>
  <c r="EU67" i="27"/>
  <c r="EU72" i="27"/>
  <c r="EU52" i="27"/>
  <c r="CZ47" i="27"/>
  <c r="CZ27" i="27"/>
  <c r="CZ30" i="27"/>
  <c r="DN157" i="39"/>
  <c r="EC34" i="26"/>
  <c r="EC43" i="26"/>
  <c r="AY31" i="26"/>
  <c r="AY40" i="26"/>
  <c r="DA30" i="27"/>
  <c r="DO157" i="39"/>
  <c r="BD52" i="27"/>
  <c r="BD55" i="27"/>
  <c r="BD67" i="27"/>
  <c r="AT33" i="26"/>
  <c r="AT42" i="26"/>
  <c r="AY32" i="26"/>
  <c r="AY41" i="26"/>
  <c r="DH35" i="26"/>
  <c r="DH44" i="26"/>
  <c r="FA34" i="26"/>
  <c r="FA43" i="26"/>
  <c r="BJ31" i="26"/>
  <c r="BJ40" i="26"/>
  <c r="BD34" i="26"/>
  <c r="BD43" i="26"/>
  <c r="BF30" i="26"/>
  <c r="BF39" i="26"/>
  <c r="BH52" i="27"/>
  <c r="BH67" i="27"/>
  <c r="AF68" i="27"/>
  <c r="AF53" i="27"/>
  <c r="CP32" i="26"/>
  <c r="CP41" i="26"/>
  <c r="AX35" i="26"/>
  <c r="AX44" i="26"/>
  <c r="BY27" i="27"/>
  <c r="BY30" i="27"/>
  <c r="BY47" i="27"/>
  <c r="EV47" i="27"/>
  <c r="EV27" i="27"/>
  <c r="EV30" i="27"/>
  <c r="FJ157" i="39"/>
  <c r="E136" i="28"/>
  <c r="DD183" i="39"/>
  <c r="BO32" i="26"/>
  <c r="BO41" i="26"/>
  <c r="CR32" i="26"/>
  <c r="CR41" i="26"/>
  <c r="CD29" i="26"/>
  <c r="CD38" i="26"/>
  <c r="EY55" i="27"/>
  <c r="FM158" i="39"/>
  <c r="CT30" i="26"/>
  <c r="CT39" i="26"/>
  <c r="CX35" i="26"/>
  <c r="CX44" i="26"/>
  <c r="BB34" i="26"/>
  <c r="BB43" i="26"/>
  <c r="BK33" i="26"/>
  <c r="BK42" i="26"/>
  <c r="CI30" i="26"/>
  <c r="CI39" i="26"/>
  <c r="EG33" i="26"/>
  <c r="EG42" i="26"/>
  <c r="CI34" i="26"/>
  <c r="CI43" i="26"/>
  <c r="ES30" i="26"/>
  <c r="ES39" i="26"/>
  <c r="CN174" i="34"/>
  <c r="E223" i="25"/>
  <c r="BU173" i="34"/>
  <c r="CB158" i="39"/>
  <c r="FB29" i="26"/>
  <c r="FB38" i="26"/>
  <c r="F207" i="25"/>
  <c r="AX178" i="39"/>
  <c r="FV184" i="39"/>
  <c r="O215" i="25"/>
  <c r="BS173" i="34"/>
  <c r="BW173" i="34"/>
  <c r="BW178" i="39"/>
  <c r="CW31" i="26"/>
  <c r="CW40" i="26"/>
  <c r="BA154" i="34"/>
  <c r="BD35" i="26"/>
  <c r="BD44" i="26"/>
  <c r="DX34" i="26"/>
  <c r="DX43" i="26"/>
  <c r="EP33" i="26"/>
  <c r="EP42" i="26"/>
  <c r="BJ33" i="26"/>
  <c r="BJ42" i="26"/>
  <c r="BF35" i="26"/>
  <c r="BF44" i="26"/>
  <c r="DX35" i="26"/>
  <c r="DX44" i="26"/>
  <c r="BK34" i="26"/>
  <c r="BK43" i="26"/>
  <c r="DK45" i="27"/>
  <c r="DK50" i="27"/>
  <c r="CE33" i="26"/>
  <c r="CE42" i="26"/>
  <c r="AP34" i="26"/>
  <c r="AP43" i="26"/>
  <c r="CE29" i="26"/>
  <c r="CE38" i="26"/>
  <c r="CT45" i="27"/>
  <c r="CT50" i="27"/>
  <c r="CE35" i="26"/>
  <c r="CE44" i="26"/>
  <c r="N223" i="25"/>
  <c r="CD178" i="39"/>
  <c r="BJ178" i="39"/>
  <c r="G239" i="25"/>
  <c r="CU178" i="39"/>
  <c r="CW32" i="26"/>
  <c r="CW41" i="26"/>
  <c r="CI32" i="26"/>
  <c r="CI41" i="26"/>
  <c r="AQ30" i="26"/>
  <c r="AQ39" i="26"/>
  <c r="AP31" i="26"/>
  <c r="AP40" i="26"/>
  <c r="AY178" i="34"/>
  <c r="CX30" i="26"/>
  <c r="CX39" i="26"/>
  <c r="CD35" i="26"/>
  <c r="CD44" i="26"/>
  <c r="BD30" i="26"/>
  <c r="BD39" i="26"/>
  <c r="BD33" i="26"/>
  <c r="BD42" i="26"/>
  <c r="BF34" i="26"/>
  <c r="BF43" i="26"/>
  <c r="BF33" i="26"/>
  <c r="BF42" i="26"/>
  <c r="DX29" i="26"/>
  <c r="DX38" i="26"/>
  <c r="BI32" i="26"/>
  <c r="BI41" i="26"/>
  <c r="DQ34" i="26"/>
  <c r="DQ43" i="26"/>
  <c r="DQ31" i="26"/>
  <c r="DQ40" i="26"/>
  <c r="BB33" i="26"/>
  <c r="BB42" i="26"/>
  <c r="BP29" i="26"/>
  <c r="BP38" i="26"/>
  <c r="CR25" i="27"/>
  <c r="BO33" i="26"/>
  <c r="BO42" i="26"/>
  <c r="BO34" i="26"/>
  <c r="BO43" i="26"/>
  <c r="AG34" i="26"/>
  <c r="AG43" i="26"/>
  <c r="AG32" i="26"/>
  <c r="AG41" i="26"/>
  <c r="BC178" i="39"/>
  <c r="FD29" i="26"/>
  <c r="FD38" i="26"/>
  <c r="FD32" i="26"/>
  <c r="FD41" i="26"/>
  <c r="EK34" i="26"/>
  <c r="EK43" i="26"/>
  <c r="EK32" i="26"/>
  <c r="EK41" i="26"/>
  <c r="BN30" i="26"/>
  <c r="BN39" i="26"/>
  <c r="BN29" i="26"/>
  <c r="BN38" i="26"/>
  <c r="CI35" i="26"/>
  <c r="CI44" i="26"/>
  <c r="H215" i="25"/>
  <c r="BL173" i="34"/>
  <c r="BP35" i="26"/>
  <c r="BP44" i="26"/>
  <c r="AS35" i="26"/>
  <c r="AS44" i="26"/>
  <c r="CP33" i="26"/>
  <c r="CP42" i="26"/>
  <c r="CP29" i="26"/>
  <c r="CP38" i="26"/>
  <c r="CX29" i="26"/>
  <c r="CX38" i="26"/>
  <c r="AQ179" i="39"/>
  <c r="CD34" i="26"/>
  <c r="CD43" i="26"/>
  <c r="O551" i="25"/>
  <c r="CP179" i="39"/>
  <c r="AX34" i="26"/>
  <c r="AX43" i="26"/>
  <c r="CK174" i="34"/>
  <c r="BE25" i="27"/>
  <c r="BJ30" i="26"/>
  <c r="BJ39" i="26"/>
  <c r="E551" i="25"/>
  <c r="CF179" i="39"/>
  <c r="AP30" i="26"/>
  <c r="AP39" i="26"/>
  <c r="DK29" i="26"/>
  <c r="DK38" i="26"/>
  <c r="CR34" i="26"/>
  <c r="CR43" i="26"/>
  <c r="AS30" i="26"/>
  <c r="AS39" i="26"/>
  <c r="BJ29" i="26"/>
  <c r="BJ38" i="26"/>
  <c r="BV32" i="26"/>
  <c r="BV41" i="26"/>
  <c r="CE31" i="26"/>
  <c r="CE40" i="26"/>
  <c r="BJ32" i="26"/>
  <c r="BJ41" i="26"/>
  <c r="CR178" i="39"/>
  <c r="CI174" i="34"/>
  <c r="N149" i="28"/>
  <c r="N152" i="28"/>
  <c r="J569" i="25"/>
  <c r="DU179" i="39"/>
  <c r="AP33" i="26"/>
  <c r="AP42" i="26"/>
  <c r="DF31" i="26"/>
  <c r="DF40" i="26"/>
  <c r="BD31" i="26"/>
  <c r="BD40" i="26"/>
  <c r="FD34" i="26"/>
  <c r="FD43" i="26"/>
  <c r="FD30" i="26"/>
  <c r="FD39" i="26"/>
  <c r="CP35" i="26"/>
  <c r="CP44" i="26"/>
  <c r="CR35" i="26"/>
  <c r="CR44" i="26"/>
  <c r="DU29" i="26"/>
  <c r="DU38" i="26"/>
  <c r="H223" i="25"/>
  <c r="BX173" i="34"/>
  <c r="AT29" i="26"/>
  <c r="AT38" i="26"/>
  <c r="AT32" i="26"/>
  <c r="AT41" i="26"/>
  <c r="CI33" i="26"/>
  <c r="CI42" i="26"/>
  <c r="AQ32" i="26"/>
  <c r="AQ41" i="26"/>
  <c r="CP30" i="26"/>
  <c r="CP39" i="26"/>
  <c r="BD29" i="26"/>
  <c r="BD38" i="26"/>
  <c r="DZ25" i="27"/>
  <c r="DZ30" i="27"/>
  <c r="EN157" i="39"/>
  <c r="BF31" i="26"/>
  <c r="BF40" i="26"/>
  <c r="DX31" i="26"/>
  <c r="DX40" i="26"/>
  <c r="BI29" i="26"/>
  <c r="BI38" i="26"/>
  <c r="DQ33" i="26"/>
  <c r="DQ42" i="26"/>
  <c r="BB31" i="26"/>
  <c r="BB40" i="26"/>
  <c r="BP31" i="26"/>
  <c r="BP40" i="26"/>
  <c r="BO31" i="26"/>
  <c r="BO40" i="26"/>
  <c r="AG29" i="26"/>
  <c r="AG38" i="26"/>
  <c r="BG29" i="26"/>
  <c r="BG38" i="26"/>
  <c r="BO179" i="39"/>
  <c r="CR31" i="26"/>
  <c r="CR40" i="26"/>
  <c r="BK29" i="26"/>
  <c r="BK38" i="26"/>
  <c r="N557" i="25"/>
  <c r="DA174" i="34"/>
  <c r="M254" i="25"/>
  <c r="DY178" i="39"/>
  <c r="AP29" i="26"/>
  <c r="AP38" i="26"/>
  <c r="BK32" i="26"/>
  <c r="BK41" i="26"/>
  <c r="AS33" i="26"/>
  <c r="AS42" i="26"/>
  <c r="EM33" i="26"/>
  <c r="EM42" i="26"/>
  <c r="BV33" i="26"/>
  <c r="BV42" i="26"/>
  <c r="DW45" i="27"/>
  <c r="DW50" i="27"/>
  <c r="BU174" i="34"/>
  <c r="CS178" i="39"/>
  <c r="CS173" i="34"/>
  <c r="CB173" i="34"/>
  <c r="CB178" i="39"/>
  <c r="AL31" i="26"/>
  <c r="AL40" i="26"/>
  <c r="CT33" i="26"/>
  <c r="CT42" i="26"/>
  <c r="CK31" i="26"/>
  <c r="CK40" i="26"/>
  <c r="AB34" i="26"/>
  <c r="AB43" i="26"/>
  <c r="CO30" i="26"/>
  <c r="CO39" i="26"/>
  <c r="AL29" i="26"/>
  <c r="AL38" i="26"/>
  <c r="CK32" i="26"/>
  <c r="CK41" i="26"/>
  <c r="EC45" i="27"/>
  <c r="EC50" i="27"/>
  <c r="AD29" i="26"/>
  <c r="AD38" i="26"/>
  <c r="BC32" i="26"/>
  <c r="BC41" i="26"/>
  <c r="BC35" i="26"/>
  <c r="BC44" i="26"/>
  <c r="H557" i="25"/>
  <c r="CU179" i="39"/>
  <c r="AX33" i="26"/>
  <c r="AX42" i="26"/>
  <c r="CO172" i="34"/>
  <c r="BF45" i="27"/>
  <c r="BF50" i="27"/>
  <c r="BY35" i="26"/>
  <c r="BY44" i="26"/>
  <c r="BY30" i="26"/>
  <c r="BY39" i="26"/>
  <c r="ED25" i="27"/>
  <c r="BV29" i="26"/>
  <c r="BV38" i="26"/>
  <c r="EM35" i="26"/>
  <c r="EM44" i="26"/>
  <c r="AT45" i="27"/>
  <c r="AT50" i="27"/>
  <c r="AL34" i="26"/>
  <c r="AL43" i="26"/>
  <c r="DW179" i="39"/>
  <c r="CQ172" i="34"/>
  <c r="AL25" i="27"/>
  <c r="AL30" i="27"/>
  <c r="F563" i="25"/>
  <c r="DE174" i="34"/>
  <c r="E247" i="25"/>
  <c r="DE178" i="39"/>
  <c r="EN32" i="26"/>
  <c r="EN41" i="26"/>
  <c r="DD179" i="39"/>
  <c r="DY33" i="26"/>
  <c r="DY42" i="26"/>
  <c r="I551" i="25"/>
  <c r="CJ174" i="34"/>
  <c r="DY35" i="26"/>
  <c r="DY44" i="26"/>
  <c r="DY32" i="26"/>
  <c r="DY41" i="26"/>
  <c r="DL179" i="34"/>
  <c r="DM179" i="34"/>
  <c r="BI35" i="26"/>
  <c r="BI44" i="26"/>
  <c r="AB32" i="26"/>
  <c r="AB41" i="26"/>
  <c r="AB33" i="26"/>
  <c r="AB42" i="26"/>
  <c r="BK30" i="26"/>
  <c r="BK39" i="26"/>
  <c r="CO32" i="26"/>
  <c r="CO41" i="26"/>
  <c r="AL32" i="26"/>
  <c r="AL41" i="26"/>
  <c r="CK35" i="26"/>
  <c r="CK44" i="26"/>
  <c r="BC34" i="26"/>
  <c r="BC43" i="26"/>
  <c r="BC33" i="26"/>
  <c r="BC42" i="26"/>
  <c r="CT35" i="26"/>
  <c r="CT44" i="26"/>
  <c r="AS183" i="39"/>
  <c r="AX29" i="26"/>
  <c r="AX38" i="26"/>
  <c r="CC65" i="27"/>
  <c r="CC70" i="27"/>
  <c r="BY31" i="26"/>
  <c r="BY40" i="26"/>
  <c r="BV31" i="26"/>
  <c r="BV40" i="26"/>
  <c r="EM32" i="26"/>
  <c r="EM41" i="26"/>
  <c r="CT34" i="26"/>
  <c r="CT43" i="26"/>
  <c r="EM31" i="26"/>
  <c r="EM40" i="26"/>
  <c r="EL179" i="39"/>
  <c r="N207" i="25"/>
  <c r="BF173" i="34"/>
  <c r="M66" i="28"/>
  <c r="EQ35" i="26"/>
  <c r="EQ44" i="26"/>
  <c r="EQ30" i="26"/>
  <c r="EQ39" i="26"/>
  <c r="EY31" i="26"/>
  <c r="EY40" i="26"/>
  <c r="DE30" i="26"/>
  <c r="DE39" i="26"/>
  <c r="DY29" i="26"/>
  <c r="DY38" i="26"/>
  <c r="BI34" i="26"/>
  <c r="BI43" i="26"/>
  <c r="FB33" i="26"/>
  <c r="FB42" i="26"/>
  <c r="AB30" i="26"/>
  <c r="AB39" i="26"/>
  <c r="BK35" i="26"/>
  <c r="BK44" i="26"/>
  <c r="BK31" i="26"/>
  <c r="BK40" i="26"/>
  <c r="CO29" i="26"/>
  <c r="CO38" i="26"/>
  <c r="EN29" i="26"/>
  <c r="EN38" i="26"/>
  <c r="AL33" i="26"/>
  <c r="AL42" i="26"/>
  <c r="AU173" i="34"/>
  <c r="CZ174" i="34"/>
  <c r="DY31" i="26"/>
  <c r="DY40" i="26"/>
  <c r="BI31" i="26"/>
  <c r="BI40" i="26"/>
  <c r="CO31" i="26"/>
  <c r="CO40" i="26"/>
  <c r="CK30" i="26"/>
  <c r="CK39" i="26"/>
  <c r="BC30" i="26"/>
  <c r="BC39" i="26"/>
  <c r="BF30" i="27"/>
  <c r="BT152" i="34"/>
  <c r="FB35" i="26"/>
  <c r="FB44" i="26"/>
  <c r="BY29" i="26"/>
  <c r="BY38" i="26"/>
  <c r="BV35" i="26"/>
  <c r="BV44" i="26"/>
  <c r="BV30" i="26"/>
  <c r="BV39" i="26"/>
  <c r="EM34" i="26"/>
  <c r="EM43" i="26"/>
  <c r="BS174" i="34"/>
  <c r="FA45" i="27"/>
  <c r="FA50" i="27"/>
  <c r="E215" i="25"/>
  <c r="BI173" i="34"/>
  <c r="BY179" i="39"/>
  <c r="BY174" i="34"/>
  <c r="BW45" i="27"/>
  <c r="BW50" i="27"/>
  <c r="BW25" i="27"/>
  <c r="BW30" i="27"/>
  <c r="CK157" i="39"/>
  <c r="CM32" i="26"/>
  <c r="CM41" i="26"/>
  <c r="BI33" i="26"/>
  <c r="BI42" i="26"/>
  <c r="EG31" i="26"/>
  <c r="EG40" i="26"/>
  <c r="AS30" i="27"/>
  <c r="BG157" i="39"/>
  <c r="EG35" i="26"/>
  <c r="EG44" i="26"/>
  <c r="AS29" i="26"/>
  <c r="AS38" i="26"/>
  <c r="K539" i="25"/>
  <c r="BN179" i="39"/>
  <c r="BM25" i="27"/>
  <c r="BM30" i="27"/>
  <c r="CA152" i="34"/>
  <c r="EG29" i="26"/>
  <c r="EG38" i="26"/>
  <c r="P545" i="25"/>
  <c r="CE174" i="34"/>
  <c r="G254" i="25"/>
  <c r="DS178" i="39"/>
  <c r="N528" i="25"/>
  <c r="O231" i="25"/>
  <c r="CQ173" i="34"/>
  <c r="AE25" i="27"/>
  <c r="AE30" i="27"/>
  <c r="AS152" i="34"/>
  <c r="AE45" i="27"/>
  <c r="AE50" i="27"/>
  <c r="AB174" i="34"/>
  <c r="AB179" i="39"/>
  <c r="AY173" i="34"/>
  <c r="AY178" i="39"/>
  <c r="AU179" i="39"/>
  <c r="AS34" i="26"/>
  <c r="AS43" i="26"/>
  <c r="BA30" i="26"/>
  <c r="BA39" i="26"/>
  <c r="EG34" i="26"/>
  <c r="EG43" i="26"/>
  <c r="M239" i="25"/>
  <c r="DA173" i="34"/>
  <c r="BA33" i="26"/>
  <c r="BA42" i="26"/>
  <c r="AS45" i="27"/>
  <c r="AS50" i="27"/>
  <c r="FV183" i="39"/>
  <c r="ET25" i="27"/>
  <c r="ET30" i="27"/>
  <c r="FH157" i="39"/>
  <c r="DC25" i="27"/>
  <c r="DC30" i="27"/>
  <c r="DQ157" i="39"/>
  <c r="I207" i="25"/>
  <c r="BA173" i="34"/>
  <c r="AL174" i="34"/>
  <c r="K551" i="25"/>
  <c r="CL174" i="34"/>
  <c r="K239" i="25"/>
  <c r="CY178" i="39"/>
  <c r="ER25" i="27"/>
  <c r="ER30" i="27"/>
  <c r="FF157" i="39"/>
  <c r="M247" i="25"/>
  <c r="DM178" i="39"/>
  <c r="DC178" i="39"/>
  <c r="DC173" i="34"/>
  <c r="BG178" i="39"/>
  <c r="BG173" i="34"/>
  <c r="CQ174" i="34"/>
  <c r="CQ179" i="39"/>
  <c r="AQ178" i="39"/>
  <c r="AQ173" i="34"/>
  <c r="DK35" i="26"/>
  <c r="DK44" i="26"/>
  <c r="DK31" i="26"/>
  <c r="DK40" i="26"/>
  <c r="DW30" i="26"/>
  <c r="DW39" i="26"/>
  <c r="EZ29" i="26"/>
  <c r="EZ38" i="26"/>
  <c r="BL29" i="26"/>
  <c r="BL38" i="26"/>
  <c r="EI32" i="26"/>
  <c r="EI41" i="26"/>
  <c r="CM35" i="26"/>
  <c r="CM44" i="26"/>
  <c r="AD35" i="26"/>
  <c r="AD44" i="26"/>
  <c r="AR34" i="26"/>
  <c r="AR43" i="26"/>
  <c r="AR35" i="26"/>
  <c r="AR44" i="26"/>
  <c r="DU32" i="26"/>
  <c r="DU41" i="26"/>
  <c r="H149" i="28"/>
  <c r="H156" i="28"/>
  <c r="EE183" i="39"/>
  <c r="CE178" i="39"/>
  <c r="EH45" i="27"/>
  <c r="EH50" i="27"/>
  <c r="EH55" i="27"/>
  <c r="EV158" i="39"/>
  <c r="EJ179" i="39"/>
  <c r="AH46" i="26"/>
  <c r="AW175" i="34"/>
  <c r="EA45" i="27"/>
  <c r="EA50" i="27"/>
  <c r="G551" i="25"/>
  <c r="CH174" i="34"/>
  <c r="DF34" i="26"/>
  <c r="DF43" i="26"/>
  <c r="EW45" i="27"/>
  <c r="EW50" i="27"/>
  <c r="EW55" i="27"/>
  <c r="FK158" i="39"/>
  <c r="EW25" i="27"/>
  <c r="EW30" i="27"/>
  <c r="FK157" i="39"/>
  <c r="DU45" i="27"/>
  <c r="DU50" i="27"/>
  <c r="DU25" i="27"/>
  <c r="DU30" i="27"/>
  <c r="EI157" i="39"/>
  <c r="ET30" i="26"/>
  <c r="ET39" i="26"/>
  <c r="DA30" i="26"/>
  <c r="DA39" i="26"/>
  <c r="CX55" i="27"/>
  <c r="DL153" i="34"/>
  <c r="EI30" i="26"/>
  <c r="EI39" i="26"/>
  <c r="EI29" i="26"/>
  <c r="EI38" i="26"/>
  <c r="DA35" i="26"/>
  <c r="DA44" i="26"/>
  <c r="CM34" i="26"/>
  <c r="CM43" i="26"/>
  <c r="AD31" i="26"/>
  <c r="AD40" i="26"/>
  <c r="AR33" i="26"/>
  <c r="AR42" i="26"/>
  <c r="AR29" i="26"/>
  <c r="AR38" i="26"/>
  <c r="DU31" i="26"/>
  <c r="DU40" i="26"/>
  <c r="E139" i="28"/>
  <c r="E142" i="28"/>
  <c r="CV178" i="39"/>
  <c r="H247" i="25"/>
  <c r="DH178" i="39"/>
  <c r="DF30" i="26"/>
  <c r="DF39" i="26"/>
  <c r="J223" i="25"/>
  <c r="BZ173" i="34"/>
  <c r="K149" i="28"/>
  <c r="K152" i="28"/>
  <c r="K119" i="28"/>
  <c r="CX183" i="39"/>
  <c r="DK33" i="26"/>
  <c r="DK42" i="26"/>
  <c r="DF33" i="26"/>
  <c r="DF42" i="26"/>
  <c r="BL31" i="26"/>
  <c r="BL40" i="26"/>
  <c r="DK30" i="26"/>
  <c r="DK39" i="26"/>
  <c r="I247" i="25"/>
  <c r="DI173" i="34"/>
  <c r="J557" i="25"/>
  <c r="CW179" i="39"/>
  <c r="CK45" i="27"/>
  <c r="CK50" i="27"/>
  <c r="CK25" i="27"/>
  <c r="EG45" i="27"/>
  <c r="EG50" i="27"/>
  <c r="EG25" i="27"/>
  <c r="EG30" i="27"/>
  <c r="EU157" i="39"/>
  <c r="BI45" i="27"/>
  <c r="BI50" i="27"/>
  <c r="BI25" i="27"/>
  <c r="BI30" i="27"/>
  <c r="BW152" i="34"/>
  <c r="FE45" i="27"/>
  <c r="FE50" i="27"/>
  <c r="FE25" i="27"/>
  <c r="BU25" i="27"/>
  <c r="BU30" i="27"/>
  <c r="CI152" i="34"/>
  <c r="BU45" i="27"/>
  <c r="BU50" i="27"/>
  <c r="AT34" i="26"/>
  <c r="AT43" i="26"/>
  <c r="DA29" i="26"/>
  <c r="DA38" i="26"/>
  <c r="DF35" i="26"/>
  <c r="DF44" i="26"/>
  <c r="G149" i="28"/>
  <c r="G152" i="28"/>
  <c r="EI34" i="26"/>
  <c r="EI43" i="26"/>
  <c r="CM29" i="26"/>
  <c r="CM38" i="26"/>
  <c r="AT30" i="26"/>
  <c r="AT39" i="26"/>
  <c r="DW35" i="26"/>
  <c r="DW44" i="26"/>
  <c r="ET34" i="26"/>
  <c r="ET43" i="26"/>
  <c r="ET35" i="26"/>
  <c r="ET44" i="26"/>
  <c r="EZ34" i="26"/>
  <c r="EZ43" i="26"/>
  <c r="BL33" i="26"/>
  <c r="BL42" i="26"/>
  <c r="EZ31" i="26"/>
  <c r="EZ40" i="26"/>
  <c r="EZ35" i="26"/>
  <c r="EZ44" i="26"/>
  <c r="DU34" i="26"/>
  <c r="DU43" i="26"/>
  <c r="EH30" i="27"/>
  <c r="EV157" i="39"/>
  <c r="DA32" i="26"/>
  <c r="DA41" i="26"/>
  <c r="ET31" i="26"/>
  <c r="ET40" i="26"/>
  <c r="EZ30" i="26"/>
  <c r="EZ39" i="26"/>
  <c r="AD33" i="26"/>
  <c r="AD42" i="26"/>
  <c r="CM31" i="26"/>
  <c r="CM40" i="26"/>
  <c r="AD32" i="26"/>
  <c r="AD41" i="26"/>
  <c r="AR32" i="26"/>
  <c r="AR41" i="26"/>
  <c r="DU35" i="26"/>
  <c r="DU44" i="26"/>
  <c r="L53" i="28"/>
  <c r="EZ33" i="26"/>
  <c r="EZ42" i="26"/>
  <c r="CG25" i="27"/>
  <c r="CG30" i="27"/>
  <c r="DF29" i="26"/>
  <c r="DF38" i="26"/>
  <c r="CQ177" i="39"/>
  <c r="DH30" i="27"/>
  <c r="DV157" i="39"/>
  <c r="DK34" i="26"/>
  <c r="DK43" i="26"/>
  <c r="DF174" i="34"/>
  <c r="F247" i="25"/>
  <c r="DT25" i="27"/>
  <c r="DT45" i="27"/>
  <c r="DT50" i="27"/>
  <c r="AA179" i="39"/>
  <c r="AA174" i="34"/>
  <c r="BH25" i="27"/>
  <c r="BH30" i="27"/>
  <c r="BV157" i="39"/>
  <c r="BH45" i="27"/>
  <c r="BH50" i="27"/>
  <c r="AQ45" i="27"/>
  <c r="AQ50" i="27"/>
  <c r="AQ25" i="27"/>
  <c r="AQ30" i="27"/>
  <c r="BE157" i="39"/>
  <c r="DA183" i="39"/>
  <c r="DG178" i="39"/>
  <c r="FB34" i="26"/>
  <c r="FB43" i="26"/>
  <c r="AI46" i="26"/>
  <c r="AX180" i="39"/>
  <c r="AA173" i="34"/>
  <c r="AA178" i="39"/>
  <c r="EN25" i="27"/>
  <c r="EN30" i="27"/>
  <c r="FB157" i="39"/>
  <c r="EN45" i="27"/>
  <c r="EN50" i="27"/>
  <c r="R173" i="34"/>
  <c r="R178" i="39"/>
  <c r="DA178" i="34"/>
  <c r="FB31" i="26"/>
  <c r="FB40" i="26"/>
  <c r="EH46" i="26"/>
  <c r="EW180" i="39"/>
  <c r="AJ46" i="26"/>
  <c r="AY175" i="34"/>
  <c r="H207" i="25"/>
  <c r="BA174" i="34"/>
  <c r="BA179" i="39"/>
  <c r="AH174" i="34"/>
  <c r="AH179" i="39"/>
  <c r="AO32" i="26"/>
  <c r="AO41" i="26"/>
  <c r="AO31" i="26"/>
  <c r="AO40" i="26"/>
  <c r="F66" i="28"/>
  <c r="F61" i="28"/>
  <c r="CO177" i="39"/>
  <c r="M228" i="25"/>
  <c r="M231" i="25"/>
  <c r="CO178" i="39"/>
  <c r="CD179" i="39"/>
  <c r="CD174" i="34"/>
  <c r="Q174" i="34"/>
  <c r="Q179" i="39"/>
  <c r="Y173" i="34"/>
  <c r="Y178" i="39"/>
  <c r="T173" i="34"/>
  <c r="T178" i="39"/>
  <c r="AH55" i="27"/>
  <c r="AV158" i="39"/>
  <c r="EC29" i="26"/>
  <c r="EC38" i="26"/>
  <c r="BE179" i="39"/>
  <c r="BE174" i="34"/>
  <c r="AJ178" i="39"/>
  <c r="AJ173" i="34"/>
  <c r="AN174" i="34"/>
  <c r="AN179" i="39"/>
  <c r="CY25" i="27"/>
  <c r="CY30" i="27"/>
  <c r="DM157" i="39"/>
  <c r="CY45" i="27"/>
  <c r="CY50" i="27"/>
  <c r="BR46" i="26"/>
  <c r="CG180" i="39"/>
  <c r="BG179" i="39"/>
  <c r="BG174" i="34"/>
  <c r="CS179" i="39"/>
  <c r="CS174" i="34"/>
  <c r="BB45" i="27"/>
  <c r="BB50" i="27"/>
  <c r="BB25" i="27"/>
  <c r="BB30" i="27"/>
  <c r="BP157" i="39"/>
  <c r="EB33" i="26"/>
  <c r="EB42" i="26"/>
  <c r="EP30" i="26"/>
  <c r="EP39" i="26"/>
  <c r="EP31" i="26"/>
  <c r="EP40" i="26"/>
  <c r="BG32" i="26"/>
  <c r="BG41" i="26"/>
  <c r="BX31" i="26"/>
  <c r="BX40" i="26"/>
  <c r="BX32" i="26"/>
  <c r="BX41" i="26"/>
  <c r="BA29" i="26"/>
  <c r="BA38" i="26"/>
  <c r="BL34" i="26"/>
  <c r="BL43" i="26"/>
  <c r="BL30" i="26"/>
  <c r="BL39" i="26"/>
  <c r="EB34" i="26"/>
  <c r="EB43" i="26"/>
  <c r="AW174" i="34"/>
  <c r="K215" i="25"/>
  <c r="BO173" i="34"/>
  <c r="CW30" i="26"/>
  <c r="CW39" i="26"/>
  <c r="BR173" i="34"/>
  <c r="BG33" i="26"/>
  <c r="BG42" i="26"/>
  <c r="EB32" i="26"/>
  <c r="EB41" i="26"/>
  <c r="EB29" i="26"/>
  <c r="EB38" i="26"/>
  <c r="EP35" i="26"/>
  <c r="EP44" i="26"/>
  <c r="BG30" i="26"/>
  <c r="BG39" i="26"/>
  <c r="BX30" i="26"/>
  <c r="BX39" i="26"/>
  <c r="BX35" i="26"/>
  <c r="BX44" i="26"/>
  <c r="M563" i="25"/>
  <c r="DL174" i="34"/>
  <c r="J254" i="25"/>
  <c r="DV178" i="39"/>
  <c r="BA31" i="26"/>
  <c r="BA40" i="26"/>
  <c r="BZ25" i="27"/>
  <c r="BZ30" i="27"/>
  <c r="BZ45" i="27"/>
  <c r="BZ50" i="27"/>
  <c r="AS178" i="39"/>
  <c r="AS173" i="34"/>
  <c r="EX45" i="27"/>
  <c r="EX50" i="27"/>
  <c r="EX25" i="27"/>
  <c r="EX30" i="27"/>
  <c r="FL157" i="39"/>
  <c r="CW35" i="26"/>
  <c r="CW44" i="26"/>
  <c r="I231" i="25"/>
  <c r="CK173" i="34"/>
  <c r="AT30" i="27"/>
  <c r="BH152" i="34"/>
  <c r="BF174" i="34"/>
  <c r="CW29" i="26"/>
  <c r="CW38" i="26"/>
  <c r="CW34" i="26"/>
  <c r="CW43" i="26"/>
  <c r="EB30" i="26"/>
  <c r="EB39" i="26"/>
  <c r="EP32" i="26"/>
  <c r="EP41" i="26"/>
  <c r="BG34" i="26"/>
  <c r="BG43" i="26"/>
  <c r="AI30" i="27"/>
  <c r="AW157" i="39"/>
  <c r="K545" i="25"/>
  <c r="BZ179" i="39"/>
  <c r="BA35" i="26"/>
  <c r="BA44" i="26"/>
  <c r="CG179" i="39"/>
  <c r="O254" i="25"/>
  <c r="EA178" i="39"/>
  <c r="BA32" i="26"/>
  <c r="BA41" i="26"/>
  <c r="O110" i="25"/>
  <c r="O111" i="25"/>
  <c r="O113" i="25"/>
  <c r="FX168" i="58"/>
  <c r="N110" i="25"/>
  <c r="N111" i="25"/>
  <c r="N113" i="25"/>
  <c r="FW168" i="58"/>
  <c r="FX108" i="58"/>
  <c r="N141" i="46"/>
  <c r="FX154" i="58"/>
  <c r="FH45" i="27"/>
  <c r="FH50" i="27"/>
  <c r="FH25" i="27"/>
  <c r="FH30" i="27"/>
  <c r="FW148" i="58"/>
  <c r="FI66" i="27"/>
  <c r="FI71" i="27"/>
  <c r="FI51" i="27"/>
  <c r="O215" i="31"/>
  <c r="O221" i="31"/>
  <c r="O223" i="31"/>
  <c r="FW199" i="58"/>
  <c r="AT72" i="27"/>
  <c r="E71" i="28"/>
  <c r="E75" i="28"/>
  <c r="E79" i="28"/>
  <c r="BH183" i="39"/>
  <c r="BU203" i="34"/>
  <c r="BU208" i="39"/>
  <c r="BZ166" i="39"/>
  <c r="CR161" i="34"/>
  <c r="CR166" i="39"/>
  <c r="EH165" i="39"/>
  <c r="DR33" i="24"/>
  <c r="DR36" i="24"/>
  <c r="EH166" i="39"/>
  <c r="DK178" i="39"/>
  <c r="DK173" i="34"/>
  <c r="BC202" i="34"/>
  <c r="BC207" i="39"/>
  <c r="EO192" i="39"/>
  <c r="F189" i="31"/>
  <c r="F195" i="31"/>
  <c r="F197" i="31"/>
  <c r="EO208" i="39"/>
  <c r="AV202" i="34"/>
  <c r="AV207" i="39"/>
  <c r="BW68" i="27"/>
  <c r="BW73" i="27"/>
  <c r="BW53" i="27"/>
  <c r="CW173" i="34"/>
  <c r="CW178" i="39"/>
  <c r="FL192" i="39"/>
  <c r="E215" i="31"/>
  <c r="E221" i="31"/>
  <c r="E223" i="31"/>
  <c r="FL208" i="39"/>
  <c r="FO192" i="39"/>
  <c r="H215" i="31"/>
  <c r="H221" i="31"/>
  <c r="H223" i="31"/>
  <c r="FO208" i="39"/>
  <c r="H177" i="31"/>
  <c r="H183" i="31"/>
  <c r="H185" i="31"/>
  <c r="EE208" i="39"/>
  <c r="EE192" i="39"/>
  <c r="DK191" i="39"/>
  <c r="DK186" i="34"/>
  <c r="DM186" i="34"/>
  <c r="DC189" i="34"/>
  <c r="DC194" i="39"/>
  <c r="EQ47" i="27"/>
  <c r="EQ27" i="27"/>
  <c r="EQ30" i="27"/>
  <c r="FE157" i="39"/>
  <c r="FR192" i="39"/>
  <c r="K215" i="31"/>
  <c r="K221" i="31"/>
  <c r="K223" i="31"/>
  <c r="FR208" i="39"/>
  <c r="CB193" i="39"/>
  <c r="CB188" i="34"/>
  <c r="EH33" i="24"/>
  <c r="EH36" i="24"/>
  <c r="EX166" i="39"/>
  <c r="EX165" i="39"/>
  <c r="BM188" i="34"/>
  <c r="BM193" i="39"/>
  <c r="BU161" i="34"/>
  <c r="BU166" i="39"/>
  <c r="CN161" i="34"/>
  <c r="CN166" i="39"/>
  <c r="CF173" i="39"/>
  <c r="CF168" i="34"/>
  <c r="CJ46" i="26"/>
  <c r="CY180" i="39"/>
  <c r="AX174" i="34"/>
  <c r="EC31" i="26"/>
  <c r="EC40" i="26"/>
  <c r="BG168" i="34"/>
  <c r="FA35" i="26"/>
  <c r="FA44" i="26"/>
  <c r="K231" i="25"/>
  <c r="BG35" i="26"/>
  <c r="BG44" i="26"/>
  <c r="CG191" i="39"/>
  <c r="CG186" i="34"/>
  <c r="BW165" i="39"/>
  <c r="BG33" i="24"/>
  <c r="BG36" i="24"/>
  <c r="BW160" i="34"/>
  <c r="BE202" i="34"/>
  <c r="BE207" i="39"/>
  <c r="AU53" i="27"/>
  <c r="AU68" i="27"/>
  <c r="AU73" i="27"/>
  <c r="EP165" i="39"/>
  <c r="DZ33" i="24"/>
  <c r="DZ36" i="24"/>
  <c r="EP166" i="39"/>
  <c r="CB186" i="34"/>
  <c r="CB191" i="39"/>
  <c r="DC186" i="34"/>
  <c r="DC191" i="39"/>
  <c r="BC173" i="39"/>
  <c r="BC168" i="34"/>
  <c r="E163" i="29"/>
  <c r="D167" i="29"/>
  <c r="AY34" i="26"/>
  <c r="AY43" i="26"/>
  <c r="AY29" i="26"/>
  <c r="AY38" i="26"/>
  <c r="AY30" i="26"/>
  <c r="AY39" i="26"/>
  <c r="O156" i="28"/>
  <c r="EL183" i="39"/>
  <c r="O152" i="28"/>
  <c r="DH33" i="26"/>
  <c r="DH42" i="26"/>
  <c r="EC30" i="27"/>
  <c r="EQ157" i="39"/>
  <c r="EC32" i="26"/>
  <c r="EC41" i="26"/>
  <c r="EC35" i="26"/>
  <c r="EC44" i="26"/>
  <c r="FA33" i="26"/>
  <c r="FA42" i="26"/>
  <c r="AT52" i="27"/>
  <c r="CA160" i="34"/>
  <c r="BK33" i="24"/>
  <c r="BK36" i="24"/>
  <c r="CA165" i="39"/>
  <c r="CB207" i="39"/>
  <c r="CB202" i="34"/>
  <c r="CI194" i="39"/>
  <c r="CI189" i="34"/>
  <c r="BS160" i="34"/>
  <c r="BC33" i="24"/>
  <c r="BC36" i="24"/>
  <c r="BS165" i="39"/>
  <c r="CM53" i="27"/>
  <c r="CM55" i="27"/>
  <c r="CM68" i="27"/>
  <c r="CM73" i="27"/>
  <c r="CM74" i="27"/>
  <c r="BT30" i="26"/>
  <c r="BT39" i="26"/>
  <c r="BT31" i="26"/>
  <c r="BT40" i="26"/>
  <c r="P163" i="31"/>
  <c r="P170" i="31"/>
  <c r="P173" i="31"/>
  <c r="EA208" i="39"/>
  <c r="EA192" i="39"/>
  <c r="DK193" i="39"/>
  <c r="DK188" i="34"/>
  <c r="CN194" i="39"/>
  <c r="CN189" i="34"/>
  <c r="CU27" i="27"/>
  <c r="CU47" i="27"/>
  <c r="BI189" i="34"/>
  <c r="BI194" i="39"/>
  <c r="EC33" i="26"/>
  <c r="EC42" i="26"/>
  <c r="FA29" i="26"/>
  <c r="FA38" i="26"/>
  <c r="CO173" i="39"/>
  <c r="CO168" i="34"/>
  <c r="AR152" i="34"/>
  <c r="AR157" i="39"/>
  <c r="CV207" i="39"/>
  <c r="CV202" i="34"/>
  <c r="CM194" i="39"/>
  <c r="CM189" i="34"/>
  <c r="BO33" i="24"/>
  <c r="BO36" i="24"/>
  <c r="CE160" i="34"/>
  <c r="CE165" i="39"/>
  <c r="CQ159" i="34"/>
  <c r="CQ164" i="39"/>
  <c r="CL179" i="39"/>
  <c r="FG192" i="39"/>
  <c r="L201" i="31"/>
  <c r="L207" i="31"/>
  <c r="L209" i="31"/>
  <c r="FG208" i="39"/>
  <c r="P177" i="31"/>
  <c r="P183" i="31"/>
  <c r="P185" i="31"/>
  <c r="EM208" i="39"/>
  <c r="EM192" i="39"/>
  <c r="DC193" i="39"/>
  <c r="DC188" i="34"/>
  <c r="DW47" i="27"/>
  <c r="DW27" i="27"/>
  <c r="DW30" i="27"/>
  <c r="EK157" i="39"/>
  <c r="CQ52" i="27"/>
  <c r="CQ67" i="27"/>
  <c r="BZ164" i="39"/>
  <c r="BZ159" i="34"/>
  <c r="I215" i="31"/>
  <c r="I221" i="31"/>
  <c r="I223" i="31"/>
  <c r="FP208" i="39"/>
  <c r="FP192" i="39"/>
  <c r="BX189" i="34"/>
  <c r="BX194" i="39"/>
  <c r="BI186" i="34"/>
  <c r="BI191" i="39"/>
  <c r="BL159" i="34"/>
  <c r="BL164" i="39"/>
  <c r="DJ68" i="27"/>
  <c r="DJ73" i="27"/>
  <c r="DJ53" i="27"/>
  <c r="CZ53" i="27"/>
  <c r="CZ68" i="27"/>
  <c r="CZ73" i="27"/>
  <c r="CD53" i="27"/>
  <c r="CD68" i="27"/>
  <c r="CD73" i="27"/>
  <c r="EO53" i="27"/>
  <c r="EO68" i="27"/>
  <c r="EO73" i="27"/>
  <c r="CO68" i="27"/>
  <c r="CO73" i="27"/>
  <c r="CO53" i="27"/>
  <c r="EG67" i="27"/>
  <c r="EG72" i="27"/>
  <c r="EG74" i="27"/>
  <c r="EU159" i="39"/>
  <c r="EG52" i="27"/>
  <c r="DG52" i="27"/>
  <c r="DG55" i="27"/>
  <c r="DU158" i="39"/>
  <c r="DG67" i="27"/>
  <c r="FF53" i="27"/>
  <c r="FF68" i="27"/>
  <c r="FF73" i="27"/>
  <c r="EV53" i="27"/>
  <c r="EV68" i="27"/>
  <c r="EV73" i="27"/>
  <c r="EB53" i="27"/>
  <c r="EB68" i="27"/>
  <c r="EB73" i="27"/>
  <c r="DH68" i="27"/>
  <c r="DH73" i="27"/>
  <c r="DH53" i="27"/>
  <c r="ET53" i="27"/>
  <c r="ET68" i="27"/>
  <c r="ET73" i="27"/>
  <c r="DT53" i="27"/>
  <c r="DT68" i="27"/>
  <c r="DT73" i="27"/>
  <c r="DL53" i="27"/>
  <c r="DL68" i="27"/>
  <c r="DL73" i="27"/>
  <c r="DD68" i="27"/>
  <c r="DD73" i="27"/>
  <c r="DD53" i="27"/>
  <c r="AX68" i="27"/>
  <c r="AX73" i="27"/>
  <c r="AX53" i="27"/>
  <c r="AL68" i="27"/>
  <c r="AL73" i="27"/>
  <c r="AL53" i="27"/>
  <c r="AL55" i="27"/>
  <c r="AZ153" i="34"/>
  <c r="AJ53" i="27"/>
  <c r="AJ68" i="27"/>
  <c r="AJ73" i="27"/>
  <c r="EF53" i="27"/>
  <c r="EF55" i="27"/>
  <c r="ET158" i="39"/>
  <c r="EF68" i="27"/>
  <c r="EF73" i="27"/>
  <c r="CP68" i="27"/>
  <c r="CP73" i="27"/>
  <c r="CP74" i="27"/>
  <c r="CP53" i="27"/>
  <c r="DV68" i="27"/>
  <c r="DV73" i="27"/>
  <c r="DV53" i="27"/>
  <c r="DX53" i="27"/>
  <c r="DX68" i="27"/>
  <c r="DX73" i="27"/>
  <c r="FB47" i="27"/>
  <c r="FB27" i="27"/>
  <c r="DT27" i="27"/>
  <c r="DT47" i="27"/>
  <c r="DI32" i="26"/>
  <c r="DI41" i="26"/>
  <c r="DI34" i="26"/>
  <c r="DI43" i="26"/>
  <c r="DI35" i="26"/>
  <c r="DI44" i="26"/>
  <c r="DI29" i="26"/>
  <c r="DI38" i="26"/>
  <c r="DI30" i="26"/>
  <c r="DI39" i="26"/>
  <c r="DI31" i="26"/>
  <c r="DI40" i="26"/>
  <c r="DI33" i="26"/>
  <c r="DI42" i="26"/>
  <c r="CB47" i="27"/>
  <c r="CB27" i="27"/>
  <c r="CB30" i="27"/>
  <c r="BX47" i="27"/>
  <c r="BX27" i="27"/>
  <c r="BX30" i="27"/>
  <c r="CL157" i="39"/>
  <c r="BP47" i="27"/>
  <c r="BP27" i="27"/>
  <c r="BL27" i="27"/>
  <c r="BL47" i="27"/>
  <c r="I111" i="28"/>
  <c r="I115" i="28"/>
  <c r="I119" i="28"/>
  <c r="CH72" i="27"/>
  <c r="DO34" i="26"/>
  <c r="DO43" i="26"/>
  <c r="DO30" i="26"/>
  <c r="DO39" i="26"/>
  <c r="DO31" i="26"/>
  <c r="DO40" i="26"/>
  <c r="DO32" i="26"/>
  <c r="DO41" i="26"/>
  <c r="DO33" i="26"/>
  <c r="DO42" i="26"/>
  <c r="DO35" i="26"/>
  <c r="DO44" i="26"/>
  <c r="DO29" i="26"/>
  <c r="DO38" i="26"/>
  <c r="DM67" i="27"/>
  <c r="DM52" i="27"/>
  <c r="DM55" i="27"/>
  <c r="EA158" i="39"/>
  <c r="EC67" i="27"/>
  <c r="EC72" i="27"/>
  <c r="EC52" i="27"/>
  <c r="CW27" i="27"/>
  <c r="CW30" i="27"/>
  <c r="DK157" i="39"/>
  <c r="CW47" i="27"/>
  <c r="CS47" i="27"/>
  <c r="CS27" i="27"/>
  <c r="DE67" i="27"/>
  <c r="DE52" i="27"/>
  <c r="DL46" i="26"/>
  <c r="EA180" i="39"/>
  <c r="FA32" i="26"/>
  <c r="FA41" i="26"/>
  <c r="FD27" i="27"/>
  <c r="FD30" i="27"/>
  <c r="FR157" i="39"/>
  <c r="FD47" i="27"/>
  <c r="DJ27" i="27"/>
  <c r="DJ30" i="27"/>
  <c r="DX157" i="39"/>
  <c r="DJ47" i="27"/>
  <c r="CT27" i="27"/>
  <c r="CT30" i="27"/>
  <c r="CT47" i="27"/>
  <c r="CR27" i="27"/>
  <c r="CR47" i="27"/>
  <c r="CA32" i="26"/>
  <c r="CA41" i="26"/>
  <c r="CA35" i="26"/>
  <c r="CA44" i="26"/>
  <c r="CA34" i="26"/>
  <c r="CA43" i="26"/>
  <c r="CA31" i="26"/>
  <c r="CA40" i="26"/>
  <c r="CA30" i="26"/>
  <c r="CA39" i="26"/>
  <c r="CA33" i="26"/>
  <c r="CA42" i="26"/>
  <c r="CA29" i="26"/>
  <c r="CA38" i="26"/>
  <c r="BZ52" i="27"/>
  <c r="BZ67" i="27"/>
  <c r="AX30" i="26"/>
  <c r="AX39" i="26"/>
  <c r="AX31" i="26"/>
  <c r="AX40" i="26"/>
  <c r="AX32" i="26"/>
  <c r="AX41" i="26"/>
  <c r="CK67" i="27"/>
  <c r="CK52" i="27"/>
  <c r="M84" i="28"/>
  <c r="M88" i="28"/>
  <c r="M92" i="28"/>
  <c r="EB47" i="27"/>
  <c r="EB27" i="27"/>
  <c r="EB30" i="27"/>
  <c r="EP157" i="39"/>
  <c r="DP52" i="27"/>
  <c r="DP55" i="27"/>
  <c r="ED158" i="39"/>
  <c r="DP67" i="27"/>
  <c r="DP72" i="27"/>
  <c r="EO47" i="27"/>
  <c r="EO27" i="27"/>
  <c r="EO30" i="27"/>
  <c r="FC157" i="39"/>
  <c r="CZ33" i="26"/>
  <c r="CZ42" i="26"/>
  <c r="CZ32" i="26"/>
  <c r="CZ41" i="26"/>
  <c r="CR30" i="26"/>
  <c r="CR39" i="26"/>
  <c r="CR33" i="26"/>
  <c r="CR42" i="26"/>
  <c r="AX67" i="27"/>
  <c r="AX52" i="27"/>
  <c r="FG52" i="27"/>
  <c r="FG67" i="27"/>
  <c r="FG72" i="27"/>
  <c r="FG74" i="27"/>
  <c r="FU159" i="39"/>
  <c r="DK202" i="34"/>
  <c r="DK207" i="39"/>
  <c r="CD168" i="34"/>
  <c r="CD173" i="39"/>
  <c r="CT178" i="39"/>
  <c r="CT173" i="34"/>
  <c r="CX159" i="34"/>
  <c r="CX164" i="39"/>
  <c r="CS203" i="34"/>
  <c r="CS208" i="39"/>
  <c r="CA188" i="34"/>
  <c r="CA193" i="39"/>
  <c r="CF191" i="39"/>
  <c r="CF186" i="34"/>
  <c r="BV173" i="34"/>
  <c r="BV178" i="39"/>
  <c r="BM168" i="34"/>
  <c r="BM173" i="39"/>
  <c r="H139" i="28"/>
  <c r="H142" i="28"/>
  <c r="DH166" i="39"/>
  <c r="DH161" i="34"/>
  <c r="BA53" i="27"/>
  <c r="BA68" i="27"/>
  <c r="BA73" i="27"/>
  <c r="ET67" i="27"/>
  <c r="ET72" i="27"/>
  <c r="ET52" i="27"/>
  <c r="ED27" i="27"/>
  <c r="ED47" i="27"/>
  <c r="DK47" i="27"/>
  <c r="DK27" i="27"/>
  <c r="DK30" i="27"/>
  <c r="DY157" i="39"/>
  <c r="DI27" i="27"/>
  <c r="DI30" i="27"/>
  <c r="DW157" i="39"/>
  <c r="DI47" i="27"/>
  <c r="CD32" i="26"/>
  <c r="CD41" i="26"/>
  <c r="CD31" i="26"/>
  <c r="CD40" i="26"/>
  <c r="CD33" i="26"/>
  <c r="CD42" i="26"/>
  <c r="CB29" i="26"/>
  <c r="CB38" i="26"/>
  <c r="CB31" i="26"/>
  <c r="CB40" i="26"/>
  <c r="CB32" i="26"/>
  <c r="CB41" i="26"/>
  <c r="CB34" i="26"/>
  <c r="CB43" i="26"/>
  <c r="CB30" i="26"/>
  <c r="CB39" i="26"/>
  <c r="CB35" i="26"/>
  <c r="CB44" i="26"/>
  <c r="F215" i="31"/>
  <c r="F221" i="31"/>
  <c r="F223" i="31"/>
  <c r="FM208" i="39"/>
  <c r="FM192" i="39"/>
  <c r="CD192" i="39"/>
  <c r="O99" i="31"/>
  <c r="O106" i="31"/>
  <c r="O109" i="31"/>
  <c r="CD203" i="34"/>
  <c r="CD186" i="34"/>
  <c r="CD191" i="39"/>
  <c r="BX188" i="34"/>
  <c r="BX193" i="39"/>
  <c r="BT189" i="34"/>
  <c r="BT194" i="39"/>
  <c r="BQ192" i="39"/>
  <c r="BQ187" i="34"/>
  <c r="N83" i="31"/>
  <c r="N90" i="31"/>
  <c r="N93" i="31"/>
  <c r="BQ186" i="34"/>
  <c r="BQ191" i="39"/>
  <c r="BK193" i="39"/>
  <c r="BK188" i="34"/>
  <c r="BQ34" i="26"/>
  <c r="BQ43" i="26"/>
  <c r="BQ30" i="26"/>
  <c r="BQ39" i="26"/>
  <c r="BQ29" i="26"/>
  <c r="BQ38" i="26"/>
  <c r="BQ31" i="26"/>
  <c r="BQ40" i="26"/>
  <c r="BQ35" i="26"/>
  <c r="BQ44" i="26"/>
  <c r="BQ33" i="26"/>
  <c r="BQ42" i="26"/>
  <c r="BQ32" i="26"/>
  <c r="BQ41" i="26"/>
  <c r="BA183" i="39"/>
  <c r="BA178" i="34"/>
  <c r="G139" i="28"/>
  <c r="G142" i="28"/>
  <c r="BX159" i="34"/>
  <c r="BX164" i="39"/>
  <c r="DN67" i="27"/>
  <c r="DN72" i="27"/>
  <c r="DN74" i="27"/>
  <c r="EB159" i="39"/>
  <c r="DN52" i="27"/>
  <c r="DN55" i="27"/>
  <c r="EB158" i="39"/>
  <c r="AX203" i="34"/>
  <c r="AX208" i="39"/>
  <c r="CL178" i="39"/>
  <c r="CL173" i="34"/>
  <c r="BV47" i="27"/>
  <c r="BV27" i="27"/>
  <c r="BR27" i="27"/>
  <c r="BR47" i="27"/>
  <c r="BE27" i="27"/>
  <c r="BE47" i="27"/>
  <c r="BC27" i="27"/>
  <c r="BC47" i="27"/>
  <c r="BA47" i="27"/>
  <c r="BA27" i="27"/>
  <c r="M215" i="31"/>
  <c r="M221" i="31"/>
  <c r="M223" i="31"/>
  <c r="FT208" i="39"/>
  <c r="FT192" i="39"/>
  <c r="FV192" i="39"/>
  <c r="M189" i="31"/>
  <c r="M195" i="31"/>
  <c r="M197" i="31"/>
  <c r="EV208" i="39"/>
  <c r="EV192" i="39"/>
  <c r="DV192" i="39"/>
  <c r="K163" i="31"/>
  <c r="K170" i="31"/>
  <c r="K173" i="31"/>
  <c r="DV208" i="39"/>
  <c r="DL189" i="34"/>
  <c r="DM189" i="34"/>
  <c r="DL194" i="39"/>
  <c r="DJ189" i="34"/>
  <c r="DJ194" i="39"/>
  <c r="DJ192" i="39"/>
  <c r="DJ187" i="34"/>
  <c r="K147" i="31"/>
  <c r="K154" i="31"/>
  <c r="K157" i="31"/>
  <c r="I147" i="31"/>
  <c r="I154" i="31"/>
  <c r="I157" i="31"/>
  <c r="DH192" i="39"/>
  <c r="DH187" i="34"/>
  <c r="DF187" i="34"/>
  <c r="G147" i="31"/>
  <c r="G154" i="31"/>
  <c r="G157" i="31"/>
  <c r="DF203" i="34"/>
  <c r="DF192" i="39"/>
  <c r="DD193" i="39"/>
  <c r="DD188" i="34"/>
  <c r="DB193" i="39"/>
  <c r="DB188" i="34"/>
  <c r="O131" i="31"/>
  <c r="O138" i="31"/>
  <c r="O141" i="31"/>
  <c r="DB203" i="34"/>
  <c r="DB187" i="34"/>
  <c r="CZ193" i="39"/>
  <c r="CZ188" i="34"/>
  <c r="CZ186" i="34"/>
  <c r="CZ191" i="39"/>
  <c r="CY191" i="39"/>
  <c r="CY186" i="34"/>
  <c r="CX191" i="39"/>
  <c r="CX186" i="34"/>
  <c r="CW189" i="34"/>
  <c r="CW194" i="39"/>
  <c r="CV193" i="39"/>
  <c r="CV188" i="34"/>
  <c r="CT189" i="34"/>
  <c r="CT194" i="39"/>
  <c r="CT188" i="34"/>
  <c r="CT193" i="39"/>
  <c r="CS186" i="34"/>
  <c r="CS191" i="39"/>
  <c r="CR187" i="34"/>
  <c r="E131" i="31"/>
  <c r="E138" i="31"/>
  <c r="E141" i="31"/>
  <c r="CR192" i="39"/>
  <c r="CL192" i="39"/>
  <c r="K115" i="31"/>
  <c r="K122" i="31"/>
  <c r="K125" i="31"/>
  <c r="CH191" i="39"/>
  <c r="CH186" i="34"/>
  <c r="CH189" i="34"/>
  <c r="CH194" i="39"/>
  <c r="CP187" i="34"/>
  <c r="O115" i="31"/>
  <c r="O122" i="31"/>
  <c r="O125" i="31"/>
  <c r="CP192" i="39"/>
  <c r="P115" i="31"/>
  <c r="P122" i="31"/>
  <c r="P125" i="31"/>
  <c r="CQ187" i="34"/>
  <c r="CQ192" i="39"/>
  <c r="CO186" i="34"/>
  <c r="CO191" i="39"/>
  <c r="CK189" i="34"/>
  <c r="CK194" i="39"/>
  <c r="CA187" i="34"/>
  <c r="L99" i="31"/>
  <c r="L106" i="31"/>
  <c r="L109" i="31"/>
  <c r="CA208" i="39"/>
  <c r="BY193" i="39"/>
  <c r="BY188" i="34"/>
  <c r="BW188" i="34"/>
  <c r="BW193" i="39"/>
  <c r="BW189" i="34"/>
  <c r="BW194" i="39"/>
  <c r="BU193" i="39"/>
  <c r="BU188" i="34"/>
  <c r="CE188" i="34"/>
  <c r="CE193" i="39"/>
  <c r="BD191" i="39"/>
  <c r="BD186" i="34"/>
  <c r="BB187" i="34"/>
  <c r="K68" i="31"/>
  <c r="K74" i="31"/>
  <c r="K77" i="31"/>
  <c r="BB192" i="39"/>
  <c r="AZ193" i="39"/>
  <c r="AZ188" i="34"/>
  <c r="AX188" i="34"/>
  <c r="AX193" i="39"/>
  <c r="AV194" i="39"/>
  <c r="AV189" i="34"/>
  <c r="BF187" i="34"/>
  <c r="O68" i="31"/>
  <c r="O74" i="31"/>
  <c r="O77" i="31"/>
  <c r="BF192" i="39"/>
  <c r="DB25" i="27"/>
  <c r="DB30" i="27"/>
  <c r="DP157" i="39"/>
  <c r="DB45" i="27"/>
  <c r="DB50" i="27"/>
  <c r="CP25" i="27"/>
  <c r="CP30" i="27"/>
  <c r="CP45" i="27"/>
  <c r="CP50" i="27"/>
  <c r="CN45" i="27"/>
  <c r="CN50" i="27"/>
  <c r="CN55" i="27"/>
  <c r="CN25" i="27"/>
  <c r="CN30" i="27"/>
  <c r="CX179" i="39"/>
  <c r="CX174" i="34"/>
  <c r="CH25" i="27"/>
  <c r="CH30" i="27"/>
  <c r="CH45" i="27"/>
  <c r="CH50" i="27"/>
  <c r="CT179" i="39"/>
  <c r="CT174" i="34"/>
  <c r="CF25" i="27"/>
  <c r="CF30" i="27"/>
  <c r="CT157" i="39"/>
  <c r="CF45" i="27"/>
  <c r="CF50" i="27"/>
  <c r="CD25" i="27"/>
  <c r="CD30" i="27"/>
  <c r="CR152" i="34"/>
  <c r="CD45" i="27"/>
  <c r="CD50" i="27"/>
  <c r="BL45" i="27"/>
  <c r="BL50" i="27"/>
  <c r="BL25" i="27"/>
  <c r="BA25" i="27"/>
  <c r="BA45" i="27"/>
  <c r="BA50" i="27"/>
  <c r="EX32" i="26"/>
  <c r="EX41" i="26"/>
  <c r="EX33" i="26"/>
  <c r="EX42" i="26"/>
  <c r="EX31" i="26"/>
  <c r="EX40" i="26"/>
  <c r="EX30" i="26"/>
  <c r="EX39" i="26"/>
  <c r="EX35" i="26"/>
  <c r="EX44" i="26"/>
  <c r="EX34" i="26"/>
  <c r="EX43" i="26"/>
  <c r="EW34" i="26"/>
  <c r="EW43" i="26"/>
  <c r="EW32" i="26"/>
  <c r="EW41" i="26"/>
  <c r="EW30" i="26"/>
  <c r="EW39" i="26"/>
  <c r="EW29" i="26"/>
  <c r="EW38" i="26"/>
  <c r="EW33" i="26"/>
  <c r="EW42" i="26"/>
  <c r="EW35" i="26"/>
  <c r="EW44" i="26"/>
  <c r="EW31" i="26"/>
  <c r="EW40" i="26"/>
  <c r="DW34" i="26"/>
  <c r="DW43" i="26"/>
  <c r="DW33" i="26"/>
  <c r="DW42" i="26"/>
  <c r="DW29" i="26"/>
  <c r="DW38" i="26"/>
  <c r="DC35" i="26"/>
  <c r="DC44" i="26"/>
  <c r="DC33" i="26"/>
  <c r="DC42" i="26"/>
  <c r="DC29" i="26"/>
  <c r="DC38" i="26"/>
  <c r="DC30" i="26"/>
  <c r="DC39" i="26"/>
  <c r="DC34" i="26"/>
  <c r="DC43" i="26"/>
  <c r="DC31" i="26"/>
  <c r="DC40" i="26"/>
  <c r="DC32" i="26"/>
  <c r="DC41" i="26"/>
  <c r="DA33" i="26"/>
  <c r="DA42" i="26"/>
  <c r="DA31" i="26"/>
  <c r="DA40" i="26"/>
  <c r="DD173" i="34"/>
  <c r="DD178" i="39"/>
  <c r="AE52" i="27"/>
  <c r="AE67" i="27"/>
  <c r="AE72" i="27"/>
  <c r="CU203" i="34"/>
  <c r="CU208" i="39"/>
  <c r="CL173" i="39"/>
  <c r="BW164" i="39"/>
  <c r="BW159" i="34"/>
  <c r="M156" i="28"/>
  <c r="EJ183" i="39"/>
  <c r="M152" i="28"/>
  <c r="DB67" i="27"/>
  <c r="DB52" i="27"/>
  <c r="DX67" i="27"/>
  <c r="DX72" i="27"/>
  <c r="DX52" i="27"/>
  <c r="N239" i="25"/>
  <c r="BB29" i="26"/>
  <c r="BB38" i="26"/>
  <c r="DH205" i="34"/>
  <c r="DH210" i="39"/>
  <c r="BB202" i="34"/>
  <c r="BB207" i="39"/>
  <c r="AZ192" i="39"/>
  <c r="AZ187" i="34"/>
  <c r="I68" i="31"/>
  <c r="I74" i="31"/>
  <c r="I77" i="31"/>
  <c r="BZ168" i="34"/>
  <c r="BZ173" i="39"/>
  <c r="BG166" i="39"/>
  <c r="BG161" i="34"/>
  <c r="CH53" i="27"/>
  <c r="CH68" i="27"/>
  <c r="CH73" i="27"/>
  <c r="AF66" i="27"/>
  <c r="AF71" i="27"/>
  <c r="AF51" i="27"/>
  <c r="DH34" i="26"/>
  <c r="DH43" i="26"/>
  <c r="DH30" i="26"/>
  <c r="DH39" i="26"/>
  <c r="CI47" i="27"/>
  <c r="CI27" i="27"/>
  <c r="CI30" i="27"/>
  <c r="CE47" i="27"/>
  <c r="CE27" i="27"/>
  <c r="CC47" i="27"/>
  <c r="CC27" i="27"/>
  <c r="CC30" i="27"/>
  <c r="N201" i="31"/>
  <c r="N207" i="31"/>
  <c r="N209" i="31"/>
  <c r="FI208" i="39"/>
  <c r="FI192" i="39"/>
  <c r="FA192" i="39"/>
  <c r="F201" i="31"/>
  <c r="F207" i="31"/>
  <c r="F209" i="31"/>
  <c r="FA208" i="39"/>
  <c r="CD188" i="34"/>
  <c r="CD193" i="39"/>
  <c r="BX192" i="39"/>
  <c r="I99" i="31"/>
  <c r="I106" i="31"/>
  <c r="I109" i="31"/>
  <c r="BX187" i="34"/>
  <c r="BT192" i="39"/>
  <c r="BT187" i="34"/>
  <c r="E99" i="31"/>
  <c r="E106" i="31"/>
  <c r="E109" i="31"/>
  <c r="BQ188" i="34"/>
  <c r="BQ193" i="39"/>
  <c r="BQ189" i="34"/>
  <c r="BQ194" i="39"/>
  <c r="BK194" i="39"/>
  <c r="BK189" i="34"/>
  <c r="CV67" i="27"/>
  <c r="CV52" i="27"/>
  <c r="BI164" i="39"/>
  <c r="BI159" i="34"/>
  <c r="DG174" i="34"/>
  <c r="DG179" i="39"/>
  <c r="CA173" i="34"/>
  <c r="CA178" i="39"/>
  <c r="BM161" i="34"/>
  <c r="BM166" i="39"/>
  <c r="CX203" i="34"/>
  <c r="CX208" i="39"/>
  <c r="AT208" i="39"/>
  <c r="AT203" i="34"/>
  <c r="BJ68" i="27"/>
  <c r="BJ73" i="27"/>
  <c r="BJ53" i="27"/>
  <c r="BJ55" i="27"/>
  <c r="BH53" i="27"/>
  <c r="BH68" i="27"/>
  <c r="BH73" i="27"/>
  <c r="AR53" i="27"/>
  <c r="AR55" i="27"/>
  <c r="AR68" i="27"/>
  <c r="AR73" i="27"/>
  <c r="AR74" i="27"/>
  <c r="BF159" i="39"/>
  <c r="AS67" i="27"/>
  <c r="AS72" i="27"/>
  <c r="AS52" i="27"/>
  <c r="AJ67" i="27"/>
  <c r="AJ72" i="27"/>
  <c r="AJ74" i="27"/>
  <c r="AX159" i="39"/>
  <c r="AJ52" i="27"/>
  <c r="AV27" i="27"/>
  <c r="AV47" i="27"/>
  <c r="EP192" i="39"/>
  <c r="G189" i="31"/>
  <c r="G195" i="31"/>
  <c r="G197" i="31"/>
  <c r="EP208" i="39"/>
  <c r="G177" i="31"/>
  <c r="G183" i="31"/>
  <c r="G185" i="31"/>
  <c r="ED208" i="39"/>
  <c r="ED192" i="39"/>
  <c r="EB192" i="39"/>
  <c r="E177" i="31"/>
  <c r="E183" i="31"/>
  <c r="E185" i="31"/>
  <c r="EB208" i="39"/>
  <c r="G163" i="31"/>
  <c r="G170" i="31"/>
  <c r="G173" i="31"/>
  <c r="DR208" i="39"/>
  <c r="DR192" i="39"/>
  <c r="E163" i="31"/>
  <c r="E170" i="31"/>
  <c r="E173" i="31"/>
  <c r="DP208" i="39"/>
  <c r="DP192" i="39"/>
  <c r="M147" i="31"/>
  <c r="M154" i="31"/>
  <c r="M157" i="31"/>
  <c r="DL187" i="34"/>
  <c r="DM187" i="34"/>
  <c r="DL192" i="39"/>
  <c r="DL188" i="34"/>
  <c r="DM188" i="34"/>
  <c r="DL193" i="39"/>
  <c r="DJ191" i="39"/>
  <c r="DJ186" i="34"/>
  <c r="DH193" i="39"/>
  <c r="DH188" i="34"/>
  <c r="DF189" i="34"/>
  <c r="DF194" i="39"/>
  <c r="DF188" i="34"/>
  <c r="DF193" i="39"/>
  <c r="DD186" i="34"/>
  <c r="DD191" i="39"/>
  <c r="CZ187" i="34"/>
  <c r="CZ192" i="39"/>
  <c r="M131" i="31"/>
  <c r="M138" i="31"/>
  <c r="M141" i="31"/>
  <c r="CY187" i="34"/>
  <c r="L131" i="31"/>
  <c r="L138" i="31"/>
  <c r="L141" i="31"/>
  <c r="CY192" i="39"/>
  <c r="CX188" i="34"/>
  <c r="CX193" i="39"/>
  <c r="CW191" i="39"/>
  <c r="CW186" i="34"/>
  <c r="J131" i="31"/>
  <c r="J138" i="31"/>
  <c r="J141" i="31"/>
  <c r="CW187" i="34"/>
  <c r="CW192" i="39"/>
  <c r="I131" i="31"/>
  <c r="I138" i="31"/>
  <c r="I141" i="31"/>
  <c r="CV187" i="34"/>
  <c r="CV192" i="39"/>
  <c r="CU194" i="39"/>
  <c r="CU189" i="34"/>
  <c r="G131" i="31"/>
  <c r="G138" i="31"/>
  <c r="G141" i="31"/>
  <c r="CT208" i="39"/>
  <c r="CT192" i="39"/>
  <c r="CS194" i="39"/>
  <c r="CS189" i="34"/>
  <c r="CR193" i="39"/>
  <c r="CR188" i="34"/>
  <c r="CH188" i="34"/>
  <c r="CH193" i="39"/>
  <c r="CQ186" i="34"/>
  <c r="CQ191" i="39"/>
  <c r="CO188" i="34"/>
  <c r="CO193" i="39"/>
  <c r="CO187" i="34"/>
  <c r="N115" i="31"/>
  <c r="N122" i="31"/>
  <c r="N125" i="31"/>
  <c r="CO192" i="39"/>
  <c r="CK192" i="39"/>
  <c r="CK187" i="34"/>
  <c r="J115" i="31"/>
  <c r="J122" i="31"/>
  <c r="J125" i="31"/>
  <c r="CK203" i="34"/>
  <c r="CA191" i="39"/>
  <c r="CA186" i="34"/>
  <c r="BY189" i="34"/>
  <c r="BY194" i="39"/>
  <c r="BY187" i="34"/>
  <c r="J99" i="31"/>
  <c r="J106" i="31"/>
  <c r="J109" i="31"/>
  <c r="BY192" i="39"/>
  <c r="BW191" i="39"/>
  <c r="BW186" i="34"/>
  <c r="BU189" i="34"/>
  <c r="BU194" i="39"/>
  <c r="CE189" i="34"/>
  <c r="CE194" i="39"/>
  <c r="BD187" i="34"/>
  <c r="M68" i="31"/>
  <c r="M74" i="31"/>
  <c r="M77" i="31"/>
  <c r="BD192" i="39"/>
  <c r="BB186" i="34"/>
  <c r="BB191" i="39"/>
  <c r="AZ186" i="34"/>
  <c r="AZ191" i="39"/>
  <c r="AX191" i="39"/>
  <c r="AX186" i="34"/>
  <c r="AV192" i="39"/>
  <c r="AV187" i="34"/>
  <c r="E68" i="31"/>
  <c r="E74" i="31"/>
  <c r="E77" i="31"/>
  <c r="BF193" i="39"/>
  <c r="BF188" i="34"/>
  <c r="BF186" i="34"/>
  <c r="BF191" i="39"/>
  <c r="O131" i="28"/>
  <c r="CL25" i="27"/>
  <c r="CL45" i="27"/>
  <c r="CL50" i="27"/>
  <c r="CL55" i="27"/>
  <c r="CV174" i="34"/>
  <c r="CV179" i="39"/>
  <c r="BR25" i="27"/>
  <c r="BR45" i="27"/>
  <c r="BR50" i="27"/>
  <c r="BQ179" i="39"/>
  <c r="BQ174" i="34"/>
  <c r="EN34" i="26"/>
  <c r="EN43" i="26"/>
  <c r="EN30" i="26"/>
  <c r="EN39" i="26"/>
  <c r="EN35" i="26"/>
  <c r="EN44" i="26"/>
  <c r="EN31" i="26"/>
  <c r="EN40" i="26"/>
  <c r="EL35" i="26"/>
  <c r="EL44" i="26"/>
  <c r="EL31" i="26"/>
  <c r="EL40" i="26"/>
  <c r="EL32" i="26"/>
  <c r="EL41" i="26"/>
  <c r="EL29" i="26"/>
  <c r="EL38" i="26"/>
  <c r="EL34" i="26"/>
  <c r="EL43" i="26"/>
  <c r="EL33" i="26"/>
  <c r="EL42" i="26"/>
  <c r="EL30" i="26"/>
  <c r="EL39" i="26"/>
  <c r="EE35" i="26"/>
  <c r="EE44" i="26"/>
  <c r="EE32" i="26"/>
  <c r="EE41" i="26"/>
  <c r="EE31" i="26"/>
  <c r="EE40" i="26"/>
  <c r="EE30" i="26"/>
  <c r="EE39" i="26"/>
  <c r="EE34" i="26"/>
  <c r="EE43" i="26"/>
  <c r="EE29" i="26"/>
  <c r="EE38" i="26"/>
  <c r="EE33" i="26"/>
  <c r="EE42" i="26"/>
  <c r="DJ173" i="34"/>
  <c r="DJ178" i="39"/>
  <c r="CU33" i="26"/>
  <c r="CU42" i="26"/>
  <c r="CU29" i="26"/>
  <c r="CU38" i="26"/>
  <c r="CU34" i="26"/>
  <c r="CU43" i="26"/>
  <c r="CU31" i="26"/>
  <c r="CU40" i="26"/>
  <c r="CU32" i="26"/>
  <c r="CU41" i="26"/>
  <c r="CU35" i="26"/>
  <c r="CU44" i="26"/>
  <c r="CU30" i="26"/>
  <c r="CU39" i="26"/>
  <c r="AF27" i="27"/>
  <c r="AF30" i="27"/>
  <c r="AF47" i="27"/>
  <c r="AG22" i="27"/>
  <c r="CL164" i="39"/>
  <c r="CL159" i="34"/>
  <c r="BW168" i="34"/>
  <c r="BW173" i="39"/>
  <c r="AR30" i="27"/>
  <c r="O557" i="25"/>
  <c r="L247" i="25"/>
  <c r="DH32" i="26"/>
  <c r="DH41" i="26"/>
  <c r="BH173" i="39"/>
  <c r="BH168" i="34"/>
  <c r="AZ179" i="39"/>
  <c r="AZ174" i="34"/>
  <c r="AC159" i="34"/>
  <c r="AC164" i="39"/>
  <c r="AU168" i="34"/>
  <c r="AU173" i="39"/>
  <c r="AM165" i="39"/>
  <c r="AM160" i="34"/>
  <c r="W33" i="24"/>
  <c r="W36" i="24"/>
  <c r="CR205" i="34"/>
  <c r="CR210" i="39"/>
  <c r="BV205" i="34"/>
  <c r="BV210" i="39"/>
  <c r="BY207" i="39"/>
  <c r="BY202" i="34"/>
  <c r="BU202" i="34"/>
  <c r="BU207" i="39"/>
  <c r="BV202" i="34"/>
  <c r="BV207" i="39"/>
  <c r="CX205" i="34"/>
  <c r="CX210" i="39"/>
  <c r="CM205" i="34"/>
  <c r="CM210" i="39"/>
  <c r="DJ207" i="39"/>
  <c r="DJ202" i="34"/>
  <c r="BD192" i="34"/>
  <c r="BD197" i="39"/>
  <c r="CB187" i="34"/>
  <c r="M99" i="31"/>
  <c r="M106" i="31"/>
  <c r="M109" i="31"/>
  <c r="CB192" i="39"/>
  <c r="CO179" i="39"/>
  <c r="CO174" i="34"/>
  <c r="BX179" i="39"/>
  <c r="BX174" i="34"/>
  <c r="F72" i="27"/>
  <c r="F74" i="27"/>
  <c r="DY72" i="27"/>
  <c r="DY74" i="27"/>
  <c r="EM159" i="39"/>
  <c r="EH72" i="27"/>
  <c r="EH74" i="27"/>
  <c r="EV159" i="39"/>
  <c r="BN173" i="34"/>
  <c r="BN178" i="39"/>
  <c r="BD174" i="34"/>
  <c r="BD179" i="39"/>
  <c r="CQ166" i="39"/>
  <c r="CQ161" i="34"/>
  <c r="EZ68" i="27"/>
  <c r="EZ73" i="27"/>
  <c r="EZ53" i="27"/>
  <c r="EU53" i="27"/>
  <c r="EU68" i="27"/>
  <c r="EU73" i="27"/>
  <c r="BF68" i="27"/>
  <c r="BF73" i="27"/>
  <c r="BF53" i="27"/>
  <c r="AU45" i="27"/>
  <c r="AU50" i="27"/>
  <c r="AU25" i="27"/>
  <c r="E61" i="28"/>
  <c r="E66" i="28"/>
  <c r="T174" i="34"/>
  <c r="T179" i="39"/>
  <c r="AO173" i="34"/>
  <c r="AO178" i="39"/>
  <c r="BK205" i="34"/>
  <c r="BK210" i="39"/>
  <c r="L115" i="31"/>
  <c r="L122" i="31"/>
  <c r="L125" i="31"/>
  <c r="CM192" i="39"/>
  <c r="CM187" i="34"/>
  <c r="CJ193" i="39"/>
  <c r="CJ188" i="34"/>
  <c r="CH187" i="34"/>
  <c r="CH192" i="39"/>
  <c r="G115" i="31"/>
  <c r="G122" i="31"/>
  <c r="G125" i="31"/>
  <c r="AT194" i="39"/>
  <c r="AT189" i="34"/>
  <c r="AS188" i="34"/>
  <c r="AS193" i="39"/>
  <c r="BK174" i="34"/>
  <c r="BK179" i="39"/>
  <c r="AB173" i="34"/>
  <c r="AB178" i="39"/>
  <c r="AP173" i="34"/>
  <c r="AP178" i="39"/>
  <c r="AY45" i="27"/>
  <c r="AY50" i="27"/>
  <c r="AY25" i="27"/>
  <c r="AY30" i="27"/>
  <c r="CR164" i="39"/>
  <c r="CR159" i="34"/>
  <c r="BO159" i="34"/>
  <c r="BO164" i="39"/>
  <c r="BS53" i="27"/>
  <c r="BS68" i="27"/>
  <c r="BS73" i="27"/>
  <c r="AI53" i="27"/>
  <c r="AI68" i="27"/>
  <c r="AI73" i="27"/>
  <c r="AI74" i="27"/>
  <c r="AW159" i="39"/>
  <c r="AU47" i="27"/>
  <c r="AU27" i="27"/>
  <c r="DA189" i="34"/>
  <c r="DA194" i="39"/>
  <c r="AJ174" i="34"/>
  <c r="AJ179" i="39"/>
  <c r="AT35" i="26"/>
  <c r="AT44" i="26"/>
  <c r="AT31" i="26"/>
  <c r="AT40" i="26"/>
  <c r="AC178" i="39"/>
  <c r="AC173" i="34"/>
  <c r="CV168" i="34"/>
  <c r="CV173" i="39"/>
  <c r="CR174" i="34"/>
  <c r="CR179" i="39"/>
  <c r="BH166" i="39"/>
  <c r="BH161" i="34"/>
  <c r="DB166" i="39"/>
  <c r="DB161" i="34"/>
  <c r="BT72" i="27"/>
  <c r="BT74" i="27"/>
  <c r="G97" i="28"/>
  <c r="G101" i="28"/>
  <c r="G105" i="28"/>
  <c r="DJ166" i="39"/>
  <c r="DJ161" i="34"/>
  <c r="AC46" i="26"/>
  <c r="AR180" i="39"/>
  <c r="EY34" i="26"/>
  <c r="EY43" i="26"/>
  <c r="EO35" i="26"/>
  <c r="EO44" i="26"/>
  <c r="EO31" i="26"/>
  <c r="EO40" i="26"/>
  <c r="DM168" i="34"/>
  <c r="Y46" i="26"/>
  <c r="Q46" i="26"/>
  <c r="M46" i="26"/>
  <c r="O46" i="26"/>
  <c r="I46" i="26"/>
  <c r="FF72" i="27"/>
  <c r="EE72" i="27"/>
  <c r="FC72" i="27"/>
  <c r="FC74" i="27"/>
  <c r="FQ159" i="39"/>
  <c r="DA33" i="24"/>
  <c r="DA36" i="24"/>
  <c r="DQ166" i="39"/>
  <c r="DQ165" i="39"/>
  <c r="AU159" i="34"/>
  <c r="AU164" i="39"/>
  <c r="H15" i="44"/>
  <c r="AF160" i="34"/>
  <c r="P33" i="24"/>
  <c r="P36" i="24"/>
  <c r="AF165" i="39"/>
  <c r="CT205" i="34"/>
  <c r="CT210" i="39"/>
  <c r="CK205" i="34"/>
  <c r="CK210" i="39"/>
  <c r="BC205" i="34"/>
  <c r="BC210" i="39"/>
  <c r="CY202" i="34"/>
  <c r="CY207" i="39"/>
  <c r="CA202" i="34"/>
  <c r="CA207" i="39"/>
  <c r="BX207" i="39"/>
  <c r="BX202" i="34"/>
  <c r="BT207" i="39"/>
  <c r="BT202" i="34"/>
  <c r="CO205" i="34"/>
  <c r="CO210" i="39"/>
  <c r="BM205" i="34"/>
  <c r="BM210" i="39"/>
  <c r="AR203" i="34"/>
  <c r="AR208" i="39"/>
  <c r="DL202" i="34"/>
  <c r="DM202" i="34"/>
  <c r="DL207" i="39"/>
  <c r="CS207" i="39"/>
  <c r="CS202" i="34"/>
  <c r="BI197" i="39"/>
  <c r="BI192" i="34"/>
  <c r="K189" i="31"/>
  <c r="K195" i="31"/>
  <c r="K197" i="31"/>
  <c r="ET208" i="39"/>
  <c r="ET192" i="39"/>
  <c r="DT192" i="39"/>
  <c r="I163" i="31"/>
  <c r="I170" i="31"/>
  <c r="I173" i="31"/>
  <c r="DT208" i="39"/>
  <c r="BJ187" i="34"/>
  <c r="G83" i="31"/>
  <c r="G90" i="31"/>
  <c r="G93" i="31"/>
  <c r="BJ192" i="39"/>
  <c r="O146" i="28"/>
  <c r="O142" i="28"/>
  <c r="BM174" i="34"/>
  <c r="BM179" i="39"/>
  <c r="DH173" i="39"/>
  <c r="DH168" i="34"/>
  <c r="AO161" i="34"/>
  <c r="AO166" i="39"/>
  <c r="AS187" i="34"/>
  <c r="N52" i="31"/>
  <c r="N58" i="31"/>
  <c r="N61" i="31"/>
  <c r="AS208" i="39"/>
  <c r="AS192" i="39"/>
  <c r="DB208" i="39"/>
  <c r="BN203" i="34"/>
  <c r="BN208" i="39"/>
  <c r="BI179" i="39"/>
  <c r="BI174" i="34"/>
  <c r="AV179" i="39"/>
  <c r="AV174" i="34"/>
  <c r="AG45" i="27"/>
  <c r="AG50" i="27"/>
  <c r="AG25" i="27"/>
  <c r="AG174" i="34"/>
  <c r="AG179" i="39"/>
  <c r="AU33" i="26"/>
  <c r="AU42" i="26"/>
  <c r="AU32" i="26"/>
  <c r="AU41" i="26"/>
  <c r="AU34" i="26"/>
  <c r="AU43" i="26"/>
  <c r="AU31" i="26"/>
  <c r="AU40" i="26"/>
  <c r="AU29" i="26"/>
  <c r="AU38" i="26"/>
  <c r="AU30" i="26"/>
  <c r="AU39" i="26"/>
  <c r="AU35" i="26"/>
  <c r="AU44" i="26"/>
  <c r="BI205" i="34"/>
  <c r="BI210" i="39"/>
  <c r="AQ68" i="27"/>
  <c r="AQ73" i="27"/>
  <c r="AQ74" i="27"/>
  <c r="AQ53" i="27"/>
  <c r="CK191" i="39"/>
  <c r="CK186" i="34"/>
  <c r="H115" i="31"/>
  <c r="H122" i="31"/>
  <c r="H125" i="31"/>
  <c r="CI192" i="39"/>
  <c r="CI187" i="34"/>
  <c r="CF194" i="39"/>
  <c r="CF189" i="34"/>
  <c r="AO174" i="34"/>
  <c r="AO179" i="39"/>
  <c r="AK45" i="27"/>
  <c r="AK50" i="27"/>
  <c r="AK25" i="27"/>
  <c r="AK30" i="27"/>
  <c r="AM174" i="34"/>
  <c r="AM179" i="39"/>
  <c r="AF173" i="34"/>
  <c r="AF178" i="39"/>
  <c r="BA164" i="39"/>
  <c r="BA159" i="34"/>
  <c r="DA187" i="34"/>
  <c r="DA192" i="39"/>
  <c r="N131" i="31"/>
  <c r="N138" i="31"/>
  <c r="N141" i="31"/>
  <c r="AP25" i="27"/>
  <c r="AP30" i="27"/>
  <c r="AP45" i="27"/>
  <c r="AP50" i="27"/>
  <c r="AP55" i="27"/>
  <c r="I61" i="28"/>
  <c r="I66" i="28"/>
  <c r="DC174" i="34"/>
  <c r="DC179" i="39"/>
  <c r="ER46" i="26"/>
  <c r="FG180" i="39"/>
  <c r="S46" i="26"/>
  <c r="V46" i="26"/>
  <c r="EL72" i="27"/>
  <c r="EL74" i="27"/>
  <c r="EZ159" i="39"/>
  <c r="EX72" i="27"/>
  <c r="EX74" i="27"/>
  <c r="FL159" i="39"/>
  <c r="DZ72" i="27"/>
  <c r="DZ74" i="27"/>
  <c r="EN159" i="39"/>
  <c r="DO72" i="27"/>
  <c r="FA72" i="27"/>
  <c r="FA74" i="27"/>
  <c r="FO159" i="39"/>
  <c r="DD168" i="34"/>
  <c r="DD173" i="39"/>
  <c r="CE202" i="34"/>
  <c r="CE207" i="39"/>
  <c r="AX166" i="39"/>
  <c r="AV173" i="39"/>
  <c r="AV168" i="34"/>
  <c r="AX168" i="34"/>
  <c r="AX173" i="39"/>
  <c r="AV166" i="39"/>
  <c r="CV159" i="34"/>
  <c r="CV164" i="39"/>
  <c r="CZ207" i="39"/>
  <c r="CZ202" i="34"/>
  <c r="BN202" i="34"/>
  <c r="BN207" i="39"/>
  <c r="AW207" i="39"/>
  <c r="AW202" i="34"/>
  <c r="CY159" i="34"/>
  <c r="CY164" i="39"/>
  <c r="CW164" i="39"/>
  <c r="CW159" i="34"/>
  <c r="FD53" i="27"/>
  <c r="FD68" i="27"/>
  <c r="FD73" i="27"/>
  <c r="EE53" i="27"/>
  <c r="EE68" i="27"/>
  <c r="EE73" i="27"/>
  <c r="DF53" i="27"/>
  <c r="DF68" i="27"/>
  <c r="DF73" i="27"/>
  <c r="BP207" i="39"/>
  <c r="BP202" i="34"/>
  <c r="L189" i="31"/>
  <c r="L195" i="31"/>
  <c r="L197" i="31"/>
  <c r="EU208" i="39"/>
  <c r="EU192" i="39"/>
  <c r="BP53" i="27"/>
  <c r="BP68" i="27"/>
  <c r="BP73" i="27"/>
  <c r="EZ27" i="27"/>
  <c r="EZ30" i="27"/>
  <c r="FN157" i="39"/>
  <c r="EZ47" i="27"/>
  <c r="EP27" i="27"/>
  <c r="EP30" i="27"/>
  <c r="FD157" i="39"/>
  <c r="EP47" i="27"/>
  <c r="DF27" i="27"/>
  <c r="DF30" i="27"/>
  <c r="DT157" i="39"/>
  <c r="DF47" i="27"/>
  <c r="ED68" i="27"/>
  <c r="ED73" i="27"/>
  <c r="ED53" i="27"/>
  <c r="AF34" i="26"/>
  <c r="AF43" i="26"/>
  <c r="AF30" i="26"/>
  <c r="AF39" i="26"/>
  <c r="AF32" i="26"/>
  <c r="AF41" i="26"/>
  <c r="AF31" i="26"/>
  <c r="AF40" i="26"/>
  <c r="AF33" i="26"/>
  <c r="AF42" i="26"/>
  <c r="AF29" i="26"/>
  <c r="AF38" i="26"/>
  <c r="AF35" i="26"/>
  <c r="AF44" i="26"/>
  <c r="EJ33" i="26"/>
  <c r="EJ42" i="26"/>
  <c r="EJ32" i="26"/>
  <c r="EJ41" i="26"/>
  <c r="EJ35" i="26"/>
  <c r="EJ44" i="26"/>
  <c r="EJ31" i="26"/>
  <c r="EJ40" i="26"/>
  <c r="EJ29" i="26"/>
  <c r="EJ38" i="26"/>
  <c r="EJ34" i="26"/>
  <c r="EJ43" i="26"/>
  <c r="EJ30" i="26"/>
  <c r="EJ39" i="26"/>
  <c r="FI45" i="27"/>
  <c r="FI50" i="27"/>
  <c r="FI25" i="27"/>
  <c r="FI30" i="27"/>
  <c r="FX148" i="58"/>
  <c r="BT179" i="39"/>
  <c r="BT174" i="34"/>
  <c r="CL193" i="39"/>
  <c r="CL188" i="34"/>
  <c r="DL25" i="27"/>
  <c r="DL30" i="27"/>
  <c r="DL45" i="27"/>
  <c r="DL50" i="27"/>
  <c r="DL55" i="27"/>
  <c r="CJ159" i="34"/>
  <c r="CJ164" i="39"/>
  <c r="BS45" i="27"/>
  <c r="BS50" i="27"/>
  <c r="BS25" i="27"/>
  <c r="BS30" i="27"/>
  <c r="DJ35" i="26"/>
  <c r="DJ44" i="26"/>
  <c r="DJ33" i="26"/>
  <c r="DJ42" i="26"/>
  <c r="DJ32" i="26"/>
  <c r="DJ41" i="26"/>
  <c r="DJ30" i="26"/>
  <c r="DJ39" i="26"/>
  <c r="DJ34" i="26"/>
  <c r="DJ43" i="26"/>
  <c r="DJ31" i="26"/>
  <c r="DJ40" i="26"/>
  <c r="DJ29" i="26"/>
  <c r="DJ38" i="26"/>
  <c r="DH67" i="27"/>
  <c r="DH52" i="27"/>
  <c r="BH173" i="34"/>
  <c r="BH178" i="39"/>
  <c r="CF33" i="24"/>
  <c r="CF36" i="24"/>
  <c r="CV165" i="39"/>
  <c r="CV160" i="34"/>
  <c r="DA173" i="39"/>
  <c r="DA168" i="34"/>
  <c r="BS168" i="34"/>
  <c r="BS173" i="39"/>
  <c r="FC25" i="27"/>
  <c r="FC30" i="27"/>
  <c r="FQ157" i="39"/>
  <c r="FC45" i="27"/>
  <c r="FC50" i="27"/>
  <c r="FC55" i="27"/>
  <c r="FQ158" i="39"/>
  <c r="DV33" i="26"/>
  <c r="DV42" i="26"/>
  <c r="DV31" i="26"/>
  <c r="DV40" i="26"/>
  <c r="DV32" i="26"/>
  <c r="DV41" i="26"/>
  <c r="DV34" i="26"/>
  <c r="DV43" i="26"/>
  <c r="DV35" i="26"/>
  <c r="DV44" i="26"/>
  <c r="DV30" i="26"/>
  <c r="DV39" i="26"/>
  <c r="DV29" i="26"/>
  <c r="DV38" i="26"/>
  <c r="AZ31" i="26"/>
  <c r="AZ40" i="26"/>
  <c r="AZ30" i="26"/>
  <c r="AZ39" i="26"/>
  <c r="AZ35" i="26"/>
  <c r="AZ44" i="26"/>
  <c r="AZ33" i="26"/>
  <c r="AZ42" i="26"/>
  <c r="AZ29" i="26"/>
  <c r="AZ38" i="26"/>
  <c r="AZ34" i="26"/>
  <c r="AZ43" i="26"/>
  <c r="AZ32" i="26"/>
  <c r="AZ41" i="26"/>
  <c r="CH166" i="39"/>
  <c r="CH161" i="34"/>
  <c r="CY165" i="39"/>
  <c r="CI33" i="24"/>
  <c r="CI36" i="24"/>
  <c r="CY160" i="34"/>
  <c r="CY168" i="34"/>
  <c r="CY173" i="39"/>
  <c r="BK161" i="34"/>
  <c r="BK166" i="39"/>
  <c r="BE161" i="34"/>
  <c r="BE166" i="39"/>
  <c r="BF173" i="39"/>
  <c r="BF168" i="34"/>
  <c r="DR35" i="26"/>
  <c r="DR44" i="26"/>
  <c r="DR32" i="26"/>
  <c r="DR41" i="26"/>
  <c r="DR29" i="26"/>
  <c r="DR38" i="26"/>
  <c r="DR31" i="26"/>
  <c r="DR40" i="26"/>
  <c r="DR33" i="26"/>
  <c r="DR42" i="26"/>
  <c r="DR30" i="26"/>
  <c r="DR39" i="26"/>
  <c r="DR34" i="26"/>
  <c r="DR43" i="26"/>
  <c r="BL166" i="39"/>
  <c r="BL161" i="34"/>
  <c r="ER67" i="27"/>
  <c r="ER72" i="27"/>
  <c r="ER74" i="27"/>
  <c r="FF159" i="39"/>
  <c r="ER52" i="27"/>
  <c r="ER55" i="27"/>
  <c r="FF158" i="39"/>
  <c r="CM168" i="34"/>
  <c r="CM173" i="39"/>
  <c r="BQ168" i="34"/>
  <c r="BQ173" i="39"/>
  <c r="CN203" i="34"/>
  <c r="CN208" i="39"/>
  <c r="EG33" i="24"/>
  <c r="EG36" i="24"/>
  <c r="EW166" i="39"/>
  <c r="EW165" i="39"/>
  <c r="DC33" i="24"/>
  <c r="DC36" i="24"/>
  <c r="DS166" i="39"/>
  <c r="DS165" i="39"/>
  <c r="DB202" i="34"/>
  <c r="DB207" i="39"/>
  <c r="CT207" i="39"/>
  <c r="CT202" i="34"/>
  <c r="BO202" i="34"/>
  <c r="BO207" i="39"/>
  <c r="DD33" i="24"/>
  <c r="DD36" i="24"/>
  <c r="DT166" i="39"/>
  <c r="DT165" i="39"/>
  <c r="L215" i="31"/>
  <c r="L221" i="31"/>
  <c r="L223" i="31"/>
  <c r="FS208" i="39"/>
  <c r="FS192" i="39"/>
  <c r="CW165" i="39"/>
  <c r="CG33" i="24"/>
  <c r="CG36" i="24"/>
  <c r="CW160" i="34"/>
  <c r="AT53" i="27"/>
  <c r="AT68" i="27"/>
  <c r="AT73" i="27"/>
  <c r="DS27" i="27"/>
  <c r="DS30" i="27"/>
  <c r="EG157" i="39"/>
  <c r="DS47" i="27"/>
  <c r="J189" i="31"/>
  <c r="J195" i="31"/>
  <c r="J197" i="31"/>
  <c r="ES208" i="39"/>
  <c r="ES192" i="39"/>
  <c r="J177" i="31"/>
  <c r="J183" i="31"/>
  <c r="J185" i="31"/>
  <c r="EG208" i="39"/>
  <c r="EG192" i="39"/>
  <c r="EY33" i="26"/>
  <c r="EY42" i="26"/>
  <c r="EY30" i="26"/>
  <c r="EY39" i="26"/>
  <c r="EY29" i="26"/>
  <c r="EY38" i="26"/>
  <c r="DF173" i="39"/>
  <c r="DF168" i="34"/>
  <c r="FE68" i="27"/>
  <c r="FE73" i="27"/>
  <c r="FE53" i="27"/>
  <c r="CG68" i="27"/>
  <c r="CG73" i="27"/>
  <c r="CG53" i="27"/>
  <c r="AG48" i="27"/>
  <c r="AG28" i="27"/>
  <c r="EK47" i="27"/>
  <c r="EK27" i="27"/>
  <c r="EK30" i="27"/>
  <c r="EY157" i="39"/>
  <c r="DJ164" i="39"/>
  <c r="DJ159" i="34"/>
  <c r="BP161" i="34"/>
  <c r="BP166" i="39"/>
  <c r="P149" i="28"/>
  <c r="EM179" i="39"/>
  <c r="BR173" i="39"/>
  <c r="BR168" i="34"/>
  <c r="AV159" i="34"/>
  <c r="AV164" i="39"/>
  <c r="BU32" i="26"/>
  <c r="BU41" i="26"/>
  <c r="BU31" i="26"/>
  <c r="BU40" i="26"/>
  <c r="BU35" i="26"/>
  <c r="BU44" i="26"/>
  <c r="BU33" i="26"/>
  <c r="BU42" i="26"/>
  <c r="BU30" i="26"/>
  <c r="BU39" i="26"/>
  <c r="BU34" i="26"/>
  <c r="BU43" i="26"/>
  <c r="BU29" i="26"/>
  <c r="BU38" i="26"/>
  <c r="DC208" i="39"/>
  <c r="DC203" i="34"/>
  <c r="BP174" i="34"/>
  <c r="BP179" i="39"/>
  <c r="BH174" i="34"/>
  <c r="BH179" i="39"/>
  <c r="CQ168" i="34"/>
  <c r="CQ173" i="39"/>
  <c r="CF33" i="26"/>
  <c r="CF42" i="26"/>
  <c r="CF29" i="26"/>
  <c r="CF38" i="26"/>
  <c r="CF32" i="26"/>
  <c r="CF41" i="26"/>
  <c r="CF30" i="26"/>
  <c r="CF39" i="26"/>
  <c r="CF31" i="26"/>
  <c r="CF40" i="26"/>
  <c r="CF35" i="26"/>
  <c r="CF44" i="26"/>
  <c r="CF34" i="26"/>
  <c r="CF43" i="26"/>
  <c r="CX166" i="39"/>
  <c r="CF166" i="39"/>
  <c r="CF161" i="34"/>
  <c r="BY161" i="34"/>
  <c r="BI166" i="39"/>
  <c r="BI161" i="34"/>
  <c r="CM161" i="34"/>
  <c r="CI168" i="34"/>
  <c r="CI173" i="39"/>
  <c r="BO173" i="39"/>
  <c r="BO168" i="34"/>
  <c r="BB203" i="34"/>
  <c r="BB208" i="39"/>
  <c r="BD154" i="34"/>
  <c r="BD159" i="39"/>
  <c r="CD166" i="39"/>
  <c r="CD161" i="34"/>
  <c r="CA173" i="39"/>
  <c r="CA168" i="34"/>
  <c r="BJ168" i="34"/>
  <c r="BJ173" i="39"/>
  <c r="BE168" i="34"/>
  <c r="BE173" i="39"/>
  <c r="DZ33" i="26"/>
  <c r="DZ42" i="26"/>
  <c r="DZ35" i="26"/>
  <c r="DZ44" i="26"/>
  <c r="DZ32" i="26"/>
  <c r="DZ41" i="26"/>
  <c r="DZ29" i="26"/>
  <c r="DZ38" i="26"/>
  <c r="DZ31" i="26"/>
  <c r="DZ40" i="26"/>
  <c r="DZ30" i="26"/>
  <c r="DZ39" i="26"/>
  <c r="DZ34" i="26"/>
  <c r="DZ43" i="26"/>
  <c r="DB30" i="26"/>
  <c r="DB39" i="26"/>
  <c r="DB32" i="26"/>
  <c r="DB41" i="26"/>
  <c r="DB34" i="26"/>
  <c r="DB43" i="26"/>
  <c r="DB31" i="26"/>
  <c r="DB40" i="26"/>
  <c r="DB29" i="26"/>
  <c r="DB38" i="26"/>
  <c r="DB33" i="26"/>
  <c r="DB42" i="26"/>
  <c r="DB35" i="26"/>
  <c r="DB44" i="26"/>
  <c r="CS30" i="26"/>
  <c r="CS39" i="26"/>
  <c r="CS29" i="26"/>
  <c r="CS38" i="26"/>
  <c r="CS34" i="26"/>
  <c r="CS43" i="26"/>
  <c r="CS32" i="26"/>
  <c r="CS41" i="26"/>
  <c r="CS31" i="26"/>
  <c r="CS40" i="26"/>
  <c r="CS33" i="26"/>
  <c r="CS42" i="26"/>
  <c r="CS35" i="26"/>
  <c r="CS44" i="26"/>
  <c r="CH31" i="26"/>
  <c r="CH40" i="26"/>
  <c r="CH32" i="26"/>
  <c r="CH41" i="26"/>
  <c r="CH33" i="26"/>
  <c r="CH42" i="26"/>
  <c r="CH29" i="26"/>
  <c r="CH38" i="26"/>
  <c r="CH34" i="26"/>
  <c r="CH43" i="26"/>
  <c r="CH30" i="26"/>
  <c r="CH39" i="26"/>
  <c r="CH35" i="26"/>
  <c r="CH44" i="26"/>
  <c r="BQ178" i="39"/>
  <c r="BQ173" i="34"/>
  <c r="BO161" i="34"/>
  <c r="BO166" i="39"/>
  <c r="AZ161" i="34"/>
  <c r="AZ166" i="39"/>
  <c r="BD161" i="34"/>
  <c r="BD166" i="39"/>
  <c r="DJ203" i="34"/>
  <c r="DJ208" i="39"/>
  <c r="CL166" i="39"/>
  <c r="CL161" i="34"/>
  <c r="CX154" i="34"/>
  <c r="CX159" i="39"/>
  <c r="DF208" i="39"/>
  <c r="I156" i="28"/>
  <c r="EF183" i="39"/>
  <c r="I152" i="28"/>
  <c r="BH208" i="39"/>
  <c r="BH203" i="34"/>
  <c r="CN173" i="34"/>
  <c r="CN178" i="39"/>
  <c r="DA161" i="34"/>
  <c r="EN67" i="27"/>
  <c r="EN72" i="27"/>
  <c r="EN74" i="27"/>
  <c r="FB159" i="39"/>
  <c r="EN52" i="27"/>
  <c r="CF72" i="27"/>
  <c r="G111" i="28"/>
  <c r="G115" i="28"/>
  <c r="G119" i="28"/>
  <c r="BQ72" i="27"/>
  <c r="BQ74" i="27"/>
  <c r="CD71" i="24"/>
  <c r="BD30" i="27"/>
  <c r="BZ46" i="26"/>
  <c r="DD46" i="26"/>
  <c r="DS180" i="39"/>
  <c r="DT46" i="26"/>
  <c r="EI180" i="39"/>
  <c r="H231" i="25"/>
  <c r="EY32" i="26"/>
  <c r="EY41" i="26"/>
  <c r="EY35" i="26"/>
  <c r="EY44" i="26"/>
  <c r="CP36" i="24"/>
  <c r="AP36" i="24"/>
  <c r="EO32" i="26"/>
  <c r="EO41" i="26"/>
  <c r="AN46" i="26"/>
  <c r="EO30" i="26"/>
  <c r="EO39" i="26"/>
  <c r="DE31" i="26"/>
  <c r="DE40" i="26"/>
  <c r="DE32" i="26"/>
  <c r="DE41" i="26"/>
  <c r="DE33" i="26"/>
  <c r="DE42" i="26"/>
  <c r="EC36" i="24"/>
  <c r="ES166" i="39"/>
  <c r="DD161" i="34"/>
  <c r="CZ161" i="34"/>
  <c r="CZ166" i="39"/>
  <c r="CD52" i="27"/>
  <c r="CD67" i="27"/>
  <c r="DL161" i="34"/>
  <c r="DL166" i="39"/>
  <c r="ES52" i="27"/>
  <c r="ES67" i="27"/>
  <c r="ES72" i="27"/>
  <c r="ES74" i="27"/>
  <c r="FG159" i="39"/>
  <c r="EO29" i="26"/>
  <c r="EO38" i="26"/>
  <c r="EO33" i="26"/>
  <c r="EO42" i="26"/>
  <c r="DE29" i="26"/>
  <c r="DE38" i="26"/>
  <c r="DE35" i="26"/>
  <c r="DE44" i="26"/>
  <c r="DE34" i="26"/>
  <c r="DE43" i="26"/>
  <c r="CX36" i="24"/>
  <c r="DN166" i="39"/>
  <c r="BA208" i="39"/>
  <c r="BA203" i="34"/>
  <c r="BM208" i="39"/>
  <c r="J152" i="28"/>
  <c r="BT178" i="39"/>
  <c r="CJ20" i="43"/>
  <c r="CK20" i="43"/>
  <c r="CJ25" i="43"/>
  <c r="CK25" i="43"/>
  <c r="CJ24" i="43"/>
  <c r="CK24" i="43"/>
  <c r="CJ21" i="43"/>
  <c r="CK21" i="43"/>
  <c r="CJ22" i="43"/>
  <c r="CK22" i="43"/>
  <c r="CJ23" i="43"/>
  <c r="CK23" i="43"/>
  <c r="CX72" i="27"/>
  <c r="CX74" i="27"/>
  <c r="AX183" i="39"/>
  <c r="N84" i="28"/>
  <c r="N88" i="28"/>
  <c r="N92" i="28"/>
  <c r="F49" i="48"/>
  <c r="F50" i="48"/>
  <c r="FW178" i="58"/>
  <c r="AK46" i="26"/>
  <c r="AZ180" i="39"/>
  <c r="DH55" i="27"/>
  <c r="DV158" i="39"/>
  <c r="AI55" i="27"/>
  <c r="AW158" i="39"/>
  <c r="AY52" i="27"/>
  <c r="FG55" i="27"/>
  <c r="FU158" i="39"/>
  <c r="DV74" i="27"/>
  <c r="EJ159" i="39"/>
  <c r="CQ30" i="27"/>
  <c r="DE157" i="39"/>
  <c r="EL55" i="27"/>
  <c r="EZ158" i="39"/>
  <c r="CX152" i="34"/>
  <c r="I84" i="28"/>
  <c r="I88" i="28"/>
  <c r="I92" i="28"/>
  <c r="BX183" i="39"/>
  <c r="DC161" i="34"/>
  <c r="DC166" i="39"/>
  <c r="BJ194" i="39"/>
  <c r="BJ189" i="34"/>
  <c r="BJ191" i="39"/>
  <c r="BJ186" i="34"/>
  <c r="I15" i="41"/>
  <c r="DO74" i="27"/>
  <c r="EC159" i="39"/>
  <c r="AV178" i="39"/>
  <c r="DA178" i="39"/>
  <c r="BB52" i="27"/>
  <c r="AD74" i="27"/>
  <c r="DO55" i="27"/>
  <c r="EC158" i="39"/>
  <c r="CN74" i="27"/>
  <c r="DB159" i="39"/>
  <c r="BJ193" i="39"/>
  <c r="BJ188" i="34"/>
  <c r="BR161" i="34"/>
  <c r="BR166" i="39"/>
  <c r="BA166" i="39"/>
  <c r="BA161" i="34"/>
  <c r="CO166" i="39"/>
  <c r="CO161" i="34"/>
  <c r="CF74" i="27"/>
  <c r="CT159" i="39"/>
  <c r="BM52" i="27"/>
  <c r="BM55" i="27"/>
  <c r="CA158" i="39"/>
  <c r="CG52" i="27"/>
  <c r="BS52" i="27"/>
  <c r="BS55" i="27"/>
  <c r="CG158" i="39"/>
  <c r="DL157" i="39"/>
  <c r="AZ55" i="27"/>
  <c r="BN153" i="34"/>
  <c r="EA52" i="27"/>
  <c r="EA55" i="27"/>
  <c r="EO158" i="39"/>
  <c r="DA52" i="27"/>
  <c r="DA55" i="27"/>
  <c r="DO158" i="39"/>
  <c r="M139" i="28"/>
  <c r="BP173" i="34"/>
  <c r="BX178" i="39"/>
  <c r="BL178" i="39"/>
  <c r="DJ179" i="39"/>
  <c r="CH173" i="34"/>
  <c r="DA179" i="39"/>
  <c r="DQ179" i="39"/>
  <c r="CB157" i="39"/>
  <c r="BC159" i="39"/>
  <c r="BV174" i="34"/>
  <c r="BG183" i="39"/>
  <c r="CP174" i="34"/>
  <c r="BD173" i="34"/>
  <c r="BW179" i="39"/>
  <c r="BE178" i="39"/>
  <c r="FB30" i="27"/>
  <c r="FP157" i="39"/>
  <c r="AW55" i="27"/>
  <c r="BK153" i="34"/>
  <c r="EV46" i="26"/>
  <c r="FK180" i="39"/>
  <c r="CU173" i="34"/>
  <c r="DE173" i="34"/>
  <c r="DH174" i="34"/>
  <c r="CD173" i="34"/>
  <c r="H152" i="28"/>
  <c r="CI178" i="39"/>
  <c r="DT179" i="39"/>
  <c r="CS30" i="27"/>
  <c r="DG152" i="34"/>
  <c r="AW173" i="34"/>
  <c r="BM178" i="39"/>
  <c r="N156" i="28"/>
  <c r="EK183" i="39"/>
  <c r="CQ55" i="27"/>
  <c r="DE158" i="39"/>
  <c r="CL72" i="27"/>
  <c r="CL74" i="27"/>
  <c r="CZ159" i="39"/>
  <c r="DU67" i="27"/>
  <c r="DU72" i="27"/>
  <c r="DU74" i="27"/>
  <c r="EI159" i="39"/>
  <c r="BC178" i="34"/>
  <c r="F84" i="28"/>
  <c r="F88" i="28"/>
  <c r="F92" i="28"/>
  <c r="BU183" i="39"/>
  <c r="EY74" i="27"/>
  <c r="FM159" i="39"/>
  <c r="EM67" i="27"/>
  <c r="EM72" i="27"/>
  <c r="EM74" i="27"/>
  <c r="FA159" i="39"/>
  <c r="DQ67" i="27"/>
  <c r="DQ72" i="27"/>
  <c r="DQ74" i="27"/>
  <c r="EE159" i="39"/>
  <c r="BS46" i="26"/>
  <c r="CH180" i="39"/>
  <c r="DL74" i="27"/>
  <c r="J97" i="28"/>
  <c r="J101" i="28"/>
  <c r="J105" i="28"/>
  <c r="CK178" i="34"/>
  <c r="AD161" i="34"/>
  <c r="AD166" i="39"/>
  <c r="BQ161" i="34"/>
  <c r="BQ166" i="39"/>
  <c r="AB161" i="34"/>
  <c r="AB166" i="39"/>
  <c r="AL161" i="34"/>
  <c r="AL166" i="39"/>
  <c r="AN161" i="34"/>
  <c r="AN166" i="39"/>
  <c r="AT161" i="34"/>
  <c r="AT166" i="39"/>
  <c r="CS166" i="39"/>
  <c r="CS161" i="34"/>
  <c r="AJ161" i="34"/>
  <c r="AJ166" i="39"/>
  <c r="AP166" i="39"/>
  <c r="AP161" i="34"/>
  <c r="X161" i="34"/>
  <c r="X166" i="39"/>
  <c r="DC183" i="39"/>
  <c r="AK55" i="27"/>
  <c r="AY158" i="39"/>
  <c r="BK67" i="27"/>
  <c r="J84" i="28"/>
  <c r="J88" i="28"/>
  <c r="J92" i="28"/>
  <c r="EX55" i="27"/>
  <c r="FL158" i="39"/>
  <c r="DN46" i="26"/>
  <c r="EC180" i="39"/>
  <c r="DC67" i="27"/>
  <c r="F141" i="28"/>
  <c r="F143" i="28"/>
  <c r="F146" i="28"/>
  <c r="DQ183" i="39"/>
  <c r="CL30" i="27"/>
  <c r="CZ152" i="34"/>
  <c r="BU52" i="27"/>
  <c r="BU55" i="27"/>
  <c r="CI158" i="39"/>
  <c r="FE30" i="27"/>
  <c r="FS157" i="39"/>
  <c r="BL152" i="34"/>
  <c r="CY67" i="27"/>
  <c r="N128" i="28"/>
  <c r="N132" i="28"/>
  <c r="N136" i="28"/>
  <c r="DM183" i="39"/>
  <c r="BW74" i="27"/>
  <c r="CK154" i="34"/>
  <c r="CK30" i="27"/>
  <c r="CY157" i="39"/>
  <c r="DR52" i="27"/>
  <c r="DR55" i="27"/>
  <c r="EF158" i="39"/>
  <c r="FH52" i="27"/>
  <c r="FH55" i="27"/>
  <c r="FW149" i="58"/>
  <c r="FV157" i="39"/>
  <c r="AM46" i="26"/>
  <c r="BB175" i="34"/>
  <c r="DG46" i="26"/>
  <c r="DV180" i="39"/>
  <c r="DC152" i="34"/>
  <c r="P122" i="28"/>
  <c r="AE74" i="27"/>
  <c r="AS159" i="39"/>
  <c r="BU152" i="34"/>
  <c r="O111" i="28"/>
  <c r="O115" i="28"/>
  <c r="O119" i="28"/>
  <c r="DB178" i="34"/>
  <c r="CN46" i="26"/>
  <c r="DC180" i="39"/>
  <c r="BF67" i="27"/>
  <c r="BF52" i="27"/>
  <c r="BF55" i="27"/>
  <c r="BT158" i="39"/>
  <c r="BI52" i="27"/>
  <c r="BI55" i="27"/>
  <c r="BW153" i="34"/>
  <c r="CP46" i="26"/>
  <c r="DE180" i="39"/>
  <c r="AE46" i="26"/>
  <c r="AT175" i="34"/>
  <c r="CG46" i="26"/>
  <c r="CV175" i="34"/>
  <c r="DM46" i="26"/>
  <c r="EB180" i="39"/>
  <c r="BE30" i="27"/>
  <c r="BS157" i="39"/>
  <c r="BP30" i="27"/>
  <c r="CD152" i="34"/>
  <c r="AT74" i="27"/>
  <c r="BH154" i="34"/>
  <c r="EJ52" i="27"/>
  <c r="EJ55" i="27"/>
  <c r="EX158" i="39"/>
  <c r="K71" i="28"/>
  <c r="K75" i="28"/>
  <c r="K79" i="28"/>
  <c r="BN178" i="34"/>
  <c r="DD67" i="27"/>
  <c r="DD72" i="27"/>
  <c r="DD74" i="27"/>
  <c r="DR159" i="39"/>
  <c r="EF74" i="27"/>
  <c r="ET159" i="39"/>
  <c r="CC46" i="26"/>
  <c r="CR175" i="34"/>
  <c r="BO178" i="39"/>
  <c r="CX173" i="34"/>
  <c r="CF178" i="39"/>
  <c r="AV30" i="27"/>
  <c r="BJ152" i="34"/>
  <c r="DJ152" i="34"/>
  <c r="CU30" i="27"/>
  <c r="DI152" i="34"/>
  <c r="CM46" i="26"/>
  <c r="DB175" i="34"/>
  <c r="AW46" i="26"/>
  <c r="BL175" i="34"/>
  <c r="CE157" i="39"/>
  <c r="DD178" i="34"/>
  <c r="BN174" i="34"/>
  <c r="DY179" i="39"/>
  <c r="BU178" i="39"/>
  <c r="CH152" i="34"/>
  <c r="CG175" i="34"/>
  <c r="AW180" i="39"/>
  <c r="CV55" i="27"/>
  <c r="DJ153" i="34"/>
  <c r="BY173" i="34"/>
  <c r="BG152" i="34"/>
  <c r="BK157" i="39"/>
  <c r="DK174" i="34"/>
  <c r="DM174" i="34"/>
  <c r="AY174" i="34"/>
  <c r="BK173" i="34"/>
  <c r="AV159" i="39"/>
  <c r="BX152" i="34"/>
  <c r="FF55" i="27"/>
  <c r="FT158" i="39"/>
  <c r="CY173" i="34"/>
  <c r="CA179" i="39"/>
  <c r="EA46" i="26"/>
  <c r="EP180" i="39"/>
  <c r="FE46" i="26"/>
  <c r="FT180" i="39"/>
  <c r="FF46" i="26"/>
  <c r="FU180" i="39"/>
  <c r="CV46" i="26"/>
  <c r="DK175" i="34"/>
  <c r="CQ46" i="26"/>
  <c r="DF175" i="34"/>
  <c r="EU46" i="26"/>
  <c r="FJ180" i="39"/>
  <c r="DP46" i="26"/>
  <c r="EE180" i="39"/>
  <c r="BM46" i="26"/>
  <c r="CB175" i="34"/>
  <c r="CY46" i="26"/>
  <c r="DN180" i="39"/>
  <c r="AV46" i="26"/>
  <c r="BK180" i="39"/>
  <c r="BH46" i="26"/>
  <c r="BW180" i="39"/>
  <c r="BC153" i="34"/>
  <c r="AX175" i="34"/>
  <c r="DL158" i="39"/>
  <c r="CY175" i="34"/>
  <c r="AQ55" i="27"/>
  <c r="BE158" i="39"/>
  <c r="AX173" i="34"/>
  <c r="DH173" i="34"/>
  <c r="CB174" i="34"/>
  <c r="BV30" i="27"/>
  <c r="CJ157" i="39"/>
  <c r="ED30" i="27"/>
  <c r="ER157" i="39"/>
  <c r="CY179" i="39"/>
  <c r="CO157" i="39"/>
  <c r="L156" i="28"/>
  <c r="EI183" i="39"/>
  <c r="BW46" i="26"/>
  <c r="CL180" i="39"/>
  <c r="ES46" i="26"/>
  <c r="FH180" i="39"/>
  <c r="BL179" i="39"/>
  <c r="BL174" i="34"/>
  <c r="ED46" i="26"/>
  <c r="ES180" i="39"/>
  <c r="CE179" i="39"/>
  <c r="DX46" i="26"/>
  <c r="EM180" i="39"/>
  <c r="AZ175" i="34"/>
  <c r="CF174" i="34"/>
  <c r="AV152" i="34"/>
  <c r="BY152" i="34"/>
  <c r="DV55" i="27"/>
  <c r="EJ158" i="39"/>
  <c r="CM174" i="34"/>
  <c r="EA179" i="39"/>
  <c r="BF178" i="39"/>
  <c r="BF178" i="34"/>
  <c r="CQ178" i="39"/>
  <c r="BN46" i="26"/>
  <c r="CL46" i="26"/>
  <c r="DA175" i="34"/>
  <c r="CX158" i="39"/>
  <c r="AX157" i="39"/>
  <c r="CJ179" i="39"/>
  <c r="BH157" i="39"/>
  <c r="BA157" i="39"/>
  <c r="CH179" i="39"/>
  <c r="DE179" i="39"/>
  <c r="BO46" i="26"/>
  <c r="CD180" i="39"/>
  <c r="H71" i="28"/>
  <c r="H75" i="28"/>
  <c r="H79" i="28"/>
  <c r="BK183" i="39"/>
  <c r="AW72" i="27"/>
  <c r="AW74" i="27"/>
  <c r="BK154" i="34"/>
  <c r="CE153" i="34"/>
  <c r="ES55" i="27"/>
  <c r="FG158" i="39"/>
  <c r="CE30" i="27"/>
  <c r="CS157" i="39"/>
  <c r="BC30" i="27"/>
  <c r="BQ152" i="34"/>
  <c r="DE55" i="27"/>
  <c r="DS158" i="39"/>
  <c r="BA153" i="34"/>
  <c r="F34" i="42"/>
  <c r="FX195" i="58"/>
  <c r="CZ46" i="26"/>
  <c r="DO180" i="39"/>
  <c r="AB46" i="26"/>
  <c r="CX46" i="26"/>
  <c r="DM180" i="39"/>
  <c r="AG46" i="26"/>
  <c r="AV175" i="34"/>
  <c r="CE46" i="26"/>
  <c r="CT175" i="34"/>
  <c r="CI46" i="26"/>
  <c r="CX180" i="39"/>
  <c r="BE46" i="26"/>
  <c r="BT180" i="39"/>
  <c r="BP46" i="26"/>
  <c r="CE175" i="34"/>
  <c r="FC46" i="26"/>
  <c r="FR180" i="39"/>
  <c r="DS46" i="26"/>
  <c r="EH180" i="39"/>
  <c r="EF46" i="26"/>
  <c r="EU180" i="39"/>
  <c r="CT161" i="34"/>
  <c r="CT166" i="39"/>
  <c r="BC157" i="39"/>
  <c r="BC152" i="34"/>
  <c r="BB158" i="39"/>
  <c r="BB153" i="34"/>
  <c r="DG161" i="34"/>
  <c r="DG166" i="39"/>
  <c r="BT166" i="39"/>
  <c r="BT161" i="34"/>
  <c r="BB161" i="34"/>
  <c r="BB166" i="39"/>
  <c r="AR183" i="39"/>
  <c r="AR178" i="34"/>
  <c r="DK166" i="39"/>
  <c r="DK161" i="34"/>
  <c r="DM161" i="34"/>
  <c r="CG173" i="34"/>
  <c r="CG178" i="39"/>
  <c r="BV166" i="39"/>
  <c r="BV161" i="34"/>
  <c r="AS157" i="39"/>
  <c r="CF55" i="27"/>
  <c r="CT153" i="34"/>
  <c r="BG46" i="26"/>
  <c r="BV180" i="39"/>
  <c r="BC203" i="34"/>
  <c r="BC208" i="39"/>
  <c r="BL208" i="39"/>
  <c r="BL203" i="34"/>
  <c r="BJ161" i="34"/>
  <c r="BJ166" i="39"/>
  <c r="BC161" i="34"/>
  <c r="BC166" i="39"/>
  <c r="CK208" i="39"/>
  <c r="CU161" i="34"/>
  <c r="BB154" i="34"/>
  <c r="G156" i="28"/>
  <c r="ED183" i="39"/>
  <c r="BV152" i="34"/>
  <c r="BN161" i="34"/>
  <c r="AS74" i="27"/>
  <c r="BG159" i="39"/>
  <c r="BB46" i="26"/>
  <c r="BQ180" i="39"/>
  <c r="FV208" i="39"/>
  <c r="BN152" i="34"/>
  <c r="BS178" i="39"/>
  <c r="FA55" i="27"/>
  <c r="FO158" i="39"/>
  <c r="BP203" i="34"/>
  <c r="BP208" i="39"/>
  <c r="BB173" i="39"/>
  <c r="BB168" i="34"/>
  <c r="EC74" i="27"/>
  <c r="EQ159" i="39"/>
  <c r="EE55" i="27"/>
  <c r="ES158" i="39"/>
  <c r="DP74" i="27"/>
  <c r="ED159" i="39"/>
  <c r="DT30" i="27"/>
  <c r="EH157" i="39"/>
  <c r="AL74" i="27"/>
  <c r="AZ154" i="34"/>
  <c r="EJ74" i="27"/>
  <c r="EX159" i="39"/>
  <c r="AQ46" i="26"/>
  <c r="BF180" i="39"/>
  <c r="AG161" i="34"/>
  <c r="AG166" i="39"/>
  <c r="AQ161" i="34"/>
  <c r="AQ166" i="39"/>
  <c r="CD55" i="27"/>
  <c r="CR158" i="39"/>
  <c r="BH178" i="34"/>
  <c r="ET74" i="27"/>
  <c r="FH159" i="39"/>
  <c r="AX55" i="27"/>
  <c r="BL158" i="39"/>
  <c r="AR175" i="34"/>
  <c r="BG55" i="27"/>
  <c r="BU153" i="34"/>
  <c r="FE74" i="27"/>
  <c r="FS159" i="39"/>
  <c r="CT203" i="34"/>
  <c r="BJ74" i="27"/>
  <c r="BX159" i="39"/>
  <c r="CH74" i="27"/>
  <c r="CV159" i="39"/>
  <c r="AC166" i="39"/>
  <c r="AC161" i="34"/>
  <c r="AA161" i="34"/>
  <c r="AA166" i="39"/>
  <c r="AI161" i="34"/>
  <c r="AI166" i="39"/>
  <c r="BE21" i="43"/>
  <c r="BE23" i="43"/>
  <c r="BE25" i="43"/>
  <c r="BE20" i="43"/>
  <c r="BE22" i="43"/>
  <c r="BE24" i="43"/>
  <c r="BE42" i="43"/>
  <c r="BF42" i="43"/>
  <c r="CO74" i="27"/>
  <c r="DC159" i="39"/>
  <c r="AZ158" i="39"/>
  <c r="FE55" i="27"/>
  <c r="FS158" i="39"/>
  <c r="AT55" i="27"/>
  <c r="BH158" i="39"/>
  <c r="EU55" i="27"/>
  <c r="FI158" i="39"/>
  <c r="AS55" i="27"/>
  <c r="BG158" i="39"/>
  <c r="DX74" i="27"/>
  <c r="EL159" i="39"/>
  <c r="CP55" i="27"/>
  <c r="CR30" i="27"/>
  <c r="DF157" i="39"/>
  <c r="EG55" i="27"/>
  <c r="EU158" i="39"/>
  <c r="CO55" i="27"/>
  <c r="CA52" i="27"/>
  <c r="CA55" i="27"/>
  <c r="CA67" i="27"/>
  <c r="DY46" i="26"/>
  <c r="EN180" i="39"/>
  <c r="CT46" i="26"/>
  <c r="DI180" i="39"/>
  <c r="EZ46" i="26"/>
  <c r="FO180" i="39"/>
  <c r="AU161" i="34"/>
  <c r="AU166" i="39"/>
  <c r="L25" i="44"/>
  <c r="AY159" i="39"/>
  <c r="AY154" i="34"/>
  <c r="BR30" i="27"/>
  <c r="CF157" i="39"/>
  <c r="DU55" i="27"/>
  <c r="EI158" i="39"/>
  <c r="EC55" i="27"/>
  <c r="EQ158" i="39"/>
  <c r="CG55" i="27"/>
  <c r="CU153" i="34"/>
  <c r="FI55" i="27"/>
  <c r="FX149" i="58"/>
  <c r="AY55" i="27"/>
  <c r="BM158" i="39"/>
  <c r="CH55" i="27"/>
  <c r="CV158" i="39"/>
  <c r="BH55" i="27"/>
  <c r="BV153" i="34"/>
  <c r="AS203" i="34"/>
  <c r="CM152" i="34"/>
  <c r="CM157" i="39"/>
  <c r="BY67" i="27"/>
  <c r="BY52" i="27"/>
  <c r="BY55" i="27"/>
  <c r="O44" i="28"/>
  <c r="O50" i="28"/>
  <c r="O53" i="28"/>
  <c r="AF73" i="27"/>
  <c r="EV67" i="27"/>
  <c r="EV72" i="27"/>
  <c r="EV74" i="27"/>
  <c r="FJ159" i="39"/>
  <c r="EV52" i="27"/>
  <c r="EV55" i="27"/>
  <c r="FJ158" i="39"/>
  <c r="M122" i="28"/>
  <c r="CZ67" i="27"/>
  <c r="CZ52" i="27"/>
  <c r="CZ55" i="27"/>
  <c r="DN158" i="39"/>
  <c r="CL152" i="34"/>
  <c r="EE74" i="27"/>
  <c r="ES159" i="39"/>
  <c r="BL30" i="27"/>
  <c r="BZ152" i="34"/>
  <c r="BH72" i="27"/>
  <c r="BH74" i="27"/>
  <c r="G84" i="28"/>
  <c r="G88" i="28"/>
  <c r="G92" i="28"/>
  <c r="O71" i="28"/>
  <c r="O75" i="28"/>
  <c r="O79" i="28"/>
  <c r="BD72" i="27"/>
  <c r="BD74" i="27"/>
  <c r="K156" i="28"/>
  <c r="EH183" i="39"/>
  <c r="AL46" i="26"/>
  <c r="BA180" i="39"/>
  <c r="BD46" i="26"/>
  <c r="BS175" i="34"/>
  <c r="BJ46" i="26"/>
  <c r="BY180" i="39"/>
  <c r="EK46" i="26"/>
  <c r="EZ180" i="39"/>
  <c r="CK55" i="27"/>
  <c r="CY158" i="39"/>
  <c r="BW55" i="27"/>
  <c r="CK153" i="34"/>
  <c r="EM46" i="26"/>
  <c r="FB180" i="39"/>
  <c r="BV46" i="26"/>
  <c r="CK180" i="39"/>
  <c r="EC46" i="26"/>
  <c r="ER180" i="39"/>
  <c r="CB154" i="34"/>
  <c r="FB46" i="26"/>
  <c r="FQ180" i="39"/>
  <c r="DH46" i="26"/>
  <c r="DW180" i="39"/>
  <c r="AR46" i="26"/>
  <c r="BG175" i="34"/>
  <c r="BL46" i="26"/>
  <c r="CA180" i="39"/>
  <c r="AS46" i="26"/>
  <c r="BH180" i="39"/>
  <c r="EG46" i="26"/>
  <c r="EV180" i="39"/>
  <c r="BI46" i="26"/>
  <c r="BX175" i="34"/>
  <c r="BK46" i="26"/>
  <c r="BZ175" i="34"/>
  <c r="EQ46" i="26"/>
  <c r="FF180" i="39"/>
  <c r="BY46" i="26"/>
  <c r="CN180" i="39"/>
  <c r="CK46" i="26"/>
  <c r="CZ175" i="34"/>
  <c r="FD46" i="26"/>
  <c r="FS180" i="39"/>
  <c r="AP46" i="26"/>
  <c r="BE175" i="34"/>
  <c r="DQ46" i="26"/>
  <c r="EF180" i="39"/>
  <c r="BF46" i="26"/>
  <c r="BU175" i="34"/>
  <c r="J139" i="28"/>
  <c r="J142" i="28"/>
  <c r="BI178" i="39"/>
  <c r="BC46" i="26"/>
  <c r="BR175" i="34"/>
  <c r="CO46" i="26"/>
  <c r="DD175" i="34"/>
  <c r="ET46" i="26"/>
  <c r="FI180" i="39"/>
  <c r="BT157" i="39"/>
  <c r="CA157" i="39"/>
  <c r="AY180" i="39"/>
  <c r="BE152" i="34"/>
  <c r="BA178" i="39"/>
  <c r="AZ157" i="39"/>
  <c r="AZ152" i="34"/>
  <c r="CT152" i="34"/>
  <c r="BZ178" i="39"/>
  <c r="CU174" i="34"/>
  <c r="AE55" i="27"/>
  <c r="AS158" i="39"/>
  <c r="CO173" i="34"/>
  <c r="DL179" i="39"/>
  <c r="DK152" i="34"/>
  <c r="DM152" i="34"/>
  <c r="EN55" i="27"/>
  <c r="FB158" i="39"/>
  <c r="DA157" i="39"/>
  <c r="BZ55" i="27"/>
  <c r="CN153" i="34"/>
  <c r="CW174" i="34"/>
  <c r="BD178" i="34"/>
  <c r="BD183" i="39"/>
  <c r="CK152" i="34"/>
  <c r="DF46" i="26"/>
  <c r="DU180" i="39"/>
  <c r="AT174" i="34"/>
  <c r="AT179" i="39"/>
  <c r="BA46" i="26"/>
  <c r="BP175" i="34"/>
  <c r="BX46" i="26"/>
  <c r="CM175" i="34"/>
  <c r="EP46" i="26"/>
  <c r="FE180" i="39"/>
  <c r="DA46" i="26"/>
  <c r="DP180" i="39"/>
  <c r="BP152" i="34"/>
  <c r="AV153" i="34"/>
  <c r="AO46" i="26"/>
  <c r="BD180" i="39"/>
  <c r="DU46" i="26"/>
  <c r="EJ180" i="39"/>
  <c r="AD46" i="26"/>
  <c r="AS175" i="34"/>
  <c r="EI46" i="26"/>
  <c r="EX180" i="39"/>
  <c r="CY55" i="27"/>
  <c r="DM158" i="39"/>
  <c r="BT46" i="26"/>
  <c r="EB46" i="26"/>
  <c r="EQ180" i="39"/>
  <c r="CI157" i="39"/>
  <c r="CU152" i="34"/>
  <c r="CU157" i="39"/>
  <c r="EN46" i="26"/>
  <c r="FC180" i="39"/>
  <c r="DF173" i="34"/>
  <c r="DF178" i="39"/>
  <c r="CK178" i="39"/>
  <c r="BY158" i="39"/>
  <c r="DI178" i="39"/>
  <c r="BZ174" i="34"/>
  <c r="CX178" i="34"/>
  <c r="K122" i="28"/>
  <c r="AX154" i="34"/>
  <c r="DK46" i="26"/>
  <c r="DZ180" i="39"/>
  <c r="CD46" i="26"/>
  <c r="CS175" i="34"/>
  <c r="FA46" i="26"/>
  <c r="FP180" i="39"/>
  <c r="AY46" i="26"/>
  <c r="BN180" i="39"/>
  <c r="CW46" i="26"/>
  <c r="DL175" i="34"/>
  <c r="AZ178" i="39"/>
  <c r="AZ173" i="34"/>
  <c r="AW178" i="34"/>
  <c r="AW183" i="39"/>
  <c r="CN152" i="34"/>
  <c r="CN157" i="39"/>
  <c r="CV157" i="39"/>
  <c r="CV152" i="34"/>
  <c r="BF154" i="34"/>
  <c r="CZ178" i="34"/>
  <c r="AW152" i="34"/>
  <c r="BB55" i="27"/>
  <c r="BW157" i="39"/>
  <c r="CR157" i="39"/>
  <c r="DW46" i="26"/>
  <c r="EL180" i="39"/>
  <c r="O283" i="25"/>
  <c r="O286" i="25"/>
  <c r="FX169" i="58"/>
  <c r="FH20" i="26"/>
  <c r="FH24" i="26"/>
  <c r="FI65" i="27"/>
  <c r="FI70" i="27"/>
  <c r="FI74" i="27"/>
  <c r="FX150" i="58"/>
  <c r="FH65" i="27"/>
  <c r="FH70" i="27"/>
  <c r="FH74" i="27"/>
  <c r="FW150" i="58"/>
  <c r="FG20" i="26"/>
  <c r="FG24" i="26"/>
  <c r="N283" i="25"/>
  <c r="N286" i="25"/>
  <c r="FW169" i="58"/>
  <c r="FI20" i="26"/>
  <c r="CH154" i="34"/>
  <c r="CH159" i="39"/>
  <c r="DA158" i="39"/>
  <c r="DA153" i="34"/>
  <c r="DD159" i="39"/>
  <c r="DD154" i="34"/>
  <c r="DA159" i="39"/>
  <c r="DA154" i="34"/>
  <c r="DW67" i="27"/>
  <c r="DW72" i="27"/>
  <c r="DW74" i="27"/>
  <c r="EK159" i="39"/>
  <c r="DW52" i="27"/>
  <c r="DW55" i="27"/>
  <c r="EK158" i="39"/>
  <c r="CA161" i="34"/>
  <c r="CA166" i="39"/>
  <c r="CD208" i="39"/>
  <c r="DX55" i="27"/>
  <c r="EL158" i="39"/>
  <c r="BA30" i="27"/>
  <c r="BO152" i="34"/>
  <c r="CA46" i="26"/>
  <c r="CP175" i="34"/>
  <c r="CM173" i="34"/>
  <c r="CM178" i="39"/>
  <c r="EQ52" i="27"/>
  <c r="EQ55" i="27"/>
  <c r="FE158" i="39"/>
  <c r="EQ67" i="27"/>
  <c r="EQ72" i="27"/>
  <c r="EQ74" i="27"/>
  <c r="FE159" i="39"/>
  <c r="CU67" i="27"/>
  <c r="CU52" i="27"/>
  <c r="CU55" i="27"/>
  <c r="E167" i="29"/>
  <c r="F163" i="29"/>
  <c r="BW161" i="34"/>
  <c r="BW166" i="39"/>
  <c r="AW154" i="34"/>
  <c r="CA203" i="34"/>
  <c r="FF74" i="27"/>
  <c r="FT159" i="39"/>
  <c r="FV159" i="39"/>
  <c r="AJ55" i="27"/>
  <c r="CR46" i="26"/>
  <c r="DD55" i="27"/>
  <c r="DR158" i="39"/>
  <c r="CQ72" i="27"/>
  <c r="CQ74" i="27"/>
  <c r="F128" i="28"/>
  <c r="F132" i="28"/>
  <c r="F136" i="28"/>
  <c r="CE166" i="39"/>
  <c r="CE161" i="34"/>
  <c r="BS161" i="34"/>
  <c r="BS166" i="39"/>
  <c r="ET55" i="27"/>
  <c r="FH158" i="39"/>
  <c r="BB152" i="34"/>
  <c r="BB157" i="39"/>
  <c r="F97" i="28"/>
  <c r="F101" i="28"/>
  <c r="F105" i="28"/>
  <c r="BS72" i="27"/>
  <c r="BS74" i="27"/>
  <c r="DG72" i="27"/>
  <c r="DG74" i="27"/>
  <c r="DU159" i="39"/>
  <c r="J141" i="28"/>
  <c r="J143" i="28"/>
  <c r="H97" i="28"/>
  <c r="H101" i="28"/>
  <c r="H105" i="28"/>
  <c r="BU72" i="27"/>
  <c r="BU74" i="27"/>
  <c r="I71" i="28"/>
  <c r="I75" i="28"/>
  <c r="I79" i="28"/>
  <c r="AX72" i="27"/>
  <c r="AX74" i="27"/>
  <c r="EO67" i="27"/>
  <c r="EO72" i="27"/>
  <c r="EO74" i="27"/>
  <c r="FC159" i="39"/>
  <c r="EO52" i="27"/>
  <c r="EO55" i="27"/>
  <c r="FC158" i="39"/>
  <c r="EB67" i="27"/>
  <c r="EB72" i="27"/>
  <c r="EB74" i="27"/>
  <c r="EP159" i="39"/>
  <c r="EB52" i="27"/>
  <c r="EB55" i="27"/>
  <c r="EP158" i="39"/>
  <c r="L111" i="28"/>
  <c r="L115" i="28"/>
  <c r="L119" i="28"/>
  <c r="CK72" i="27"/>
  <c r="CK74" i="27"/>
  <c r="BZ72" i="27"/>
  <c r="BZ74" i="27"/>
  <c r="CN159" i="39"/>
  <c r="M97" i="28"/>
  <c r="M101" i="28"/>
  <c r="M105" i="28"/>
  <c r="DH157" i="39"/>
  <c r="DH152" i="34"/>
  <c r="DE72" i="27"/>
  <c r="DE74" i="27"/>
  <c r="DS159" i="39"/>
  <c r="H141" i="28"/>
  <c r="H143" i="28"/>
  <c r="H146" i="28"/>
  <c r="DS183" i="39"/>
  <c r="CS67" i="27"/>
  <c r="CS52" i="27"/>
  <c r="CS55" i="27"/>
  <c r="P141" i="28"/>
  <c r="P143" i="28"/>
  <c r="P146" i="28"/>
  <c r="EA183" i="39"/>
  <c r="DM72" i="27"/>
  <c r="DM74" i="27"/>
  <c r="EA159" i="39"/>
  <c r="CG72" i="27"/>
  <c r="CG74" i="27"/>
  <c r="CU154" i="34"/>
  <c r="H111" i="28"/>
  <c r="H115" i="28"/>
  <c r="H119" i="28"/>
  <c r="BL52" i="27"/>
  <c r="BL55" i="27"/>
  <c r="BL67" i="27"/>
  <c r="CP157" i="39"/>
  <c r="CP152" i="34"/>
  <c r="FB52" i="27"/>
  <c r="FB55" i="27"/>
  <c r="FP158" i="39"/>
  <c r="FB67" i="27"/>
  <c r="FB72" i="27"/>
  <c r="FB74" i="27"/>
  <c r="FP159" i="39"/>
  <c r="AT46" i="26"/>
  <c r="BI180" i="39"/>
  <c r="DI46" i="26"/>
  <c r="DX180" i="39"/>
  <c r="CB178" i="34"/>
  <c r="CB183" i="39"/>
  <c r="CR52" i="27"/>
  <c r="CR55" i="27"/>
  <c r="CR67" i="27"/>
  <c r="CT67" i="27"/>
  <c r="CT52" i="27"/>
  <c r="CT55" i="27"/>
  <c r="DJ67" i="27"/>
  <c r="DJ52" i="27"/>
  <c r="DJ55" i="27"/>
  <c r="DX158" i="39"/>
  <c r="FD67" i="27"/>
  <c r="FD72" i="27"/>
  <c r="FD74" i="27"/>
  <c r="FR159" i="39"/>
  <c r="FD52" i="27"/>
  <c r="FD55" i="27"/>
  <c r="FR158" i="39"/>
  <c r="CW52" i="27"/>
  <c r="CW55" i="27"/>
  <c r="CW67" i="27"/>
  <c r="BP52" i="27"/>
  <c r="BP55" i="27"/>
  <c r="CD158" i="39"/>
  <c r="BP67" i="27"/>
  <c r="BX67" i="27"/>
  <c r="BX52" i="27"/>
  <c r="BX55" i="27"/>
  <c r="CB67" i="27"/>
  <c r="CB52" i="27"/>
  <c r="CB55" i="27"/>
  <c r="DT52" i="27"/>
  <c r="DT55" i="27"/>
  <c r="EH158" i="39"/>
  <c r="DT67" i="27"/>
  <c r="DT72" i="27"/>
  <c r="DT74" i="27"/>
  <c r="EH159" i="39"/>
  <c r="AX46" i="26"/>
  <c r="DO46" i="26"/>
  <c r="ED180" i="39"/>
  <c r="CY208" i="39"/>
  <c r="CY203" i="34"/>
  <c r="DL178" i="39"/>
  <c r="DL173" i="34"/>
  <c r="DM173" i="34"/>
  <c r="DB174" i="34"/>
  <c r="DB179" i="39"/>
  <c r="CQ157" i="39"/>
  <c r="CQ152" i="34"/>
  <c r="CP173" i="34"/>
  <c r="CP178" i="39"/>
  <c r="AG47" i="27"/>
  <c r="AG27" i="27"/>
  <c r="AG30" i="27"/>
  <c r="AT157" i="39"/>
  <c r="AT152" i="34"/>
  <c r="CZ158" i="39"/>
  <c r="CZ153" i="34"/>
  <c r="AV208" i="39"/>
  <c r="AV203" i="34"/>
  <c r="CW208" i="39"/>
  <c r="CW203" i="34"/>
  <c r="CZ203" i="34"/>
  <c r="CZ208" i="39"/>
  <c r="AV67" i="27"/>
  <c r="AV52" i="27"/>
  <c r="AV55" i="27"/>
  <c r="BX158" i="39"/>
  <c r="BX153" i="34"/>
  <c r="BT208" i="39"/>
  <c r="BT203" i="34"/>
  <c r="BX203" i="34"/>
  <c r="BX208" i="39"/>
  <c r="CW152" i="34"/>
  <c r="CW157" i="39"/>
  <c r="AZ203" i="34"/>
  <c r="AZ208" i="39"/>
  <c r="I122" i="28"/>
  <c r="CV178" i="34"/>
  <c r="CV183" i="39"/>
  <c r="DB173" i="34"/>
  <c r="DB178" i="39"/>
  <c r="E141" i="28"/>
  <c r="E143" i="28"/>
  <c r="E146" i="28"/>
  <c r="DP183" i="39"/>
  <c r="DB72" i="27"/>
  <c r="DB74" i="27"/>
  <c r="DP159" i="39"/>
  <c r="DB157" i="39"/>
  <c r="DB152" i="34"/>
  <c r="CQ208" i="39"/>
  <c r="CQ203" i="34"/>
  <c r="CP203" i="34"/>
  <c r="CP208" i="39"/>
  <c r="CL203" i="34"/>
  <c r="CL208" i="39"/>
  <c r="DH203" i="34"/>
  <c r="DH208" i="39"/>
  <c r="AY72" i="27"/>
  <c r="AY74" i="27"/>
  <c r="J71" i="28"/>
  <c r="J75" i="28"/>
  <c r="J79" i="28"/>
  <c r="BC52" i="27"/>
  <c r="BC55" i="27"/>
  <c r="BC67" i="27"/>
  <c r="BE52" i="27"/>
  <c r="BE55" i="27"/>
  <c r="BE67" i="27"/>
  <c r="BR67" i="27"/>
  <c r="BR52" i="27"/>
  <c r="BR55" i="27"/>
  <c r="BN154" i="34"/>
  <c r="BN159" i="39"/>
  <c r="H84" i="28"/>
  <c r="H88" i="28"/>
  <c r="H92" i="28"/>
  <c r="BI72" i="27"/>
  <c r="BI74" i="27"/>
  <c r="DI52" i="27"/>
  <c r="DI55" i="27"/>
  <c r="DW158" i="39"/>
  <c r="DI67" i="27"/>
  <c r="ED52" i="27"/>
  <c r="ED55" i="27"/>
  <c r="ER158" i="39"/>
  <c r="ED67" i="27"/>
  <c r="ED72" i="27"/>
  <c r="ED74" i="27"/>
  <c r="ER159" i="39"/>
  <c r="CU46" i="26"/>
  <c r="EL46" i="26"/>
  <c r="FA180" i="39"/>
  <c r="EW46" i="26"/>
  <c r="FL180" i="39"/>
  <c r="EX46" i="26"/>
  <c r="FM180" i="39"/>
  <c r="DB55" i="27"/>
  <c r="DP158" i="39"/>
  <c r="BQ46" i="26"/>
  <c r="CB46" i="26"/>
  <c r="BF152" i="34"/>
  <c r="BF157" i="39"/>
  <c r="AF52" i="27"/>
  <c r="AF55" i="27"/>
  <c r="AF67" i="27"/>
  <c r="AF72" i="27"/>
  <c r="BD203" i="34"/>
  <c r="BD208" i="39"/>
  <c r="BY203" i="34"/>
  <c r="BY208" i="39"/>
  <c r="CO208" i="39"/>
  <c r="CO203" i="34"/>
  <c r="CV208" i="39"/>
  <c r="CV203" i="34"/>
  <c r="DL208" i="39"/>
  <c r="DL203" i="34"/>
  <c r="DM203" i="34"/>
  <c r="BF158" i="39"/>
  <c r="BF153" i="34"/>
  <c r="K128" i="28"/>
  <c r="K132" i="28"/>
  <c r="K136" i="28"/>
  <c r="CV72" i="27"/>
  <c r="CV74" i="27"/>
  <c r="CC52" i="27"/>
  <c r="CC55" i="27"/>
  <c r="CC67" i="27"/>
  <c r="CE52" i="27"/>
  <c r="CE55" i="27"/>
  <c r="CS158" i="39"/>
  <c r="CE67" i="27"/>
  <c r="CI52" i="27"/>
  <c r="CI55" i="27"/>
  <c r="CI67" i="27"/>
  <c r="DB153" i="34"/>
  <c r="DB158" i="39"/>
  <c r="DD157" i="39"/>
  <c r="DD152" i="34"/>
  <c r="BF203" i="34"/>
  <c r="BF208" i="39"/>
  <c r="CR208" i="39"/>
  <c r="CR203" i="34"/>
  <c r="BA67" i="27"/>
  <c r="BA52" i="27"/>
  <c r="BA55" i="27"/>
  <c r="BV52" i="27"/>
  <c r="BV55" i="27"/>
  <c r="BV67" i="27"/>
  <c r="BM72" i="27"/>
  <c r="BM74" i="27"/>
  <c r="L84" i="28"/>
  <c r="L88" i="28"/>
  <c r="L92" i="28"/>
  <c r="BB72" i="27"/>
  <c r="BB74" i="27"/>
  <c r="M71" i="28"/>
  <c r="M75" i="28"/>
  <c r="M79" i="28"/>
  <c r="BQ208" i="39"/>
  <c r="BQ203" i="34"/>
  <c r="DK52" i="27"/>
  <c r="DK55" i="27"/>
  <c r="DY158" i="39"/>
  <c r="DK67" i="27"/>
  <c r="EE46" i="26"/>
  <c r="ET180" i="39"/>
  <c r="DC46" i="26"/>
  <c r="DR180" i="39"/>
  <c r="BD157" i="39"/>
  <c r="BD152" i="34"/>
  <c r="AY152" i="34"/>
  <c r="AY157" i="39"/>
  <c r="CI208" i="39"/>
  <c r="CI203" i="34"/>
  <c r="BE154" i="34"/>
  <c r="BE159" i="39"/>
  <c r="BJ203" i="34"/>
  <c r="BJ208" i="39"/>
  <c r="AF161" i="34"/>
  <c r="AF166" i="39"/>
  <c r="CH183" i="39"/>
  <c r="CH178" i="34"/>
  <c r="BM152" i="34"/>
  <c r="BM157" i="39"/>
  <c r="CH208" i="39"/>
  <c r="CH203" i="34"/>
  <c r="AV183" i="39"/>
  <c r="AV178" i="34"/>
  <c r="CB203" i="34"/>
  <c r="CB208" i="39"/>
  <c r="AM161" i="34"/>
  <c r="AM166" i="39"/>
  <c r="BU46" i="26"/>
  <c r="CJ180" i="39"/>
  <c r="AF46" i="26"/>
  <c r="AU175" i="34"/>
  <c r="AU30" i="27"/>
  <c r="AZ183" i="39"/>
  <c r="AZ178" i="34"/>
  <c r="BD153" i="34"/>
  <c r="BD158" i="39"/>
  <c r="DA208" i="39"/>
  <c r="DA203" i="34"/>
  <c r="I15" i="44"/>
  <c r="AU67" i="27"/>
  <c r="AU52" i="27"/>
  <c r="AU55" i="27"/>
  <c r="CM203" i="34"/>
  <c r="CM208" i="39"/>
  <c r="AU46" i="26"/>
  <c r="EU74" i="27"/>
  <c r="FI159" i="39"/>
  <c r="CD72" i="27"/>
  <c r="CD74" i="27"/>
  <c r="E111" i="28"/>
  <c r="E115" i="28"/>
  <c r="E119" i="28"/>
  <c r="CH153" i="34"/>
  <c r="CH158" i="39"/>
  <c r="BR158" i="39"/>
  <c r="BR153" i="34"/>
  <c r="CE159" i="39"/>
  <c r="CE154" i="34"/>
  <c r="DL159" i="39"/>
  <c r="DL154" i="34"/>
  <c r="P156" i="28"/>
  <c r="EM183" i="39"/>
  <c r="P152" i="28"/>
  <c r="EK52" i="27"/>
  <c r="EK55" i="27"/>
  <c r="EY158" i="39"/>
  <c r="EK67" i="27"/>
  <c r="EK72" i="27"/>
  <c r="EK74" i="27"/>
  <c r="EY159" i="39"/>
  <c r="AG53" i="27"/>
  <c r="AG68" i="27"/>
  <c r="DS67" i="27"/>
  <c r="DS72" i="27"/>
  <c r="DS74" i="27"/>
  <c r="EG159" i="39"/>
  <c r="DS52" i="27"/>
  <c r="DS55" i="27"/>
  <c r="EG158" i="39"/>
  <c r="CY166" i="39"/>
  <c r="CY161" i="34"/>
  <c r="CV166" i="39"/>
  <c r="CV161" i="34"/>
  <c r="K141" i="28"/>
  <c r="K143" i="28"/>
  <c r="K146" i="28"/>
  <c r="DV183" i="39"/>
  <c r="DH72" i="27"/>
  <c r="DH74" i="27"/>
  <c r="DV159" i="39"/>
  <c r="CG152" i="34"/>
  <c r="CG157" i="39"/>
  <c r="DF52" i="27"/>
  <c r="DF55" i="27"/>
  <c r="DT158" i="39"/>
  <c r="DF67" i="27"/>
  <c r="EP52" i="27"/>
  <c r="EP55" i="27"/>
  <c r="FD158" i="39"/>
  <c r="EP67" i="27"/>
  <c r="EP72" i="27"/>
  <c r="EP74" i="27"/>
  <c r="FD159" i="39"/>
  <c r="EZ67" i="27"/>
  <c r="EZ72" i="27"/>
  <c r="EZ74" i="27"/>
  <c r="FN159" i="39"/>
  <c r="EZ52" i="27"/>
  <c r="EZ55" i="27"/>
  <c r="FN158" i="39"/>
  <c r="DA72" i="27"/>
  <c r="DA74" i="27"/>
  <c r="DO159" i="39"/>
  <c r="P128" i="28"/>
  <c r="P132" i="28"/>
  <c r="P136" i="28"/>
  <c r="DO183" i="39"/>
  <c r="CH175" i="34"/>
  <c r="BC175" i="34"/>
  <c r="BC180" i="39"/>
  <c r="BF161" i="34"/>
  <c r="BF166" i="39"/>
  <c r="DF161" i="34"/>
  <c r="DF166" i="39"/>
  <c r="CJ173" i="34"/>
  <c r="CJ178" i="39"/>
  <c r="CO175" i="34"/>
  <c r="CO180" i="39"/>
  <c r="BR157" i="39"/>
  <c r="BR152" i="34"/>
  <c r="CT173" i="39"/>
  <c r="CT168" i="34"/>
  <c r="CE183" i="39"/>
  <c r="CE178" i="34"/>
  <c r="CT178" i="34"/>
  <c r="G122" i="28"/>
  <c r="CT183" i="39"/>
  <c r="BU159" i="39"/>
  <c r="BU154" i="34"/>
  <c r="DL178" i="34"/>
  <c r="DL183" i="39"/>
  <c r="CW161" i="34"/>
  <c r="CW166" i="39"/>
  <c r="M142" i="28"/>
  <c r="DE46" i="26"/>
  <c r="DT180" i="39"/>
  <c r="CH46" i="26"/>
  <c r="CF46" i="26"/>
  <c r="DR46" i="26"/>
  <c r="EG180" i="39"/>
  <c r="AZ46" i="26"/>
  <c r="EJ46" i="26"/>
  <c r="EY180" i="39"/>
  <c r="EO46" i="26"/>
  <c r="FD180" i="39"/>
  <c r="CS46" i="26"/>
  <c r="DB46" i="26"/>
  <c r="DQ180" i="39"/>
  <c r="DZ46" i="26"/>
  <c r="EO180" i="39"/>
  <c r="EY46" i="26"/>
  <c r="FN180" i="39"/>
  <c r="DV46" i="26"/>
  <c r="EK180" i="39"/>
  <c r="DJ46" i="26"/>
  <c r="DY180" i="39"/>
  <c r="DB154" i="34"/>
  <c r="BX178" i="34"/>
  <c r="FV158" i="39"/>
  <c r="DE152" i="34"/>
  <c r="CT154" i="34"/>
  <c r="CZ154" i="34"/>
  <c r="CA153" i="34"/>
  <c r="AW153" i="34"/>
  <c r="BK72" i="27"/>
  <c r="BK74" i="27"/>
  <c r="BY159" i="39"/>
  <c r="BN158" i="39"/>
  <c r="J15" i="41"/>
  <c r="DC72" i="27"/>
  <c r="DC74" i="27"/>
  <c r="DQ159" i="39"/>
  <c r="BB180" i="39"/>
  <c r="DC175" i="34"/>
  <c r="CZ157" i="39"/>
  <c r="BK158" i="39"/>
  <c r="BU178" i="34"/>
  <c r="AY153" i="34"/>
  <c r="BN183" i="39"/>
  <c r="CV180" i="39"/>
  <c r="CY152" i="34"/>
  <c r="DE153" i="34"/>
  <c r="DG157" i="39"/>
  <c r="CK183" i="39"/>
  <c r="AT180" i="39"/>
  <c r="AZ159" i="39"/>
  <c r="BE153" i="34"/>
  <c r="O122" i="28"/>
  <c r="BW175" i="34"/>
  <c r="CL175" i="34"/>
  <c r="BJ157" i="39"/>
  <c r="CY72" i="27"/>
  <c r="CY74" i="27"/>
  <c r="DM159" i="39"/>
  <c r="AS154" i="34"/>
  <c r="CK159" i="39"/>
  <c r="DB183" i="39"/>
  <c r="CG153" i="34"/>
  <c r="BH159" i="39"/>
  <c r="BS152" i="34"/>
  <c r="DJ158" i="39"/>
  <c r="DI157" i="39"/>
  <c r="E84" i="28"/>
  <c r="E88" i="28"/>
  <c r="E92" i="28"/>
  <c r="BF72" i="27"/>
  <c r="BF74" i="27"/>
  <c r="BU180" i="39"/>
  <c r="DF180" i="39"/>
  <c r="DE175" i="34"/>
  <c r="BL180" i="39"/>
  <c r="CR180" i="39"/>
  <c r="DB180" i="39"/>
  <c r="G141" i="28"/>
  <c r="G143" i="28"/>
  <c r="G146" i="28"/>
  <c r="DR183" i="39"/>
  <c r="CD157" i="39"/>
  <c r="CX175" i="34"/>
  <c r="DM175" i="34"/>
  <c r="BK159" i="39"/>
  <c r="J146" i="28"/>
  <c r="DU183" i="39"/>
  <c r="FV180" i="39"/>
  <c r="BH153" i="34"/>
  <c r="CD175" i="34"/>
  <c r="BR180" i="39"/>
  <c r="CB180" i="39"/>
  <c r="BK175" i="34"/>
  <c r="CJ152" i="34"/>
  <c r="DK180" i="39"/>
  <c r="DI175" i="34"/>
  <c r="BK178" i="34"/>
  <c r="CS152" i="34"/>
  <c r="CZ180" i="39"/>
  <c r="BX180" i="39"/>
  <c r="CR153" i="34"/>
  <c r="BT175" i="34"/>
  <c r="BG180" i="39"/>
  <c r="CF152" i="34"/>
  <c r="DA180" i="39"/>
  <c r="BA175" i="34"/>
  <c r="BV175" i="34"/>
  <c r="BM153" i="34"/>
  <c r="BP180" i="39"/>
  <c r="CA175" i="34"/>
  <c r="BZ180" i="39"/>
  <c r="DL180" i="39"/>
  <c r="DD180" i="39"/>
  <c r="BQ157" i="39"/>
  <c r="BG153" i="34"/>
  <c r="CT180" i="39"/>
  <c r="CE180" i="39"/>
  <c r="CY153" i="34"/>
  <c r="CV154" i="34"/>
  <c r="BW158" i="39"/>
  <c r="CT158" i="39"/>
  <c r="BG154" i="34"/>
  <c r="CU158" i="39"/>
  <c r="CS180" i="39"/>
  <c r="BZ157" i="39"/>
  <c r="BI175" i="34"/>
  <c r="BQ175" i="34"/>
  <c r="BL153" i="34"/>
  <c r="AV180" i="39"/>
  <c r="G49" i="48"/>
  <c r="G50" i="48"/>
  <c r="FX178" i="58"/>
  <c r="AF74" i="27"/>
  <c r="AT154" i="34"/>
  <c r="BT153" i="34"/>
  <c r="BF175" i="34"/>
  <c r="BS180" i="39"/>
  <c r="BV158" i="39"/>
  <c r="CI153" i="34"/>
  <c r="CN154" i="34"/>
  <c r="DF152" i="34"/>
  <c r="AS153" i="34"/>
  <c r="BX154" i="34"/>
  <c r="BU158" i="39"/>
  <c r="BH175" i="34"/>
  <c r="CV153" i="34"/>
  <c r="BY175" i="34"/>
  <c r="BE180" i="39"/>
  <c r="CN175" i="34"/>
  <c r="BF24" i="43"/>
  <c r="BF22" i="43"/>
  <c r="BF20" i="43"/>
  <c r="BF25" i="43"/>
  <c r="BF23" i="43"/>
  <c r="BF21" i="43"/>
  <c r="DC154" i="34"/>
  <c r="CA72" i="27"/>
  <c r="CA74" i="27"/>
  <c r="N97" i="28"/>
  <c r="N101" i="28"/>
  <c r="N105" i="28"/>
  <c r="DC153" i="34"/>
  <c r="DC158" i="39"/>
  <c r="CO158" i="39"/>
  <c r="CO153" i="34"/>
  <c r="DD158" i="39"/>
  <c r="DD153" i="34"/>
  <c r="BV159" i="39"/>
  <c r="BV154" i="34"/>
  <c r="M25" i="44"/>
  <c r="CK158" i="39"/>
  <c r="BR183" i="39"/>
  <c r="BR178" i="34"/>
  <c r="AT183" i="39"/>
  <c r="AT178" i="34"/>
  <c r="BR159" i="39"/>
  <c r="BR154" i="34"/>
  <c r="CK175" i="34"/>
  <c r="O128" i="28"/>
  <c r="O132" i="28"/>
  <c r="O136" i="28"/>
  <c r="DN183" i="39"/>
  <c r="CZ72" i="27"/>
  <c r="CZ74" i="27"/>
  <c r="DN159" i="39"/>
  <c r="L97" i="28"/>
  <c r="L101" i="28"/>
  <c r="L105" i="28"/>
  <c r="BY72" i="27"/>
  <c r="BY74" i="27"/>
  <c r="BV183" i="39"/>
  <c r="BV178" i="34"/>
  <c r="CM153" i="34"/>
  <c r="CM158" i="39"/>
  <c r="BD175" i="34"/>
  <c r="AU180" i="39"/>
  <c r="AS180" i="39"/>
  <c r="CU159" i="39"/>
  <c r="CP180" i="39"/>
  <c r="CN158" i="39"/>
  <c r="FJ74" i="27"/>
  <c r="CM180" i="39"/>
  <c r="BO157" i="39"/>
  <c r="CI175" i="34"/>
  <c r="CI180" i="39"/>
  <c r="CS153" i="34"/>
  <c r="BN175" i="34"/>
  <c r="CD153" i="34"/>
  <c r="BP153" i="34"/>
  <c r="BP158" i="39"/>
  <c r="FH30" i="26"/>
  <c r="FH39" i="26"/>
  <c r="FH35" i="26"/>
  <c r="FH44" i="26"/>
  <c r="FH31" i="26"/>
  <c r="FH40" i="26"/>
  <c r="FH29" i="26"/>
  <c r="FH38" i="26"/>
  <c r="FH33" i="26"/>
  <c r="FH42" i="26"/>
  <c r="FH32" i="26"/>
  <c r="FH41" i="26"/>
  <c r="FH34" i="26"/>
  <c r="FH43" i="26"/>
  <c r="FG31" i="26"/>
  <c r="FG40" i="26"/>
  <c r="FG32" i="26"/>
  <c r="FG41" i="26"/>
  <c r="FG30" i="26"/>
  <c r="FG39" i="26"/>
  <c r="FG33" i="26"/>
  <c r="FG42" i="26"/>
  <c r="FG35" i="26"/>
  <c r="FG44" i="26"/>
  <c r="FG34" i="26"/>
  <c r="FG43" i="26"/>
  <c r="FG29" i="26"/>
  <c r="FG38" i="26"/>
  <c r="H44" i="43"/>
  <c r="I44" i="43"/>
  <c r="J44" i="43"/>
  <c r="FI32" i="26"/>
  <c r="FI41" i="26"/>
  <c r="FI33" i="26"/>
  <c r="FI42" i="26"/>
  <c r="FI30" i="26"/>
  <c r="FI39" i="26"/>
  <c r="FI34" i="26"/>
  <c r="FI43" i="26"/>
  <c r="FI35" i="26"/>
  <c r="FI44" i="26"/>
  <c r="FI31" i="26"/>
  <c r="FI40" i="26"/>
  <c r="AU157" i="39"/>
  <c r="AU152" i="34"/>
  <c r="BZ158" i="39"/>
  <c r="BZ153" i="34"/>
  <c r="DG175" i="34"/>
  <c r="DG180" i="39"/>
  <c r="CU72" i="27"/>
  <c r="CU74" i="27"/>
  <c r="J128" i="28"/>
  <c r="J132" i="28"/>
  <c r="J136" i="28"/>
  <c r="CJ175" i="34"/>
  <c r="DI153" i="34"/>
  <c r="DI158" i="39"/>
  <c r="DE159" i="39"/>
  <c r="DE154" i="34"/>
  <c r="AX158" i="39"/>
  <c r="AX153" i="34"/>
  <c r="DE178" i="34"/>
  <c r="DE183" i="39"/>
  <c r="G163" i="29"/>
  <c r="F167" i="29"/>
  <c r="CG154" i="34"/>
  <c r="CG159" i="39"/>
  <c r="CI159" i="39"/>
  <c r="CI154" i="34"/>
  <c r="CI183" i="39"/>
  <c r="CI178" i="34"/>
  <c r="CG178" i="34"/>
  <c r="CG183" i="39"/>
  <c r="BM180" i="39"/>
  <c r="BM175" i="34"/>
  <c r="CB72" i="27"/>
  <c r="CB74" i="27"/>
  <c r="O97" i="28"/>
  <c r="O101" i="28"/>
  <c r="O105" i="28"/>
  <c r="BX72" i="27"/>
  <c r="BX74" i="27"/>
  <c r="K97" i="28"/>
  <c r="K101" i="28"/>
  <c r="K105" i="28"/>
  <c r="DK158" i="39"/>
  <c r="DK153" i="34"/>
  <c r="DM153" i="34"/>
  <c r="DJ72" i="27"/>
  <c r="DJ74" i="27"/>
  <c r="DX159" i="39"/>
  <c r="M141" i="28"/>
  <c r="M143" i="28"/>
  <c r="M146" i="28"/>
  <c r="DX183" i="39"/>
  <c r="CT72" i="27"/>
  <c r="CT74" i="27"/>
  <c r="I128" i="28"/>
  <c r="I132" i="28"/>
  <c r="I136" i="28"/>
  <c r="DF158" i="39"/>
  <c r="DF153" i="34"/>
  <c r="CS72" i="27"/>
  <c r="CS74" i="27"/>
  <c r="H128" i="28"/>
  <c r="H132" i="28"/>
  <c r="H136" i="28"/>
  <c r="CY183" i="39"/>
  <c r="L122" i="28"/>
  <c r="CY178" i="34"/>
  <c r="BL178" i="34"/>
  <c r="BL183" i="39"/>
  <c r="CP153" i="34"/>
  <c r="CP158" i="39"/>
  <c r="CL158" i="39"/>
  <c r="CL153" i="34"/>
  <c r="O84" i="28"/>
  <c r="O88" i="28"/>
  <c r="O92" i="28"/>
  <c r="BP72" i="27"/>
  <c r="BP74" i="27"/>
  <c r="CW72" i="27"/>
  <c r="CW74" i="27"/>
  <c r="L128" i="28"/>
  <c r="L132" i="28"/>
  <c r="L136" i="28"/>
  <c r="DH153" i="34"/>
  <c r="DH158" i="39"/>
  <c r="CR72" i="27"/>
  <c r="CR74" i="27"/>
  <c r="G128" i="28"/>
  <c r="G132" i="28"/>
  <c r="G136" i="28"/>
  <c r="BL72" i="27"/>
  <c r="BL74" i="27"/>
  <c r="K84" i="28"/>
  <c r="K88" i="28"/>
  <c r="K92" i="28"/>
  <c r="CU178" i="34"/>
  <c r="H122" i="28"/>
  <c r="CU183" i="39"/>
  <c r="DG153" i="34"/>
  <c r="DG158" i="39"/>
  <c r="CN178" i="34"/>
  <c r="CN183" i="39"/>
  <c r="CY154" i="34"/>
  <c r="CY159" i="39"/>
  <c r="BL154" i="34"/>
  <c r="BL159" i="39"/>
  <c r="AT153" i="34"/>
  <c r="AT158" i="39"/>
  <c r="BO158" i="39"/>
  <c r="BO153" i="34"/>
  <c r="DK72" i="27"/>
  <c r="DK74" i="27"/>
  <c r="DY159" i="39"/>
  <c r="N141" i="28"/>
  <c r="N143" i="28"/>
  <c r="N146" i="28"/>
  <c r="DY183" i="39"/>
  <c r="BP178" i="34"/>
  <c r="BP183" i="39"/>
  <c r="CA183" i="39"/>
  <c r="CA178" i="34"/>
  <c r="BV72" i="27"/>
  <c r="BV74" i="27"/>
  <c r="I97" i="28"/>
  <c r="I101" i="28"/>
  <c r="I105" i="28"/>
  <c r="CI72" i="27"/>
  <c r="CI74" i="27"/>
  <c r="J111" i="28"/>
  <c r="J115" i="28"/>
  <c r="J119" i="28"/>
  <c r="F111" i="28"/>
  <c r="F115" i="28"/>
  <c r="F119" i="28"/>
  <c r="CE72" i="27"/>
  <c r="CE74" i="27"/>
  <c r="CC72" i="27"/>
  <c r="CC74" i="27"/>
  <c r="P97" i="28"/>
  <c r="P101" i="28"/>
  <c r="P105" i="28"/>
  <c r="DJ154" i="34"/>
  <c r="DJ159" i="39"/>
  <c r="CQ180" i="39"/>
  <c r="CQ175" i="34"/>
  <c r="DJ175" i="34"/>
  <c r="DJ180" i="39"/>
  <c r="BW183" i="39"/>
  <c r="BW178" i="34"/>
  <c r="BR72" i="27"/>
  <c r="BR74" i="27"/>
  <c r="E97" i="28"/>
  <c r="E101" i="28"/>
  <c r="E105" i="28"/>
  <c r="BS153" i="34"/>
  <c r="BS158" i="39"/>
  <c r="BQ158" i="39"/>
  <c r="BQ153" i="34"/>
  <c r="BM154" i="34"/>
  <c r="BM159" i="39"/>
  <c r="BY154" i="34"/>
  <c r="BJ158" i="39"/>
  <c r="BJ153" i="34"/>
  <c r="BP154" i="34"/>
  <c r="BP159" i="39"/>
  <c r="CA159" i="39"/>
  <c r="CA154" i="34"/>
  <c r="CJ153" i="34"/>
  <c r="CJ158" i="39"/>
  <c r="BA72" i="27"/>
  <c r="BA74" i="27"/>
  <c r="L71" i="28"/>
  <c r="L75" i="28"/>
  <c r="L79" i="28"/>
  <c r="CW153" i="34"/>
  <c r="CW158" i="39"/>
  <c r="CQ158" i="39"/>
  <c r="CQ153" i="34"/>
  <c r="DJ183" i="39"/>
  <c r="DJ178" i="34"/>
  <c r="CF180" i="39"/>
  <c r="CF175" i="34"/>
  <c r="DI72" i="27"/>
  <c r="DI74" i="27"/>
  <c r="DW159" i="39"/>
  <c r="L141" i="28"/>
  <c r="L143" i="28"/>
  <c r="L146" i="28"/>
  <c r="DW183" i="39"/>
  <c r="BW159" i="39"/>
  <c r="BW154" i="34"/>
  <c r="CF158" i="39"/>
  <c r="CF153" i="34"/>
  <c r="P71" i="28"/>
  <c r="P75" i="28"/>
  <c r="P79" i="28"/>
  <c r="BE72" i="27"/>
  <c r="BE74" i="27"/>
  <c r="BC72" i="27"/>
  <c r="BC74" i="27"/>
  <c r="N71" i="28"/>
  <c r="N75" i="28"/>
  <c r="N79" i="28"/>
  <c r="BM178" i="34"/>
  <c r="BM183" i="39"/>
  <c r="BY178" i="34"/>
  <c r="BY183" i="39"/>
  <c r="AV72" i="27"/>
  <c r="AV74" i="27"/>
  <c r="G71" i="28"/>
  <c r="G75" i="28"/>
  <c r="G79" i="28"/>
  <c r="AG67" i="27"/>
  <c r="AG72" i="27"/>
  <c r="AG52" i="27"/>
  <c r="AG55" i="27"/>
  <c r="AU72" i="27"/>
  <c r="AU74" i="27"/>
  <c r="F71" i="28"/>
  <c r="F75" i="28"/>
  <c r="F79" i="28"/>
  <c r="BJ180" i="39"/>
  <c r="BJ175" i="34"/>
  <c r="BI153" i="34"/>
  <c r="BI158" i="39"/>
  <c r="J15" i="44"/>
  <c r="BI152" i="34"/>
  <c r="BI157" i="39"/>
  <c r="BO180" i="39"/>
  <c r="BO175" i="34"/>
  <c r="CW175" i="34"/>
  <c r="CW180" i="39"/>
  <c r="E122" i="28"/>
  <c r="CR183" i="39"/>
  <c r="CR178" i="34"/>
  <c r="DH175" i="34"/>
  <c r="DH180" i="39"/>
  <c r="CU175" i="34"/>
  <c r="CU180" i="39"/>
  <c r="I141" i="28"/>
  <c r="I143" i="28"/>
  <c r="I146" i="28"/>
  <c r="DT183" i="39"/>
  <c r="DF72" i="27"/>
  <c r="DF74" i="27"/>
  <c r="DT159" i="39"/>
  <c r="AG73" i="27"/>
  <c r="P44" i="28"/>
  <c r="P50" i="28"/>
  <c r="P53" i="28"/>
  <c r="CR159" i="39"/>
  <c r="CR154" i="34"/>
  <c r="AT159" i="39"/>
  <c r="K15" i="41"/>
  <c r="BT154" i="34"/>
  <c r="BT159" i="39"/>
  <c r="BT183" i="39"/>
  <c r="BT178" i="34"/>
  <c r="H49" i="48"/>
  <c r="AG74" i="27"/>
  <c r="AU159" i="39"/>
  <c r="BG21" i="43"/>
  <c r="BG23" i="43"/>
  <c r="BG25" i="43"/>
  <c r="BG20" i="43"/>
  <c r="BG22" i="43"/>
  <c r="BG24" i="43"/>
  <c r="CO178" i="34"/>
  <c r="CO183" i="39"/>
  <c r="CO159" i="39"/>
  <c r="CO154" i="34"/>
  <c r="N25" i="44"/>
  <c r="CM178" i="34"/>
  <c r="CM183" i="39"/>
  <c r="CM154" i="34"/>
  <c r="CM159" i="39"/>
  <c r="FG46" i="26"/>
  <c r="FW171" i="58"/>
  <c r="FH46" i="26"/>
  <c r="FX171" i="58"/>
  <c r="K44" i="43"/>
  <c r="G167" i="29"/>
  <c r="H163" i="29"/>
  <c r="DI159" i="39"/>
  <c r="DI154" i="34"/>
  <c r="DI183" i="39"/>
  <c r="DI178" i="34"/>
  <c r="BZ183" i="39"/>
  <c r="BZ178" i="34"/>
  <c r="DF178" i="34"/>
  <c r="DF183" i="39"/>
  <c r="DK183" i="39"/>
  <c r="DK178" i="34"/>
  <c r="DM178" i="34"/>
  <c r="CD154" i="34"/>
  <c r="CD159" i="39"/>
  <c r="DG159" i="39"/>
  <c r="DG154" i="34"/>
  <c r="DH154" i="34"/>
  <c r="DH159" i="39"/>
  <c r="CL159" i="39"/>
  <c r="CL154" i="34"/>
  <c r="CP154" i="34"/>
  <c r="CP159" i="39"/>
  <c r="BZ154" i="34"/>
  <c r="BZ159" i="39"/>
  <c r="DF154" i="34"/>
  <c r="DF159" i="39"/>
  <c r="DK159" i="39"/>
  <c r="DK154" i="34"/>
  <c r="DM154" i="34"/>
  <c r="CD183" i="39"/>
  <c r="CD178" i="34"/>
  <c r="DG183" i="39"/>
  <c r="DG178" i="34"/>
  <c r="DH178" i="34"/>
  <c r="DH183" i="39"/>
  <c r="CL178" i="34"/>
  <c r="CL183" i="39"/>
  <c r="CP178" i="34"/>
  <c r="CP183" i="39"/>
  <c r="AU158" i="39"/>
  <c r="AU153" i="34"/>
  <c r="BJ178" i="34"/>
  <c r="BJ183" i="39"/>
  <c r="BQ178" i="34"/>
  <c r="BQ183" i="39"/>
  <c r="BS154" i="34"/>
  <c r="BS159" i="39"/>
  <c r="BO178" i="34"/>
  <c r="BO183" i="39"/>
  <c r="CF154" i="34"/>
  <c r="CF159" i="39"/>
  <c r="CQ154" i="34"/>
  <c r="CQ159" i="39"/>
  <c r="F122" i="28"/>
  <c r="CS183" i="39"/>
  <c r="CS178" i="34"/>
  <c r="CW154" i="34"/>
  <c r="CW159" i="39"/>
  <c r="CJ154" i="34"/>
  <c r="CJ159" i="39"/>
  <c r="BJ154" i="34"/>
  <c r="BJ159" i="39"/>
  <c r="BQ159" i="39"/>
  <c r="BQ154" i="34"/>
  <c r="BS178" i="34"/>
  <c r="BS183" i="39"/>
  <c r="BO159" i="39"/>
  <c r="BO154" i="34"/>
  <c r="CF183" i="39"/>
  <c r="CF178" i="34"/>
  <c r="CQ183" i="39"/>
  <c r="CQ178" i="34"/>
  <c r="CS154" i="34"/>
  <c r="CS159" i="39"/>
  <c r="J122" i="28"/>
  <c r="CW183" i="39"/>
  <c r="CW178" i="34"/>
  <c r="CJ183" i="39"/>
  <c r="CJ178" i="34"/>
  <c r="K15" i="44"/>
  <c r="BI159" i="39"/>
  <c r="BI154" i="34"/>
  <c r="BI183" i="39"/>
  <c r="BI178" i="34"/>
  <c r="AU183" i="39"/>
  <c r="AU178" i="34"/>
  <c r="AU154" i="34"/>
  <c r="L15" i="41"/>
  <c r="BH24" i="43"/>
  <c r="BI24" i="43"/>
  <c r="BH22" i="43"/>
  <c r="BI22" i="43"/>
  <c r="BH20" i="43"/>
  <c r="BI20" i="43"/>
  <c r="BH25" i="43"/>
  <c r="BI25" i="43"/>
  <c r="BH23" i="43"/>
  <c r="BI23" i="43"/>
  <c r="BH21" i="43"/>
  <c r="BI21" i="43"/>
  <c r="O25" i="44"/>
  <c r="L44" i="43"/>
  <c r="H167" i="29"/>
  <c r="I163" i="29"/>
  <c r="L15" i="44"/>
  <c r="M15" i="41"/>
  <c r="P25" i="44"/>
  <c r="M44" i="43"/>
  <c r="J163" i="29"/>
  <c r="I167" i="29"/>
  <c r="M15" i="44"/>
  <c r="N15" i="41"/>
  <c r="Q25" i="44"/>
  <c r="N44" i="43"/>
  <c r="J167" i="29"/>
  <c r="K163" i="29"/>
  <c r="N15" i="44"/>
  <c r="O15" i="41"/>
  <c r="R25" i="44"/>
  <c r="O44" i="43"/>
  <c r="K167" i="29"/>
  <c r="L163" i="29"/>
  <c r="O15" i="44"/>
  <c r="P15" i="41"/>
  <c r="S25" i="44"/>
  <c r="P44" i="43"/>
  <c r="L167" i="29"/>
  <c r="M163" i="29"/>
  <c r="P15" i="44"/>
  <c r="Q15" i="41"/>
  <c r="T25" i="44"/>
  <c r="Q44" i="43"/>
  <c r="N163" i="29"/>
  <c r="M167" i="29"/>
  <c r="Q15" i="44"/>
  <c r="R15" i="41"/>
  <c r="U25" i="44"/>
  <c r="R44" i="43"/>
  <c r="N167" i="29"/>
  <c r="C172" i="29"/>
  <c r="R15" i="44"/>
  <c r="S15" i="41"/>
  <c r="V25" i="44"/>
  <c r="S44" i="43"/>
  <c r="D172" i="29"/>
  <c r="C176" i="29"/>
  <c r="S15" i="44"/>
  <c r="T15" i="41"/>
  <c r="C28" i="47"/>
  <c r="W25" i="44"/>
  <c r="T44" i="43"/>
  <c r="D176" i="29"/>
  <c r="E172" i="29"/>
  <c r="T15" i="44"/>
  <c r="U15" i="41"/>
  <c r="D28" i="47"/>
  <c r="X25" i="44"/>
  <c r="U44" i="43"/>
  <c r="E176" i="29"/>
  <c r="F172" i="29"/>
  <c r="U15" i="44"/>
  <c r="V15" i="41"/>
  <c r="E28" i="47"/>
  <c r="Y25" i="44"/>
  <c r="V44" i="43"/>
  <c r="F176" i="29"/>
  <c r="G172" i="29"/>
  <c r="V15" i="44"/>
  <c r="W15" i="41"/>
  <c r="F28" i="47"/>
  <c r="Z25" i="44"/>
  <c r="W44" i="43"/>
  <c r="G176" i="29"/>
  <c r="H172" i="29"/>
  <c r="W15" i="44"/>
  <c r="X15" i="41"/>
  <c r="G28" i="47"/>
  <c r="AA25" i="44"/>
  <c r="X44" i="43"/>
  <c r="I172" i="29"/>
  <c r="H176" i="29"/>
  <c r="X15" i="44"/>
  <c r="Y15" i="41"/>
  <c r="H28" i="47"/>
  <c r="AB25" i="44"/>
  <c r="Y44" i="43"/>
  <c r="I176" i="29"/>
  <c r="J172" i="29"/>
  <c r="Y15" i="44"/>
  <c r="Z15" i="41"/>
  <c r="I28" i="47"/>
  <c r="AC25" i="44"/>
  <c r="Z44" i="43"/>
  <c r="J176" i="29"/>
  <c r="K172" i="29"/>
  <c r="Z15" i="44"/>
  <c r="AA15" i="41"/>
  <c r="J28" i="47"/>
  <c r="AD25" i="44"/>
  <c r="AA44" i="43"/>
  <c r="L172" i="29"/>
  <c r="K176" i="29"/>
  <c r="AA15" i="44"/>
  <c r="AB15" i="41"/>
  <c r="K28" i="47"/>
  <c r="AE25" i="44"/>
  <c r="AB44" i="43"/>
  <c r="L176" i="29"/>
  <c r="M172" i="29"/>
  <c r="AB15" i="44"/>
  <c r="AC15" i="41"/>
  <c r="L28" i="47"/>
  <c r="AF25" i="44"/>
  <c r="AC44" i="43"/>
  <c r="M176" i="29"/>
  <c r="N172" i="29"/>
  <c r="AC15" i="44"/>
  <c r="AD15" i="41"/>
  <c r="M28" i="47"/>
  <c r="AG25" i="44"/>
  <c r="AD44" i="43"/>
  <c r="C181" i="29"/>
  <c r="N176" i="29"/>
  <c r="AD15" i="44"/>
  <c r="AE15" i="41"/>
  <c r="N28" i="47"/>
  <c r="AH25" i="44"/>
  <c r="AE44" i="43"/>
  <c r="C185" i="29"/>
  <c r="D181" i="29"/>
  <c r="AE15" i="44"/>
  <c r="AF15" i="41"/>
  <c r="C35" i="47"/>
  <c r="AI25" i="44"/>
  <c r="AF44" i="43"/>
  <c r="D185" i="29"/>
  <c r="E181" i="29"/>
  <c r="AF15" i="44"/>
  <c r="AG15" i="41"/>
  <c r="D35" i="47"/>
  <c r="AJ25" i="44"/>
  <c r="AG44" i="43"/>
  <c r="F181" i="29"/>
  <c r="E185" i="29"/>
  <c r="AG15" i="44"/>
  <c r="AH15" i="41"/>
  <c r="E35" i="47"/>
  <c r="AK25" i="44"/>
  <c r="AH44" i="43"/>
  <c r="F185" i="29"/>
  <c r="G181" i="29"/>
  <c r="AH15" i="44"/>
  <c r="AI15" i="41"/>
  <c r="F35" i="47"/>
  <c r="AL25" i="44"/>
  <c r="AI44" i="43"/>
  <c r="H181" i="29"/>
  <c r="G185" i="29"/>
  <c r="AI15" i="44"/>
  <c r="AJ15" i="41"/>
  <c r="G35" i="47"/>
  <c r="AM25" i="44"/>
  <c r="AJ44" i="43"/>
  <c r="H185" i="29"/>
  <c r="I181" i="29"/>
  <c r="AJ15" i="44"/>
  <c r="AK15" i="41"/>
  <c r="H35" i="47"/>
  <c r="AN25" i="44"/>
  <c r="AK44" i="43"/>
  <c r="I185" i="29"/>
  <c r="J181" i="29"/>
  <c r="AK15" i="44"/>
  <c r="AL15" i="41"/>
  <c r="I35" i="47"/>
  <c r="AO25" i="44"/>
  <c r="AL44" i="43"/>
  <c r="J185" i="29"/>
  <c r="K181" i="29"/>
  <c r="AL15" i="44"/>
  <c r="AM15" i="41"/>
  <c r="J35" i="47"/>
  <c r="AP25" i="44"/>
  <c r="AM44" i="43"/>
  <c r="K185" i="29"/>
  <c r="L181" i="29"/>
  <c r="AM15" i="44"/>
  <c r="AN15" i="41"/>
  <c r="K35" i="47"/>
  <c r="AQ25" i="44"/>
  <c r="AN44" i="43"/>
  <c r="M181" i="29"/>
  <c r="L185" i="29"/>
  <c r="AN15" i="44"/>
  <c r="AO15" i="41"/>
  <c r="L35" i="47"/>
  <c r="AR25" i="44"/>
  <c r="AO44" i="43"/>
  <c r="M185" i="29"/>
  <c r="N181" i="29"/>
  <c r="AO15" i="44"/>
  <c r="AP15" i="41"/>
  <c r="M35" i="47"/>
  <c r="AS25" i="44"/>
  <c r="AP44" i="43"/>
  <c r="N185" i="29"/>
  <c r="C190" i="29"/>
  <c r="AP15" i="44"/>
  <c r="AQ15" i="41"/>
  <c r="N35" i="47"/>
  <c r="AT25" i="44"/>
  <c r="AQ44" i="43"/>
  <c r="D190" i="29"/>
  <c r="C194" i="29"/>
  <c r="AQ15" i="44"/>
  <c r="AR15" i="41"/>
  <c r="AU25" i="44"/>
  <c r="AR44" i="43"/>
  <c r="D194" i="29"/>
  <c r="E190" i="29"/>
  <c r="AR15" i="44"/>
  <c r="AS15" i="41"/>
  <c r="AV25" i="44"/>
  <c r="AS44" i="43"/>
  <c r="F190" i="29"/>
  <c r="E194" i="29"/>
  <c r="AS15" i="44"/>
  <c r="AT15" i="41"/>
  <c r="AW25" i="44"/>
  <c r="AT44" i="43"/>
  <c r="F194" i="29"/>
  <c r="G190" i="29"/>
  <c r="AT15" i="44"/>
  <c r="AU15" i="41"/>
  <c r="AX25" i="44"/>
  <c r="AU44" i="43"/>
  <c r="H190" i="29"/>
  <c r="G194" i="29"/>
  <c r="AU15" i="44"/>
  <c r="AV15" i="41"/>
  <c r="AY25" i="44"/>
  <c r="AV44" i="43"/>
  <c r="I190" i="29"/>
  <c r="H194" i="29"/>
  <c r="AV15" i="44"/>
  <c r="AW15" i="41"/>
  <c r="AZ25" i="44"/>
  <c r="AW44" i="43"/>
  <c r="I194" i="29"/>
  <c r="J190" i="29"/>
  <c r="AW15" i="44"/>
  <c r="AX15" i="41"/>
  <c r="BA25" i="44"/>
  <c r="AX44" i="43"/>
  <c r="K190" i="29"/>
  <c r="J194" i="29"/>
  <c r="AX15" i="44"/>
  <c r="AY15" i="41"/>
  <c r="BB25" i="44"/>
  <c r="AY44" i="43"/>
  <c r="K194" i="29"/>
  <c r="L190" i="29"/>
  <c r="AY15" i="44"/>
  <c r="AZ15" i="41"/>
  <c r="BC25" i="44"/>
  <c r="AZ44" i="43"/>
  <c r="M190" i="29"/>
  <c r="L194" i="29"/>
  <c r="AZ15" i="44"/>
  <c r="BA15" i="41"/>
  <c r="BD25" i="44"/>
  <c r="M194" i="29"/>
  <c r="N190" i="29"/>
  <c r="BA15" i="44"/>
  <c r="BB15" i="41"/>
  <c r="BE25" i="44"/>
  <c r="BB15" i="44"/>
  <c r="N194" i="29"/>
  <c r="C199" i="29"/>
  <c r="BC15" i="41"/>
  <c r="BF25" i="44"/>
  <c r="C203" i="29"/>
  <c r="D199" i="29"/>
  <c r="BC15" i="44"/>
  <c r="BC44" i="43"/>
  <c r="BD15" i="41"/>
  <c r="C62" i="47"/>
  <c r="E199" i="29"/>
  <c r="D203" i="29"/>
  <c r="BD15" i="44"/>
  <c r="BG25" i="44"/>
  <c r="BD44" i="43"/>
  <c r="BE15" i="41"/>
  <c r="D62" i="47"/>
  <c r="BH25" i="44"/>
  <c r="F199" i="29"/>
  <c r="E203" i="29"/>
  <c r="BE15" i="44"/>
  <c r="BF15" i="41"/>
  <c r="E62" i="47"/>
  <c r="BI25" i="44"/>
  <c r="BF15" i="44"/>
  <c r="G199" i="29"/>
  <c r="F203" i="29"/>
  <c r="BG15" i="41"/>
  <c r="F62" i="47"/>
  <c r="BJ25" i="44"/>
  <c r="G203" i="29"/>
  <c r="H199" i="29"/>
  <c r="BG15" i="44"/>
  <c r="BH15" i="41"/>
  <c r="BK25" i="44"/>
  <c r="G62" i="47"/>
  <c r="BH15" i="44"/>
  <c r="I199" i="29"/>
  <c r="H203" i="29"/>
  <c r="BI15" i="41"/>
  <c r="BL25" i="44"/>
  <c r="H62" i="47"/>
  <c r="I203" i="29"/>
  <c r="J199" i="29"/>
  <c r="BI15" i="44"/>
  <c r="BJ15" i="41"/>
  <c r="J203" i="29"/>
  <c r="K199" i="29"/>
  <c r="BM25" i="44"/>
  <c r="I62" i="47"/>
  <c r="BJ15" i="44"/>
  <c r="BK15" i="41"/>
  <c r="L199" i="29"/>
  <c r="K203" i="29"/>
  <c r="BK15" i="44"/>
  <c r="BN25" i="44"/>
  <c r="J62" i="47"/>
  <c r="BL15" i="41"/>
  <c r="BL15" i="44"/>
  <c r="BO25" i="44"/>
  <c r="M199" i="29"/>
  <c r="L203" i="29"/>
  <c r="K62" i="47"/>
  <c r="BM15" i="41"/>
  <c r="M203" i="29"/>
  <c r="N199" i="29"/>
  <c r="BM15" i="44"/>
  <c r="BP25" i="44"/>
  <c r="L62" i="47"/>
  <c r="BN15" i="41"/>
  <c r="N203" i="29"/>
  <c r="C208" i="29"/>
  <c r="BQ25" i="44"/>
  <c r="BN15" i="44"/>
  <c r="M62" i="47"/>
  <c r="BO15" i="41"/>
  <c r="BO15" i="44"/>
  <c r="D208" i="29"/>
  <c r="C212" i="29"/>
  <c r="N62" i="47"/>
  <c r="BR25" i="44"/>
  <c r="BP15" i="41"/>
  <c r="C69" i="47"/>
  <c r="BS25" i="44"/>
  <c r="E208" i="29"/>
  <c r="D212" i="29"/>
  <c r="BP15" i="44"/>
  <c r="BQ15" i="41"/>
  <c r="BQ15" i="44"/>
  <c r="BT25" i="44"/>
  <c r="D69" i="47"/>
  <c r="F208" i="29"/>
  <c r="E212" i="29"/>
  <c r="BR15" i="41"/>
  <c r="BU25" i="44"/>
  <c r="F212" i="29"/>
  <c r="G208" i="29"/>
  <c r="E69" i="47"/>
  <c r="BR15" i="44"/>
  <c r="BS15" i="41"/>
  <c r="H208" i="29"/>
  <c r="G212" i="29"/>
  <c r="BS15" i="44"/>
  <c r="BV25" i="44"/>
  <c r="F69" i="47"/>
  <c r="BT15" i="41"/>
  <c r="G69" i="47"/>
  <c r="BW25" i="44"/>
  <c r="I208" i="29"/>
  <c r="H212" i="29"/>
  <c r="BT15" i="44"/>
  <c r="BX25" i="44"/>
  <c r="BU15" i="41"/>
  <c r="BU15" i="44"/>
  <c r="H69" i="47"/>
  <c r="J208" i="29"/>
  <c r="I212" i="29"/>
  <c r="BV15" i="41"/>
  <c r="BY25" i="44"/>
  <c r="J212" i="29"/>
  <c r="K208" i="29"/>
  <c r="BV15" i="44"/>
  <c r="I69" i="47"/>
  <c r="K212" i="29"/>
  <c r="L208" i="29"/>
  <c r="BZ25" i="44"/>
  <c r="BW15" i="41"/>
  <c r="J69" i="47"/>
  <c r="BW15" i="44"/>
  <c r="CA25" i="44"/>
  <c r="BX15" i="44"/>
  <c r="BX15" i="41"/>
  <c r="M208" i="29"/>
  <c r="L212" i="29"/>
  <c r="K69" i="47"/>
  <c r="CB25" i="44"/>
  <c r="L69" i="47"/>
  <c r="N208" i="29"/>
  <c r="M212" i="29"/>
  <c r="BY15" i="41"/>
  <c r="BY15" i="44"/>
  <c r="CC25" i="44"/>
  <c r="C217" i="29"/>
  <c r="N212" i="29"/>
  <c r="BZ15" i="44"/>
  <c r="BZ15" i="41"/>
  <c r="M69" i="47"/>
  <c r="C221" i="29"/>
  <c r="D217" i="29"/>
  <c r="CD25" i="44"/>
  <c r="N69" i="47"/>
  <c r="CA15" i="41"/>
  <c r="CB15" i="41"/>
  <c r="CC15" i="41"/>
  <c r="CD15" i="41"/>
  <c r="CE15" i="41"/>
  <c r="CF15" i="41"/>
  <c r="CG15" i="41"/>
  <c r="CH15" i="41"/>
  <c r="CI15" i="41"/>
  <c r="CJ15" i="41"/>
  <c r="CK15" i="41"/>
  <c r="CL15" i="41"/>
  <c r="CA15" i="44"/>
  <c r="E217" i="29"/>
  <c r="D221" i="29"/>
  <c r="CB15" i="44"/>
  <c r="CE25" i="44"/>
  <c r="C76" i="47"/>
  <c r="D76" i="47"/>
  <c r="E76" i="47"/>
  <c r="F76" i="47"/>
  <c r="G76" i="47"/>
  <c r="H76" i="47"/>
  <c r="I76" i="47"/>
  <c r="J76" i="47"/>
  <c r="K76" i="47"/>
  <c r="L76" i="47"/>
  <c r="M76" i="47"/>
  <c r="N76" i="47"/>
  <c r="E221" i="29"/>
  <c r="F217" i="29"/>
  <c r="CC15" i="44"/>
  <c r="CF25" i="44"/>
  <c r="G217" i="29"/>
  <c r="F221" i="29"/>
  <c r="CG25" i="44"/>
  <c r="CD15" i="44"/>
  <c r="H217" i="29"/>
  <c r="G221" i="29"/>
  <c r="CE15" i="44"/>
  <c r="CH25" i="44"/>
  <c r="I217" i="29"/>
  <c r="H221" i="29"/>
  <c r="CI25" i="44"/>
  <c r="CF15" i="44"/>
  <c r="J217" i="29"/>
  <c r="I221" i="29"/>
  <c r="CG15" i="44"/>
  <c r="CJ25" i="44"/>
  <c r="K217" i="29"/>
  <c r="J221" i="29"/>
  <c r="CK25" i="44"/>
  <c r="CH15" i="44"/>
  <c r="CL25" i="44"/>
  <c r="L217" i="29"/>
  <c r="K221" i="29"/>
  <c r="CI15" i="44"/>
  <c r="M217" i="29"/>
  <c r="L221" i="29"/>
  <c r="CJ15" i="44"/>
  <c r="N217" i="29"/>
  <c r="N221" i="29"/>
  <c r="M221" i="29"/>
  <c r="CK15" i="44"/>
  <c r="CL15" i="44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L27" i="43"/>
  <c r="AM27" i="43"/>
  <c r="AN27" i="43"/>
  <c r="AO27" i="43"/>
  <c r="AP27" i="43"/>
  <c r="AQ27" i="43"/>
  <c r="AR27" i="43"/>
  <c r="AS27" i="43"/>
  <c r="AT27" i="43"/>
  <c r="AU27" i="43"/>
  <c r="AV27" i="43"/>
  <c r="AW27" i="43"/>
  <c r="AX27" i="43"/>
  <c r="AY27" i="43"/>
  <c r="AZ27" i="43"/>
  <c r="BA27" i="43"/>
  <c r="BB27" i="43"/>
  <c r="BC27" i="43"/>
  <c r="BD27" i="43"/>
  <c r="BE27" i="43"/>
  <c r="BF27" i="43"/>
  <c r="BG27" i="43"/>
  <c r="BH27" i="43"/>
  <c r="BI27" i="43"/>
  <c r="BJ27" i="43"/>
  <c r="BK27" i="43"/>
  <c r="BL27" i="43"/>
  <c r="BM27" i="43"/>
  <c r="BN27" i="43"/>
  <c r="BO27" i="43"/>
  <c r="BP27" i="43"/>
  <c r="BQ27" i="43"/>
  <c r="BR27" i="43"/>
  <c r="BS27" i="43"/>
  <c r="BT27" i="43"/>
  <c r="BU27" i="43"/>
  <c r="BV27" i="43"/>
  <c r="BW27" i="43"/>
  <c r="BX27" i="43"/>
  <c r="BY27" i="43"/>
  <c r="BZ27" i="43"/>
  <c r="CA27" i="43"/>
  <c r="CB27" i="43"/>
  <c r="CC27" i="43"/>
  <c r="CD27" i="43"/>
  <c r="CE27" i="43"/>
  <c r="CF27" i="43"/>
  <c r="CG27" i="43"/>
  <c r="CH27" i="43"/>
  <c r="CI27" i="43"/>
  <c r="CJ27" i="43"/>
  <c r="CK27" i="43"/>
  <c r="JC109" i="58"/>
  <c r="N159" i="25"/>
  <c r="N160" i="25"/>
  <c r="N162" i="25"/>
  <c r="IM20" i="26"/>
  <c r="IM24" i="26"/>
  <c r="IM29" i="26"/>
  <c r="IM38" i="26"/>
  <c r="IM30" i="26"/>
  <c r="IM39" i="26"/>
  <c r="IM31" i="26"/>
  <c r="IM40" i="26"/>
  <c r="IM32" i="26"/>
  <c r="IM41" i="26"/>
  <c r="IM33" i="26"/>
  <c r="IM42" i="26"/>
  <c r="IM34" i="26"/>
  <c r="IM43" i="26"/>
  <c r="IM35" i="26"/>
  <c r="IM44" i="26"/>
  <c r="IM46" i="26"/>
  <c r="JC171" i="58"/>
  <c r="JB109" i="58"/>
  <c r="M159" i="25"/>
  <c r="M160" i="25"/>
  <c r="M162" i="25"/>
  <c r="IL20" i="26"/>
  <c r="IL24" i="26"/>
  <c r="IL29" i="26"/>
  <c r="IL38" i="26"/>
  <c r="IL30" i="26"/>
  <c r="IL39" i="26"/>
  <c r="IL31" i="26"/>
  <c r="IL40" i="26"/>
  <c r="IL32" i="26"/>
  <c r="IL41" i="26"/>
  <c r="IL33" i="26"/>
  <c r="IL42" i="26"/>
  <c r="IL34" i="26"/>
  <c r="IL43" i="26"/>
  <c r="IL35" i="26"/>
  <c r="IL44" i="26"/>
  <c r="IL46" i="26"/>
  <c r="JB171" i="58"/>
  <c r="CL27" i="43"/>
  <c r="JD109" i="58"/>
  <c r="O159" i="25"/>
  <c r="O160" i="25"/>
  <c r="O162" i="25"/>
  <c r="IN20" i="26"/>
  <c r="IN24" i="26"/>
  <c r="IN34" i="26"/>
  <c r="IN43" i="26"/>
  <c r="IN35" i="26"/>
  <c r="IN44" i="26"/>
  <c r="IN31" i="26"/>
  <c r="IN40" i="26"/>
  <c r="IN33" i="26"/>
  <c r="IN42" i="26"/>
  <c r="IN30" i="26"/>
  <c r="IN39" i="26"/>
  <c r="IN32" i="26"/>
  <c r="IN41" i="26"/>
  <c r="JA109" i="58"/>
  <c r="L159" i="25"/>
  <c r="L160" i="25"/>
  <c r="L162" i="25"/>
  <c r="IK20" i="26"/>
  <c r="IK24" i="26"/>
  <c r="IK29" i="26"/>
  <c r="IK38" i="26"/>
  <c r="IK30" i="26"/>
  <c r="IK39" i="26"/>
  <c r="IK31" i="26"/>
  <c r="IK40" i="26"/>
  <c r="IK32" i="26"/>
  <c r="IK41" i="26"/>
  <c r="IK33" i="26"/>
  <c r="IK42" i="26"/>
  <c r="IK34" i="26"/>
  <c r="IK43" i="26"/>
  <c r="IK35" i="26"/>
  <c r="IK44" i="26"/>
  <c r="IK46" i="26"/>
  <c r="JA171" i="58"/>
  <c r="IZ109" i="58"/>
  <c r="K159" i="25"/>
  <c r="K160" i="25"/>
  <c r="K162" i="25"/>
  <c r="IJ20" i="26"/>
  <c r="IJ24" i="26"/>
  <c r="IJ29" i="26"/>
  <c r="IJ38" i="26"/>
  <c r="IJ30" i="26"/>
  <c r="IJ39" i="26"/>
  <c r="IJ31" i="26"/>
  <c r="IJ40" i="26"/>
  <c r="IJ32" i="26"/>
  <c r="IJ41" i="26"/>
  <c r="IJ33" i="26"/>
  <c r="IJ42" i="26"/>
  <c r="IJ34" i="26"/>
  <c r="IJ43" i="26"/>
  <c r="IJ35" i="26"/>
  <c r="IJ44" i="26"/>
  <c r="IJ46" i="26"/>
  <c r="IZ171" i="58"/>
  <c r="IY109" i="58"/>
  <c r="J159" i="25"/>
  <c r="J160" i="25"/>
  <c r="J162" i="25"/>
  <c r="II20" i="26"/>
  <c r="II24" i="26"/>
  <c r="II29" i="26"/>
  <c r="II38" i="26"/>
  <c r="II30" i="26"/>
  <c r="II39" i="26"/>
  <c r="II31" i="26"/>
  <c r="II40" i="26"/>
  <c r="II32" i="26"/>
  <c r="II41" i="26"/>
  <c r="II33" i="26"/>
  <c r="II42" i="26"/>
  <c r="II34" i="26"/>
  <c r="II43" i="26"/>
  <c r="II35" i="26"/>
  <c r="II44" i="26"/>
  <c r="II46" i="26"/>
  <c r="IY171" i="58"/>
  <c r="IX109" i="58"/>
  <c r="I159" i="25"/>
  <c r="I160" i="25"/>
  <c r="I162" i="25"/>
  <c r="IH20" i="26"/>
  <c r="IH24" i="26"/>
  <c r="IH29" i="26"/>
  <c r="IH38" i="26"/>
  <c r="IH30" i="26"/>
  <c r="IH39" i="26"/>
  <c r="IH31" i="26"/>
  <c r="IH40" i="26"/>
  <c r="IH32" i="26"/>
  <c r="IH41" i="26"/>
  <c r="IH33" i="26"/>
  <c r="IH42" i="26"/>
  <c r="IH34" i="26"/>
  <c r="IH43" i="26"/>
  <c r="IH35" i="26"/>
  <c r="IH44" i="26"/>
  <c r="IH46" i="26"/>
  <c r="IX171" i="58"/>
  <c r="IW109" i="58"/>
  <c r="H159" i="25"/>
  <c r="H160" i="25"/>
  <c r="H162" i="25"/>
  <c r="IG20" i="26"/>
  <c r="IG24" i="26"/>
  <c r="IG29" i="26"/>
  <c r="IG38" i="26"/>
  <c r="IG30" i="26"/>
  <c r="IG39" i="26"/>
  <c r="IG31" i="26"/>
  <c r="IG40" i="26"/>
  <c r="IG32" i="26"/>
  <c r="IG41" i="26"/>
  <c r="IG33" i="26"/>
  <c r="IG42" i="26"/>
  <c r="IG34" i="26"/>
  <c r="IG43" i="26"/>
  <c r="IG35" i="26"/>
  <c r="IG44" i="26"/>
  <c r="IG46" i="26"/>
  <c r="IW171" i="58"/>
  <c r="IV109" i="58"/>
  <c r="G159" i="25"/>
  <c r="G160" i="25"/>
  <c r="G162" i="25"/>
  <c r="IF20" i="26"/>
  <c r="IF24" i="26"/>
  <c r="IF29" i="26"/>
  <c r="IF38" i="26"/>
  <c r="IF30" i="26"/>
  <c r="IF39" i="26"/>
  <c r="IF31" i="26"/>
  <c r="IF40" i="26"/>
  <c r="IF32" i="26"/>
  <c r="IF41" i="26"/>
  <c r="IF33" i="26"/>
  <c r="IF42" i="26"/>
  <c r="IF34" i="26"/>
  <c r="IF43" i="26"/>
  <c r="IF35" i="26"/>
  <c r="IF44" i="26"/>
  <c r="IF46" i="26"/>
  <c r="IV171" i="58"/>
  <c r="IU109" i="58"/>
  <c r="F159" i="25"/>
  <c r="F160" i="25"/>
  <c r="F162" i="25"/>
  <c r="IE20" i="26"/>
  <c r="IE24" i="26"/>
  <c r="IE29" i="26"/>
  <c r="IE38" i="26"/>
  <c r="IE30" i="26"/>
  <c r="IE39" i="26"/>
  <c r="IE31" i="26"/>
  <c r="IE40" i="26"/>
  <c r="IE32" i="26"/>
  <c r="IE41" i="26"/>
  <c r="IE33" i="26"/>
  <c r="IE42" i="26"/>
  <c r="IE34" i="26"/>
  <c r="IE43" i="26"/>
  <c r="IE35" i="26"/>
  <c r="IE44" i="26"/>
  <c r="IE46" i="26"/>
  <c r="IU171" i="58"/>
  <c r="IT109" i="58"/>
  <c r="E159" i="25"/>
  <c r="E160" i="25"/>
  <c r="E162" i="25"/>
  <c r="ID20" i="26"/>
  <c r="ID24" i="26"/>
  <c r="ID29" i="26"/>
  <c r="ID38" i="26"/>
  <c r="ID30" i="26"/>
  <c r="ID39" i="26"/>
  <c r="ID31" i="26"/>
  <c r="ID40" i="26"/>
  <c r="ID32" i="26"/>
  <c r="ID41" i="26"/>
  <c r="ID33" i="26"/>
  <c r="ID42" i="26"/>
  <c r="ID34" i="26"/>
  <c r="ID43" i="26"/>
  <c r="ID35" i="26"/>
  <c r="ID44" i="26"/>
  <c r="ID46" i="26"/>
  <c r="IT171" i="58"/>
  <c r="IS109" i="58"/>
  <c r="D159" i="25"/>
  <c r="D160" i="25"/>
  <c r="D162" i="25"/>
  <c r="IC20" i="26"/>
  <c r="IC24" i="26"/>
  <c r="IC29" i="26"/>
  <c r="IC38" i="26"/>
  <c r="IC30" i="26"/>
  <c r="IC39" i="26"/>
  <c r="IC31" i="26"/>
  <c r="IC40" i="26"/>
  <c r="IC32" i="26"/>
  <c r="IC41" i="26"/>
  <c r="IC33" i="26"/>
  <c r="IC42" i="26"/>
  <c r="IC34" i="26"/>
  <c r="IC43" i="26"/>
  <c r="IC35" i="26"/>
  <c r="IC44" i="26"/>
  <c r="IC46" i="26"/>
  <c r="IS171" i="58"/>
  <c r="IR109" i="58"/>
  <c r="O152" i="25"/>
  <c r="O153" i="25"/>
  <c r="O155" i="25"/>
  <c r="IB20" i="26"/>
  <c r="IB24" i="26"/>
  <c r="IB29" i="26"/>
  <c r="IB38" i="26"/>
  <c r="IB30" i="26"/>
  <c r="IB39" i="26"/>
  <c r="IB31" i="26"/>
  <c r="IB40" i="26"/>
  <c r="IB32" i="26"/>
  <c r="IB41" i="26"/>
  <c r="IB33" i="26"/>
  <c r="IB42" i="26"/>
  <c r="IB34" i="26"/>
  <c r="IB43" i="26"/>
  <c r="IB35" i="26"/>
  <c r="IB44" i="26"/>
  <c r="IB46" i="26"/>
  <c r="IR171" i="58"/>
  <c r="IQ109" i="58"/>
  <c r="N152" i="25"/>
  <c r="N153" i="25"/>
  <c r="N155" i="25"/>
  <c r="IA20" i="26"/>
  <c r="IA24" i="26"/>
  <c r="IA29" i="26"/>
  <c r="IA38" i="26"/>
  <c r="IA30" i="26"/>
  <c r="IA39" i="26"/>
  <c r="IA31" i="26"/>
  <c r="IA40" i="26"/>
  <c r="IA32" i="26"/>
  <c r="IA41" i="26"/>
  <c r="IA33" i="26"/>
  <c r="IA42" i="26"/>
  <c r="IA34" i="26"/>
  <c r="IA43" i="26"/>
  <c r="IA35" i="26"/>
  <c r="IA44" i="26"/>
  <c r="IA46" i="26"/>
  <c r="IQ171" i="58"/>
  <c r="IP109" i="58"/>
  <c r="M152" i="25"/>
  <c r="M153" i="25"/>
  <c r="M155" i="25"/>
  <c r="HZ20" i="26"/>
  <c r="HZ24" i="26"/>
  <c r="HZ29" i="26"/>
  <c r="HZ38" i="26"/>
  <c r="HZ30" i="26"/>
  <c r="HZ39" i="26"/>
  <c r="HZ31" i="26"/>
  <c r="HZ40" i="26"/>
  <c r="HZ32" i="26"/>
  <c r="HZ41" i="26"/>
  <c r="HZ33" i="26"/>
  <c r="HZ42" i="26"/>
  <c r="HZ34" i="26"/>
  <c r="HZ43" i="26"/>
  <c r="HZ35" i="26"/>
  <c r="HZ44" i="26"/>
  <c r="HZ46" i="26"/>
  <c r="IP171" i="58"/>
  <c r="IO109" i="58"/>
  <c r="L152" i="25"/>
  <c r="L153" i="25"/>
  <c r="L155" i="25"/>
  <c r="HY20" i="26"/>
  <c r="HY24" i="26"/>
  <c r="HY29" i="26"/>
  <c r="HY38" i="26"/>
  <c r="HY30" i="26"/>
  <c r="HY39" i="26"/>
  <c r="HY31" i="26"/>
  <c r="HY40" i="26"/>
  <c r="HY32" i="26"/>
  <c r="HY41" i="26"/>
  <c r="HY33" i="26"/>
  <c r="HY42" i="26"/>
  <c r="HY34" i="26"/>
  <c r="HY43" i="26"/>
  <c r="HY35" i="26"/>
  <c r="HY44" i="26"/>
  <c r="HY46" i="26"/>
  <c r="IO171" i="58"/>
  <c r="IN109" i="58"/>
  <c r="K152" i="25"/>
  <c r="K153" i="25"/>
  <c r="K155" i="25"/>
  <c r="HX20" i="26"/>
  <c r="HX24" i="26"/>
  <c r="HX29" i="26"/>
  <c r="HX38" i="26"/>
  <c r="HX30" i="26"/>
  <c r="HX39" i="26"/>
  <c r="HX31" i="26"/>
  <c r="HX40" i="26"/>
  <c r="HX32" i="26"/>
  <c r="HX41" i="26"/>
  <c r="HX33" i="26"/>
  <c r="HX42" i="26"/>
  <c r="HX34" i="26"/>
  <c r="HX43" i="26"/>
  <c r="HX35" i="26"/>
  <c r="HX44" i="26"/>
  <c r="HX46" i="26"/>
  <c r="IN171" i="58"/>
  <c r="IM109" i="58"/>
  <c r="J152" i="25"/>
  <c r="J153" i="25"/>
  <c r="J155" i="25"/>
  <c r="HW20" i="26"/>
  <c r="HW24" i="26"/>
  <c r="HW29" i="26"/>
  <c r="HW38" i="26"/>
  <c r="HW30" i="26"/>
  <c r="HW39" i="26"/>
  <c r="HW31" i="26"/>
  <c r="HW40" i="26"/>
  <c r="HW32" i="26"/>
  <c r="HW41" i="26"/>
  <c r="HW33" i="26"/>
  <c r="HW42" i="26"/>
  <c r="HW34" i="26"/>
  <c r="HW43" i="26"/>
  <c r="HW35" i="26"/>
  <c r="HW44" i="26"/>
  <c r="HW46" i="26"/>
  <c r="IM171" i="58"/>
  <c r="IL109" i="58"/>
  <c r="I152" i="25"/>
  <c r="I153" i="25"/>
  <c r="I155" i="25"/>
  <c r="HV20" i="26"/>
  <c r="HV24" i="26"/>
  <c r="HV29" i="26"/>
  <c r="HV38" i="26"/>
  <c r="HV30" i="26"/>
  <c r="HV39" i="26"/>
  <c r="HV31" i="26"/>
  <c r="HV40" i="26"/>
  <c r="HV32" i="26"/>
  <c r="HV41" i="26"/>
  <c r="HV33" i="26"/>
  <c r="HV42" i="26"/>
  <c r="HV34" i="26"/>
  <c r="HV43" i="26"/>
  <c r="HV35" i="26"/>
  <c r="HV44" i="26"/>
  <c r="HV46" i="26"/>
  <c r="IL171" i="58"/>
  <c r="IK109" i="58"/>
  <c r="H152" i="25"/>
  <c r="H153" i="25"/>
  <c r="H155" i="25"/>
  <c r="HU20" i="26"/>
  <c r="HU24" i="26"/>
  <c r="HU29" i="26"/>
  <c r="HU38" i="26"/>
  <c r="HU30" i="26"/>
  <c r="HU39" i="26"/>
  <c r="HU31" i="26"/>
  <c r="HU40" i="26"/>
  <c r="HU32" i="26"/>
  <c r="HU41" i="26"/>
  <c r="HU33" i="26"/>
  <c r="HU42" i="26"/>
  <c r="HU34" i="26"/>
  <c r="HU43" i="26"/>
  <c r="HU35" i="26"/>
  <c r="HU44" i="26"/>
  <c r="HU46" i="26"/>
  <c r="IK171" i="58"/>
  <c r="IJ109" i="58"/>
  <c r="G152" i="25"/>
  <c r="G153" i="25"/>
  <c r="G155" i="25"/>
  <c r="HT20" i="26"/>
  <c r="HT24" i="26"/>
  <c r="HT29" i="26"/>
  <c r="HT38" i="26"/>
  <c r="HT30" i="26"/>
  <c r="HT39" i="26"/>
  <c r="HT31" i="26"/>
  <c r="HT40" i="26"/>
  <c r="HT32" i="26"/>
  <c r="HT41" i="26"/>
  <c r="HT33" i="26"/>
  <c r="HT42" i="26"/>
  <c r="HT34" i="26"/>
  <c r="HT43" i="26"/>
  <c r="HT35" i="26"/>
  <c r="HT44" i="26"/>
  <c r="HT46" i="26"/>
  <c r="IJ171" i="58"/>
  <c r="II109" i="58"/>
  <c r="F152" i="25"/>
  <c r="F153" i="25"/>
  <c r="F155" i="25"/>
  <c r="HS20" i="26"/>
  <c r="HS24" i="26"/>
  <c r="HS29" i="26"/>
  <c r="HS38" i="26"/>
  <c r="HS30" i="26"/>
  <c r="HS39" i="26"/>
  <c r="HS31" i="26"/>
  <c r="HS40" i="26"/>
  <c r="HS32" i="26"/>
  <c r="HS41" i="26"/>
  <c r="HS33" i="26"/>
  <c r="HS42" i="26"/>
  <c r="HS34" i="26"/>
  <c r="HS43" i="26"/>
  <c r="HS35" i="26"/>
  <c r="HS44" i="26"/>
  <c r="HS46" i="26"/>
  <c r="II171" i="58"/>
  <c r="IH109" i="58"/>
  <c r="E152" i="25"/>
  <c r="E153" i="25"/>
  <c r="E155" i="25"/>
  <c r="HR20" i="26"/>
  <c r="HR24" i="26"/>
  <c r="HR29" i="26"/>
  <c r="HR38" i="26"/>
  <c r="HR30" i="26"/>
  <c r="HR39" i="26"/>
  <c r="HR31" i="26"/>
  <c r="HR40" i="26"/>
  <c r="HR32" i="26"/>
  <c r="HR41" i="26"/>
  <c r="HR33" i="26"/>
  <c r="HR42" i="26"/>
  <c r="HR34" i="26"/>
  <c r="HR43" i="26"/>
  <c r="HR35" i="26"/>
  <c r="HR44" i="26"/>
  <c r="HR46" i="26"/>
  <c r="IH171" i="58"/>
  <c r="IG109" i="58"/>
  <c r="D152" i="25"/>
  <c r="D153" i="25"/>
  <c r="D155" i="25"/>
  <c r="HQ20" i="26"/>
  <c r="HQ24" i="26"/>
  <c r="HQ29" i="26"/>
  <c r="HQ38" i="26"/>
  <c r="HQ30" i="26"/>
  <c r="HQ39" i="26"/>
  <c r="HQ31" i="26"/>
  <c r="HQ40" i="26"/>
  <c r="HQ32" i="26"/>
  <c r="HQ41" i="26"/>
  <c r="HQ33" i="26"/>
  <c r="HQ42" i="26"/>
  <c r="HQ34" i="26"/>
  <c r="HQ43" i="26"/>
  <c r="HQ35" i="26"/>
  <c r="HQ44" i="26"/>
  <c r="HQ46" i="26"/>
  <c r="IG171" i="58"/>
  <c r="IF109" i="58"/>
  <c r="O145" i="25"/>
  <c r="O146" i="25"/>
  <c r="O148" i="25"/>
  <c r="HP20" i="26"/>
  <c r="HP24" i="26"/>
  <c r="HP29" i="26"/>
  <c r="HP38" i="26"/>
  <c r="HP30" i="26"/>
  <c r="HP39" i="26"/>
  <c r="HP31" i="26"/>
  <c r="HP40" i="26"/>
  <c r="HP32" i="26"/>
  <c r="HP41" i="26"/>
  <c r="HP33" i="26"/>
  <c r="HP42" i="26"/>
  <c r="HP34" i="26"/>
  <c r="HP43" i="26"/>
  <c r="HP35" i="26"/>
  <c r="HP44" i="26"/>
  <c r="HP46" i="26"/>
  <c r="IF171" i="58"/>
  <c r="IE109" i="58"/>
  <c r="N145" i="25"/>
  <c r="N146" i="25"/>
  <c r="N148" i="25"/>
  <c r="HO20" i="26"/>
  <c r="HO24" i="26"/>
  <c r="HO29" i="26"/>
  <c r="HO38" i="26"/>
  <c r="HO30" i="26"/>
  <c r="HO39" i="26"/>
  <c r="HO31" i="26"/>
  <c r="HO40" i="26"/>
  <c r="HO32" i="26"/>
  <c r="HO41" i="26"/>
  <c r="HO33" i="26"/>
  <c r="HO42" i="26"/>
  <c r="HO34" i="26"/>
  <c r="HO43" i="26"/>
  <c r="HO35" i="26"/>
  <c r="HO44" i="26"/>
  <c r="HO46" i="26"/>
  <c r="IE171" i="58"/>
  <c r="ID109" i="58"/>
  <c r="M145" i="25"/>
  <c r="M146" i="25"/>
  <c r="M148" i="25"/>
  <c r="HN20" i="26"/>
  <c r="HN24" i="26"/>
  <c r="HN29" i="26"/>
  <c r="HN38" i="26"/>
  <c r="HN30" i="26"/>
  <c r="HN39" i="26"/>
  <c r="HN31" i="26"/>
  <c r="HN40" i="26"/>
  <c r="HN32" i="26"/>
  <c r="HN41" i="26"/>
  <c r="HN33" i="26"/>
  <c r="HN42" i="26"/>
  <c r="HN34" i="26"/>
  <c r="HN43" i="26"/>
  <c r="HN35" i="26"/>
  <c r="HN44" i="26"/>
  <c r="HN46" i="26"/>
  <c r="ID171" i="58"/>
  <c r="IC109" i="58"/>
  <c r="L145" i="25"/>
  <c r="L146" i="25"/>
  <c r="L148" i="25"/>
  <c r="HM20" i="26"/>
  <c r="HM24" i="26"/>
  <c r="HM29" i="26"/>
  <c r="HM38" i="26"/>
  <c r="HM30" i="26"/>
  <c r="HM39" i="26"/>
  <c r="HM31" i="26"/>
  <c r="HM40" i="26"/>
  <c r="HM32" i="26"/>
  <c r="HM41" i="26"/>
  <c r="HM33" i="26"/>
  <c r="HM42" i="26"/>
  <c r="HM34" i="26"/>
  <c r="HM43" i="26"/>
  <c r="HM35" i="26"/>
  <c r="HM44" i="26"/>
  <c r="HM46" i="26"/>
  <c r="IC171" i="58"/>
  <c r="IB109" i="58"/>
  <c r="K145" i="25"/>
  <c r="K146" i="25"/>
  <c r="K148" i="25"/>
  <c r="HL20" i="26"/>
  <c r="HL24" i="26"/>
  <c r="HL29" i="26"/>
  <c r="HL38" i="26"/>
  <c r="HL30" i="26"/>
  <c r="HL39" i="26"/>
  <c r="HL31" i="26"/>
  <c r="HL40" i="26"/>
  <c r="HL32" i="26"/>
  <c r="HL41" i="26"/>
  <c r="HL33" i="26"/>
  <c r="HL42" i="26"/>
  <c r="HL34" i="26"/>
  <c r="HL43" i="26"/>
  <c r="HL35" i="26"/>
  <c r="HL44" i="26"/>
  <c r="HL46" i="26"/>
  <c r="IB171" i="58"/>
  <c r="IA109" i="58"/>
  <c r="J145" i="25"/>
  <c r="J146" i="25"/>
  <c r="J148" i="25"/>
  <c r="HK20" i="26"/>
  <c r="HK24" i="26"/>
  <c r="HK29" i="26"/>
  <c r="HK38" i="26"/>
  <c r="HK30" i="26"/>
  <c r="HK39" i="26"/>
  <c r="HK31" i="26"/>
  <c r="HK40" i="26"/>
  <c r="HK32" i="26"/>
  <c r="HK41" i="26"/>
  <c r="HK33" i="26"/>
  <c r="HK42" i="26"/>
  <c r="HK34" i="26"/>
  <c r="HK43" i="26"/>
  <c r="HK35" i="26"/>
  <c r="HK44" i="26"/>
  <c r="HK46" i="26"/>
  <c r="IA171" i="58"/>
  <c r="HZ109" i="58"/>
  <c r="I145" i="25"/>
  <c r="I146" i="25"/>
  <c r="I148" i="25"/>
  <c r="HJ20" i="26"/>
  <c r="HJ24" i="26"/>
  <c r="HJ29" i="26"/>
  <c r="HJ38" i="26"/>
  <c r="HJ30" i="26"/>
  <c r="HJ39" i="26"/>
  <c r="HJ31" i="26"/>
  <c r="HJ40" i="26"/>
  <c r="HJ32" i="26"/>
  <c r="HJ41" i="26"/>
  <c r="HJ33" i="26"/>
  <c r="HJ42" i="26"/>
  <c r="HJ34" i="26"/>
  <c r="HJ43" i="26"/>
  <c r="HJ35" i="26"/>
  <c r="HJ44" i="26"/>
  <c r="HJ46" i="26"/>
  <c r="HZ171" i="58"/>
  <c r="HY109" i="58"/>
  <c r="H145" i="25"/>
  <c r="H146" i="25"/>
  <c r="H148" i="25"/>
  <c r="HI20" i="26"/>
  <c r="HI24" i="26"/>
  <c r="HI29" i="26"/>
  <c r="HI38" i="26"/>
  <c r="HI30" i="26"/>
  <c r="HI39" i="26"/>
  <c r="HI31" i="26"/>
  <c r="HI40" i="26"/>
  <c r="HI32" i="26"/>
  <c r="HI41" i="26"/>
  <c r="HI33" i="26"/>
  <c r="HI42" i="26"/>
  <c r="HI34" i="26"/>
  <c r="HI43" i="26"/>
  <c r="HI35" i="26"/>
  <c r="HI44" i="26"/>
  <c r="HI46" i="26"/>
  <c r="HY171" i="58"/>
  <c r="HX109" i="58"/>
  <c r="G145" i="25"/>
  <c r="G146" i="25"/>
  <c r="G148" i="25"/>
  <c r="HH20" i="26"/>
  <c r="HH24" i="26"/>
  <c r="HH29" i="26"/>
  <c r="HH38" i="26"/>
  <c r="HH30" i="26"/>
  <c r="HH39" i="26"/>
  <c r="HH31" i="26"/>
  <c r="HH40" i="26"/>
  <c r="HH32" i="26"/>
  <c r="HH41" i="26"/>
  <c r="HH33" i="26"/>
  <c r="HH42" i="26"/>
  <c r="HH34" i="26"/>
  <c r="HH43" i="26"/>
  <c r="HH35" i="26"/>
  <c r="HH44" i="26"/>
  <c r="HH46" i="26"/>
  <c r="HX171" i="58"/>
  <c r="HV109" i="58"/>
  <c r="E145" i="25"/>
  <c r="E146" i="25"/>
  <c r="E148" i="25"/>
  <c r="HF20" i="26"/>
  <c r="HF24" i="26"/>
  <c r="HF29" i="26"/>
  <c r="HF38" i="26"/>
  <c r="HF30" i="26"/>
  <c r="HF39" i="26"/>
  <c r="HF31" i="26"/>
  <c r="HF40" i="26"/>
  <c r="HF32" i="26"/>
  <c r="HF41" i="26"/>
  <c r="HF33" i="26"/>
  <c r="HF42" i="26"/>
  <c r="HF34" i="26"/>
  <c r="HF43" i="26"/>
  <c r="HF35" i="26"/>
  <c r="HF44" i="26"/>
  <c r="HF46" i="26"/>
  <c r="HV171" i="58"/>
  <c r="HW109" i="58"/>
  <c r="F145" i="25"/>
  <c r="F146" i="25"/>
  <c r="F148" i="25"/>
  <c r="HG20" i="26"/>
  <c r="HG24" i="26"/>
  <c r="HG29" i="26"/>
  <c r="HG38" i="26"/>
  <c r="HG30" i="26"/>
  <c r="HG39" i="26"/>
  <c r="HG31" i="26"/>
  <c r="HG40" i="26"/>
  <c r="HG32" i="26"/>
  <c r="HG41" i="26"/>
  <c r="HG33" i="26"/>
  <c r="HG42" i="26"/>
  <c r="HG34" i="26"/>
  <c r="HG43" i="26"/>
  <c r="HG35" i="26"/>
  <c r="HG44" i="26"/>
  <c r="HG46" i="26"/>
  <c r="HW171" i="58"/>
  <c r="HT109" i="58"/>
  <c r="O138" i="25"/>
  <c r="O139" i="25"/>
  <c r="O141" i="25"/>
  <c r="HD20" i="26"/>
  <c r="HD24" i="26"/>
  <c r="HD29" i="26"/>
  <c r="HD38" i="26"/>
  <c r="HD30" i="26"/>
  <c r="HD39" i="26"/>
  <c r="HD31" i="26"/>
  <c r="HD40" i="26"/>
  <c r="HD32" i="26"/>
  <c r="HD41" i="26"/>
  <c r="HD33" i="26"/>
  <c r="HD42" i="26"/>
  <c r="HD34" i="26"/>
  <c r="HD43" i="26"/>
  <c r="HD35" i="26"/>
  <c r="HD44" i="26"/>
  <c r="HD46" i="26"/>
  <c r="HT171" i="58"/>
  <c r="HU109" i="58"/>
  <c r="D145" i="25"/>
  <c r="D146" i="25"/>
  <c r="D148" i="25"/>
  <c r="HE20" i="26"/>
  <c r="HE24" i="26"/>
  <c r="HE29" i="26"/>
  <c r="HE38" i="26"/>
  <c r="HE30" i="26"/>
  <c r="HE39" i="26"/>
  <c r="HE31" i="26"/>
  <c r="HE40" i="26"/>
  <c r="HE32" i="26"/>
  <c r="HE41" i="26"/>
  <c r="HE33" i="26"/>
  <c r="HE42" i="26"/>
  <c r="HE34" i="26"/>
  <c r="HE43" i="26"/>
  <c r="HE35" i="26"/>
  <c r="HE44" i="26"/>
  <c r="HE46" i="26"/>
  <c r="HU171" i="58"/>
  <c r="HS109" i="58"/>
  <c r="N138" i="25"/>
  <c r="N139" i="25"/>
  <c r="N141" i="25"/>
  <c r="HC20" i="26"/>
  <c r="HC24" i="26"/>
  <c r="HC29" i="26"/>
  <c r="HC38" i="26"/>
  <c r="HC30" i="26"/>
  <c r="HC39" i="26"/>
  <c r="HC31" i="26"/>
  <c r="HC40" i="26"/>
  <c r="HC32" i="26"/>
  <c r="HC41" i="26"/>
  <c r="HC33" i="26"/>
  <c r="HC42" i="26"/>
  <c r="HC34" i="26"/>
  <c r="HC43" i="26"/>
  <c r="HC35" i="26"/>
  <c r="HC44" i="26"/>
  <c r="HC46" i="26"/>
  <c r="HS171" i="58"/>
  <c r="HR109" i="58"/>
  <c r="M138" i="25"/>
  <c r="M139" i="25"/>
  <c r="M141" i="25"/>
  <c r="HB20" i="26"/>
  <c r="HB24" i="26"/>
  <c r="HB29" i="26"/>
  <c r="HB38" i="26"/>
  <c r="HB30" i="26"/>
  <c r="HB39" i="26"/>
  <c r="HB31" i="26"/>
  <c r="HB40" i="26"/>
  <c r="HB32" i="26"/>
  <c r="HB41" i="26"/>
  <c r="HB33" i="26"/>
  <c r="HB42" i="26"/>
  <c r="HB34" i="26"/>
  <c r="HB43" i="26"/>
  <c r="HB35" i="26"/>
  <c r="HB44" i="26"/>
  <c r="HB46" i="26"/>
  <c r="HR171" i="58"/>
  <c r="HQ109" i="58"/>
  <c r="L138" i="25"/>
  <c r="L139" i="25"/>
  <c r="L141" i="25"/>
  <c r="HA20" i="26"/>
  <c r="HA24" i="26"/>
  <c r="HA29" i="26"/>
  <c r="HA38" i="26"/>
  <c r="HA30" i="26"/>
  <c r="HA39" i="26"/>
  <c r="HA31" i="26"/>
  <c r="HA40" i="26"/>
  <c r="HA32" i="26"/>
  <c r="HA41" i="26"/>
  <c r="HA33" i="26"/>
  <c r="HA42" i="26"/>
  <c r="HA34" i="26"/>
  <c r="HA43" i="26"/>
  <c r="HA35" i="26"/>
  <c r="HA44" i="26"/>
  <c r="HA46" i="26"/>
  <c r="HQ171" i="58"/>
  <c r="HP109" i="58"/>
  <c r="K138" i="25"/>
  <c r="K139" i="25"/>
  <c r="K141" i="25"/>
  <c r="GZ20" i="26"/>
  <c r="GZ24" i="26"/>
  <c r="GZ29" i="26"/>
  <c r="GZ38" i="26"/>
  <c r="GZ30" i="26"/>
  <c r="GZ39" i="26"/>
  <c r="GZ31" i="26"/>
  <c r="GZ40" i="26"/>
  <c r="GZ32" i="26"/>
  <c r="GZ41" i="26"/>
  <c r="GZ33" i="26"/>
  <c r="GZ42" i="26"/>
  <c r="GZ34" i="26"/>
  <c r="GZ43" i="26"/>
  <c r="GZ35" i="26"/>
  <c r="GZ44" i="26"/>
  <c r="GZ46" i="26"/>
  <c r="HP171" i="58"/>
  <c r="HO109" i="58"/>
  <c r="J138" i="25"/>
  <c r="J139" i="25"/>
  <c r="J141" i="25"/>
  <c r="GY20" i="26"/>
  <c r="GY24" i="26"/>
  <c r="GY29" i="26"/>
  <c r="GY38" i="26"/>
  <c r="GY30" i="26"/>
  <c r="GY39" i="26"/>
  <c r="GY31" i="26"/>
  <c r="GY40" i="26"/>
  <c r="GY32" i="26"/>
  <c r="GY41" i="26"/>
  <c r="GY33" i="26"/>
  <c r="GY42" i="26"/>
  <c r="GY34" i="26"/>
  <c r="GY43" i="26"/>
  <c r="GY35" i="26"/>
  <c r="GY44" i="26"/>
  <c r="GY46" i="26"/>
  <c r="HO171" i="58"/>
  <c r="HN109" i="58"/>
  <c r="I138" i="25"/>
  <c r="I139" i="25"/>
  <c r="I141" i="25"/>
  <c r="GX20" i="26"/>
  <c r="GX24" i="26"/>
  <c r="GX29" i="26"/>
  <c r="GX38" i="26"/>
  <c r="GX30" i="26"/>
  <c r="GX39" i="26"/>
  <c r="GX31" i="26"/>
  <c r="GX40" i="26"/>
  <c r="GX32" i="26"/>
  <c r="GX41" i="26"/>
  <c r="GX33" i="26"/>
  <c r="GX42" i="26"/>
  <c r="GX34" i="26"/>
  <c r="GX43" i="26"/>
  <c r="GX35" i="26"/>
  <c r="GX44" i="26"/>
  <c r="GX46" i="26"/>
  <c r="HN171" i="58"/>
  <c r="HM109" i="58"/>
  <c r="H138" i="25"/>
  <c r="H139" i="25"/>
  <c r="H141" i="25"/>
  <c r="GW20" i="26"/>
  <c r="GW24" i="26"/>
  <c r="GW29" i="26"/>
  <c r="GW38" i="26"/>
  <c r="GW30" i="26"/>
  <c r="GW39" i="26"/>
  <c r="GW31" i="26"/>
  <c r="GW40" i="26"/>
  <c r="GW32" i="26"/>
  <c r="GW41" i="26"/>
  <c r="GW33" i="26"/>
  <c r="GW42" i="26"/>
  <c r="GW34" i="26"/>
  <c r="GW43" i="26"/>
  <c r="GW35" i="26"/>
  <c r="GW44" i="26"/>
  <c r="GW46" i="26"/>
  <c r="HM171" i="58"/>
  <c r="HL109" i="58"/>
  <c r="G138" i="25"/>
  <c r="G139" i="25"/>
  <c r="G141" i="25"/>
  <c r="GV20" i="26"/>
  <c r="GV24" i="26"/>
  <c r="GV29" i="26"/>
  <c r="GV38" i="26"/>
  <c r="GV30" i="26"/>
  <c r="GV39" i="26"/>
  <c r="GV31" i="26"/>
  <c r="GV40" i="26"/>
  <c r="GV32" i="26"/>
  <c r="GV41" i="26"/>
  <c r="GV33" i="26"/>
  <c r="GV42" i="26"/>
  <c r="GV34" i="26"/>
  <c r="GV43" i="26"/>
  <c r="GV35" i="26"/>
  <c r="GV44" i="26"/>
  <c r="GV46" i="26"/>
  <c r="HL171" i="58"/>
  <c r="HK109" i="58"/>
  <c r="F138" i="25"/>
  <c r="F139" i="25"/>
  <c r="F141" i="25"/>
  <c r="GU20" i="26"/>
  <c r="GU24" i="26"/>
  <c r="GU29" i="26"/>
  <c r="GU38" i="26"/>
  <c r="GU30" i="26"/>
  <c r="GU39" i="26"/>
  <c r="GU31" i="26"/>
  <c r="GU40" i="26"/>
  <c r="GU32" i="26"/>
  <c r="GU41" i="26"/>
  <c r="GU33" i="26"/>
  <c r="GU42" i="26"/>
  <c r="GU34" i="26"/>
  <c r="GU43" i="26"/>
  <c r="GU35" i="26"/>
  <c r="GU44" i="26"/>
  <c r="GU46" i="26"/>
  <c r="HK171" i="58"/>
  <c r="HJ109" i="58"/>
  <c r="E138" i="25"/>
  <c r="E139" i="25"/>
  <c r="E141" i="25"/>
  <c r="GT20" i="26"/>
  <c r="GT24" i="26"/>
  <c r="GT29" i="26"/>
  <c r="GT38" i="26"/>
  <c r="GT30" i="26"/>
  <c r="GT39" i="26"/>
  <c r="GT31" i="26"/>
  <c r="GT40" i="26"/>
  <c r="GT32" i="26"/>
  <c r="GT41" i="26"/>
  <c r="GT33" i="26"/>
  <c r="GT42" i="26"/>
  <c r="GT34" i="26"/>
  <c r="GT43" i="26"/>
  <c r="GT35" i="26"/>
  <c r="GT44" i="26"/>
  <c r="GT46" i="26"/>
  <c r="HJ171" i="58"/>
  <c r="HI109" i="58"/>
  <c r="D138" i="25"/>
  <c r="D139" i="25"/>
  <c r="D141" i="25"/>
  <c r="GS20" i="26"/>
  <c r="GS24" i="26"/>
  <c r="GS29" i="26"/>
  <c r="GS38" i="26"/>
  <c r="GS30" i="26"/>
  <c r="GS39" i="26"/>
  <c r="GS31" i="26"/>
  <c r="GS40" i="26"/>
  <c r="GS32" i="26"/>
  <c r="GS41" i="26"/>
  <c r="GS33" i="26"/>
  <c r="GS42" i="26"/>
  <c r="GS34" i="26"/>
  <c r="GS43" i="26"/>
  <c r="GS35" i="26"/>
  <c r="GS44" i="26"/>
  <c r="GS46" i="26"/>
  <c r="HI171" i="58"/>
  <c r="HH109" i="58"/>
  <c r="O131" i="25"/>
  <c r="O132" i="25"/>
  <c r="O134" i="25"/>
  <c r="GR20" i="26"/>
  <c r="GR24" i="26"/>
  <c r="GR29" i="26"/>
  <c r="GR38" i="26"/>
  <c r="GR30" i="26"/>
  <c r="GR39" i="26"/>
  <c r="GR31" i="26"/>
  <c r="GR40" i="26"/>
  <c r="GR32" i="26"/>
  <c r="GR41" i="26"/>
  <c r="GR33" i="26"/>
  <c r="GR42" i="26"/>
  <c r="GR34" i="26"/>
  <c r="GR43" i="26"/>
  <c r="GR35" i="26"/>
  <c r="GR44" i="26"/>
  <c r="GR46" i="26"/>
  <c r="HH171" i="58"/>
  <c r="HG109" i="58"/>
  <c r="N131" i="25"/>
  <c r="N132" i="25"/>
  <c r="N134" i="25"/>
  <c r="GQ20" i="26"/>
  <c r="GQ24" i="26"/>
  <c r="GQ29" i="26"/>
  <c r="GQ38" i="26"/>
  <c r="GQ30" i="26"/>
  <c r="GQ39" i="26"/>
  <c r="GQ31" i="26"/>
  <c r="GQ40" i="26"/>
  <c r="GQ32" i="26"/>
  <c r="GQ41" i="26"/>
  <c r="GQ33" i="26"/>
  <c r="GQ42" i="26"/>
  <c r="GQ34" i="26"/>
  <c r="GQ43" i="26"/>
  <c r="GQ35" i="26"/>
  <c r="GQ44" i="26"/>
  <c r="GQ46" i="26"/>
  <c r="HG171" i="58"/>
  <c r="HF109" i="58"/>
  <c r="M131" i="25"/>
  <c r="M132" i="25"/>
  <c r="M134" i="25"/>
  <c r="GP20" i="26"/>
  <c r="GP24" i="26"/>
  <c r="GP29" i="26"/>
  <c r="GP38" i="26"/>
  <c r="GP30" i="26"/>
  <c r="GP39" i="26"/>
  <c r="GP31" i="26"/>
  <c r="GP40" i="26"/>
  <c r="GP32" i="26"/>
  <c r="GP41" i="26"/>
  <c r="GP33" i="26"/>
  <c r="GP42" i="26"/>
  <c r="GP34" i="26"/>
  <c r="GP43" i="26"/>
  <c r="GP35" i="26"/>
  <c r="GP44" i="26"/>
  <c r="GP46" i="26"/>
  <c r="HF171" i="58"/>
  <c r="HE109" i="58"/>
  <c r="L131" i="25"/>
  <c r="L132" i="25"/>
  <c r="L134" i="25"/>
  <c r="GO20" i="26"/>
  <c r="GO24" i="26"/>
  <c r="GO29" i="26"/>
  <c r="GO38" i="26"/>
  <c r="GO30" i="26"/>
  <c r="GO39" i="26"/>
  <c r="GO31" i="26"/>
  <c r="GO40" i="26"/>
  <c r="GO32" i="26"/>
  <c r="GO41" i="26"/>
  <c r="GO33" i="26"/>
  <c r="GO42" i="26"/>
  <c r="GO34" i="26"/>
  <c r="GO43" i="26"/>
  <c r="GO35" i="26"/>
  <c r="GO44" i="26"/>
  <c r="GO46" i="26"/>
  <c r="HE171" i="58"/>
  <c r="HD109" i="58"/>
  <c r="K131" i="25"/>
  <c r="K132" i="25"/>
  <c r="K134" i="25"/>
  <c r="GN20" i="26"/>
  <c r="GN24" i="26"/>
  <c r="GN29" i="26"/>
  <c r="GN38" i="26"/>
  <c r="GN30" i="26"/>
  <c r="GN39" i="26"/>
  <c r="GN31" i="26"/>
  <c r="GN40" i="26"/>
  <c r="GN32" i="26"/>
  <c r="GN41" i="26"/>
  <c r="GN33" i="26"/>
  <c r="GN42" i="26"/>
  <c r="GN34" i="26"/>
  <c r="GN43" i="26"/>
  <c r="GN35" i="26"/>
  <c r="GN44" i="26"/>
  <c r="GN46" i="26"/>
  <c r="HD171" i="58"/>
  <c r="HC109" i="58"/>
  <c r="J131" i="25"/>
  <c r="J132" i="25"/>
  <c r="J134" i="25"/>
  <c r="GM20" i="26"/>
  <c r="GM24" i="26"/>
  <c r="GM29" i="26"/>
  <c r="GM38" i="26"/>
  <c r="GM30" i="26"/>
  <c r="GM39" i="26"/>
  <c r="GM31" i="26"/>
  <c r="GM40" i="26"/>
  <c r="GM32" i="26"/>
  <c r="GM41" i="26"/>
  <c r="GM33" i="26"/>
  <c r="GM42" i="26"/>
  <c r="GM34" i="26"/>
  <c r="GM43" i="26"/>
  <c r="GM35" i="26"/>
  <c r="GM44" i="26"/>
  <c r="GM46" i="26"/>
  <c r="HC171" i="58"/>
  <c r="HB109" i="58"/>
  <c r="I131" i="25"/>
  <c r="I132" i="25"/>
  <c r="I134" i="25"/>
  <c r="GL20" i="26"/>
  <c r="GL24" i="26"/>
  <c r="GL29" i="26"/>
  <c r="GL38" i="26"/>
  <c r="GL30" i="26"/>
  <c r="GL39" i="26"/>
  <c r="GL31" i="26"/>
  <c r="GL40" i="26"/>
  <c r="GL32" i="26"/>
  <c r="GL41" i="26"/>
  <c r="GL33" i="26"/>
  <c r="GL42" i="26"/>
  <c r="GL34" i="26"/>
  <c r="GL43" i="26"/>
  <c r="GL35" i="26"/>
  <c r="GL44" i="26"/>
  <c r="GL46" i="26"/>
  <c r="HB171" i="58"/>
  <c r="HA109" i="58"/>
  <c r="H131" i="25"/>
  <c r="H132" i="25"/>
  <c r="H134" i="25"/>
  <c r="GK20" i="26"/>
  <c r="GK24" i="26"/>
  <c r="GK29" i="26"/>
  <c r="GK38" i="26"/>
  <c r="GK30" i="26"/>
  <c r="GK39" i="26"/>
  <c r="GK31" i="26"/>
  <c r="GK40" i="26"/>
  <c r="GK32" i="26"/>
  <c r="GK41" i="26"/>
  <c r="GK33" i="26"/>
  <c r="GK42" i="26"/>
  <c r="GK34" i="26"/>
  <c r="GK43" i="26"/>
  <c r="GK35" i="26"/>
  <c r="GK44" i="26"/>
  <c r="GK46" i="26"/>
  <c r="HA171" i="58"/>
  <c r="GZ109" i="58"/>
  <c r="G131" i="25"/>
  <c r="G132" i="25"/>
  <c r="G134" i="25"/>
  <c r="GJ20" i="26"/>
  <c r="GJ24" i="26"/>
  <c r="GJ29" i="26"/>
  <c r="GJ38" i="26"/>
  <c r="GJ30" i="26"/>
  <c r="GJ39" i="26"/>
  <c r="GJ31" i="26"/>
  <c r="GJ40" i="26"/>
  <c r="GJ32" i="26"/>
  <c r="GJ41" i="26"/>
  <c r="GJ33" i="26"/>
  <c r="GJ42" i="26"/>
  <c r="GJ34" i="26"/>
  <c r="GJ43" i="26"/>
  <c r="GJ35" i="26"/>
  <c r="GJ44" i="26"/>
  <c r="GJ46" i="26"/>
  <c r="GZ171" i="58"/>
  <c r="GY109" i="58"/>
  <c r="F131" i="25"/>
  <c r="F132" i="25"/>
  <c r="F134" i="25"/>
  <c r="GI20" i="26"/>
  <c r="GI24" i="26"/>
  <c r="GI29" i="26"/>
  <c r="GI38" i="26"/>
  <c r="GI30" i="26"/>
  <c r="GI39" i="26"/>
  <c r="GI31" i="26"/>
  <c r="GI40" i="26"/>
  <c r="GI32" i="26"/>
  <c r="GI41" i="26"/>
  <c r="GI33" i="26"/>
  <c r="GI42" i="26"/>
  <c r="GI34" i="26"/>
  <c r="GI43" i="26"/>
  <c r="GI35" i="26"/>
  <c r="GI44" i="26"/>
  <c r="GI46" i="26"/>
  <c r="GY171" i="58"/>
  <c r="GX109" i="58"/>
  <c r="E131" i="25"/>
  <c r="E132" i="25"/>
  <c r="E134" i="25"/>
  <c r="GH20" i="26"/>
  <c r="GH24" i="26"/>
  <c r="GH29" i="26"/>
  <c r="GH38" i="26"/>
  <c r="GH30" i="26"/>
  <c r="GH39" i="26"/>
  <c r="GH31" i="26"/>
  <c r="GH40" i="26"/>
  <c r="GH32" i="26"/>
  <c r="GH41" i="26"/>
  <c r="GH33" i="26"/>
  <c r="GH42" i="26"/>
  <c r="GH34" i="26"/>
  <c r="GH43" i="26"/>
  <c r="GH35" i="26"/>
  <c r="GH44" i="26"/>
  <c r="GH46" i="26"/>
  <c r="GX171" i="58"/>
  <c r="GW109" i="58"/>
  <c r="D131" i="25"/>
  <c r="D132" i="25"/>
  <c r="D134" i="25"/>
  <c r="GG20" i="26"/>
  <c r="GG24" i="26"/>
  <c r="GG29" i="26"/>
  <c r="GG38" i="26"/>
  <c r="GG30" i="26"/>
  <c r="GG39" i="26"/>
  <c r="GG31" i="26"/>
  <c r="GG40" i="26"/>
  <c r="GG32" i="26"/>
  <c r="GG41" i="26"/>
  <c r="GG33" i="26"/>
  <c r="GG42" i="26"/>
  <c r="GG34" i="26"/>
  <c r="GG43" i="26"/>
  <c r="GG35" i="26"/>
  <c r="GG44" i="26"/>
  <c r="GG46" i="26"/>
  <c r="GW171" i="58"/>
  <c r="GV109" i="58"/>
  <c r="O124" i="25"/>
  <c r="O125" i="25"/>
  <c r="O127" i="25"/>
  <c r="GF20" i="26"/>
  <c r="GF24" i="26"/>
  <c r="GF29" i="26"/>
  <c r="GF38" i="26"/>
  <c r="GF30" i="26"/>
  <c r="GF39" i="26"/>
  <c r="GF31" i="26"/>
  <c r="GF40" i="26"/>
  <c r="GF32" i="26"/>
  <c r="GF41" i="26"/>
  <c r="GF33" i="26"/>
  <c r="GF42" i="26"/>
  <c r="GF34" i="26"/>
  <c r="GF43" i="26"/>
  <c r="GF35" i="26"/>
  <c r="GF44" i="26"/>
  <c r="GF46" i="26"/>
  <c r="GV171" i="58"/>
  <c r="GU109" i="58"/>
  <c r="N124" i="25"/>
  <c r="N125" i="25"/>
  <c r="N127" i="25"/>
  <c r="GE20" i="26"/>
  <c r="GE24" i="26"/>
  <c r="GE29" i="26"/>
  <c r="GE38" i="26"/>
  <c r="GE30" i="26"/>
  <c r="GE39" i="26"/>
  <c r="GE31" i="26"/>
  <c r="GE40" i="26"/>
  <c r="GE32" i="26"/>
  <c r="GE41" i="26"/>
  <c r="GE33" i="26"/>
  <c r="GE42" i="26"/>
  <c r="GE34" i="26"/>
  <c r="GE43" i="26"/>
  <c r="GE35" i="26"/>
  <c r="GE44" i="26"/>
  <c r="GE46" i="26"/>
  <c r="GU171" i="58"/>
  <c r="GT109" i="58"/>
  <c r="M124" i="25"/>
  <c r="M125" i="25"/>
  <c r="M127" i="25"/>
  <c r="GD20" i="26"/>
  <c r="GD24" i="26"/>
  <c r="GD29" i="26"/>
  <c r="GD38" i="26"/>
  <c r="GD30" i="26"/>
  <c r="GD39" i="26"/>
  <c r="GD31" i="26"/>
  <c r="GD40" i="26"/>
  <c r="GD32" i="26"/>
  <c r="GD41" i="26"/>
  <c r="GD33" i="26"/>
  <c r="GD42" i="26"/>
  <c r="GD34" i="26"/>
  <c r="GD43" i="26"/>
  <c r="GD35" i="26"/>
  <c r="GD44" i="26"/>
  <c r="GD46" i="26"/>
  <c r="GT171" i="58"/>
  <c r="GS109" i="58"/>
  <c r="L124" i="25"/>
  <c r="L125" i="25"/>
  <c r="L127" i="25"/>
  <c r="GC20" i="26"/>
  <c r="GC24" i="26"/>
  <c r="GC29" i="26"/>
  <c r="GC38" i="26"/>
  <c r="GC30" i="26"/>
  <c r="GC39" i="26"/>
  <c r="GC31" i="26"/>
  <c r="GC40" i="26"/>
  <c r="GC32" i="26"/>
  <c r="GC41" i="26"/>
  <c r="GC33" i="26"/>
  <c r="GC42" i="26"/>
  <c r="GC34" i="26"/>
  <c r="GC43" i="26"/>
  <c r="GC35" i="26"/>
  <c r="GC44" i="26"/>
  <c r="GC46" i="26"/>
  <c r="GS171" i="58"/>
  <c r="GR109" i="58"/>
  <c r="K124" i="25"/>
  <c r="K125" i="25"/>
  <c r="K127" i="25"/>
  <c r="GB20" i="26"/>
  <c r="GB24" i="26"/>
  <c r="GB29" i="26"/>
  <c r="GB38" i="26"/>
  <c r="GB30" i="26"/>
  <c r="GB39" i="26"/>
  <c r="GB31" i="26"/>
  <c r="GB40" i="26"/>
  <c r="GB32" i="26"/>
  <c r="GB41" i="26"/>
  <c r="GB33" i="26"/>
  <c r="GB42" i="26"/>
  <c r="GB34" i="26"/>
  <c r="GB43" i="26"/>
  <c r="GB35" i="26"/>
  <c r="GB44" i="26"/>
  <c r="GB46" i="26"/>
  <c r="GR171" i="58"/>
  <c r="GQ109" i="58"/>
  <c r="J124" i="25"/>
  <c r="J125" i="25"/>
  <c r="J127" i="25"/>
  <c r="GA20" i="26"/>
  <c r="GA24" i="26"/>
  <c r="GA29" i="26"/>
  <c r="GA38" i="26"/>
  <c r="GA30" i="26"/>
  <c r="GA39" i="26"/>
  <c r="GA31" i="26"/>
  <c r="GA40" i="26"/>
  <c r="GA32" i="26"/>
  <c r="GA41" i="26"/>
  <c r="GA33" i="26"/>
  <c r="GA42" i="26"/>
  <c r="GA34" i="26"/>
  <c r="GA43" i="26"/>
  <c r="GA35" i="26"/>
  <c r="GA44" i="26"/>
  <c r="GA46" i="26"/>
  <c r="GQ171" i="58"/>
  <c r="GP109" i="58"/>
  <c r="I124" i="25"/>
  <c r="I125" i="25"/>
  <c r="I127" i="25"/>
  <c r="FZ20" i="26"/>
  <c r="FZ24" i="26"/>
  <c r="FZ29" i="26"/>
  <c r="FZ38" i="26"/>
  <c r="FZ30" i="26"/>
  <c r="FZ39" i="26"/>
  <c r="FZ31" i="26"/>
  <c r="FZ40" i="26"/>
  <c r="FZ32" i="26"/>
  <c r="FZ41" i="26"/>
  <c r="FZ33" i="26"/>
  <c r="FZ42" i="26"/>
  <c r="FZ34" i="26"/>
  <c r="FZ43" i="26"/>
  <c r="FZ35" i="26"/>
  <c r="FZ44" i="26"/>
  <c r="FZ46" i="26"/>
  <c r="GP171" i="58"/>
  <c r="GO109" i="58"/>
  <c r="H124" i="25"/>
  <c r="H125" i="25"/>
  <c r="H127" i="25"/>
  <c r="FY20" i="26"/>
  <c r="FY24" i="26"/>
  <c r="FY29" i="26"/>
  <c r="FY38" i="26"/>
  <c r="FY30" i="26"/>
  <c r="FY39" i="26"/>
  <c r="FY31" i="26"/>
  <c r="FY40" i="26"/>
  <c r="FY32" i="26"/>
  <c r="FY41" i="26"/>
  <c r="FY33" i="26"/>
  <c r="FY42" i="26"/>
  <c r="FY34" i="26"/>
  <c r="FY43" i="26"/>
  <c r="FY35" i="26"/>
  <c r="FY44" i="26"/>
  <c r="FY46" i="26"/>
  <c r="GO171" i="58"/>
  <c r="GN109" i="58"/>
  <c r="G124" i="25"/>
  <c r="G125" i="25"/>
  <c r="G127" i="25"/>
  <c r="FX20" i="26"/>
  <c r="FX24" i="26"/>
  <c r="FX29" i="26"/>
  <c r="FX38" i="26"/>
  <c r="FX30" i="26"/>
  <c r="FX39" i="26"/>
  <c r="FX31" i="26"/>
  <c r="FX40" i="26"/>
  <c r="FX32" i="26"/>
  <c r="FX41" i="26"/>
  <c r="FX33" i="26"/>
  <c r="FX42" i="26"/>
  <c r="FX34" i="26"/>
  <c r="FX43" i="26"/>
  <c r="FX35" i="26"/>
  <c r="FX44" i="26"/>
  <c r="FX46" i="26"/>
  <c r="GN171" i="58"/>
  <c r="GM109" i="58"/>
  <c r="F124" i="25"/>
  <c r="F125" i="25"/>
  <c r="F127" i="25"/>
  <c r="FW20" i="26"/>
  <c r="FW24" i="26"/>
  <c r="FW29" i="26"/>
  <c r="FW38" i="26"/>
  <c r="FW30" i="26"/>
  <c r="FW39" i="26"/>
  <c r="FW31" i="26"/>
  <c r="FW40" i="26"/>
  <c r="FW32" i="26"/>
  <c r="FW41" i="26"/>
  <c r="FW33" i="26"/>
  <c r="FW42" i="26"/>
  <c r="FW34" i="26"/>
  <c r="FW43" i="26"/>
  <c r="FW35" i="26"/>
  <c r="FW44" i="26"/>
  <c r="FW46" i="26"/>
  <c r="GM171" i="58"/>
  <c r="GL109" i="58"/>
  <c r="E124" i="25"/>
  <c r="E125" i="25"/>
  <c r="E127" i="25"/>
  <c r="FV20" i="26"/>
  <c r="FV24" i="26"/>
  <c r="FV29" i="26"/>
  <c r="FV38" i="26"/>
  <c r="FV30" i="26"/>
  <c r="FV39" i="26"/>
  <c r="FV31" i="26"/>
  <c r="FV40" i="26"/>
  <c r="FV32" i="26"/>
  <c r="FV41" i="26"/>
  <c r="FV33" i="26"/>
  <c r="FV42" i="26"/>
  <c r="FV34" i="26"/>
  <c r="FV43" i="26"/>
  <c r="FV35" i="26"/>
  <c r="FV44" i="26"/>
  <c r="FV46" i="26"/>
  <c r="GL171" i="58"/>
  <c r="GK109" i="58"/>
  <c r="D124" i="25"/>
  <c r="D125" i="25"/>
  <c r="D127" i="25"/>
  <c r="FU20" i="26"/>
  <c r="FU24" i="26"/>
  <c r="FU29" i="26"/>
  <c r="FU38" i="26"/>
  <c r="FU30" i="26"/>
  <c r="FU39" i="26"/>
  <c r="FU31" i="26"/>
  <c r="FU40" i="26"/>
  <c r="FU32" i="26"/>
  <c r="FU41" i="26"/>
  <c r="FU33" i="26"/>
  <c r="FU42" i="26"/>
  <c r="FU34" i="26"/>
  <c r="FU43" i="26"/>
  <c r="FU35" i="26"/>
  <c r="FU44" i="26"/>
  <c r="FU46" i="26"/>
  <c r="GK171" i="58"/>
  <c r="GJ109" i="58"/>
  <c r="O117" i="25"/>
  <c r="O118" i="25"/>
  <c r="O120" i="25"/>
  <c r="FT20" i="26"/>
  <c r="FT24" i="26"/>
  <c r="FT29" i="26"/>
  <c r="FT38" i="26"/>
  <c r="FT30" i="26"/>
  <c r="FT39" i="26"/>
  <c r="FT31" i="26"/>
  <c r="FT40" i="26"/>
  <c r="FT32" i="26"/>
  <c r="FT41" i="26"/>
  <c r="FT33" i="26"/>
  <c r="FT42" i="26"/>
  <c r="FT34" i="26"/>
  <c r="FT43" i="26"/>
  <c r="FT35" i="26"/>
  <c r="FT44" i="26"/>
  <c r="FT46" i="26"/>
  <c r="GJ171" i="58"/>
  <c r="GI109" i="58"/>
  <c r="N117" i="25"/>
  <c r="N118" i="25"/>
  <c r="N120" i="25"/>
  <c r="FS20" i="26"/>
  <c r="FS24" i="26"/>
  <c r="FS29" i="26"/>
  <c r="FS38" i="26"/>
  <c r="FS30" i="26"/>
  <c r="FS39" i="26"/>
  <c r="FS31" i="26"/>
  <c r="FS40" i="26"/>
  <c r="FS32" i="26"/>
  <c r="FS41" i="26"/>
  <c r="FS33" i="26"/>
  <c r="FS42" i="26"/>
  <c r="FS34" i="26"/>
  <c r="FS43" i="26"/>
  <c r="FS35" i="26"/>
  <c r="FS44" i="26"/>
  <c r="FS46" i="26"/>
  <c r="GI171" i="58"/>
  <c r="GH109" i="58"/>
  <c r="M117" i="25"/>
  <c r="M118" i="25"/>
  <c r="M120" i="25"/>
  <c r="FR20" i="26"/>
  <c r="FR24" i="26"/>
  <c r="FR29" i="26"/>
  <c r="FR38" i="26"/>
  <c r="FR30" i="26"/>
  <c r="FR39" i="26"/>
  <c r="FR31" i="26"/>
  <c r="FR40" i="26"/>
  <c r="FR32" i="26"/>
  <c r="FR41" i="26"/>
  <c r="FR33" i="26"/>
  <c r="FR42" i="26"/>
  <c r="FR34" i="26"/>
  <c r="FR43" i="26"/>
  <c r="FR35" i="26"/>
  <c r="FR44" i="26"/>
  <c r="FR46" i="26"/>
  <c r="GH171" i="58"/>
  <c r="GG109" i="58"/>
  <c r="L117" i="25"/>
  <c r="L118" i="25"/>
  <c r="L120" i="25"/>
  <c r="FQ20" i="26"/>
  <c r="FQ24" i="26"/>
  <c r="FQ29" i="26"/>
  <c r="FQ38" i="26"/>
  <c r="FQ30" i="26"/>
  <c r="FQ39" i="26"/>
  <c r="FQ31" i="26"/>
  <c r="FQ40" i="26"/>
  <c r="FQ32" i="26"/>
  <c r="FQ41" i="26"/>
  <c r="FQ33" i="26"/>
  <c r="FQ42" i="26"/>
  <c r="FQ34" i="26"/>
  <c r="FQ43" i="26"/>
  <c r="FQ35" i="26"/>
  <c r="FQ44" i="26"/>
  <c r="FQ46" i="26"/>
  <c r="GG171" i="58"/>
  <c r="GF109" i="58"/>
  <c r="K117" i="25"/>
  <c r="K118" i="25"/>
  <c r="K120" i="25"/>
  <c r="FP20" i="26"/>
  <c r="FP24" i="26"/>
  <c r="FP29" i="26"/>
  <c r="FP38" i="26"/>
  <c r="FP30" i="26"/>
  <c r="FP39" i="26"/>
  <c r="FP31" i="26"/>
  <c r="FP40" i="26"/>
  <c r="FP32" i="26"/>
  <c r="FP41" i="26"/>
  <c r="FP33" i="26"/>
  <c r="FP42" i="26"/>
  <c r="FP34" i="26"/>
  <c r="FP43" i="26"/>
  <c r="FP35" i="26"/>
  <c r="FP44" i="26"/>
  <c r="FP46" i="26"/>
  <c r="GF171" i="58"/>
  <c r="GE109" i="58"/>
  <c r="J117" i="25"/>
  <c r="J118" i="25"/>
  <c r="J120" i="25"/>
  <c r="FO20" i="26"/>
  <c r="FO24" i="26"/>
  <c r="FO29" i="26"/>
  <c r="FO38" i="26"/>
  <c r="FO30" i="26"/>
  <c r="FO39" i="26"/>
  <c r="FO31" i="26"/>
  <c r="FO40" i="26"/>
  <c r="FO32" i="26"/>
  <c r="FO41" i="26"/>
  <c r="FO33" i="26"/>
  <c r="FO42" i="26"/>
  <c r="FO34" i="26"/>
  <c r="FO43" i="26"/>
  <c r="FO35" i="26"/>
  <c r="FO44" i="26"/>
  <c r="FO46" i="26"/>
  <c r="GE171" i="58"/>
  <c r="GD109" i="58"/>
  <c r="I117" i="25"/>
  <c r="I118" i="25"/>
  <c r="I120" i="25"/>
  <c r="FN20" i="26"/>
  <c r="FN24" i="26"/>
  <c r="FN29" i="26"/>
  <c r="FN38" i="26"/>
  <c r="FN30" i="26"/>
  <c r="FN39" i="26"/>
  <c r="FN31" i="26"/>
  <c r="FN40" i="26"/>
  <c r="FN32" i="26"/>
  <c r="FN41" i="26"/>
  <c r="FN33" i="26"/>
  <c r="FN42" i="26"/>
  <c r="FN34" i="26"/>
  <c r="FN43" i="26"/>
  <c r="FN35" i="26"/>
  <c r="FN44" i="26"/>
  <c r="FN46" i="26"/>
  <c r="GD171" i="58"/>
  <c r="GC109" i="58"/>
  <c r="H117" i="25"/>
  <c r="H118" i="25"/>
  <c r="H120" i="25"/>
  <c r="FM20" i="26"/>
  <c r="FM24" i="26"/>
  <c r="FM29" i="26"/>
  <c r="FM38" i="26"/>
  <c r="FM30" i="26"/>
  <c r="FM39" i="26"/>
  <c r="FM31" i="26"/>
  <c r="FM40" i="26"/>
  <c r="FM32" i="26"/>
  <c r="FM41" i="26"/>
  <c r="FM33" i="26"/>
  <c r="FM42" i="26"/>
  <c r="FM34" i="26"/>
  <c r="FM43" i="26"/>
  <c r="FM35" i="26"/>
  <c r="FM44" i="26"/>
  <c r="FM46" i="26"/>
  <c r="GC171" i="58"/>
  <c r="GB109" i="58"/>
  <c r="G117" i="25"/>
  <c r="G118" i="25"/>
  <c r="G120" i="25"/>
  <c r="FL20" i="26"/>
  <c r="FL24" i="26"/>
  <c r="FL29" i="26"/>
  <c r="FL38" i="26"/>
  <c r="FL30" i="26"/>
  <c r="FL39" i="26"/>
  <c r="FL31" i="26"/>
  <c r="FL40" i="26"/>
  <c r="FL32" i="26"/>
  <c r="FL41" i="26"/>
  <c r="FL33" i="26"/>
  <c r="FL42" i="26"/>
  <c r="FL34" i="26"/>
  <c r="FL43" i="26"/>
  <c r="FL35" i="26"/>
  <c r="FL44" i="26"/>
  <c r="FL46" i="26"/>
  <c r="GB171" i="58"/>
  <c r="GA109" i="58"/>
  <c r="F117" i="25"/>
  <c r="F118" i="25"/>
  <c r="F120" i="25"/>
  <c r="FK20" i="26"/>
  <c r="FK24" i="26"/>
  <c r="FK29" i="26"/>
  <c r="FK38" i="26"/>
  <c r="FK30" i="26"/>
  <c r="FK39" i="26"/>
  <c r="FK31" i="26"/>
  <c r="FK40" i="26"/>
  <c r="FK32" i="26"/>
  <c r="FK41" i="26"/>
  <c r="FK33" i="26"/>
  <c r="FK42" i="26"/>
  <c r="FK34" i="26"/>
  <c r="FK43" i="26"/>
  <c r="FK35" i="26"/>
  <c r="FK44" i="26"/>
  <c r="FK46" i="26"/>
  <c r="GA171" i="58"/>
  <c r="FZ109" i="58"/>
  <c r="E117" i="25"/>
  <c r="E118" i="25"/>
  <c r="E120" i="25"/>
  <c r="FJ20" i="26"/>
  <c r="FJ24" i="26"/>
  <c r="FJ29" i="26"/>
  <c r="FJ38" i="26"/>
  <c r="FJ30" i="26"/>
  <c r="FJ39" i="26"/>
  <c r="FJ31" i="26"/>
  <c r="FJ40" i="26"/>
  <c r="FJ32" i="26"/>
  <c r="FJ41" i="26"/>
  <c r="FJ33" i="26"/>
  <c r="FJ42" i="26"/>
  <c r="FJ34" i="26"/>
  <c r="FJ43" i="26"/>
  <c r="FJ35" i="26"/>
  <c r="FJ44" i="26"/>
  <c r="FJ46" i="26"/>
  <c r="FZ171" i="58"/>
  <c r="IN65" i="27"/>
  <c r="IN70" i="27"/>
  <c r="IN74" i="27"/>
  <c r="JC150" i="58"/>
  <c r="IM65" i="27"/>
  <c r="IM70" i="27"/>
  <c r="IM74" i="27"/>
  <c r="JB150" i="58"/>
  <c r="IL65" i="27"/>
  <c r="IL70" i="27"/>
  <c r="IL74" i="27"/>
  <c r="JA150" i="58"/>
  <c r="IK65" i="27"/>
  <c r="IK70" i="27"/>
  <c r="IK74" i="27"/>
  <c r="IZ150" i="58"/>
  <c r="IJ65" i="27"/>
  <c r="IJ70" i="27"/>
  <c r="IJ74" i="27"/>
  <c r="IY150" i="58"/>
  <c r="II65" i="27"/>
  <c r="II70" i="27"/>
  <c r="II74" i="27"/>
  <c r="IX150" i="58"/>
  <c r="IH65" i="27"/>
  <c r="IH70" i="27"/>
  <c r="IH74" i="27"/>
  <c r="IW150" i="58"/>
  <c r="IG65" i="27"/>
  <c r="IG70" i="27"/>
  <c r="IG74" i="27"/>
  <c r="IV150" i="58"/>
  <c r="IF65" i="27"/>
  <c r="IF70" i="27"/>
  <c r="IF74" i="27"/>
  <c r="IU150" i="58"/>
  <c r="IE65" i="27"/>
  <c r="IE70" i="27"/>
  <c r="IE74" i="27"/>
  <c r="IT150" i="58"/>
  <c r="ID65" i="27"/>
  <c r="ID70" i="27"/>
  <c r="ID74" i="27"/>
  <c r="IS150" i="58"/>
  <c r="IC65" i="27"/>
  <c r="IC70" i="27"/>
  <c r="IC74" i="27"/>
  <c r="IR150" i="58"/>
  <c r="IB65" i="27"/>
  <c r="IB70" i="27"/>
  <c r="IB74" i="27"/>
  <c r="IQ150" i="58"/>
  <c r="IA65" i="27"/>
  <c r="IA70" i="27"/>
  <c r="IA74" i="27"/>
  <c r="IP150" i="58"/>
  <c r="HZ65" i="27"/>
  <c r="HZ70" i="27"/>
  <c r="HZ74" i="27"/>
  <c r="IO150" i="58"/>
  <c r="HY65" i="27"/>
  <c r="HY70" i="27"/>
  <c r="HY74" i="27"/>
  <c r="IN150" i="58"/>
  <c r="HX65" i="27"/>
  <c r="HX70" i="27"/>
  <c r="HX74" i="27"/>
  <c r="IM150" i="58"/>
  <c r="HW65" i="27"/>
  <c r="HW70" i="27"/>
  <c r="HW74" i="27"/>
  <c r="IL150" i="58"/>
  <c r="HV65" i="27"/>
  <c r="HV70" i="27"/>
  <c r="HV74" i="27"/>
  <c r="IK150" i="58"/>
  <c r="HU65" i="27"/>
  <c r="HU70" i="27"/>
  <c r="HU74" i="27"/>
  <c r="IJ150" i="58"/>
  <c r="HT65" i="27"/>
  <c r="HT70" i="27"/>
  <c r="HT74" i="27"/>
  <c r="II150" i="58"/>
  <c r="HS65" i="27"/>
  <c r="HS70" i="27"/>
  <c r="HS74" i="27"/>
  <c r="IH150" i="58"/>
  <c r="HR65" i="27"/>
  <c r="HR70" i="27"/>
  <c r="HR74" i="27"/>
  <c r="IG150" i="58"/>
  <c r="HQ65" i="27"/>
  <c r="HQ70" i="27"/>
  <c r="HQ74" i="27"/>
  <c r="IF150" i="58"/>
  <c r="HP65" i="27"/>
  <c r="HP70" i="27"/>
  <c r="HP74" i="27"/>
  <c r="IE150" i="58"/>
  <c r="HO65" i="27"/>
  <c r="HO70" i="27"/>
  <c r="HO74" i="27"/>
  <c r="ID150" i="58"/>
  <c r="HN65" i="27"/>
  <c r="HN70" i="27"/>
  <c r="HN74" i="27"/>
  <c r="IC150" i="58"/>
  <c r="HM65" i="27"/>
  <c r="HM70" i="27"/>
  <c r="HM74" i="27"/>
  <c r="IB150" i="58"/>
  <c r="HL65" i="27"/>
  <c r="HL70" i="27"/>
  <c r="HL74" i="27"/>
  <c r="IA150" i="58"/>
  <c r="HK65" i="27"/>
  <c r="HK70" i="27"/>
  <c r="HK74" i="27"/>
  <c r="HZ150" i="58"/>
  <c r="HJ65" i="27"/>
  <c r="HJ70" i="27"/>
  <c r="HJ74" i="27"/>
  <c r="HY150" i="58"/>
  <c r="HI65" i="27"/>
  <c r="HI70" i="27"/>
  <c r="HI74" i="27"/>
  <c r="HX150" i="58"/>
  <c r="HH65" i="27"/>
  <c r="HH70" i="27"/>
  <c r="HH74" i="27"/>
  <c r="HW150" i="58"/>
  <c r="HG65" i="27"/>
  <c r="HG70" i="27"/>
  <c r="HG74" i="27"/>
  <c r="HV150" i="58"/>
  <c r="HF65" i="27"/>
  <c r="HF70" i="27"/>
  <c r="HF74" i="27"/>
  <c r="HU150" i="58"/>
  <c r="HE65" i="27"/>
  <c r="HE70" i="27"/>
  <c r="HE74" i="27"/>
  <c r="HT150" i="58"/>
  <c r="HD65" i="27"/>
  <c r="HD70" i="27"/>
  <c r="HD74" i="27"/>
  <c r="HS150" i="58"/>
  <c r="HC65" i="27"/>
  <c r="HC70" i="27"/>
  <c r="HC74" i="27"/>
  <c r="HR150" i="58"/>
  <c r="HB65" i="27"/>
  <c r="HB70" i="27"/>
  <c r="HB74" i="27"/>
  <c r="HQ150" i="58"/>
  <c r="HA65" i="27"/>
  <c r="HA70" i="27"/>
  <c r="HA74" i="27"/>
  <c r="HP150" i="58"/>
  <c r="GZ65" i="27"/>
  <c r="GZ70" i="27"/>
  <c r="GZ74" i="27"/>
  <c r="HO150" i="58"/>
  <c r="GY65" i="27"/>
  <c r="GY70" i="27"/>
  <c r="GY74" i="27"/>
  <c r="HN150" i="58"/>
  <c r="GX65" i="27"/>
  <c r="GX70" i="27"/>
  <c r="GX74" i="27"/>
  <c r="HM150" i="58"/>
  <c r="GW65" i="27"/>
  <c r="GW70" i="27"/>
  <c r="GW74" i="27"/>
  <c r="HL150" i="58"/>
  <c r="GV65" i="27"/>
  <c r="GV70" i="27"/>
  <c r="GV74" i="27"/>
  <c r="HK150" i="58"/>
  <c r="GU65" i="27"/>
  <c r="GU70" i="27"/>
  <c r="GU74" i="27"/>
  <c r="HJ150" i="58"/>
  <c r="GT65" i="27"/>
  <c r="GT70" i="27"/>
  <c r="GT74" i="27"/>
  <c r="HI150" i="58"/>
  <c r="GS65" i="27"/>
  <c r="GS70" i="27"/>
  <c r="GS74" i="27"/>
  <c r="HH150" i="58"/>
  <c r="GR65" i="27"/>
  <c r="GR70" i="27"/>
  <c r="GR74" i="27"/>
  <c r="HG150" i="58"/>
  <c r="GQ65" i="27"/>
  <c r="GQ70" i="27"/>
  <c r="GQ74" i="27"/>
  <c r="HF150" i="58"/>
  <c r="GP65" i="27"/>
  <c r="GP70" i="27"/>
  <c r="GP74" i="27"/>
  <c r="HE150" i="58"/>
  <c r="GO65" i="27"/>
  <c r="GO70" i="27"/>
  <c r="GO74" i="27"/>
  <c r="HD150" i="58"/>
  <c r="GN65" i="27"/>
  <c r="GN70" i="27"/>
  <c r="GN74" i="27"/>
  <c r="HC150" i="58"/>
  <c r="GM65" i="27"/>
  <c r="GM70" i="27"/>
  <c r="GM74" i="27"/>
  <c r="HB150" i="58"/>
  <c r="GL65" i="27"/>
  <c r="GL70" i="27"/>
  <c r="GL74" i="27"/>
  <c r="HA150" i="58"/>
  <c r="GK65" i="27"/>
  <c r="GK70" i="27"/>
  <c r="GK74" i="27"/>
  <c r="GZ150" i="58"/>
  <c r="GJ65" i="27"/>
  <c r="GJ70" i="27"/>
  <c r="GJ74" i="27"/>
  <c r="GY150" i="58"/>
  <c r="GI65" i="27"/>
  <c r="GI70" i="27"/>
  <c r="GI74" i="27"/>
  <c r="GX150" i="58"/>
  <c r="GH65" i="27"/>
  <c r="GH70" i="27"/>
  <c r="GH74" i="27"/>
  <c r="GW150" i="58"/>
  <c r="GG65" i="27"/>
  <c r="GG70" i="27"/>
  <c r="GG74" i="27"/>
  <c r="GV150" i="58"/>
  <c r="GF65" i="27"/>
  <c r="GF70" i="27"/>
  <c r="GF74" i="27"/>
  <c r="GU150" i="58"/>
  <c r="GE65" i="27"/>
  <c r="GE70" i="27"/>
  <c r="GE74" i="27"/>
  <c r="GT150" i="58"/>
  <c r="GD65" i="27"/>
  <c r="GD70" i="27"/>
  <c r="GD74" i="27"/>
  <c r="GS150" i="58"/>
  <c r="GC65" i="27"/>
  <c r="GC70" i="27"/>
  <c r="GC74" i="27"/>
  <c r="GR150" i="58"/>
  <c r="GB65" i="27"/>
  <c r="GB70" i="27"/>
  <c r="GB74" i="27"/>
  <c r="GQ150" i="58"/>
  <c r="GA65" i="27"/>
  <c r="GA70" i="27"/>
  <c r="GA74" i="27"/>
  <c r="GP150" i="58"/>
  <c r="FZ65" i="27"/>
  <c r="FZ70" i="27"/>
  <c r="FZ74" i="27"/>
  <c r="GO150" i="58"/>
  <c r="FY65" i="27"/>
  <c r="FY70" i="27"/>
  <c r="FY74" i="27"/>
  <c r="GN150" i="58"/>
  <c r="FX65" i="27"/>
  <c r="FX70" i="27"/>
  <c r="FX74" i="27"/>
  <c r="GM150" i="58"/>
  <c r="FW65" i="27"/>
  <c r="FW70" i="27"/>
  <c r="FW74" i="27"/>
  <c r="GL150" i="58"/>
  <c r="FV65" i="27"/>
  <c r="FV70" i="27"/>
  <c r="FV74" i="27"/>
  <c r="GK150" i="58"/>
  <c r="FU65" i="27"/>
  <c r="FU70" i="27"/>
  <c r="FU74" i="27"/>
  <c r="GJ150" i="58"/>
  <c r="FT65" i="27"/>
  <c r="FT70" i="27"/>
  <c r="FT74" i="27"/>
  <c r="GI150" i="58"/>
  <c r="FS65" i="27"/>
  <c r="FS70" i="27"/>
  <c r="FS74" i="27"/>
  <c r="GH150" i="58"/>
  <c r="FR65" i="27"/>
  <c r="FR70" i="27"/>
  <c r="FR74" i="27"/>
  <c r="GG150" i="58"/>
  <c r="FQ65" i="27"/>
  <c r="FQ70" i="27"/>
  <c r="FQ74" i="27"/>
  <c r="GF150" i="58"/>
  <c r="FP65" i="27"/>
  <c r="FP70" i="27"/>
  <c r="FP74" i="27"/>
  <c r="GE150" i="58"/>
  <c r="FO65" i="27"/>
  <c r="FO70" i="27"/>
  <c r="FO74" i="27"/>
  <c r="GD150" i="58"/>
  <c r="FN65" i="27"/>
  <c r="FN70" i="27"/>
  <c r="FN74" i="27"/>
  <c r="GC150" i="58"/>
  <c r="FM65" i="27"/>
  <c r="FM70" i="27"/>
  <c r="FM74" i="27"/>
  <c r="GB150" i="58"/>
  <c r="FL65" i="27"/>
  <c r="FL70" i="27"/>
  <c r="FL74" i="27"/>
  <c r="GA150" i="58"/>
  <c r="FK65" i="27"/>
  <c r="FK70" i="27"/>
  <c r="FK74" i="27"/>
  <c r="FZ150" i="58"/>
  <c r="GJ168" i="58"/>
  <c r="GI168" i="58"/>
  <c r="GH168" i="58"/>
  <c r="GG168" i="58"/>
  <c r="GF168" i="58"/>
  <c r="GE168" i="58"/>
  <c r="GD168" i="58"/>
  <c r="GC168" i="58"/>
  <c r="GB168" i="58"/>
  <c r="GA168" i="58"/>
  <c r="FZ168" i="58"/>
  <c r="GK168" i="58"/>
  <c r="GV168" i="58"/>
  <c r="GU168" i="58"/>
  <c r="GT168" i="58"/>
  <c r="GS168" i="58"/>
  <c r="GR168" i="58"/>
  <c r="GQ168" i="58"/>
  <c r="GP168" i="58"/>
  <c r="GO168" i="58"/>
  <c r="GN168" i="58"/>
  <c r="GM168" i="58"/>
  <c r="GL168" i="58"/>
  <c r="GW168" i="58"/>
  <c r="HH168" i="58"/>
  <c r="HG168" i="58"/>
  <c r="HF168" i="58"/>
  <c r="HE168" i="58"/>
  <c r="HD168" i="58"/>
  <c r="HC168" i="58"/>
  <c r="HB168" i="58"/>
  <c r="HA168" i="58"/>
  <c r="GZ168" i="58"/>
  <c r="GY168" i="58"/>
  <c r="GX168" i="58"/>
  <c r="HI168" i="58"/>
  <c r="HT168" i="58"/>
  <c r="HS168" i="58"/>
  <c r="HR168" i="58"/>
  <c r="HQ168" i="58"/>
  <c r="HP168" i="58"/>
  <c r="HO168" i="58"/>
  <c r="HN168" i="58"/>
  <c r="HM168" i="58"/>
  <c r="HL168" i="58"/>
  <c r="HK168" i="58"/>
  <c r="HJ168" i="58"/>
  <c r="HU168" i="58"/>
  <c r="IF168" i="58"/>
  <c r="IE168" i="58"/>
  <c r="ID168" i="58"/>
  <c r="IC168" i="58"/>
  <c r="IB168" i="58"/>
  <c r="IA168" i="58"/>
  <c r="HZ168" i="58"/>
  <c r="HY168" i="58"/>
  <c r="HX168" i="58"/>
  <c r="HW168" i="58"/>
  <c r="HV168" i="58"/>
  <c r="IG168" i="58"/>
  <c r="IR168" i="58"/>
  <c r="IQ168" i="58"/>
  <c r="IP168" i="58"/>
  <c r="IO168" i="58"/>
  <c r="IN168" i="58"/>
  <c r="IM168" i="58"/>
  <c r="IL168" i="58"/>
  <c r="IK168" i="58"/>
  <c r="IJ168" i="58"/>
  <c r="II168" i="58"/>
  <c r="IH168" i="58"/>
  <c r="IS168" i="58"/>
  <c r="JC168" i="58"/>
  <c r="JB168" i="58"/>
  <c r="JA168" i="58"/>
  <c r="IZ168" i="58"/>
  <c r="IY168" i="58"/>
  <c r="IX168" i="58"/>
  <c r="IW168" i="58"/>
  <c r="IV168" i="58"/>
  <c r="IU168" i="58"/>
  <c r="IT168" i="58"/>
  <c r="O291" i="25"/>
  <c r="O294" i="25"/>
  <c r="GJ169" i="58"/>
  <c r="N291" i="25"/>
  <c r="N294" i="25"/>
  <c r="GI169" i="58"/>
  <c r="M291" i="25"/>
  <c r="M294" i="25"/>
  <c r="GH169" i="58"/>
  <c r="L291" i="25"/>
  <c r="L294" i="25"/>
  <c r="GG169" i="58"/>
  <c r="K291" i="25"/>
  <c r="K294" i="25"/>
  <c r="GF169" i="58"/>
  <c r="J291" i="25"/>
  <c r="J294" i="25"/>
  <c r="GE169" i="58"/>
  <c r="I291" i="25"/>
  <c r="I294" i="25"/>
  <c r="GD169" i="58"/>
  <c r="H291" i="25"/>
  <c r="H294" i="25"/>
  <c r="GC169" i="58"/>
  <c r="G291" i="25"/>
  <c r="G294" i="25"/>
  <c r="GB169" i="58"/>
  <c r="F291" i="25"/>
  <c r="F294" i="25"/>
  <c r="GA169" i="58"/>
  <c r="E291" i="25"/>
  <c r="E294" i="25"/>
  <c r="FZ169" i="58"/>
  <c r="D299" i="25"/>
  <c r="D302" i="25"/>
  <c r="GK169" i="58"/>
  <c r="O299" i="25"/>
  <c r="O302" i="25"/>
  <c r="GV169" i="58"/>
  <c r="N299" i="25"/>
  <c r="N302" i="25"/>
  <c r="GU169" i="58"/>
  <c r="M299" i="25"/>
  <c r="M302" i="25"/>
  <c r="GT169" i="58"/>
  <c r="L299" i="25"/>
  <c r="L302" i="25"/>
  <c r="GS169" i="58"/>
  <c r="K299" i="25"/>
  <c r="K302" i="25"/>
  <c r="GR169" i="58"/>
  <c r="J299" i="25"/>
  <c r="J302" i="25"/>
  <c r="GQ169" i="58"/>
  <c r="I299" i="25"/>
  <c r="I302" i="25"/>
  <c r="GP169" i="58"/>
  <c r="H299" i="25"/>
  <c r="H302" i="25"/>
  <c r="GO169" i="58"/>
  <c r="G299" i="25"/>
  <c r="G302" i="25"/>
  <c r="GN169" i="58"/>
  <c r="F299" i="25"/>
  <c r="F302" i="25"/>
  <c r="GM169" i="58"/>
  <c r="E299" i="25"/>
  <c r="E302" i="25"/>
  <c r="GL169" i="58"/>
  <c r="D307" i="25"/>
  <c r="D310" i="25"/>
  <c r="GW169" i="58"/>
  <c r="O307" i="25"/>
  <c r="O310" i="25"/>
  <c r="HH169" i="58"/>
  <c r="N307" i="25"/>
  <c r="N310" i="25"/>
  <c r="HG169" i="58"/>
  <c r="M307" i="25"/>
  <c r="M310" i="25"/>
  <c r="HF169" i="58"/>
  <c r="L307" i="25"/>
  <c r="L310" i="25"/>
  <c r="HE169" i="58"/>
  <c r="K307" i="25"/>
  <c r="K310" i="25"/>
  <c r="HD169" i="58"/>
  <c r="J307" i="25"/>
  <c r="J310" i="25"/>
  <c r="HC169" i="58"/>
  <c r="I307" i="25"/>
  <c r="I310" i="25"/>
  <c r="HB169" i="58"/>
  <c r="H307" i="25"/>
  <c r="H310" i="25"/>
  <c r="HA169" i="58"/>
  <c r="G307" i="25"/>
  <c r="G310" i="25"/>
  <c r="GZ169" i="58"/>
  <c r="F307" i="25"/>
  <c r="F310" i="25"/>
  <c r="GY169" i="58"/>
  <c r="E307" i="25"/>
  <c r="E310" i="25"/>
  <c r="GX169" i="58"/>
  <c r="D315" i="25"/>
  <c r="D318" i="25"/>
  <c r="HI169" i="58"/>
  <c r="O315" i="25"/>
  <c r="O318" i="25"/>
  <c r="HT169" i="58"/>
  <c r="N315" i="25"/>
  <c r="N318" i="25"/>
  <c r="HS169" i="58"/>
  <c r="M315" i="25"/>
  <c r="M318" i="25"/>
  <c r="HR169" i="58"/>
  <c r="L315" i="25"/>
  <c r="L318" i="25"/>
  <c r="HQ169" i="58"/>
  <c r="K315" i="25"/>
  <c r="K318" i="25"/>
  <c r="HP169" i="58"/>
  <c r="J315" i="25"/>
  <c r="J318" i="25"/>
  <c r="HO169" i="58"/>
  <c r="I315" i="25"/>
  <c r="I318" i="25"/>
  <c r="HN169" i="58"/>
  <c r="H315" i="25"/>
  <c r="H318" i="25"/>
  <c r="HM169" i="58"/>
  <c r="G315" i="25"/>
  <c r="G318" i="25"/>
  <c r="HL169" i="58"/>
  <c r="F315" i="25"/>
  <c r="F318" i="25"/>
  <c r="HK169" i="58"/>
  <c r="E315" i="25"/>
  <c r="E318" i="25"/>
  <c r="HJ169" i="58"/>
  <c r="D323" i="25"/>
  <c r="D326" i="25"/>
  <c r="HU169" i="58"/>
  <c r="O323" i="25"/>
  <c r="O326" i="25"/>
  <c r="IF169" i="58"/>
  <c r="N323" i="25"/>
  <c r="N326" i="25"/>
  <c r="IE169" i="58"/>
  <c r="M323" i="25"/>
  <c r="M326" i="25"/>
  <c r="ID169" i="58"/>
  <c r="L323" i="25"/>
  <c r="L326" i="25"/>
  <c r="IC169" i="58"/>
  <c r="K323" i="25"/>
  <c r="K326" i="25"/>
  <c r="IB169" i="58"/>
  <c r="J323" i="25"/>
  <c r="J326" i="25"/>
  <c r="IA169" i="58"/>
  <c r="I323" i="25"/>
  <c r="I326" i="25"/>
  <c r="HZ169" i="58"/>
  <c r="H323" i="25"/>
  <c r="H326" i="25"/>
  <c r="HY169" i="58"/>
  <c r="G323" i="25"/>
  <c r="G326" i="25"/>
  <c r="HX169" i="58"/>
  <c r="F323" i="25"/>
  <c r="F326" i="25"/>
  <c r="HW169" i="58"/>
  <c r="E323" i="25"/>
  <c r="E326" i="25"/>
  <c r="HV169" i="58"/>
  <c r="D331" i="25"/>
  <c r="D334" i="25"/>
  <c r="IG169" i="58"/>
  <c r="O331" i="25"/>
  <c r="O334" i="25"/>
  <c r="IR169" i="58"/>
  <c r="N331" i="25"/>
  <c r="N334" i="25"/>
  <c r="IQ169" i="58"/>
  <c r="M331" i="25"/>
  <c r="M334" i="25"/>
  <c r="IP169" i="58"/>
  <c r="L331" i="25"/>
  <c r="L334" i="25"/>
  <c r="IO169" i="58"/>
  <c r="K331" i="25"/>
  <c r="K334" i="25"/>
  <c r="IN169" i="58"/>
  <c r="J331" i="25"/>
  <c r="J334" i="25"/>
  <c r="IM169" i="58"/>
  <c r="I331" i="25"/>
  <c r="I334" i="25"/>
  <c r="IL169" i="58"/>
  <c r="H331" i="25"/>
  <c r="H334" i="25"/>
  <c r="IK169" i="58"/>
  <c r="G331" i="25"/>
  <c r="G334" i="25"/>
  <c r="IJ169" i="58"/>
  <c r="F331" i="25"/>
  <c r="F334" i="25"/>
  <c r="II169" i="58"/>
  <c r="E331" i="25"/>
  <c r="E334" i="25"/>
  <c r="IH169" i="58"/>
  <c r="D339" i="25"/>
  <c r="D342" i="25"/>
  <c r="IS169" i="58"/>
  <c r="N339" i="25"/>
  <c r="N342" i="25"/>
  <c r="JC169" i="58"/>
  <c r="M339" i="25"/>
  <c r="M342" i="25"/>
  <c r="JB169" i="58"/>
  <c r="L339" i="25"/>
  <c r="L342" i="25"/>
  <c r="JA169" i="58"/>
  <c r="K339" i="25"/>
  <c r="K342" i="25"/>
  <c r="IZ169" i="58"/>
  <c r="J339" i="25"/>
  <c r="J342" i="25"/>
  <c r="IY169" i="58"/>
  <c r="I339" i="25"/>
  <c r="I342" i="25"/>
  <c r="IX169" i="58"/>
  <c r="H339" i="25"/>
  <c r="H342" i="25"/>
  <c r="IW169" i="58"/>
  <c r="G339" i="25"/>
  <c r="G342" i="25"/>
  <c r="IV169" i="58"/>
  <c r="F339" i="25"/>
  <c r="F342" i="25"/>
  <c r="IU169" i="58"/>
  <c r="E339" i="25"/>
  <c r="E342" i="25"/>
  <c r="IT169" i="58"/>
  <c r="IN29" i="26"/>
  <c r="IN38" i="26"/>
  <c r="IN46" i="26"/>
  <c r="JD171" i="58"/>
  <c r="O339" i="25"/>
  <c r="O342" i="25"/>
  <c r="JD169" i="58"/>
  <c r="JD168" i="58"/>
  <c r="IO65" i="27"/>
  <c r="IO70" i="27"/>
  <c r="IO74" i="27"/>
  <c r="JD150" i="58"/>
  <c r="O508" i="33"/>
  <c r="JD183" i="58"/>
  <c r="P299" i="31"/>
  <c r="P305" i="31"/>
  <c r="P307" i="31"/>
  <c r="JD199" i="58"/>
  <c r="O510" i="33"/>
  <c r="JD185" i="58"/>
  <c r="O509" i="33"/>
  <c r="JD184" i="58"/>
  <c r="O507" i="33"/>
  <c r="JD182" i="58"/>
  <c r="F526" i="33"/>
  <c r="G526" i="33"/>
  <c r="H526" i="33"/>
  <c r="I526" i="33"/>
  <c r="J526" i="33"/>
  <c r="K526" i="33"/>
  <c r="L526" i="33"/>
  <c r="M526" i="33"/>
  <c r="N526" i="33"/>
  <c r="O526" i="33"/>
  <c r="F527" i="33"/>
  <c r="G527" i="33"/>
  <c r="H527" i="33"/>
  <c r="I527" i="33"/>
  <c r="J527" i="33"/>
  <c r="K527" i="33"/>
  <c r="L527" i="33"/>
  <c r="M527" i="33"/>
  <c r="N527" i="33"/>
  <c r="O527" i="33"/>
  <c r="F528" i="33"/>
  <c r="G528" i="33"/>
  <c r="H528" i="33"/>
  <c r="I528" i="33"/>
  <c r="J528" i="33"/>
  <c r="K528" i="33"/>
  <c r="L528" i="33"/>
  <c r="M528" i="33"/>
  <c r="N528" i="33"/>
  <c r="O528" i="33"/>
  <c r="F529" i="33"/>
  <c r="G529" i="33"/>
  <c r="H529" i="33"/>
  <c r="I529" i="33"/>
  <c r="J529" i="33"/>
  <c r="K529" i="33"/>
  <c r="L529" i="33"/>
  <c r="M529" i="33"/>
  <c r="N529" i="33"/>
  <c r="O529" i="33"/>
  <c r="D526" i="33"/>
  <c r="JE182" i="58"/>
  <c r="D527" i="33"/>
  <c r="JE183" i="58"/>
  <c r="D528" i="33"/>
  <c r="JE184" i="58"/>
  <c r="D529" i="33"/>
  <c r="JE185" i="58"/>
  <c r="E311" i="31"/>
  <c r="E317" i="31"/>
  <c r="E319" i="31"/>
  <c r="JE199" i="58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BK34" i="42"/>
  <c r="BL34" i="42"/>
  <c r="BM34" i="42"/>
  <c r="BN34" i="42"/>
  <c r="BO34" i="42"/>
  <c r="BP34" i="42"/>
  <c r="BQ34" i="42"/>
  <c r="BR34" i="42"/>
  <c r="BS34" i="42"/>
  <c r="BT34" i="42"/>
  <c r="BU34" i="42"/>
  <c r="BV34" i="42"/>
  <c r="BW34" i="42"/>
  <c r="BX34" i="42"/>
  <c r="BY34" i="42"/>
  <c r="BZ34" i="42"/>
  <c r="CA34" i="42"/>
  <c r="CB34" i="42"/>
  <c r="CC34" i="42"/>
  <c r="CD34" i="42"/>
  <c r="CE34" i="42"/>
  <c r="CF34" i="42"/>
  <c r="CG34" i="42"/>
  <c r="CH34" i="42"/>
  <c r="CI34" i="42"/>
  <c r="CJ34" i="42"/>
  <c r="CK34" i="42"/>
  <c r="JC195" i="58"/>
  <c r="JB195" i="58"/>
  <c r="JA195" i="58"/>
  <c r="IZ195" i="58"/>
  <c r="IY195" i="58"/>
  <c r="IX195" i="58"/>
  <c r="IW195" i="58"/>
  <c r="IV195" i="58"/>
  <c r="IU195" i="58"/>
  <c r="IT195" i="58"/>
  <c r="IS195" i="58"/>
  <c r="IR195" i="58"/>
  <c r="IQ195" i="58"/>
  <c r="IP195" i="58"/>
  <c r="IO195" i="58"/>
  <c r="IN195" i="58"/>
  <c r="IM195" i="58"/>
  <c r="IL195" i="58"/>
  <c r="IK195" i="58"/>
  <c r="IJ195" i="58"/>
  <c r="II195" i="58"/>
  <c r="IH195" i="58"/>
  <c r="IG195" i="58"/>
  <c r="IF195" i="58"/>
  <c r="IE195" i="58"/>
  <c r="ID195" i="58"/>
  <c r="IC195" i="58"/>
  <c r="IB195" i="58"/>
  <c r="IA195" i="58"/>
  <c r="HZ195" i="58"/>
  <c r="HY195" i="58"/>
  <c r="HX195" i="58"/>
  <c r="HW195" i="58"/>
  <c r="HV195" i="58"/>
  <c r="HU195" i="58"/>
  <c r="HT195" i="58"/>
  <c r="HS195" i="58"/>
  <c r="HR195" i="58"/>
  <c r="HQ195" i="58"/>
  <c r="HP195" i="58"/>
  <c r="HO195" i="58"/>
  <c r="HN195" i="58"/>
  <c r="HM195" i="58"/>
  <c r="HL195" i="58"/>
  <c r="HK195" i="58"/>
  <c r="HJ195" i="58"/>
  <c r="HI195" i="58"/>
  <c r="HH195" i="58"/>
  <c r="HG195" i="58"/>
  <c r="HF195" i="58"/>
  <c r="HE195" i="58"/>
  <c r="HD195" i="58"/>
  <c r="HC195" i="58"/>
  <c r="HB195" i="58"/>
  <c r="HA195" i="58"/>
  <c r="GZ195" i="58"/>
  <c r="GY195" i="58"/>
  <c r="GX195" i="58"/>
  <c r="GW195" i="58"/>
  <c r="GV195" i="58"/>
  <c r="GU195" i="58"/>
  <c r="GT195" i="58"/>
  <c r="GS195" i="58"/>
  <c r="GR195" i="58"/>
  <c r="GQ195" i="58"/>
  <c r="GP195" i="58"/>
  <c r="GO195" i="58"/>
  <c r="GN195" i="58"/>
  <c r="GM195" i="58"/>
  <c r="GL195" i="58"/>
  <c r="GK195" i="58"/>
  <c r="GJ195" i="58"/>
  <c r="GI195" i="58"/>
  <c r="GH195" i="58"/>
  <c r="GG195" i="58"/>
  <c r="GF195" i="58"/>
  <c r="GE195" i="58"/>
  <c r="GD195" i="58"/>
  <c r="GC195" i="58"/>
  <c r="GB195" i="58"/>
  <c r="GA195" i="58"/>
  <c r="FZ195" i="58"/>
  <c r="CL34" i="42"/>
  <c r="CM34" i="42"/>
  <c r="JE195" i="58"/>
  <c r="JD195" i="58"/>
  <c r="CM27" i="43"/>
  <c r="JE109" i="58"/>
  <c r="D166" i="25"/>
  <c r="D167" i="25"/>
  <c r="D169" i="25"/>
  <c r="JE168" i="58"/>
  <c r="IO20" i="26"/>
  <c r="IO24" i="26"/>
  <c r="IO35" i="26"/>
  <c r="IO44" i="26"/>
  <c r="IO34" i="26"/>
  <c r="IO43" i="26"/>
  <c r="IO33" i="26"/>
  <c r="IO42" i="26"/>
  <c r="IO32" i="26"/>
  <c r="IO41" i="26"/>
  <c r="IO31" i="26"/>
  <c r="IO40" i="26"/>
  <c r="IO30" i="26"/>
  <c r="IO39" i="26"/>
  <c r="IO29" i="26"/>
  <c r="IO38" i="26"/>
  <c r="IO46" i="26"/>
  <c r="JE171" i="58"/>
  <c r="JG171" i="58"/>
  <c r="D347" i="25"/>
  <c r="D350" i="25"/>
  <c r="JE169" i="58"/>
  <c r="JG169" i="58"/>
  <c r="JG168" i="58"/>
  <c r="IP65" i="27"/>
  <c r="IP70" i="27"/>
  <c r="IP74" i="27"/>
  <c r="JE150" i="58"/>
  <c r="JG150" i="58"/>
  <c r="JG109" i="58"/>
  <c r="CN27" i="43"/>
  <c r="CN44" i="43"/>
  <c r="CN34" i="42"/>
</calcChain>
</file>

<file path=xl/comments1.xml><?xml version="1.0" encoding="utf-8"?>
<comments xmlns="http://schemas.openxmlformats.org/spreadsheetml/2006/main">
  <authors>
    <author>Ing. Fabricio Dimani</author>
  </authors>
  <commentList>
    <comment ref="D17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Ing. Fabricio Dimani</author>
  </authors>
  <commentList>
    <comment ref="I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J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K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</commentList>
</comments>
</file>

<file path=xl/sharedStrings.xml><?xml version="1.0" encoding="utf-8"?>
<sst xmlns="http://schemas.openxmlformats.org/spreadsheetml/2006/main" count="12760" uniqueCount="1353">
  <si>
    <t>Indice Nivel General del IPIM. Cuadro 1.1 (B)</t>
  </si>
  <si>
    <r>
      <t>MODIFICA VALOR ANTERIOR.</t>
    </r>
    <r>
      <rPr>
        <sz val="12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</si>
  <si>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</si>
  <si>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t>Indices ICC(*)</t>
  </si>
  <si>
    <r>
      <t>MODIFICA VALOR ANTERIOR.</t>
    </r>
    <r>
      <rPr>
        <sz val="12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</si>
  <si>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</si>
  <si>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15310-1</t>
  </si>
  <si>
    <t>Arenas</t>
  </si>
  <si>
    <t>Artefacto de iluminación</t>
  </si>
  <si>
    <t>Artefactos de cocina</t>
  </si>
  <si>
    <t>Cocina, Anafe, Horno, etc.</t>
  </si>
  <si>
    <t>Remplazado por Ins. 75</t>
  </si>
  <si>
    <t>Artefactos de loza para baño</t>
  </si>
  <si>
    <t>Ascensor de 7 paradas</t>
  </si>
  <si>
    <t>Ascensores</t>
  </si>
  <si>
    <t>Azulejo</t>
  </si>
  <si>
    <t>Baldosa cerámica esmaltada</t>
  </si>
  <si>
    <t>Baldosa cerámica roja</t>
  </si>
  <si>
    <t>Bañera de chapa porcelanizada</t>
  </si>
  <si>
    <t>Todos. Incluye receptáculos</t>
  </si>
  <si>
    <r>
      <t>Gratificación no remunerativa - Homologado por RESOL. S.T. Nº 643/13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>-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 xml:space="preserve">  de $ 800 Ofc. Espec.; $700 Ofic.: $ 650 M.Ofic; $ 600 Ayud. - Imputables en 2ª quinc. Julio ; y 2ª de Agosto de 2.013</t>
    </r>
  </si>
  <si>
    <t>En virtud del tratamiento del Expte. Nº 026/320-N-2003, EL INSUMO TESTIGO 120 HA SIDO REEMPLAZADO POR LOS INSUMOS TESTIGO 131, 132 Y 133</t>
  </si>
  <si>
    <r>
      <t>MODIFICA VALOR ANTERIOR</t>
    </r>
    <r>
      <rPr>
        <sz val="14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4"/>
        <color indexed="10"/>
        <rFont val="Arial Narrow"/>
        <family val="2"/>
      </rPr>
      <t xml:space="preserve">0,74 $/h </t>
    </r>
    <r>
      <rPr>
        <sz val="14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</si>
  <si>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</si>
  <si>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</si>
  <si>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</si>
  <si>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</si>
  <si>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</si>
  <si>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</si>
  <si>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4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</si>
  <si>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4"/>
        <color indexed="10"/>
        <rFont val="Arial Narrow"/>
        <family val="2"/>
      </rPr>
      <t>NO DEBE INCLUIRSE EN LA CONFECCION DE PRESUPUESTOS OFICIALES A LA FECHA</t>
    </r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</si>
  <si>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</si>
  <si>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</si>
  <si>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En virtud del tratamiento del Expte. Nº 026/320-N-2003, LOS INSUMOS TESTIGO 201, 202, 203 y 210 HAN SIDO REEMPLAZADOS POR LOS INSUMOS TESTIGO 221, 222,  223 y 224</t>
  </si>
  <si>
    <t>En virtud del tratamiento del Expte. Nº 026/320-N-2003, LOS INSUMOS TESTIGO 205 y 206 HAN SIDO SUPRIMIDOS SIN INSUMOS TESTIGO EN SU REEMPLAZO</t>
  </si>
  <si>
    <t>MODIFICA VALOR ANTERIOR La Asignación no remunerativa del Dto. 1273/2002, se calcula sobre 22 días de 8 horas, lo que implica una asignación de 0,57 $/h para Julio 2002 a Diciembre 2002</t>
  </si>
  <si>
    <t>35110-4</t>
  </si>
  <si>
    <t>Barnices y protectores para madera</t>
  </si>
  <si>
    <t>Cable con conductor unipolar</t>
  </si>
  <si>
    <t>Cable tipo Sintenax</t>
  </si>
  <si>
    <t>Caja de chapa para tablero</t>
  </si>
  <si>
    <t>Cajas de chapa para instalación eléctrica</t>
  </si>
  <si>
    <t>37420-11</t>
  </si>
  <si>
    <t>Cal aérea hidratada</t>
  </si>
  <si>
    <t>Calefones</t>
  </si>
  <si>
    <t>41277-21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</si>
  <si>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</si>
  <si>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</si>
  <si>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</si>
  <si>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</si>
  <si>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</si>
  <si>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</si>
  <si>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Caño de chapa galvanizada</t>
  </si>
  <si>
    <t>41273-12</t>
  </si>
  <si>
    <t>Caño de hierro fundido de 0,100 m</t>
  </si>
  <si>
    <t>41277-41</t>
  </si>
  <si>
    <t>Caño de hierro galvanizado</t>
  </si>
  <si>
    <t>41277-31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</si>
  <si>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</si>
  <si>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</si>
  <si>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</si>
  <si>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</si>
  <si>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</si>
  <si>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Caño de polipropileno de 0,013 m</t>
  </si>
  <si>
    <t>Const.Cuad. 8.1.9 (*)</t>
  </si>
  <si>
    <t>36320-12</t>
  </si>
  <si>
    <t>Caño de PVC de 0,110 m</t>
  </si>
  <si>
    <t>36320-3</t>
  </si>
  <si>
    <t>Caños y tubos de polietileno</t>
  </si>
  <si>
    <t>Todos los tipos. Incluye PEAD</t>
  </si>
  <si>
    <t>37440-31</t>
  </si>
  <si>
    <t>Cemento de albañilería</t>
  </si>
  <si>
    <t xml:space="preserve">Todos </t>
  </si>
  <si>
    <t>37440-1</t>
  </si>
  <si>
    <t>Cemento portland</t>
  </si>
  <si>
    <t>42944-2</t>
  </si>
  <si>
    <t>C1 521 000         C3 012 0250</t>
  </si>
  <si>
    <t>Clavos</t>
  </si>
  <si>
    <t>Todas las medidas</t>
  </si>
  <si>
    <t>46340-1</t>
  </si>
  <si>
    <t>Conductores eléctricos</t>
  </si>
  <si>
    <t>3.0</t>
  </si>
  <si>
    <t>CONTACTORES - INTERRUPTORES - Indice Promedio</t>
  </si>
  <si>
    <t>Todos los elementos del rubro</t>
  </si>
  <si>
    <t>31600-12</t>
  </si>
  <si>
    <t>Cortina de enrollar común de madera</t>
  </si>
  <si>
    <t>36950-11</t>
  </si>
  <si>
    <t>Alquiler de camión camioneta</t>
  </si>
  <si>
    <t>Cuadro 3.2/315</t>
  </si>
  <si>
    <t>Equipos de Iluminación</t>
  </si>
  <si>
    <t>46121-1</t>
  </si>
  <si>
    <t>Transformadores</t>
  </si>
  <si>
    <t>Cuadro 8.1.5</t>
  </si>
  <si>
    <t>Instalación Eléctrica</t>
  </si>
  <si>
    <t>46212-21</t>
  </si>
  <si>
    <t>Caja de Chapa C/Tablero Trifásico</t>
  </si>
  <si>
    <t xml:space="preserve">IPIB C. 3.2 </t>
  </si>
  <si>
    <t>Cortina de enrollar de PVC</t>
  </si>
  <si>
    <t>42190-2</t>
  </si>
  <si>
    <t>Cortinas de aluminio</t>
  </si>
  <si>
    <t>36111-3</t>
  </si>
  <si>
    <t>Cubiertas agrícolas</t>
  </si>
  <si>
    <t>42999-2</t>
  </si>
  <si>
    <t>Chapas metálicas</t>
  </si>
  <si>
    <t>Ver Nota 6</t>
  </si>
  <si>
    <t>Cementos asfálticos</t>
  </si>
  <si>
    <t>Accesorios para Herramientas (Brocas y fresas)</t>
  </si>
  <si>
    <t>Incluye defensas Flex-Beam ®, alcantarillas de chapa tipo ARMCO ®, y productos similares.</t>
  </si>
  <si>
    <t>Para la determinación del Indice Combinado ver Anexo A.</t>
  </si>
  <si>
    <t>Los precios de la Revista VIVIENDA están sujetos a revisión.</t>
  </si>
  <si>
    <t>Para la determinación del Indice Combinado ver Anexo D.</t>
  </si>
  <si>
    <t>Para la determinación del Indice Combinado ver Anexo C.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</si>
  <si>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</si>
  <si>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48</t>
    </r>
    <r>
      <rPr>
        <sz val="12"/>
        <rFont val="Arial Narrow"/>
        <family val="2"/>
      </rPr>
      <t xml:space="preserve"> - No incluirse en presup. Oficiales</t>
    </r>
  </si>
  <si>
    <t>Insumo Testigo aprobado en Acta Nº 36/03 de la C.P.E.y S.P., para redeterminar Bombas de gran porte en otras obras.</t>
  </si>
  <si>
    <t xml:space="preserve">P/apoyos de neopreno y junta de puente </t>
  </si>
  <si>
    <t>Tract. s/neumát. Motonivel. Cargad. s/neumát.</t>
  </si>
  <si>
    <t xml:space="preserve">Todos,Cielorrasos, Divisiones, Incluye placas, perfiles. </t>
  </si>
  <si>
    <t>Móvil. Inspec.-CUOTA FIJA-Idem 221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</si>
  <si>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</si>
  <si>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</si>
  <si>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t>Postes eucal. otros elemen. de madera</t>
  </si>
  <si>
    <t>Todos elemen. rubro - Detonadores eléctricos</t>
  </si>
  <si>
    <t>Bolsas, granel.Incluye coloidal-A.R.S.</t>
  </si>
  <si>
    <t xml:space="preserve">Todos los elem. del rubro-Torniquetas etc. </t>
  </si>
  <si>
    <t xml:space="preserve">Vibr. compact. placa vibrante, aserrad. </t>
  </si>
  <si>
    <t>C1 521 000</t>
  </si>
  <si>
    <t>Tabiques Placas de Yeso - Pared Simple s/aisl. Acust.</t>
  </si>
  <si>
    <t>Ver Notas 3 y 21 S/REEMPLAZO</t>
  </si>
  <si>
    <t>Todos los tipos y calibres, Incluye Hº Gº</t>
  </si>
  <si>
    <t>Bloques, boved., acces. HºCº, losetas</t>
  </si>
  <si>
    <t>Reemplaz. P/Insum.131,132 y 133</t>
  </si>
  <si>
    <t>Rodillos, palas/arrastre,rastras, compres.</t>
  </si>
  <si>
    <t>Movil. Inspec.-CUOTA FIJA-Idem 221</t>
  </si>
  <si>
    <t>Colum. otros p/obras elect; vigas, pilotes</t>
  </si>
  <si>
    <t>Todos los tipos - diámetros, y acceses.</t>
  </si>
  <si>
    <t xml:space="preserve"> 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</si>
  <si>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posteriores a dicho mes y tampoco deberá emplearse en la confección de presupuestos de obras nueva, incluidos en dicho mes.</t>
  </si>
  <si>
    <t>Aprobado Acta 05/08 C.P.E.y S.P Ver Nota 36</t>
  </si>
  <si>
    <t>Mar.</t>
  </si>
  <si>
    <t>INDICE NIVEL GRAL IPIM, Cuadro 1,1 (B)</t>
  </si>
  <si>
    <t>Idem Base = 100 Diciembre 2001</t>
  </si>
  <si>
    <t>Valores Indice IPIB rubro 29 (A)-Máquinas Nacionales</t>
  </si>
  <si>
    <t>INDICE Cuadro 3.2. IPIB RUBRO  29 Máquinas Importadas</t>
  </si>
  <si>
    <t>INDICE COMBINADO (E) = 0,70*(C) + 0,30*(D)'</t>
  </si>
  <si>
    <t>VALORES INDICE IPIB rubro 292 (A)-Máquinas Nacionales de Uso Especial</t>
  </si>
  <si>
    <t>INDICE PARA TRANSPORTE A CORTA DISTANCIA (Hasta 10 Km)</t>
  </si>
  <si>
    <t>valor puede tomarse una expresión polinómica de dos términos, que consiste en:</t>
  </si>
  <si>
    <t>43220-1</t>
  </si>
  <si>
    <t>Electrobombas</t>
  </si>
  <si>
    <t>Enduidos plásticos</t>
  </si>
  <si>
    <t>35110-2</t>
  </si>
  <si>
    <t>Esmaltes sintéticos</t>
  </si>
  <si>
    <t>41547-11</t>
  </si>
  <si>
    <t>Estaño al 50%</t>
  </si>
  <si>
    <t>37129-1</t>
  </si>
  <si>
    <t>Fibras minerales</t>
  </si>
  <si>
    <t>Lana de Vidrio, Geotextiles, etc</t>
  </si>
  <si>
    <t>Frentes de placard</t>
  </si>
  <si>
    <t>33370-1</t>
  </si>
  <si>
    <t>Fuel oil</t>
  </si>
  <si>
    <t>FO y Mezcla 70/30</t>
  </si>
  <si>
    <t>42999-41</t>
  </si>
  <si>
    <t>Gabinete para medidor monofásico</t>
  </si>
  <si>
    <t>Todos los tipos de gabinete</t>
  </si>
  <si>
    <t>33360-1</t>
  </si>
  <si>
    <t>Gas oil</t>
  </si>
  <si>
    <t>42911-1</t>
  </si>
  <si>
    <t>Grifería</t>
  </si>
  <si>
    <t>37990-1</t>
  </si>
  <si>
    <t>Hidrófugos</t>
  </si>
  <si>
    <t>37510-11</t>
  </si>
  <si>
    <t>Hormigón elaborado</t>
  </si>
  <si>
    <t>Todas las calidades</t>
  </si>
  <si>
    <t>8.0</t>
  </si>
  <si>
    <t>ILUMINACIÓN E INSTALACIONES - Índice Promedio</t>
  </si>
  <si>
    <t>35110-5</t>
  </si>
  <si>
    <t>Impermeabilizantes</t>
  </si>
  <si>
    <t>Interiores de placard</t>
  </si>
  <si>
    <t>46212-31</t>
  </si>
  <si>
    <t>Interruptor diferencial</t>
  </si>
  <si>
    <t>46212-41</t>
  </si>
  <si>
    <t>Interruptor termomagnético</t>
  </si>
  <si>
    <t>Inc. Imp. Prov.</t>
  </si>
  <si>
    <t>Ver Nota 2,19,29y30</t>
  </si>
  <si>
    <t>Ver Nota 11</t>
  </si>
  <si>
    <t>Todos los tipos de cubiertas p/equipos</t>
  </si>
  <si>
    <t>Inc. Imp. Provinc.</t>
  </si>
  <si>
    <t>Asignación no remun. Dtos. 1273/2002 y 2461/2002 - 2005/04 + Suma No Rem. Dto 352</t>
  </si>
  <si>
    <t>Mano de Obra Oficial Especial.</t>
  </si>
  <si>
    <t>Todas las categ.de Mano de O.</t>
  </si>
  <si>
    <t>ICC Cuadro 8.1.4. (*)</t>
  </si>
  <si>
    <t>Todos los diám. Incluye mallas sold.</t>
  </si>
  <si>
    <t>Todos los tipos p/obras de arquitec.</t>
  </si>
  <si>
    <t>Artefactos p/obras de arquitec.</t>
  </si>
  <si>
    <t>Termotanques, Calefactores</t>
  </si>
  <si>
    <t>Todos Incluye ladrillo p/vista</t>
  </si>
  <si>
    <t>Amortiz. Equipos Nacionales</t>
  </si>
  <si>
    <t>Amortiz. de Equipos Importados*</t>
  </si>
  <si>
    <t>Postes olímp. y premold. menores</t>
  </si>
  <si>
    <t>SUSTIT. P/ I.T. 221</t>
  </si>
  <si>
    <t>SUSTIT. P/ I.T. 222</t>
  </si>
  <si>
    <t>SUSTIT. P/ I.T. 223</t>
  </si>
  <si>
    <t>SUSTIT. P/I.T. 131a133</t>
  </si>
  <si>
    <t>SUSTIT. P/I.T. 231y232</t>
  </si>
  <si>
    <t>SUSTIT. P/ I.T. 224</t>
  </si>
  <si>
    <t>LISTADO DE INSUMOS TESTIGOS AL MES DE SEPTIEMBRE 2.010</t>
  </si>
  <si>
    <t>varios</t>
  </si>
  <si>
    <t>Interruptores y tomas eléctricos</t>
  </si>
  <si>
    <t>Llaves, tomas, etc. (todos)</t>
  </si>
  <si>
    <t>37350-11</t>
  </si>
  <si>
    <t>Ladrillo cerámico hueco</t>
  </si>
  <si>
    <t>37350-41</t>
  </si>
  <si>
    <t>Ladrillo cerámico para entrepisos</t>
  </si>
  <si>
    <t>37350-21</t>
  </si>
  <si>
    <t>Ladrillo común</t>
  </si>
  <si>
    <t>43240-41</t>
  </si>
  <si>
    <t>Llave esclusa de bronce</t>
  </si>
  <si>
    <t>Llaves y valvulas de bronce</t>
  </si>
  <si>
    <t>Madera para encofrado</t>
  </si>
  <si>
    <t>Todas las medidas y tipos</t>
  </si>
  <si>
    <t>Reemp.Ins, Test. 210</t>
  </si>
  <si>
    <t xml:space="preserve">Insumos Secundarios o Menores </t>
  </si>
  <si>
    <t>IPIB C. 3.2 (*)</t>
  </si>
  <si>
    <t>Máquinas de uso especial</t>
  </si>
  <si>
    <t>7.0</t>
  </si>
  <si>
    <t>MÁQUINAS ELÉCTRICAS ROTANTES - Índice Promedio</t>
  </si>
  <si>
    <t>Máquinas y aparatos eléctricos</t>
  </si>
  <si>
    <t>Máquinas y equipos (Apertura Productos Nacionales)</t>
  </si>
  <si>
    <t>I</t>
  </si>
  <si>
    <t>Máquinas y equipos (Apertura Productos Importados)</t>
  </si>
  <si>
    <t>C1 578 045</t>
  </si>
  <si>
    <t>Material para Salpicado</t>
  </si>
  <si>
    <t>Precio</t>
  </si>
  <si>
    <t>$/m²</t>
  </si>
  <si>
    <t>Ver Nota 12</t>
  </si>
  <si>
    <t>6.0</t>
  </si>
  <si>
    <t>MEDICIÓN - Índice Promedio</t>
  </si>
  <si>
    <t>37930-1</t>
  </si>
  <si>
    <t>Membranas asfálticas</t>
  </si>
  <si>
    <t>37610-11</t>
  </si>
  <si>
    <t>Mesada de granito</t>
  </si>
  <si>
    <t>Mesadas de acero inoxidable</t>
  </si>
  <si>
    <t>42943-11</t>
  </si>
  <si>
    <t>Metal desplegado</t>
  </si>
  <si>
    <t>5.0</t>
  </si>
  <si>
    <t>MORSETERÍA - Índice Promedio</t>
  </si>
  <si>
    <t>37540-1</t>
  </si>
  <si>
    <t>Cód.Ins. Testigo</t>
  </si>
  <si>
    <t>Cód. Ins.Testigo</t>
  </si>
  <si>
    <t>Mosaicos</t>
  </si>
  <si>
    <t>33310-1</t>
  </si>
  <si>
    <t>Naftas</t>
  </si>
  <si>
    <t>35490-11</t>
  </si>
  <si>
    <t>Pegamento para PVC</t>
  </si>
  <si>
    <t>41251-1</t>
  </si>
  <si>
    <t>Perfiles de hierro</t>
  </si>
  <si>
    <t>41116-1</t>
  </si>
  <si>
    <t>Piezas fundidas</t>
  </si>
  <si>
    <t>37940-11</t>
  </si>
  <si>
    <t>Pintura asfáltica</t>
  </si>
  <si>
    <t>35110-71</t>
  </si>
  <si>
    <t>Pintura transparente para ladrillo visto</t>
  </si>
  <si>
    <t>35110-3</t>
  </si>
  <si>
    <t>Pinturas al látex</t>
  </si>
  <si>
    <t>31210-32</t>
  </si>
  <si>
    <t>Piso de parquet, con colocación</t>
  </si>
  <si>
    <t>34720-11</t>
  </si>
  <si>
    <t>Poliestireno expandido en placas</t>
  </si>
  <si>
    <t>47220-11</t>
  </si>
  <si>
    <t>Portero eléctrico</t>
  </si>
  <si>
    <t>Productos refinados del petróleo</t>
  </si>
  <si>
    <t>Asfaltos, Emulsiones, etc.</t>
  </si>
  <si>
    <t>31600-32</t>
  </si>
  <si>
    <t>31600-22</t>
  </si>
  <si>
    <t>Puerta placa de madera, de calidad media</t>
  </si>
  <si>
    <t>36320-33</t>
  </si>
  <si>
    <t>Ramal de PVC</t>
  </si>
  <si>
    <t>8-</t>
  </si>
  <si>
    <t>48270-11</t>
  </si>
  <si>
    <t>Regulador de gas</t>
  </si>
  <si>
    <t>4.0</t>
  </si>
  <si>
    <t>SECCIONADORES - Índice Promedio</t>
  </si>
  <si>
    <t>Sustancias y productos químicos</t>
  </si>
  <si>
    <t>Aditivos p/fragüe, curado, etc.</t>
  </si>
  <si>
    <t>Tabiques Durlock - Pared Simple</t>
  </si>
  <si>
    <t>1.0</t>
  </si>
  <si>
    <t>TABLEROS (INCONTAB) - Índice Promedio</t>
  </si>
  <si>
    <t>37129-21</t>
  </si>
  <si>
    <t>Todas las capacidades</t>
  </si>
  <si>
    <t>C3 218 008</t>
  </si>
  <si>
    <t>Tanque de reserva fibrocemento 500lts</t>
  </si>
  <si>
    <t>37350-2</t>
  </si>
  <si>
    <t>Tejas</t>
  </si>
  <si>
    <t>Todos los tipos, inc. Esmaltadas</t>
  </si>
  <si>
    <t>42943-1</t>
  </si>
  <si>
    <t>Tejidos de alambre</t>
  </si>
  <si>
    <t>2.0</t>
  </si>
  <si>
    <t>Alquiler de camioneta</t>
  </si>
  <si>
    <t>TRANSFORMADORES DE PODER - Índice Promedio</t>
  </si>
  <si>
    <t>Cuadro 4, Ap. 6</t>
  </si>
  <si>
    <t>Transporte</t>
  </si>
  <si>
    <t>IPC-GBA (*)</t>
  </si>
  <si>
    <t>Ver Nota 7</t>
  </si>
  <si>
    <t>9.0</t>
  </si>
  <si>
    <t>VARIOS INSTAL. ELECTRICA Y ALUMBRADO- Índice Promedio</t>
  </si>
  <si>
    <t>Aisladores Orgánicos</t>
  </si>
  <si>
    <t>31600-42</t>
  </si>
  <si>
    <t>Ventana corrediza de madera</t>
  </si>
  <si>
    <t>37113-1</t>
  </si>
  <si>
    <t>Vidrio plano</t>
  </si>
  <si>
    <t>Todos los tipos y espesores</t>
  </si>
  <si>
    <t>37550-11</t>
  </si>
  <si>
    <t>Vigueta de hormigón pretensado</t>
  </si>
  <si>
    <t>Todas las series y medidas</t>
  </si>
  <si>
    <t>37410-11</t>
  </si>
  <si>
    <t>Yeso blanco</t>
  </si>
  <si>
    <t>31210-33</t>
  </si>
  <si>
    <t>Zócalo de madera</t>
  </si>
  <si>
    <t>37540-21</t>
  </si>
  <si>
    <t>Zócalo granítico</t>
  </si>
  <si>
    <t>Aprobado Acta11/04 de fecha 16/03/2004</t>
  </si>
  <si>
    <t>Equipos para medicina</t>
  </si>
  <si>
    <t>Gases medicinales, etc.</t>
  </si>
  <si>
    <t>Aprobado Acta11/04 de fecha 16/03/2005</t>
  </si>
  <si>
    <t>Equipos para medicina e instrumentos de medición</t>
  </si>
  <si>
    <t>Para equipos de medicina</t>
  </si>
  <si>
    <t>Aprobado Acta11/04 de fecha 16/03/2006</t>
  </si>
  <si>
    <t>Transporte de obra de corta distancia (Camión solo)</t>
  </si>
  <si>
    <t>Transporte de media distancia (Camión solo)</t>
  </si>
  <si>
    <t>8-m</t>
  </si>
  <si>
    <t>8-n</t>
  </si>
  <si>
    <t>8-p</t>
  </si>
  <si>
    <t>8-q</t>
  </si>
  <si>
    <t>Para Equipos de Informática</t>
  </si>
  <si>
    <t>Amortización de Equipos  Nacionales</t>
  </si>
  <si>
    <t>Indice Combinado</t>
  </si>
  <si>
    <t>Equipos Nacionales en general</t>
  </si>
  <si>
    <t xml:space="preserve">Amortización de Equipos Importados </t>
  </si>
  <si>
    <t>Equipos Importados en general</t>
  </si>
  <si>
    <t xml:space="preserve">Reparaciones y Repuestos - Equipos Importados </t>
  </si>
  <si>
    <t>44440-1</t>
  </si>
  <si>
    <t>Hormigoneras</t>
  </si>
  <si>
    <t>44427-1</t>
  </si>
  <si>
    <t>Máquinas viales autopropulsadas</t>
  </si>
  <si>
    <t>SUPRIMIDO. Ver Nota 15</t>
  </si>
  <si>
    <t>44430-1</t>
  </si>
  <si>
    <t>Máquinas viales no autopropulsadas</t>
  </si>
  <si>
    <t>71240-11</t>
  </si>
  <si>
    <t>Alquiler de camión volcador</t>
  </si>
  <si>
    <t>71233-11</t>
  </si>
  <si>
    <t>Septiembre</t>
  </si>
  <si>
    <t>Ver Nota 10 y Nota 20</t>
  </si>
  <si>
    <t>Transp. Distanc. 50 y 1400 km</t>
  </si>
  <si>
    <t>Cód. Insum. Test.</t>
  </si>
  <si>
    <t>Movilidad de inspección</t>
  </si>
  <si>
    <t>Sep.</t>
  </si>
  <si>
    <t>42921-2</t>
  </si>
  <si>
    <t>Herramientas de mano</t>
  </si>
  <si>
    <t xml:space="preserve">Reparaciones y Repuestos - Equipos Nacionales </t>
  </si>
  <si>
    <t>Todos,Cielorrasos. Incluye placas,perfiles y aislación acústica</t>
  </si>
  <si>
    <t>Costo Horario de Equipos</t>
  </si>
  <si>
    <t>Ver Nota 17</t>
  </si>
  <si>
    <t>Costo Horario de Camioneta</t>
  </si>
  <si>
    <t>Reemplazan al 
Insumo Testigo 208</t>
  </si>
  <si>
    <t>Paneles premoldeados de Hormigón (Polinómica SEOP)</t>
  </si>
  <si>
    <t>Elementos de Hormigón simple o comprimido</t>
  </si>
  <si>
    <t>Mármoles y granitos naturales</t>
  </si>
  <si>
    <t>PROVISORIO.</t>
  </si>
  <si>
    <t>Pinturas epoxi (Sustancias plásticas y elastómeros)</t>
  </si>
  <si>
    <t xml:space="preserve">Mano de Obra (Cuadro 1.4. ICC INDEC) </t>
  </si>
  <si>
    <t>ICC Cuadro 1.4. (*)</t>
  </si>
  <si>
    <t>Ag.</t>
  </si>
  <si>
    <t xml:space="preserve">Gastos Generales </t>
  </si>
  <si>
    <t>Ver Nota 18</t>
  </si>
  <si>
    <t>INDICE NIVEL GRAL IPIM, Cuadro 1.1 (B)</t>
  </si>
  <si>
    <t>Capítulo Materiales</t>
  </si>
  <si>
    <t>Nivel General</t>
  </si>
  <si>
    <t>Índice</t>
  </si>
  <si>
    <t>PROVISORIO</t>
  </si>
  <si>
    <t>Estructura Metálica Montada</t>
  </si>
  <si>
    <t>Ver Nota 25</t>
  </si>
  <si>
    <t>Cerca Perimetral</t>
  </si>
  <si>
    <t>Ver Nota 26</t>
  </si>
  <si>
    <t>Bomba sumergible cloacal</t>
  </si>
  <si>
    <t>Ver Nota 24</t>
  </si>
  <si>
    <t>--</t>
  </si>
  <si>
    <t>43220-32</t>
  </si>
  <si>
    <t>Electrobomba trifásica de 7,5 HP</t>
  </si>
  <si>
    <t>Ver Nota 24*</t>
  </si>
  <si>
    <t>34800-1</t>
  </si>
  <si>
    <t>Cauchos sintéticos</t>
  </si>
  <si>
    <t>Ago.</t>
  </si>
  <si>
    <t>Ver Nota 27</t>
  </si>
  <si>
    <t>Ver Nota 27 y Nota 28</t>
  </si>
  <si>
    <t>34730-1</t>
  </si>
  <si>
    <t>Lámina Reflectiva (Polímeros de Cloruro de Vinilo)</t>
  </si>
  <si>
    <t>42922-1</t>
  </si>
  <si>
    <t>NOTAS:</t>
  </si>
  <si>
    <t xml:space="preserve">Se considerará el porcentaje de Cargas Sociales indicado en los análisis de precios oficiales y/o en los de la oferta elevada a contrato. </t>
  </si>
  <si>
    <t>No es aplicable este Insumo Testigo a materiales áridos producidos por el contratista con sus propias instalaciones. En tal caso se aplicarán los parámetros incidentes en el costo horario del equipo a analizar.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</si>
  <si>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</si>
  <si>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</si>
  <si>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 xml:space="preserve">Cuadro 3.1 IPIM </t>
  </si>
  <si>
    <t>Cuadro 3.1 IPIM</t>
  </si>
  <si>
    <t>Cuadro 3.1 IPIM import.</t>
  </si>
  <si>
    <t>Bonific. Extraord. Remunerativa - Cat. Ayudante - Res. S.T. 547</t>
  </si>
  <si>
    <t>Bonific. Extraord. Remunerativa - Cat. 1/2 Oficial - Res. S.T. 547</t>
  </si>
  <si>
    <t>Cuadro 8.1.9 (*)</t>
  </si>
  <si>
    <t>Bonific. Extraord. Remunerativa - Cat. Oficial - Res. S.T. 547</t>
  </si>
  <si>
    <r>
      <t xml:space="preserve">Bonific. </t>
    </r>
    <r>
      <rPr>
        <b/>
        <sz val="14"/>
        <rFont val="Arial Narrow"/>
        <family val="2"/>
      </rPr>
      <t>No Remun. Pago único</t>
    </r>
    <r>
      <rPr>
        <sz val="14"/>
        <rFont val="Arial Narrow"/>
        <family val="2"/>
      </rPr>
      <t xml:space="preserve"> - Ayudante - Res. 9/08</t>
    </r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</si>
  <si>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Cat.1/2 Oficial-Res. 9/08</t>
    </r>
  </si>
  <si>
    <r>
      <t xml:space="preserve">Bonific. </t>
    </r>
    <r>
      <rPr>
        <b/>
        <sz val="14"/>
        <rFont val="Arial Narrow"/>
        <family val="2"/>
      </rPr>
      <t>No Remun.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Cat.Oficial Esp.-Res. 9/08</t>
    </r>
  </si>
  <si>
    <t>Asignación no remunerativa - Homologado por D.N.R.T. Nº 330 del 04/05/11 de $ 510 para Ayudante - Med. Ofic. $560 - Ocicial $ 600 - Ofic. Espec. $ 710; pagaderos con las 2ª quincenas de Mayo, Julio, Sept. y Octubre</t>
  </si>
  <si>
    <t xml:space="preserve">Todo tipo acces. PVC-Juntas </t>
  </si>
  <si>
    <t xml:space="preserve">Acces. hierro fundido p/redes </t>
  </si>
  <si>
    <t>Todos. Incluye caños s/costura.</t>
  </si>
  <si>
    <t>Todos,Cielorrasos. Incluye perfiles</t>
  </si>
  <si>
    <t>8-r</t>
  </si>
  <si>
    <t>Asignación no remunerativa  Extraor. fin de año 2.011 Homologado por RESOL. Nº 10  de fecha 23 de Enero 2.012 de $1.600, en cuatro cuotas - 2ª quinc. Ene.;Feb.;Mar. y 1ª de Abr.  2.012</t>
  </si>
  <si>
    <t>Todos los tipos Incl. Piletas, bachas</t>
  </si>
  <si>
    <t>Todos medidas Incl. herrajes.</t>
  </si>
  <si>
    <t>Aparatos aire acondicionado</t>
  </si>
  <si>
    <t xml:space="preserve">Medidición, caudal, Bomb. </t>
  </si>
  <si>
    <t>Cajonera, Estantes, Divis. etc.</t>
  </si>
  <si>
    <t>Todos los tipos y diám. Incluye acces.- Fibras de polipropileno</t>
  </si>
  <si>
    <t>Todos. Incluye electrob. Sumer.</t>
  </si>
  <si>
    <t>Todos los tipos y antióxidos</t>
  </si>
  <si>
    <t xml:space="preserve"> malla p/gaviones, colchonentas</t>
  </si>
  <si>
    <t>Transp.  entre 10 y 50 km</t>
  </si>
  <si>
    <t>Transporte de Obra hasta 10km</t>
  </si>
  <si>
    <t>Herram. menores de todo tipo</t>
  </si>
  <si>
    <t>Amortiz. de Equipos Nacion.</t>
  </si>
  <si>
    <t>Amortiz. de Equipos Import.</t>
  </si>
  <si>
    <t>Reempl. Ins. Test. 201 Anexo A Modific.</t>
  </si>
  <si>
    <t>Reemp. Ins. Test. 202 Anexo A Modific.</t>
  </si>
  <si>
    <t>Reemp. Ins. Test. 203</t>
  </si>
  <si>
    <t>Costo Hora s/Análisis-Equip. Autoprop.</t>
  </si>
  <si>
    <t>Mov. Inspec.-CUOTA MÓVIL-Costo Horario</t>
  </si>
  <si>
    <t xml:space="preserve">Lámina reflectiva p/señales </t>
  </si>
  <si>
    <t>Todo tipo y medidas-Electrodos</t>
  </si>
  <si>
    <t>Todas capacid./tanque PRFV</t>
  </si>
  <si>
    <t>Remplazado por Ins. 83</t>
  </si>
  <si>
    <t>Remplazado por Ins. 85</t>
  </si>
  <si>
    <t>Remplazado por Ins. 98</t>
  </si>
  <si>
    <t>Remplazado por Ins. 241</t>
  </si>
  <si>
    <t>Remplazado por Ins. 243</t>
  </si>
  <si>
    <t>Remplazado por Ins.240</t>
  </si>
  <si>
    <t>Remplazado por Ins.76</t>
  </si>
  <si>
    <t>El precio del Tanque de fibrocemento de 500 lts del mes de Octubre de 2002 se deriva como promedio del de los meses de Septiembre 2002 y Noviembre 2002.</t>
  </si>
  <si>
    <t>COMISION PERMANENTE DE ENCUESTA Y SEGUIMIENTOS DE PRECOS</t>
  </si>
  <si>
    <t>De aplicación para insumos o items menores que no son materiales (p.ej.: alquiler de vivienda de inspección, derechos municipales, derechos de extracción, etc.)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</si>
  <si>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</si>
  <si>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</si>
  <si>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24*</t>
  </si>
  <si>
    <t>Oct,</t>
  </si>
  <si>
    <t>Laca poliuretánica para metales</t>
  </si>
  <si>
    <t>Jul.</t>
  </si>
  <si>
    <t>Motores eléctricos</t>
  </si>
  <si>
    <t>46112-1</t>
  </si>
  <si>
    <t>Todos los elementos del rubro - Detonadores eléctricos</t>
  </si>
  <si>
    <t>C1 578 0460</t>
  </si>
  <si>
    <t>Nota (*): El valor MOj corresponde a una hora de Categoría Ayudante + 125,21 % de Cargas Sociales + Incidencia $ 150 Dto. 1273/2002 a partir de enero 2005, calculado sobre 22 días de 8 horas por mes</t>
  </si>
  <si>
    <t>LISTADO DE INSUMOS TESTIGO</t>
  </si>
  <si>
    <t>INSUMOS TESTIGOS</t>
  </si>
  <si>
    <t>Marzo</t>
  </si>
  <si>
    <t>Abril</t>
  </si>
  <si>
    <t>Mayo</t>
  </si>
  <si>
    <t>VARIACIONES TOMANDO BASE 100 EN JULIO DE 2.002 PARA COMPARAR CON PRECIOS SEOP</t>
  </si>
  <si>
    <t>Enero</t>
  </si>
  <si>
    <t>Todos los diámetros</t>
  </si>
  <si>
    <t>15320-11</t>
  </si>
  <si>
    <t>Canto rodado natural</t>
  </si>
  <si>
    <t>8-a</t>
  </si>
  <si>
    <t>LISTADO DE INSUMOS TESTIGO CADIEEL</t>
  </si>
  <si>
    <t>TRASPORTE  120</t>
  </si>
  <si>
    <t>8-b</t>
  </si>
  <si>
    <t>8-c</t>
  </si>
  <si>
    <t>8-d</t>
  </si>
  <si>
    <t>Cód. Ident.</t>
  </si>
  <si>
    <t>Un.</t>
  </si>
  <si>
    <t/>
  </si>
  <si>
    <t>3,78,55</t>
  </si>
  <si>
    <t xml:space="preserve"> "= $ 2,90 (Hora Ayudante * 2,2521 (C.S.) )+ $1,00 (Asig. No remunerativa 76/75 - Res 7/05)</t>
  </si>
  <si>
    <t>Tanque para agua de polietileno tricapa aprobado</t>
  </si>
  <si>
    <t xml:space="preserve">Insumo Testigo aprobado en Acta Nº 34/03 de la C.P.E.y S.P., para redeterminar el Ítem  "Cerca Perimetral", en la Obra: Construcción Nuevo Edificio Escuela Guillermo Griet  </t>
  </si>
  <si>
    <t>Motores Eléctricos</t>
  </si>
  <si>
    <t>Insumo Testigo aprobado en Acta Nº 36/03 de la C.P.E.y S.P., para redeterminar este rubro para la Obra: "Terminación del Sistema Cloacal del Barrio Crucero Belgrano"</t>
  </si>
  <si>
    <t>Torniquetas, etc.</t>
  </si>
  <si>
    <t xml:space="preserve">INCIDENCIA </t>
  </si>
  <si>
    <t>La Asignación no remunerativa de cada categoría por mes según Resolución 547/05 del M.T.S.S., se calcula sobre 22 días de 8 horas</t>
  </si>
  <si>
    <t>" = $ 3,58(Hora Ayudante * 2,2521(C.S:) + 0,909(Asig. No remunerativa Res 547 M.T.S.S.)</t>
  </si>
  <si>
    <t>8-e</t>
  </si>
  <si>
    <t>8-f</t>
  </si>
  <si>
    <t>8-g</t>
  </si>
  <si>
    <t>8-h</t>
  </si>
  <si>
    <t>Bonificación Extraordinaria Remunerativa</t>
  </si>
  <si>
    <t>M.T.E.S.S.</t>
  </si>
  <si>
    <t>Febrero</t>
  </si>
  <si>
    <t>8-i</t>
  </si>
  <si>
    <t>8-j</t>
  </si>
  <si>
    <t>8-k</t>
  </si>
  <si>
    <t>8-l</t>
  </si>
  <si>
    <t>Jun.</t>
  </si>
  <si>
    <t>Asfaltos diluidos EM y ER</t>
  </si>
  <si>
    <t>D.N.V.</t>
  </si>
  <si>
    <t>Todos los rubros</t>
  </si>
  <si>
    <t>Setiembre</t>
  </si>
  <si>
    <t>INCID.</t>
  </si>
  <si>
    <t xml:space="preserve">INCID. </t>
  </si>
  <si>
    <t xml:space="preserve">                       </t>
  </si>
  <si>
    <t>Ene.</t>
  </si>
  <si>
    <t>Nota (*): El valor MOj corresponde a una hora de Categoría Ayudante + 125,21 % de Cargas Sociales + Incidencia $ 192 Res.547-ST</t>
  </si>
  <si>
    <t>Feb.</t>
  </si>
  <si>
    <t>Abr.</t>
  </si>
  <si>
    <t>CADIEEL</t>
  </si>
  <si>
    <t xml:space="preserve">Ver Nota 4 </t>
  </si>
  <si>
    <t>Ver Nota 5</t>
  </si>
  <si>
    <t>Ver Nota 8</t>
  </si>
  <si>
    <t>Ver Nota 9</t>
  </si>
  <si>
    <t>Ver Nota 10</t>
  </si>
  <si>
    <t>S/D</t>
  </si>
  <si>
    <t>Base</t>
  </si>
  <si>
    <t>VALORES INDICE IPIB rubro 292 (A)-Maquinas Nacionales de Uso Especial</t>
  </si>
  <si>
    <t>-----</t>
  </si>
  <si>
    <t>INDICE COMBINADO (C) = 0,70*(A) + 0,30*(B) -NUEVO 202</t>
  </si>
  <si>
    <t>Sobre la base de los datos disponibles en el INDEC y la definición de los índices IPIM e IPIB, se ha considerado que para reflejar el</t>
  </si>
  <si>
    <t xml:space="preserve">Nota (*): El valor MOj corresponde a una hora de Categoría Ayudante + 125,21 % de Cargas Sociales </t>
  </si>
  <si>
    <t>valor (y en consecuencia, la amortización) de maquinarias nacionales, puede tomarse una expresión polinómica de dos términos, que consiste en:</t>
  </si>
  <si>
    <t>Sobre la base de los datos disponibles en el INDEC y la definición de los índices IPIM, se ha considerado que para reflejar el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</si>
  <si>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plásticas y elastómeros"</t>
  </si>
  <si>
    <t>Ver Nota 4</t>
  </si>
  <si>
    <t>INSUMOS TESTIGOS CON BASE DICIEMBRE 2.006 TRANSFORMADOS A BASE DICIEMBRE 2.001</t>
  </si>
  <si>
    <t>OBSERV.</t>
  </si>
  <si>
    <t>May.</t>
  </si>
  <si>
    <t>33380 -1</t>
  </si>
  <si>
    <t>42911-81</t>
  </si>
  <si>
    <t>41242-11</t>
  </si>
  <si>
    <t>37440-21</t>
  </si>
  <si>
    <t>46531-11</t>
  </si>
  <si>
    <t>37370-12</t>
  </si>
  <si>
    <t>37370-11</t>
  </si>
  <si>
    <t>37370-21</t>
  </si>
  <si>
    <t>43540-12</t>
  </si>
  <si>
    <t>42911-11</t>
  </si>
  <si>
    <t>46340-31</t>
  </si>
  <si>
    <t>46340-21</t>
  </si>
  <si>
    <t>42999-23</t>
  </si>
  <si>
    <r>
      <t xml:space="preserve">SEOP </t>
    </r>
    <r>
      <rPr>
        <sz val="11"/>
        <rFont val="Arial Narrow"/>
        <family val="2"/>
      </rPr>
      <t xml:space="preserve">                               IPC-GBA (*) Cuadro 4, Ap.6</t>
    </r>
  </si>
  <si>
    <t>INDICE COMBINADO (E) = 0,70*(C) + 0,30*(D)</t>
  </si>
  <si>
    <t>INDICE COMBINADO (D) = 0,70*(A) + 0,30*(C)</t>
  </si>
  <si>
    <t>INDICE COMBINADO (C) = 0,85*(A) + 0,15*(B)</t>
  </si>
  <si>
    <t>INDICE COMBINADO (D) = 0,70*(A) + 0,30*(C)'</t>
  </si>
  <si>
    <t xml:space="preserve">Bonific. Remunerativa - Cat. Ayudante </t>
  </si>
  <si>
    <t xml:space="preserve">Bonific. Remunerativa - Cat. 1/2 Oficial </t>
  </si>
  <si>
    <t xml:space="preserve">Bonific. Remunerativa - Cat. Oficial </t>
  </si>
  <si>
    <t xml:space="preserve">Bonific. Remunerativa-Cat. Oficial </t>
  </si>
  <si>
    <t>Bonific. No Remun. Pago único - Ayudante - Res. 9/08</t>
  </si>
  <si>
    <t>Bonific. No Remun.Pago único- Cat.1/2 Oficial-Res. 9/08</t>
  </si>
  <si>
    <t>Bonific. No Remun.Pago único- Cat. Oficial-Res. 9/08</t>
  </si>
  <si>
    <t>Bonific. No Remun. Pago único- Cat.Oficial Esp.-Res. 9/08</t>
  </si>
  <si>
    <t>Bonificación No Remunerativa Pago único - Ay.</t>
  </si>
  <si>
    <t>Bonificación No Remunerativa Pago único- 1/2 Of.</t>
  </si>
  <si>
    <t>Bonificación No Remunerativa Pago único- Cat. Of.</t>
  </si>
  <si>
    <t xml:space="preserve">Bonificación No Remunerativa Pago único- Cat. Of. </t>
  </si>
  <si>
    <t>Ver Notas: 42-43 - No incluirse en presup. Oficiales</t>
  </si>
  <si>
    <t>Pago no remunerativo fin de año 2.012 - En cuatro cuotas a partir de marzo 2.013 - Resol. S.T. Nº 327/13 de fecha 20-03-2013</t>
  </si>
  <si>
    <t>Mano de Obra (Cuadro 1.4 ICCINDEC)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</si>
  <si>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</si>
  <si>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</si>
  <si>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Insumo Testigo aprobado en Acta Nº 36/03 de la C.P.E.y S.P., para redeterminar Bombas sumergibles cloacales de la Obra: "Terminación del Sistema Cloacal del Barrio Crucero Belgrano"</t>
  </si>
  <si>
    <t>Insumo Testigo aprobado en Acta Nº 34/03 de la C.P.E.y S.P., para redeterminar en la Obra: Construcción Nuevo Edificio Escuela Guillermo Griet para los Ítems 10.1 "Cubierta en Galería" y 10.2 "Cubieta en patio"</t>
  </si>
  <si>
    <t>Amortización Equipos Importados</t>
  </si>
  <si>
    <t>Agos.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</si>
  <si>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</si>
  <si>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</si>
  <si>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químicas básicas"</t>
  </si>
  <si>
    <t>Dic</t>
  </si>
  <si>
    <t>Ene</t>
  </si>
  <si>
    <t>Feb</t>
  </si>
  <si>
    <t>Mar</t>
  </si>
  <si>
    <t>Abr</t>
  </si>
  <si>
    <t>May</t>
  </si>
  <si>
    <t>Jun</t>
  </si>
  <si>
    <t>Paneles premoldeados</t>
  </si>
  <si>
    <t>Postes olímpicos y premoldeados menores</t>
  </si>
  <si>
    <t>Nov</t>
  </si>
  <si>
    <t>Jul</t>
  </si>
  <si>
    <t>Ago</t>
  </si>
  <si>
    <t>Sep</t>
  </si>
  <si>
    <t>Oct</t>
  </si>
  <si>
    <t>SECRETARÍA DE ESTADO</t>
  </si>
  <si>
    <t>COMISIÓN PERMANENTE DE ENCUESTA Y SEGUIMIENTO DE PRECIOS</t>
  </si>
  <si>
    <t xml:space="preserve">   DE OBRAS PÚBLICAS</t>
  </si>
  <si>
    <t>REDETERMINACIÓN DE PRECIOS s/DECRETO ACUERDO Nº 23/3-(S.O.)-2002 y Res. Nº 795/3-(S.O.)-2002</t>
  </si>
  <si>
    <t>PROVINCIA DE TUCUMÁN</t>
  </si>
  <si>
    <t>LISTADO DE INSUMOS TESTIGO - ANEXO A</t>
  </si>
  <si>
    <t>INSUMOS TESTIGOS CON BASE ABRIL 2.008 TRANSFORMADOS A BASE DICIEMBRE 2.001</t>
  </si>
  <si>
    <t>SECRETARÍA DE ESTADODE OBRAS PÚBLICAS</t>
  </si>
  <si>
    <t>BASE</t>
  </si>
  <si>
    <t>Cód. Identificación</t>
  </si>
  <si>
    <t>1. INDICES ADOPTADOS PARA AMORTIZACIÓN DE MAQUINARIAS IMPORTADAS - INSUMO 202</t>
  </si>
  <si>
    <t>Sobre la base de los daros disponibles en el INDEC y la definición de los ïndices IPIM e IPIB, se ha considerado que para reflejar el</t>
  </si>
  <si>
    <t>valor ( y en consecuencia, la amortización) de maquinarias importadas, puede tomarse una expresión polinómica de dos términos, que consiste en:</t>
  </si>
  <si>
    <t>VALORES INDICE IPIB rubro 29 (A)-Máquinas Importadas</t>
  </si>
  <si>
    <t>jul</t>
  </si>
  <si>
    <t>2. INDICES ADOPTADOS PARA REPARACIONES Y REPUESTOS DE MAQUINARIAS IMPORTADAS - INSUMO 203</t>
  </si>
  <si>
    <t xml:space="preserve">INDICE AMORTIZACIÓN DE EQUIPOS </t>
  </si>
  <si>
    <t>INDICE MANO DE OBRA (Mano de Obra -Cuadro 1.4. ICC INDEC)</t>
  </si>
  <si>
    <t>Oct.</t>
  </si>
  <si>
    <t>Nov.</t>
  </si>
  <si>
    <t>Dic.</t>
  </si>
  <si>
    <t xml:space="preserve">NUEVO INDICE 202 </t>
  </si>
  <si>
    <t>Mano de Obra (Cuadro 1.4. ICC INDEC) (D)</t>
  </si>
  <si>
    <t>Idem, Base = 100 Diciembre 2001</t>
  </si>
  <si>
    <t>INDICE COMBINADO ( E) = 0,70*( C ) + 0,30*(D)'</t>
  </si>
  <si>
    <t>3. INDICES ADOPTADOS PARA AMORTIZACIÓN DE MAQUINARIAS NACIONALES - INSUMO 201</t>
  </si>
  <si>
    <t>Indice IPIB, apertura Máquinas y equipos importados, rubro 29 (A)</t>
  </si>
  <si>
    <t>Indice Nivel General del IPIM, base 1993=100, Cuadro 1,1 (B)</t>
  </si>
  <si>
    <t>u</t>
  </si>
  <si>
    <t>VALORES INDICE IPIB rubro 29 (A)-Máquinas Importadas- Cuadro 3.2</t>
  </si>
  <si>
    <t>Octubre</t>
  </si>
  <si>
    <t>Noviembre</t>
  </si>
  <si>
    <t>VALORES INDICE IPIB  (A) -base=100-</t>
  </si>
  <si>
    <t>Indice Nivel General del IPIM (B) -base =100</t>
  </si>
  <si>
    <t>4. INDICES ADOPTADOS PARA REPARACIONES Y REPUESTOS DE MAQUINARIAS NACIONALES - INSUMO 210</t>
  </si>
  <si>
    <t>INDICE AMORTIZACIÓN DE EQUIPOS</t>
  </si>
  <si>
    <t>INDICE COMBINADO (C) = 0,70*(A)' + 0,30*(B)'</t>
  </si>
  <si>
    <t>INDICE MANO DE OBRA</t>
  </si>
  <si>
    <t>Mano de Obra (Cuadro 1.4. ICC INDEC)</t>
  </si>
  <si>
    <t>Mano de Obra (Cuadro 1.4. ICC INDEC) (B)</t>
  </si>
  <si>
    <t>Mano de Obra (Cuadro 1.4. ICC INDEC) a 100 ( C )</t>
  </si>
  <si>
    <t>INDICE COMBINADO ( D) = 0,70*( A ) + 0,30*(C)'</t>
  </si>
  <si>
    <t>LISTADO DE INSUMOS TESTIGO - ANEXO A MODIFICADO</t>
  </si>
  <si>
    <t>1. INDICES ADOPTADOS PARA AMORTIZACIÓN DE MAQUINARIAS IMPORTADAS - INSUMO 222</t>
  </si>
  <si>
    <t>SUSTITUYEN A INSUMO 120 Ver Nota 16</t>
  </si>
  <si>
    <t>Jul(#)</t>
  </si>
  <si>
    <t>Ago(#)</t>
  </si>
  <si>
    <t>Sep(#)</t>
  </si>
  <si>
    <t>Oct(#)</t>
  </si>
  <si>
    <t>INDICE Cuadro 3.2. IPIB RUBRO  29 Maquinas Importadas</t>
  </si>
  <si>
    <t>INDICE NUEVO 222</t>
  </si>
  <si>
    <t>2. INDICES ADOPTADOS PARA REPARACIONES Y REPUESTOS DE MAQUINARIAS IMPORTADAS - INSUMO 223</t>
  </si>
  <si>
    <t>Otros productos minerales no metálicos</t>
  </si>
  <si>
    <t>INDICE AMORTIZACIÓN DE EQUIPOS (NUEVO INSUMO TESTIGO Nº 222)</t>
  </si>
  <si>
    <t xml:space="preserve">NUEVO INDICE 222 </t>
  </si>
  <si>
    <t>Set</t>
  </si>
  <si>
    <t>3. INDICES ADOPTADOS PARA AMORTIZACIÓN DE MAQUINARIAS NACIONALES - INSUMO 221</t>
  </si>
  <si>
    <t>Sobre la base de los estudios efectuados para dar respuesta a lo planteado por Expte. Nº 026/320-N&amp;I-2003 se REEMPLAZA EL INSUMO Nº 201</t>
  </si>
  <si>
    <t>por el INSUMO Nº 221</t>
  </si>
  <si>
    <t>VALORES INDICE IPIB rubro 292 (A)-Maquinas Nacionales DE Uso Especial</t>
  </si>
  <si>
    <r>
      <t>Base Abr.-</t>
    </r>
    <r>
      <rPr>
        <b/>
        <sz val="12"/>
        <rFont val="Arial Narrow"/>
        <family val="2"/>
      </rPr>
      <t>2.008</t>
    </r>
  </si>
  <si>
    <t>4. INDICES ADOPTADOS PARA REPARACIONES Y REPUESTOS DE MAQUINARIAS NACIONALES - INSUMO 224</t>
  </si>
  <si>
    <t>INSUMO TESTIGO 221 (A)</t>
  </si>
  <si>
    <t>FÓRMULA POLINÓMICA PARA DETERMINAR EL INDICE DEL COSTO HORARIO CUANDO EL ANÁLISIS DE PRECIOS DE LA OFERTA NO TENGA DESAGREGACION DE INSUMOS COMPONENTES</t>
  </si>
  <si>
    <t>RUBRO</t>
  </si>
  <si>
    <t>Código Insumo Testigo</t>
  </si>
  <si>
    <t>Amortización</t>
  </si>
  <si>
    <t>CE</t>
  </si>
  <si>
    <t>Intereses</t>
  </si>
  <si>
    <t>Reparaciones y Repuestos (Equipo)</t>
  </si>
  <si>
    <t>Reparaciones y Repuestos (Mano de Obra)</t>
  </si>
  <si>
    <t>Mano de Obra</t>
  </si>
  <si>
    <t>abr</t>
  </si>
  <si>
    <t>may</t>
  </si>
  <si>
    <t>jun</t>
  </si>
  <si>
    <t>ago</t>
  </si>
  <si>
    <t>set</t>
  </si>
  <si>
    <t>oct</t>
  </si>
  <si>
    <t>nov</t>
  </si>
  <si>
    <t>dic</t>
  </si>
  <si>
    <t>Gasoil</t>
  </si>
  <si>
    <t>HP</t>
  </si>
  <si>
    <t>Insumo Básico</t>
  </si>
  <si>
    <t xml:space="preserve"> Amortización Equipos Importados</t>
  </si>
  <si>
    <t>Cocientes Auxiliares</t>
  </si>
  <si>
    <t>Ai/Ao</t>
  </si>
  <si>
    <t>MOj/MOo</t>
  </si>
  <si>
    <t>Gj/Go</t>
  </si>
  <si>
    <t>COSTO HORARIO EQUIPOS TESTIGOS</t>
  </si>
  <si>
    <t>Cargadora Frontal</t>
  </si>
  <si>
    <t>Retroexcavadora s/orugas</t>
  </si>
  <si>
    <t>Topadora D7</t>
  </si>
  <si>
    <t>Motoniveladora</t>
  </si>
  <si>
    <t>Tractor Neumático</t>
  </si>
  <si>
    <t>Rodillo Vibrador autopropulsado</t>
  </si>
  <si>
    <t>Conduct.  Cu.</t>
  </si>
  <si>
    <t>Conductores de aluminio Redes</t>
  </si>
  <si>
    <t>Rodillo Neumático Autopropulsado</t>
  </si>
  <si>
    <t>VARIACION COSTO HORARIO EQUIPOS TESTIGO</t>
  </si>
  <si>
    <t>229,8 231,3 231,3 231,3 231,9 231,9 231,9 231,9 231,9 235,1</t>
  </si>
  <si>
    <t>A) TRANSPORTE A CORTA DISTANCIA ( Hasta 10 Km)</t>
  </si>
  <si>
    <t>Cámaras y Cubiertas</t>
  </si>
  <si>
    <t>4*</t>
  </si>
  <si>
    <t>Combustible y Lubricantes</t>
  </si>
  <si>
    <t>Código</t>
  </si>
  <si>
    <t>Insumo</t>
  </si>
  <si>
    <t>Testigo</t>
  </si>
  <si>
    <t xml:space="preserve">Cámaras y Cubiertas </t>
  </si>
  <si>
    <t>CCi/CCo</t>
  </si>
  <si>
    <t>VALORES INSUMO TESTIGO 131</t>
  </si>
  <si>
    <t>B) TRANSPORTE MEDIA DISTANCIA (10-50 Km)</t>
  </si>
  <si>
    <t>C) TRANSPORTE LARGA DISTANCIA (50-1400 Km)</t>
  </si>
  <si>
    <t>4 *</t>
  </si>
  <si>
    <t>LISTADO DE INSUMOS TESTIGO - ANEXO E</t>
  </si>
  <si>
    <r>
      <t>Base Dic.-</t>
    </r>
    <r>
      <rPr>
        <b/>
        <sz val="12"/>
        <rFont val="Arial Narrow"/>
        <family val="2"/>
      </rPr>
      <t>2.001</t>
    </r>
  </si>
  <si>
    <r>
      <t>Base Dic.-</t>
    </r>
    <r>
      <rPr>
        <b/>
        <sz val="12"/>
        <rFont val="Arial Narrow"/>
        <family val="2"/>
      </rPr>
      <t>2.006</t>
    </r>
  </si>
  <si>
    <t>FÓRMULAS POLINÓMICAS PARA DETERMINAR LA VARIACIÓN DE COSTO HORARIO DE CAMIONETA - CUOTA MÓVIL - INSUMO TESTIGO Nº 231</t>
  </si>
  <si>
    <t>Incidencia</t>
  </si>
  <si>
    <t>Amortización Equipos Nacionales</t>
  </si>
  <si>
    <t>Combustible - Gasoil</t>
  </si>
  <si>
    <t>03/11/2003 Libre Min. $ 2,82 $ 2,86</t>
  </si>
  <si>
    <t>04/11/2003 Libre Min. $ 2,83 $ 2,87</t>
  </si>
  <si>
    <t>INDICE PARA COSTO HORARIO DE CAMIONETA - CUOTA MÓVIL</t>
  </si>
  <si>
    <t>VALORES INSUMO TESTIGO Nº 231</t>
  </si>
  <si>
    <t>06/11/2003 Libre Min. $ 2,83 $ 2,87</t>
  </si>
  <si>
    <t>07/11/2003 Libre Min. $ 2,82 $ 2,86</t>
  </si>
  <si>
    <t>11/11/2003 Libre Min. $ 2,83 $ 2,87</t>
  </si>
  <si>
    <t>12/11/2003 Libre Min. $ 2,83 $ 2,87</t>
  </si>
  <si>
    <t>13/11/2003 Libre Min. $ 2,82 $ 2,86</t>
  </si>
  <si>
    <t>14/11/2003 Libre Min. $ 2,84 $ 2,88</t>
  </si>
  <si>
    <t>17/11/2003 Libre Min. $ 2,84 $ 2,88</t>
  </si>
  <si>
    <t>18/11/2003 Libre Min. $ 2,83 $ 2,87</t>
  </si>
  <si>
    <t>19/11/2003 Libre Min. $ 2,85 $ 2,89</t>
  </si>
  <si>
    <t>20/11/2003 Libre Min. $ 2,85 $ 2,89</t>
  </si>
  <si>
    <t>21/11/2003 Libre Min. $ 2,88 $ 2,90</t>
  </si>
  <si>
    <t>24/11/2003 Libre Min. $ 2,88 $ 2,90</t>
  </si>
  <si>
    <t>LISTADO DE INSUMOS TESTIGO - ANEXO F</t>
  </si>
  <si>
    <t>VALOR DÓLAR</t>
  </si>
  <si>
    <t>FÓRMULAS POLINÓMICAS PARA DETERMINAR LA VARIACIÓN DE COSTO DE MARMOLES Y GRANITOS NATURALES -  INSUMO TESTIGO Nº 401</t>
  </si>
  <si>
    <t>VALORES INDICE IPIM, Cuadro 3.1, rubro 269 Otros productos de minerales no metálicos</t>
  </si>
  <si>
    <t>www.dólar.com.ar</t>
  </si>
  <si>
    <t>INDICE PARA MARMOLES Y GRANITOS NATURALES</t>
  </si>
  <si>
    <t>VALORES INSUMO TESTIGO Nº 401</t>
  </si>
  <si>
    <t>LISTADO DE INSUMOS TESTIGO - ANEXO G</t>
  </si>
  <si>
    <t>Remplazado por Ins. 115</t>
  </si>
  <si>
    <t>FÓRMULA POLINÓMICA PARA DETERMINAR EL INDICE DE LA ESTRUCTURA METÁLICA MONTADA</t>
  </si>
  <si>
    <t>Rev. VIVIENDA</t>
  </si>
  <si>
    <t>Cap. Gas.Grales (*)</t>
  </si>
  <si>
    <t>Todo tipo de áridos comerciales</t>
  </si>
  <si>
    <t>Todos. Incluye muebles b/mesada</t>
  </si>
  <si>
    <r>
      <t xml:space="preserve">Bonificación </t>
    </r>
    <r>
      <rPr>
        <b/>
        <sz val="14"/>
        <rFont val="Arial Narrow"/>
        <family val="2"/>
      </rPr>
      <t>No Remunerativa Pago único</t>
    </r>
    <r>
      <rPr>
        <sz val="14"/>
        <rFont val="Arial Narrow"/>
        <family val="2"/>
      </rPr>
      <t xml:space="preserve"> - Ay.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</si>
  <si>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- 1/2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</si>
  <si>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</si>
  <si>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 xml:space="preserve">- Cat. Of. </t>
    </r>
  </si>
  <si>
    <t>VARIOS INSTAL. ELEC. Y ALUMBRADO- Índice Prom.</t>
  </si>
  <si>
    <t>Puerta de entrada de madera c/ tableros, calidad media</t>
  </si>
  <si>
    <t>Accesorios de hierro con revest. epoxi p/instalación de gas</t>
  </si>
  <si>
    <t>Madera, produc. de madera excepto muebles (Prod. Nacion.)</t>
  </si>
  <si>
    <t>MÁQUINAS ELÉCTRICAS ROTANTES - Índ. Promedio</t>
  </si>
  <si>
    <t>Transp. larga (Camión con semirremolque o con acoplado)</t>
  </si>
  <si>
    <t>Máquinas de Oficina e Informática (Apertura Prod. Import.)</t>
  </si>
  <si>
    <t>Elem. premoldeados de Hormigón (Polinómica SEOP)</t>
  </si>
  <si>
    <t>Elem. premold. menores de Horm. (Polinómica SEOP)</t>
  </si>
  <si>
    <t>Remplaza a Ins. 71 (CADIEEL)</t>
  </si>
  <si>
    <t>Remplaza a Ins. 114 (CADIEEL)</t>
  </si>
  <si>
    <t>Remplaza a Ins. 119 (CADIEEL)</t>
  </si>
  <si>
    <t>Remplaza a Ins. 121 (CADIEEL)</t>
  </si>
  <si>
    <t>Remplazado por Ins. 242</t>
  </si>
  <si>
    <t>41530-1</t>
  </si>
  <si>
    <t>Productos básicos de aluminio</t>
  </si>
  <si>
    <r>
      <t>Adicional pago único de $ 75,00 p/el mes mayo/08; $ 75,00 p/el mes Julio/08 y de $ 100,00 p/ el mes Sept./08- Adicional pago unico no remunerativo mes de mayo 2009 de $180,00. La aplicación será solo y únicamente para las horas trabajadas durante dichos meses p/todos los trabajadores cualquiera sea su categoría,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no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debe aplicarse en certificaciones posteriores a los mismos y tampoco deberá emplearse en la confección de presupuestos de obras nuevas, incluidos en dichos meses.</t>
    </r>
  </si>
  <si>
    <t>Los insumos Testigo provenientes de CADIEEL  han sido remplazados, ya que éstos no se publican mas, por índices de INDEC.según se indica en cada caso. Aprobados por Acta Nº 20/2.009</t>
  </si>
  <si>
    <t>Rempl. por Ins. 115</t>
  </si>
  <si>
    <t>P/uso en R&amp;R Equipos Nac.-Import.</t>
  </si>
  <si>
    <t>Set.</t>
  </si>
  <si>
    <t>P/insu./serv. menores-No materiales</t>
  </si>
  <si>
    <t xml:space="preserve">Remplazado por Ins.76 Ver Nota 41 </t>
  </si>
  <si>
    <t>Rempl. por Ins.240       Ver Nota 41</t>
  </si>
  <si>
    <t>Rempl. por Ins. 85        Ver Nota 41</t>
  </si>
  <si>
    <t>Rempl. por Ins. 83        Ver Notas 41</t>
  </si>
  <si>
    <t xml:space="preserve">Medición, caudal, Bomb. </t>
  </si>
  <si>
    <t>Rempl. por Ins. 98          Ver Notas 41</t>
  </si>
  <si>
    <t>Rempl. por Ins. 75        Ver Notas 41</t>
  </si>
  <si>
    <t>Rempl. por Ins. 241      Ver Notas 41</t>
  </si>
  <si>
    <t>Rempl. por Ins. 242      Ver Notas 41</t>
  </si>
  <si>
    <t>Rempl. por Ins. 243      Ver Notas 41</t>
  </si>
  <si>
    <t>Equipos de telef. Máqu. de oficina, etc.</t>
  </si>
  <si>
    <t>Diciem.</t>
  </si>
  <si>
    <t xml:space="preserve">                </t>
  </si>
  <si>
    <t xml:space="preserve">Ínsumo Testigo aprobado en Acta Nº 34/03 de la C.P.E.y S.P., para redeterminar los Ítems 10.1 "Cubierta en Galería" y 10.2 "Cubieta en patio", en la Obra: Construcción Nuevo Edificio Escuela Guillermo Griet  </t>
  </si>
  <si>
    <t xml:space="preserve">INCIDENCIA 
</t>
  </si>
  <si>
    <t>Perfiles de Hierro</t>
  </si>
  <si>
    <t>Mano de Obra (Jornal Categoría Ayudante)</t>
  </si>
  <si>
    <t>Asignación No Renumerativa</t>
  </si>
  <si>
    <t>Mano de Obra incluido c.s. y anr</t>
  </si>
  <si>
    <t>J1</t>
  </si>
  <si>
    <t>Hj/Ho</t>
  </si>
  <si>
    <t>ÍNDICES INSUMO TESTIGO  511</t>
  </si>
  <si>
    <t>LISTADO DE INSUMOS TESTIGO - ANEXO H</t>
  </si>
  <si>
    <t>FÓRMULA POLINÓMICA PARA DETERMINAR EL INDICE DE LA CERCA PERIMETRAL</t>
  </si>
  <si>
    <t>Malla Romboidal y acces. Galvaniz.</t>
  </si>
  <si>
    <t>Elementos Premoldeados</t>
  </si>
  <si>
    <t>Tejido de Alambre</t>
  </si>
  <si>
    <t>Elementos Premoldeados menores de hormigón</t>
  </si>
  <si>
    <t>Tj/To</t>
  </si>
  <si>
    <t>Pj/Po</t>
  </si>
  <si>
    <t>ÍNDICES INSUMO TESTIGO  512</t>
  </si>
  <si>
    <t>VALORES INDICE IPIM Cuadro 3.1 Prod.Nac.Cod.241</t>
  </si>
  <si>
    <t>Variación al mes de Junio de 2002</t>
  </si>
  <si>
    <t>VALORES INSUMO TESTIGO Nº 602 "PINTURA EPOXI"</t>
  </si>
  <si>
    <t>LISTADO DE INSUMOS TESTIGO - ANEXO J</t>
  </si>
  <si>
    <t>INDICES ADOPTADOS PARA INSUMO TESTIGO Nº 601 " BOMBA SUMERGIBLE CLOACAL"</t>
  </si>
  <si>
    <t>46112-1 IPIB mdd</t>
  </si>
  <si>
    <t>Piezas Fundidas</t>
  </si>
  <si>
    <t>Mj/Mo</t>
  </si>
  <si>
    <t>ÍNDICES INSUMO TESTIGO  601</t>
  </si>
  <si>
    <t>FÓRMULAS POLINÓMICAS PARA ELEMENTOS PREMOLDEADOS</t>
  </si>
  <si>
    <t>INCIDENCIA DE INSUMOS BÁSICOS (%)</t>
  </si>
  <si>
    <t>Cemento</t>
  </si>
  <si>
    <t>Acero</t>
  </si>
  <si>
    <t>Chapa</t>
  </si>
  <si>
    <t>Aridos</t>
  </si>
  <si>
    <t>Mano Obra</t>
  </si>
  <si>
    <t>ICC  8.1.5</t>
  </si>
  <si>
    <t>Cj</t>
  </si>
  <si>
    <t>Aj</t>
  </si>
  <si>
    <t>CHj</t>
  </si>
  <si>
    <t>ARj</t>
  </si>
  <si>
    <t>MOj</t>
  </si>
  <si>
    <t>Elementos premoldeados de Hormigón</t>
  </si>
  <si>
    <t>Arena</t>
  </si>
  <si>
    <t>INDICE COSTO HORARIO INSUMO TESTIGO  225</t>
  </si>
  <si>
    <t>INDICE P/TRANS. MEDIA DISTAN. (De 10 a 50 Km) VALORES INSUMO TESTIGO 132</t>
  </si>
  <si>
    <t>INDICE COSTO HORARIO DE CAMIONETA - CUOTA MÓVIL VALORES INS. TESTIGO Nº 231</t>
  </si>
  <si>
    <t>Asignación no remunerativa extraordinaria de fin de año - Resolución Nº 2032/10 de $ 700 en tres cuotas iguales y consecutivas - 1ª quincena del mes de Enero - 1ª quincena de Febrero - 1ª quincena de Marzo de 2011.</t>
  </si>
  <si>
    <t>Columnas y otros p/líneas en obras eléctricas; vigas y columnas en general; pilotes premoldeados</t>
  </si>
  <si>
    <t>Elementos premoldeados menores de Hormigón</t>
  </si>
  <si>
    <t>Paneles premoldeados de Hormigón</t>
  </si>
  <si>
    <r>
      <t>Idem Base = 100 Diciembre 2001</t>
    </r>
    <r>
      <rPr>
        <b/>
        <sz val="12"/>
        <rFont val="Arial Narrow"/>
        <family val="2"/>
      </rPr>
      <t xml:space="preserve"> (A)</t>
    </r>
  </si>
  <si>
    <r>
      <t>Idem Base = 100 Diciembre 2001</t>
    </r>
    <r>
      <rPr>
        <b/>
        <sz val="12"/>
        <rFont val="Arial Narrow"/>
        <family val="2"/>
      </rPr>
      <t xml:space="preserve"> (B)</t>
    </r>
  </si>
  <si>
    <t>Cód. Ins. Testigo</t>
  </si>
  <si>
    <t>Elementos premoldeados de Hormigón simple o comprimido</t>
  </si>
  <si>
    <t>Bloques, Bovedillas, Accesorios HºCº, Losetas</t>
  </si>
  <si>
    <t>Mano de Obra (Categoría Ayudante) (*)</t>
  </si>
  <si>
    <t>1*</t>
  </si>
  <si>
    <t>Ci/Co</t>
  </si>
  <si>
    <t>Aj/Ao</t>
  </si>
  <si>
    <t>CHj/CHo</t>
  </si>
  <si>
    <t>ARj/ARo</t>
  </si>
  <si>
    <t>Asignación no remunerativa por únia vez de $180 por el mes de mayo 2.009 - Resol. S.T. Nº 618/MTSSS p/todas las categorías se calcula sobre 22 días de 8 horas, lo que implica una asignación de 1,023 $/h - Aprobado por Acta Nº 12</t>
  </si>
  <si>
    <t>Asignación no remunerativa por únia vez de $500 - Resol. Nº 361 Minis. Trab. Empl. y Seg. Social; 4 cuotas de $125 - 1ª y 2ª quinc. de Marzo y 1ª y 2ª de Abril 2.010 , se calcula sobre 22 días de 8 horas lo que implica una asignación de 1,42 $/h  - Aprobado por Acta Nº 04</t>
  </si>
  <si>
    <t>Asignación no remunerativa $ 100 p/los meses  Mayo, Junio, Julio/10  - Resol. S.T. Nº 639/10 MTN y SS , se calcula sobre 22 días de 8 horas lo que implica una asignación de 0,568 $/h  - Aprobado por Acta Nº 07, 2.010</t>
  </si>
  <si>
    <t xml:space="preserve">Ver Nota 40 Aprobado Acta 07/10 C.P.E.y S.P </t>
  </si>
  <si>
    <t xml:space="preserve">Ver Nota 39 Aprobado Acta 04/10 C.P.E y S.P </t>
  </si>
  <si>
    <t>Asignación no remun. - Cat. Ayudante</t>
  </si>
  <si>
    <t>Asignación no remun.  - Cat. 1/2 Oficial</t>
  </si>
  <si>
    <t>Asignación no remun.  - Cat. Oficial</t>
  </si>
  <si>
    <t>Asignación no remun.  - Cat. Of. Esp.</t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</si>
  <si>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 Oficial-Res. 9/08</t>
    </r>
  </si>
  <si>
    <t>SUPRIMIDO. por ins. 212- Ver Nota Nº 46</t>
  </si>
  <si>
    <t>Reemplaza a Ins. Test. 113- Ver Nota Nº 46</t>
  </si>
  <si>
    <r>
      <t xml:space="preserve">El insumo </t>
    </r>
    <r>
      <rPr>
        <i/>
        <sz val="14"/>
        <rFont val="Arial Narrow"/>
        <family val="2"/>
      </rPr>
      <t>"Tabiques Durlock - Pared Simple "</t>
    </r>
    <r>
      <rPr>
        <sz val="14"/>
        <rFont val="Arial Narrow"/>
        <family val="2"/>
      </rPr>
      <t xml:space="preserve"> cod. Nº 113, compuesto por el panel y aislación acústica; es reemplazado por </t>
    </r>
    <r>
      <rPr>
        <i/>
        <sz val="14"/>
        <rFont val="Arial Narrow"/>
        <family val="2"/>
      </rPr>
      <t>"Tabiques Placas de Yeso"</t>
    </r>
    <r>
      <rPr>
        <sz val="14"/>
        <rFont val="Arial Narrow"/>
        <family val="2"/>
      </rPr>
      <t xml:space="preserve"> cod. Nº 212, en razón de que la revista VIVIENDA no publica el insumo C3 012 0250 Isover fieltro AR 400 (aislación acústica)</t>
    </r>
  </si>
  <si>
    <t>-------</t>
  </si>
  <si>
    <t xml:space="preserve">Dado que para el Código 2413 del Cuadro 3.1 IPIM del Boletín INDEC Informa se han publicado los Índices a partir del mes de Junio de 2002, para el período Diciembre 2001 - Mayo 2002 se ha tomado la variación del Código 241 del Cuadro 3.1 IPIM "Sustancias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</si>
  <si>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</si>
  <si>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>P/uso en R&amp;R Equip, Nac. e Import.</t>
  </si>
  <si>
    <t>P/insu./serv, menores-No materiales</t>
  </si>
  <si>
    <t>P/Gastos Fabric. Paneles Premold.</t>
  </si>
  <si>
    <t>Bonific. Extraord. Remunerativa-Cat. Oficial Esp.-Res. S.T. 547</t>
  </si>
  <si>
    <t>VALORES RESULTANTES POLINÓMICA</t>
  </si>
  <si>
    <t>Nota (*): El valor MOj corresponde a una hora de Categoría Ayudante + 125,21 % de Cargas Sociales + Incidencia $ 100 Dto. 1273/2002 a partir de Julio 2002, calculado sobre 22 días de 8 horas por mes</t>
  </si>
  <si>
    <t>Hasta Junio de 2002 inclusive:  1,17 $/hora * 2,2521 = 2,63 $/hora</t>
  </si>
  <si>
    <t>Julio 2002 a Diciembre 2002: (1,17 $/hora * 8 horas/día * 23 días *2,2521+$100)/176horas = 3,20 $/hora</t>
  </si>
  <si>
    <t>Enero y Febrero 2003: (1,17 $/hora * 8 horas/día * 22 días *2,2521+$130)/176 horas = 3,37 $/hora</t>
  </si>
  <si>
    <t>Marzo y Abril de 2003: ( 1,17 $/hora * 8 horas/día * 22 días * 2,2521 + $ 150 )/176 horas = 3,49 $/hora</t>
  </si>
  <si>
    <t>Mayo a Junio de 2003: (1,17 $/hora * 8 horas/día * 22 días * 2,2521 + $ 200 )/176 horas = 3,77 $/hora</t>
  </si>
  <si>
    <t>REDETERMINACIÓN DE PRECIOS S/DECRETO ACUERDO Nº 23/3-(S.O.)-2.002 y Res. Nº 795/3-(S.O.)-2.002</t>
  </si>
  <si>
    <t>Utilizado en el cálculo del insumo testigo 401 (Anexo F)</t>
  </si>
  <si>
    <t>Jul,</t>
  </si>
  <si>
    <t>Utilizado en el cálculo del insumo testigo 601 (Anexo J)</t>
  </si>
  <si>
    <t>Cuadro 3.1 IPIM 269</t>
  </si>
  <si>
    <t>-----------</t>
  </si>
  <si>
    <t>Máquinas y equipos ( Amortización equipos nacionales)</t>
  </si>
  <si>
    <t>Máquinas y equipos (Amortización equipos Importados)</t>
  </si>
  <si>
    <t>Julio 2003 : ( 1,42 $/hora * 8 horas/día * 22 días * 2,2521 + $ 175)/176 horas = 4,19 $/hora</t>
  </si>
  <si>
    <t>Agosto 2003 : ( 1,477 $/hora * 8 horas/día * 22 días * 2,2521 + $ 150)/176 horas = 4,18 $/hora</t>
  </si>
  <si>
    <t>Septiembre 2003: (1,617 $/hora * 8 horas/día * 22 días * 2,2521) + $ 125)/176 horas = 4.35 $/hora</t>
  </si>
  <si>
    <t>Octubre 2003: (1,776 $/hora * 8 horas/dìa * 22 dìas * 2,2521) + 100)/176 horas = 4,57 $/hora</t>
  </si>
  <si>
    <t>Noviembre  2003: (1,935 $/hora * 8 horas/dìa * 22 dìas * 2,2521) + 75)/176 horas = 4,78 $/hora</t>
  </si>
  <si>
    <t>Dicimbre 2003: ( 2,095 $/hora * 8 horas/día * 22 días * 2,2521) + $ 50)/176 =</t>
  </si>
  <si>
    <t>5,00 $/hora</t>
  </si>
  <si>
    <t xml:space="preserve"> </t>
  </si>
  <si>
    <t>Jornal Categoría  Oficial, Zona "A" C.C. 76/75</t>
  </si>
  <si>
    <t>Enero  2004: (2,254 $/hora * 8 horas/día * 22 días *2,2521+$75)/176 horas = 5,50 $/hora</t>
  </si>
  <si>
    <t>Febrero 2004: (2,413 $/hora * 8 horas/día * 22 días *2,2521)/176 horas+ 0,284= 5,72 $/hora</t>
  </si>
  <si>
    <t>Marzo 2004: (2,413 $/hora * 8 horas/día * 22 días *2,2521)/176 horas + 0,284= 5,72 $/hora</t>
  </si>
  <si>
    <t>Abril Idem Marzo = 5,72 $/h</t>
  </si>
  <si>
    <t>Mayo idem Junio = 5,72 $/h</t>
  </si>
  <si>
    <t>Agosto-04 = 5,72 $/h</t>
  </si>
  <si>
    <t>Julio-04 = 5,72 $/h</t>
  </si>
  <si>
    <t>Sept.</t>
  </si>
  <si>
    <t>Septiembre-04 = 5,77 $/h</t>
  </si>
  <si>
    <t>Códigos de Identificación</t>
  </si>
  <si>
    <t>INSUMO TESTIGO</t>
  </si>
  <si>
    <t xml:space="preserve">Tipo </t>
  </si>
  <si>
    <t>FUENTE</t>
  </si>
  <si>
    <t>N/I</t>
  </si>
  <si>
    <t>Aplicable a</t>
  </si>
  <si>
    <t>OBSERVACIONES</t>
  </si>
  <si>
    <t>SEOP</t>
  </si>
  <si>
    <t>ORIGEN</t>
  </si>
  <si>
    <t>Junio</t>
  </si>
  <si>
    <t>Julio</t>
  </si>
  <si>
    <t>Agosto</t>
  </si>
  <si>
    <t>Jornal Categoría Ayudante, Zona "A" C.C. 76/75</t>
  </si>
  <si>
    <t>$/hora</t>
  </si>
  <si>
    <t>DNRT 1138/93</t>
  </si>
  <si>
    <t>Mano de Obra Ayudante</t>
  </si>
  <si>
    <t>Jornal Categoría Medio Oficial, Zona "A" C.C. 76/75</t>
  </si>
  <si>
    <t>Mano de Obra Medio Oficial</t>
  </si>
  <si>
    <t>Mano de Obra Oficial</t>
  </si>
  <si>
    <t>Jornal Categoría Oficial Especializado, Zona "A" C.C. 76/75</t>
  </si>
  <si>
    <t>Incidencia Cargas Sociales</t>
  </si>
  <si>
    <t>%</t>
  </si>
  <si>
    <t>Ver Nota 1</t>
  </si>
  <si>
    <t>42120-1</t>
  </si>
  <si>
    <t>Aberturas de aluminio</t>
  </si>
  <si>
    <t>Indice</t>
  </si>
  <si>
    <t>IPIB-Mdd (*)</t>
  </si>
  <si>
    <t xml:space="preserve">N </t>
  </si>
  <si>
    <t>Todos los tipos</t>
  </si>
  <si>
    <t>42120-2</t>
  </si>
  <si>
    <t>Aberturas de chapa de hierro</t>
  </si>
  <si>
    <t>Cuadro 1.9 (*)</t>
  </si>
  <si>
    <t>Todos</t>
  </si>
  <si>
    <t>Accesorios de hierro fundido para instalación sanitaria</t>
  </si>
  <si>
    <t>Accesorios de loza para baño</t>
  </si>
  <si>
    <t>Accesorios metálicos para baño</t>
  </si>
  <si>
    <t>Indices ICC (*)</t>
  </si>
  <si>
    <t>N</t>
  </si>
  <si>
    <t>Todos, inc accesorios p/discap.</t>
  </si>
  <si>
    <t>Accesorios para cañerías de cobre</t>
  </si>
  <si>
    <t>Aceites lubricantes</t>
  </si>
  <si>
    <t>Acero aletado conformado, en barra</t>
  </si>
  <si>
    <t>Adhesivo para pisos y revestimientos cerámicos</t>
  </si>
  <si>
    <t>Todos los tipos. Inluye pastina.</t>
  </si>
  <si>
    <t>Alacenas de madera</t>
  </si>
  <si>
    <t>41263-1</t>
  </si>
  <si>
    <t>Alambres de acero</t>
  </si>
  <si>
    <t>Alambre negro y galvanizado</t>
  </si>
  <si>
    <r>
      <t>MODIFICA VALOR ANTERIOR</t>
    </r>
    <r>
      <rPr>
        <sz val="12"/>
        <rFont val="Arial Narrow"/>
        <family val="2"/>
      </rPr>
      <t xml:space="preserve"> La Asignación no remunerativa del Dto. 1273/2002, se calcula sobre 22 días de 8 horas, lo que implica una asignación de </t>
    </r>
    <r>
      <rPr>
        <b/>
        <sz val="12"/>
        <rFont val="Arial Narrow"/>
        <family val="2"/>
      </rPr>
      <t xml:space="preserve">0,57 $/h </t>
    </r>
    <r>
      <rPr>
        <sz val="12"/>
        <rFont val="Arial Narrow"/>
        <family val="2"/>
      </rPr>
      <t>para Julio 2002 a Diciembre 2002</t>
    </r>
  </si>
  <si>
    <t>ICC Cuadro 8.1.1.1. (*)</t>
  </si>
  <si>
    <r>
      <t xml:space="preserve">En virtud del tratamiento del Expte. Nº 026/320-N-2003, </t>
    </r>
    <r>
      <rPr>
        <b/>
        <sz val="12"/>
        <rFont val="Arial Narrow"/>
        <family val="2"/>
      </rPr>
      <t>EL INSUMO TESTIGO 120 HA SIDO REEMPLAZADO POR LOS INSUMOS TESTIGO 131, 132 Y 133</t>
    </r>
  </si>
  <si>
    <t>------</t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</si>
  <si>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201, 202, 203 y 210 HAN SIDO REEMPLAZADOS POR LOS INSUMOS TESTIGO 221, 222,  223 y 224</t>
    </r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</si>
  <si>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205 y 206 HAN SIDO SUPRIMIDOS SIN INSUMOS TESTIGO EN SU REEMPLAZO</t>
    </r>
  </si>
  <si>
    <r>
      <t>MODIFICA VALOR ANTERIOR</t>
    </r>
    <r>
      <rPr>
        <sz val="12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rFont val="Arial Narrow"/>
        <family val="2"/>
      </rPr>
      <t xml:space="preserve">0,74 $/h </t>
    </r>
    <r>
      <rPr>
        <sz val="12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</si>
  <si>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2641/2002, se calcula sobre 22 días de 8 horas, lo que implica una asignación de 0,85 $/h para el período que va del 1/3/2003 al 30/4/2003</t>
    </r>
  </si>
  <si>
    <r>
      <t xml:space="preserve">MODIFICA VALOR ANTERIOR. </t>
    </r>
    <r>
      <rPr>
        <sz val="12"/>
        <rFont val="Arial Narrow"/>
        <family val="2"/>
      </rPr>
      <t>La Asignación no remunerativa de $200 por mes del Dcto 905/2003, se calcula sobre 22 días de 8 horas, lo que implica una asignación de 1.14 $/h para el período que va del 1/05/2003 al 30/06/2003</t>
    </r>
  </si>
  <si>
    <r>
      <t xml:space="preserve">MODIFICA VALOR ANTERIOR. </t>
    </r>
    <r>
      <rPr>
        <sz val="12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</si>
  <si>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</si>
  <si>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t>Mano de Obra con carga social (125,21%)</t>
  </si>
  <si>
    <r>
      <t xml:space="preserve">Cuadro </t>
    </r>
    <r>
      <rPr>
        <sz val="13"/>
        <rFont val="Arial Narrow"/>
        <family val="2"/>
      </rPr>
      <t>3.2/315</t>
    </r>
  </si>
  <si>
    <t>LISTADO DE INSUMOS TESTIGOS AL MES DE OCTUBRE 2.015</t>
  </si>
  <si>
    <t>DESCRIPCION</t>
  </si>
  <si>
    <t>VARIACION</t>
  </si>
  <si>
    <t xml:space="preserve">152 49 123 147 162 163 </t>
  </si>
  <si>
    <t xml:space="preserve">Cemento portland </t>
  </si>
  <si>
    <t xml:space="preserve">Acero aleteado conformado, en barra </t>
  </si>
  <si>
    <t xml:space="preserve">Aberturas de aluminio </t>
  </si>
  <si>
    <t xml:space="preserve">Pintura al latex </t>
  </si>
  <si>
    <t xml:space="preserve">Ladrillos huecos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</si>
  <si>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</si>
  <si>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</si>
  <si>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</si>
  <si>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</si>
  <si>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</si>
  <si>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</si>
  <si>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</si>
  <si>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</si>
  <si>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</si>
  <si>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</si>
  <si>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ORDEN</t>
  </si>
  <si>
    <t>% INCIDENCIA</t>
  </si>
  <si>
    <t>Instalación sanitaria (Caño de PVC)</t>
  </si>
  <si>
    <t>Instalación eléctrica (cable conductor unipolar)</t>
  </si>
  <si>
    <t>Artefactos de iluminacion</t>
  </si>
  <si>
    <t>CARGADOR FRONTAL CATERPILLAR 938 G DE 160 HP MODELO ESTANDAR</t>
  </si>
  <si>
    <t>MOTONIVELADORA CATERPILLAR MOD. 120 H 125 HP ESTANDAR</t>
  </si>
  <si>
    <t>RETROEXCAVADORA DE 105 HP</t>
  </si>
  <si>
    <t>RODILLO AUTOPROPULSADO</t>
  </si>
  <si>
    <t>TOPADORA D5k</t>
  </si>
  <si>
    <t>TRACTOR SOBRE ORUGAS CON PALA TOPADORA CATERPILLAR MOD. D7R 240 HP</t>
  </si>
  <si>
    <t>INDICES - ESTADISTICA DE TUCUMAN</t>
  </si>
  <si>
    <t>INSUMO 87</t>
  </si>
  <si>
    <t>EQUIPOS TESTIGOS NACIONALES</t>
  </si>
  <si>
    <t>CAMION SIN CAJA VOLCADORA</t>
  </si>
  <si>
    <t>ELECTROBOMBA DE IMPULSION 1 HP</t>
  </si>
  <si>
    <t>HORMIGONERA 240 LTS C/RUEDA DE GOMA MOTOR ELECT. TRIFASICO</t>
  </si>
  <si>
    <t>INSUMO 86</t>
  </si>
  <si>
    <t>Nivel General - 510</t>
  </si>
  <si>
    <t>COSTO DE CONSTRUCCION - INDICADOR C.A.C.</t>
  </si>
  <si>
    <t>NIVEL GENERAL</t>
  </si>
  <si>
    <t>GASTOS GENERALES</t>
  </si>
  <si>
    <t>Gastos Generales  - 411</t>
  </si>
  <si>
    <t>VARIACION MENSUAL</t>
  </si>
  <si>
    <t>MANO DE OBRA - INDICADOR C.A.C.</t>
  </si>
  <si>
    <t>Mano de Obra - 410</t>
  </si>
  <si>
    <t>CAPITULO MANO DE OBRA</t>
  </si>
  <si>
    <t>FUENTE DE INFORMACION: CAMARA ARGENTINA DE LA CONSTRUCCION</t>
  </si>
  <si>
    <t>C.A.C.</t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</si>
  <si>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</si>
  <si>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</si>
  <si>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</si>
  <si>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</si>
  <si>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D.P.V</t>
  </si>
  <si>
    <t>FÓRMULAS POLINÓMICAS PARA DETERMINAR LA VARIACIÓN DE COSTO DE FUEL OIL - CEMENTO ASFALTICO - ASFALTO DILUIDO EM ER</t>
  </si>
  <si>
    <t>Sobre la base de los datos disponibles de la Direccion Provincial de Vialidad.</t>
  </si>
  <si>
    <t>INDICADOR D.P.V.</t>
  </si>
  <si>
    <t>VALORES INSUMO TESTIGO Nº 65</t>
  </si>
  <si>
    <t>MEZCLA 70-30 (FUEL OIL )</t>
  </si>
  <si>
    <t>VALORES INSUMO TESTIGO Nº 137</t>
  </si>
  <si>
    <t>CEMENTO ASFALTICO</t>
  </si>
  <si>
    <t>VALORES INSUMO TESTIGO Nº 138</t>
  </si>
  <si>
    <t>PROMEDIO</t>
  </si>
  <si>
    <t>LAMINA REFLECTIVA ALTA PERFOMANCE</t>
  </si>
  <si>
    <t>VALORES INSUMO TESTIGO Nº 605</t>
  </si>
  <si>
    <t>Capítulo Materiales 500</t>
  </si>
  <si>
    <t>ANEXO MATERIALES - INSUMO 500</t>
  </si>
  <si>
    <t>LISTADO DE INSUMOS TESTIGO - D.P.V. INSUMOS 65, 137,138 Y 605</t>
  </si>
  <si>
    <t>ANEXO NIVEL GENERAL - INSUMO 410</t>
  </si>
  <si>
    <t>LISTADO DE INSUMOS TESTIGO - ANEXO C - INSUMO 225</t>
  </si>
  <si>
    <t>LISTADO DE INSUMOS TESTIGO - ANEXO B - INSUMOS 301, 302, 303 Y 304</t>
  </si>
  <si>
    <t>ANEXO GASTOS GENERALES - INSUMO 411</t>
  </si>
  <si>
    <t>ANEXO NIVEL GENERAL - INSUMO 510</t>
  </si>
  <si>
    <t>EQUIPOS IMPORTADOS</t>
  </si>
  <si>
    <t>EQUIPOS  NACIONALES</t>
  </si>
  <si>
    <t>INDICES COMBINADOS - INSUMOS 86 Y 87</t>
  </si>
  <si>
    <t>ANEXO D - INSUMOS 131,132 Y 133</t>
  </si>
  <si>
    <t>CODIGO D.E.P. TUC.</t>
  </si>
  <si>
    <t>LISTADO DE INSUMOS TESTIGO - ANEXO ART. ILUMINACION - 24</t>
  </si>
  <si>
    <t>FÓRMULAS POLINÓMICAS PARA DETERMINAR LA VARIACIÓN DE COSTO DE ARTEFACTOS DE ILUMINACION -  INSUMO TESTIGO Nº 24</t>
  </si>
  <si>
    <t>INDICADOR Nº 12 - E.C. TUCUMAN</t>
  </si>
  <si>
    <t>VALORES INSUMO TESTIGO Nº 24</t>
  </si>
  <si>
    <t>ARTEF DE ILUM FLUOR 2X40 W TIPO PLAFON C/LOUVER BLANCO PVC C/ REFLECTOR FILM INT. INCL. TUBOS</t>
  </si>
  <si>
    <t>Todos los tipos - Calcareo</t>
  </si>
  <si>
    <t>D.E.C.</t>
  </si>
  <si>
    <t xml:space="preserve">D.P.V </t>
  </si>
  <si>
    <t>Anexo D.P.V.</t>
  </si>
  <si>
    <t xml:space="preserve">D.E.C. </t>
  </si>
  <si>
    <t>Anexo Equipos</t>
  </si>
  <si>
    <t>Asfalto AM3 + AM3</t>
  </si>
  <si>
    <t>Anexo Nivel General M.O.</t>
  </si>
  <si>
    <t xml:space="preserve">Anexo Nivel General </t>
  </si>
  <si>
    <t xml:space="preserve">Mano de Obra </t>
  </si>
  <si>
    <t>Anexo Materiales</t>
  </si>
  <si>
    <t xml:space="preserve">Anexo Gastos General </t>
  </si>
  <si>
    <t>Anexo Art. De Iluminacion</t>
  </si>
  <si>
    <t>MC.071</t>
  </si>
  <si>
    <t>Lámina reflectiva alta performance</t>
  </si>
  <si>
    <t>MC.004</t>
  </si>
  <si>
    <t>MC.001 -002</t>
  </si>
  <si>
    <t xml:space="preserve">F.O. y Mezcla 70/30  </t>
  </si>
  <si>
    <t>MC.007</t>
  </si>
  <si>
    <t>Cable Unipolar Cu C/Pvc 1,5 Mm2.</t>
  </si>
  <si>
    <t>Cable Unipolar Cu C/Pvc  2,5 Mm2.( verde - amarillo )</t>
  </si>
  <si>
    <t>Cable Unipolar Cu C/Pvc 2,5 Mm2.</t>
  </si>
  <si>
    <t>Cable Unipolar Cu C/Pvc 6 Mm2.( verde - amarillo )</t>
  </si>
  <si>
    <t>Cable Subterráneo - Cu - PVC 2X4 mm2</t>
  </si>
  <si>
    <t>Cable Subterráneo - Cu - PVC 2X1,5 mm2</t>
  </si>
  <si>
    <t xml:space="preserve">Caja Cuadrada  ( PVC o ABS) 10 X 10 Cm.  </t>
  </si>
  <si>
    <t xml:space="preserve">Caja Octogonal Chica ( PVC o ABS) </t>
  </si>
  <si>
    <t xml:space="preserve">Caja Octogonal Grande  (PVC o ABS) </t>
  </si>
  <si>
    <t xml:space="preserve">Caja Rectangular  (PVC o ABS) </t>
  </si>
  <si>
    <t>Caño  Ø ¾  PVC rígido curvable en frío ( Tubelectric o equivalente )</t>
  </si>
  <si>
    <t>Curva Ø ¾ PVC rígido ( Tubelectric o equivalente )</t>
  </si>
  <si>
    <t>Juego de conectores Ø ¾ PVC ( Tubelectric o equivalente )</t>
  </si>
  <si>
    <t>Caño cloacal PVC - Ø 63 mm - 3,2 mm</t>
  </si>
  <si>
    <t>Caño cloacal PVC - Ø40 mm - 3,2 mm</t>
  </si>
  <si>
    <t>Caja para tablero de PVC o ABS p/ 8 termomagnéticas bipolares</t>
  </si>
  <si>
    <t>Puesta a tierra completa c/ sello IRAM</t>
  </si>
  <si>
    <t>Disyuntor diferencial 2X25A (Merlin Gerin O simil s/especif. Tecnica)</t>
  </si>
  <si>
    <t xml:space="preserve">Int. Termomag. 1X16 A. Curva D (Merlin Gerin o simil s/esp.tecnica) </t>
  </si>
  <si>
    <t xml:space="preserve">Int. Termomag. 2X16 A. (Merlin Gerin o simil s/esp.tecnica)  </t>
  </si>
  <si>
    <t xml:space="preserve">Int. Termomag. 2X10 A. (Merlin Gerin o simil s/esp.tecnica) </t>
  </si>
  <si>
    <t>Llave De Un Punto Para Embutir</t>
  </si>
  <si>
    <t>Llave De Dos Puntos Para Embutir</t>
  </si>
  <si>
    <t>Llave De Tres Puntos Para Embutir</t>
  </si>
  <si>
    <t>Toma Para Embutir - 10A C/Polo A Tierra</t>
  </si>
  <si>
    <t>Toma Telefónica Para Embutir</t>
  </si>
  <si>
    <t>Toma TV Para Embutir</t>
  </si>
  <si>
    <t xml:space="preserve">Pipeta De PVC  ¾ </t>
  </si>
  <si>
    <t>Pulsador para timbre</t>
  </si>
  <si>
    <t xml:space="preserve">Campanilla Para Timbre </t>
  </si>
  <si>
    <t>Receptáculo  De Bakelita negra, Edison</t>
  </si>
  <si>
    <t>Roseta De Madera Ø 10 Cm.</t>
  </si>
  <si>
    <t>Portalámpara Con Florones</t>
  </si>
  <si>
    <t>Oficial Especializado</t>
  </si>
  <si>
    <t>Ayudante</t>
  </si>
  <si>
    <t>INCIDENCIA</t>
  </si>
  <si>
    <t>COD.SEOP</t>
  </si>
  <si>
    <t>INDICE MENSUAL - 240 INSTALACION ELECTRICA</t>
  </si>
  <si>
    <t>TOTAL</t>
  </si>
  <si>
    <t>LISTADO DE INSUMOS TESTIGO - ANEXO INSTALACION ELECTRICA - 240</t>
  </si>
  <si>
    <t>FÓRMULAS POLINÓMICAS PARA DETERMINAR LA VARIACIÓN DE COSTO DE INSTALACION ELECTRICA -  INSUMO TESTIGO Nº 240</t>
  </si>
  <si>
    <t>Asfalto AM 3</t>
  </si>
  <si>
    <t>Asfalto diluido EM - ER</t>
  </si>
  <si>
    <t>D.P.V -INDICE COMBINADO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</si>
  <si>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</si>
  <si>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</si>
  <si>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</si>
  <si>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</si>
  <si>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</si>
  <si>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</si>
  <si>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</si>
  <si>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</si>
  <si>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</si>
  <si>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</si>
  <si>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</si>
  <si>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</si>
  <si>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</si>
  <si>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t xml:space="preserve">D.E.P. </t>
  </si>
  <si>
    <t>D.E.P. - INDICE COMBINADO</t>
  </si>
  <si>
    <t>D.E.P. - INDICE COMBINADO 221</t>
  </si>
  <si>
    <t>INDICADOR Nº 12 - D.E.P. TUCUMAN</t>
  </si>
  <si>
    <t>INCIDENCIA (a Valores Dic. 2001)</t>
  </si>
  <si>
    <t>INDICE P/TRANSP. LARGA DIST. (De 50 a 1400 Km) VALORES INSUMO TESTIGO 133</t>
  </si>
  <si>
    <t>INDICES ADOPTADOS PARA INSUMO TESTIGO Nº 601 "BOMBA SUMERGIBLE CLOACAL"</t>
  </si>
  <si>
    <t>(índice junio 2002)/(Variación al mes de Junio 2002/100-1) = Índice del Mes dado</t>
  </si>
  <si>
    <t>Bolsas, granel. Incluye coloidal-A.R.S.</t>
  </si>
  <si>
    <t>Todos. Incluye electrob. sumer.</t>
  </si>
  <si>
    <t>Todos incluye ladrillo p/vista</t>
  </si>
  <si>
    <t>Todos, Cielorrasos. Incluye placas, perfiles y aislación acústica</t>
  </si>
  <si>
    <t xml:space="preserve">Cemento Asfáltico  </t>
  </si>
  <si>
    <t>Rodillos, palas/arrastre, rastras, compres.</t>
  </si>
  <si>
    <t xml:space="preserve">Todos, Cielorrasos, Divisiones, Incluye placas, perfiles. 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</si>
  <si>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</si>
  <si>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</si>
  <si>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</si>
  <si>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</si>
  <si>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En virtud del tratamiento del Expte. Nº 026/320-N-2003, el insumo testigo 120 ha sido reemplazado por los insumos testigos 131, 132 y 133</t>
  </si>
  <si>
    <t>ÍNDICE DE INSUMOS TESTIGOS - DIRECCIÓN DE ESTADÍSTICA DE LA PROVINCIA - Período: JULIO 2018 - JULIO 2019</t>
  </si>
  <si>
    <t>a</t>
  </si>
  <si>
    <t>b</t>
  </si>
  <si>
    <t>c</t>
  </si>
  <si>
    <t>elementos</t>
  </si>
  <si>
    <t>Piso de parquet</t>
  </si>
  <si>
    <t>Ramal de PVC - (Accesorios de PVC)</t>
  </si>
  <si>
    <t>Regulador de gas envasado</t>
  </si>
  <si>
    <t>Regulador de gas natural</t>
  </si>
  <si>
    <t>Vidrio de seguridad laminado</t>
  </si>
  <si>
    <t>FÓRMULAS POLINÓMICAS PARA DETERMINAR LA VARIACIÓN DE COSTO DEL TRANSPORTE</t>
  </si>
  <si>
    <t>D,E,P.</t>
  </si>
  <si>
    <t>Anexo D</t>
  </si>
  <si>
    <t>Máquinas y equipos (Amortización equipos nacionales)</t>
  </si>
  <si>
    <t>Anexo A Modificado</t>
  </si>
  <si>
    <t>Anexo c</t>
  </si>
  <si>
    <t>Anexo E</t>
  </si>
  <si>
    <t>Anexo B</t>
  </si>
  <si>
    <t>Ver Nota 25 - Anexo G</t>
  </si>
  <si>
    <t>Ver Nota 26 - Anexo H</t>
  </si>
  <si>
    <t>Ver Nota 24 - Anexo J</t>
  </si>
  <si>
    <t xml:space="preserve">Ver Nota 27 </t>
  </si>
  <si>
    <t xml:space="preserve">193-194-195 </t>
  </si>
  <si>
    <t>236- 237</t>
  </si>
  <si>
    <t>provisorio</t>
  </si>
  <si>
    <t>FUENTE DE DATOS</t>
  </si>
  <si>
    <t>VALORES INDICE IPIM, 3.1, rubro productos de minerales no metálicos</t>
  </si>
  <si>
    <t>INDEC. - INDICE COMBINADO</t>
  </si>
  <si>
    <t xml:space="preserve">Todos los tipos y medidas de mármoles y piedras naturales </t>
  </si>
  <si>
    <t>ANEXO F</t>
  </si>
  <si>
    <t>Variacion mensual IPIM, Cuadro 7.2.1, 26-Productos de minerales no metálicos</t>
  </si>
  <si>
    <t>EQUIPO AUXILIAR P/Na AP 150 W</t>
  </si>
  <si>
    <t>INDICADOR Nº 75 - REEMPLAZA A INDICADOR Nº12</t>
  </si>
  <si>
    <t>0102002 0103001</t>
  </si>
  <si>
    <t>0103004 0103005 0102001</t>
  </si>
  <si>
    <t>0806003 0806004</t>
  </si>
  <si>
    <t>0301001</t>
  </si>
  <si>
    <t>0802008 0802016 0802017 0802018</t>
  </si>
  <si>
    <t>0802021</t>
  </si>
  <si>
    <t>0501001</t>
  </si>
  <si>
    <t>0312008 0312010 0312011</t>
  </si>
  <si>
    <t>0302001  0302002</t>
  </si>
  <si>
    <t>0304003  0304001</t>
  </si>
  <si>
    <t>0305002</t>
  </si>
  <si>
    <t>0804002  0804003</t>
  </si>
  <si>
    <t>0802004  0802006  0802007  0802014  0802005</t>
  </si>
  <si>
    <t>0802003</t>
  </si>
  <si>
    <t>1001004  1001008</t>
  </si>
  <si>
    <t>0903012  0903013  0903014  0903015</t>
  </si>
  <si>
    <t>0903005  0903006  0903007  0903008  0903009  0903010</t>
  </si>
  <si>
    <t>0904002</t>
  </si>
  <si>
    <t>0904002  0902004</t>
  </si>
  <si>
    <t>0317001</t>
  </si>
  <si>
    <t>0905001</t>
  </si>
  <si>
    <t>0806001</t>
  </si>
  <si>
    <t>0806010  0806011</t>
  </si>
  <si>
    <t>0806003  0806004</t>
  </si>
  <si>
    <t>0806005  0806006</t>
  </si>
  <si>
    <t>0806007  0806008  0806009</t>
  </si>
  <si>
    <t>0307001</t>
  </si>
  <si>
    <t>0307002</t>
  </si>
  <si>
    <t>0310002  0310003</t>
  </si>
  <si>
    <t>0903004</t>
  </si>
  <si>
    <t>0102002  0103001</t>
  </si>
  <si>
    <t>0405007  0405006</t>
  </si>
  <si>
    <t>1001006  1001005</t>
  </si>
  <si>
    <t>1001007  1001003</t>
  </si>
  <si>
    <t>0301003</t>
  </si>
  <si>
    <t>0303004  0303009</t>
  </si>
  <si>
    <t>0102004</t>
  </si>
  <si>
    <t>0902004</t>
  </si>
  <si>
    <t>0501002</t>
  </si>
  <si>
    <t>0804004  0802013  0802012  0802011</t>
  </si>
  <si>
    <t>0303002</t>
  </si>
  <si>
    <t>0313003</t>
  </si>
  <si>
    <t>0303001  0303010</t>
  </si>
  <si>
    <t>0902006</t>
  </si>
  <si>
    <t>0902007</t>
  </si>
  <si>
    <t>0902013  0902030  0902014  0902015  0902026  0902027</t>
  </si>
  <si>
    <t>0314001</t>
  </si>
  <si>
    <t>0314004</t>
  </si>
  <si>
    <t>0808003  0808004</t>
  </si>
  <si>
    <t>0601003  0601006  0601009</t>
  </si>
  <si>
    <t>0906006  0906007  0602001  0602003</t>
  </si>
  <si>
    <t>0405005</t>
  </si>
  <si>
    <t>0907001  0907002</t>
  </si>
  <si>
    <t>0316008  0316010</t>
  </si>
  <si>
    <t>0303005  0303006  0303007  0303008</t>
  </si>
  <si>
    <t>0701004  0701003</t>
  </si>
  <si>
    <t>0804005  0804001</t>
  </si>
  <si>
    <t>0312014</t>
  </si>
  <si>
    <t>0501003</t>
  </si>
  <si>
    <t>0801058</t>
  </si>
  <si>
    <t>0315010  0315009  0315002  0315001</t>
  </si>
  <si>
    <t>303001</t>
  </si>
  <si>
    <t>1001013</t>
  </si>
  <si>
    <t>1001009  1001010  1001011</t>
  </si>
  <si>
    <t>0316005</t>
  </si>
  <si>
    <t>0303012  0303013</t>
  </si>
  <si>
    <t>0501001  0501002  0501003</t>
  </si>
  <si>
    <t>0102003</t>
  </si>
  <si>
    <t>0801063  0801062  0801059</t>
  </si>
  <si>
    <t>0801070</t>
  </si>
  <si>
    <t>0801072</t>
  </si>
  <si>
    <t>0303002  0302005  1001001  1001002  1001014</t>
  </si>
  <si>
    <t>0807004  0807002  0807003</t>
  </si>
  <si>
    <t>0304007  0304006</t>
  </si>
  <si>
    <t>1101006</t>
  </si>
  <si>
    <t>1101001  1101003  1101005  1101004</t>
  </si>
  <si>
    <t>0313004  0308001</t>
  </si>
  <si>
    <t>0317003</t>
  </si>
  <si>
    <t>0316012</t>
  </si>
  <si>
    <t>0305008</t>
  </si>
  <si>
    <t>0404003  0404004  0404002  0404001  0404005</t>
  </si>
  <si>
    <t>0103007</t>
  </si>
  <si>
    <t>0311011  0311010  0311009</t>
  </si>
  <si>
    <t>0902031</t>
  </si>
  <si>
    <t>0902003  0902009</t>
  </si>
  <si>
    <t>0405007</t>
  </si>
  <si>
    <t>1001012</t>
  </si>
  <si>
    <t>0907003  0405002  0405005  0405003  0405004</t>
  </si>
  <si>
    <t>Poliestireno expandido en placas y perlas</t>
  </si>
  <si>
    <t>INDICADOR Nº 0902003 - REEMPLAZA A INDICADOR Nº12</t>
  </si>
  <si>
    <t>0316004</t>
  </si>
  <si>
    <t>HORMIGONERAS - INDEC - (IPIB)</t>
  </si>
  <si>
    <t>CODIGO VALOR U$S</t>
  </si>
  <si>
    <t>VALOR U$S</t>
  </si>
  <si>
    <t>PRECIO DÓLAR</t>
  </si>
  <si>
    <t>CODIGO Indec</t>
  </si>
  <si>
    <t>(IPIB) 44440-1</t>
  </si>
  <si>
    <t>(IPIB) 43220-1</t>
  </si>
  <si>
    <t>INDICES DEL INDEC</t>
  </si>
  <si>
    <t>INDEC - INDICE COMBINADO</t>
  </si>
  <si>
    <t>sep</t>
  </si>
  <si>
    <t>LISTADO DE INSUMOS TESTIGO - Aberturas de aluminio - 11</t>
  </si>
  <si>
    <t>Aberturas de aluminio Cuadro 2 IPIB</t>
  </si>
  <si>
    <t>VALORES INSUMO TESTIGO Nº 11</t>
  </si>
  <si>
    <t>FÓRMULAS POLINÓMICAS PARA DETERMINAR LA VARIACIÓN DE COSTO DE ABERTURAS DE ALUMINIO -  INSUMO TESTIGO Nº 11</t>
  </si>
  <si>
    <t>INDICADOR IPIB 42120-1 - INDEC INFORMA</t>
  </si>
  <si>
    <t>LISTADO DE INSUMOS TESTIGO - Ascensor de 7 paradas - 27</t>
  </si>
  <si>
    <t>FÓRMULAS POLINÓMICAS PARA DETERMINAR LA VARIACIÓN DE COSTO DE ASCENSOR DE 7 PARADAS -  INSUMO TESTIGO Nº 27</t>
  </si>
  <si>
    <t>INDICADOR ICC 43540 - 12 - INDEC INFORMA</t>
  </si>
  <si>
    <t>VALORES INSUMO TESTIGO Nº 27</t>
  </si>
  <si>
    <t>Ascensor de 7 paradas ICC Cuadro 11</t>
  </si>
  <si>
    <t>LISTADO DE INSUMOS TESTIGO - Caños y Tubos de Polietileno - 48</t>
  </si>
  <si>
    <t>FÓRMULAS POLINÓMICAS PARA DETERMINAR LA VARIACIÓN DE COSTO DE CAÑOS Y TUBOS DE POLIETILENO -  INSUMO TESTIGO Nº 48</t>
  </si>
  <si>
    <t>INDICADOR IPIB 2520 - INDEC INFORMA</t>
  </si>
  <si>
    <t xml:space="preserve">Caños y tubos de polietileno IPIB Cuadro 3 </t>
  </si>
  <si>
    <t>VALORES INSUMO TESTIGO Nº 48</t>
  </si>
  <si>
    <t>LISTADO DE INSUMOS TESTIGO - Cubiertas agrícolas - 57</t>
  </si>
  <si>
    <t>FÓRMULAS POLINÓMICAS PARA DETERMINAR LA VARIACIÓN DE COSTO DE CUBIERTAS AGRICOLAS -  INSUMO TESTIGO Nº 57</t>
  </si>
  <si>
    <t>INDICADOR IPIB 2511 - INDEC INFORMA</t>
  </si>
  <si>
    <t xml:space="preserve">Cubiertas agrícolas IPIB Cuadro 3 </t>
  </si>
  <si>
    <t>VALORES INSUMO TESTIGO Nº 57</t>
  </si>
  <si>
    <t xml:space="preserve">Plásticos en formas básicas IPIB Cuadro 3 </t>
  </si>
  <si>
    <t xml:space="preserve">Cubiertas de caucho IPIB Cuadro 3 </t>
  </si>
  <si>
    <t>arb-22</t>
  </si>
  <si>
    <t>LISTADO DE INSUMOS TESTIGO - Baldosa cerámica esmaltada - 29</t>
  </si>
  <si>
    <t>FÓRMULAS POLINÓMICAS PARA DETERMINAR LA VARIACIÓN DE COSTO DE ABERTURAS DE ALUMINIO -  INSUMO TESTIGO Nº 29</t>
  </si>
  <si>
    <t>INDICADOR ICC 37370 - INDEC INFORMA</t>
  </si>
  <si>
    <t>Baldosas y losas para pavimentos, cubos de mosaicos de cerámicos y artículos similares</t>
  </si>
  <si>
    <t>VALORES INSUMO TESTIGO Nº 29</t>
  </si>
  <si>
    <t>0309002  0309001  0309004  0309005  0309003</t>
  </si>
  <si>
    <t>Perfiles normalizados de chapa</t>
  </si>
  <si>
    <t>0315003  0315004  0315005  0315006</t>
  </si>
  <si>
    <t>LISTADO DE INSUMOS TESTIGO - Alacenas de Madera - 21</t>
  </si>
  <si>
    <t>FÓRMULAS POLINÓMICAS PARA DETERMINAR LA VARIACIÓN DE COSTO DE ALACENAS DE MADERA -  INSUMO TESTIGO Nº 21</t>
  </si>
  <si>
    <t>INDICADOR ICC  - INDEC INFORMA</t>
  </si>
  <si>
    <t>Alacena de cocina de madera, de calidad media - 38130-12</t>
  </si>
  <si>
    <t>Mueble de cocina bajo mesada, de madera, de calidad media-38130-15</t>
  </si>
  <si>
    <t>VALORES INSUMO TESTIGO Nº 21</t>
  </si>
  <si>
    <t>Todos. Incluye caños estructurales, perfiles C y todo otro tipo</t>
  </si>
  <si>
    <t>Todos (perfiles angulos, doble T, U, planchuelas etc.). Incluye caños s/costura.</t>
  </si>
  <si>
    <t>Ver Nota 53</t>
  </si>
  <si>
    <t>El Insumo 612 - Perfiles normalizados de chapa - se actualiza tomando materiales que corresponden a todo tipo de perfiles laminados en chapas, cuyos indices estan contemplado en planilla de DEP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</si>
  <si>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</si>
  <si>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</si>
  <si>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</si>
  <si>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</si>
  <si>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</si>
  <si>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</si>
  <si>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</si>
  <si>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</si>
  <si>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</si>
  <si>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</si>
  <si>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</si>
  <si>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</si>
  <si>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Sobre la base de los estudios efectuados para dar respuesta a lo planteado por Expte. Nº 026/320-N&amp;I-2003 se REEMPLAZA EL INSUMO Nº 202 por el INSUMO Nº 222</t>
  </si>
  <si>
    <t>LISTADO DE INSUMOS TESTIGO - Material para Salpicado - 88</t>
  </si>
  <si>
    <t>FÓRMULAS POLINÓMICAS PARA DETERMINAR LA VARIACIÓN DE COSTO DE MATERIAL SALPICADO -  INSUMO TESTIGO Nº 88</t>
  </si>
  <si>
    <t xml:space="preserve">Cales - 37420-1                                                 </t>
  </si>
  <si>
    <t>Sustancias y productos químicos - Cuadro 3.2-24 - inciso e)</t>
  </si>
  <si>
    <t>VALORES INSUMO TESTIGO Nº 88</t>
  </si>
  <si>
    <t>INDICADOR  - INDEC INFORMA</t>
  </si>
  <si>
    <t>LISTADO DE INSUMOS TESTIGO - PINTURA ASFALTICA - 100</t>
  </si>
  <si>
    <t>FÓRMULAS POLINÓMICAS PARA DETERMINAR LA VARIACIÓN DE COSTO DE PINTURA ASFALTICA -  INSUMO TESTIGO Nº 100</t>
  </si>
  <si>
    <t>INDICADOR - INDEC INFORMA</t>
  </si>
  <si>
    <t>VALORES INSUMO TESTIGO Nº 100</t>
  </si>
  <si>
    <t>Pintura asfáltica - 37940-11</t>
  </si>
  <si>
    <t>LISTADO DE INSUMOS TESTIGO - Productos básicos de aluminio -211</t>
  </si>
  <si>
    <t>FÓRMULAS POLINÓMICAS PARA DETERMINAR LA VARIACIÓN DE COSTO DE Productos básicos de aluminio -  INSUMO TESTIGO Nº 211</t>
  </si>
  <si>
    <t xml:space="preserve">Productos básicos de aluminio   41530-1                       </t>
  </si>
  <si>
    <t>VALORES INSUMO TESTIGO Nº 211</t>
  </si>
  <si>
    <t>8e</t>
  </si>
  <si>
    <t>Para defensas de puentes</t>
  </si>
  <si>
    <t xml:space="preserve">Defensa metálica flex-beam </t>
  </si>
  <si>
    <t>VALORES INSUMO TESTIGO Nº 607</t>
  </si>
  <si>
    <t>8e) DEFENSA METALICA FLEX - BEAM</t>
  </si>
  <si>
    <t>INDICE COMBIN. CON INFORM. DEL INDEC</t>
  </si>
  <si>
    <t>INDICE COMBIN. CON VARIAC. DEL DÓLAR</t>
  </si>
  <si>
    <t>D.E.P. - INDICE COMBIN.</t>
  </si>
  <si>
    <t>D.P.V -INDICE COMBIN.</t>
  </si>
  <si>
    <t>Anexo INSTALAC. ELECTRICA</t>
  </si>
  <si>
    <t>(IPIB) 34102</t>
  </si>
  <si>
    <t>INDICADOR IPIB 25201 - INDEC INFORMA</t>
  </si>
  <si>
    <t>Plásticos en formas básicas IPIB Cuadro 3  - 25201</t>
  </si>
  <si>
    <t>Cubiertas de caucho IPIB Cuadro 3  - 25111</t>
  </si>
  <si>
    <t>LISTADO DE INSUMOS TESTIGOS AL MES DE FEBRERO 2023</t>
  </si>
  <si>
    <t>ÍNDICES DE INSUMOS TESTIGOS SECRETARIA DE ESTADO DE OBRAS PUBLICAS - Período: FEBRERO 2022 - FEBRERO 2023</t>
  </si>
  <si>
    <t xml:space="preserve">Cales - 37420-1                                 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</si>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</sst>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\ #,##0;&quot;$&quot;\ \-#,##0"/>
    <numFmt numFmtId="8" formatCode="&quot;$&quot;\ #,##0.00;[Red]&quot;$&quot;\ \-#,##0.00"/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&quot;$&quot;\ #,##0.00;[Red]\-&quot;$&quot;\ #,##0.00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&quot;$&quot;#,##0;\-&quot;$&quot;#,##0"/>
    <numFmt numFmtId="168" formatCode="&quot;$&quot;#,##0.00;\-&quot;$&quot;#,##0.00"/>
    <numFmt numFmtId="169" formatCode="0.000"/>
    <numFmt numFmtId="170" formatCode="0.0"/>
    <numFmt numFmtId="171" formatCode="0.00000"/>
    <numFmt numFmtId="172" formatCode="d\-mmmm\-yyyy"/>
    <numFmt numFmtId="173" formatCode="#,##0.0"/>
    <numFmt numFmtId="174" formatCode="0.0000"/>
    <numFmt numFmtId="175" formatCode="dd\-mm\-yy"/>
    <numFmt numFmtId="176" formatCode="_-* #,##0.00\ [$€]_-;\-* #,##0.00\ [$€]_-;_-* &quot;-&quot;??\ [$€]_-;_-@_-"/>
    <numFmt numFmtId="177" formatCode="[$-C0A]mmm\-yy;@"/>
    <numFmt numFmtId="178" formatCode="0.000%"/>
    <numFmt numFmtId="179" formatCode="#,##0.000"/>
    <numFmt numFmtId="180" formatCode="_-* #,##0.00_-;\-* #,##0.00_-;_-* \-??_-;_-@_-"/>
    <numFmt numFmtId="181" formatCode="#."/>
    <numFmt numFmtId="182" formatCode="0.00000000000000000000%"/>
    <numFmt numFmtId="183" formatCode="_ [$€-2]\ * #,##0.00_ ;_ [$€-2]\ * \-#,##0.00_ ;_ [$€-2]\ * &quot;-&quot;??_ "/>
    <numFmt numFmtId="184" formatCode="_-* #,##0.00\ [$€-1]_-;\-* #,##0.00\ [$€-1]_-;_-* &quot;-&quot;??\ [$€-1]_-"/>
    <numFmt numFmtId="185" formatCode="&quot;Activado&quot;;&quot;Activado&quot;;&quot;Desactivado&quot;"/>
    <numFmt numFmtId="186" formatCode="_-* #,##0_-;\-* #,##0_-;_-* \-_-;_-@_-"/>
    <numFmt numFmtId="187" formatCode="_-* #,##0.00\ _p_t_a_-;\-* #,##0.00\ _p_t_a_-;_-* &quot;-&quot;??\ _p_t_a_-;_-@_-"/>
    <numFmt numFmtId="188" formatCode="_(* #,##0.00_);_(* \(#,##0.00\);_(* &quot;-&quot;??_);_(@_)"/>
    <numFmt numFmtId="189" formatCode="_-* #,##0.0000\ _$_-;\-* #,##0.0000\ _$_-;_-* &quot;-&quot;??\ _$_-;_-@_-"/>
    <numFmt numFmtId="190" formatCode="_-* #,##0.00\ _P_t_s_-;\-* #,##0.00\ _P_t_s_-;_-* \-??\ _P_t_s_-;_-@_-"/>
    <numFmt numFmtId="191" formatCode="#,##0.00_ ;\-#,##0.00\ "/>
    <numFmt numFmtId="192" formatCode="_(&quot;$&quot;* #,##0.00_);_(&quot;$&quot;* \(#,##0.00\);_(&quot;$&quot;* &quot;-&quot;??_);_(@_)"/>
    <numFmt numFmtId="193" formatCode="_-* #,##0.00\ &quot;pta&quot;_-;\-* #,##0.00\ &quot;pta&quot;_-;_-* &quot;-&quot;??\ &quot;pta&quot;_-;_-@_-"/>
    <numFmt numFmtId="194" formatCode="_-\$* #,##0.00_-;&quot;-$&quot;* #,##0.00_-;_-\$* \-??_-;_-@_-"/>
    <numFmt numFmtId="195" formatCode="&quot;$&quot;#,##0.00\ ;\(&quot;$&quot;#,##0.00\)"/>
    <numFmt numFmtId="196" formatCode="&quot;$&quot;#,##0\ ;\(&quot;$&quot;#,##0\)"/>
    <numFmt numFmtId="197" formatCode="\$#,##0\ ;\(\$#,##0\)"/>
    <numFmt numFmtId="198" formatCode="#.##000"/>
    <numFmt numFmtId="199" formatCode="0.00000%"/>
    <numFmt numFmtId="200" formatCode="_ * #,##0.000_ ;_ * \-#,##0.000_ ;_ * &quot;-&quot;??_ ;_ @_ "/>
    <numFmt numFmtId="201" formatCode="0.00_ ;\-0.00\ 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6"/>
      <name val="Arial Narrow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2"/>
      <name val="Verdana"/>
      <family val="2"/>
    </font>
    <font>
      <sz val="10"/>
      <color indexed="10"/>
      <name val="Verdana"/>
      <family val="2"/>
    </font>
    <font>
      <sz val="10"/>
      <color indexed="10"/>
      <name val="Arial"/>
      <family val="2"/>
    </font>
    <font>
      <i/>
      <sz val="10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0"/>
      <color indexed="10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4"/>
      <name val="Arial"/>
      <family val="2"/>
    </font>
    <font>
      <sz val="16"/>
      <color indexed="10"/>
      <name val="Arial Narrow"/>
      <family val="2"/>
    </font>
    <font>
      <sz val="12"/>
      <name val="Arial"/>
      <family val="2"/>
    </font>
    <font>
      <sz val="10"/>
      <color indexed="53"/>
      <name val="Arial Narrow"/>
      <family val="2"/>
    </font>
    <font>
      <sz val="16"/>
      <color indexed="53"/>
      <name val="Arial Narrow"/>
      <family val="2"/>
    </font>
    <font>
      <sz val="18"/>
      <color indexed="53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 Narrow"/>
      <family val="2"/>
    </font>
    <font>
      <sz val="12"/>
      <color indexed="53"/>
      <name val="Arial Narrow"/>
      <family val="2"/>
    </font>
    <font>
      <b/>
      <u/>
      <sz val="12"/>
      <name val="Arial Narrow"/>
      <family val="2"/>
    </font>
    <font>
      <i/>
      <sz val="12"/>
      <name val="Arial Narrow"/>
      <family val="2"/>
    </font>
    <font>
      <sz val="12"/>
      <color indexed="9"/>
      <name val="Arial Narrow"/>
      <family val="2"/>
    </font>
    <font>
      <sz val="12"/>
      <color indexed="10"/>
      <name val="Arial Narrow"/>
      <family val="2"/>
    </font>
    <font>
      <b/>
      <sz val="10"/>
      <name val="Arial"/>
      <family val="2"/>
    </font>
    <font>
      <sz val="14"/>
      <color indexed="16"/>
      <name val="Arial Narrow"/>
      <family val="2"/>
    </font>
    <font>
      <sz val="10"/>
      <color indexed="10"/>
      <name val="Arial Narrow"/>
      <family val="2"/>
    </font>
    <font>
      <b/>
      <sz val="14"/>
      <color indexed="10"/>
      <name val="Arial Narrow"/>
      <family val="2"/>
    </font>
    <font>
      <sz val="14"/>
      <color indexed="10"/>
      <name val="Arial Narrow"/>
      <family val="2"/>
    </font>
    <font>
      <b/>
      <sz val="12"/>
      <color indexed="10"/>
      <name val="Arial Narrow"/>
      <family val="2"/>
    </font>
    <font>
      <sz val="18"/>
      <color indexed="10"/>
      <name val="Arial Narrow"/>
      <family val="2"/>
    </font>
    <font>
      <i/>
      <sz val="14"/>
      <name val="Arial Narrow"/>
      <family val="2"/>
    </font>
    <font>
      <sz val="14"/>
      <color indexed="53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9.5"/>
      <color indexed="12"/>
      <name val="Courier"/>
      <family val="3"/>
    </font>
    <font>
      <sz val="12"/>
      <color indexed="24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ERNHARD"/>
    </font>
    <font>
      <sz val="12"/>
      <color indexed="8"/>
      <name val="Courier"/>
      <family val="3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3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0"/>
      <color theme="1"/>
      <name val="Arial"/>
      <family val="2"/>
    </font>
    <font>
      <sz val="12"/>
      <color indexed="16"/>
      <name val="Arial Narrow"/>
      <family val="2"/>
    </font>
    <font>
      <i/>
      <sz val="12"/>
      <color indexed="10"/>
      <name val="Arial Narrow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19">
    <xf numFmtId="0" fontId="0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5" borderId="0" applyNumberFormat="0" applyBorder="0" applyAlignment="0" applyProtection="0"/>
    <xf numFmtId="0" fontId="50" fillId="14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33" borderId="0" applyNumberFormat="0" applyBorder="0" applyAlignment="0" applyProtection="0"/>
    <xf numFmtId="0" fontId="52" fillId="3" borderId="0" applyNumberFormat="0" applyBorder="0" applyAlignment="0" applyProtection="0"/>
    <xf numFmtId="0" fontId="53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 applyNumberFormat="0" applyFont="0" applyFill="0" applyAlignment="0" applyProtection="0"/>
    <xf numFmtId="0" fontId="5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4" borderId="1" applyNumberFormat="0" applyAlignment="0" applyProtection="0"/>
    <xf numFmtId="0" fontId="56" fillId="35" borderId="1" applyNumberFormat="0" applyAlignment="0" applyProtection="0"/>
    <xf numFmtId="0" fontId="57" fillId="37" borderId="2" applyNumberFormat="0" applyAlignment="0" applyProtection="0"/>
    <xf numFmtId="0" fontId="58" fillId="0" borderId="3" applyNumberFormat="0" applyFill="0" applyAlignment="0" applyProtection="0"/>
    <xf numFmtId="0" fontId="57" fillId="36" borderId="2" applyNumberFormat="0" applyAlignment="0" applyProtection="0"/>
    <xf numFmtId="0" fontId="59" fillId="0" borderId="0">
      <protection locked="0"/>
    </xf>
    <xf numFmtId="181" fontId="60" fillId="0" borderId="0">
      <protection locked="0"/>
    </xf>
    <xf numFmtId="181" fontId="60" fillId="0" borderId="0"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41" borderId="0" applyNumberFormat="0" applyBorder="0" applyAlignment="0" applyProtection="0"/>
    <xf numFmtId="0" fontId="62" fillId="13" borderId="1" applyNumberFormat="0" applyAlignment="0" applyProtection="0"/>
    <xf numFmtId="176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81" fontId="64" fillId="0" borderId="0">
      <protection locked="0"/>
    </xf>
    <xf numFmtId="181" fontId="64" fillId="0" borderId="0">
      <protection locked="0"/>
    </xf>
    <xf numFmtId="181" fontId="65" fillId="0" borderId="0">
      <protection locked="0"/>
    </xf>
    <xf numFmtId="181" fontId="64" fillId="0" borderId="0">
      <protection locked="0"/>
    </xf>
    <xf numFmtId="181" fontId="64" fillId="0" borderId="0">
      <protection locked="0"/>
    </xf>
    <xf numFmtId="181" fontId="64" fillId="0" borderId="0">
      <protection locked="0"/>
    </xf>
    <xf numFmtId="181" fontId="65" fillId="0" borderId="0">
      <protection locked="0"/>
    </xf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0" fontId="2" fillId="0" borderId="0" applyFont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4" fontId="59" fillId="0" borderId="0">
      <protection locked="0"/>
    </xf>
    <xf numFmtId="0" fontId="53" fillId="4" borderId="0" applyNumberFormat="0" applyBorder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/>
    <xf numFmtId="0" fontId="62" fillId="7" borderId="1" applyNumberFormat="0" applyAlignment="0" applyProtection="0"/>
    <xf numFmtId="0" fontId="58" fillId="0" borderId="3" applyNumberFormat="0" applyFill="0" applyAlignment="0" applyProtection="0"/>
    <xf numFmtId="43" fontId="2" fillId="0" borderId="0" applyFont="0" applyFill="0" applyBorder="0" applyAlignment="0" applyProtection="0"/>
    <xf numFmtId="185" fontId="49" fillId="0" borderId="0" applyFill="0" applyBorder="0" applyAlignment="0" applyProtection="0"/>
    <xf numFmtId="186" fontId="49" fillId="0" borderId="0" applyFill="0" applyBorder="0" applyAlignment="0" applyProtection="0"/>
    <xf numFmtId="186" fontId="49" fillId="0" borderId="0" applyFill="0" applyBorder="0" applyAlignment="0" applyProtection="0"/>
    <xf numFmtId="43" fontId="2" fillId="0" borderId="0" applyFont="0" applyFill="0" applyBorder="0" applyAlignment="0" applyProtection="0"/>
    <xf numFmtId="180" fontId="49" fillId="0" borderId="0" applyFill="0" applyBorder="0" applyAlignment="0" applyProtection="0"/>
    <xf numFmtId="18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49" fillId="0" borderId="0" applyFill="0" applyBorder="0" applyAlignment="0" applyProtection="0"/>
    <xf numFmtId="190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4" fontId="49" fillId="0" borderId="0" applyFill="0" applyBorder="0" applyAlignment="0" applyProtection="0"/>
    <xf numFmtId="5" fontId="28" fillId="0" borderId="0"/>
    <xf numFmtId="5" fontId="28" fillId="0" borderId="0"/>
    <xf numFmtId="5" fontId="28" fillId="0" borderId="0"/>
    <xf numFmtId="5" fontId="28" fillId="0" borderId="0"/>
    <xf numFmtId="5" fontId="28" fillId="0" borderId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95" fontId="2" fillId="0" borderId="0" applyFont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96" fontId="2" fillId="0" borderId="0" applyFont="0" applyFill="0" applyBorder="0" applyAlignment="0" applyProtection="0"/>
    <xf numFmtId="197" fontId="69" fillId="0" borderId="0" applyFont="0" applyFill="0" applyBorder="0" applyAlignment="0" applyProtection="0"/>
    <xf numFmtId="0" fontId="70" fillId="42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0" borderId="0"/>
    <xf numFmtId="0" fontId="80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5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44" borderId="7" applyNumberFormat="0" applyAlignment="0" applyProtection="0"/>
    <xf numFmtId="0" fontId="2" fillId="43" borderId="7" applyNumberFormat="0" applyFont="0" applyAlignment="0" applyProtection="0"/>
    <xf numFmtId="0" fontId="71" fillId="34" borderId="8" applyNumberFormat="0" applyAlignment="0" applyProtection="0"/>
    <xf numFmtId="0" fontId="72" fillId="0" borderId="0"/>
    <xf numFmtId="0" fontId="72" fillId="0" borderId="0"/>
    <xf numFmtId="9" fontId="2" fillId="0" borderId="0" applyFont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ill="0" applyBorder="0" applyAlignment="0" applyProtection="0"/>
    <xf numFmtId="9" fontId="80" fillId="0" borderId="0" applyFont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4" fontId="2" fillId="0" borderId="0" applyFont="0" applyFill="0" applyBorder="0" applyAlignment="0" applyProtection="0"/>
    <xf numFmtId="198" fontId="73" fillId="0" borderId="0">
      <protection locked="0"/>
    </xf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0" fontId="72" fillId="0" borderId="0"/>
    <xf numFmtId="0" fontId="2" fillId="0" borderId="0"/>
    <xf numFmtId="0" fontId="71" fillId="35" borderId="8" applyNumberFormat="0" applyAlignment="0" applyProtection="0"/>
    <xf numFmtId="0" fontId="7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76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</cellStyleXfs>
  <cellXfs count="2999">
    <xf numFmtId="0" fontId="0" fillId="0" borderId="0" xfId="0"/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 applyBorder="1"/>
    <xf numFmtId="2" fontId="4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2" fillId="0" borderId="0" xfId="0" applyFont="1" applyFill="1"/>
    <xf numFmtId="2" fontId="12" fillId="0" borderId="14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4" fillId="0" borderId="0" xfId="0" applyNumberFormat="1" applyFont="1" applyFill="1" applyBorder="1" applyAlignment="1">
      <alignment horizontal="center"/>
    </xf>
    <xf numFmtId="2" fontId="12" fillId="0" borderId="15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9" fontId="7" fillId="0" borderId="17" xfId="0" applyNumberFormat="1" applyFont="1" applyFill="1" applyBorder="1"/>
    <xf numFmtId="169" fontId="7" fillId="0" borderId="18" xfId="0" applyNumberFormat="1" applyFont="1" applyFill="1" applyBorder="1" applyAlignment="1">
      <alignment horizontal="right"/>
    </xf>
    <xf numFmtId="169" fontId="7" fillId="0" borderId="17" xfId="0" applyNumberFormat="1" applyFont="1" applyFill="1" applyBorder="1" applyAlignment="1">
      <alignment horizontal="right"/>
    </xf>
    <xf numFmtId="2" fontId="4" fillId="0" borderId="19" xfId="0" applyNumberFormat="1" applyFont="1" applyFill="1" applyBorder="1" applyAlignment="1"/>
    <xf numFmtId="2" fontId="4" fillId="0" borderId="20" xfId="0" applyNumberFormat="1" applyFont="1" applyFill="1" applyBorder="1" applyAlignment="1"/>
    <xf numFmtId="169" fontId="4" fillId="0" borderId="21" xfId="0" applyNumberFormat="1" applyFont="1" applyFill="1" applyBorder="1"/>
    <xf numFmtId="2" fontId="4" fillId="0" borderId="22" xfId="0" applyNumberFormat="1" applyFont="1" applyFill="1" applyBorder="1" applyAlignment="1">
      <alignment horizontal="right"/>
    </xf>
    <xf numFmtId="0" fontId="2" fillId="0" borderId="0" xfId="0" applyFont="1" applyFill="1"/>
    <xf numFmtId="169" fontId="4" fillId="0" borderId="23" xfId="0" applyNumberFormat="1" applyFont="1" applyFill="1" applyBorder="1"/>
    <xf numFmtId="169" fontId="4" fillId="0" borderId="13" xfId="113" applyNumberFormat="1" applyFont="1" applyFill="1" applyBorder="1" applyAlignment="1" applyProtection="1"/>
    <xf numFmtId="2" fontId="4" fillId="0" borderId="22" xfId="0" applyNumberFormat="1" applyFont="1" applyFill="1" applyBorder="1"/>
    <xf numFmtId="2" fontId="4" fillId="0" borderId="24" xfId="113" applyNumberFormat="1" applyFont="1" applyFill="1" applyBorder="1" applyAlignment="1" applyProtection="1"/>
    <xf numFmtId="2" fontId="4" fillId="0" borderId="13" xfId="0" applyNumberFormat="1" applyFont="1" applyFill="1" applyBorder="1" applyAlignment="1">
      <alignment horizontal="center"/>
    </xf>
    <xf numFmtId="169" fontId="4" fillId="0" borderId="22" xfId="0" applyNumberFormat="1" applyFont="1" applyFill="1" applyBorder="1"/>
    <xf numFmtId="0" fontId="0" fillId="0" borderId="25" xfId="0" applyFill="1" applyBorder="1"/>
    <xf numFmtId="175" fontId="16" fillId="0" borderId="26" xfId="0" applyNumberFormat="1" applyFont="1" applyFill="1" applyBorder="1" applyAlignment="1">
      <alignment horizontal="center"/>
    </xf>
    <xf numFmtId="175" fontId="16" fillId="0" borderId="27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175" fontId="16" fillId="0" borderId="11" xfId="0" applyNumberFormat="1" applyFont="1" applyFill="1" applyBorder="1" applyAlignment="1">
      <alignment horizontal="center"/>
    </xf>
    <xf numFmtId="169" fontId="4" fillId="0" borderId="0" xfId="0" applyNumberFormat="1" applyFont="1" applyFill="1" applyBorder="1"/>
    <xf numFmtId="2" fontId="4" fillId="0" borderId="13" xfId="113" applyNumberFormat="1" applyFont="1" applyFill="1" applyBorder="1" applyAlignment="1" applyProtection="1"/>
    <xf numFmtId="169" fontId="4" fillId="0" borderId="24" xfId="0" applyNumberFormat="1" applyFont="1" applyFill="1" applyBorder="1"/>
    <xf numFmtId="169" fontId="4" fillId="0" borderId="13" xfId="0" applyNumberFormat="1" applyFont="1" applyFill="1" applyBorder="1"/>
    <xf numFmtId="2" fontId="4" fillId="0" borderId="23" xfId="0" applyNumberFormat="1" applyFont="1" applyFill="1" applyBorder="1" applyAlignment="1">
      <alignment horizontal="right"/>
    </xf>
    <xf numFmtId="2" fontId="4" fillId="0" borderId="23" xfId="113" applyNumberFormat="1" applyFont="1" applyFill="1" applyBorder="1" applyAlignment="1" applyProtection="1"/>
    <xf numFmtId="2" fontId="4" fillId="0" borderId="22" xfId="113" applyNumberFormat="1" applyFont="1" applyFill="1" applyBorder="1" applyAlignment="1" applyProtection="1"/>
    <xf numFmtId="0" fontId="19" fillId="0" borderId="13" xfId="0" applyFont="1" applyFill="1" applyBorder="1" applyAlignment="1">
      <alignment horizontal="center"/>
    </xf>
    <xf numFmtId="169" fontId="7" fillId="0" borderId="29" xfId="0" applyNumberFormat="1" applyFont="1" applyFill="1" applyBorder="1"/>
    <xf numFmtId="169" fontId="0" fillId="0" borderId="0" xfId="0" applyNumberFormat="1" applyFill="1"/>
    <xf numFmtId="0" fontId="12" fillId="0" borderId="0" xfId="0" applyFont="1" applyFill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74" fontId="16" fillId="0" borderId="23" xfId="0" applyNumberFormat="1" applyFont="1" applyFill="1" applyBorder="1" applyAlignment="1">
      <alignment horizontal="center"/>
    </xf>
    <xf numFmtId="174" fontId="16" fillId="0" borderId="22" xfId="0" applyNumberFormat="1" applyFont="1" applyFill="1" applyBorder="1" applyAlignment="1">
      <alignment horizontal="center"/>
    </xf>
    <xf numFmtId="174" fontId="16" fillId="0" borderId="13" xfId="0" applyNumberFormat="1" applyFont="1" applyFill="1" applyBorder="1" applyAlignment="1">
      <alignment horizontal="center"/>
    </xf>
    <xf numFmtId="174" fontId="0" fillId="0" borderId="0" xfId="0" applyNumberFormat="1" applyFill="1"/>
    <xf numFmtId="0" fontId="5" fillId="0" borderId="0" xfId="0" applyFont="1" applyFill="1" applyAlignment="1">
      <alignment horizontal="centerContinuous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4" fillId="0" borderId="25" xfId="0" applyFont="1" applyFill="1" applyBorder="1"/>
    <xf numFmtId="169" fontId="7" fillId="0" borderId="30" xfId="0" applyNumberFormat="1" applyFont="1" applyFill="1" applyBorder="1"/>
    <xf numFmtId="0" fontId="4" fillId="0" borderId="0" xfId="0" applyFont="1"/>
    <xf numFmtId="0" fontId="22" fillId="0" borderId="0" xfId="0" applyFont="1" applyFill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2" fillId="0" borderId="0" xfId="0" applyFont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centerContinuous"/>
    </xf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0" xfId="0" applyNumberFormat="1" applyFont="1"/>
    <xf numFmtId="0" fontId="4" fillId="0" borderId="26" xfId="0" applyFont="1" applyFill="1" applyBorder="1" applyAlignment="1">
      <alignment horizontal="center" wrapText="1"/>
    </xf>
    <xf numFmtId="0" fontId="23" fillId="0" borderId="31" xfId="0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3" fillId="0" borderId="34" xfId="0" applyFont="1" applyFill="1" applyBorder="1" applyAlignment="1">
      <alignment horizontal="center"/>
    </xf>
    <xf numFmtId="170" fontId="4" fillId="45" borderId="17" xfId="0" applyNumberFormat="1" applyFont="1" applyFill="1" applyBorder="1"/>
    <xf numFmtId="2" fontId="8" fillId="0" borderId="0" xfId="0" applyNumberFormat="1" applyFont="1" applyAlignment="1">
      <alignment horizontal="center"/>
    </xf>
    <xf numFmtId="2" fontId="4" fillId="45" borderId="17" xfId="0" applyNumberFormat="1" applyFont="1" applyFill="1" applyBorder="1"/>
    <xf numFmtId="2" fontId="4" fillId="45" borderId="35" xfId="0" applyNumberFormat="1" applyFont="1" applyFill="1" applyBorder="1"/>
    <xf numFmtId="170" fontId="4" fillId="0" borderId="0" xfId="0" applyNumberFormat="1" applyFont="1" applyFill="1" applyBorder="1"/>
    <xf numFmtId="170" fontId="4" fillId="0" borderId="0" xfId="0" applyNumberFormat="1" applyFont="1" applyFill="1" applyBorder="1" applyAlignment="1">
      <alignment horizontal="right"/>
    </xf>
    <xf numFmtId="169" fontId="4" fillId="45" borderId="17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169" fontId="9" fillId="0" borderId="0" xfId="0" applyNumberFormat="1" applyFont="1" applyFill="1" applyAlignment="1">
      <alignment horizontal="center"/>
    </xf>
    <xf numFmtId="169" fontId="9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0" xfId="0" applyNumberFormat="1" applyFont="1"/>
    <xf numFmtId="17" fontId="4" fillId="0" borderId="33" xfId="0" applyNumberFormat="1" applyFont="1" applyBorder="1" applyAlignment="1">
      <alignment horizontal="center"/>
    </xf>
    <xf numFmtId="17" fontId="4" fillId="0" borderId="33" xfId="0" applyNumberFormat="1" applyFont="1" applyBorder="1"/>
    <xf numFmtId="0" fontId="25" fillId="0" borderId="0" xfId="0" applyFont="1"/>
    <xf numFmtId="2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169" fontId="7" fillId="0" borderId="0" xfId="0" applyNumberFormat="1" applyFont="1" applyFill="1"/>
    <xf numFmtId="169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0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4" fillId="0" borderId="36" xfId="0" applyFont="1" applyFill="1" applyBorder="1" applyAlignment="1">
      <alignment vertical="center"/>
    </xf>
    <xf numFmtId="169" fontId="9" fillId="0" borderId="0" xfId="0" applyNumberFormat="1" applyFont="1" applyFill="1" applyBorder="1" applyAlignment="1">
      <alignment horizontal="center" vertical="center"/>
    </xf>
    <xf numFmtId="169" fontId="9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3" fontId="9" fillId="0" borderId="0" xfId="12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171" fontId="21" fillId="0" borderId="0" xfId="0" applyNumberFormat="1" applyFont="1" applyFill="1" applyAlignment="1">
      <alignment vertical="center"/>
    </xf>
    <xf numFmtId="169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8" fillId="0" borderId="0" xfId="0" applyFont="1" applyFill="1" applyBorder="1"/>
    <xf numFmtId="2" fontId="6" fillId="0" borderId="19" xfId="0" applyNumberFormat="1" applyFont="1" applyFill="1" applyBorder="1" applyAlignment="1"/>
    <xf numFmtId="0" fontId="6" fillId="0" borderId="37" xfId="0" applyFont="1" applyFill="1" applyBorder="1" applyAlignment="1">
      <alignment horizontal="right"/>
    </xf>
    <xf numFmtId="0" fontId="6" fillId="0" borderId="25" xfId="0" applyFont="1" applyFill="1" applyBorder="1" applyAlignment="1">
      <alignment horizontal="right"/>
    </xf>
    <xf numFmtId="0" fontId="6" fillId="0" borderId="38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2" fontId="6" fillId="0" borderId="13" xfId="0" applyNumberFormat="1" applyFont="1" applyFill="1" applyBorder="1"/>
    <xf numFmtId="0" fontId="6" fillId="0" borderId="0" xfId="0" applyFont="1" applyFill="1"/>
    <xf numFmtId="169" fontId="6" fillId="0" borderId="23" xfId="0" applyNumberFormat="1" applyFont="1" applyFill="1" applyBorder="1"/>
    <xf numFmtId="169" fontId="6" fillId="0" borderId="13" xfId="113" applyNumberFormat="1" applyFont="1" applyFill="1" applyBorder="1" applyAlignment="1" applyProtection="1"/>
    <xf numFmtId="2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right"/>
    </xf>
    <xf numFmtId="2" fontId="6" fillId="0" borderId="22" xfId="0" applyNumberFormat="1" applyFont="1" applyFill="1" applyBorder="1" applyAlignment="1">
      <alignment horizontal="right"/>
    </xf>
    <xf numFmtId="2" fontId="6" fillId="0" borderId="37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23" fillId="0" borderId="0" xfId="0" applyFont="1" applyFill="1" applyAlignment="1"/>
    <xf numFmtId="0" fontId="31" fillId="0" borderId="36" xfId="0" applyFont="1" applyFill="1" applyBorder="1" applyAlignment="1">
      <alignment vertical="center"/>
    </xf>
    <xf numFmtId="169" fontId="3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169" fontId="30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29" fillId="0" borderId="3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32" fillId="0" borderId="0" xfId="0" applyFont="1" applyFill="1"/>
    <xf numFmtId="0" fontId="33" fillId="0" borderId="0" xfId="0" applyFont="1" applyFill="1"/>
    <xf numFmtId="0" fontId="23" fillId="0" borderId="31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40" xfId="0" applyFont="1" applyFill="1" applyBorder="1"/>
    <xf numFmtId="0" fontId="23" fillId="0" borderId="38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/>
    <xf numFmtId="0" fontId="23" fillId="0" borderId="41" xfId="0" applyFont="1" applyFill="1" applyBorder="1"/>
    <xf numFmtId="0" fontId="23" fillId="0" borderId="42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32" fillId="0" borderId="0" xfId="0" applyFont="1" applyFill="1" applyBorder="1"/>
    <xf numFmtId="0" fontId="23" fillId="0" borderId="16" xfId="0" applyFont="1" applyFill="1" applyBorder="1" applyAlignment="1">
      <alignment horizontal="center"/>
    </xf>
    <xf numFmtId="0" fontId="23" fillId="0" borderId="26" xfId="0" applyFont="1" applyFill="1" applyBorder="1"/>
    <xf numFmtId="0" fontId="23" fillId="0" borderId="21" xfId="0" applyFont="1" applyFill="1" applyBorder="1"/>
    <xf numFmtId="2" fontId="23" fillId="0" borderId="21" xfId="0" applyNumberFormat="1" applyFont="1" applyFill="1" applyBorder="1"/>
    <xf numFmtId="2" fontId="23" fillId="0" borderId="21" xfId="0" applyNumberFormat="1" applyFont="1" applyFill="1" applyBorder="1" applyAlignment="1">
      <alignment horizontal="right"/>
    </xf>
    <xf numFmtId="0" fontId="23" fillId="0" borderId="43" xfId="0" applyFont="1" applyFill="1" applyBorder="1"/>
    <xf numFmtId="0" fontId="23" fillId="0" borderId="37" xfId="0" applyFont="1" applyFill="1" applyBorder="1"/>
    <xf numFmtId="2" fontId="23" fillId="0" borderId="37" xfId="0" applyNumberFormat="1" applyFont="1" applyFill="1" applyBorder="1" applyAlignment="1">
      <alignment horizontal="right"/>
    </xf>
    <xf numFmtId="2" fontId="23" fillId="0" borderId="37" xfId="0" applyNumberFormat="1" applyFont="1" applyFill="1" applyBorder="1"/>
    <xf numFmtId="2" fontId="23" fillId="0" borderId="37" xfId="113" applyNumberFormat="1" applyFont="1" applyFill="1" applyBorder="1" applyAlignment="1" applyProtection="1"/>
    <xf numFmtId="0" fontId="23" fillId="0" borderId="11" xfId="0" applyFont="1" applyFill="1" applyBorder="1"/>
    <xf numFmtId="0" fontId="34" fillId="0" borderId="24" xfId="0" applyFont="1" applyFill="1" applyBorder="1" applyAlignment="1">
      <alignment horizontal="center"/>
    </xf>
    <xf numFmtId="0" fontId="23" fillId="0" borderId="21" xfId="0" applyFont="1" applyFill="1" applyBorder="1" applyAlignment="1"/>
    <xf numFmtId="169" fontId="23" fillId="0" borderId="21" xfId="0" applyNumberFormat="1" applyFont="1" applyFill="1" applyBorder="1"/>
    <xf numFmtId="0" fontId="23" fillId="0" borderId="37" xfId="0" applyFont="1" applyFill="1" applyBorder="1" applyAlignment="1"/>
    <xf numFmtId="169" fontId="23" fillId="0" borderId="37" xfId="113" applyNumberFormat="1" applyFont="1" applyFill="1" applyBorder="1" applyAlignment="1" applyProtection="1"/>
    <xf numFmtId="169" fontId="23" fillId="0" borderId="37" xfId="0" applyNumberFormat="1" applyFont="1" applyFill="1" applyBorder="1"/>
    <xf numFmtId="0" fontId="23" fillId="0" borderId="24" xfId="0" applyFont="1" applyFill="1" applyBorder="1" applyAlignment="1"/>
    <xf numFmtId="169" fontId="23" fillId="0" borderId="24" xfId="113" applyNumberFormat="1" applyFont="1" applyFill="1" applyBorder="1" applyAlignment="1" applyProtection="1"/>
    <xf numFmtId="169" fontId="23" fillId="0" borderId="0" xfId="113" applyNumberFormat="1" applyFont="1" applyFill="1" applyAlignment="1" applyProtection="1"/>
    <xf numFmtId="0" fontId="23" fillId="0" borderId="44" xfId="0" applyFont="1" applyFill="1" applyBorder="1"/>
    <xf numFmtId="0" fontId="23" fillId="0" borderId="26" xfId="0" applyFont="1" applyFill="1" applyBorder="1" applyAlignment="1">
      <alignment horizontal="center"/>
    </xf>
    <xf numFmtId="2" fontId="23" fillId="0" borderId="21" xfId="113" applyNumberFormat="1" applyFont="1" applyFill="1" applyBorder="1" applyAlignment="1" applyProtection="1"/>
    <xf numFmtId="0" fontId="23" fillId="0" borderId="43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2" fontId="23" fillId="0" borderId="24" xfId="113" applyNumberFormat="1" applyFont="1" applyFill="1" applyBorder="1" applyAlignment="1" applyProtection="1"/>
    <xf numFmtId="0" fontId="23" fillId="0" borderId="0" xfId="0" applyFont="1" applyFill="1" applyBorder="1"/>
    <xf numFmtId="0" fontId="23" fillId="0" borderId="21" xfId="0" applyFont="1" applyFill="1" applyBorder="1" applyAlignment="1">
      <alignment horizontal="right"/>
    </xf>
    <xf numFmtId="2" fontId="23" fillId="0" borderId="45" xfId="0" applyNumberFormat="1" applyFont="1" applyFill="1" applyBorder="1" applyAlignment="1">
      <alignment horizontal="right"/>
    </xf>
    <xf numFmtId="2" fontId="32" fillId="0" borderId="20" xfId="0" applyNumberFormat="1" applyFont="1" applyFill="1" applyBorder="1"/>
    <xf numFmtId="2" fontId="32" fillId="0" borderId="21" xfId="0" applyNumberFormat="1" applyFont="1" applyFill="1" applyBorder="1"/>
    <xf numFmtId="2" fontId="32" fillId="0" borderId="46" xfId="0" applyNumberFormat="1" applyFont="1" applyFill="1" applyBorder="1"/>
    <xf numFmtId="2" fontId="23" fillId="0" borderId="47" xfId="0" applyNumberFormat="1" applyFont="1" applyFill="1" applyBorder="1" applyAlignment="1">
      <alignment horizontal="right"/>
    </xf>
    <xf numFmtId="0" fontId="32" fillId="0" borderId="38" xfId="0" applyFont="1" applyFill="1" applyBorder="1"/>
    <xf numFmtId="0" fontId="32" fillId="0" borderId="37" xfId="0" applyFont="1" applyFill="1" applyBorder="1"/>
    <xf numFmtId="0" fontId="32" fillId="0" borderId="48" xfId="0" applyFont="1" applyFill="1" applyBorder="1"/>
    <xf numFmtId="0" fontId="23" fillId="0" borderId="37" xfId="0" applyFont="1" applyFill="1" applyBorder="1" applyAlignment="1">
      <alignment horizontal="right"/>
    </xf>
    <xf numFmtId="2" fontId="32" fillId="0" borderId="38" xfId="0" applyNumberFormat="1" applyFont="1" applyFill="1" applyBorder="1"/>
    <xf numFmtId="2" fontId="32" fillId="0" borderId="37" xfId="0" applyNumberFormat="1" applyFont="1" applyFill="1" applyBorder="1"/>
    <xf numFmtId="2" fontId="32" fillId="0" borderId="48" xfId="0" applyNumberFormat="1" applyFont="1" applyFill="1" applyBorder="1"/>
    <xf numFmtId="0" fontId="23" fillId="0" borderId="49" xfId="0" applyFont="1" applyFill="1" applyBorder="1" applyAlignment="1">
      <alignment horizontal="right"/>
    </xf>
    <xf numFmtId="2" fontId="23" fillId="0" borderId="47" xfId="0" applyNumberFormat="1" applyFont="1" applyFill="1" applyBorder="1"/>
    <xf numFmtId="0" fontId="34" fillId="0" borderId="50" xfId="0" applyFont="1" applyFill="1" applyBorder="1" applyAlignment="1">
      <alignment horizontal="center"/>
    </xf>
    <xf numFmtId="0" fontId="32" fillId="0" borderId="42" xfId="0" applyFont="1" applyFill="1" applyBorder="1"/>
    <xf numFmtId="0" fontId="32" fillId="0" borderId="24" xfId="0" applyFont="1" applyFill="1" applyBorder="1"/>
    <xf numFmtId="0" fontId="32" fillId="0" borderId="51" xfId="0" applyFont="1" applyFill="1" applyBorder="1"/>
    <xf numFmtId="0" fontId="32" fillId="0" borderId="52" xfId="0" applyFont="1" applyFill="1" applyBorder="1"/>
    <xf numFmtId="0" fontId="32" fillId="0" borderId="53" xfId="0" applyFont="1" applyFill="1" applyBorder="1"/>
    <xf numFmtId="169" fontId="23" fillId="0" borderId="54" xfId="0" applyNumberFormat="1" applyFont="1" applyFill="1" applyBorder="1"/>
    <xf numFmtId="169" fontId="23" fillId="0" borderId="23" xfId="0" applyNumberFormat="1" applyFont="1" applyFill="1" applyBorder="1"/>
    <xf numFmtId="169" fontId="23" fillId="0" borderId="38" xfId="0" applyNumberFormat="1" applyFont="1" applyFill="1" applyBorder="1"/>
    <xf numFmtId="169" fontId="23" fillId="0" borderId="22" xfId="0" applyNumberFormat="1" applyFont="1" applyFill="1" applyBorder="1"/>
    <xf numFmtId="169" fontId="23" fillId="0" borderId="20" xfId="0" applyNumberFormat="1" applyFont="1" applyFill="1" applyBorder="1"/>
    <xf numFmtId="169" fontId="23" fillId="0" borderId="12" xfId="0" applyNumberFormat="1" applyFont="1" applyFill="1" applyBorder="1"/>
    <xf numFmtId="169" fontId="23" fillId="0" borderId="24" xfId="0" applyNumberFormat="1" applyFont="1" applyFill="1" applyBorder="1"/>
    <xf numFmtId="169" fontId="23" fillId="0" borderId="42" xfId="0" applyNumberFormat="1" applyFont="1" applyFill="1" applyBorder="1"/>
    <xf numFmtId="2" fontId="23" fillId="0" borderId="54" xfId="113" applyNumberFormat="1" applyFont="1" applyFill="1" applyBorder="1" applyAlignment="1" applyProtection="1"/>
    <xf numFmtId="2" fontId="23" fillId="0" borderId="23" xfId="113" applyNumberFormat="1" applyFont="1" applyFill="1" applyBorder="1" applyAlignment="1" applyProtection="1"/>
    <xf numFmtId="0" fontId="23" fillId="0" borderId="55" xfId="0" applyFont="1" applyFill="1" applyBorder="1"/>
    <xf numFmtId="2" fontId="23" fillId="0" borderId="18" xfId="0" applyNumberFormat="1" applyFont="1" applyFill="1" applyBorder="1"/>
    <xf numFmtId="0" fontId="23" fillId="0" borderId="17" xfId="0" applyFont="1" applyFill="1" applyBorder="1"/>
    <xf numFmtId="2" fontId="23" fillId="0" borderId="17" xfId="113" applyNumberFormat="1" applyFont="1" applyFill="1" applyBorder="1" applyAlignment="1" applyProtection="1"/>
    <xf numFmtId="2" fontId="23" fillId="0" borderId="38" xfId="113" applyNumberFormat="1" applyFont="1" applyFill="1" applyBorder="1" applyAlignment="1" applyProtection="1"/>
    <xf numFmtId="2" fontId="23" fillId="0" borderId="22" xfId="113" applyNumberFormat="1" applyFont="1" applyFill="1" applyBorder="1" applyAlignment="1" applyProtection="1"/>
    <xf numFmtId="2" fontId="23" fillId="0" borderId="42" xfId="113" applyNumberFormat="1" applyFont="1" applyFill="1" applyBorder="1" applyAlignment="1" applyProtection="1"/>
    <xf numFmtId="2" fontId="23" fillId="0" borderId="13" xfId="113" applyNumberFormat="1" applyFont="1" applyFill="1" applyBorder="1" applyAlignment="1" applyProtection="1"/>
    <xf numFmtId="49" fontId="32" fillId="0" borderId="0" xfId="0" applyNumberFormat="1" applyFont="1" applyFill="1"/>
    <xf numFmtId="0" fontId="32" fillId="0" borderId="22" xfId="0" applyFont="1" applyFill="1" applyBorder="1"/>
    <xf numFmtId="169" fontId="23" fillId="0" borderId="13" xfId="0" applyNumberFormat="1" applyFont="1" applyFill="1" applyBorder="1"/>
    <xf numFmtId="0" fontId="23" fillId="0" borderId="23" xfId="0" applyFont="1" applyFill="1" applyBorder="1" applyAlignment="1">
      <alignment horizontal="right"/>
    </xf>
    <xf numFmtId="2" fontId="23" fillId="0" borderId="22" xfId="0" applyNumberFormat="1" applyFont="1" applyFill="1" applyBorder="1" applyAlignment="1">
      <alignment horizontal="right"/>
    </xf>
    <xf numFmtId="0" fontId="23" fillId="0" borderId="22" xfId="0" applyFont="1" applyFill="1" applyBorder="1" applyAlignment="1">
      <alignment horizontal="right"/>
    </xf>
    <xf numFmtId="2" fontId="23" fillId="0" borderId="49" xfId="0" applyNumberFormat="1" applyFont="1" applyFill="1" applyBorder="1" applyAlignment="1">
      <alignment horizontal="right"/>
    </xf>
    <xf numFmtId="0" fontId="23" fillId="0" borderId="48" xfId="0" applyFont="1" applyFill="1" applyBorder="1" applyAlignment="1">
      <alignment horizontal="right"/>
    </xf>
    <xf numFmtId="2" fontId="23" fillId="0" borderId="22" xfId="0" applyNumberFormat="1" applyFont="1" applyFill="1" applyBorder="1"/>
    <xf numFmtId="169" fontId="23" fillId="0" borderId="56" xfId="0" applyNumberFormat="1" applyFont="1" applyFill="1" applyBorder="1"/>
    <xf numFmtId="169" fontId="23" fillId="0" borderId="57" xfId="0" applyNumberFormat="1" applyFont="1" applyFill="1" applyBorder="1"/>
    <xf numFmtId="169" fontId="23" fillId="0" borderId="58" xfId="0" applyNumberFormat="1" applyFont="1" applyFill="1" applyBorder="1"/>
    <xf numFmtId="169" fontId="23" fillId="0" borderId="59" xfId="0" applyNumberFormat="1" applyFont="1" applyFill="1" applyBorder="1"/>
    <xf numFmtId="169" fontId="23" fillId="0" borderId="60" xfId="0" applyNumberFormat="1" applyFont="1" applyFill="1" applyBorder="1"/>
    <xf numFmtId="169" fontId="23" fillId="0" borderId="61" xfId="0" applyNumberFormat="1" applyFont="1" applyFill="1" applyBorder="1"/>
    <xf numFmtId="0" fontId="23" fillId="0" borderId="62" xfId="0" applyFont="1" applyFill="1" applyBorder="1" applyAlignment="1">
      <alignment horizontal="center"/>
    </xf>
    <xf numFmtId="0" fontId="23" fillId="0" borderId="49" xfId="0" applyFont="1" applyFill="1" applyBorder="1" applyAlignment="1">
      <alignment horizontal="center"/>
    </xf>
    <xf numFmtId="0" fontId="23" fillId="0" borderId="63" xfId="0" applyFont="1" applyFill="1" applyBorder="1" applyAlignment="1">
      <alignment horizontal="center"/>
    </xf>
    <xf numFmtId="17" fontId="23" fillId="0" borderId="0" xfId="0" applyNumberFormat="1" applyFont="1" applyFill="1"/>
    <xf numFmtId="2" fontId="23" fillId="0" borderId="0" xfId="113" applyNumberFormat="1" applyFont="1" applyFill="1" applyBorder="1" applyAlignment="1" applyProtection="1"/>
    <xf numFmtId="4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/>
    <xf numFmtId="169" fontId="6" fillId="0" borderId="0" xfId="0" applyNumberFormat="1" applyFont="1" applyFill="1" applyBorder="1"/>
    <xf numFmtId="169" fontId="6" fillId="0" borderId="0" xfId="0" quotePrefix="1" applyNumberFormat="1" applyFont="1" applyFill="1" applyBorder="1"/>
    <xf numFmtId="169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69" fontId="35" fillId="0" borderId="0" xfId="0" applyNumberFormat="1" applyFont="1" applyFill="1" applyBorder="1" applyAlignment="1">
      <alignment horizontal="center"/>
    </xf>
    <xf numFmtId="0" fontId="3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right"/>
    </xf>
    <xf numFmtId="0" fontId="6" fillId="0" borderId="64" xfId="0" applyFont="1" applyFill="1" applyBorder="1"/>
    <xf numFmtId="169" fontId="6" fillId="0" borderId="64" xfId="0" applyNumberFormat="1" applyFont="1" applyFill="1" applyBorder="1"/>
    <xf numFmtId="169" fontId="6" fillId="0" borderId="64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69" fontId="6" fillId="0" borderId="0" xfId="0" applyNumberFormat="1" applyFont="1" applyFill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6" fillId="0" borderId="37" xfId="0" applyFont="1" applyFill="1" applyBorder="1"/>
    <xf numFmtId="0" fontId="5" fillId="0" borderId="15" xfId="0" applyFont="1" applyFill="1" applyBorder="1" applyAlignment="1">
      <alignment horizontal="center"/>
    </xf>
    <xf numFmtId="2" fontId="6" fillId="0" borderId="38" xfId="0" applyNumberFormat="1" applyFont="1" applyFill="1" applyBorder="1"/>
    <xf numFmtId="2" fontId="6" fillId="0" borderId="22" xfId="0" applyNumberFormat="1" applyFont="1" applyFill="1" applyBorder="1"/>
    <xf numFmtId="2" fontId="6" fillId="0" borderId="49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6" fillId="0" borderId="65" xfId="0" applyFont="1" applyFill="1" applyBorder="1" applyAlignment="1"/>
    <xf numFmtId="0" fontId="6" fillId="0" borderId="66" xfId="0" applyFont="1" applyFill="1" applyBorder="1"/>
    <xf numFmtId="9" fontId="6" fillId="0" borderId="6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6" fillId="0" borderId="52" xfId="0" applyFont="1" applyFill="1" applyBorder="1" applyAlignment="1">
      <alignment wrapText="1"/>
    </xf>
    <xf numFmtId="4" fontId="6" fillId="0" borderId="33" xfId="0" applyNumberFormat="1" applyFont="1" applyFill="1" applyBorder="1"/>
    <xf numFmtId="4" fontId="6" fillId="0" borderId="19" xfId="0" applyNumberFormat="1" applyFont="1" applyFill="1" applyBorder="1"/>
    <xf numFmtId="4" fontId="6" fillId="0" borderId="68" xfId="0" applyNumberFormat="1" applyFont="1" applyFill="1" applyBorder="1"/>
    <xf numFmtId="4" fontId="6" fillId="0" borderId="69" xfId="0" applyNumberFormat="1" applyFont="1" applyFill="1" applyBorder="1"/>
    <xf numFmtId="4" fontId="6" fillId="0" borderId="27" xfId="0" applyNumberFormat="1" applyFont="1" applyFill="1" applyBorder="1"/>
    <xf numFmtId="2" fontId="6" fillId="0" borderId="37" xfId="0" applyNumberFormat="1" applyFont="1" applyFill="1" applyBorder="1" applyAlignment="1">
      <alignment horizontal="center"/>
    </xf>
    <xf numFmtId="2" fontId="6" fillId="0" borderId="43" xfId="0" applyNumberFormat="1" applyFont="1" applyFill="1" applyBorder="1"/>
    <xf numFmtId="0" fontId="6" fillId="0" borderId="43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center" vertical="center"/>
    </xf>
    <xf numFmtId="2" fontId="5" fillId="0" borderId="70" xfId="0" applyNumberFormat="1" applyFont="1" applyFill="1" applyBorder="1" applyAlignment="1">
      <alignment horizontal="center" vertical="center"/>
    </xf>
    <xf numFmtId="2" fontId="5" fillId="0" borderId="71" xfId="0" applyNumberFormat="1" applyFont="1" applyFill="1" applyBorder="1" applyAlignment="1">
      <alignment horizontal="center" vertical="center"/>
    </xf>
    <xf numFmtId="0" fontId="6" fillId="0" borderId="66" xfId="0" applyFont="1" applyFill="1" applyBorder="1" applyAlignment="1"/>
    <xf numFmtId="9" fontId="6" fillId="0" borderId="66" xfId="0" applyNumberFormat="1" applyFont="1" applyFill="1" applyBorder="1"/>
    <xf numFmtId="0" fontId="6" fillId="0" borderId="20" xfId="0" applyFont="1" applyFill="1" applyBorder="1"/>
    <xf numFmtId="0" fontId="6" fillId="0" borderId="69" xfId="0" applyFont="1" applyFill="1" applyBorder="1"/>
    <xf numFmtId="9" fontId="6" fillId="0" borderId="69" xfId="0" applyNumberFormat="1" applyFont="1" applyFill="1" applyBorder="1"/>
    <xf numFmtId="0" fontId="6" fillId="0" borderId="13" xfId="0" applyFont="1" applyFill="1" applyBorder="1" applyAlignment="1">
      <alignment horizontal="center"/>
    </xf>
    <xf numFmtId="4" fontId="6" fillId="0" borderId="37" xfId="0" applyNumberFormat="1" applyFont="1" applyFill="1" applyBorder="1" applyAlignment="1">
      <alignment horizontal="center"/>
    </xf>
    <xf numFmtId="4" fontId="6" fillId="0" borderId="20" xfId="0" applyNumberFormat="1" applyFont="1" applyFill="1" applyBorder="1"/>
    <xf numFmtId="2" fontId="6" fillId="0" borderId="72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 vertical="center"/>
    </xf>
    <xf numFmtId="9" fontId="6" fillId="0" borderId="6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/>
    <xf numFmtId="0" fontId="6" fillId="0" borderId="4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/>
    </xf>
    <xf numFmtId="2" fontId="6" fillId="0" borderId="40" xfId="0" applyNumberFormat="1" applyFont="1" applyFill="1" applyBorder="1" applyAlignment="1">
      <alignment horizontal="center"/>
    </xf>
    <xf numFmtId="2" fontId="6" fillId="0" borderId="48" xfId="0" applyNumberFormat="1" applyFont="1" applyFill="1" applyBorder="1" applyAlignment="1">
      <alignment horizontal="center"/>
    </xf>
    <xf numFmtId="2" fontId="5" fillId="0" borderId="73" xfId="0" applyNumberFormat="1" applyFont="1" applyFill="1" applyBorder="1" applyAlignment="1">
      <alignment horizontal="center"/>
    </xf>
    <xf numFmtId="2" fontId="5" fillId="0" borderId="74" xfId="0" applyNumberFormat="1" applyFont="1" applyFill="1" applyBorder="1" applyAlignment="1">
      <alignment horizontal="center"/>
    </xf>
    <xf numFmtId="2" fontId="5" fillId="0" borderId="75" xfId="0" applyNumberFormat="1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/>
    <xf numFmtId="0" fontId="6" fillId="0" borderId="66" xfId="0" applyFont="1" applyFill="1" applyBorder="1" applyAlignment="1">
      <alignment horizontal="left"/>
    </xf>
    <xf numFmtId="9" fontId="6" fillId="0" borderId="76" xfId="0" applyNumberFormat="1" applyFont="1" applyFill="1" applyBorder="1"/>
    <xf numFmtId="9" fontId="6" fillId="0" borderId="77" xfId="0" applyNumberFormat="1" applyFont="1" applyFill="1" applyBorder="1"/>
    <xf numFmtId="0" fontId="6" fillId="0" borderId="39" xfId="0" applyFont="1" applyFill="1" applyBorder="1" applyAlignment="1">
      <alignment horizontal="center"/>
    </xf>
    <xf numFmtId="2" fontId="6" fillId="0" borderId="49" xfId="0" applyNumberFormat="1" applyFont="1" applyFill="1" applyBorder="1" applyAlignment="1">
      <alignment horizontal="center"/>
    </xf>
    <xf numFmtId="0" fontId="5" fillId="0" borderId="52" xfId="0" applyFont="1" applyFill="1" applyBorder="1" applyAlignment="1">
      <alignment vertical="center" wrapText="1"/>
    </xf>
    <xf numFmtId="2" fontId="5" fillId="0" borderId="70" xfId="0" applyNumberFormat="1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2" fontId="5" fillId="0" borderId="78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right"/>
    </xf>
    <xf numFmtId="2" fontId="6" fillId="0" borderId="42" xfId="0" applyNumberFormat="1" applyFont="1" applyFill="1" applyBorder="1" applyAlignment="1">
      <alignment horizontal="right"/>
    </xf>
    <xf numFmtId="2" fontId="5" fillId="0" borderId="75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right"/>
    </xf>
    <xf numFmtId="2" fontId="5" fillId="0" borderId="74" xfId="0" applyNumberFormat="1" applyFont="1" applyFill="1" applyBorder="1" applyAlignment="1">
      <alignment horizontal="center" vertical="center"/>
    </xf>
    <xf numFmtId="2" fontId="6" fillId="0" borderId="47" xfId="0" applyNumberFormat="1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25" xfId="0" applyFont="1" applyFill="1" applyBorder="1"/>
    <xf numFmtId="169" fontId="6" fillId="0" borderId="7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/>
    <xf numFmtId="0" fontId="6" fillId="0" borderId="80" xfId="0" applyFont="1" applyFill="1" applyBorder="1" applyAlignment="1">
      <alignment vertical="center"/>
    </xf>
    <xf numFmtId="0" fontId="6" fillId="0" borderId="32" xfId="0" applyFont="1" applyFill="1" applyBorder="1"/>
    <xf numFmtId="0" fontId="6" fillId="0" borderId="81" xfId="0" applyFont="1" applyFill="1" applyBorder="1" applyAlignment="1">
      <alignment horizontal="center"/>
    </xf>
    <xf numFmtId="0" fontId="6" fillId="0" borderId="40" xfId="0" applyFont="1" applyFill="1" applyBorder="1"/>
    <xf numFmtId="0" fontId="6" fillId="0" borderId="41" xfId="0" applyFont="1" applyFill="1" applyBorder="1"/>
    <xf numFmtId="0" fontId="6" fillId="0" borderId="42" xfId="0" applyFont="1" applyFill="1" applyBorder="1" applyAlignment="1">
      <alignment horizontal="center"/>
    </xf>
    <xf numFmtId="0" fontId="6" fillId="0" borderId="27" xfId="0" applyFont="1" applyFill="1" applyBorder="1" applyAlignment="1"/>
    <xf numFmtId="0" fontId="6" fillId="0" borderId="43" xfId="0" applyFont="1" applyFill="1" applyBorder="1"/>
    <xf numFmtId="0" fontId="6" fillId="0" borderId="11" xfId="0" applyFont="1" applyFill="1" applyBorder="1"/>
    <xf numFmtId="0" fontId="6" fillId="0" borderId="71" xfId="0" applyFont="1" applyFill="1" applyBorder="1"/>
    <xf numFmtId="0" fontId="6" fillId="0" borderId="82" xfId="0" applyFont="1" applyFill="1" applyBorder="1"/>
    <xf numFmtId="0" fontId="6" fillId="0" borderId="70" xfId="0" applyFont="1" applyFill="1" applyBorder="1"/>
    <xf numFmtId="0" fontId="6" fillId="0" borderId="26" xfId="0" applyFont="1" applyFill="1" applyBorder="1"/>
    <xf numFmtId="0" fontId="6" fillId="0" borderId="21" xfId="0" applyFont="1" applyFill="1" applyBorder="1"/>
    <xf numFmtId="0" fontId="6" fillId="0" borderId="38" xfId="0" applyFont="1" applyFill="1" applyBorder="1"/>
    <xf numFmtId="0" fontId="6" fillId="0" borderId="24" xfId="0" applyFont="1" applyFill="1" applyBorder="1"/>
    <xf numFmtId="0" fontId="6" fillId="0" borderId="42" xfId="0" applyFont="1" applyFill="1" applyBorder="1"/>
    <xf numFmtId="2" fontId="6" fillId="0" borderId="83" xfId="0" applyNumberFormat="1" applyFont="1" applyFill="1" applyBorder="1" applyAlignment="1">
      <alignment horizontal="center" vertical="center"/>
    </xf>
    <xf numFmtId="2" fontId="6" fillId="0" borderId="84" xfId="0" applyNumberFormat="1" applyFont="1" applyFill="1" applyBorder="1" applyAlignment="1">
      <alignment horizontal="center" vertical="center"/>
    </xf>
    <xf numFmtId="2" fontId="6" fillId="0" borderId="85" xfId="0" applyNumberFormat="1" applyFont="1" applyFill="1" applyBorder="1" applyAlignment="1">
      <alignment horizontal="center" vertical="center"/>
    </xf>
    <xf numFmtId="2" fontId="5" fillId="0" borderId="86" xfId="0" applyNumberFormat="1" applyFont="1" applyFill="1" applyBorder="1" applyAlignment="1">
      <alignment horizontal="center"/>
    </xf>
    <xf numFmtId="2" fontId="5" fillId="0" borderId="82" xfId="0" applyNumberFormat="1" applyFont="1" applyFill="1" applyBorder="1" applyAlignment="1">
      <alignment horizontal="center"/>
    </xf>
    <xf numFmtId="2" fontId="5" fillId="0" borderId="87" xfId="0" applyNumberFormat="1" applyFont="1" applyFill="1" applyBorder="1" applyAlignment="1">
      <alignment horizontal="center"/>
    </xf>
    <xf numFmtId="2" fontId="5" fillId="0" borderId="88" xfId="0" applyNumberFormat="1" applyFont="1" applyFill="1" applyBorder="1" applyAlignment="1">
      <alignment horizontal="center"/>
    </xf>
    <xf numFmtId="0" fontId="6" fillId="0" borderId="37" xfId="0" quotePrefix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vertical="center" wrapText="1"/>
    </xf>
    <xf numFmtId="169" fontId="6" fillId="0" borderId="37" xfId="0" applyNumberFormat="1" applyFont="1" applyFill="1" applyBorder="1"/>
    <xf numFmtId="169" fontId="6" fillId="0" borderId="37" xfId="0" applyNumberFormat="1" applyFont="1" applyFill="1" applyBorder="1" applyAlignment="1">
      <alignment wrapText="1"/>
    </xf>
    <xf numFmtId="169" fontId="6" fillId="0" borderId="37" xfId="0" applyNumberFormat="1" applyFont="1" applyFill="1" applyBorder="1" applyAlignment="1">
      <alignment horizontal="center" wrapText="1"/>
    </xf>
    <xf numFmtId="169" fontId="6" fillId="0" borderId="37" xfId="0" applyNumberFormat="1" applyFont="1" applyFill="1" applyBorder="1" applyAlignment="1">
      <alignment horizontal="center"/>
    </xf>
    <xf numFmtId="169" fontId="5" fillId="0" borderId="37" xfId="0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wrapText="1"/>
    </xf>
    <xf numFmtId="169" fontId="6" fillId="0" borderId="37" xfId="0" applyNumberFormat="1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6" fillId="0" borderId="66" xfId="0" applyFont="1" applyBorder="1" applyAlignment="1"/>
    <xf numFmtId="0" fontId="6" fillId="0" borderId="89" xfId="0" applyFont="1" applyFill="1" applyBorder="1"/>
    <xf numFmtId="0" fontId="6" fillId="0" borderId="68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2" fontId="6" fillId="0" borderId="21" xfId="0" applyNumberFormat="1" applyFont="1" applyFill="1" applyBorder="1"/>
    <xf numFmtId="2" fontId="6" fillId="0" borderId="23" xfId="0" applyNumberFormat="1" applyFont="1" applyFill="1" applyBorder="1"/>
    <xf numFmtId="2" fontId="6" fillId="0" borderId="26" xfId="0" applyNumberFormat="1" applyFont="1" applyFill="1" applyBorder="1"/>
    <xf numFmtId="2" fontId="6" fillId="0" borderId="54" xfId="0" applyNumberFormat="1" applyFont="1" applyFill="1" applyBorder="1"/>
    <xf numFmtId="0" fontId="6" fillId="0" borderId="36" xfId="0" applyFont="1" applyFill="1" applyBorder="1"/>
    <xf numFmtId="0" fontId="6" fillId="0" borderId="47" xfId="0" applyFont="1" applyFill="1" applyBorder="1"/>
    <xf numFmtId="170" fontId="6" fillId="0" borderId="22" xfId="0" applyNumberFormat="1" applyFont="1" applyFill="1" applyBorder="1"/>
    <xf numFmtId="0" fontId="6" fillId="0" borderId="22" xfId="0" applyFont="1" applyFill="1" applyBorder="1"/>
    <xf numFmtId="0" fontId="6" fillId="0" borderId="49" xfId="0" applyFont="1" applyFill="1" applyBorder="1"/>
    <xf numFmtId="0" fontId="6" fillId="0" borderId="45" xfId="0" applyFont="1" applyFill="1" applyBorder="1"/>
    <xf numFmtId="0" fontId="6" fillId="0" borderId="79" xfId="0" applyFont="1" applyFill="1" applyBorder="1"/>
    <xf numFmtId="2" fontId="6" fillId="0" borderId="45" xfId="0" applyNumberFormat="1" applyFont="1" applyFill="1" applyBorder="1"/>
    <xf numFmtId="0" fontId="6" fillId="0" borderId="76" xfId="0" applyFont="1" applyFill="1" applyBorder="1"/>
    <xf numFmtId="0" fontId="6" fillId="0" borderId="77" xfId="0" applyFont="1" applyFill="1" applyBorder="1"/>
    <xf numFmtId="0" fontId="6" fillId="0" borderId="93" xfId="0" applyFont="1" applyFill="1" applyBorder="1"/>
    <xf numFmtId="0" fontId="6" fillId="0" borderId="50" xfId="0" applyFont="1" applyFill="1" applyBorder="1"/>
    <xf numFmtId="2" fontId="6" fillId="0" borderId="50" xfId="0" applyNumberFormat="1" applyFont="1" applyFill="1" applyBorder="1"/>
    <xf numFmtId="2" fontId="6" fillId="0" borderId="0" xfId="0" applyNumberFormat="1" applyFont="1" applyFill="1"/>
    <xf numFmtId="170" fontId="6" fillId="0" borderId="37" xfId="0" applyNumberFormat="1" applyFont="1" applyFill="1" applyBorder="1" applyAlignment="1">
      <alignment horizontal="center"/>
    </xf>
    <xf numFmtId="170" fontId="6" fillId="0" borderId="38" xfId="0" applyNumberFormat="1" applyFont="1" applyFill="1" applyBorder="1" applyAlignment="1">
      <alignment horizontal="center"/>
    </xf>
    <xf numFmtId="170" fontId="6" fillId="0" borderId="43" xfId="0" applyNumberFormat="1" applyFont="1" applyFill="1" applyBorder="1" applyAlignment="1">
      <alignment horizontal="center"/>
    </xf>
    <xf numFmtId="170" fontId="6" fillId="0" borderId="22" xfId="0" applyNumberFormat="1" applyFont="1" applyFill="1" applyBorder="1" applyAlignment="1">
      <alignment horizontal="center"/>
    </xf>
    <xf numFmtId="170" fontId="6" fillId="0" borderId="49" xfId="0" applyNumberFormat="1" applyFont="1" applyFill="1" applyBorder="1" applyAlignment="1">
      <alignment horizontal="center"/>
    </xf>
    <xf numFmtId="178" fontId="6" fillId="0" borderId="0" xfId="283" applyNumberFormat="1" applyFont="1" applyFill="1"/>
    <xf numFmtId="0" fontId="6" fillId="0" borderId="53" xfId="0" applyFont="1" applyFill="1" applyBorder="1"/>
    <xf numFmtId="2" fontId="6" fillId="0" borderId="49" xfId="0" applyNumberFormat="1" applyFont="1" applyFill="1" applyBorder="1" applyAlignment="1">
      <alignment horizontal="right"/>
    </xf>
    <xf numFmtId="2" fontId="6" fillId="0" borderId="24" xfId="0" applyNumberFormat="1" applyFont="1" applyFill="1" applyBorder="1"/>
    <xf numFmtId="2" fontId="6" fillId="0" borderId="42" xfId="0" applyNumberFormat="1" applyFont="1" applyFill="1" applyBorder="1"/>
    <xf numFmtId="0" fontId="6" fillId="0" borderId="94" xfId="0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>
      <alignment horizontal="center"/>
    </xf>
    <xf numFmtId="2" fontId="6" fillId="0" borderId="23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2" fontId="6" fillId="0" borderId="90" xfId="0" applyNumberFormat="1" applyFont="1" applyFill="1" applyBorder="1" applyAlignment="1">
      <alignment horizontal="center"/>
    </xf>
    <xf numFmtId="2" fontId="6" fillId="0" borderId="91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2" fontId="6" fillId="0" borderId="33" xfId="0" applyNumberFormat="1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>
      <alignment horizontal="right"/>
    </xf>
    <xf numFmtId="0" fontId="6" fillId="0" borderId="2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73" xfId="0" applyNumberFormat="1" applyFont="1" applyFill="1" applyBorder="1" applyAlignment="1">
      <alignment horizontal="center"/>
    </xf>
    <xf numFmtId="2" fontId="6" fillId="0" borderId="74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2" fontId="6" fillId="0" borderId="62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center"/>
    </xf>
    <xf numFmtId="9" fontId="6" fillId="0" borderId="95" xfId="0" applyNumberFormat="1" applyFont="1" applyFill="1" applyBorder="1"/>
    <xf numFmtId="0" fontId="6" fillId="0" borderId="67" xfId="0" applyFont="1" applyFill="1" applyBorder="1"/>
    <xf numFmtId="9" fontId="6" fillId="0" borderId="90" xfId="0" applyNumberFormat="1" applyFont="1" applyFill="1" applyBorder="1"/>
    <xf numFmtId="0" fontId="6" fillId="0" borderId="96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6" fillId="0" borderId="42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2" fontId="5" fillId="0" borderId="36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center"/>
    </xf>
    <xf numFmtId="0" fontId="37" fillId="0" borderId="50" xfId="0" applyFont="1" applyFill="1" applyBorder="1" applyAlignment="1">
      <alignment horizontal="center"/>
    </xf>
    <xf numFmtId="0" fontId="6" fillId="0" borderId="51" xfId="0" applyFont="1" applyFill="1" applyBorder="1"/>
    <xf numFmtId="0" fontId="6" fillId="0" borderId="21" xfId="0" applyFont="1" applyFill="1" applyBorder="1" applyAlignment="1"/>
    <xf numFmtId="169" fontId="6" fillId="0" borderId="56" xfId="0" applyNumberFormat="1" applyFont="1" applyFill="1" applyBorder="1"/>
    <xf numFmtId="169" fontId="6" fillId="0" borderId="57" xfId="0" applyNumberFormat="1" applyFont="1" applyFill="1" applyBorder="1"/>
    <xf numFmtId="0" fontId="6" fillId="0" borderId="37" xfId="0" applyFont="1" applyFill="1" applyBorder="1" applyAlignment="1"/>
    <xf numFmtId="169" fontId="6" fillId="0" borderId="58" xfId="0" applyNumberFormat="1" applyFont="1" applyFill="1" applyBorder="1"/>
    <xf numFmtId="169" fontId="6" fillId="0" borderId="59" xfId="0" applyNumberFormat="1" applyFont="1" applyFill="1" applyBorder="1"/>
    <xf numFmtId="0" fontId="6" fillId="0" borderId="24" xfId="0" applyFont="1" applyFill="1" applyBorder="1" applyAlignment="1"/>
    <xf numFmtId="169" fontId="6" fillId="0" borderId="60" xfId="0" applyNumberFormat="1" applyFont="1" applyFill="1" applyBorder="1"/>
    <xf numFmtId="169" fontId="6" fillId="0" borderId="61" xfId="0" applyNumberFormat="1" applyFont="1" applyFill="1" applyBorder="1"/>
    <xf numFmtId="0" fontId="6" fillId="0" borderId="62" xfId="0" applyFont="1" applyFill="1" applyBorder="1" applyAlignment="1">
      <alignment horizontal="center"/>
    </xf>
    <xf numFmtId="2" fontId="6" fillId="0" borderId="54" xfId="113" applyNumberFormat="1" applyFont="1" applyFill="1" applyBorder="1" applyAlignment="1" applyProtection="1"/>
    <xf numFmtId="2" fontId="6" fillId="0" borderId="23" xfId="113" applyNumberFormat="1" applyFont="1" applyFill="1" applyBorder="1" applyAlignment="1" applyProtection="1"/>
    <xf numFmtId="2" fontId="6" fillId="0" borderId="37" xfId="113" applyNumberFormat="1" applyFont="1" applyFill="1" applyBorder="1" applyAlignment="1" applyProtection="1"/>
    <xf numFmtId="2" fontId="6" fillId="0" borderId="22" xfId="113" applyNumberFormat="1" applyFont="1" applyFill="1" applyBorder="1" applyAlignment="1" applyProtection="1"/>
    <xf numFmtId="2" fontId="6" fillId="0" borderId="38" xfId="113" applyNumberFormat="1" applyFont="1" applyFill="1" applyBorder="1" applyAlignment="1" applyProtection="1"/>
    <xf numFmtId="0" fontId="6" fillId="0" borderId="63" xfId="0" applyFont="1" applyFill="1" applyBorder="1" applyAlignment="1">
      <alignment horizontal="center"/>
    </xf>
    <xf numFmtId="2" fontId="6" fillId="0" borderId="42" xfId="113" applyNumberFormat="1" applyFont="1" applyFill="1" applyBorder="1" applyAlignment="1" applyProtection="1"/>
    <xf numFmtId="2" fontId="6" fillId="0" borderId="13" xfId="113" applyNumberFormat="1" applyFont="1" applyFill="1" applyBorder="1" applyAlignment="1" applyProtection="1"/>
    <xf numFmtId="17" fontId="6" fillId="0" borderId="0" xfId="0" applyNumberFormat="1" applyFont="1" applyFill="1"/>
    <xf numFmtId="0" fontId="6" fillId="0" borderId="97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68" xfId="0" applyFont="1" applyFill="1" applyBorder="1" applyAlignment="1">
      <alignment vertical="center"/>
    </xf>
    <xf numFmtId="0" fontId="6" fillId="0" borderId="77" xfId="0" applyFont="1" applyFill="1" applyBorder="1" applyAlignment="1">
      <alignment vertical="center"/>
    </xf>
    <xf numFmtId="2" fontId="6" fillId="0" borderId="37" xfId="0" applyNumberFormat="1" applyFont="1" applyFill="1" applyBorder="1" applyAlignment="1"/>
    <xf numFmtId="2" fontId="6" fillId="0" borderId="41" xfId="0" applyNumberFormat="1" applyFont="1" applyFill="1" applyBorder="1" applyAlignment="1">
      <alignment horizontal="center"/>
    </xf>
    <xf numFmtId="169" fontId="6" fillId="0" borderId="26" xfId="0" applyNumberFormat="1" applyFont="1" applyFill="1" applyBorder="1"/>
    <xf numFmtId="169" fontId="6" fillId="0" borderId="21" xfId="0" applyNumberFormat="1" applyFont="1" applyFill="1" applyBorder="1"/>
    <xf numFmtId="169" fontId="6" fillId="0" borderId="32" xfId="0" applyNumberFormat="1" applyFont="1" applyFill="1" applyBorder="1"/>
    <xf numFmtId="169" fontId="6" fillId="0" borderId="54" xfId="0" applyNumberFormat="1" applyFont="1" applyFill="1" applyBorder="1"/>
    <xf numFmtId="169" fontId="6" fillId="0" borderId="84" xfId="0" applyNumberFormat="1" applyFont="1" applyFill="1" applyBorder="1"/>
    <xf numFmtId="169" fontId="6" fillId="0" borderId="22" xfId="0" applyNumberFormat="1" applyFont="1" applyFill="1" applyBorder="1"/>
    <xf numFmtId="169" fontId="6" fillId="0" borderId="38" xfId="0" applyNumberFormat="1" applyFont="1" applyFill="1" applyBorder="1"/>
    <xf numFmtId="169" fontId="6" fillId="0" borderId="49" xfId="0" applyNumberFormat="1" applyFont="1" applyFill="1" applyBorder="1"/>
    <xf numFmtId="169" fontId="6" fillId="0" borderId="103" xfId="0" applyNumberFormat="1" applyFont="1" applyFill="1" applyBorder="1"/>
    <xf numFmtId="169" fontId="6" fillId="0" borderId="43" xfId="113" applyNumberFormat="1" applyFont="1" applyFill="1" applyBorder="1" applyAlignment="1" applyProtection="1"/>
    <xf numFmtId="169" fontId="6" fillId="0" borderId="37" xfId="113" applyNumberFormat="1" applyFont="1" applyFill="1" applyBorder="1" applyAlignment="1" applyProtection="1"/>
    <xf numFmtId="169" fontId="6" fillId="0" borderId="22" xfId="113" applyNumberFormat="1" applyFont="1" applyFill="1" applyBorder="1" applyAlignment="1" applyProtection="1"/>
    <xf numFmtId="169" fontId="6" fillId="0" borderId="40" xfId="113" applyNumberFormat="1" applyFont="1" applyFill="1" applyBorder="1" applyAlignment="1" applyProtection="1"/>
    <xf numFmtId="169" fontId="6" fillId="0" borderId="38" xfId="113" applyNumberFormat="1" applyFont="1" applyFill="1" applyBorder="1" applyAlignment="1" applyProtection="1"/>
    <xf numFmtId="169" fontId="6" fillId="0" borderId="103" xfId="113" applyNumberFormat="1" applyFont="1" applyFill="1" applyBorder="1" applyAlignment="1" applyProtection="1"/>
    <xf numFmtId="169" fontId="6" fillId="0" borderId="11" xfId="113" applyNumberFormat="1" applyFont="1" applyFill="1" applyBorder="1" applyAlignment="1" applyProtection="1"/>
    <xf numFmtId="169" fontId="6" fillId="0" borderId="24" xfId="113" applyNumberFormat="1" applyFont="1" applyFill="1" applyBorder="1" applyAlignment="1" applyProtection="1"/>
    <xf numFmtId="169" fontId="6" fillId="0" borderId="41" xfId="113" applyNumberFormat="1" applyFont="1" applyFill="1" applyBorder="1" applyAlignment="1" applyProtection="1"/>
    <xf numFmtId="169" fontId="6" fillId="0" borderId="42" xfId="113" applyNumberFormat="1" applyFont="1" applyFill="1" applyBorder="1" applyAlignment="1" applyProtection="1"/>
    <xf numFmtId="169" fontId="6" fillId="0" borderId="105" xfId="113" applyNumberFormat="1" applyFont="1" applyFill="1" applyBorder="1" applyAlignment="1" applyProtection="1"/>
    <xf numFmtId="169" fontId="6" fillId="0" borderId="0" xfId="113" applyNumberFormat="1" applyFont="1" applyFill="1" applyAlignment="1" applyProtection="1"/>
    <xf numFmtId="0" fontId="5" fillId="0" borderId="15" xfId="0" applyFont="1" applyFill="1" applyBorder="1"/>
    <xf numFmtId="2" fontId="6" fillId="0" borderId="40" xfId="0" applyNumberFormat="1" applyFont="1" applyFill="1" applyBorder="1" applyAlignment="1">
      <alignment horizontal="right"/>
    </xf>
    <xf numFmtId="0" fontId="6" fillId="0" borderId="103" xfId="0" applyFont="1" applyFill="1" applyBorder="1"/>
    <xf numFmtId="0" fontId="6" fillId="0" borderId="13" xfId="0" applyFont="1" applyFill="1" applyBorder="1"/>
    <xf numFmtId="0" fontId="6" fillId="0" borderId="105" xfId="0" applyFont="1" applyFill="1" applyBorder="1"/>
    <xf numFmtId="0" fontId="6" fillId="0" borderId="23" xfId="0" applyFont="1" applyFill="1" applyBorder="1"/>
    <xf numFmtId="9" fontId="6" fillId="0" borderId="95" xfId="0" applyNumberFormat="1" applyFont="1" applyFill="1" applyBorder="1" applyAlignment="1">
      <alignment horizontal="center"/>
    </xf>
    <xf numFmtId="9" fontId="6" fillId="0" borderId="90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" fontId="6" fillId="0" borderId="54" xfId="0" applyNumberFormat="1" applyFont="1" applyFill="1" applyBorder="1" applyAlignment="1">
      <alignment horizontal="center"/>
    </xf>
    <xf numFmtId="170" fontId="6" fillId="0" borderId="24" xfId="0" applyNumberFormat="1" applyFont="1" applyFill="1" applyBorder="1" applyAlignment="1">
      <alignment horizontal="center"/>
    </xf>
    <xf numFmtId="170" fontId="6" fillId="0" borderId="42" xfId="0" applyNumberFormat="1" applyFont="1" applyFill="1" applyBorder="1" applyAlignment="1">
      <alignment horizontal="center"/>
    </xf>
    <xf numFmtId="170" fontId="6" fillId="0" borderId="13" xfId="0" applyNumberFormat="1" applyFont="1" applyFill="1" applyBorder="1" applyAlignment="1">
      <alignment horizontal="center"/>
    </xf>
    <xf numFmtId="169" fontId="6" fillId="0" borderId="21" xfId="0" applyNumberFormat="1" applyFont="1" applyFill="1" applyBorder="1" applyAlignment="1">
      <alignment horizontal="center"/>
    </xf>
    <xf numFmtId="17" fontId="6" fillId="0" borderId="15" xfId="0" applyNumberFormat="1" applyFont="1" applyFill="1" applyBorder="1" applyAlignment="1">
      <alignment horizontal="center"/>
    </xf>
    <xf numFmtId="0" fontId="6" fillId="0" borderId="95" xfId="0" applyFont="1" applyFill="1" applyBorder="1"/>
    <xf numFmtId="0" fontId="6" fillId="0" borderId="95" xfId="0" applyFont="1" applyFill="1" applyBorder="1" applyAlignment="1">
      <alignment horizontal="center"/>
    </xf>
    <xf numFmtId="17" fontId="6" fillId="0" borderId="74" xfId="0" applyNumberFormat="1" applyFont="1" applyFill="1" applyBorder="1" applyAlignment="1">
      <alignment horizontal="center"/>
    </xf>
    <xf numFmtId="17" fontId="6" fillId="0" borderId="90" xfId="0" applyNumberFormat="1" applyFont="1" applyFill="1" applyBorder="1" applyAlignment="1">
      <alignment horizontal="center"/>
    </xf>
    <xf numFmtId="0" fontId="6" fillId="0" borderId="9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9" fontId="6" fillId="0" borderId="109" xfId="283" applyFont="1" applyFill="1" applyBorder="1" applyAlignment="1">
      <alignment horizontal="center"/>
    </xf>
    <xf numFmtId="9" fontId="6" fillId="0" borderId="51" xfId="283" applyFont="1" applyFill="1" applyBorder="1" applyAlignment="1">
      <alignment horizontal="center"/>
    </xf>
    <xf numFmtId="0" fontId="6" fillId="0" borderId="27" xfId="0" applyFont="1" applyFill="1" applyBorder="1"/>
    <xf numFmtId="2" fontId="6" fillId="0" borderId="33" xfId="0" applyNumberFormat="1" applyFont="1" applyFill="1" applyBorder="1"/>
    <xf numFmtId="2" fontId="6" fillId="0" borderId="33" xfId="0" applyNumberFormat="1" applyFont="1" applyFill="1" applyBorder="1" applyAlignment="1"/>
    <xf numFmtId="0" fontId="6" fillId="0" borderId="110" xfId="0" applyFont="1" applyFill="1" applyBorder="1"/>
    <xf numFmtId="2" fontId="6" fillId="0" borderId="20" xfId="0" applyNumberFormat="1" applyFont="1" applyFill="1" applyBorder="1" applyAlignment="1"/>
    <xf numFmtId="2" fontId="6" fillId="0" borderId="65" xfId="0" applyNumberFormat="1" applyFont="1" applyFill="1" applyBorder="1" applyAlignment="1">
      <alignment horizontal="right"/>
    </xf>
    <xf numFmtId="169" fontId="6" fillId="0" borderId="72" xfId="113" applyNumberFormat="1" applyFont="1" applyFill="1" applyBorder="1" applyAlignment="1" applyProtection="1"/>
    <xf numFmtId="169" fontId="6" fillId="0" borderId="65" xfId="0" applyNumberFormat="1" applyFont="1" applyFill="1" applyBorder="1" applyAlignment="1">
      <alignment horizontal="right"/>
    </xf>
    <xf numFmtId="169" fontId="6" fillId="0" borderId="72" xfId="0" applyNumberFormat="1" applyFont="1" applyFill="1" applyBorder="1" applyAlignment="1">
      <alignment horizontal="right"/>
    </xf>
    <xf numFmtId="169" fontId="6" fillId="0" borderId="28" xfId="0" applyNumberFormat="1" applyFont="1" applyFill="1" applyBorder="1" applyAlignment="1">
      <alignment horizontal="right"/>
    </xf>
    <xf numFmtId="2" fontId="6" fillId="0" borderId="24" xfId="113" applyNumberFormat="1" applyFont="1" applyFill="1" applyBorder="1" applyAlignment="1" applyProtection="1"/>
    <xf numFmtId="2" fontId="6" fillId="0" borderId="23" xfId="0" applyNumberFormat="1" applyFont="1" applyFill="1" applyBorder="1" applyAlignment="1"/>
    <xf numFmtId="2" fontId="6" fillId="0" borderId="28" xfId="0" applyNumberFormat="1" applyFont="1" applyFill="1" applyBorder="1" applyAlignment="1">
      <alignment horizontal="right"/>
    </xf>
    <xf numFmtId="169" fontId="5" fillId="0" borderId="38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169" fontId="5" fillId="0" borderId="43" xfId="0" applyNumberFormat="1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169" fontId="6" fillId="0" borderId="0" xfId="0" applyNumberFormat="1" applyFont="1"/>
    <xf numFmtId="0" fontId="5" fillId="0" borderId="64" xfId="0" applyFont="1" applyFill="1" applyBorder="1" applyAlignment="1">
      <alignment vertical="center"/>
    </xf>
    <xf numFmtId="0" fontId="5" fillId="0" borderId="64" xfId="0" applyFont="1" applyFill="1" applyBorder="1" applyAlignment="1">
      <alignment horizontal="centerContinuous"/>
    </xf>
    <xf numFmtId="0" fontId="5" fillId="0" borderId="64" xfId="0" applyFont="1" applyFill="1" applyBorder="1" applyAlignment="1">
      <alignment horizontal="centerContinuous" wrapText="1"/>
    </xf>
    <xf numFmtId="2" fontId="6" fillId="0" borderId="64" xfId="0" applyNumberFormat="1" applyFont="1" applyFill="1" applyBorder="1" applyAlignment="1">
      <alignment horizontal="centerContinuous"/>
    </xf>
    <xf numFmtId="0" fontId="6" fillId="0" borderId="64" xfId="0" applyNumberFormat="1" applyFont="1" applyFill="1" applyBorder="1" applyAlignment="1">
      <alignment horizontal="center"/>
    </xf>
    <xf numFmtId="0" fontId="38" fillId="0" borderId="64" xfId="0" applyNumberFormat="1" applyFont="1" applyFill="1" applyBorder="1" applyAlignment="1">
      <alignment horizontal="center"/>
    </xf>
    <xf numFmtId="1" fontId="6" fillId="0" borderId="64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5" fillId="0" borderId="21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/>
    </xf>
    <xf numFmtId="2" fontId="6" fillId="0" borderId="72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169" fontId="6" fillId="0" borderId="72" xfId="0" applyNumberFormat="1" applyFont="1" applyFill="1" applyBorder="1" applyAlignment="1">
      <alignment horizontal="center" vertical="center"/>
    </xf>
    <xf numFmtId="169" fontId="6" fillId="0" borderId="28" xfId="0" applyNumberFormat="1" applyFont="1" applyFill="1" applyBorder="1" applyAlignment="1">
      <alignment horizontal="center" vertical="center"/>
    </xf>
    <xf numFmtId="169" fontId="6" fillId="0" borderId="111" xfId="0" applyNumberFormat="1" applyFont="1" applyFill="1" applyBorder="1" applyAlignment="1">
      <alignment horizontal="center" vertical="center"/>
    </xf>
    <xf numFmtId="169" fontId="6" fillId="0" borderId="112" xfId="0" applyNumberFormat="1" applyFont="1" applyFill="1" applyBorder="1" applyAlignment="1">
      <alignment horizontal="center" vertical="center"/>
    </xf>
    <xf numFmtId="0" fontId="6" fillId="0" borderId="112" xfId="0" applyFont="1" applyBorder="1" applyAlignment="1">
      <alignment horizontal="center"/>
    </xf>
    <xf numFmtId="0" fontId="6" fillId="0" borderId="1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69" fontId="6" fillId="0" borderId="36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36" fillId="0" borderId="93" xfId="0" applyFont="1" applyFill="1" applyBorder="1"/>
    <xf numFmtId="0" fontId="6" fillId="0" borderId="79" xfId="0" applyFont="1" applyFill="1" applyBorder="1" applyAlignment="1">
      <alignment horizontal="left" wrapText="1"/>
    </xf>
    <xf numFmtId="0" fontId="6" fillId="0" borderId="79" xfId="0" applyFont="1" applyFill="1" applyBorder="1" applyAlignment="1">
      <alignment wrapText="1"/>
    </xf>
    <xf numFmtId="2" fontId="6" fillId="0" borderId="79" xfId="0" applyNumberFormat="1" applyFont="1" applyFill="1" applyBorder="1"/>
    <xf numFmtId="2" fontId="6" fillId="0" borderId="79" xfId="0" applyNumberFormat="1" applyFont="1" applyFill="1" applyBorder="1" applyAlignment="1">
      <alignment horizontal="right"/>
    </xf>
    <xf numFmtId="0" fontId="6" fillId="0" borderId="79" xfId="0" applyFont="1" applyFill="1" applyBorder="1" applyAlignment="1">
      <alignment horizontal="right"/>
    </xf>
    <xf numFmtId="169" fontId="6" fillId="0" borderId="79" xfId="0" applyNumberFormat="1" applyFont="1" applyFill="1" applyBorder="1"/>
    <xf numFmtId="0" fontId="7" fillId="0" borderId="27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 wrapText="1"/>
    </xf>
    <xf numFmtId="169" fontId="7" fillId="0" borderId="33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vertical="center"/>
    </xf>
    <xf numFmtId="169" fontId="7" fillId="0" borderId="33" xfId="0" applyNumberFormat="1" applyFont="1" applyFill="1" applyBorder="1" applyAlignment="1">
      <alignment vertical="center" wrapText="1"/>
    </xf>
    <xf numFmtId="169" fontId="7" fillId="0" borderId="33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vertical="center"/>
    </xf>
    <xf numFmtId="169" fontId="7" fillId="0" borderId="37" xfId="0" applyNumberFormat="1" applyFont="1" applyFill="1" applyBorder="1" applyAlignment="1">
      <alignment horizontal="center" vertical="center"/>
    </xf>
    <xf numFmtId="169" fontId="7" fillId="0" borderId="37" xfId="0" applyNumberFormat="1" applyFont="1" applyFill="1" applyBorder="1" applyAlignment="1">
      <alignment horizontal="right" vertical="center"/>
    </xf>
    <xf numFmtId="169" fontId="7" fillId="0" borderId="37" xfId="0" applyNumberFormat="1" applyFont="1" applyFill="1" applyBorder="1" applyAlignment="1">
      <alignment vertical="center"/>
    </xf>
    <xf numFmtId="169" fontId="7" fillId="0" borderId="37" xfId="0" applyNumberFormat="1" applyFont="1" applyFill="1" applyBorder="1" applyAlignment="1">
      <alignment vertical="center" wrapText="1"/>
    </xf>
    <xf numFmtId="169" fontId="7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 wrapText="1"/>
    </xf>
    <xf numFmtId="0" fontId="7" fillId="0" borderId="37" xfId="0" quotePrefix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2" fontId="7" fillId="0" borderId="37" xfId="0" applyNumberFormat="1" applyFont="1" applyFill="1" applyBorder="1" applyAlignment="1">
      <alignment horizontal="center" vertical="center" wrapText="1"/>
    </xf>
    <xf numFmtId="169" fontId="7" fillId="0" borderId="37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left" vertical="center" wrapText="1"/>
    </xf>
    <xf numFmtId="169" fontId="7" fillId="0" borderId="24" xfId="0" applyNumberFormat="1" applyFont="1" applyFill="1" applyBorder="1" applyAlignment="1">
      <alignment vertical="center"/>
    </xf>
    <xf numFmtId="169" fontId="7" fillId="0" borderId="24" xfId="0" applyNumberFormat="1" applyFont="1" applyFill="1" applyBorder="1" applyAlignment="1">
      <alignment vertical="center" wrapText="1"/>
    </xf>
    <xf numFmtId="169" fontId="7" fillId="0" borderId="24" xfId="0" applyNumberFormat="1" applyFont="1" applyFill="1" applyBorder="1" applyAlignment="1">
      <alignment horizontal="center" vertical="center" wrapText="1"/>
    </xf>
    <xf numFmtId="169" fontId="7" fillId="0" borderId="24" xfId="0" applyNumberFormat="1" applyFont="1" applyFill="1" applyBorder="1" applyAlignment="1">
      <alignment horizontal="center" vertical="center"/>
    </xf>
    <xf numFmtId="169" fontId="7" fillId="0" borderId="21" xfId="0" applyNumberFormat="1" applyFont="1" applyFill="1" applyBorder="1" applyAlignment="1">
      <alignment horizontal="center" vertical="center"/>
    </xf>
    <xf numFmtId="0" fontId="7" fillId="0" borderId="110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9" fillId="0" borderId="0" xfId="0" applyFont="1"/>
    <xf numFmtId="0" fontId="6" fillId="0" borderId="3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69" fontId="6" fillId="0" borderId="43" xfId="0" applyNumberFormat="1" applyFont="1" applyFill="1" applyBorder="1" applyAlignment="1">
      <alignment horizontal="center"/>
    </xf>
    <xf numFmtId="169" fontId="6" fillId="0" borderId="65" xfId="0" applyNumberFormat="1" applyFont="1" applyFill="1" applyBorder="1" applyAlignment="1">
      <alignment horizontal="center" vertical="center"/>
    </xf>
    <xf numFmtId="169" fontId="6" fillId="0" borderId="38" xfId="0" applyNumberFormat="1" applyFont="1" applyFill="1" applyBorder="1" applyAlignment="1">
      <alignment horizontal="center" wrapText="1"/>
    </xf>
    <xf numFmtId="169" fontId="6" fillId="0" borderId="38" xfId="0" applyNumberFormat="1" applyFont="1" applyFill="1" applyBorder="1" applyAlignment="1">
      <alignment wrapText="1"/>
    </xf>
    <xf numFmtId="169" fontId="6" fillId="0" borderId="110" xfId="0" applyNumberFormat="1" applyFont="1" applyFill="1" applyBorder="1" applyAlignment="1">
      <alignment horizontal="center" vertical="center"/>
    </xf>
    <xf numFmtId="169" fontId="6" fillId="0" borderId="22" xfId="0" applyNumberFormat="1" applyFont="1" applyFill="1" applyBorder="1" applyAlignment="1">
      <alignment horizontal="center"/>
    </xf>
    <xf numFmtId="169" fontId="7" fillId="0" borderId="38" xfId="0" applyNumberFormat="1" applyFont="1" applyFill="1" applyBorder="1" applyAlignment="1">
      <alignment horizontal="center" vertical="center"/>
    </xf>
    <xf numFmtId="169" fontId="7" fillId="0" borderId="43" xfId="0" applyNumberFormat="1" applyFont="1" applyFill="1" applyBorder="1" applyAlignment="1">
      <alignment horizontal="center" vertical="center"/>
    </xf>
    <xf numFmtId="169" fontId="7" fillId="0" borderId="11" xfId="0" applyNumberFormat="1" applyFont="1" applyFill="1" applyBorder="1" applyAlignment="1">
      <alignment horizontal="center" vertical="center"/>
    </xf>
    <xf numFmtId="169" fontId="7" fillId="0" borderId="27" xfId="0" applyNumberFormat="1" applyFont="1" applyFill="1" applyBorder="1" applyAlignment="1">
      <alignment horizontal="center" vertical="center"/>
    </xf>
    <xf numFmtId="169" fontId="7" fillId="0" borderId="43" xfId="0" applyNumberFormat="1" applyFont="1" applyFill="1" applyBorder="1" applyAlignment="1">
      <alignment horizontal="center" vertical="center" wrapText="1"/>
    </xf>
    <xf numFmtId="169" fontId="7" fillId="0" borderId="49" xfId="0" applyNumberFormat="1" applyFont="1" applyFill="1" applyBorder="1" applyAlignment="1">
      <alignment horizontal="center" vertical="center"/>
    </xf>
    <xf numFmtId="169" fontId="7" fillId="0" borderId="49" xfId="0" applyNumberFormat="1" applyFont="1" applyFill="1" applyBorder="1" applyAlignment="1">
      <alignment vertical="center"/>
    </xf>
    <xf numFmtId="169" fontId="7" fillId="0" borderId="63" xfId="0" applyNumberFormat="1" applyFont="1" applyFill="1" applyBorder="1" applyAlignment="1">
      <alignment vertical="center"/>
    </xf>
    <xf numFmtId="169" fontId="7" fillId="0" borderId="68" xfId="0" applyNumberFormat="1" applyFont="1" applyFill="1" applyBorder="1" applyAlignment="1">
      <alignment vertical="center"/>
    </xf>
    <xf numFmtId="169" fontId="7" fillId="0" borderId="84" xfId="0" applyNumberFormat="1" applyFont="1" applyFill="1" applyBorder="1" applyAlignment="1">
      <alignment horizontal="center" vertical="center"/>
    </xf>
    <xf numFmtId="169" fontId="7" fillId="0" borderId="84" xfId="0" applyNumberFormat="1" applyFont="1" applyFill="1" applyBorder="1" applyAlignment="1">
      <alignment vertical="center"/>
    </xf>
    <xf numFmtId="169" fontId="7" fillId="0" borderId="85" xfId="0" applyNumberFormat="1" applyFont="1" applyFill="1" applyBorder="1" applyAlignment="1">
      <alignment vertical="center"/>
    </xf>
    <xf numFmtId="169" fontId="7" fillId="0" borderId="114" xfId="0" applyNumberFormat="1" applyFont="1" applyFill="1" applyBorder="1" applyAlignment="1">
      <alignment vertical="center"/>
    </xf>
    <xf numFmtId="177" fontId="9" fillId="0" borderId="115" xfId="0" applyNumberFormat="1" applyFont="1" applyFill="1" applyBorder="1" applyAlignment="1">
      <alignment horizontal="center"/>
    </xf>
    <xf numFmtId="177" fontId="9" fillId="0" borderId="73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left" vertical="center" wrapText="1"/>
    </xf>
    <xf numFmtId="49" fontId="6" fillId="0" borderId="38" xfId="0" applyNumberFormat="1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quotePrefix="1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2" fontId="6" fillId="0" borderId="89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wrapText="1"/>
    </xf>
    <xf numFmtId="1" fontId="5" fillId="0" borderId="116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 wrapText="1"/>
    </xf>
    <xf numFmtId="169" fontId="6" fillId="0" borderId="24" xfId="0" applyNumberFormat="1" applyFont="1" applyFill="1" applyBorder="1"/>
    <xf numFmtId="169" fontId="6" fillId="0" borderId="13" xfId="0" applyNumberFormat="1" applyFont="1" applyFill="1" applyBorder="1"/>
    <xf numFmtId="2" fontId="6" fillId="0" borderId="11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/>
    <xf numFmtId="2" fontId="6" fillId="0" borderId="21" xfId="0" applyNumberFormat="1" applyFont="1" applyFill="1" applyBorder="1" applyAlignment="1"/>
    <xf numFmtId="2" fontId="6" fillId="0" borderId="11" xfId="0" applyNumberFormat="1" applyFont="1" applyFill="1" applyBorder="1"/>
    <xf numFmtId="169" fontId="6" fillId="0" borderId="21" xfId="113" applyNumberFormat="1" applyFont="1" applyFill="1" applyBorder="1" applyAlignment="1" applyProtection="1"/>
    <xf numFmtId="169" fontId="6" fillId="0" borderId="23" xfId="113" applyNumberFormat="1" applyFont="1" applyFill="1" applyBorder="1" applyAlignment="1" applyProtection="1"/>
    <xf numFmtId="2" fontId="6" fillId="0" borderId="26" xfId="0" applyNumberFormat="1" applyFont="1" applyFill="1" applyBorder="1" applyAlignment="1">
      <alignment horizontal="center" vertical="center"/>
    </xf>
    <xf numFmtId="2" fontId="6" fillId="0" borderId="43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169" fontId="6" fillId="0" borderId="26" xfId="113" applyNumberFormat="1" applyFont="1" applyFill="1" applyBorder="1" applyAlignment="1" applyProtection="1"/>
    <xf numFmtId="169" fontId="6" fillId="0" borderId="38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/>
    <xf numFmtId="169" fontId="6" fillId="0" borderId="54" xfId="113" applyNumberFormat="1" applyFont="1" applyFill="1" applyBorder="1" applyAlignment="1" applyProtection="1"/>
    <xf numFmtId="2" fontId="6" fillId="0" borderId="72" xfId="0" applyNumberFormat="1" applyFont="1" applyFill="1" applyBorder="1" applyAlignment="1">
      <alignment horizontal="right"/>
    </xf>
    <xf numFmtId="179" fontId="7" fillId="0" borderId="37" xfId="0" applyNumberFormat="1" applyFont="1" applyFill="1" applyBorder="1" applyAlignment="1">
      <alignment horizontal="center" vertical="center"/>
    </xf>
    <xf numFmtId="177" fontId="9" fillId="0" borderId="94" xfId="0" applyNumberFormat="1" applyFont="1" applyFill="1" applyBorder="1" applyAlignment="1">
      <alignment horizontal="center"/>
    </xf>
    <xf numFmtId="177" fontId="9" fillId="0" borderId="1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169" fontId="5" fillId="0" borderId="22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169" fontId="6" fillId="0" borderId="85" xfId="0" applyNumberFormat="1" applyFont="1" applyFill="1" applyBorder="1"/>
    <xf numFmtId="169" fontId="6" fillId="0" borderId="63" xfId="0" applyNumberFormat="1" applyFont="1" applyFill="1" applyBorder="1"/>
    <xf numFmtId="169" fontId="6" fillId="0" borderId="24" xfId="0" applyNumberFormat="1" applyFont="1" applyFill="1" applyBorder="1" applyAlignment="1">
      <alignment wrapText="1"/>
    </xf>
    <xf numFmtId="169" fontId="6" fillId="0" borderId="24" xfId="0" applyNumberFormat="1" applyFont="1" applyFill="1" applyBorder="1" applyAlignment="1">
      <alignment horizontal="center" wrapText="1"/>
    </xf>
    <xf numFmtId="169" fontId="6" fillId="0" borderId="42" xfId="0" applyNumberFormat="1" applyFont="1" applyFill="1" applyBorder="1" applyAlignment="1">
      <alignment horizontal="center" wrapText="1"/>
    </xf>
    <xf numFmtId="169" fontId="6" fillId="0" borderId="11" xfId="0" applyNumberFormat="1" applyFont="1" applyFill="1" applyBorder="1" applyAlignment="1">
      <alignment horizontal="center"/>
    </xf>
    <xf numFmtId="169" fontId="6" fillId="0" borderId="24" xfId="0" applyNumberFormat="1" applyFont="1" applyFill="1" applyBorder="1" applyAlignment="1">
      <alignment horizontal="center"/>
    </xf>
    <xf numFmtId="169" fontId="6" fillId="0" borderId="13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69" fontId="6" fillId="0" borderId="42" xfId="0" applyNumberFormat="1" applyFont="1" applyFill="1" applyBorder="1" applyAlignment="1">
      <alignment horizontal="center"/>
    </xf>
    <xf numFmtId="169" fontId="7" fillId="0" borderId="47" xfId="0" applyNumberFormat="1" applyFont="1" applyFill="1" applyBorder="1" applyAlignment="1">
      <alignment horizontal="center" vertical="center"/>
    </xf>
    <xf numFmtId="169" fontId="7" fillId="0" borderId="50" xfId="0" applyNumberFormat="1" applyFont="1" applyFill="1" applyBorder="1" applyAlignment="1">
      <alignment horizontal="center" vertical="center"/>
    </xf>
    <xf numFmtId="179" fontId="7" fillId="0" borderId="47" xfId="0" applyNumberFormat="1" applyFont="1" applyFill="1" applyBorder="1" applyAlignment="1">
      <alignment horizontal="center" vertical="center"/>
    </xf>
    <xf numFmtId="169" fontId="7" fillId="45" borderId="49" xfId="0" applyNumberFormat="1" applyFont="1" applyFill="1" applyBorder="1" applyAlignment="1">
      <alignment vertical="center"/>
    </xf>
    <xf numFmtId="169" fontId="7" fillId="45" borderId="37" xfId="0" applyNumberFormat="1" applyFont="1" applyFill="1" applyBorder="1" applyAlignment="1">
      <alignment vertical="center"/>
    </xf>
    <xf numFmtId="169" fontId="7" fillId="45" borderId="37" xfId="0" applyNumberFormat="1" applyFont="1" applyFill="1" applyBorder="1" applyAlignment="1">
      <alignment vertical="center" wrapText="1"/>
    </xf>
    <xf numFmtId="169" fontId="7" fillId="45" borderId="37" xfId="0" applyNumberFormat="1" applyFont="1" applyFill="1" applyBorder="1" applyAlignment="1">
      <alignment horizontal="center" vertical="center" wrapText="1"/>
    </xf>
    <xf numFmtId="169" fontId="7" fillId="45" borderId="37" xfId="0" applyNumberFormat="1" applyFont="1" applyFill="1" applyBorder="1" applyAlignment="1">
      <alignment horizontal="center" vertical="center"/>
    </xf>
    <xf numFmtId="169" fontId="7" fillId="0" borderId="37" xfId="0" applyNumberFormat="1" applyFont="1" applyFill="1" applyBorder="1" applyAlignment="1">
      <alignment horizontal="center"/>
    </xf>
    <xf numFmtId="169" fontId="7" fillId="0" borderId="37" xfId="0" applyNumberFormat="1" applyFont="1" applyFill="1" applyBorder="1"/>
    <xf numFmtId="177" fontId="9" fillId="0" borderId="74" xfId="0" applyNumberFormat="1" applyFont="1" applyFill="1" applyBorder="1" applyAlignment="1">
      <alignment horizontal="center"/>
    </xf>
    <xf numFmtId="169" fontId="7" fillId="0" borderId="42" xfId="0" applyNumberFormat="1" applyFont="1" applyFill="1" applyBorder="1" applyAlignment="1">
      <alignment horizontal="center" vertical="center"/>
    </xf>
    <xf numFmtId="169" fontId="7" fillId="0" borderId="20" xfId="0" applyNumberFormat="1" applyFont="1" applyFill="1" applyBorder="1" applyAlignment="1">
      <alignment horizontal="center" vertical="center"/>
    </xf>
    <xf numFmtId="169" fontId="7" fillId="0" borderId="38" xfId="0" applyNumberFormat="1" applyFont="1" applyFill="1" applyBorder="1" applyAlignment="1">
      <alignment horizontal="center" vertical="center" wrapText="1"/>
    </xf>
    <xf numFmtId="0" fontId="7" fillId="0" borderId="33" xfId="0" quotePrefix="1" applyFont="1" applyFill="1" applyBorder="1" applyAlignment="1">
      <alignment horizontal="center" vertical="center"/>
    </xf>
    <xf numFmtId="169" fontId="7" fillId="0" borderId="37" xfId="0" quotePrefix="1" applyNumberFormat="1" applyFont="1" applyFill="1" applyBorder="1" applyAlignment="1">
      <alignment horizontal="center" vertical="center"/>
    </xf>
    <xf numFmtId="169" fontId="7" fillId="0" borderId="22" xfId="0" applyNumberFormat="1" applyFont="1" applyFill="1" applyBorder="1"/>
    <xf numFmtId="0" fontId="7" fillId="0" borderId="22" xfId="0" applyFont="1" applyBorder="1"/>
    <xf numFmtId="0" fontId="7" fillId="0" borderId="37" xfId="0" applyFont="1" applyBorder="1"/>
    <xf numFmtId="170" fontId="6" fillId="0" borderId="38" xfId="0" applyNumberFormat="1" applyFont="1" applyFill="1" applyBorder="1"/>
    <xf numFmtId="2" fontId="6" fillId="0" borderId="47" xfId="0" applyNumberFormat="1" applyFont="1" applyFill="1" applyBorder="1"/>
    <xf numFmtId="2" fontId="6" fillId="0" borderId="50" xfId="0" applyNumberFormat="1" applyFont="1" applyFill="1" applyBorder="1" applyAlignment="1">
      <alignment horizontal="right"/>
    </xf>
    <xf numFmtId="2" fontId="6" fillId="0" borderId="50" xfId="0" applyNumberFormat="1" applyFont="1" applyFill="1" applyBorder="1" applyAlignment="1">
      <alignment horizontal="center"/>
    </xf>
    <xf numFmtId="2" fontId="6" fillId="0" borderId="66" xfId="0" applyNumberFormat="1" applyFont="1" applyFill="1" applyBorder="1" applyAlignment="1">
      <alignment horizontal="right"/>
    </xf>
    <xf numFmtId="169" fontId="7" fillId="0" borderId="38" xfId="0" applyNumberFormat="1" applyFont="1" applyFill="1" applyBorder="1" applyAlignment="1">
      <alignment vertical="center" wrapText="1"/>
    </xf>
    <xf numFmtId="169" fontId="7" fillId="0" borderId="20" xfId="0" applyNumberFormat="1" applyFont="1" applyFill="1" applyBorder="1" applyAlignment="1">
      <alignment horizontal="center" vertical="center" wrapText="1"/>
    </xf>
    <xf numFmtId="169" fontId="7" fillId="0" borderId="42" xfId="0" applyNumberFormat="1" applyFont="1" applyFill="1" applyBorder="1" applyAlignment="1">
      <alignment horizontal="center" vertical="center" wrapText="1"/>
    </xf>
    <xf numFmtId="169" fontId="7" fillId="0" borderId="43" xfId="0" applyNumberFormat="1" applyFont="1" applyFill="1" applyBorder="1" applyAlignment="1">
      <alignment vertical="center" wrapText="1"/>
    </xf>
    <xf numFmtId="169" fontId="7" fillId="45" borderId="38" xfId="0" applyNumberFormat="1" applyFont="1" applyFill="1" applyBorder="1" applyAlignment="1">
      <alignment horizontal="center" vertical="center"/>
    </xf>
    <xf numFmtId="2" fontId="7" fillId="0" borderId="38" xfId="0" applyNumberFormat="1" applyFont="1" applyFill="1" applyBorder="1" applyAlignment="1">
      <alignment horizontal="center" vertical="center" wrapText="1"/>
    </xf>
    <xf numFmtId="169" fontId="7" fillId="45" borderId="43" xfId="0" applyNumberFormat="1" applyFont="1" applyFill="1" applyBorder="1" applyAlignment="1">
      <alignment horizontal="center" vertical="center"/>
    </xf>
    <xf numFmtId="2" fontId="7" fillId="0" borderId="43" xfId="0" applyNumberFormat="1" applyFont="1" applyFill="1" applyBorder="1" applyAlignment="1">
      <alignment horizontal="center" vertical="center" wrapText="1"/>
    </xf>
    <xf numFmtId="169" fontId="7" fillId="45" borderId="38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vertical="center" wrapText="1"/>
    </xf>
    <xf numFmtId="169" fontId="7" fillId="0" borderId="38" xfId="0" applyNumberFormat="1" applyFont="1" applyFill="1" applyBorder="1" applyAlignment="1">
      <alignment horizontal="right" vertical="center" wrapText="1"/>
    </xf>
    <xf numFmtId="169" fontId="7" fillId="0" borderId="42" xfId="0" applyNumberFormat="1" applyFont="1" applyFill="1" applyBorder="1" applyAlignment="1">
      <alignment horizontal="right" vertical="center" wrapText="1"/>
    </xf>
    <xf numFmtId="169" fontId="7" fillId="0" borderId="20" xfId="0" applyNumberFormat="1" applyFont="1" applyFill="1" applyBorder="1" applyAlignment="1">
      <alignment horizontal="right" vertical="center" wrapText="1"/>
    </xf>
    <xf numFmtId="169" fontId="7" fillId="0" borderId="43" xfId="0" applyNumberFormat="1" applyFont="1" applyFill="1" applyBorder="1"/>
    <xf numFmtId="0" fontId="7" fillId="0" borderId="43" xfId="0" applyFont="1" applyBorder="1"/>
    <xf numFmtId="169" fontId="7" fillId="0" borderId="38" xfId="0" applyNumberFormat="1" applyFont="1" applyFill="1" applyBorder="1" applyAlignment="1">
      <alignment vertical="center"/>
    </xf>
    <xf numFmtId="169" fontId="7" fillId="0" borderId="42" xfId="0" applyNumberFormat="1" applyFont="1" applyFill="1" applyBorder="1" applyAlignment="1">
      <alignment vertical="center"/>
    </xf>
    <xf numFmtId="169" fontId="7" fillId="0" borderId="20" xfId="0" applyNumberFormat="1" applyFont="1" applyFill="1" applyBorder="1" applyAlignment="1">
      <alignment vertical="center"/>
    </xf>
    <xf numFmtId="169" fontId="7" fillId="45" borderId="38" xfId="0" applyNumberFormat="1" applyFont="1" applyFill="1" applyBorder="1" applyAlignment="1">
      <alignment vertical="center"/>
    </xf>
    <xf numFmtId="169" fontId="7" fillId="0" borderId="11" xfId="0" applyNumberFormat="1" applyFont="1" applyFill="1" applyBorder="1" applyAlignment="1">
      <alignment vertical="center" wrapText="1"/>
    </xf>
    <xf numFmtId="169" fontId="7" fillId="0" borderId="27" xfId="0" applyNumberFormat="1" applyFont="1" applyFill="1" applyBorder="1" applyAlignment="1">
      <alignment vertical="center" wrapText="1"/>
    </xf>
    <xf numFmtId="169" fontId="7" fillId="45" borderId="43" xfId="0" applyNumberFormat="1" applyFont="1" applyFill="1" applyBorder="1" applyAlignment="1">
      <alignment vertical="center" wrapText="1"/>
    </xf>
    <xf numFmtId="169" fontId="7" fillId="0" borderId="43" xfId="0" applyNumberFormat="1" applyFont="1" applyFill="1" applyBorder="1" applyAlignment="1">
      <alignment horizontal="right" vertical="center"/>
    </xf>
    <xf numFmtId="169" fontId="7" fillId="0" borderId="43" xfId="0" applyNumberFormat="1" applyFont="1" applyFill="1" applyBorder="1" applyAlignment="1">
      <alignment vertical="center"/>
    </xf>
    <xf numFmtId="169" fontId="7" fillId="0" borderId="11" xfId="0" applyNumberFormat="1" applyFont="1" applyFill="1" applyBorder="1" applyAlignment="1">
      <alignment vertical="center"/>
    </xf>
    <xf numFmtId="169" fontId="7" fillId="0" borderId="27" xfId="0" applyNumberFormat="1" applyFont="1" applyFill="1" applyBorder="1" applyAlignment="1">
      <alignment vertical="center"/>
    </xf>
    <xf numFmtId="169" fontId="7" fillId="45" borderId="43" xfId="0" applyNumberFormat="1" applyFont="1" applyFill="1" applyBorder="1" applyAlignment="1">
      <alignment vertical="center"/>
    </xf>
    <xf numFmtId="177" fontId="9" fillId="0" borderId="75" xfId="0" applyNumberFormat="1" applyFont="1" applyFill="1" applyBorder="1" applyAlignment="1">
      <alignment horizontal="center"/>
    </xf>
    <xf numFmtId="169" fontId="7" fillId="0" borderId="38" xfId="0" quotePrefix="1" applyNumberFormat="1" applyFont="1" applyFill="1" applyBorder="1" applyAlignment="1">
      <alignment horizontal="center" vertical="center"/>
    </xf>
    <xf numFmtId="179" fontId="7" fillId="0" borderId="38" xfId="0" applyNumberFormat="1" applyFont="1" applyFill="1" applyBorder="1" applyAlignment="1">
      <alignment horizontal="center" vertical="center"/>
    </xf>
    <xf numFmtId="169" fontId="7" fillId="0" borderId="38" xfId="0" applyNumberFormat="1" applyFont="1" applyFill="1" applyBorder="1"/>
    <xf numFmtId="0" fontId="7" fillId="0" borderId="38" xfId="0" applyFont="1" applyBorder="1"/>
    <xf numFmtId="0" fontId="8" fillId="0" borderId="82" xfId="0" applyFont="1" applyFill="1" applyBorder="1" applyAlignment="1">
      <alignment horizontal="center"/>
    </xf>
    <xf numFmtId="2" fontId="5" fillId="0" borderId="122" xfId="0" applyNumberFormat="1" applyFont="1" applyFill="1" applyBorder="1" applyAlignment="1">
      <alignment horizontal="center"/>
    </xf>
    <xf numFmtId="169" fontId="7" fillId="0" borderId="40" xfId="0" applyNumberFormat="1" applyFont="1" applyFill="1" applyBorder="1" applyAlignment="1">
      <alignment horizontal="center" vertical="center"/>
    </xf>
    <xf numFmtId="169" fontId="7" fillId="0" borderId="41" xfId="0" applyNumberFormat="1" applyFont="1" applyFill="1" applyBorder="1" applyAlignment="1">
      <alignment horizontal="center" vertical="center"/>
    </xf>
    <xf numFmtId="169" fontId="7" fillId="0" borderId="40" xfId="0" quotePrefix="1" applyNumberFormat="1" applyFont="1" applyFill="1" applyBorder="1" applyAlignment="1">
      <alignment horizontal="center" vertical="center"/>
    </xf>
    <xf numFmtId="169" fontId="7" fillId="0" borderId="44" xfId="0" applyNumberFormat="1" applyFont="1" applyFill="1" applyBorder="1" applyAlignment="1">
      <alignment horizontal="center" vertical="center"/>
    </xf>
    <xf numFmtId="169" fontId="41" fillId="0" borderId="40" xfId="0" applyNumberFormat="1" applyFont="1" applyFill="1" applyBorder="1" applyAlignment="1">
      <alignment horizontal="center" vertical="center"/>
    </xf>
    <xf numFmtId="4" fontId="7" fillId="0" borderId="40" xfId="0" applyNumberFormat="1" applyFont="1" applyFill="1" applyBorder="1" applyAlignment="1">
      <alignment horizontal="center" vertical="center"/>
    </xf>
    <xf numFmtId="169" fontId="7" fillId="0" borderId="40" xfId="0" applyNumberFormat="1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8" fillId="0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/>
    </xf>
    <xf numFmtId="0" fontId="8" fillId="0" borderId="82" xfId="0" applyFont="1" applyFill="1" applyBorder="1" applyAlignment="1">
      <alignment vertical="center"/>
    </xf>
    <xf numFmtId="169" fontId="7" fillId="0" borderId="47" xfId="0" quotePrefix="1" applyNumberFormat="1" applyFont="1" applyFill="1" applyBorder="1" applyAlignment="1">
      <alignment horizontal="center" vertical="center"/>
    </xf>
    <xf numFmtId="169" fontId="7" fillId="0" borderId="69" xfId="0" applyNumberFormat="1" applyFont="1" applyFill="1" applyBorder="1" applyAlignment="1">
      <alignment horizontal="center" vertical="center"/>
    </xf>
    <xf numFmtId="169" fontId="7" fillId="0" borderId="47" xfId="0" applyNumberFormat="1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170" fontId="6" fillId="0" borderId="43" xfId="0" applyNumberFormat="1" applyFont="1" applyFill="1" applyBorder="1"/>
    <xf numFmtId="170" fontId="6" fillId="0" borderId="37" xfId="0" applyNumberFormat="1" applyFont="1" applyFill="1" applyBorder="1"/>
    <xf numFmtId="2" fontId="6" fillId="0" borderId="40" xfId="0" applyNumberFormat="1" applyFont="1" applyFill="1" applyBorder="1"/>
    <xf numFmtId="0" fontId="6" fillId="0" borderId="40" xfId="0" applyFont="1" applyFill="1" applyBorder="1" applyAlignment="1">
      <alignment horizontal="right"/>
    </xf>
    <xf numFmtId="0" fontId="6" fillId="0" borderId="92" xfId="0" applyFont="1" applyFill="1" applyBorder="1"/>
    <xf numFmtId="2" fontId="6" fillId="0" borderId="44" xfId="0" applyNumberFormat="1" applyFont="1" applyFill="1" applyBorder="1"/>
    <xf numFmtId="2" fontId="6" fillId="0" borderId="20" xfId="0" applyNumberFormat="1" applyFont="1" applyFill="1" applyBorder="1"/>
    <xf numFmtId="2" fontId="6" fillId="0" borderId="19" xfId="0" applyNumberFormat="1" applyFont="1" applyFill="1" applyBorder="1"/>
    <xf numFmtId="4" fontId="6" fillId="0" borderId="43" xfId="0" applyNumberFormat="1" applyFont="1" applyFill="1" applyBorder="1"/>
    <xf numFmtId="4" fontId="6" fillId="0" borderId="37" xfId="0" applyNumberFormat="1" applyFont="1" applyFill="1" applyBorder="1"/>
    <xf numFmtId="0" fontId="0" fillId="0" borderId="26" xfId="0" applyFill="1" applyBorder="1"/>
    <xf numFmtId="0" fontId="0" fillId="0" borderId="21" xfId="0" applyFill="1" applyBorder="1"/>
    <xf numFmtId="2" fontId="5" fillId="0" borderId="71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33" xfId="0" applyFill="1" applyBorder="1"/>
    <xf numFmtId="2" fontId="5" fillId="0" borderId="14" xfId="0" applyNumberFormat="1" applyFont="1" applyFill="1" applyBorder="1" applyAlignment="1">
      <alignment horizontal="center" vertical="center"/>
    </xf>
    <xf numFmtId="0" fontId="6" fillId="0" borderId="94" xfId="0" applyFont="1" applyFill="1" applyBorder="1"/>
    <xf numFmtId="0" fontId="6" fillId="0" borderId="16" xfId="0" applyFont="1" applyFill="1" applyBorder="1"/>
    <xf numFmtId="169" fontId="7" fillId="0" borderId="38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0" fillId="0" borderId="38" xfId="0" applyFill="1" applyBorder="1"/>
    <xf numFmtId="0" fontId="0" fillId="0" borderId="42" xfId="0" applyFill="1" applyBorder="1"/>
    <xf numFmtId="0" fontId="0" fillId="0" borderId="20" xfId="0" applyFill="1" applyBorder="1"/>
    <xf numFmtId="4" fontId="6" fillId="0" borderId="38" xfId="0" applyNumberFormat="1" applyFont="1" applyFill="1" applyBorder="1"/>
    <xf numFmtId="4" fontId="6" fillId="0" borderId="26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4" fontId="6" fillId="0" borderId="27" xfId="0" applyNumberFormat="1" applyFont="1" applyFill="1" applyBorder="1" applyAlignment="1">
      <alignment horizontal="center"/>
    </xf>
    <xf numFmtId="0" fontId="0" fillId="0" borderId="54" xfId="0" applyFill="1" applyBorder="1"/>
    <xf numFmtId="169" fontId="7" fillId="0" borderId="25" xfId="0" applyNumberFormat="1" applyFont="1" applyFill="1" applyBorder="1" applyAlignment="1">
      <alignment horizontal="center"/>
    </xf>
    <xf numFmtId="169" fontId="7" fillId="0" borderId="0" xfId="0" applyNumberFormat="1" applyFont="1" applyFill="1" applyBorder="1" applyAlignment="1">
      <alignment horizontal="center"/>
    </xf>
    <xf numFmtId="169" fontId="7" fillId="0" borderId="79" xfId="0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69" fontId="8" fillId="0" borderId="0" xfId="0" applyNumberFormat="1" applyFont="1" applyFill="1" applyBorder="1" applyAlignment="1">
      <alignment vertical="center"/>
    </xf>
    <xf numFmtId="169" fontId="8" fillId="0" borderId="0" xfId="0" applyNumberFormat="1" applyFont="1" applyFill="1" applyBorder="1" applyAlignment="1"/>
    <xf numFmtId="0" fontId="6" fillId="0" borderId="20" xfId="0" applyFont="1" applyFill="1" applyBorder="1" applyAlignment="1">
      <alignment horizontal="left" vertical="center" wrapText="1"/>
    </xf>
    <xf numFmtId="169" fontId="7" fillId="0" borderId="114" xfId="0" applyNumberFormat="1" applyFont="1" applyFill="1" applyBorder="1" applyAlignment="1">
      <alignment horizontal="center" vertical="center"/>
    </xf>
    <xf numFmtId="169" fontId="7" fillId="0" borderId="68" xfId="0" applyNumberFormat="1" applyFont="1" applyFill="1" applyBorder="1" applyAlignment="1">
      <alignment horizontal="center" vertical="center"/>
    </xf>
    <xf numFmtId="169" fontId="7" fillId="0" borderId="33" xfId="0" applyNumberFormat="1" applyFont="1" applyFill="1" applyBorder="1" applyAlignment="1">
      <alignment horizontal="right" vertical="center"/>
    </xf>
    <xf numFmtId="169" fontId="7" fillId="0" borderId="27" xfId="0" applyNumberFormat="1" applyFont="1" applyFill="1" applyBorder="1" applyAlignment="1">
      <alignment horizontal="right" vertical="center"/>
    </xf>
    <xf numFmtId="169" fontId="7" fillId="0" borderId="20" xfId="0" applyNumberFormat="1" applyFont="1" applyFill="1" applyBorder="1" applyAlignment="1">
      <alignment vertical="center" wrapText="1"/>
    </xf>
    <xf numFmtId="3" fontId="8" fillId="0" borderId="15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2" fontId="7" fillId="0" borderId="78" xfId="0" applyNumberFormat="1" applyFont="1" applyFill="1" applyBorder="1" applyAlignment="1">
      <alignment horizontal="center"/>
    </xf>
    <xf numFmtId="2" fontId="7" fillId="0" borderId="73" xfId="0" applyNumberFormat="1" applyFont="1" applyFill="1" applyBorder="1" applyAlignment="1">
      <alignment horizontal="center"/>
    </xf>
    <xf numFmtId="2" fontId="7" fillId="0" borderId="7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/>
    </xf>
    <xf numFmtId="169" fontId="7" fillId="0" borderId="75" xfId="0" applyNumberFormat="1" applyFont="1" applyFill="1" applyBorder="1" applyAlignment="1">
      <alignment horizontal="center"/>
    </xf>
    <xf numFmtId="0" fontId="7" fillId="0" borderId="86" xfId="0" applyFont="1" applyFill="1" applyBorder="1" applyAlignment="1">
      <alignment horizontal="center"/>
    </xf>
    <xf numFmtId="0" fontId="7" fillId="0" borderId="88" xfId="0" applyFont="1" applyFill="1" applyBorder="1" applyAlignment="1">
      <alignment horizontal="center"/>
    </xf>
    <xf numFmtId="169" fontId="7" fillId="0" borderId="87" xfId="0" applyNumberFormat="1" applyFont="1" applyFill="1" applyBorder="1" applyAlignment="1">
      <alignment horizontal="center"/>
    </xf>
    <xf numFmtId="169" fontId="7" fillId="0" borderId="123" xfId="0" applyNumberFormat="1" applyFont="1" applyFill="1" applyBorder="1" applyAlignment="1">
      <alignment horizontal="center"/>
    </xf>
    <xf numFmtId="0" fontId="7" fillId="0" borderId="87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75" xfId="0" applyFont="1" applyFill="1" applyBorder="1" applyAlignment="1">
      <alignment horizontal="center"/>
    </xf>
    <xf numFmtId="0" fontId="7" fillId="0" borderId="124" xfId="0" applyFont="1" applyFill="1" applyBorder="1" applyAlignment="1">
      <alignment horizontal="center"/>
    </xf>
    <xf numFmtId="169" fontId="7" fillId="0" borderId="124" xfId="0" applyNumberFormat="1" applyFont="1" applyFill="1" applyBorder="1" applyAlignment="1">
      <alignment horizontal="center"/>
    </xf>
    <xf numFmtId="169" fontId="7" fillId="0" borderId="122" xfId="0" applyNumberFormat="1" applyFont="1" applyFill="1" applyBorder="1" applyAlignment="1">
      <alignment horizontal="center"/>
    </xf>
    <xf numFmtId="169" fontId="7" fillId="0" borderId="86" xfId="0" applyNumberFormat="1" applyFont="1" applyFill="1" applyBorder="1" applyAlignment="1">
      <alignment horizontal="center"/>
    </xf>
    <xf numFmtId="169" fontId="7" fillId="0" borderId="88" xfId="0" applyNumberFormat="1" applyFont="1" applyFill="1" applyBorder="1" applyAlignment="1">
      <alignment horizontal="center"/>
    </xf>
    <xf numFmtId="169" fontId="7" fillId="0" borderId="71" xfId="0" applyNumberFormat="1" applyFont="1" applyFill="1" applyBorder="1" applyAlignment="1">
      <alignment horizontal="center"/>
    </xf>
    <xf numFmtId="169" fontId="7" fillId="0" borderId="70" xfId="0" applyNumberFormat="1" applyFont="1" applyFill="1" applyBorder="1" applyAlignment="1">
      <alignment horizontal="center"/>
    </xf>
    <xf numFmtId="177" fontId="9" fillId="0" borderId="86" xfId="0" applyNumberFormat="1" applyFont="1" applyFill="1" applyBorder="1" applyAlignment="1">
      <alignment horizontal="center"/>
    </xf>
    <xf numFmtId="177" fontId="9" fillId="0" borderId="88" xfId="0" applyNumberFormat="1" applyFont="1" applyFill="1" applyBorder="1" applyAlignment="1">
      <alignment horizontal="center"/>
    </xf>
    <xf numFmtId="177" fontId="9" fillId="0" borderId="87" xfId="0" applyNumberFormat="1" applyFont="1" applyFill="1" applyBorder="1" applyAlignment="1">
      <alignment horizontal="center"/>
    </xf>
    <xf numFmtId="0" fontId="0" fillId="0" borderId="79" xfId="0" applyFill="1" applyBorder="1"/>
    <xf numFmtId="0" fontId="6" fillId="0" borderId="46" xfId="0" applyFont="1" applyFill="1" applyBorder="1" applyAlignment="1">
      <alignment horizontal="center"/>
    </xf>
    <xf numFmtId="169" fontId="7" fillId="0" borderId="109" xfId="0" applyNumberFormat="1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vertical="center" wrapText="1"/>
    </xf>
    <xf numFmtId="0" fontId="0" fillId="0" borderId="37" xfId="0" applyFill="1" applyBorder="1"/>
    <xf numFmtId="0" fontId="0" fillId="0" borderId="24" xfId="0" applyFill="1" applyBorder="1"/>
    <xf numFmtId="0" fontId="6" fillId="0" borderId="31" xfId="0" applyFont="1" applyFill="1" applyBorder="1" applyAlignment="1">
      <alignment horizontal="center"/>
    </xf>
    <xf numFmtId="0" fontId="8" fillId="0" borderId="70" xfId="0" applyFont="1" applyFill="1" applyBorder="1" applyAlignment="1">
      <alignment vertical="center"/>
    </xf>
    <xf numFmtId="169" fontId="9" fillId="0" borderId="73" xfId="0" applyNumberFormat="1" applyFont="1" applyFill="1" applyBorder="1" applyAlignment="1">
      <alignment horizontal="center"/>
    </xf>
    <xf numFmtId="169" fontId="9" fillId="0" borderId="82" xfId="0" applyNumberFormat="1" applyFont="1" applyFill="1" applyBorder="1" applyAlignment="1">
      <alignment horizontal="center"/>
    </xf>
    <xf numFmtId="0" fontId="6" fillId="0" borderId="72" xfId="0" applyFont="1" applyFill="1" applyBorder="1" applyAlignment="1">
      <alignment horizontal="left" vertical="center" wrapText="1"/>
    </xf>
    <xf numFmtId="169" fontId="7" fillId="0" borderId="125" xfId="0" applyNumberFormat="1" applyFont="1" applyFill="1" applyBorder="1" applyAlignment="1">
      <alignment vertical="center"/>
    </xf>
    <xf numFmtId="169" fontId="7" fillId="0" borderId="89" xfId="0" applyNumberFormat="1" applyFont="1" applyFill="1" applyBorder="1" applyAlignment="1">
      <alignment vertical="center"/>
    </xf>
    <xf numFmtId="169" fontId="7" fillId="0" borderId="72" xfId="0" applyNumberFormat="1" applyFont="1" applyFill="1" applyBorder="1" applyAlignment="1">
      <alignment vertical="center"/>
    </xf>
    <xf numFmtId="169" fontId="7" fillId="0" borderId="65" xfId="0" applyNumberFormat="1" applyFont="1" applyFill="1" applyBorder="1" applyAlignment="1">
      <alignment vertical="center"/>
    </xf>
    <xf numFmtId="169" fontId="7" fillId="0" borderId="110" xfId="0" applyNumberFormat="1" applyFont="1" applyFill="1" applyBorder="1" applyAlignment="1">
      <alignment vertical="center"/>
    </xf>
    <xf numFmtId="169" fontId="7" fillId="0" borderId="110" xfId="0" applyNumberFormat="1" applyFont="1" applyFill="1" applyBorder="1" applyAlignment="1">
      <alignment vertical="center" wrapText="1"/>
    </xf>
    <xf numFmtId="169" fontId="7" fillId="0" borderId="72" xfId="0" applyNumberFormat="1" applyFont="1" applyFill="1" applyBorder="1" applyAlignment="1">
      <alignment vertical="center" wrapText="1"/>
    </xf>
    <xf numFmtId="169" fontId="7" fillId="0" borderId="72" xfId="0" applyNumberFormat="1" applyFont="1" applyFill="1" applyBorder="1" applyAlignment="1">
      <alignment horizontal="center" vertical="center" wrapText="1"/>
    </xf>
    <xf numFmtId="169" fontId="7" fillId="0" borderId="65" xfId="0" applyNumberFormat="1" applyFont="1" applyFill="1" applyBorder="1" applyAlignment="1">
      <alignment horizontal="center" vertical="center" wrapText="1"/>
    </xf>
    <xf numFmtId="169" fontId="7" fillId="0" borderId="110" xfId="0" applyNumberFormat="1" applyFont="1" applyFill="1" applyBorder="1" applyAlignment="1">
      <alignment horizontal="center" vertical="center"/>
    </xf>
    <xf numFmtId="169" fontId="7" fillId="0" borderId="72" xfId="0" applyNumberFormat="1" applyFont="1" applyFill="1" applyBorder="1" applyAlignment="1">
      <alignment horizontal="center" vertical="center"/>
    </xf>
    <xf numFmtId="169" fontId="7" fillId="0" borderId="65" xfId="0" applyNumberFormat="1" applyFont="1" applyFill="1" applyBorder="1" applyAlignment="1">
      <alignment horizontal="center" vertical="center"/>
    </xf>
    <xf numFmtId="169" fontId="7" fillId="0" borderId="66" xfId="0" applyNumberFormat="1" applyFont="1" applyFill="1" applyBorder="1" applyAlignment="1">
      <alignment horizontal="center" vertical="center"/>
    </xf>
    <xf numFmtId="169" fontId="7" fillId="0" borderId="126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vertical="center" wrapText="1"/>
    </xf>
    <xf numFmtId="0" fontId="6" fillId="0" borderId="65" xfId="0" applyFont="1" applyFill="1" applyBorder="1" applyAlignment="1">
      <alignment vertical="center" wrapText="1"/>
    </xf>
    <xf numFmtId="0" fontId="7" fillId="0" borderId="72" xfId="0" applyFont="1" applyFill="1" applyBorder="1" applyAlignment="1">
      <alignment vertical="center" wrapText="1"/>
    </xf>
    <xf numFmtId="0" fontId="7" fillId="0" borderId="72" xfId="0" quotePrefix="1" applyFont="1" applyFill="1" applyBorder="1" applyAlignment="1">
      <alignment horizontal="center" vertical="center"/>
    </xf>
    <xf numFmtId="169" fontId="7" fillId="0" borderId="65" xfId="0" applyNumberFormat="1" applyFont="1" applyFill="1" applyBorder="1" applyAlignment="1">
      <alignment vertical="center" wrapText="1"/>
    </xf>
    <xf numFmtId="169" fontId="7" fillId="0" borderId="22" xfId="0" applyNumberFormat="1" applyFont="1" applyFill="1" applyBorder="1" applyAlignment="1">
      <alignment horizontal="center" vertical="center"/>
    </xf>
    <xf numFmtId="169" fontId="7" fillId="0" borderId="22" xfId="0" quotePrefix="1" applyNumberFormat="1" applyFont="1" applyFill="1" applyBorder="1" applyAlignment="1">
      <alignment horizontal="center" vertical="center"/>
    </xf>
    <xf numFmtId="169" fontId="7" fillId="0" borderId="23" xfId="0" applyNumberFormat="1" applyFont="1" applyFill="1" applyBorder="1" applyAlignment="1">
      <alignment horizontal="center" vertical="center"/>
    </xf>
    <xf numFmtId="179" fontId="7" fillId="0" borderId="22" xfId="0" applyNumberFormat="1" applyFont="1" applyFill="1" applyBorder="1" applyAlignment="1">
      <alignment horizontal="center" vertical="center"/>
    </xf>
    <xf numFmtId="169" fontId="7" fillId="0" borderId="13" xfId="0" applyNumberFormat="1" applyFont="1" applyFill="1" applyBorder="1" applyAlignment="1">
      <alignment horizontal="center" vertical="center"/>
    </xf>
    <xf numFmtId="169" fontId="9" fillId="0" borderId="74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169" fontId="9" fillId="0" borderId="75" xfId="0" applyNumberFormat="1" applyFont="1" applyFill="1" applyBorder="1" applyAlignment="1">
      <alignment horizontal="center"/>
    </xf>
    <xf numFmtId="169" fontId="7" fillId="0" borderId="54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170" fontId="6" fillId="0" borderId="47" xfId="0" applyNumberFormat="1" applyFont="1" applyFill="1" applyBorder="1" applyAlignment="1">
      <alignment horizontal="center"/>
    </xf>
    <xf numFmtId="0" fontId="0" fillId="0" borderId="50" xfId="0" applyFill="1" applyBorder="1"/>
    <xf numFmtId="2" fontId="5" fillId="0" borderId="82" xfId="0" applyNumberFormat="1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13" xfId="0" applyFill="1" applyBorder="1"/>
    <xf numFmtId="0" fontId="0" fillId="0" borderId="45" xfId="0" applyFill="1" applyBorder="1"/>
    <xf numFmtId="0" fontId="0" fillId="0" borderId="53" xfId="0" applyFill="1" applyBorder="1"/>
    <xf numFmtId="4" fontId="6" fillId="0" borderId="47" xfId="0" applyNumberFormat="1" applyFont="1" applyFill="1" applyBorder="1"/>
    <xf numFmtId="169" fontId="7" fillId="0" borderId="19" xfId="0" applyNumberFormat="1" applyFont="1" applyFill="1" applyBorder="1" applyAlignment="1">
      <alignment horizontal="center" vertical="center"/>
    </xf>
    <xf numFmtId="177" fontId="9" fillId="0" borderId="82" xfId="0" applyNumberFormat="1" applyFont="1" applyFill="1" applyBorder="1" applyAlignment="1">
      <alignment horizontal="center"/>
    </xf>
    <xf numFmtId="177" fontId="9" fillId="0" borderId="71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169" fontId="7" fillId="46" borderId="37" xfId="0" applyNumberFormat="1" applyFont="1" applyFill="1" applyBorder="1" applyAlignment="1">
      <alignment horizontal="center" vertical="center"/>
    </xf>
    <xf numFmtId="169" fontId="7" fillId="46" borderId="3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69" fontId="7" fillId="0" borderId="0" xfId="0" applyNumberFormat="1" applyFont="1" applyFill="1" applyBorder="1"/>
    <xf numFmtId="0" fontId="7" fillId="0" borderId="37" xfId="0" applyFont="1" applyFill="1" applyBorder="1"/>
    <xf numFmtId="169" fontId="7" fillId="46" borderId="47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/>
    </xf>
    <xf numFmtId="0" fontId="4" fillId="46" borderId="36" xfId="0" applyFont="1" applyFill="1" applyBorder="1" applyAlignment="1">
      <alignment vertical="center"/>
    </xf>
    <xf numFmtId="0" fontId="7" fillId="46" borderId="43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vertical="center"/>
    </xf>
    <xf numFmtId="0" fontId="6" fillId="46" borderId="37" xfId="0" applyFont="1" applyFill="1" applyBorder="1" applyAlignment="1">
      <alignment horizontal="center" vertical="center" wrapText="1"/>
    </xf>
    <xf numFmtId="169" fontId="7" fillId="46" borderId="84" xfId="0" applyNumberFormat="1" applyFont="1" applyFill="1" applyBorder="1" applyAlignment="1">
      <alignment horizontal="center" vertical="center"/>
    </xf>
    <xf numFmtId="169" fontId="7" fillId="46" borderId="49" xfId="0" applyNumberFormat="1" applyFont="1" applyFill="1" applyBorder="1" applyAlignment="1">
      <alignment horizontal="center" vertical="center"/>
    </xf>
    <xf numFmtId="169" fontId="7" fillId="46" borderId="37" xfId="0" applyNumberFormat="1" applyFont="1" applyFill="1" applyBorder="1" applyAlignment="1">
      <alignment horizontal="right" vertical="center"/>
    </xf>
    <xf numFmtId="169" fontId="7" fillId="46" borderId="37" xfId="0" applyNumberFormat="1" applyFont="1" applyFill="1" applyBorder="1" applyAlignment="1">
      <alignment vertical="center"/>
    </xf>
    <xf numFmtId="169" fontId="7" fillId="46" borderId="38" xfId="0" applyNumberFormat="1" applyFont="1" applyFill="1" applyBorder="1" applyAlignment="1">
      <alignment vertical="center"/>
    </xf>
    <xf numFmtId="169" fontId="7" fillId="46" borderId="43" xfId="0" applyNumberFormat="1" applyFont="1" applyFill="1" applyBorder="1" applyAlignment="1">
      <alignment horizontal="right" vertical="center"/>
    </xf>
    <xf numFmtId="169" fontId="7" fillId="46" borderId="43" xfId="0" applyNumberFormat="1" applyFont="1" applyFill="1" applyBorder="1" applyAlignment="1">
      <alignment vertical="center" wrapText="1"/>
    </xf>
    <xf numFmtId="169" fontId="7" fillId="46" borderId="37" xfId="0" applyNumberFormat="1" applyFont="1" applyFill="1" applyBorder="1" applyAlignment="1">
      <alignment vertical="center" wrapText="1"/>
    </xf>
    <xf numFmtId="0" fontId="7" fillId="46" borderId="37" xfId="0" applyFont="1" applyFill="1" applyBorder="1" applyAlignment="1">
      <alignment vertical="center" wrapText="1"/>
    </xf>
    <xf numFmtId="169" fontId="7" fillId="46" borderId="38" xfId="0" applyNumberFormat="1" applyFont="1" applyFill="1" applyBorder="1" applyAlignment="1">
      <alignment horizontal="center" vertical="center" wrapText="1"/>
    </xf>
    <xf numFmtId="169" fontId="7" fillId="46" borderId="43" xfId="0" applyNumberFormat="1" applyFont="1" applyFill="1" applyBorder="1" applyAlignment="1">
      <alignment horizontal="center" vertical="center"/>
    </xf>
    <xf numFmtId="169" fontId="7" fillId="46" borderId="38" xfId="0" applyNumberFormat="1" applyFont="1" applyFill="1" applyBorder="1" applyAlignment="1">
      <alignment horizontal="center" vertical="center"/>
    </xf>
    <xf numFmtId="169" fontId="7" fillId="46" borderId="40" xfId="0" applyNumberFormat="1" applyFont="1" applyFill="1" applyBorder="1" applyAlignment="1">
      <alignment horizontal="center" vertical="center"/>
    </xf>
    <xf numFmtId="169" fontId="7" fillId="46" borderId="22" xfId="0" applyNumberFormat="1" applyFont="1" applyFill="1" applyBorder="1" applyAlignment="1">
      <alignment horizontal="center" vertical="center"/>
    </xf>
    <xf numFmtId="169" fontId="9" fillId="46" borderId="0" xfId="0" applyNumberFormat="1" applyFont="1" applyFill="1" applyBorder="1" applyAlignment="1">
      <alignment horizontal="center" vertical="center"/>
    </xf>
    <xf numFmtId="0" fontId="4" fillId="46" borderId="0" xfId="0" applyFont="1" applyFill="1" applyAlignment="1">
      <alignment vertical="center"/>
    </xf>
    <xf numFmtId="0" fontId="29" fillId="46" borderId="36" xfId="0" applyFont="1" applyFill="1" applyBorder="1" applyAlignment="1">
      <alignment vertical="center"/>
    </xf>
    <xf numFmtId="0" fontId="8" fillId="46" borderId="43" xfId="0" applyFont="1" applyFill="1" applyBorder="1" applyAlignment="1">
      <alignment horizontal="center" vertical="center"/>
    </xf>
    <xf numFmtId="0" fontId="6" fillId="46" borderId="37" xfId="0" applyFont="1" applyFill="1" applyBorder="1" applyAlignment="1">
      <alignment vertical="center" wrapText="1"/>
    </xf>
    <xf numFmtId="169" fontId="7" fillId="46" borderId="84" xfId="0" applyNumberFormat="1" applyFont="1" applyFill="1" applyBorder="1" applyAlignment="1">
      <alignment vertical="center"/>
    </xf>
    <xf numFmtId="169" fontId="7" fillId="46" borderId="49" xfId="0" applyNumberFormat="1" applyFont="1" applyFill="1" applyBorder="1" applyAlignment="1">
      <alignment vertical="center"/>
    </xf>
    <xf numFmtId="169" fontId="7" fillId="46" borderId="43" xfId="0" applyNumberFormat="1" applyFont="1" applyFill="1" applyBorder="1" applyAlignment="1">
      <alignment vertical="center"/>
    </xf>
    <xf numFmtId="169" fontId="7" fillId="46" borderId="38" xfId="0" applyNumberFormat="1" applyFont="1" applyFill="1" applyBorder="1" applyAlignment="1">
      <alignment vertical="center" wrapText="1"/>
    </xf>
    <xf numFmtId="169" fontId="30" fillId="46" borderId="0" xfId="0" applyNumberFormat="1" applyFont="1" applyFill="1" applyBorder="1" applyAlignment="1">
      <alignment vertical="center"/>
    </xf>
    <xf numFmtId="0" fontId="29" fillId="46" borderId="0" xfId="0" applyFont="1" applyFill="1" applyAlignment="1">
      <alignment vertical="center"/>
    </xf>
    <xf numFmtId="4" fontId="29" fillId="46" borderId="0" xfId="0" applyNumberFormat="1" applyFont="1" applyFill="1" applyAlignment="1">
      <alignment vertical="center"/>
    </xf>
    <xf numFmtId="0" fontId="7" fillId="0" borderId="64" xfId="0" applyFont="1" applyFill="1" applyBorder="1"/>
    <xf numFmtId="169" fontId="7" fillId="0" borderId="64" xfId="0" applyNumberFormat="1" applyFont="1" applyFill="1" applyBorder="1"/>
    <xf numFmtId="169" fontId="7" fillId="0" borderId="64" xfId="0" applyNumberFormat="1" applyFont="1" applyFill="1" applyBorder="1" applyAlignment="1">
      <alignment horizontal="center"/>
    </xf>
    <xf numFmtId="169" fontId="7" fillId="0" borderId="6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2" fontId="6" fillId="0" borderId="103" xfId="0" applyNumberFormat="1" applyFont="1" applyFill="1" applyBorder="1" applyAlignment="1">
      <alignment horizontal="center"/>
    </xf>
    <xf numFmtId="169" fontId="6" fillId="0" borderId="103" xfId="0" applyNumberFormat="1" applyFont="1" applyFill="1" applyBorder="1" applyAlignment="1">
      <alignment horizontal="center"/>
    </xf>
    <xf numFmtId="169" fontId="6" fillId="0" borderId="103" xfId="113" applyNumberFormat="1" applyFont="1" applyFill="1" applyBorder="1" applyAlignment="1" applyProtection="1">
      <alignment horizontal="center"/>
    </xf>
    <xf numFmtId="169" fontId="7" fillId="0" borderId="45" xfId="0" applyNumberFormat="1" applyFont="1" applyFill="1" applyBorder="1" applyAlignment="1">
      <alignment horizontal="center" vertical="center"/>
    </xf>
    <xf numFmtId="0" fontId="0" fillId="0" borderId="39" xfId="0" applyFill="1" applyBorder="1"/>
    <xf numFmtId="169" fontId="7" fillId="0" borderId="28" xfId="0" applyNumberFormat="1" applyFont="1" applyFill="1" applyBorder="1" applyAlignment="1">
      <alignment horizontal="center" vertical="center"/>
    </xf>
    <xf numFmtId="0" fontId="6" fillId="0" borderId="39" xfId="0" applyFont="1" applyFill="1" applyBorder="1"/>
    <xf numFmtId="169" fontId="6" fillId="0" borderId="23" xfId="0" applyNumberFormat="1" applyFont="1" applyFill="1" applyBorder="1" applyAlignment="1">
      <alignment horizontal="center"/>
    </xf>
    <xf numFmtId="169" fontId="6" fillId="0" borderId="22" xfId="113" applyNumberFormat="1" applyFont="1" applyFill="1" applyBorder="1" applyAlignment="1" applyProtection="1">
      <alignment horizontal="center"/>
    </xf>
    <xf numFmtId="169" fontId="6" fillId="0" borderId="13" xfId="113" applyNumberFormat="1" applyFont="1" applyFill="1" applyBorder="1" applyAlignment="1" applyProtection="1">
      <alignment horizontal="center"/>
    </xf>
    <xf numFmtId="0" fontId="0" fillId="0" borderId="127" xfId="0" applyFill="1" applyBorder="1"/>
    <xf numFmtId="169" fontId="6" fillId="0" borderId="37" xfId="113" applyNumberFormat="1" applyFont="1" applyFill="1" applyBorder="1" applyAlignment="1" applyProtection="1">
      <alignment horizontal="center"/>
    </xf>
    <xf numFmtId="2" fontId="6" fillId="0" borderId="102" xfId="0" applyNumberFormat="1" applyFont="1" applyFill="1" applyBorder="1" applyAlignment="1">
      <alignment horizontal="center"/>
    </xf>
    <xf numFmtId="2" fontId="5" fillId="0" borderId="88" xfId="0" applyNumberFormat="1" applyFont="1" applyFill="1" applyBorder="1"/>
    <xf numFmtId="169" fontId="6" fillId="0" borderId="24" xfId="113" applyNumberFormat="1" applyFont="1" applyFill="1" applyBorder="1" applyAlignment="1" applyProtection="1">
      <alignment horizontal="center"/>
    </xf>
    <xf numFmtId="169" fontId="6" fillId="0" borderId="54" xfId="0" applyNumberFormat="1" applyFont="1" applyFill="1" applyBorder="1" applyAlignment="1">
      <alignment horizontal="center"/>
    </xf>
    <xf numFmtId="169" fontId="6" fillId="0" borderId="38" xfId="113" applyNumberFormat="1" applyFont="1" applyFill="1" applyBorder="1" applyAlignment="1" applyProtection="1">
      <alignment horizontal="center"/>
    </xf>
    <xf numFmtId="169" fontId="6" fillId="0" borderId="42" xfId="113" applyNumberFormat="1" applyFont="1" applyFill="1" applyBorder="1" applyAlignment="1" applyProtection="1">
      <alignment horizontal="center"/>
    </xf>
    <xf numFmtId="0" fontId="0" fillId="0" borderId="70" xfId="0" applyFill="1" applyBorder="1"/>
    <xf numFmtId="4" fontId="6" fillId="0" borderId="22" xfId="0" applyNumberFormat="1" applyFont="1" applyFill="1" applyBorder="1" applyAlignment="1">
      <alignment horizontal="center"/>
    </xf>
    <xf numFmtId="0" fontId="0" fillId="0" borderId="89" xfId="0" applyFill="1" applyBorder="1"/>
    <xf numFmtId="0" fontId="0" fillId="0" borderId="68" xfId="0" applyFill="1" applyBorder="1"/>
    <xf numFmtId="0" fontId="0" fillId="0" borderId="82" xfId="0" applyFill="1" applyBorder="1"/>
    <xf numFmtId="2" fontId="6" fillId="0" borderId="65" xfId="0" applyNumberFormat="1" applyFont="1" applyFill="1" applyBorder="1" applyAlignment="1">
      <alignment horizontal="center"/>
    </xf>
    <xf numFmtId="174" fontId="7" fillId="0" borderId="38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170" fontId="6" fillId="0" borderId="40" xfId="0" applyNumberFormat="1" applyFont="1" applyFill="1" applyBorder="1" applyAlignment="1">
      <alignment horizontal="center"/>
    </xf>
    <xf numFmtId="0" fontId="0" fillId="0" borderId="41" xfId="0" applyFill="1" applyBorder="1"/>
    <xf numFmtId="0" fontId="0" fillId="0" borderId="36" xfId="0" applyFill="1" applyBorder="1"/>
    <xf numFmtId="4" fontId="6" fillId="0" borderId="40" xfId="0" applyNumberFormat="1" applyFont="1" applyFill="1" applyBorder="1" applyAlignment="1">
      <alignment horizontal="center"/>
    </xf>
    <xf numFmtId="0" fontId="0" fillId="0" borderId="23" xfId="0" applyFill="1" applyBorder="1"/>
    <xf numFmtId="2" fontId="6" fillId="0" borderId="41" xfId="0" applyNumberFormat="1" applyFont="1" applyFill="1" applyBorder="1"/>
    <xf numFmtId="2" fontId="6" fillId="0" borderId="28" xfId="0" applyNumberFormat="1" applyFont="1" applyFill="1" applyBorder="1"/>
    <xf numFmtId="0" fontId="6" fillId="0" borderId="93" xfId="0" applyFont="1" applyFill="1" applyBorder="1" applyAlignment="1">
      <alignment horizontal="center"/>
    </xf>
    <xf numFmtId="0" fontId="0" fillId="0" borderId="32" xfId="0" applyFill="1" applyBorder="1"/>
    <xf numFmtId="2" fontId="6" fillId="0" borderId="44" xfId="0" applyNumberFormat="1" applyFont="1" applyFill="1" applyBorder="1" applyAlignment="1">
      <alignment horizontal="center"/>
    </xf>
    <xf numFmtId="0" fontId="0" fillId="0" borderId="66" xfId="0" applyFill="1" applyBorder="1"/>
    <xf numFmtId="0" fontId="0" fillId="0" borderId="69" xfId="0" applyFill="1" applyBorder="1"/>
    <xf numFmtId="169" fontId="6" fillId="0" borderId="32" xfId="113" applyNumberFormat="1" applyFont="1" applyFill="1" applyBorder="1" applyAlignment="1" applyProtection="1"/>
    <xf numFmtId="0" fontId="0" fillId="0" borderId="93" xfId="0" applyFill="1" applyBorder="1"/>
    <xf numFmtId="4" fontId="6" fillId="0" borderId="38" xfId="0" applyNumberFormat="1" applyFont="1" applyFill="1" applyBorder="1" applyAlignment="1">
      <alignment horizontal="center"/>
    </xf>
    <xf numFmtId="2" fontId="6" fillId="0" borderId="65" xfId="0" applyNumberFormat="1" applyFont="1" applyFill="1" applyBorder="1"/>
    <xf numFmtId="9" fontId="6" fillId="0" borderId="109" xfId="0" applyNumberFormat="1" applyFont="1" applyFill="1" applyBorder="1"/>
    <xf numFmtId="9" fontId="6" fillId="0" borderId="92" xfId="0" applyNumberFormat="1" applyFont="1" applyFill="1" applyBorder="1"/>
    <xf numFmtId="169" fontId="6" fillId="0" borderId="40" xfId="113" applyNumberFormat="1" applyFont="1" applyFill="1" applyBorder="1" applyAlignment="1" applyProtection="1">
      <alignment horizontal="center"/>
    </xf>
    <xf numFmtId="169" fontId="6" fillId="0" borderId="41" xfId="113" applyNumberFormat="1" applyFont="1" applyFill="1" applyBorder="1" applyAlignment="1" applyProtection="1">
      <alignment horizontal="center"/>
    </xf>
    <xf numFmtId="0" fontId="0" fillId="0" borderId="95" xfId="0" applyFill="1" applyBorder="1"/>
    <xf numFmtId="0" fontId="0" fillId="0" borderId="81" xfId="0" applyFill="1" applyBorder="1"/>
    <xf numFmtId="2" fontId="6" fillId="0" borderId="126" xfId="0" applyNumberFormat="1" applyFont="1" applyFill="1" applyBorder="1" applyAlignment="1">
      <alignment horizontal="center"/>
    </xf>
    <xf numFmtId="2" fontId="6" fillId="0" borderId="28" xfId="0" applyNumberFormat="1" applyFont="1" applyFill="1" applyBorder="1" applyAlignment="1">
      <alignment horizontal="center"/>
    </xf>
    <xf numFmtId="169" fontId="7" fillId="0" borderId="32" xfId="0" applyNumberFormat="1" applyFont="1" applyFill="1" applyBorder="1" applyAlignment="1">
      <alignment horizontal="center" vertical="center"/>
    </xf>
    <xf numFmtId="174" fontId="7" fillId="0" borderId="40" xfId="0" applyNumberFormat="1" applyFont="1" applyFill="1" applyBorder="1" applyAlignment="1">
      <alignment horizontal="center" vertical="center"/>
    </xf>
    <xf numFmtId="169" fontId="7" fillId="0" borderId="83" xfId="0" applyNumberFormat="1" applyFont="1" applyFill="1" applyBorder="1" applyAlignment="1">
      <alignment horizontal="center" vertical="center"/>
    </xf>
    <xf numFmtId="169" fontId="7" fillId="0" borderId="62" xfId="0" applyNumberFormat="1" applyFont="1" applyFill="1" applyBorder="1" applyAlignment="1">
      <alignment horizontal="center" vertical="center"/>
    </xf>
    <xf numFmtId="169" fontId="7" fillId="0" borderId="21" xfId="0" applyNumberFormat="1" applyFont="1" applyFill="1" applyBorder="1" applyAlignment="1">
      <alignment horizontal="right" vertical="center"/>
    </xf>
    <xf numFmtId="169" fontId="7" fillId="0" borderId="21" xfId="0" applyNumberFormat="1" applyFont="1" applyFill="1" applyBorder="1" applyAlignment="1">
      <alignment vertical="center"/>
    </xf>
    <xf numFmtId="169" fontId="7" fillId="0" borderId="54" xfId="0" applyNumberFormat="1" applyFont="1" applyFill="1" applyBorder="1" applyAlignment="1">
      <alignment vertical="center"/>
    </xf>
    <xf numFmtId="169" fontId="7" fillId="0" borderId="26" xfId="0" applyNumberFormat="1" applyFont="1" applyFill="1" applyBorder="1" applyAlignment="1">
      <alignment horizontal="right" vertical="center"/>
    </xf>
    <xf numFmtId="169" fontId="7" fillId="0" borderId="26" xfId="0" applyNumberFormat="1" applyFont="1" applyFill="1" applyBorder="1" applyAlignment="1">
      <alignment vertical="center" wrapText="1"/>
    </xf>
    <xf numFmtId="169" fontId="7" fillId="0" borderId="21" xfId="0" applyNumberFormat="1" applyFont="1" applyFill="1" applyBorder="1" applyAlignment="1">
      <alignment vertical="center" wrapText="1"/>
    </xf>
    <xf numFmtId="169" fontId="7" fillId="0" borderId="21" xfId="0" applyNumberFormat="1" applyFont="1" applyFill="1" applyBorder="1" applyAlignment="1">
      <alignment horizontal="center" vertical="center" wrapText="1"/>
    </xf>
    <xf numFmtId="169" fontId="7" fillId="0" borderId="54" xfId="0" applyNumberFormat="1" applyFont="1" applyFill="1" applyBorder="1" applyAlignment="1">
      <alignment vertical="center" wrapText="1"/>
    </xf>
    <xf numFmtId="169" fontId="7" fillId="0" borderId="26" xfId="0" applyNumberFormat="1" applyFont="1" applyFill="1" applyBorder="1" applyAlignment="1">
      <alignment horizontal="center" vertical="center"/>
    </xf>
    <xf numFmtId="177" fontId="9" fillId="0" borderId="14" xfId="0" applyNumberFormat="1" applyFont="1" applyFill="1" applyBorder="1" applyAlignment="1">
      <alignment horizontal="center"/>
    </xf>
    <xf numFmtId="174" fontId="7" fillId="0" borderId="37" xfId="0" applyNumberFormat="1" applyFont="1" applyFill="1" applyBorder="1" applyAlignment="1">
      <alignment horizontal="center" vertical="center"/>
    </xf>
    <xf numFmtId="174" fontId="7" fillId="0" borderId="47" xfId="0" applyNumberFormat="1" applyFont="1" applyFill="1" applyBorder="1" applyAlignment="1">
      <alignment horizontal="center" vertical="center"/>
    </xf>
    <xf numFmtId="174" fontId="7" fillId="0" borderId="22" xfId="0" applyNumberFormat="1" applyFont="1" applyFill="1" applyBorder="1" applyAlignment="1">
      <alignment horizontal="center" vertical="center"/>
    </xf>
    <xf numFmtId="2" fontId="6" fillId="0" borderId="72" xfId="0" applyNumberFormat="1" applyFont="1" applyFill="1" applyBorder="1"/>
    <xf numFmtId="169" fontId="7" fillId="0" borderId="27" xfId="0" applyNumberFormat="1" applyFont="1" applyFill="1" applyBorder="1" applyAlignment="1">
      <alignment horizontal="center" vertical="center" wrapText="1"/>
    </xf>
    <xf numFmtId="169" fontId="9" fillId="0" borderId="8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0" borderId="127" xfId="0" applyFont="1" applyFill="1" applyBorder="1"/>
    <xf numFmtId="0" fontId="5" fillId="0" borderId="0" xfId="0" applyFont="1" applyFill="1" applyBorder="1" applyAlignment="1">
      <alignment horizontal="left" wrapText="1"/>
    </xf>
    <xf numFmtId="169" fontId="6" fillId="0" borderId="0" xfId="113" applyNumberFormat="1" applyFont="1" applyFill="1" applyBorder="1" applyAlignment="1" applyProtection="1">
      <alignment horizontal="center"/>
    </xf>
    <xf numFmtId="169" fontId="6" fillId="0" borderId="0" xfId="113" applyNumberFormat="1" applyFont="1" applyFill="1" applyBorder="1" applyAlignment="1" applyProtection="1"/>
    <xf numFmtId="0" fontId="43" fillId="0" borderId="43" xfId="0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/>
    </xf>
    <xf numFmtId="0" fontId="43" fillId="0" borderId="37" xfId="0" applyFont="1" applyFill="1" applyBorder="1" applyAlignment="1">
      <alignment vertical="center"/>
    </xf>
    <xf numFmtId="169" fontId="44" fillId="0" borderId="84" xfId="0" applyNumberFormat="1" applyFont="1" applyFill="1" applyBorder="1" applyAlignment="1">
      <alignment vertical="center"/>
    </xf>
    <xf numFmtId="169" fontId="44" fillId="0" borderId="49" xfId="0" applyNumberFormat="1" applyFont="1" applyFill="1" applyBorder="1" applyAlignment="1">
      <alignment vertical="center"/>
    </xf>
    <xf numFmtId="169" fontId="44" fillId="0" borderId="37" xfId="0" applyNumberFormat="1" applyFont="1" applyFill="1" applyBorder="1" applyAlignment="1">
      <alignment vertical="center"/>
    </xf>
    <xf numFmtId="169" fontId="44" fillId="0" borderId="38" xfId="0" applyNumberFormat="1" applyFont="1" applyFill="1" applyBorder="1" applyAlignment="1">
      <alignment vertical="center"/>
    </xf>
    <xf numFmtId="169" fontId="44" fillId="0" borderId="43" xfId="0" applyNumberFormat="1" applyFont="1" applyFill="1" applyBorder="1" applyAlignment="1">
      <alignment vertical="center"/>
    </xf>
    <xf numFmtId="169" fontId="44" fillId="0" borderId="43" xfId="0" applyNumberFormat="1" applyFont="1" applyFill="1" applyBorder="1" applyAlignment="1">
      <alignment vertical="center" wrapText="1"/>
    </xf>
    <xf numFmtId="169" fontId="44" fillId="0" borderId="37" xfId="0" applyNumberFormat="1" applyFont="1" applyFill="1" applyBorder="1" applyAlignment="1">
      <alignment vertical="center" wrapText="1"/>
    </xf>
    <xf numFmtId="169" fontId="44" fillId="0" borderId="37" xfId="0" applyNumberFormat="1" applyFont="1" applyFill="1" applyBorder="1" applyAlignment="1">
      <alignment horizontal="center" vertical="center" wrapText="1"/>
    </xf>
    <xf numFmtId="169" fontId="44" fillId="0" borderId="38" xfId="0" applyNumberFormat="1" applyFont="1" applyFill="1" applyBorder="1" applyAlignment="1">
      <alignment vertical="center" wrapText="1"/>
    </xf>
    <xf numFmtId="169" fontId="44" fillId="0" borderId="43" xfId="0" applyNumberFormat="1" applyFont="1" applyFill="1" applyBorder="1" applyAlignment="1">
      <alignment horizontal="center" vertical="center"/>
    </xf>
    <xf numFmtId="169" fontId="44" fillId="0" borderId="37" xfId="0" applyNumberFormat="1" applyFont="1" applyFill="1" applyBorder="1" applyAlignment="1">
      <alignment horizontal="center" vertical="center"/>
    </xf>
    <xf numFmtId="169" fontId="44" fillId="0" borderId="38" xfId="0" applyNumberFormat="1" applyFont="1" applyFill="1" applyBorder="1" applyAlignment="1">
      <alignment horizontal="center" vertical="center"/>
    </xf>
    <xf numFmtId="169" fontId="44" fillId="0" borderId="47" xfId="0" applyNumberFormat="1" applyFont="1" applyFill="1" applyBorder="1" applyAlignment="1">
      <alignment horizontal="center" vertical="center"/>
    </xf>
    <xf numFmtId="169" fontId="44" fillId="0" borderId="40" xfId="0" applyNumberFormat="1" applyFont="1" applyFill="1" applyBorder="1" applyAlignment="1">
      <alignment horizontal="center" vertical="center"/>
    </xf>
    <xf numFmtId="169" fontId="44" fillId="0" borderId="22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39" fillId="0" borderId="37" xfId="0" applyFont="1" applyFill="1" applyBorder="1" applyAlignment="1">
      <alignment horizontal="left" vertical="center" wrapText="1"/>
    </xf>
    <xf numFmtId="0" fontId="44" fillId="0" borderId="37" xfId="0" applyFont="1" applyFill="1" applyBorder="1" applyAlignment="1">
      <alignment vertical="center"/>
    </xf>
    <xf numFmtId="0" fontId="44" fillId="0" borderId="43" xfId="0" applyFont="1" applyFill="1" applyBorder="1" applyAlignment="1">
      <alignment horizontal="center" vertical="center"/>
    </xf>
    <xf numFmtId="169" fontId="44" fillId="0" borderId="38" xfId="0" applyNumberFormat="1" applyFont="1" applyFill="1" applyBorder="1" applyAlignment="1">
      <alignment horizontal="center" vertical="center" wrapText="1"/>
    </xf>
    <xf numFmtId="169" fontId="44" fillId="0" borderId="0" xfId="0" applyNumberFormat="1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2" fontId="44" fillId="0" borderId="0" xfId="0" applyNumberFormat="1" applyFont="1" applyFill="1" applyBorder="1"/>
    <xf numFmtId="2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/>
    <xf numFmtId="170" fontId="44" fillId="0" borderId="0" xfId="0" applyNumberFormat="1" applyFont="1" applyFill="1" applyBorder="1" applyAlignment="1">
      <alignment horizontal="right"/>
    </xf>
    <xf numFmtId="169" fontId="44" fillId="0" borderId="0" xfId="0" applyNumberFormat="1" applyFont="1" applyFill="1" applyBorder="1"/>
    <xf numFmtId="0" fontId="44" fillId="0" borderId="37" xfId="0" quotePrefix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vertical="center" wrapText="1"/>
    </xf>
    <xf numFmtId="169" fontId="44" fillId="0" borderId="37" xfId="0" quotePrefix="1" applyNumberFormat="1" applyFont="1" applyFill="1" applyBorder="1" applyAlignment="1">
      <alignment horizontal="center" vertical="center"/>
    </xf>
    <xf numFmtId="169" fontId="44" fillId="0" borderId="38" xfId="0" quotePrefix="1" applyNumberFormat="1" applyFont="1" applyFill="1" applyBorder="1" applyAlignment="1">
      <alignment horizontal="center" vertical="center"/>
    </xf>
    <xf numFmtId="169" fontId="44" fillId="0" borderId="40" xfId="0" quotePrefix="1" applyNumberFormat="1" applyFont="1" applyFill="1" applyBorder="1" applyAlignment="1">
      <alignment horizontal="center" vertical="center"/>
    </xf>
    <xf numFmtId="169" fontId="44" fillId="0" borderId="47" xfId="0" quotePrefix="1" applyNumberFormat="1" applyFont="1" applyFill="1" applyBorder="1" applyAlignment="1">
      <alignment horizontal="center" vertical="center"/>
    </xf>
    <xf numFmtId="169" fontId="44" fillId="0" borderId="2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4" fillId="0" borderId="27" xfId="0" applyFont="1" applyFill="1" applyBorder="1" applyAlignment="1">
      <alignment horizontal="center" vertical="center"/>
    </xf>
    <xf numFmtId="0" fontId="44" fillId="0" borderId="33" xfId="0" quotePrefix="1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vertical="center"/>
    </xf>
    <xf numFmtId="0" fontId="44" fillId="0" borderId="33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left" vertical="center" wrapText="1"/>
    </xf>
    <xf numFmtId="169" fontId="44" fillId="0" borderId="114" xfId="0" applyNumberFormat="1" applyFont="1" applyFill="1" applyBorder="1" applyAlignment="1">
      <alignment vertical="center"/>
    </xf>
    <xf numFmtId="169" fontId="44" fillId="0" borderId="68" xfId="0" applyNumberFormat="1" applyFont="1" applyFill="1" applyBorder="1" applyAlignment="1">
      <alignment vertical="center"/>
    </xf>
    <xf numFmtId="169" fontId="44" fillId="0" borderId="33" xfId="0" applyNumberFormat="1" applyFont="1" applyFill="1" applyBorder="1" applyAlignment="1">
      <alignment vertical="center"/>
    </xf>
    <xf numFmtId="169" fontId="44" fillId="0" borderId="20" xfId="0" applyNumberFormat="1" applyFont="1" applyFill="1" applyBorder="1" applyAlignment="1">
      <alignment vertical="center"/>
    </xf>
    <xf numFmtId="169" fontId="44" fillId="0" borderId="27" xfId="0" applyNumberFormat="1" applyFont="1" applyFill="1" applyBorder="1" applyAlignment="1">
      <alignment vertical="center"/>
    </xf>
    <xf numFmtId="169" fontId="44" fillId="0" borderId="27" xfId="0" applyNumberFormat="1" applyFont="1" applyFill="1" applyBorder="1" applyAlignment="1">
      <alignment vertical="center" wrapText="1"/>
    </xf>
    <xf numFmtId="169" fontId="44" fillId="0" borderId="33" xfId="0" applyNumberFormat="1" applyFont="1" applyFill="1" applyBorder="1" applyAlignment="1">
      <alignment vertical="center" wrapText="1"/>
    </xf>
    <xf numFmtId="169" fontId="44" fillId="0" borderId="33" xfId="0" applyNumberFormat="1" applyFont="1" applyFill="1" applyBorder="1" applyAlignment="1">
      <alignment horizontal="center" vertical="center" wrapText="1"/>
    </xf>
    <xf numFmtId="169" fontId="44" fillId="0" borderId="20" xfId="0" applyNumberFormat="1" applyFont="1" applyFill="1" applyBorder="1" applyAlignment="1">
      <alignment horizontal="center" vertical="center" wrapText="1"/>
    </xf>
    <xf numFmtId="169" fontId="44" fillId="0" borderId="27" xfId="0" applyNumberFormat="1" applyFont="1" applyFill="1" applyBorder="1" applyAlignment="1">
      <alignment horizontal="center" vertical="center"/>
    </xf>
    <xf numFmtId="169" fontId="44" fillId="0" borderId="33" xfId="0" applyNumberFormat="1" applyFont="1" applyFill="1" applyBorder="1" applyAlignment="1">
      <alignment horizontal="center" vertical="center"/>
    </xf>
    <xf numFmtId="169" fontId="44" fillId="0" borderId="20" xfId="0" applyNumberFormat="1" applyFont="1" applyFill="1" applyBorder="1" applyAlignment="1">
      <alignment horizontal="center" vertical="center"/>
    </xf>
    <xf numFmtId="169" fontId="44" fillId="45" borderId="49" xfId="0" applyNumberFormat="1" applyFont="1" applyFill="1" applyBorder="1" applyAlignment="1">
      <alignment vertical="center"/>
    </xf>
    <xf numFmtId="169" fontId="44" fillId="45" borderId="37" xfId="0" applyNumberFormat="1" applyFont="1" applyFill="1" applyBorder="1" applyAlignment="1">
      <alignment vertical="center"/>
    </xf>
    <xf numFmtId="169" fontId="44" fillId="45" borderId="38" xfId="0" applyNumberFormat="1" applyFont="1" applyFill="1" applyBorder="1" applyAlignment="1">
      <alignment vertical="center"/>
    </xf>
    <xf numFmtId="169" fontId="44" fillId="45" borderId="43" xfId="0" applyNumberFormat="1" applyFont="1" applyFill="1" applyBorder="1" applyAlignment="1">
      <alignment vertical="center"/>
    </xf>
    <xf numFmtId="169" fontId="44" fillId="45" borderId="43" xfId="0" applyNumberFormat="1" applyFont="1" applyFill="1" applyBorder="1" applyAlignment="1">
      <alignment vertical="center" wrapText="1"/>
    </xf>
    <xf numFmtId="169" fontId="44" fillId="45" borderId="37" xfId="0" applyNumberFormat="1" applyFont="1" applyFill="1" applyBorder="1" applyAlignment="1">
      <alignment vertical="center" wrapText="1"/>
    </xf>
    <xf numFmtId="169" fontId="44" fillId="45" borderId="37" xfId="0" applyNumberFormat="1" applyFont="1" applyFill="1" applyBorder="1" applyAlignment="1">
      <alignment horizontal="center" vertical="center" wrapText="1"/>
    </xf>
    <xf numFmtId="169" fontId="44" fillId="45" borderId="38" xfId="0" applyNumberFormat="1" applyFont="1" applyFill="1" applyBorder="1" applyAlignment="1">
      <alignment horizontal="center" vertical="center" wrapText="1"/>
    </xf>
    <xf numFmtId="169" fontId="44" fillId="45" borderId="43" xfId="0" applyNumberFormat="1" applyFont="1" applyFill="1" applyBorder="1" applyAlignment="1">
      <alignment horizontal="center" vertical="center"/>
    </xf>
    <xf numFmtId="169" fontId="44" fillId="45" borderId="37" xfId="0" applyNumberFormat="1" applyFont="1" applyFill="1" applyBorder="1" applyAlignment="1">
      <alignment horizontal="center" vertical="center"/>
    </xf>
    <xf numFmtId="169" fontId="44" fillId="45" borderId="38" xfId="0" applyNumberFormat="1" applyFont="1" applyFill="1" applyBorder="1" applyAlignment="1">
      <alignment horizontal="center" vertical="center"/>
    </xf>
    <xf numFmtId="169" fontId="44" fillId="0" borderId="20" xfId="0" quotePrefix="1" applyNumberFormat="1" applyFont="1" applyFill="1" applyBorder="1" applyAlignment="1">
      <alignment horizontal="center" vertical="center"/>
    </xf>
    <xf numFmtId="169" fontId="44" fillId="0" borderId="19" xfId="0" quotePrefix="1" applyNumberFormat="1" applyFont="1" applyFill="1" applyBorder="1" applyAlignment="1">
      <alignment horizontal="center" vertical="center"/>
    </xf>
    <xf numFmtId="169" fontId="44" fillId="0" borderId="44" xfId="0" quotePrefix="1" applyNumberFormat="1" applyFont="1" applyFill="1" applyBorder="1" applyAlignment="1">
      <alignment horizontal="center" vertical="center"/>
    </xf>
    <xf numFmtId="169" fontId="44" fillId="0" borderId="65" xfId="0" quotePrefix="1" applyNumberFormat="1" applyFont="1" applyFill="1" applyBorder="1" applyAlignment="1">
      <alignment horizontal="center" vertical="center"/>
    </xf>
    <xf numFmtId="169" fontId="44" fillId="0" borderId="28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vertical="center"/>
    </xf>
    <xf numFmtId="2" fontId="6" fillId="0" borderId="126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69" fontId="44" fillId="0" borderId="53" xfId="0" quotePrefix="1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81" xfId="0" applyFill="1" applyBorder="1" applyAlignment="1">
      <alignment horizontal="center"/>
    </xf>
    <xf numFmtId="0" fontId="6" fillId="47" borderId="0" xfId="0" applyFont="1" applyFill="1" applyBorder="1"/>
    <xf numFmtId="2" fontId="6" fillId="47" borderId="21" xfId="0" applyNumberFormat="1" applyFont="1" applyFill="1" applyBorder="1" applyAlignment="1"/>
    <xf numFmtId="2" fontId="6" fillId="47" borderId="37" xfId="0" applyNumberFormat="1" applyFont="1" applyFill="1" applyBorder="1" applyAlignment="1">
      <alignment horizontal="right"/>
    </xf>
    <xf numFmtId="2" fontId="6" fillId="47" borderId="24" xfId="0" applyNumberFormat="1" applyFont="1" applyFill="1" applyBorder="1"/>
    <xf numFmtId="169" fontId="6" fillId="47" borderId="21" xfId="0" applyNumberFormat="1" applyFont="1" applyFill="1" applyBorder="1"/>
    <xf numFmtId="169" fontId="6" fillId="47" borderId="37" xfId="113" applyNumberFormat="1" applyFont="1" applyFill="1" applyBorder="1" applyAlignment="1" applyProtection="1"/>
    <xf numFmtId="169" fontId="6" fillId="47" borderId="24" xfId="113" applyNumberFormat="1" applyFont="1" applyFill="1" applyBorder="1" applyAlignment="1" applyProtection="1"/>
    <xf numFmtId="169" fontId="6" fillId="47" borderId="21" xfId="113" applyNumberFormat="1" applyFont="1" applyFill="1" applyBorder="1" applyAlignment="1" applyProtection="1"/>
    <xf numFmtId="2" fontId="5" fillId="47" borderId="73" xfId="0" applyNumberFormat="1" applyFont="1" applyFill="1" applyBorder="1" applyAlignment="1">
      <alignment horizontal="center"/>
    </xf>
    <xf numFmtId="169" fontId="6" fillId="0" borderId="54" xfId="113" applyNumberFormat="1" applyFont="1" applyFill="1" applyBorder="1" applyAlignment="1" applyProtection="1">
      <alignment horizontal="center"/>
    </xf>
    <xf numFmtId="0" fontId="5" fillId="0" borderId="38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9" fontId="9" fillId="0" borderId="37" xfId="0" quotePrefix="1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72" xfId="0" applyFill="1" applyBorder="1"/>
    <xf numFmtId="0" fontId="0" fillId="0" borderId="31" xfId="0" applyFill="1" applyBorder="1"/>
    <xf numFmtId="169" fontId="6" fillId="0" borderId="21" xfId="113" applyNumberFormat="1" applyFont="1" applyFill="1" applyBorder="1" applyAlignment="1" applyProtection="1">
      <alignment horizontal="center"/>
    </xf>
    <xf numFmtId="2" fontId="4" fillId="0" borderId="128" xfId="0" applyNumberFormat="1" applyFont="1" applyFill="1" applyBorder="1" applyAlignment="1">
      <alignment horizontal="right"/>
    </xf>
    <xf numFmtId="169" fontId="9" fillId="0" borderId="47" xfId="0" quotePrefix="1" applyNumberFormat="1" applyFont="1" applyFill="1" applyBorder="1" applyAlignment="1">
      <alignment horizontal="center" vertical="center"/>
    </xf>
    <xf numFmtId="0" fontId="0" fillId="0" borderId="7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4" fontId="6" fillId="0" borderId="47" xfId="0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74" xfId="0" applyFill="1" applyBorder="1" applyAlignment="1">
      <alignment horizontal="center"/>
    </xf>
    <xf numFmtId="2" fontId="6" fillId="0" borderId="66" xfId="0" applyNumberFormat="1" applyFont="1" applyFill="1" applyBorder="1"/>
    <xf numFmtId="0" fontId="0" fillId="0" borderId="95" xfId="0" applyFill="1" applyBorder="1" applyAlignment="1">
      <alignment horizontal="center"/>
    </xf>
    <xf numFmtId="169" fontId="6" fillId="0" borderId="45" xfId="113" applyNumberFormat="1" applyFont="1" applyFill="1" applyBorder="1" applyAlignment="1" applyProtection="1">
      <alignment horizontal="center"/>
    </xf>
    <xf numFmtId="169" fontId="6" fillId="0" borderId="47" xfId="113" applyNumberFormat="1" applyFont="1" applyFill="1" applyBorder="1" applyAlignment="1" applyProtection="1">
      <alignment horizontal="center"/>
    </xf>
    <xf numFmtId="169" fontId="6" fillId="0" borderId="50" xfId="113" applyNumberFormat="1" applyFont="1" applyFill="1" applyBorder="1" applyAlignment="1" applyProtection="1">
      <alignment horizontal="center"/>
    </xf>
    <xf numFmtId="2" fontId="6" fillId="0" borderId="45" xfId="0" applyNumberFormat="1" applyFont="1" applyFill="1" applyBorder="1" applyAlignment="1">
      <alignment horizontal="center"/>
    </xf>
    <xf numFmtId="169" fontId="6" fillId="0" borderId="45" xfId="0" applyNumberFormat="1" applyFont="1" applyFill="1" applyBorder="1" applyAlignment="1">
      <alignment horizontal="center"/>
    </xf>
    <xf numFmtId="169" fontId="9" fillId="0" borderId="38" xfId="0" quotePrefix="1" applyNumberFormat="1" applyFont="1" applyFill="1" applyBorder="1" applyAlignment="1">
      <alignment horizontal="center" vertical="center"/>
    </xf>
    <xf numFmtId="0" fontId="5" fillId="0" borderId="82" xfId="0" applyNumberFormat="1" applyFont="1" applyBorder="1" applyAlignment="1"/>
    <xf numFmtId="4" fontId="6" fillId="0" borderId="43" xfId="0" applyNumberFormat="1" applyFont="1" applyFill="1" applyBorder="1" applyAlignment="1">
      <alignment horizontal="center"/>
    </xf>
    <xf numFmtId="0" fontId="6" fillId="0" borderId="90" xfId="0" applyFont="1" applyFill="1" applyBorder="1"/>
    <xf numFmtId="0" fontId="6" fillId="0" borderId="110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72" xfId="0" applyFont="1" applyFill="1" applyBorder="1"/>
    <xf numFmtId="0" fontId="6" fillId="0" borderId="28" xfId="0" applyFont="1" applyFill="1" applyBorder="1"/>
    <xf numFmtId="2" fontId="6" fillId="0" borderId="110" xfId="0" applyNumberFormat="1" applyFont="1" applyFill="1" applyBorder="1"/>
    <xf numFmtId="169" fontId="6" fillId="0" borderId="28" xfId="113" applyNumberFormat="1" applyFont="1" applyFill="1" applyBorder="1" applyAlignment="1" applyProtection="1"/>
    <xf numFmtId="169" fontId="6" fillId="0" borderId="110" xfId="113" applyNumberFormat="1" applyFont="1" applyFill="1" applyBorder="1" applyAlignment="1" applyProtection="1"/>
    <xf numFmtId="169" fontId="6" fillId="0" borderId="65" xfId="113" applyNumberFormat="1" applyFont="1" applyFill="1" applyBorder="1" applyAlignment="1" applyProtection="1"/>
    <xf numFmtId="169" fontId="6" fillId="47" borderId="72" xfId="113" applyNumberFormat="1" applyFont="1" applyFill="1" applyBorder="1" applyAlignment="1" applyProtection="1"/>
    <xf numFmtId="169" fontId="6" fillId="0" borderId="126" xfId="113" applyNumberFormat="1" applyFont="1" applyFill="1" applyBorder="1" applyAlignment="1" applyProtection="1"/>
    <xf numFmtId="169" fontId="6" fillId="0" borderId="65" xfId="113" applyNumberFormat="1" applyFont="1" applyFill="1" applyBorder="1" applyAlignment="1" applyProtection="1">
      <alignment horizontal="center"/>
    </xf>
    <xf numFmtId="169" fontId="6" fillId="0" borderId="72" xfId="113" applyNumberFormat="1" applyFont="1" applyFill="1" applyBorder="1" applyAlignment="1" applyProtection="1">
      <alignment horizontal="center"/>
    </xf>
    <xf numFmtId="169" fontId="6" fillId="0" borderId="66" xfId="113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 vertical="center"/>
    </xf>
    <xf numFmtId="169" fontId="7" fillId="0" borderId="0" xfId="0" applyNumberFormat="1" applyFont="1" applyFill="1" applyBorder="1" applyAlignment="1">
      <alignment horizontal="center" vertical="center"/>
    </xf>
    <xf numFmtId="169" fontId="44" fillId="0" borderId="0" xfId="0" applyNumberFormat="1" applyFont="1" applyFill="1" applyBorder="1" applyAlignment="1">
      <alignment horizontal="center" vertical="center"/>
    </xf>
    <xf numFmtId="174" fontId="7" fillId="0" borderId="0" xfId="0" applyNumberFormat="1" applyFont="1" applyFill="1" applyBorder="1" applyAlignment="1">
      <alignment horizontal="center" vertical="center"/>
    </xf>
    <xf numFmtId="169" fontId="44" fillId="0" borderId="0" xfId="0" quotePrefix="1" applyNumberFormat="1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/>
    </xf>
    <xf numFmtId="169" fontId="6" fillId="0" borderId="23" xfId="113" applyNumberFormat="1" applyFont="1" applyFill="1" applyBorder="1" applyAlignment="1" applyProtection="1">
      <alignment horizontal="center"/>
    </xf>
    <xf numFmtId="169" fontId="6" fillId="0" borderId="28" xfId="113" applyNumberFormat="1" applyFont="1" applyFill="1" applyBorder="1" applyAlignment="1" applyProtection="1">
      <alignment horizontal="center"/>
    </xf>
    <xf numFmtId="0" fontId="0" fillId="0" borderId="71" xfId="0" applyFill="1" applyBorder="1" applyAlignment="1">
      <alignment horizontal="center"/>
    </xf>
    <xf numFmtId="169" fontId="9" fillId="0" borderId="71" xfId="0" applyNumberFormat="1" applyFont="1" applyFill="1" applyBorder="1" applyAlignment="1">
      <alignment horizontal="center"/>
    </xf>
    <xf numFmtId="169" fontId="9" fillId="0" borderId="40" xfId="0" quotePrefix="1" applyNumberFormat="1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11" xfId="0" applyFill="1" applyBorder="1"/>
    <xf numFmtId="0" fontId="6" fillId="0" borderId="65" xfId="0" applyFont="1" applyFill="1" applyBorder="1" applyAlignment="1">
      <alignment horizontal="left" vertical="center" wrapText="1"/>
    </xf>
    <xf numFmtId="0" fontId="44" fillId="0" borderId="110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vertical="center"/>
    </xf>
    <xf numFmtId="0" fontId="39" fillId="0" borderId="72" xfId="0" applyFont="1" applyFill="1" applyBorder="1" applyAlignment="1">
      <alignment horizontal="center" vertical="center" wrapText="1"/>
    </xf>
    <xf numFmtId="0" fontId="45" fillId="0" borderId="65" xfId="0" applyFont="1" applyFill="1" applyBorder="1" applyAlignment="1">
      <alignment horizontal="center" vertical="center" wrapText="1"/>
    </xf>
    <xf numFmtId="169" fontId="44" fillId="0" borderId="125" xfId="0" applyNumberFormat="1" applyFont="1" applyFill="1" applyBorder="1" applyAlignment="1">
      <alignment horizontal="center" vertical="center"/>
    </xf>
    <xf numFmtId="169" fontId="44" fillId="0" borderId="89" xfId="0" applyNumberFormat="1" applyFont="1" applyFill="1" applyBorder="1" applyAlignment="1">
      <alignment horizontal="center" vertical="center"/>
    </xf>
    <xf numFmtId="169" fontId="44" fillId="0" borderId="72" xfId="0" applyNumberFormat="1" applyFont="1" applyFill="1" applyBorder="1" applyAlignment="1">
      <alignment horizontal="center" vertical="center"/>
    </xf>
    <xf numFmtId="169" fontId="44" fillId="0" borderId="72" xfId="0" applyNumberFormat="1" applyFont="1" applyFill="1" applyBorder="1" applyAlignment="1">
      <alignment horizontal="right" vertical="center"/>
    </xf>
    <xf numFmtId="169" fontId="44" fillId="0" borderId="72" xfId="0" applyNumberFormat="1" applyFont="1" applyFill="1" applyBorder="1" applyAlignment="1">
      <alignment vertical="center"/>
    </xf>
    <xf numFmtId="169" fontId="44" fillId="0" borderId="65" xfId="0" applyNumberFormat="1" applyFont="1" applyFill="1" applyBorder="1" applyAlignment="1">
      <alignment vertical="center"/>
    </xf>
    <xf numFmtId="169" fontId="44" fillId="0" borderId="110" xfId="0" applyNumberFormat="1" applyFont="1" applyFill="1" applyBorder="1" applyAlignment="1">
      <alignment horizontal="right" vertical="center"/>
    </xf>
    <xf numFmtId="169" fontId="44" fillId="0" borderId="110" xfId="0" applyNumberFormat="1" applyFont="1" applyFill="1" applyBorder="1" applyAlignment="1">
      <alignment vertical="center" wrapText="1"/>
    </xf>
    <xf numFmtId="169" fontId="44" fillId="0" borderId="72" xfId="0" applyNumberFormat="1" applyFont="1" applyFill="1" applyBorder="1" applyAlignment="1">
      <alignment vertical="center" wrapText="1"/>
    </xf>
    <xf numFmtId="0" fontId="44" fillId="0" borderId="72" xfId="0" applyFont="1" applyFill="1" applyBorder="1" applyAlignment="1">
      <alignment vertical="center" wrapText="1"/>
    </xf>
    <xf numFmtId="169" fontId="44" fillId="0" borderId="72" xfId="0" applyNumberFormat="1" applyFont="1" applyFill="1" applyBorder="1" applyAlignment="1">
      <alignment horizontal="center" vertical="center" wrapText="1"/>
    </xf>
    <xf numFmtId="169" fontId="44" fillId="0" borderId="65" xfId="0" applyNumberFormat="1" applyFont="1" applyFill="1" applyBorder="1" applyAlignment="1">
      <alignment horizontal="center" vertical="center" wrapText="1"/>
    </xf>
    <xf numFmtId="169" fontId="44" fillId="0" borderId="110" xfId="0" applyNumberFormat="1" applyFont="1" applyFill="1" applyBorder="1" applyAlignment="1">
      <alignment horizontal="center" vertical="center"/>
    </xf>
    <xf numFmtId="169" fontId="44" fillId="0" borderId="65" xfId="0" applyNumberFormat="1" applyFont="1" applyFill="1" applyBorder="1" applyAlignment="1">
      <alignment horizontal="center" vertical="center"/>
    </xf>
    <xf numFmtId="169" fontId="44" fillId="0" borderId="66" xfId="0" applyNumberFormat="1" applyFont="1" applyFill="1" applyBorder="1" applyAlignment="1">
      <alignment horizontal="center" vertical="center"/>
    </xf>
    <xf numFmtId="169" fontId="44" fillId="0" borderId="126" xfId="0" applyNumberFormat="1" applyFont="1" applyFill="1" applyBorder="1" applyAlignment="1">
      <alignment horizontal="center" vertical="center"/>
    </xf>
    <xf numFmtId="169" fontId="44" fillId="0" borderId="28" xfId="0" applyNumberFormat="1" applyFont="1" applyFill="1" applyBorder="1" applyAlignment="1">
      <alignment horizontal="center" vertical="center"/>
    </xf>
    <xf numFmtId="0" fontId="44" fillId="0" borderId="97" xfId="0" applyFont="1" applyFill="1" applyBorder="1" applyAlignment="1">
      <alignment horizontal="center" vertical="center"/>
    </xf>
    <xf numFmtId="0" fontId="44" fillId="0" borderId="39" xfId="0" quotePrefix="1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vertical="center"/>
    </xf>
    <xf numFmtId="0" fontId="44" fillId="0" borderId="39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left" vertical="center" wrapText="1"/>
    </xf>
    <xf numFmtId="0" fontId="39" fillId="0" borderId="53" xfId="0" applyFont="1" applyFill="1" applyBorder="1" applyAlignment="1">
      <alignment vertical="center" wrapText="1"/>
    </xf>
    <xf numFmtId="169" fontId="44" fillId="0" borderId="129" xfId="0" applyNumberFormat="1" applyFont="1" applyFill="1" applyBorder="1" applyAlignment="1">
      <alignment vertical="center"/>
    </xf>
    <xf numFmtId="169" fontId="44" fillId="0" borderId="52" xfId="0" applyNumberFormat="1" applyFont="1" applyFill="1" applyBorder="1" applyAlignment="1">
      <alignment vertical="center"/>
    </xf>
    <xf numFmtId="169" fontId="44" fillId="0" borderId="39" xfId="0" applyNumberFormat="1" applyFont="1" applyFill="1" applyBorder="1" applyAlignment="1">
      <alignment vertical="center"/>
    </xf>
    <xf numFmtId="169" fontId="44" fillId="0" borderId="53" xfId="0" applyNumberFormat="1" applyFont="1" applyFill="1" applyBorder="1" applyAlignment="1">
      <alignment vertical="center"/>
    </xf>
    <xf numFmtId="169" fontId="44" fillId="0" borderId="97" xfId="0" applyNumberFormat="1" applyFont="1" applyFill="1" applyBorder="1" applyAlignment="1">
      <alignment vertical="center"/>
    </xf>
    <xf numFmtId="169" fontId="44" fillId="0" borderId="97" xfId="0" applyNumberFormat="1" applyFont="1" applyFill="1" applyBorder="1" applyAlignment="1">
      <alignment vertical="center" wrapText="1"/>
    </xf>
    <xf numFmtId="169" fontId="44" fillId="0" borderId="39" xfId="0" applyNumberFormat="1" applyFont="1" applyFill="1" applyBorder="1" applyAlignment="1">
      <alignment vertical="center" wrapText="1"/>
    </xf>
    <xf numFmtId="169" fontId="44" fillId="0" borderId="39" xfId="0" applyNumberFormat="1" applyFont="1" applyFill="1" applyBorder="1" applyAlignment="1">
      <alignment horizontal="center" vertical="center" wrapText="1"/>
    </xf>
    <xf numFmtId="169" fontId="44" fillId="0" borderId="53" xfId="0" applyNumberFormat="1" applyFont="1" applyFill="1" applyBorder="1" applyAlignment="1">
      <alignment horizontal="center" vertical="center" wrapText="1"/>
    </xf>
    <xf numFmtId="169" fontId="44" fillId="0" borderId="97" xfId="0" applyNumberFormat="1" applyFont="1" applyFill="1" applyBorder="1" applyAlignment="1">
      <alignment horizontal="center" vertical="center"/>
    </xf>
    <xf numFmtId="169" fontId="44" fillId="0" borderId="39" xfId="0" applyNumberFormat="1" applyFont="1" applyFill="1" applyBorder="1" applyAlignment="1">
      <alignment horizontal="center" vertical="center"/>
    </xf>
    <xf numFmtId="169" fontId="44" fillId="0" borderId="53" xfId="0" applyNumberFormat="1" applyFont="1" applyFill="1" applyBorder="1" applyAlignment="1">
      <alignment horizontal="center" vertical="center"/>
    </xf>
    <xf numFmtId="169" fontId="44" fillId="0" borderId="39" xfId="0" quotePrefix="1" applyNumberFormat="1" applyFont="1" applyFill="1" applyBorder="1" applyAlignment="1">
      <alignment horizontal="center" vertical="center"/>
    </xf>
    <xf numFmtId="169" fontId="44" fillId="0" borderId="36" xfId="0" quotePrefix="1" applyNumberFormat="1" applyFont="1" applyFill="1" applyBorder="1" applyAlignment="1">
      <alignment horizontal="center" vertical="center"/>
    </xf>
    <xf numFmtId="169" fontId="44" fillId="0" borderId="127" xfId="0" quotePrefix="1" applyNumberFormat="1" applyFont="1" applyFill="1" applyBorder="1" applyAlignment="1">
      <alignment horizontal="center" vertical="center"/>
    </xf>
    <xf numFmtId="169" fontId="44" fillId="0" borderId="72" xfId="0" quotePrefix="1" applyNumberFormat="1" applyFont="1" applyFill="1" applyBorder="1" applyAlignment="1">
      <alignment horizontal="center" vertical="center"/>
    </xf>
    <xf numFmtId="169" fontId="44" fillId="0" borderId="126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" fontId="6" fillId="0" borderId="31" xfId="0" applyNumberFormat="1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26" xfId="0" applyFont="1" applyFill="1" applyBorder="1"/>
    <xf numFmtId="0" fontId="6" fillId="0" borderId="52" xfId="0" applyFont="1" applyFill="1" applyBorder="1"/>
    <xf numFmtId="0" fontId="5" fillId="0" borderId="71" xfId="0" applyFont="1" applyFill="1" applyBorder="1"/>
    <xf numFmtId="4" fontId="6" fillId="0" borderId="72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vertical="center"/>
    </xf>
    <xf numFmtId="17" fontId="6" fillId="0" borderId="31" xfId="0" applyNumberFormat="1" applyFont="1" applyFill="1" applyBorder="1" applyAlignment="1">
      <alignment vertical="center"/>
    </xf>
    <xf numFmtId="17" fontId="6" fillId="0" borderId="95" xfId="0" applyNumberFormat="1" applyFont="1" applyFill="1" applyBorder="1" applyAlignment="1">
      <alignment vertical="center"/>
    </xf>
    <xf numFmtId="17" fontId="6" fillId="0" borderId="74" xfId="0" applyNumberFormat="1" applyFont="1" applyFill="1" applyBorder="1" applyAlignment="1">
      <alignment horizontal="center" vertical="center"/>
    </xf>
    <xf numFmtId="169" fontId="6" fillId="0" borderId="38" xfId="0" applyNumberFormat="1" applyFont="1" applyFill="1" applyBorder="1" applyAlignment="1">
      <alignment horizontal="right"/>
    </xf>
    <xf numFmtId="174" fontId="6" fillId="0" borderId="38" xfId="0" applyNumberFormat="1" applyFont="1" applyFill="1" applyBorder="1" applyAlignment="1">
      <alignment horizontal="right"/>
    </xf>
    <xf numFmtId="174" fontId="6" fillId="0" borderId="22" xfId="0" applyNumberFormat="1" applyFont="1" applyFill="1" applyBorder="1" applyAlignment="1">
      <alignment horizontal="right"/>
    </xf>
    <xf numFmtId="0" fontId="6" fillId="0" borderId="95" xfId="0" applyFont="1" applyFill="1" applyBorder="1" applyAlignment="1">
      <alignment vertical="center"/>
    </xf>
    <xf numFmtId="9" fontId="6" fillId="0" borderId="23" xfId="283" applyFont="1" applyFill="1" applyBorder="1" applyAlignment="1">
      <alignment horizontal="center"/>
    </xf>
    <xf numFmtId="9" fontId="6" fillId="0" borderId="25" xfId="283" applyFont="1" applyFill="1" applyBorder="1" applyAlignment="1">
      <alignment horizontal="center"/>
    </xf>
    <xf numFmtId="2" fontId="6" fillId="0" borderId="22" xfId="0" applyNumberFormat="1" applyFont="1" applyFill="1" applyBorder="1" applyAlignment="1"/>
    <xf numFmtId="169" fontId="6" fillId="0" borderId="39" xfId="0" applyNumberFormat="1" applyFont="1" applyFill="1" applyBorder="1"/>
    <xf numFmtId="169" fontId="6" fillId="0" borderId="127" xfId="0" applyNumberFormat="1" applyFont="1" applyFill="1" applyBorder="1"/>
    <xf numFmtId="169" fontId="6" fillId="0" borderId="37" xfId="0" applyNumberFormat="1" applyFont="1" applyFill="1" applyBorder="1" applyAlignment="1">
      <alignment horizontal="right"/>
    </xf>
    <xf numFmtId="169" fontId="6" fillId="0" borderId="22" xfId="0" applyNumberFormat="1" applyFont="1" applyFill="1" applyBorder="1" applyAlignment="1">
      <alignment horizontal="right"/>
    </xf>
    <xf numFmtId="2" fontId="6" fillId="0" borderId="39" xfId="0" applyNumberFormat="1" applyFont="1" applyFill="1" applyBorder="1"/>
    <xf numFmtId="2" fontId="6" fillId="0" borderId="127" xfId="0" applyNumberFormat="1" applyFont="1" applyFill="1" applyBorder="1"/>
    <xf numFmtId="169" fontId="6" fillId="0" borderId="39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vertical="center"/>
    </xf>
    <xf numFmtId="0" fontId="6" fillId="0" borderId="54" xfId="0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right"/>
    </xf>
    <xf numFmtId="4" fontId="5" fillId="0" borderId="73" xfId="0" applyNumberFormat="1" applyFont="1" applyFill="1" applyBorder="1" applyAlignment="1">
      <alignment horizontal="center"/>
    </xf>
    <xf numFmtId="0" fontId="28" fillId="0" borderId="0" xfId="0" applyFont="1" applyFill="1" applyAlignment="1"/>
    <xf numFmtId="4" fontId="6" fillId="0" borderId="23" xfId="0" applyNumberFormat="1" applyFont="1" applyFill="1" applyBorder="1"/>
    <xf numFmtId="4" fontId="6" fillId="0" borderId="0" xfId="0" applyNumberFormat="1" applyFont="1" applyFill="1" applyBorder="1"/>
    <xf numFmtId="2" fontId="5" fillId="0" borderId="15" xfId="0" applyNumberFormat="1" applyFont="1" applyFill="1" applyBorder="1"/>
    <xf numFmtId="0" fontId="28" fillId="0" borderId="80" xfId="0" applyFont="1" applyFill="1" applyBorder="1" applyAlignment="1">
      <alignment vertical="center"/>
    </xf>
    <xf numFmtId="0" fontId="6" fillId="0" borderId="9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right"/>
    </xf>
    <xf numFmtId="0" fontId="28" fillId="0" borderId="25" xfId="0" applyFont="1" applyFill="1" applyBorder="1"/>
    <xf numFmtId="2" fontId="5" fillId="0" borderId="74" xfId="0" applyNumberFormat="1" applyFont="1" applyFill="1" applyBorder="1" applyAlignment="1">
      <alignment horizontal="right"/>
    </xf>
    <xf numFmtId="0" fontId="6" fillId="0" borderId="44" xfId="0" applyFont="1" applyFill="1" applyBorder="1"/>
    <xf numFmtId="169" fontId="6" fillId="0" borderId="0" xfId="0" applyNumberFormat="1" applyFont="1" applyAlignment="1">
      <alignment horizontal="center" vertical="center"/>
    </xf>
    <xf numFmtId="0" fontId="28" fillId="0" borderId="0" xfId="0" applyFont="1"/>
    <xf numFmtId="0" fontId="5" fillId="0" borderId="0" xfId="0" applyFont="1"/>
    <xf numFmtId="3" fontId="5" fillId="0" borderId="8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2" fontId="5" fillId="0" borderId="85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 vertical="center"/>
    </xf>
    <xf numFmtId="169" fontId="5" fillId="0" borderId="73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/>
    </xf>
    <xf numFmtId="0" fontId="5" fillId="0" borderId="9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9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177" fontId="5" fillId="0" borderId="75" xfId="0" applyNumberFormat="1" applyFont="1" applyFill="1" applyBorder="1" applyAlignment="1">
      <alignment horizontal="center"/>
    </xf>
    <xf numFmtId="177" fontId="5" fillId="0" borderId="121" xfId="0" applyNumberFormat="1" applyFont="1" applyFill="1" applyBorder="1" applyAlignment="1">
      <alignment horizontal="center"/>
    </xf>
    <xf numFmtId="177" fontId="5" fillId="0" borderId="82" xfId="0" applyNumberFormat="1" applyFont="1" applyFill="1" applyBorder="1" applyAlignment="1">
      <alignment horizontal="center"/>
    </xf>
    <xf numFmtId="177" fontId="5" fillId="0" borderId="87" xfId="0" applyNumberFormat="1" applyFont="1" applyFill="1" applyBorder="1" applyAlignment="1">
      <alignment horizontal="center"/>
    </xf>
    <xf numFmtId="177" fontId="5" fillId="0" borderId="73" xfId="0" applyNumberFormat="1" applyFont="1" applyFill="1" applyBorder="1" applyAlignment="1">
      <alignment horizontal="center"/>
    </xf>
    <xf numFmtId="177" fontId="5" fillId="0" borderId="71" xfId="0" applyNumberFormat="1" applyFont="1" applyFill="1" applyBorder="1" applyAlignment="1">
      <alignment horizontal="center"/>
    </xf>
    <xf numFmtId="177" fontId="5" fillId="0" borderId="74" xfId="0" applyNumberFormat="1" applyFont="1" applyFill="1" applyBorder="1" applyAlignment="1">
      <alignment horizontal="center"/>
    </xf>
    <xf numFmtId="177" fontId="5" fillId="0" borderId="14" xfId="0" applyNumberFormat="1" applyFont="1" applyFill="1" applyBorder="1" applyAlignment="1">
      <alignment horizontal="center"/>
    </xf>
    <xf numFmtId="0" fontId="6" fillId="0" borderId="26" xfId="0" applyFont="1" applyBorder="1"/>
    <xf numFmtId="0" fontId="6" fillId="0" borderId="21" xfId="0" applyFont="1" applyBorder="1"/>
    <xf numFmtId="0" fontId="6" fillId="0" borderId="54" xfId="0" applyFont="1" applyBorder="1"/>
    <xf numFmtId="0" fontId="6" fillId="0" borderId="83" xfId="0" applyFont="1" applyBorder="1"/>
    <xf numFmtId="169" fontId="6" fillId="0" borderId="26" xfId="0" applyNumberFormat="1" applyFont="1" applyBorder="1" applyAlignment="1">
      <alignment horizontal="center" vertical="center"/>
    </xf>
    <xf numFmtId="169" fontId="6" fillId="0" borderId="21" xfId="0" applyNumberFormat="1" applyFont="1" applyBorder="1" applyAlignment="1">
      <alignment horizontal="center" vertical="center"/>
    </xf>
    <xf numFmtId="0" fontId="28" fillId="0" borderId="21" xfId="0" applyFont="1" applyBorder="1"/>
    <xf numFmtId="0" fontId="28" fillId="0" borderId="23" xfId="0" applyFont="1" applyBorder="1"/>
    <xf numFmtId="0" fontId="28" fillId="0" borderId="26" xfId="0" applyFont="1" applyBorder="1"/>
    <xf numFmtId="0" fontId="28" fillId="0" borderId="45" xfId="0" applyFont="1" applyBorder="1"/>
    <xf numFmtId="0" fontId="28" fillId="0" borderId="54" xfId="0" applyFont="1" applyBorder="1"/>
    <xf numFmtId="0" fontId="28" fillId="0" borderId="46" xfId="0" applyFont="1" applyBorder="1"/>
    <xf numFmtId="0" fontId="28" fillId="0" borderId="130" xfId="0" applyFont="1" applyBorder="1"/>
    <xf numFmtId="0" fontId="28" fillId="0" borderId="101" xfId="0" applyFont="1" applyBorder="1"/>
    <xf numFmtId="0" fontId="28" fillId="0" borderId="20" xfId="0" applyFont="1" applyBorder="1"/>
    <xf numFmtId="0" fontId="28" fillId="0" borderId="33" xfId="0" applyFont="1" applyBorder="1"/>
    <xf numFmtId="0" fontId="28" fillId="0" borderId="53" xfId="0" applyFont="1" applyBorder="1"/>
    <xf numFmtId="0" fontId="28" fillId="0" borderId="38" xfId="0" applyFont="1" applyBorder="1"/>
    <xf numFmtId="0" fontId="28" fillId="0" borderId="81" xfId="0" applyFont="1" applyBorder="1"/>
    <xf numFmtId="0" fontId="28" fillId="0" borderId="95" xfId="0" applyFont="1" applyBorder="1"/>
    <xf numFmtId="0" fontId="28" fillId="0" borderId="93" xfId="0" applyFont="1" applyBorder="1"/>
    <xf numFmtId="0" fontId="6" fillId="0" borderId="37" xfId="0" applyFont="1" applyFill="1" applyBorder="1" applyAlignment="1">
      <alignment vertical="center"/>
    </xf>
    <xf numFmtId="169" fontId="6" fillId="0" borderId="84" xfId="0" applyNumberFormat="1" applyFont="1" applyFill="1" applyBorder="1" applyAlignment="1">
      <alignment horizontal="center" vertical="center"/>
    </xf>
    <xf numFmtId="169" fontId="5" fillId="0" borderId="43" xfId="0" applyNumberFormat="1" applyFont="1" applyBorder="1" applyAlignment="1">
      <alignment horizontal="center" vertical="center"/>
    </xf>
    <xf numFmtId="169" fontId="5" fillId="0" borderId="37" xfId="0" applyNumberFormat="1" applyFont="1" applyBorder="1" applyAlignment="1">
      <alignment horizontal="center" vertical="center"/>
    </xf>
    <xf numFmtId="169" fontId="5" fillId="0" borderId="38" xfId="0" applyNumberFormat="1" applyFont="1" applyBorder="1" applyAlignment="1">
      <alignment horizontal="center" vertical="center"/>
    </xf>
    <xf numFmtId="169" fontId="5" fillId="0" borderId="47" xfId="0" applyNumberFormat="1" applyFont="1" applyBorder="1" applyAlignment="1">
      <alignment horizontal="center" vertical="center"/>
    </xf>
    <xf numFmtId="169" fontId="5" fillId="0" borderId="118" xfId="0" applyNumberFormat="1" applyFont="1" applyBorder="1" applyAlignment="1">
      <alignment horizontal="center" vertical="center"/>
    </xf>
    <xf numFmtId="169" fontId="5" fillId="0" borderId="98" xfId="0" applyNumberFormat="1" applyFont="1" applyBorder="1" applyAlignment="1">
      <alignment horizontal="center" vertical="center"/>
    </xf>
    <xf numFmtId="169" fontId="5" fillId="0" borderId="22" xfId="0" applyNumberFormat="1" applyFont="1" applyBorder="1" applyAlignment="1">
      <alignment horizontal="center" vertical="center"/>
    </xf>
    <xf numFmtId="169" fontId="5" fillId="0" borderId="65" xfId="0" applyNumberFormat="1" applyFont="1" applyBorder="1" applyAlignment="1">
      <alignment horizontal="center" vertical="center"/>
    </xf>
    <xf numFmtId="169" fontId="5" fillId="0" borderId="72" xfId="0" applyNumberFormat="1" applyFont="1" applyBorder="1" applyAlignment="1">
      <alignment horizontal="center" vertical="center"/>
    </xf>
    <xf numFmtId="169" fontId="5" fillId="0" borderId="126" xfId="0" applyNumberFormat="1" applyFont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4" xfId="0" applyFont="1" applyBorder="1"/>
    <xf numFmtId="0" fontId="6" fillId="0" borderId="42" xfId="0" applyFont="1" applyBorder="1"/>
    <xf numFmtId="0" fontId="6" fillId="0" borderId="85" xfId="0" applyFont="1" applyBorder="1"/>
    <xf numFmtId="169" fontId="6" fillId="0" borderId="11" xfId="0" applyNumberFormat="1" applyFont="1" applyBorder="1" applyAlignment="1">
      <alignment horizontal="center" vertical="center"/>
    </xf>
    <xf numFmtId="169" fontId="6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2" fontId="6" fillId="0" borderId="42" xfId="0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2" fontId="6" fillId="0" borderId="120" xfId="0" applyNumberFormat="1" applyFont="1" applyFill="1" applyBorder="1" applyAlignment="1">
      <alignment horizontal="center" vertical="center"/>
    </xf>
    <xf numFmtId="2" fontId="6" fillId="0" borderId="106" xfId="0" applyNumberFormat="1" applyFont="1" applyFill="1" applyBorder="1" applyAlignment="1">
      <alignment horizontal="center" vertical="center"/>
    </xf>
    <xf numFmtId="2" fontId="6" fillId="0" borderId="41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177" fontId="5" fillId="0" borderId="31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6" fillId="0" borderId="109" xfId="0" applyFont="1" applyFill="1" applyBorder="1"/>
    <xf numFmtId="0" fontId="5" fillId="0" borderId="67" xfId="0" applyFont="1" applyFill="1" applyBorder="1"/>
    <xf numFmtId="0" fontId="6" fillId="0" borderId="96" xfId="0" applyFont="1" applyFill="1" applyBorder="1"/>
    <xf numFmtId="0" fontId="5" fillId="0" borderId="11" xfId="0" applyFont="1" applyFill="1" applyBorder="1"/>
    <xf numFmtId="169" fontId="5" fillId="0" borderId="73" xfId="0" applyNumberFormat="1" applyFont="1" applyFill="1" applyBorder="1" applyAlignment="1">
      <alignment horizontal="center"/>
    </xf>
    <xf numFmtId="177" fontId="5" fillId="0" borderId="81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/>
    </xf>
    <xf numFmtId="0" fontId="0" fillId="0" borderId="54" xfId="0" applyBorder="1"/>
    <xf numFmtId="169" fontId="7" fillId="0" borderId="89" xfId="0" applyNumberFormat="1" applyFont="1" applyFill="1" applyBorder="1" applyAlignment="1">
      <alignment horizontal="center" vertical="center"/>
    </xf>
    <xf numFmtId="169" fontId="7" fillId="0" borderId="11" xfId="0" applyNumberFormat="1" applyFont="1" applyFill="1" applyBorder="1" applyAlignment="1">
      <alignment horizontal="center" vertical="center" wrapText="1"/>
    </xf>
    <xf numFmtId="49" fontId="6" fillId="0" borderId="65" xfId="0" applyNumberFormat="1" applyFont="1" applyFill="1" applyBorder="1" applyAlignment="1">
      <alignment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0" fillId="0" borderId="81" xfId="0" applyBorder="1"/>
    <xf numFmtId="177" fontId="0" fillId="0" borderId="54" xfId="0" applyNumberForma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44" fillId="0" borderId="3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169" fontId="7" fillId="0" borderId="0" xfId="0" quotePrefix="1" applyNumberFormat="1" applyFont="1" applyFill="1" applyBorder="1"/>
    <xf numFmtId="0" fontId="44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/>
    </xf>
    <xf numFmtId="0" fontId="4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7" fillId="0" borderId="24" xfId="0" quotePrefix="1" applyFont="1" applyFill="1" applyBorder="1" applyAlignment="1">
      <alignment horizontal="center" vertical="center"/>
    </xf>
    <xf numFmtId="0" fontId="6" fillId="0" borderId="42" xfId="0" quotePrefix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179" fontId="7" fillId="0" borderId="33" xfId="0" applyNumberFormat="1" applyFont="1" applyFill="1" applyBorder="1" applyAlignment="1">
      <alignment horizontal="center" vertical="center"/>
    </xf>
    <xf numFmtId="179" fontId="7" fillId="0" borderId="69" xfId="0" applyNumberFormat="1" applyFont="1" applyFill="1" applyBorder="1" applyAlignment="1">
      <alignment horizontal="center" vertical="center"/>
    </xf>
    <xf numFmtId="179" fontId="7" fillId="0" borderId="20" xfId="0" applyNumberFormat="1" applyFont="1" applyFill="1" applyBorder="1" applyAlignment="1">
      <alignment horizontal="center" vertical="center"/>
    </xf>
    <xf numFmtId="4" fontId="7" fillId="0" borderId="44" xfId="0" applyNumberFormat="1" applyFont="1" applyFill="1" applyBorder="1" applyAlignment="1">
      <alignment horizontal="center" vertical="center"/>
    </xf>
    <xf numFmtId="179" fontId="7" fillId="0" borderId="19" xfId="0" applyNumberFormat="1" applyFont="1" applyFill="1" applyBorder="1" applyAlignment="1">
      <alignment horizontal="center" vertical="center"/>
    </xf>
    <xf numFmtId="179" fontId="7" fillId="0" borderId="44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4" fontId="7" fillId="0" borderId="33" xfId="0" applyNumberFormat="1" applyFont="1" applyFill="1" applyBorder="1" applyAlignment="1">
      <alignment horizontal="center" vertical="center"/>
    </xf>
    <xf numFmtId="4" fontId="7" fillId="0" borderId="69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179" fontId="7" fillId="0" borderId="24" xfId="0" applyNumberFormat="1" applyFont="1" applyFill="1" applyBorder="1" applyAlignment="1">
      <alignment horizontal="center" vertical="center"/>
    </xf>
    <xf numFmtId="179" fontId="7" fillId="0" borderId="50" xfId="0" applyNumberFormat="1" applyFont="1" applyFill="1" applyBorder="1" applyAlignment="1">
      <alignment horizontal="center" vertical="center"/>
    </xf>
    <xf numFmtId="179" fontId="7" fillId="0" borderId="42" xfId="0" applyNumberFormat="1" applyFont="1" applyFill="1" applyBorder="1" applyAlignment="1">
      <alignment horizontal="center" vertical="center"/>
    </xf>
    <xf numFmtId="4" fontId="7" fillId="0" borderId="41" xfId="0" applyNumberFormat="1" applyFont="1" applyFill="1" applyBorder="1" applyAlignment="1">
      <alignment horizontal="center" vertical="center"/>
    </xf>
    <xf numFmtId="179" fontId="7" fillId="0" borderId="13" xfId="0" applyNumberFormat="1" applyFont="1" applyFill="1" applyBorder="1" applyAlignment="1">
      <alignment horizontal="center" vertical="center"/>
    </xf>
    <xf numFmtId="179" fontId="7" fillId="0" borderId="41" xfId="0" applyNumberFormat="1" applyFont="1" applyFill="1" applyBorder="1" applyAlignment="1">
      <alignment horizontal="center" vertical="center"/>
    </xf>
    <xf numFmtId="4" fontId="7" fillId="0" borderId="42" xfId="0" applyNumberFormat="1" applyFont="1" applyFill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/>
    </xf>
    <xf numFmtId="4" fontId="7" fillId="0" borderId="50" xfId="0" applyNumberFormat="1" applyFont="1" applyFill="1" applyBorder="1" applyAlignment="1">
      <alignment horizontal="center" vertical="center"/>
    </xf>
    <xf numFmtId="169" fontId="7" fillId="0" borderId="72" xfId="0" applyNumberFormat="1" applyFont="1" applyFill="1" applyBorder="1" applyAlignment="1">
      <alignment horizontal="center"/>
    </xf>
    <xf numFmtId="169" fontId="7" fillId="0" borderId="72" xfId="0" applyNumberFormat="1" applyFont="1" applyFill="1" applyBorder="1"/>
    <xf numFmtId="169" fontId="7" fillId="0" borderId="110" xfId="0" applyNumberFormat="1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110" xfId="0" applyFont="1" applyBorder="1"/>
    <xf numFmtId="0" fontId="7" fillId="0" borderId="72" xfId="0" applyFont="1" applyBorder="1"/>
    <xf numFmtId="0" fontId="7" fillId="0" borderId="72" xfId="0" applyFont="1" applyFill="1" applyBorder="1"/>
    <xf numFmtId="0" fontId="7" fillId="0" borderId="65" xfId="0" applyFont="1" applyBorder="1"/>
    <xf numFmtId="0" fontId="7" fillId="0" borderId="126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169" fontId="7" fillId="0" borderId="42" xfId="0" applyNumberFormat="1" applyFont="1" applyFill="1" applyBorder="1" applyAlignment="1">
      <alignment vertical="center" wrapText="1"/>
    </xf>
    <xf numFmtId="177" fontId="0" fillId="0" borderId="75" xfId="0" applyNumberFormat="1" applyFill="1" applyBorder="1" applyAlignment="1">
      <alignment horizontal="center"/>
    </xf>
    <xf numFmtId="0" fontId="0" fillId="0" borderId="20" xfId="0" applyBorder="1"/>
    <xf numFmtId="17" fontId="6" fillId="0" borderId="95" xfId="0" applyNumberFormat="1" applyFont="1" applyFill="1" applyBorder="1" applyAlignment="1">
      <alignment horizontal="center" vertical="center"/>
    </xf>
    <xf numFmtId="4" fontId="7" fillId="0" borderId="54" xfId="0" applyNumberFormat="1" applyFont="1" applyFill="1" applyBorder="1" applyAlignment="1">
      <alignment horizontal="center" vertical="center"/>
    </xf>
    <xf numFmtId="0" fontId="0" fillId="0" borderId="127" xfId="0" applyBorder="1"/>
    <xf numFmtId="169" fontId="9" fillId="0" borderId="95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3" fontId="40" fillId="0" borderId="15" xfId="0" applyNumberFormat="1" applyFont="1" applyFill="1" applyBorder="1" applyAlignment="1">
      <alignment horizontal="center"/>
    </xf>
    <xf numFmtId="177" fontId="28" fillId="0" borderId="95" xfId="0" applyNumberFormat="1" applyFont="1" applyFill="1" applyBorder="1" applyAlignment="1">
      <alignment horizontal="center"/>
    </xf>
    <xf numFmtId="17" fontId="6" fillId="0" borderId="131" xfId="0" applyNumberFormat="1" applyFont="1" applyFill="1" applyBorder="1" applyAlignment="1">
      <alignment horizontal="center" vertical="center"/>
    </xf>
    <xf numFmtId="17" fontId="6" fillId="47" borderId="56" xfId="0" applyNumberFormat="1" applyFont="1" applyFill="1" applyBorder="1" applyAlignment="1">
      <alignment horizontal="center" vertical="center"/>
    </xf>
    <xf numFmtId="17" fontId="6" fillId="0" borderId="56" xfId="0" applyNumberFormat="1" applyFont="1" applyFill="1" applyBorder="1" applyAlignment="1">
      <alignment horizontal="center" vertical="center"/>
    </xf>
    <xf numFmtId="17" fontId="6" fillId="0" borderId="80" xfId="0" applyNumberFormat="1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57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0" fontId="0" fillId="0" borderId="15" xfId="0" applyFill="1" applyBorder="1"/>
    <xf numFmtId="0" fontId="6" fillId="0" borderId="31" xfId="0" applyFont="1" applyFill="1" applyBorder="1" applyAlignment="1">
      <alignment wrapText="1"/>
    </xf>
    <xf numFmtId="0" fontId="23" fillId="0" borderId="80" xfId="0" applyFont="1" applyFill="1" applyBorder="1" applyAlignment="1">
      <alignment vertical="center"/>
    </xf>
    <xf numFmtId="0" fontId="6" fillId="0" borderId="8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5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/>
    <xf numFmtId="0" fontId="5" fillId="0" borderId="82" xfId="0" applyFont="1" applyFill="1" applyBorder="1" applyAlignment="1"/>
    <xf numFmtId="0" fontId="5" fillId="0" borderId="70" xfId="0" applyFont="1" applyFill="1" applyBorder="1" applyAlignment="1"/>
    <xf numFmtId="2" fontId="6" fillId="0" borderId="125" xfId="0" applyNumberFormat="1" applyFont="1" applyFill="1" applyBorder="1" applyAlignment="1">
      <alignment horizontal="center" vertical="center"/>
    </xf>
    <xf numFmtId="2" fontId="6" fillId="0" borderId="110" xfId="0" applyNumberFormat="1" applyFont="1" applyFill="1" applyBorder="1" applyAlignment="1">
      <alignment horizontal="center" vertical="center"/>
    </xf>
    <xf numFmtId="0" fontId="6" fillId="47" borderId="24" xfId="0" applyFont="1" applyFill="1" applyBorder="1"/>
    <xf numFmtId="0" fontId="6" fillId="0" borderId="65" xfId="0" applyFont="1" applyFill="1" applyBorder="1" applyAlignment="1">
      <alignment horizontal="center"/>
    </xf>
    <xf numFmtId="2" fontId="6" fillId="0" borderId="135" xfId="0" applyNumberFormat="1" applyFont="1" applyFill="1" applyBorder="1" applyAlignment="1">
      <alignment horizontal="center"/>
    </xf>
    <xf numFmtId="169" fontId="6" fillId="0" borderId="137" xfId="0" applyNumberFormat="1" applyFont="1" applyFill="1" applyBorder="1"/>
    <xf numFmtId="169" fontId="6" fillId="0" borderId="137" xfId="0" applyNumberFormat="1" applyFont="1" applyFill="1" applyBorder="1" applyAlignment="1">
      <alignment horizontal="center"/>
    </xf>
    <xf numFmtId="0" fontId="6" fillId="0" borderId="103" xfId="0" applyFont="1" applyFill="1" applyBorder="1" applyAlignment="1">
      <alignment horizontal="center"/>
    </xf>
    <xf numFmtId="17" fontId="6" fillId="0" borderId="14" xfId="0" applyNumberFormat="1" applyFont="1" applyFill="1" applyBorder="1" applyAlignment="1">
      <alignment horizontal="center" vertical="center"/>
    </xf>
    <xf numFmtId="17" fontId="6" fillId="0" borderId="73" xfId="0" applyNumberFormat="1" applyFont="1" applyFill="1" applyBorder="1" applyAlignment="1">
      <alignment horizontal="center" vertical="center"/>
    </xf>
    <xf numFmtId="17" fontId="6" fillId="0" borderId="71" xfId="0" applyNumberFormat="1" applyFont="1" applyFill="1" applyBorder="1" applyAlignment="1">
      <alignment horizontal="center" vertical="center"/>
    </xf>
    <xf numFmtId="17" fontId="6" fillId="0" borderId="87" xfId="0" applyNumberFormat="1" applyFont="1" applyFill="1" applyBorder="1" applyAlignment="1">
      <alignment horizontal="center" vertical="center"/>
    </xf>
    <xf numFmtId="17" fontId="6" fillId="0" borderId="121" xfId="0" applyNumberFormat="1" applyFont="1" applyFill="1" applyBorder="1" applyAlignment="1">
      <alignment horizontal="center" vertical="center"/>
    </xf>
    <xf numFmtId="17" fontId="6" fillId="0" borderId="82" xfId="0" applyNumberFormat="1" applyFont="1" applyFill="1" applyBorder="1" applyAlignment="1">
      <alignment horizontal="center" vertical="center"/>
    </xf>
    <xf numFmtId="17" fontId="6" fillId="0" borderId="86" xfId="0" applyNumberFormat="1" applyFont="1" applyFill="1" applyBorder="1" applyAlignment="1">
      <alignment horizontal="center" vertical="center"/>
    </xf>
    <xf numFmtId="17" fontId="6" fillId="0" borderId="88" xfId="0" applyNumberFormat="1" applyFont="1" applyFill="1" applyBorder="1" applyAlignment="1">
      <alignment horizontal="center" vertical="center"/>
    </xf>
    <xf numFmtId="17" fontId="6" fillId="0" borderId="75" xfId="0" applyNumberFormat="1" applyFont="1" applyFill="1" applyBorder="1" applyAlignment="1">
      <alignment horizontal="center" vertical="center"/>
    </xf>
    <xf numFmtId="169" fontId="6" fillId="0" borderId="135" xfId="113" applyNumberFormat="1" applyFont="1" applyFill="1" applyBorder="1" applyAlignment="1" applyProtection="1"/>
    <xf numFmtId="169" fontId="6" fillId="0" borderId="135" xfId="113" applyNumberFormat="1" applyFont="1" applyFill="1" applyBorder="1" applyAlignment="1" applyProtection="1">
      <alignment horizontal="center"/>
    </xf>
    <xf numFmtId="0" fontId="6" fillId="0" borderId="105" xfId="0" applyFont="1" applyFill="1" applyBorder="1" applyAlignment="1">
      <alignment horizontal="center"/>
    </xf>
    <xf numFmtId="0" fontId="6" fillId="0" borderId="46" xfId="0" applyFont="1" applyFill="1" applyBorder="1"/>
    <xf numFmtId="0" fontId="6" fillId="0" borderId="137" xfId="0" applyFont="1" applyFill="1" applyBorder="1"/>
    <xf numFmtId="2" fontId="5" fillId="0" borderId="16" xfId="0" applyNumberFormat="1" applyFont="1" applyFill="1" applyBorder="1" applyAlignment="1">
      <alignment horizontal="center"/>
    </xf>
    <xf numFmtId="2" fontId="5" fillId="0" borderId="90" xfId="0" applyNumberFormat="1" applyFont="1" applyFill="1" applyBorder="1" applyAlignment="1">
      <alignment horizontal="center"/>
    </xf>
    <xf numFmtId="169" fontId="5" fillId="0" borderId="73" xfId="0" applyNumberFormat="1" applyFont="1" applyFill="1" applyBorder="1" applyAlignment="1">
      <alignment horizontal="right"/>
    </xf>
    <xf numFmtId="169" fontId="5" fillId="0" borderId="74" xfId="0" applyNumberFormat="1" applyFont="1" applyFill="1" applyBorder="1" applyAlignment="1">
      <alignment horizontal="center"/>
    </xf>
    <xf numFmtId="4" fontId="6" fillId="0" borderId="28" xfId="0" applyNumberFormat="1" applyFont="1" applyFill="1" applyBorder="1" applyAlignment="1">
      <alignment horizontal="center"/>
    </xf>
    <xf numFmtId="4" fontId="5" fillId="0" borderId="74" xfId="0" applyNumberFormat="1" applyFont="1" applyFill="1" applyBorder="1" applyAlignment="1">
      <alignment horizontal="center"/>
    </xf>
    <xf numFmtId="169" fontId="6" fillId="0" borderId="53" xfId="0" applyNumberFormat="1" applyFont="1" applyFill="1" applyBorder="1" applyAlignment="1">
      <alignment horizontal="center"/>
    </xf>
    <xf numFmtId="4" fontId="5" fillId="0" borderId="75" xfId="0" applyNumberFormat="1" applyFont="1" applyFill="1" applyBorder="1" applyAlignment="1">
      <alignment horizontal="center"/>
    </xf>
    <xf numFmtId="169" fontId="6" fillId="0" borderId="42" xfId="0" applyNumberFormat="1" applyFont="1" applyFill="1" applyBorder="1"/>
    <xf numFmtId="2" fontId="5" fillId="0" borderId="75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17" fontId="5" fillId="0" borderId="73" xfId="0" applyNumberFormat="1" applyFont="1" applyFill="1" applyBorder="1" applyAlignment="1">
      <alignment horizontal="center" vertical="center"/>
    </xf>
    <xf numFmtId="17" fontId="5" fillId="0" borderId="74" xfId="0" applyNumberFormat="1" applyFont="1" applyFill="1" applyBorder="1" applyAlignment="1">
      <alignment horizontal="center" vertical="center"/>
    </xf>
    <xf numFmtId="3" fontId="5" fillId="0" borderId="116" xfId="0" applyNumberFormat="1" applyFont="1" applyBorder="1" applyAlignment="1">
      <alignment horizontal="center"/>
    </xf>
    <xf numFmtId="0" fontId="0" fillId="0" borderId="114" xfId="0" applyBorder="1"/>
    <xf numFmtId="0" fontId="0" fillId="0" borderId="53" xfId="0" applyBorder="1"/>
    <xf numFmtId="4" fontId="7" fillId="0" borderId="32" xfId="0" applyNumberFormat="1" applyFont="1" applyFill="1" applyBorder="1" applyAlignment="1">
      <alignment horizontal="center" vertical="center"/>
    </xf>
    <xf numFmtId="0" fontId="6" fillId="0" borderId="126" xfId="0" applyFont="1" applyFill="1" applyBorder="1" applyAlignment="1">
      <alignment horizontal="center"/>
    </xf>
    <xf numFmtId="17" fontId="6" fillId="0" borderId="32" xfId="0" applyNumberFormat="1" applyFont="1" applyFill="1" applyBorder="1" applyAlignment="1">
      <alignment horizontal="center" vertical="center"/>
    </xf>
    <xf numFmtId="169" fontId="9" fillId="0" borderId="22" xfId="0" quotePrefix="1" applyNumberFormat="1" applyFont="1" applyFill="1" applyBorder="1" applyAlignment="1">
      <alignment horizontal="center" vertical="center"/>
    </xf>
    <xf numFmtId="169" fontId="9" fillId="0" borderId="93" xfId="0" applyNumberFormat="1" applyFont="1" applyFill="1" applyBorder="1" applyAlignment="1">
      <alignment horizontal="center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horizontal="left" vertical="center" wrapText="1"/>
    </xf>
    <xf numFmtId="0" fontId="44" fillId="0" borderId="0" xfId="0" applyFont="1" applyFill="1" applyAlignment="1">
      <alignment vertical="center"/>
    </xf>
    <xf numFmtId="0" fontId="44" fillId="0" borderId="38" xfId="0" applyFont="1" applyFill="1" applyBorder="1" applyAlignment="1">
      <alignment vertical="center" wrapText="1"/>
    </xf>
    <xf numFmtId="17" fontId="6" fillId="0" borderId="13" xfId="0" applyNumberFormat="1" applyFont="1" applyFill="1" applyBorder="1" applyAlignment="1">
      <alignment horizontal="center"/>
    </xf>
    <xf numFmtId="169" fontId="6" fillId="0" borderId="127" xfId="0" applyNumberFormat="1" applyFont="1" applyFill="1" applyBorder="1" applyAlignment="1">
      <alignment horizontal="center"/>
    </xf>
    <xf numFmtId="169" fontId="5" fillId="0" borderId="74" xfId="0" applyNumberFormat="1" applyFont="1" applyFill="1" applyBorder="1" applyAlignment="1">
      <alignment horizontal="right"/>
    </xf>
    <xf numFmtId="169" fontId="6" fillId="0" borderId="19" xfId="0" applyNumberFormat="1" applyFont="1" applyFill="1" applyBorder="1" applyAlignment="1"/>
    <xf numFmtId="169" fontId="6" fillId="0" borderId="28" xfId="0" applyNumberFormat="1" applyFont="1" applyFill="1" applyBorder="1"/>
    <xf numFmtId="9" fontId="44" fillId="0" borderId="0" xfId="283" applyFont="1" applyFill="1"/>
    <xf numFmtId="9" fontId="44" fillId="0" borderId="36" xfId="283" applyFont="1" applyFill="1" applyBorder="1" applyAlignment="1">
      <alignment horizontal="center"/>
    </xf>
    <xf numFmtId="9" fontId="44" fillId="0" borderId="0" xfId="283" applyFont="1" applyFill="1" applyBorder="1"/>
    <xf numFmtId="9" fontId="44" fillId="0" borderId="0" xfId="283" applyFont="1" applyFill="1" applyBorder="1" applyAlignment="1">
      <alignment horizontal="left" wrapText="1"/>
    </xf>
    <xf numFmtId="9" fontId="44" fillId="0" borderId="0" xfId="283" applyFont="1" applyFill="1" applyBorder="1" applyAlignment="1">
      <alignment wrapText="1"/>
    </xf>
    <xf numFmtId="9" fontId="44" fillId="0" borderId="0" xfId="283" applyFont="1" applyFill="1" applyBorder="1" applyAlignment="1">
      <alignment horizontal="right"/>
    </xf>
    <xf numFmtId="9" fontId="44" fillId="0" borderId="0" xfId="283" applyFont="1" applyFill="1" applyBorder="1" applyAlignment="1">
      <alignment horizontal="center"/>
    </xf>
    <xf numFmtId="9" fontId="9" fillId="0" borderId="81" xfId="283" applyFont="1" applyFill="1" applyBorder="1" applyAlignment="1">
      <alignment horizontal="center"/>
    </xf>
    <xf numFmtId="169" fontId="7" fillId="0" borderId="83" xfId="0" applyNumberFormat="1" applyFont="1" applyFill="1" applyBorder="1" applyAlignment="1">
      <alignment vertical="center"/>
    </xf>
    <xf numFmtId="169" fontId="7" fillId="0" borderId="62" xfId="0" applyNumberFormat="1" applyFont="1" applyFill="1" applyBorder="1" applyAlignment="1">
      <alignment vertical="center"/>
    </xf>
    <xf numFmtId="169" fontId="7" fillId="0" borderId="26" xfId="0" applyNumberFormat="1" applyFont="1" applyFill="1" applyBorder="1" applyAlignment="1">
      <alignment vertical="center"/>
    </xf>
    <xf numFmtId="169" fontId="7" fillId="0" borderId="54" xfId="0" applyNumberFormat="1" applyFont="1" applyFill="1" applyBorder="1" applyAlignment="1">
      <alignment horizontal="center" vertical="center" wrapText="1"/>
    </xf>
    <xf numFmtId="0" fontId="6" fillId="48" borderId="37" xfId="0" applyFont="1" applyFill="1" applyBorder="1" applyAlignment="1">
      <alignment horizontal="center"/>
    </xf>
    <xf numFmtId="169" fontId="8" fillId="0" borderId="38" xfId="0" applyNumberFormat="1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Continuous" vertical="center"/>
    </xf>
    <xf numFmtId="0" fontId="8" fillId="0" borderId="82" xfId="0" applyFont="1" applyFill="1" applyBorder="1" applyAlignment="1">
      <alignment horizontal="centerContinuous" vertical="center"/>
    </xf>
    <xf numFmtId="3" fontId="8" fillId="0" borderId="82" xfId="0" applyNumberFormat="1" applyFont="1" applyFill="1" applyBorder="1" applyAlignment="1">
      <alignment horizontal="centerContinuous" vertical="center" wrapText="1"/>
    </xf>
    <xf numFmtId="169" fontId="9" fillId="0" borderId="81" xfId="0" applyNumberFormat="1" applyFont="1" applyFill="1" applyBorder="1" applyAlignment="1">
      <alignment horizontal="center" vertical="center"/>
    </xf>
    <xf numFmtId="169" fontId="7" fillId="0" borderId="79" xfId="0" applyNumberFormat="1" applyFont="1" applyFill="1" applyBorder="1" applyAlignment="1">
      <alignment horizontal="center" vertical="center"/>
    </xf>
    <xf numFmtId="9" fontId="44" fillId="0" borderId="0" xfId="283" applyFont="1" applyFill="1" applyBorder="1" applyAlignment="1">
      <alignment horizontal="center" vertical="center"/>
    </xf>
    <xf numFmtId="169" fontId="7" fillId="0" borderId="64" xfId="0" applyNumberFormat="1" applyFont="1" applyFill="1" applyBorder="1" applyAlignment="1">
      <alignment horizontal="center" vertical="center"/>
    </xf>
    <xf numFmtId="169" fontId="7" fillId="0" borderId="0" xfId="0" applyNumberFormat="1" applyFont="1" applyFill="1" applyAlignment="1">
      <alignment horizontal="center" vertical="center"/>
    </xf>
    <xf numFmtId="169" fontId="7" fillId="49" borderId="173" xfId="0" applyNumberFormat="1" applyFont="1" applyFill="1" applyBorder="1" applyAlignment="1">
      <alignment horizontal="center" vertical="center"/>
    </xf>
    <xf numFmtId="169" fontId="7" fillId="49" borderId="174" xfId="0" applyNumberFormat="1" applyFont="1" applyFill="1" applyBorder="1" applyAlignment="1">
      <alignment horizontal="center" vertical="center"/>
    </xf>
    <xf numFmtId="169" fontId="7" fillId="49" borderId="175" xfId="0" applyNumberFormat="1" applyFont="1" applyFill="1" applyBorder="1" applyAlignment="1">
      <alignment horizontal="center" vertical="center"/>
    </xf>
    <xf numFmtId="169" fontId="7" fillId="49" borderId="176" xfId="0" applyNumberFormat="1" applyFont="1" applyFill="1" applyBorder="1" applyAlignment="1">
      <alignment horizontal="center" vertical="center"/>
    </xf>
    <xf numFmtId="3" fontId="8" fillId="0" borderId="70" xfId="0" applyNumberFormat="1" applyFont="1" applyFill="1" applyBorder="1" applyAlignment="1">
      <alignment horizontal="centerContinuous" vertical="center"/>
    </xf>
    <xf numFmtId="0" fontId="20" fillId="49" borderId="0" xfId="0" applyFont="1" applyFill="1" applyBorder="1" applyAlignment="1">
      <alignment vertical="center"/>
    </xf>
    <xf numFmtId="0" fontId="4" fillId="49" borderId="25" xfId="0" applyFont="1" applyFill="1" applyBorder="1"/>
    <xf numFmtId="0" fontId="4" fillId="49" borderId="36" xfId="0" applyFont="1" applyFill="1" applyBorder="1" applyAlignment="1">
      <alignment vertical="center"/>
    </xf>
    <xf numFmtId="0" fontId="44" fillId="49" borderId="36" xfId="0" applyFont="1" applyFill="1" applyBorder="1" applyAlignment="1">
      <alignment vertical="center"/>
    </xf>
    <xf numFmtId="0" fontId="42" fillId="49" borderId="36" xfId="0" applyFont="1" applyFill="1" applyBorder="1" applyAlignment="1">
      <alignment vertical="center"/>
    </xf>
    <xf numFmtId="0" fontId="21" fillId="49" borderId="36" xfId="0" applyFont="1" applyFill="1" applyBorder="1" applyAlignment="1">
      <alignment vertical="center"/>
    </xf>
    <xf numFmtId="0" fontId="46" fillId="49" borderId="36" xfId="0" applyFont="1" applyFill="1" applyBorder="1" applyAlignment="1">
      <alignment vertical="center"/>
    </xf>
    <xf numFmtId="0" fontId="20" fillId="49" borderId="36" xfId="0" applyFont="1" applyFill="1" applyBorder="1" applyAlignment="1">
      <alignment vertical="center"/>
    </xf>
    <xf numFmtId="0" fontId="21" fillId="49" borderId="0" xfId="0" applyFont="1" applyFill="1" applyBorder="1" applyAlignment="1">
      <alignment vertical="center"/>
    </xf>
    <xf numFmtId="0" fontId="6" fillId="49" borderId="0" xfId="0" applyFont="1" applyFill="1" applyBorder="1"/>
    <xf numFmtId="0" fontId="7" fillId="49" borderId="0" xfId="0" applyFont="1" applyFill="1"/>
    <xf numFmtId="9" fontId="44" fillId="49" borderId="0" xfId="283" applyFont="1" applyFill="1"/>
    <xf numFmtId="0" fontId="48" fillId="49" borderId="0" xfId="0" applyFont="1" applyFill="1"/>
    <xf numFmtId="0" fontId="44" fillId="49" borderId="0" xfId="0" applyFont="1" applyFill="1"/>
    <xf numFmtId="0" fontId="44" fillId="49" borderId="0" xfId="0" applyFont="1" applyFill="1" applyBorder="1"/>
    <xf numFmtId="3" fontId="8" fillId="0" borderId="71" xfId="0" applyNumberFormat="1" applyFont="1" applyFill="1" applyBorder="1" applyAlignment="1">
      <alignment horizontal="centerContinuous" vertical="center" wrapText="1"/>
    </xf>
    <xf numFmtId="169" fontId="7" fillId="49" borderId="0" xfId="0" applyNumberFormat="1" applyFont="1" applyFill="1" applyBorder="1" applyAlignment="1">
      <alignment horizontal="center" vertical="center"/>
    </xf>
    <xf numFmtId="43" fontId="6" fillId="0" borderId="0" xfId="12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23" fillId="0" borderId="31" xfId="0" applyNumberFormat="1" applyFont="1" applyFill="1" applyBorder="1" applyAlignment="1">
      <alignment vertical="center"/>
    </xf>
    <xf numFmtId="169" fontId="7" fillId="0" borderId="43" xfId="0" quotePrefix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6" fillId="0" borderId="59" xfId="0" applyNumberFormat="1" applyFont="1" applyFill="1" applyBorder="1" applyAlignment="1">
      <alignment horizontal="center" vertical="center"/>
    </xf>
    <xf numFmtId="169" fontId="44" fillId="0" borderId="43" xfId="0" quotePrefix="1" applyNumberFormat="1" applyFont="1" applyFill="1" applyBorder="1" applyAlignment="1">
      <alignment horizontal="center" vertical="center"/>
    </xf>
    <xf numFmtId="169" fontId="9" fillId="0" borderId="43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3" fontId="8" fillId="0" borderId="82" xfId="0" applyNumberFormat="1" applyFont="1" applyFill="1" applyBorder="1" applyAlignment="1">
      <alignment horizontal="centerContinuous" vertical="center"/>
    </xf>
    <xf numFmtId="3" fontId="8" fillId="0" borderId="71" xfId="0" applyNumberFormat="1" applyFont="1" applyFill="1" applyBorder="1" applyAlignment="1">
      <alignment horizontal="centerContinuous" vertical="center"/>
    </xf>
    <xf numFmtId="0" fontId="36" fillId="0" borderId="93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centerContinuous" vertical="center" wrapText="1"/>
    </xf>
    <xf numFmtId="169" fontId="6" fillId="0" borderId="32" xfId="0" applyNumberFormat="1" applyFont="1" applyFill="1" applyBorder="1" applyAlignment="1">
      <alignment horizontal="center"/>
    </xf>
    <xf numFmtId="169" fontId="6" fillId="0" borderId="32" xfId="113" applyNumberFormat="1" applyFont="1" applyFill="1" applyBorder="1" applyAlignment="1" applyProtection="1">
      <alignment horizontal="center"/>
    </xf>
    <xf numFmtId="0" fontId="0" fillId="0" borderId="92" xfId="0" applyFill="1" applyBorder="1"/>
    <xf numFmtId="0" fontId="0" fillId="0" borderId="48" xfId="0" applyFill="1" applyBorder="1"/>
    <xf numFmtId="0" fontId="6" fillId="0" borderId="48" xfId="0" applyFont="1" applyFill="1" applyBorder="1" applyAlignment="1">
      <alignment vertical="center"/>
    </xf>
    <xf numFmtId="0" fontId="0" fillId="0" borderId="76" xfId="0" applyFill="1" applyBorder="1"/>
    <xf numFmtId="0" fontId="6" fillId="0" borderId="77" xfId="0" applyFont="1" applyFill="1" applyBorder="1" applyAlignment="1">
      <alignment horizontal="centerContinuous" vertical="center"/>
    </xf>
    <xf numFmtId="0" fontId="6" fillId="0" borderId="25" xfId="0" applyFont="1" applyFill="1" applyBorder="1" applyAlignment="1">
      <alignment horizontal="centerContinuous" vertical="center"/>
    </xf>
    <xf numFmtId="0" fontId="0" fillId="0" borderId="53" xfId="0" applyFill="1" applyBorder="1" applyAlignment="1">
      <alignment horizontal="centerContinuous"/>
    </xf>
    <xf numFmtId="0" fontId="6" fillId="0" borderId="46" xfId="0" applyFont="1" applyFill="1" applyBorder="1" applyAlignment="1">
      <alignment horizontal="centerContinuous" vertical="center"/>
    </xf>
    <xf numFmtId="0" fontId="0" fillId="0" borderId="36" xfId="0" applyFill="1" applyBorder="1" applyAlignment="1">
      <alignment horizontal="centerContinuous"/>
    </xf>
    <xf numFmtId="0" fontId="0" fillId="0" borderId="0" xfId="0" applyFill="1" applyAlignment="1">
      <alignment horizontal="centerContinuous"/>
    </xf>
    <xf numFmtId="0" fontId="6" fillId="0" borderId="36" xfId="0" applyFont="1" applyFill="1" applyBorder="1" applyAlignment="1">
      <alignment horizontal="centerContinuous"/>
    </xf>
    <xf numFmtId="0" fontId="6" fillId="0" borderId="5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109" xfId="0" applyFont="1" applyFill="1" applyBorder="1" applyAlignment="1">
      <alignment horizontal="centerContinuous" vertical="center"/>
    </xf>
    <xf numFmtId="0" fontId="6" fillId="0" borderId="95" xfId="0" applyFont="1" applyFill="1" applyBorder="1" applyAlignment="1">
      <alignment horizontal="centerContinuous" vertical="center" wrapText="1"/>
    </xf>
    <xf numFmtId="0" fontId="6" fillId="0" borderId="92" xfId="0" applyFont="1" applyFill="1" applyBorder="1" applyAlignment="1">
      <alignment vertical="center"/>
    </xf>
    <xf numFmtId="0" fontId="6" fillId="0" borderId="109" xfId="0" applyFont="1" applyFill="1" applyBorder="1" applyAlignment="1">
      <alignment vertical="center" wrapText="1"/>
    </xf>
    <xf numFmtId="0" fontId="8" fillId="0" borderId="82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169" fontId="9" fillId="0" borderId="95" xfId="0" applyNumberFormat="1" applyFont="1" applyFill="1" applyBorder="1" applyAlignment="1">
      <alignment horizontal="center" vertical="center"/>
    </xf>
    <xf numFmtId="177" fontId="23" fillId="0" borderId="0" xfId="0" applyNumberFormat="1" applyFont="1" applyFill="1" applyAlignment="1">
      <alignment horizontal="center" vertical="center"/>
    </xf>
    <xf numFmtId="169" fontId="4" fillId="0" borderId="0" xfId="0" applyNumberFormat="1" applyFont="1" applyFill="1"/>
    <xf numFmtId="43" fontId="4" fillId="0" borderId="0" xfId="120" applyFont="1" applyFill="1"/>
    <xf numFmtId="2" fontId="6" fillId="0" borderId="5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40" fillId="0" borderId="0" xfId="0" applyFont="1"/>
    <xf numFmtId="4" fontId="6" fillId="0" borderId="0" xfId="0" applyNumberFormat="1" applyFont="1" applyFill="1" applyAlignment="1"/>
    <xf numFmtId="4" fontId="0" fillId="0" borderId="0" xfId="0" applyNumberFormat="1"/>
    <xf numFmtId="4" fontId="5" fillId="0" borderId="0" xfId="0" applyNumberFormat="1" applyFont="1" applyFill="1" applyAlignment="1"/>
    <xf numFmtId="0" fontId="40" fillId="0" borderId="0" xfId="0" applyFont="1" applyAlignment="1">
      <alignment horizontal="right"/>
    </xf>
    <xf numFmtId="0" fontId="0" fillId="0" borderId="47" xfId="0" applyBorder="1"/>
    <xf numFmtId="0" fontId="0" fillId="0" borderId="0" xfId="0" applyBorder="1"/>
    <xf numFmtId="0" fontId="0" fillId="0" borderId="38" xfId="0" applyBorder="1"/>
    <xf numFmtId="10" fontId="40" fillId="0" borderId="37" xfId="283" applyNumberFormat="1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0" fillId="0" borderId="37" xfId="0" applyBorder="1"/>
    <xf numFmtId="0" fontId="0" fillId="0" borderId="37" xfId="0" applyBorder="1" applyAlignment="1">
      <alignment horizontal="center"/>
    </xf>
    <xf numFmtId="0" fontId="2" fillId="0" borderId="37" xfId="0" applyFont="1" applyBorder="1"/>
    <xf numFmtId="10" fontId="40" fillId="0" borderId="37" xfId="0" applyNumberFormat="1" applyFont="1" applyFill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17" fontId="40" fillId="0" borderId="37" xfId="0" applyNumberFormat="1" applyFont="1" applyBorder="1" applyAlignment="1">
      <alignment horizontal="center"/>
    </xf>
    <xf numFmtId="2" fontId="0" fillId="0" borderId="37" xfId="0" applyNumberFormat="1" applyBorder="1"/>
    <xf numFmtId="2" fontId="40" fillId="0" borderId="37" xfId="0" applyNumberFormat="1" applyFont="1" applyBorder="1"/>
    <xf numFmtId="0" fontId="5" fillId="0" borderId="8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 wrapText="1"/>
    </xf>
    <xf numFmtId="177" fontId="6" fillId="0" borderId="23" xfId="0" applyNumberFormat="1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177" fontId="6" fillId="0" borderId="73" xfId="0" applyNumberFormat="1" applyFont="1" applyFill="1" applyBorder="1" applyAlignment="1">
      <alignment horizontal="center" vertical="center"/>
    </xf>
    <xf numFmtId="177" fontId="6" fillId="0" borderId="7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17" fontId="0" fillId="0" borderId="37" xfId="0" applyNumberFormat="1" applyBorder="1" applyAlignment="1">
      <alignment horizontal="center" vertical="center"/>
    </xf>
    <xf numFmtId="174" fontId="0" fillId="0" borderId="37" xfId="0" applyNumberFormat="1" applyBorder="1"/>
    <xf numFmtId="0" fontId="0" fillId="0" borderId="49" xfId="0" applyBorder="1"/>
    <xf numFmtId="0" fontId="79" fillId="0" borderId="49" xfId="0" applyFont="1" applyBorder="1" applyAlignment="1">
      <alignment horizontal="right"/>
    </xf>
    <xf numFmtId="169" fontId="6" fillId="0" borderId="72" xfId="0" applyNumberFormat="1" applyFont="1" applyFill="1" applyBorder="1" applyAlignment="1">
      <alignment horizontal="center"/>
    </xf>
    <xf numFmtId="174" fontId="6" fillId="0" borderId="72" xfId="0" applyNumberFormat="1" applyFont="1" applyFill="1" applyBorder="1" applyAlignment="1">
      <alignment horizontal="center"/>
    </xf>
    <xf numFmtId="0" fontId="2" fillId="0" borderId="69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17" fontId="6" fillId="0" borderId="28" xfId="0" applyNumberFormat="1" applyFont="1" applyFill="1" applyBorder="1" applyAlignment="1">
      <alignment horizontal="center"/>
    </xf>
    <xf numFmtId="174" fontId="6" fillId="0" borderId="37" xfId="0" applyNumberFormat="1" applyFont="1" applyFill="1" applyBorder="1" applyAlignment="1">
      <alignment horizontal="center"/>
    </xf>
    <xf numFmtId="2" fontId="6" fillId="0" borderId="23" xfId="0" applyNumberFormat="1" applyFont="1" applyFill="1" applyBorder="1" applyAlignment="1">
      <alignment horizontal="center" vertical="center"/>
    </xf>
    <xf numFmtId="169" fontId="0" fillId="0" borderId="0" xfId="0" applyNumberFormat="1"/>
    <xf numFmtId="169" fontId="0" fillId="0" borderId="0" xfId="0" applyNumberFormat="1" applyFill="1" applyAlignment="1">
      <alignment horizontal="center"/>
    </xf>
    <xf numFmtId="169" fontId="6" fillId="0" borderId="28" xfId="0" applyNumberFormat="1" applyFont="1" applyFill="1" applyBorder="1" applyAlignment="1">
      <alignment horizontal="center"/>
    </xf>
    <xf numFmtId="169" fontId="6" fillId="0" borderId="21" xfId="0" applyNumberFormat="1" applyFont="1" applyFill="1" applyBorder="1" applyAlignment="1">
      <alignment horizontal="center" vertical="center"/>
    </xf>
    <xf numFmtId="2" fontId="40" fillId="0" borderId="0" xfId="0" applyNumberFormat="1" applyFont="1" applyBorder="1"/>
    <xf numFmtId="177" fontId="6" fillId="0" borderId="95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6" xfId="0" applyFont="1" applyBorder="1"/>
    <xf numFmtId="2" fontId="4" fillId="0" borderId="146" xfId="0" applyNumberFormat="1" applyFont="1" applyBorder="1"/>
    <xf numFmtId="0" fontId="4" fillId="0" borderId="58" xfId="0" applyFont="1" applyBorder="1"/>
    <xf numFmtId="0" fontId="4" fillId="0" borderId="58" xfId="0" applyFont="1" applyBorder="1" applyAlignment="1">
      <alignment horizontal="center"/>
    </xf>
    <xf numFmtId="10" fontId="4" fillId="0" borderId="58" xfId="283" applyNumberFormat="1" applyFont="1" applyBorder="1" applyAlignment="1">
      <alignment horizontal="center"/>
    </xf>
    <xf numFmtId="2" fontId="4" fillId="0" borderId="58" xfId="0" applyNumberFormat="1" applyFont="1" applyBorder="1"/>
    <xf numFmtId="0" fontId="4" fillId="0" borderId="147" xfId="0" applyFont="1" applyBorder="1"/>
    <xf numFmtId="0" fontId="4" fillId="0" borderId="147" xfId="0" applyFont="1" applyBorder="1" applyAlignment="1">
      <alignment horizontal="center"/>
    </xf>
    <xf numFmtId="10" fontId="4" fillId="0" borderId="147" xfId="283" applyNumberFormat="1" applyFont="1" applyBorder="1" applyAlignment="1">
      <alignment horizontal="center"/>
    </xf>
    <xf numFmtId="2" fontId="4" fillId="0" borderId="147" xfId="0" applyNumberFormat="1" applyFont="1" applyBorder="1"/>
    <xf numFmtId="10" fontId="4" fillId="0" borderId="0" xfId="0" applyNumberFormat="1" applyFont="1"/>
    <xf numFmtId="0" fontId="4" fillId="0" borderId="37" xfId="0" applyFont="1" applyBorder="1"/>
    <xf numFmtId="2" fontId="4" fillId="0" borderId="37" xfId="0" applyNumberFormat="1" applyFont="1" applyBorder="1"/>
    <xf numFmtId="169" fontId="4" fillId="0" borderId="37" xfId="0" applyNumberFormat="1" applyFont="1" applyBorder="1"/>
    <xf numFmtId="2" fontId="12" fillId="0" borderId="37" xfId="0" applyNumberFormat="1" applyFont="1" applyBorder="1"/>
    <xf numFmtId="2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right"/>
    </xf>
    <xf numFmtId="169" fontId="6" fillId="0" borderId="3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2" fontId="6" fillId="0" borderId="45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9" fontId="6" fillId="0" borderId="33" xfId="283" applyFont="1" applyFill="1" applyBorder="1" applyAlignment="1">
      <alignment horizontal="center" vertical="center"/>
    </xf>
    <xf numFmtId="169" fontId="6" fillId="0" borderId="20" xfId="0" applyNumberFormat="1" applyFont="1" applyFill="1" applyBorder="1" applyAlignment="1">
      <alignment horizontal="center" vertical="center"/>
    </xf>
    <xf numFmtId="169" fontId="6" fillId="0" borderId="33" xfId="0" applyNumberFormat="1" applyFont="1" applyFill="1" applyBorder="1" applyAlignment="1">
      <alignment horizontal="center" vertical="center"/>
    </xf>
    <xf numFmtId="169" fontId="6" fillId="0" borderId="22" xfId="0" applyNumberFormat="1" applyFont="1" applyFill="1" applyBorder="1" applyAlignment="1">
      <alignment horizontal="center" vertical="center"/>
    </xf>
    <xf numFmtId="9" fontId="6" fillId="0" borderId="37" xfId="283" applyFont="1" applyFill="1" applyBorder="1" applyAlignment="1">
      <alignment horizontal="center" vertical="center"/>
    </xf>
    <xf numFmtId="169" fontId="6" fillId="0" borderId="19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2" fontId="5" fillId="0" borderId="24" xfId="0" applyNumberFormat="1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horizontal="center" vertical="center"/>
    </xf>
    <xf numFmtId="2" fontId="6" fillId="0" borderId="38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2" fontId="5" fillId="0" borderId="42" xfId="0" applyNumberFormat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left"/>
    </xf>
    <xf numFmtId="2" fontId="6" fillId="0" borderId="154" xfId="0" applyNumberFormat="1" applyFont="1" applyFill="1" applyBorder="1" applyAlignment="1">
      <alignment horizontal="center" vertical="center"/>
    </xf>
    <xf numFmtId="2" fontId="6" fillId="0" borderId="155" xfId="0" applyNumberFormat="1" applyFont="1" applyFill="1" applyBorder="1" applyAlignment="1">
      <alignment horizontal="center" vertical="center"/>
    </xf>
    <xf numFmtId="2" fontId="6" fillId="0" borderId="136" xfId="0" applyNumberFormat="1" applyFont="1" applyFill="1" applyBorder="1" applyAlignment="1">
      <alignment horizontal="center" vertical="center"/>
    </xf>
    <xf numFmtId="2" fontId="6" fillId="0" borderId="137" xfId="0" applyNumberFormat="1" applyFont="1" applyFill="1" applyBorder="1" applyAlignment="1">
      <alignment horizontal="center" vertical="center"/>
    </xf>
    <xf numFmtId="0" fontId="0" fillId="0" borderId="102" xfId="0" applyFill="1" applyBorder="1" applyAlignment="1">
      <alignment vertical="center"/>
    </xf>
    <xf numFmtId="0" fontId="0" fillId="0" borderId="103" xfId="0" applyFill="1" applyBorder="1" applyAlignment="1">
      <alignment vertical="center"/>
    </xf>
    <xf numFmtId="0" fontId="0" fillId="0" borderId="139" xfId="0" applyFill="1" applyBorder="1" applyAlignment="1">
      <alignment vertical="center"/>
    </xf>
    <xf numFmtId="0" fontId="0" fillId="0" borderId="105" xfId="0" applyFill="1" applyBorder="1" applyAlignment="1">
      <alignment vertical="center"/>
    </xf>
    <xf numFmtId="169" fontId="6" fillId="0" borderId="102" xfId="0" applyNumberFormat="1" applyFont="1" applyFill="1" applyBorder="1" applyAlignment="1">
      <alignment horizontal="center" vertical="center"/>
    </xf>
    <xf numFmtId="169" fontId="6" fillId="0" borderId="103" xfId="0" applyNumberFormat="1" applyFont="1" applyFill="1" applyBorder="1" applyAlignment="1">
      <alignment horizontal="center" vertical="center"/>
    </xf>
    <xf numFmtId="169" fontId="6" fillId="0" borderId="136" xfId="0" applyNumberFormat="1" applyFont="1" applyFill="1" applyBorder="1" applyAlignment="1">
      <alignment horizontal="center" vertical="center"/>
    </xf>
    <xf numFmtId="169" fontId="6" fillId="0" borderId="137" xfId="0" applyNumberFormat="1" applyFont="1" applyFill="1" applyBorder="1" applyAlignment="1">
      <alignment horizontal="center" vertical="center"/>
    </xf>
    <xf numFmtId="2" fontId="6" fillId="0" borderId="102" xfId="0" applyNumberFormat="1" applyFont="1" applyFill="1" applyBorder="1" applyAlignment="1">
      <alignment horizontal="center" vertical="center"/>
    </xf>
    <xf numFmtId="2" fontId="6" fillId="0" borderId="103" xfId="0" applyNumberFormat="1" applyFont="1" applyFill="1" applyBorder="1" applyAlignment="1">
      <alignment horizontal="center" vertical="center"/>
    </xf>
    <xf numFmtId="0" fontId="0" fillId="0" borderId="89" xfId="0" applyBorder="1"/>
    <xf numFmtId="0" fontId="0" fillId="0" borderId="72" xfId="0" applyBorder="1"/>
    <xf numFmtId="0" fontId="2" fillId="0" borderId="72" xfId="0" applyFont="1" applyBorder="1"/>
    <xf numFmtId="2" fontId="6" fillId="0" borderId="101" xfId="0" applyNumberFormat="1" applyFont="1" applyFill="1" applyBorder="1" applyAlignment="1">
      <alignment horizontal="center" vertical="center"/>
    </xf>
    <xf numFmtId="2" fontId="6" fillId="0" borderId="138" xfId="0" applyNumberFormat="1" applyFont="1" applyFill="1" applyBorder="1" applyAlignment="1">
      <alignment horizontal="center" vertical="center"/>
    </xf>
    <xf numFmtId="0" fontId="0" fillId="0" borderId="98" xfId="0" applyFill="1" applyBorder="1" applyAlignment="1">
      <alignment vertical="center"/>
    </xf>
    <xf numFmtId="0" fontId="0" fillId="0" borderId="106" xfId="0" applyFill="1" applyBorder="1" applyAlignment="1">
      <alignment vertical="center"/>
    </xf>
    <xf numFmtId="169" fontId="6" fillId="0" borderId="138" xfId="0" applyNumberFormat="1" applyFont="1" applyFill="1" applyBorder="1" applyAlignment="1">
      <alignment horizontal="center" vertical="center"/>
    </xf>
    <xf numFmtId="2" fontId="6" fillId="0" borderId="156" xfId="0" applyNumberFormat="1" applyFont="1" applyFill="1" applyBorder="1" applyAlignment="1">
      <alignment horizontal="center" vertical="center"/>
    </xf>
    <xf numFmtId="2" fontId="6" fillId="0" borderId="140" xfId="0" applyNumberFormat="1" applyFont="1" applyFill="1" applyBorder="1" applyAlignment="1">
      <alignment horizontal="center" vertical="center"/>
    </xf>
    <xf numFmtId="0" fontId="0" fillId="0" borderId="104" xfId="0" applyFill="1" applyBorder="1" applyAlignment="1">
      <alignment vertical="center"/>
    </xf>
    <xf numFmtId="0" fontId="0" fillId="0" borderId="107" xfId="0" applyFill="1" applyBorder="1" applyAlignment="1">
      <alignment vertical="center"/>
    </xf>
    <xf numFmtId="169" fontId="6" fillId="0" borderId="140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72" xfId="0" applyFont="1" applyBorder="1"/>
    <xf numFmtId="177" fontId="6" fillId="0" borderId="15" xfId="0" applyNumberFormat="1" applyFont="1" applyFill="1" applyBorder="1" applyAlignment="1">
      <alignment horizontal="center" vertical="center"/>
    </xf>
    <xf numFmtId="17" fontId="40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2" fontId="6" fillId="0" borderId="23" xfId="0" applyNumberFormat="1" applyFont="1" applyFill="1" applyBorder="1" applyAlignment="1">
      <alignment horizontal="right"/>
    </xf>
    <xf numFmtId="2" fontId="6" fillId="0" borderId="48" xfId="0" applyNumberFormat="1" applyFont="1" applyFill="1" applyBorder="1" applyAlignment="1">
      <alignment horizontal="right"/>
    </xf>
    <xf numFmtId="17" fontId="23" fillId="0" borderId="95" xfId="0" applyNumberFormat="1" applyFont="1" applyFill="1" applyBorder="1" applyAlignment="1">
      <alignment vertical="center"/>
    </xf>
    <xf numFmtId="0" fontId="6" fillId="0" borderId="74" xfId="0" applyFont="1" applyFill="1" applyBorder="1" applyAlignment="1">
      <alignment horizontal="centerContinuous" vertical="center" wrapText="1"/>
    </xf>
    <xf numFmtId="4" fontId="5" fillId="0" borderId="15" xfId="0" applyNumberFormat="1" applyFont="1" applyFill="1" applyBorder="1" applyAlignment="1">
      <alignment horizontal="right"/>
    </xf>
    <xf numFmtId="2" fontId="4" fillId="0" borderId="69" xfId="0" applyNumberFormat="1" applyFont="1" applyFill="1" applyBorder="1" applyAlignment="1"/>
    <xf numFmtId="2" fontId="4" fillId="0" borderId="63" xfId="113" applyNumberFormat="1" applyFont="1" applyFill="1" applyBorder="1" applyAlignment="1" applyProtection="1"/>
    <xf numFmtId="169" fontId="4" fillId="0" borderId="62" xfId="0" applyNumberFormat="1" applyFont="1" applyFill="1" applyBorder="1"/>
    <xf numFmtId="169" fontId="4" fillId="0" borderId="63" xfId="0" applyNumberFormat="1" applyFont="1" applyFill="1" applyBorder="1"/>
    <xf numFmtId="2" fontId="12" fillId="0" borderId="78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wrapText="1"/>
    </xf>
    <xf numFmtId="0" fontId="6" fillId="47" borderId="82" xfId="0" applyFont="1" applyFill="1" applyBorder="1"/>
    <xf numFmtId="169" fontId="6" fillId="0" borderId="82" xfId="113" applyNumberFormat="1" applyFont="1" applyFill="1" applyBorder="1" applyAlignment="1" applyProtection="1"/>
    <xf numFmtId="2" fontId="6" fillId="0" borderId="50" xfId="113" applyNumberFormat="1" applyFont="1" applyFill="1" applyBorder="1" applyAlignment="1" applyProtection="1"/>
    <xf numFmtId="0" fontId="6" fillId="47" borderId="50" xfId="0" applyFont="1" applyFill="1" applyBorder="1"/>
    <xf numFmtId="2" fontId="6" fillId="0" borderId="114" xfId="0" applyNumberFormat="1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2" fontId="6" fillId="0" borderId="85" xfId="0" applyNumberFormat="1" applyFont="1" applyFill="1" applyBorder="1" applyAlignment="1">
      <alignment horizontal="center"/>
    </xf>
    <xf numFmtId="169" fontId="6" fillId="0" borderId="83" xfId="0" applyNumberFormat="1" applyFont="1" applyFill="1" applyBorder="1" applyAlignment="1">
      <alignment horizontal="center"/>
    </xf>
    <xf numFmtId="169" fontId="6" fillId="0" borderId="84" xfId="113" applyNumberFormat="1" applyFont="1" applyFill="1" applyBorder="1" applyAlignment="1" applyProtection="1">
      <alignment horizontal="center"/>
    </xf>
    <xf numFmtId="169" fontId="6" fillId="0" borderId="85" xfId="113" applyNumberFormat="1" applyFont="1" applyFill="1" applyBorder="1" applyAlignment="1" applyProtection="1">
      <alignment horizontal="center"/>
    </xf>
    <xf numFmtId="2" fontId="6" fillId="0" borderId="83" xfId="113" applyNumberFormat="1" applyFont="1" applyFill="1" applyBorder="1" applyAlignment="1" applyProtection="1">
      <alignment horizontal="center"/>
    </xf>
    <xf numFmtId="2" fontId="6" fillId="0" borderId="84" xfId="113" applyNumberFormat="1" applyFont="1" applyFill="1" applyBorder="1" applyAlignment="1" applyProtection="1">
      <alignment horizontal="center"/>
    </xf>
    <xf numFmtId="2" fontId="6" fillId="0" borderId="125" xfId="113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 vertical="center"/>
    </xf>
    <xf numFmtId="169" fontId="6" fillId="0" borderId="156" xfId="0" applyNumberFormat="1" applyFont="1" applyFill="1" applyBorder="1" applyAlignment="1">
      <alignment horizontal="center" vertical="center"/>
    </xf>
    <xf numFmtId="2" fontId="6" fillId="0" borderId="98" xfId="0" applyNumberFormat="1" applyFont="1" applyFill="1" applyBorder="1" applyAlignment="1">
      <alignment horizontal="center" vertical="center"/>
    </xf>
    <xf numFmtId="169" fontId="6" fillId="0" borderId="101" xfId="0" applyNumberFormat="1" applyFont="1" applyFill="1" applyBorder="1" applyAlignment="1">
      <alignment horizontal="center" vertical="center"/>
    </xf>
    <xf numFmtId="169" fontId="6" fillId="0" borderId="155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9" fontId="4" fillId="0" borderId="0" xfId="0" applyNumberFormat="1" applyFont="1"/>
    <xf numFmtId="199" fontId="4" fillId="0" borderId="0" xfId="0" applyNumberFormat="1" applyFont="1"/>
    <xf numFmtId="2" fontId="6" fillId="49" borderId="21" xfId="0" applyNumberFormat="1" applyFont="1" applyFill="1" applyBorder="1" applyAlignment="1">
      <alignment horizontal="center" vertical="center"/>
    </xf>
    <xf numFmtId="2" fontId="6" fillId="0" borderId="39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154" xfId="0" applyFont="1" applyFill="1" applyBorder="1" applyAlignment="1">
      <alignment horizontal="center"/>
    </xf>
    <xf numFmtId="0" fontId="6" fillId="0" borderId="155" xfId="0" applyFont="1" applyFill="1" applyBorder="1" applyAlignment="1">
      <alignment horizontal="center"/>
    </xf>
    <xf numFmtId="0" fontId="6" fillId="0" borderId="156" xfId="0" applyFont="1" applyFill="1" applyBorder="1" applyAlignment="1">
      <alignment horizontal="center"/>
    </xf>
    <xf numFmtId="0" fontId="6" fillId="0" borderId="134" xfId="0" applyFont="1" applyFill="1" applyBorder="1" applyAlignment="1">
      <alignment horizontal="center"/>
    </xf>
    <xf numFmtId="0" fontId="6" fillId="0" borderId="134" xfId="0" applyFont="1" applyFill="1" applyBorder="1"/>
    <xf numFmtId="0" fontId="6" fillId="0" borderId="135" xfId="0" applyFont="1" applyFill="1" applyBorder="1"/>
    <xf numFmtId="0" fontId="6" fillId="0" borderId="177" xfId="0" applyFont="1" applyFill="1" applyBorder="1"/>
    <xf numFmtId="0" fontId="5" fillId="0" borderId="86" xfId="0" applyFont="1" applyFill="1" applyBorder="1" applyAlignment="1">
      <alignment horizontal="center"/>
    </xf>
    <xf numFmtId="0" fontId="5" fillId="0" borderId="88" xfId="0" applyFont="1" applyFill="1" applyBorder="1" applyAlignment="1">
      <alignment horizontal="center"/>
    </xf>
    <xf numFmtId="0" fontId="5" fillId="0" borderId="122" xfId="0" applyFont="1" applyFill="1" applyBorder="1" applyAlignment="1">
      <alignment horizontal="center"/>
    </xf>
    <xf numFmtId="2" fontId="6" fillId="0" borderId="154" xfId="0" applyNumberFormat="1" applyFont="1" applyFill="1" applyBorder="1" applyAlignment="1">
      <alignment horizontal="center"/>
    </xf>
    <xf numFmtId="2" fontId="6" fillId="0" borderId="155" xfId="0" applyNumberFormat="1" applyFont="1" applyFill="1" applyBorder="1" applyAlignment="1">
      <alignment horizontal="center"/>
    </xf>
    <xf numFmtId="2" fontId="6" fillId="0" borderId="156" xfId="0" applyNumberFormat="1" applyFont="1" applyFill="1" applyBorder="1" applyAlignment="1">
      <alignment horizontal="center"/>
    </xf>
    <xf numFmtId="2" fontId="6" fillId="0" borderId="139" xfId="0" applyNumberFormat="1" applyFont="1" applyFill="1" applyBorder="1" applyAlignment="1">
      <alignment horizontal="center"/>
    </xf>
    <xf numFmtId="2" fontId="6" fillId="0" borderId="105" xfId="0" applyNumberFormat="1" applyFont="1" applyFill="1" applyBorder="1" applyAlignment="1">
      <alignment horizontal="center"/>
    </xf>
    <xf numFmtId="2" fontId="6" fillId="0" borderId="107" xfId="0" applyNumberFormat="1" applyFont="1" applyFill="1" applyBorder="1" applyAlignment="1">
      <alignment horizontal="center"/>
    </xf>
    <xf numFmtId="2" fontId="6" fillId="0" borderId="104" xfId="0" applyNumberFormat="1" applyFont="1" applyFill="1" applyBorder="1" applyAlignment="1">
      <alignment horizontal="center"/>
    </xf>
    <xf numFmtId="0" fontId="6" fillId="0" borderId="155" xfId="0" applyFont="1" applyFill="1" applyBorder="1" applyAlignment="1"/>
    <xf numFmtId="2" fontId="6" fillId="0" borderId="155" xfId="0" applyNumberFormat="1" applyFont="1" applyFill="1" applyBorder="1" applyAlignment="1"/>
    <xf numFmtId="2" fontId="6" fillId="0" borderId="103" xfId="0" applyNumberFormat="1" applyFont="1" applyFill="1" applyBorder="1"/>
    <xf numFmtId="2" fontId="6" fillId="0" borderId="103" xfId="0" applyNumberFormat="1" applyFont="1" applyFill="1" applyBorder="1" applyAlignment="1">
      <alignment horizontal="right"/>
    </xf>
    <xf numFmtId="0" fontId="6" fillId="0" borderId="102" xfId="0" applyFont="1" applyFill="1" applyBorder="1" applyAlignment="1">
      <alignment horizontal="center"/>
    </xf>
    <xf numFmtId="2" fontId="6" fillId="0" borderId="151" xfId="0" applyNumberFormat="1" applyFont="1" applyFill="1" applyBorder="1" applyAlignment="1">
      <alignment horizontal="center"/>
    </xf>
    <xf numFmtId="2" fontId="6" fillId="0" borderId="135" xfId="0" applyNumberFormat="1" applyFont="1" applyFill="1" applyBorder="1"/>
    <xf numFmtId="2" fontId="6" fillId="0" borderId="177" xfId="0" applyNumberFormat="1" applyFont="1" applyFill="1" applyBorder="1" applyAlignment="1">
      <alignment horizontal="center"/>
    </xf>
    <xf numFmtId="2" fontId="5" fillId="0" borderId="103" xfId="0" applyNumberFormat="1" applyFont="1" applyFill="1" applyBorder="1" applyAlignment="1">
      <alignment horizontal="center"/>
    </xf>
    <xf numFmtId="0" fontId="0" fillId="0" borderId="103" xfId="0" applyFill="1" applyBorder="1"/>
    <xf numFmtId="0" fontId="0" fillId="0" borderId="103" xfId="0" applyFill="1" applyBorder="1" applyAlignment="1">
      <alignment horizontal="center"/>
    </xf>
    <xf numFmtId="169" fontId="6" fillId="0" borderId="136" xfId="0" applyNumberFormat="1" applyFont="1" applyFill="1" applyBorder="1" applyAlignment="1">
      <alignment horizontal="center"/>
    </xf>
    <xf numFmtId="169" fontId="6" fillId="0" borderId="102" xfId="0" applyNumberFormat="1" applyFont="1" applyFill="1" applyBorder="1" applyAlignment="1">
      <alignment horizontal="center"/>
    </xf>
    <xf numFmtId="169" fontId="6" fillId="0" borderId="102" xfId="113" applyNumberFormat="1" applyFont="1" applyFill="1" applyBorder="1" applyAlignment="1" applyProtection="1">
      <alignment horizontal="center"/>
    </xf>
    <xf numFmtId="169" fontId="6" fillId="0" borderId="134" xfId="113" applyNumberFormat="1" applyFont="1" applyFill="1" applyBorder="1" applyAlignment="1" applyProtection="1">
      <alignment horizontal="center"/>
    </xf>
    <xf numFmtId="2" fontId="6" fillId="0" borderId="108" xfId="0" applyNumberFormat="1" applyFont="1" applyFill="1" applyBorder="1" applyAlignment="1">
      <alignment horizontal="center" vertical="center"/>
    </xf>
    <xf numFmtId="2" fontId="5" fillId="0" borderId="105" xfId="0" applyNumberFormat="1" applyFont="1" applyFill="1" applyBorder="1" applyAlignment="1">
      <alignment horizontal="center"/>
    </xf>
    <xf numFmtId="0" fontId="0" fillId="0" borderId="105" xfId="0" applyFill="1" applyBorder="1"/>
    <xf numFmtId="0" fontId="0" fillId="0" borderId="107" xfId="0" applyFill="1" applyBorder="1"/>
    <xf numFmtId="0" fontId="5" fillId="0" borderId="88" xfId="0" applyFont="1" applyFill="1" applyBorder="1"/>
    <xf numFmtId="0" fontId="6" fillId="0" borderId="103" xfId="0" applyFont="1" applyFill="1" applyBorder="1" applyAlignment="1"/>
    <xf numFmtId="2" fontId="6" fillId="0" borderId="103" xfId="0" applyNumberFormat="1" applyFont="1" applyFill="1" applyBorder="1" applyAlignment="1"/>
    <xf numFmtId="0" fontId="6" fillId="0" borderId="103" xfId="0" applyFont="1" applyFill="1" applyBorder="1" applyAlignment="1">
      <alignment horizontal="right"/>
    </xf>
    <xf numFmtId="2" fontId="6" fillId="0" borderId="178" xfId="0" applyNumberFormat="1" applyFont="1" applyFill="1" applyBorder="1" applyAlignment="1">
      <alignment horizontal="right"/>
    </xf>
    <xf numFmtId="0" fontId="6" fillId="0" borderId="139" xfId="0" applyFont="1" applyFill="1" applyBorder="1" applyAlignment="1">
      <alignment horizontal="center"/>
    </xf>
    <xf numFmtId="2" fontId="6" fillId="0" borderId="105" xfId="0" applyNumberFormat="1" applyFont="1" applyFill="1" applyBorder="1"/>
    <xf numFmtId="2" fontId="6" fillId="0" borderId="105" xfId="0" applyNumberFormat="1" applyFont="1" applyFill="1" applyBorder="1" applyAlignment="1">
      <alignment horizontal="right"/>
    </xf>
    <xf numFmtId="2" fontId="6" fillId="0" borderId="135" xfId="0" applyNumberFormat="1" applyFont="1" applyFill="1" applyBorder="1" applyAlignment="1">
      <alignment horizontal="right"/>
    </xf>
    <xf numFmtId="0" fontId="6" fillId="0" borderId="119" xfId="0" applyFont="1" applyFill="1" applyBorder="1" applyAlignment="1">
      <alignment horizontal="center"/>
    </xf>
    <xf numFmtId="0" fontId="6" fillId="0" borderId="88" xfId="0" applyFont="1" applyFill="1" applyBorder="1"/>
    <xf numFmtId="0" fontId="6" fillId="0" borderId="179" xfId="0" applyFont="1" applyFill="1" applyBorder="1"/>
    <xf numFmtId="0" fontId="6" fillId="0" borderId="88" xfId="0" applyFont="1" applyFill="1" applyBorder="1" applyAlignment="1">
      <alignment horizontal="center"/>
    </xf>
    <xf numFmtId="0" fontId="0" fillId="0" borderId="88" xfId="0" applyFill="1" applyBorder="1"/>
    <xf numFmtId="0" fontId="0" fillId="0" borderId="113" xfId="0" applyFill="1" applyBorder="1"/>
    <xf numFmtId="0" fontId="0" fillId="0" borderId="122" xfId="0" applyFill="1" applyBorder="1"/>
    <xf numFmtId="169" fontId="6" fillId="0" borderId="154" xfId="0" applyNumberFormat="1" applyFont="1" applyFill="1" applyBorder="1" applyAlignment="1">
      <alignment horizontal="center"/>
    </xf>
    <xf numFmtId="169" fontId="6" fillId="0" borderId="155" xfId="0" applyNumberFormat="1" applyFont="1" applyFill="1" applyBorder="1"/>
    <xf numFmtId="169" fontId="6" fillId="0" borderId="155" xfId="0" applyNumberFormat="1" applyFont="1" applyFill="1" applyBorder="1" applyAlignment="1">
      <alignment horizontal="center"/>
    </xf>
    <xf numFmtId="169" fontId="6" fillId="0" borderId="139" xfId="113" applyNumberFormat="1" applyFont="1" applyFill="1" applyBorder="1" applyAlignment="1" applyProtection="1">
      <alignment horizontal="center"/>
    </xf>
    <xf numFmtId="169" fontId="6" fillId="0" borderId="105" xfId="113" applyNumberFormat="1" applyFont="1" applyFill="1" applyBorder="1" applyAlignment="1" applyProtection="1">
      <alignment horizontal="center"/>
    </xf>
    <xf numFmtId="2" fontId="6" fillId="0" borderId="180" xfId="0" applyNumberFormat="1" applyFont="1" applyFill="1" applyBorder="1" applyAlignment="1">
      <alignment horizontal="center" vertical="center"/>
    </xf>
    <xf numFmtId="2" fontId="5" fillId="0" borderId="179" xfId="0" applyNumberFormat="1" applyFont="1" applyFill="1" applyBorder="1" applyAlignment="1">
      <alignment horizontal="center"/>
    </xf>
    <xf numFmtId="0" fontId="6" fillId="0" borderId="179" xfId="0" applyFont="1" applyFill="1" applyBorder="1" applyAlignment="1">
      <alignment horizontal="center"/>
    </xf>
    <xf numFmtId="0" fontId="0" fillId="0" borderId="135" xfId="0" applyFill="1" applyBorder="1"/>
    <xf numFmtId="0" fontId="0" fillId="0" borderId="177" xfId="0" applyFill="1" applyBorder="1"/>
    <xf numFmtId="2" fontId="5" fillId="0" borderId="181" xfId="0" applyNumberFormat="1" applyFont="1" applyFill="1" applyBorder="1" applyAlignment="1">
      <alignment horizontal="center"/>
    </xf>
    <xf numFmtId="2" fontId="5" fillId="0" borderId="182" xfId="0" applyNumberFormat="1" applyFont="1" applyFill="1" applyBorder="1" applyAlignment="1">
      <alignment horizontal="center"/>
    </xf>
    <xf numFmtId="0" fontId="5" fillId="0" borderId="182" xfId="0" applyFont="1" applyFill="1" applyBorder="1"/>
    <xf numFmtId="2" fontId="5" fillId="0" borderId="182" xfId="0" applyNumberFormat="1" applyFont="1" applyFill="1" applyBorder="1"/>
    <xf numFmtId="2" fontId="5" fillId="0" borderId="183" xfId="0" applyNumberFormat="1" applyFont="1" applyFill="1" applyBorder="1" applyAlignment="1">
      <alignment horizontal="center"/>
    </xf>
    <xf numFmtId="0" fontId="0" fillId="0" borderId="137" xfId="0" applyFill="1" applyBorder="1" applyAlignment="1">
      <alignment horizontal="center"/>
    </xf>
    <xf numFmtId="2" fontId="0" fillId="0" borderId="137" xfId="0" applyNumberFormat="1" applyFill="1" applyBorder="1" applyAlignment="1">
      <alignment horizontal="center"/>
    </xf>
    <xf numFmtId="2" fontId="0" fillId="0" borderId="140" xfId="0" applyNumberFormat="1" applyFill="1" applyBorder="1" applyAlignment="1">
      <alignment horizontal="center"/>
    </xf>
    <xf numFmtId="0" fontId="0" fillId="0" borderId="104" xfId="0" applyFill="1" applyBorder="1"/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82" xfId="0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9" fontId="6" fillId="0" borderId="22" xfId="0" applyNumberFormat="1" applyFont="1" applyFill="1" applyBorder="1" applyAlignment="1">
      <alignment horizontal="center"/>
    </xf>
    <xf numFmtId="178" fontId="6" fillId="0" borderId="37" xfId="283" applyNumberFormat="1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vertical="center"/>
    </xf>
    <xf numFmtId="0" fontId="0" fillId="0" borderId="64" xfId="0" applyBorder="1" applyAlignment="1"/>
    <xf numFmtId="49" fontId="6" fillId="0" borderId="21" xfId="0" applyNumberFormat="1" applyFont="1" applyFill="1" applyBorder="1" applyAlignment="1">
      <alignment horizontal="center" vertical="center"/>
    </xf>
    <xf numFmtId="10" fontId="0" fillId="0" borderId="0" xfId="283" applyNumberFormat="1" applyFont="1" applyFill="1" applyAlignment="1">
      <alignment vertical="center"/>
    </xf>
    <xf numFmtId="10" fontId="2" fillId="0" borderId="0" xfId="283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0" fillId="49" borderId="37" xfId="0" applyFill="1" applyBorder="1"/>
    <xf numFmtId="178" fontId="6" fillId="0" borderId="72" xfId="283" applyNumberFormat="1" applyFont="1" applyFill="1" applyBorder="1" applyAlignment="1">
      <alignment horizontal="center"/>
    </xf>
    <xf numFmtId="2" fontId="6" fillId="0" borderId="133" xfId="0" applyNumberFormat="1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2" fontId="6" fillId="0" borderId="101" xfId="0" applyNumberFormat="1" applyFont="1" applyFill="1" applyBorder="1" applyAlignment="1">
      <alignment horizontal="center"/>
    </xf>
    <xf numFmtId="2" fontId="6" fillId="0" borderId="98" xfId="0" applyNumberFormat="1" applyFont="1" applyFill="1" applyBorder="1" applyAlignment="1">
      <alignment horizontal="center"/>
    </xf>
    <xf numFmtId="2" fontId="6" fillId="0" borderId="187" xfId="0" applyNumberFormat="1" applyFont="1" applyFill="1" applyBorder="1" applyAlignment="1">
      <alignment horizontal="center"/>
    </xf>
    <xf numFmtId="169" fontId="6" fillId="0" borderId="98" xfId="113" applyNumberFormat="1" applyFont="1" applyFill="1" applyBorder="1" applyAlignment="1" applyProtection="1">
      <alignment horizontal="center"/>
    </xf>
    <xf numFmtId="0" fontId="0" fillId="0" borderId="106" xfId="0" applyFill="1" applyBorder="1"/>
    <xf numFmtId="2" fontId="6" fillId="0" borderId="106" xfId="0" applyNumberFormat="1" applyFont="1" applyFill="1" applyBorder="1" applyAlignment="1">
      <alignment horizontal="center"/>
    </xf>
    <xf numFmtId="0" fontId="0" fillId="0" borderId="87" xfId="0" applyFill="1" applyBorder="1"/>
    <xf numFmtId="2" fontId="0" fillId="0" borderId="138" xfId="0" applyNumberFormat="1" applyFill="1" applyBorder="1" applyAlignment="1">
      <alignment horizontal="center"/>
    </xf>
    <xf numFmtId="0" fontId="0" fillId="0" borderId="98" xfId="0" applyFill="1" applyBorder="1"/>
    <xf numFmtId="2" fontId="0" fillId="0" borderId="156" xfId="0" applyNumberFormat="1" applyFill="1" applyBorder="1" applyAlignment="1">
      <alignment horizontal="center"/>
    </xf>
    <xf numFmtId="2" fontId="0" fillId="0" borderId="101" xfId="0" applyNumberForma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3" fontId="0" fillId="0" borderId="0" xfId="120" applyFont="1"/>
    <xf numFmtId="10" fontId="6" fillId="0" borderId="72" xfId="283" applyNumberFormat="1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104" xfId="0" applyNumberFormat="1" applyFont="1" applyFill="1" applyBorder="1" applyAlignment="1">
      <alignment horizontal="center" vertical="center"/>
    </xf>
    <xf numFmtId="169" fontId="6" fillId="0" borderId="45" xfId="0" applyNumberFormat="1" applyFont="1" applyFill="1" applyBorder="1" applyAlignment="1">
      <alignment horizontal="center" vertical="center"/>
    </xf>
    <xf numFmtId="169" fontId="6" fillId="0" borderId="69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3" fontId="0" fillId="0" borderId="0" xfId="120" applyFont="1" applyFill="1" applyAlignment="1">
      <alignment vertical="center"/>
    </xf>
    <xf numFmtId="2" fontId="6" fillId="0" borderId="149" xfId="0" applyNumberFormat="1" applyFont="1" applyFill="1" applyBorder="1" applyAlignment="1">
      <alignment horizontal="center" vertical="center"/>
    </xf>
    <xf numFmtId="2" fontId="6" fillId="0" borderId="162" xfId="0" applyNumberFormat="1" applyFont="1" applyFill="1" applyBorder="1" applyAlignment="1">
      <alignment horizontal="center" vertical="center"/>
    </xf>
    <xf numFmtId="2" fontId="6" fillId="0" borderId="151" xfId="0" applyNumberFormat="1" applyFont="1" applyFill="1" applyBorder="1" applyAlignment="1">
      <alignment horizontal="center" vertical="center"/>
    </xf>
    <xf numFmtId="2" fontId="6" fillId="0" borderId="160" xfId="0" applyNumberFormat="1" applyFont="1" applyFill="1" applyBorder="1" applyAlignment="1">
      <alignment horizontal="center" vertical="center"/>
    </xf>
    <xf numFmtId="2" fontId="6" fillId="0" borderId="188" xfId="0" applyNumberFormat="1" applyFont="1" applyFill="1" applyBorder="1" applyAlignment="1">
      <alignment horizontal="center" vertical="center"/>
    </xf>
    <xf numFmtId="2" fontId="6" fillId="0" borderId="18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3" fontId="2" fillId="0" borderId="0" xfId="120" applyFont="1" applyFill="1" applyAlignment="1">
      <alignment vertical="center"/>
    </xf>
    <xf numFmtId="0" fontId="6" fillId="0" borderId="37" xfId="0" applyFont="1" applyFill="1" applyBorder="1" applyAlignment="1">
      <alignment horizontal="center"/>
    </xf>
    <xf numFmtId="2" fontId="6" fillId="0" borderId="144" xfId="0" applyNumberFormat="1" applyFont="1" applyFill="1" applyBorder="1" applyAlignment="1">
      <alignment horizontal="center" vertical="center"/>
    </xf>
    <xf numFmtId="2" fontId="6" fillId="0" borderId="99" xfId="0" applyNumberFormat="1" applyFont="1" applyFill="1" applyBorder="1" applyAlignment="1">
      <alignment horizontal="center" vertical="center"/>
    </xf>
    <xf numFmtId="2" fontId="6" fillId="0" borderId="190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17" fontId="0" fillId="0" borderId="0" xfId="0" applyNumberFormat="1" applyFill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/>
    <xf numFmtId="0" fontId="0" fillId="0" borderId="180" xfId="0" applyFill="1" applyBorder="1"/>
    <xf numFmtId="0" fontId="0" fillId="0" borderId="191" xfId="0" applyFill="1" applyBorder="1"/>
    <xf numFmtId="17" fontId="6" fillId="0" borderId="95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84" xfId="0" applyFont="1" applyFill="1" applyBorder="1" applyAlignment="1">
      <alignment horizontal="center"/>
    </xf>
    <xf numFmtId="0" fontId="6" fillId="0" borderId="149" xfId="0" applyFont="1" applyFill="1" applyBorder="1" applyAlignment="1">
      <alignment horizontal="center"/>
    </xf>
    <xf numFmtId="2" fontId="6" fillId="0" borderId="149" xfId="0" applyNumberFormat="1" applyFont="1" applyFill="1" applyBorder="1" applyAlignment="1">
      <alignment horizontal="center"/>
    </xf>
    <xf numFmtId="0" fontId="6" fillId="0" borderId="162" xfId="0" applyFont="1" applyFill="1" applyBorder="1" applyAlignment="1">
      <alignment horizontal="center"/>
    </xf>
    <xf numFmtId="2" fontId="6" fillId="0" borderId="130" xfId="0" applyNumberFormat="1" applyFont="1" applyFill="1" applyBorder="1" applyAlignment="1">
      <alignment horizontal="center"/>
    </xf>
    <xf numFmtId="2" fontId="6" fillId="0" borderId="118" xfId="0" applyNumberFormat="1" applyFont="1" applyFill="1" applyBorder="1" applyAlignment="1">
      <alignment horizontal="center"/>
    </xf>
    <xf numFmtId="0" fontId="6" fillId="0" borderId="87" xfId="0" applyFont="1" applyFill="1" applyBorder="1" applyAlignment="1">
      <alignment horizontal="center"/>
    </xf>
    <xf numFmtId="169" fontId="6" fillId="0" borderId="118" xfId="113" applyNumberFormat="1" applyFont="1" applyFill="1" applyBorder="1" applyAlignment="1" applyProtection="1">
      <alignment horizontal="center"/>
    </xf>
    <xf numFmtId="0" fontId="6" fillId="0" borderId="119" xfId="0" applyFont="1" applyFill="1" applyBorder="1"/>
    <xf numFmtId="0" fontId="6" fillId="0" borderId="87" xfId="0" applyFont="1" applyFill="1" applyBorder="1"/>
    <xf numFmtId="17" fontId="6" fillId="0" borderId="122" xfId="0" applyNumberFormat="1" applyFont="1" applyFill="1" applyBorder="1" applyAlignment="1">
      <alignment horizontal="center" vertical="center"/>
    </xf>
    <xf numFmtId="169" fontId="6" fillId="0" borderId="130" xfId="113" applyNumberFormat="1" applyFont="1" applyFill="1" applyBorder="1" applyAlignment="1" applyProtection="1">
      <alignment horizontal="center"/>
    </xf>
    <xf numFmtId="169" fontId="6" fillId="0" borderId="155" xfId="113" applyNumberFormat="1" applyFont="1" applyFill="1" applyBorder="1" applyAlignment="1" applyProtection="1">
      <alignment horizontal="center"/>
    </xf>
    <xf numFmtId="0" fontId="6" fillId="0" borderId="108" xfId="0" applyFont="1" applyFill="1" applyBorder="1"/>
    <xf numFmtId="0" fontId="6" fillId="0" borderId="106" xfId="0" applyFont="1" applyFill="1" applyBorder="1"/>
    <xf numFmtId="0" fontId="6" fillId="0" borderId="192" xfId="0" applyFont="1" applyFill="1" applyBorder="1"/>
    <xf numFmtId="2" fontId="5" fillId="0" borderId="121" xfId="0" applyNumberFormat="1" applyFont="1" applyFill="1" applyBorder="1" applyAlignment="1">
      <alignment horizontal="center"/>
    </xf>
    <xf numFmtId="169" fontId="6" fillId="0" borderId="101" xfId="113" applyNumberFormat="1" applyFont="1" applyFill="1" applyBorder="1" applyAlignment="1" applyProtection="1">
      <alignment horizontal="center"/>
    </xf>
    <xf numFmtId="0" fontId="6" fillId="0" borderId="112" xfId="0" applyFont="1" applyFill="1" applyBorder="1"/>
    <xf numFmtId="0" fontId="0" fillId="0" borderId="86" xfId="0" applyFill="1" applyBorder="1"/>
    <xf numFmtId="2" fontId="0" fillId="0" borderId="154" xfId="0" applyNumberFormat="1" applyFill="1" applyBorder="1" applyAlignment="1">
      <alignment horizontal="center"/>
    </xf>
    <xf numFmtId="2" fontId="0" fillId="0" borderId="155" xfId="0" applyNumberFormat="1" applyFill="1" applyBorder="1" applyAlignment="1">
      <alignment horizontal="center"/>
    </xf>
    <xf numFmtId="2" fontId="6" fillId="0" borderId="134" xfId="0" applyNumberFormat="1" applyFont="1" applyFill="1" applyBorder="1" applyAlignment="1">
      <alignment horizontal="center"/>
    </xf>
    <xf numFmtId="0" fontId="0" fillId="0" borderId="102" xfId="0" applyFill="1" applyBorder="1"/>
    <xf numFmtId="0" fontId="0" fillId="0" borderId="139" xfId="0" applyFill="1" applyBorder="1"/>
    <xf numFmtId="4" fontId="6" fillId="0" borderId="2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vertical="center"/>
    </xf>
    <xf numFmtId="169" fontId="82" fillId="0" borderId="144" xfId="216" applyNumberFormat="1" applyFont="1" applyFill="1" applyBorder="1" applyAlignment="1">
      <alignment horizontal="center" vertical="center"/>
    </xf>
    <xf numFmtId="169" fontId="82" fillId="0" borderId="184" xfId="216" applyNumberFormat="1" applyFont="1" applyFill="1" applyBorder="1" applyAlignment="1">
      <alignment horizontal="center" vertical="center"/>
    </xf>
    <xf numFmtId="169" fontId="82" fillId="0" borderId="99" xfId="216" applyNumberFormat="1" applyFont="1" applyFill="1" applyBorder="1" applyAlignment="1">
      <alignment horizontal="center" vertical="center"/>
    </xf>
    <xf numFmtId="169" fontId="82" fillId="0" borderId="185" xfId="216" applyNumberFormat="1" applyFont="1" applyFill="1" applyBorder="1" applyAlignment="1">
      <alignment horizontal="center" vertical="center"/>
    </xf>
    <xf numFmtId="169" fontId="82" fillId="0" borderId="160" xfId="216" applyNumberFormat="1" applyFont="1" applyFill="1" applyBorder="1" applyAlignment="1">
      <alignment horizontal="center" vertical="center"/>
    </xf>
    <xf numFmtId="169" fontId="6" fillId="0" borderId="99" xfId="216" applyNumberFormat="1" applyFont="1" applyFill="1" applyBorder="1" applyAlignment="1">
      <alignment horizontal="center" vertical="center"/>
    </xf>
    <xf numFmtId="169" fontId="83" fillId="0" borderId="99" xfId="216" applyNumberFormat="1" applyFont="1" applyFill="1" applyBorder="1" applyAlignment="1">
      <alignment horizontal="center" vertical="center"/>
    </xf>
    <xf numFmtId="169" fontId="82" fillId="0" borderId="99" xfId="216" quotePrefix="1" applyNumberFormat="1" applyFont="1" applyFill="1" applyBorder="1" applyAlignment="1">
      <alignment horizontal="center" vertical="center"/>
    </xf>
    <xf numFmtId="169" fontId="82" fillId="0" borderId="185" xfId="216" quotePrefix="1" applyNumberFormat="1" applyFont="1" applyFill="1" applyBorder="1" applyAlignment="1">
      <alignment horizontal="center" vertical="center"/>
    </xf>
    <xf numFmtId="169" fontId="82" fillId="0" borderId="160" xfId="216" quotePrefix="1" applyNumberFormat="1" applyFont="1" applyFill="1" applyBorder="1" applyAlignment="1">
      <alignment horizontal="center" vertical="center"/>
    </xf>
    <xf numFmtId="2" fontId="5" fillId="0" borderId="107" xfId="0" applyNumberFormat="1" applyFont="1" applyFill="1" applyBorder="1" applyAlignment="1">
      <alignment vertical="center"/>
    </xf>
    <xf numFmtId="0" fontId="6" fillId="0" borderId="193" xfId="0" applyFont="1" applyFill="1" applyBorder="1"/>
    <xf numFmtId="10" fontId="84" fillId="48" borderId="38" xfId="273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" fontId="0" fillId="0" borderId="0" xfId="0" applyNumberFormat="1" applyFill="1" applyAlignment="1">
      <alignment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182" xfId="0" applyFont="1" applyFill="1" applyBorder="1"/>
    <xf numFmtId="169" fontId="82" fillId="0" borderId="162" xfId="216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6" fillId="0" borderId="0" xfId="214" applyFont="1" applyFill="1"/>
    <xf numFmtId="0" fontId="4" fillId="0" borderId="0" xfId="214" applyFont="1" applyFill="1"/>
    <xf numFmtId="0" fontId="2" fillId="0" borderId="0" xfId="214" applyFill="1"/>
    <xf numFmtId="0" fontId="12" fillId="0" borderId="0" xfId="214" applyFont="1" applyFill="1" applyAlignment="1">
      <alignment horizontal="center"/>
    </xf>
    <xf numFmtId="175" fontId="16" fillId="0" borderId="26" xfId="214" applyNumberFormat="1" applyFont="1" applyFill="1" applyBorder="1" applyAlignment="1">
      <alignment horizontal="center"/>
    </xf>
    <xf numFmtId="174" fontId="16" fillId="0" borderId="23" xfId="214" applyNumberFormat="1" applyFont="1" applyFill="1" applyBorder="1" applyAlignment="1">
      <alignment horizontal="center"/>
    </xf>
    <xf numFmtId="0" fontId="5" fillId="0" borderId="0" xfId="214" applyFont="1" applyFill="1"/>
    <xf numFmtId="0" fontId="2" fillId="0" borderId="25" xfId="214" applyFill="1" applyBorder="1"/>
    <xf numFmtId="175" fontId="16" fillId="0" borderId="27" xfId="214" applyNumberFormat="1" applyFont="1" applyFill="1" applyBorder="1" applyAlignment="1">
      <alignment horizontal="center"/>
    </xf>
    <xf numFmtId="174" fontId="16" fillId="0" borderId="22" xfId="214" applyNumberFormat="1" applyFont="1" applyFill="1" applyBorder="1" applyAlignment="1">
      <alignment horizontal="center"/>
    </xf>
    <xf numFmtId="0" fontId="6" fillId="0" borderId="16" xfId="214" applyFont="1" applyFill="1" applyBorder="1" applyAlignment="1">
      <alignment horizontal="center"/>
    </xf>
    <xf numFmtId="17" fontId="6" fillId="0" borderId="13" xfId="214" applyNumberFormat="1" applyFont="1" applyFill="1" applyBorder="1" applyAlignment="1">
      <alignment horizontal="center"/>
    </xf>
    <xf numFmtId="0" fontId="6" fillId="0" borderId="26" xfId="214" applyFont="1" applyFill="1" applyBorder="1" applyAlignment="1">
      <alignment horizontal="left" wrapText="1"/>
    </xf>
    <xf numFmtId="2" fontId="6" fillId="0" borderId="21" xfId="214" applyNumberFormat="1" applyFont="1" applyFill="1" applyBorder="1" applyAlignment="1">
      <alignment horizontal="center" vertical="center"/>
    </xf>
    <xf numFmtId="2" fontId="6" fillId="0" borderId="23" xfId="214" applyNumberFormat="1" applyFont="1" applyFill="1" applyBorder="1" applyAlignment="1">
      <alignment horizontal="center" vertical="center"/>
    </xf>
    <xf numFmtId="0" fontId="6" fillId="0" borderId="97" xfId="214" quotePrefix="1" applyFont="1" applyFill="1" applyBorder="1" applyAlignment="1">
      <alignment horizontal="left" wrapText="1"/>
    </xf>
    <xf numFmtId="2" fontId="6" fillId="0" borderId="39" xfId="214" applyNumberFormat="1" applyFont="1" applyFill="1" applyBorder="1" applyAlignment="1">
      <alignment horizontal="center" vertical="center"/>
    </xf>
    <xf numFmtId="2" fontId="6" fillId="0" borderId="127" xfId="214" applyNumberFormat="1" applyFont="1" applyFill="1" applyBorder="1" applyAlignment="1">
      <alignment horizontal="center" vertical="center"/>
    </xf>
    <xf numFmtId="0" fontId="6" fillId="0" borderId="110" xfId="214" applyFont="1" applyFill="1" applyBorder="1"/>
    <xf numFmtId="169" fontId="6" fillId="0" borderId="72" xfId="214" applyNumberFormat="1" applyFont="1" applyFill="1" applyBorder="1" applyAlignment="1">
      <alignment horizontal="center"/>
    </xf>
    <xf numFmtId="169" fontId="6" fillId="0" borderId="22" xfId="214" applyNumberFormat="1" applyFont="1" applyFill="1" applyBorder="1" applyAlignment="1">
      <alignment horizontal="center"/>
    </xf>
    <xf numFmtId="0" fontId="6" fillId="0" borderId="41" xfId="214" applyFont="1" applyFill="1" applyBorder="1"/>
    <xf numFmtId="0" fontId="6" fillId="0" borderId="24" xfId="214" applyFont="1" applyFill="1" applyBorder="1"/>
    <xf numFmtId="0" fontId="6" fillId="0" borderId="13" xfId="214" applyFont="1" applyFill="1" applyBorder="1"/>
    <xf numFmtId="0" fontId="5" fillId="0" borderId="71" xfId="214" applyFont="1" applyFill="1" applyBorder="1"/>
    <xf numFmtId="2" fontId="5" fillId="0" borderId="73" xfId="214" applyNumberFormat="1" applyFont="1" applyFill="1" applyBorder="1" applyAlignment="1">
      <alignment horizontal="center"/>
    </xf>
    <xf numFmtId="169" fontId="2" fillId="0" borderId="0" xfId="214" applyNumberFormat="1" applyFill="1"/>
    <xf numFmtId="0" fontId="6" fillId="0" borderId="21" xfId="214" applyFont="1" applyFill="1" applyBorder="1" applyAlignment="1">
      <alignment horizontal="center" vertical="center"/>
    </xf>
    <xf numFmtId="2" fontId="5" fillId="0" borderId="74" xfId="214" applyNumberFormat="1" applyFont="1" applyFill="1" applyBorder="1" applyAlignment="1">
      <alignment horizontal="center"/>
    </xf>
    <xf numFmtId="0" fontId="2" fillId="0" borderId="0" xfId="214"/>
    <xf numFmtId="0" fontId="82" fillId="0" borderId="0" xfId="216" applyFont="1" applyFill="1" applyAlignment="1">
      <alignment horizontal="center" vertical="center"/>
    </xf>
    <xf numFmtId="0" fontId="6" fillId="0" borderId="0" xfId="216" applyFont="1" applyFill="1" applyAlignment="1">
      <alignment horizontal="center" vertical="center"/>
    </xf>
    <xf numFmtId="200" fontId="82" fillId="0" borderId="0" xfId="216" applyNumberFormat="1" applyFont="1" applyFill="1" applyAlignment="1">
      <alignment horizontal="center" vertical="center"/>
    </xf>
    <xf numFmtId="0" fontId="82" fillId="0" borderId="0" xfId="216" applyFont="1" applyFill="1" applyAlignment="1">
      <alignment vertical="center"/>
    </xf>
    <xf numFmtId="0" fontId="5" fillId="0" borderId="71" xfId="216" applyFont="1" applyFill="1" applyBorder="1" applyAlignment="1">
      <alignment vertical="center"/>
    </xf>
    <xf numFmtId="0" fontId="6" fillId="0" borderId="82" xfId="216" applyFont="1" applyFill="1" applyBorder="1" applyAlignment="1">
      <alignment horizontal="center" vertical="center" wrapText="1"/>
    </xf>
    <xf numFmtId="0" fontId="6" fillId="0" borderId="78" xfId="216" applyFont="1" applyFill="1" applyBorder="1" applyAlignment="1">
      <alignment vertical="center"/>
    </xf>
    <xf numFmtId="0" fontId="5" fillId="0" borderId="78" xfId="216" applyFont="1" applyFill="1" applyBorder="1" applyAlignment="1">
      <alignment vertical="center"/>
    </xf>
    <xf numFmtId="0" fontId="5" fillId="0" borderId="82" xfId="0" applyFont="1" applyFill="1" applyBorder="1" applyAlignment="1">
      <alignment vertical="center" wrapText="1"/>
    </xf>
    <xf numFmtId="200" fontId="5" fillId="0" borderId="0" xfId="0" applyNumberFormat="1" applyFont="1" applyFill="1" applyBorder="1" applyAlignment="1">
      <alignment horizontal="center" vertical="center" wrapText="1"/>
    </xf>
    <xf numFmtId="0" fontId="82" fillId="0" borderId="0" xfId="216" applyFont="1" applyFill="1" applyBorder="1" applyAlignment="1">
      <alignment vertical="center"/>
    </xf>
    <xf numFmtId="0" fontId="5" fillId="0" borderId="62" xfId="216" applyFont="1" applyFill="1" applyBorder="1" applyAlignment="1">
      <alignment vertical="center"/>
    </xf>
    <xf numFmtId="3" fontId="5" fillId="0" borderId="71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/>
    </xf>
    <xf numFmtId="3" fontId="5" fillId="0" borderId="70" xfId="216" applyNumberFormat="1" applyFont="1" applyFill="1" applyBorder="1" applyAlignment="1">
      <alignment horizontal="centerContinuous" vertical="center"/>
    </xf>
    <xf numFmtId="2" fontId="6" fillId="0" borderId="70" xfId="216" applyNumberFormat="1" applyFont="1" applyFill="1" applyBorder="1" applyAlignment="1">
      <alignment horizontal="center" vertical="center"/>
    </xf>
    <xf numFmtId="2" fontId="6" fillId="0" borderId="78" xfId="216" applyNumberFormat="1" applyFont="1" applyFill="1" applyBorder="1" applyAlignment="1">
      <alignment horizontal="center" vertical="center"/>
    </xf>
    <xf numFmtId="2" fontId="6" fillId="0" borderId="73" xfId="216" applyNumberFormat="1" applyFont="1" applyFill="1" applyBorder="1" applyAlignment="1">
      <alignment horizontal="center" vertical="center"/>
    </xf>
    <xf numFmtId="2" fontId="6" fillId="0" borderId="74" xfId="216" applyNumberFormat="1" applyFont="1" applyFill="1" applyBorder="1" applyAlignment="1">
      <alignment horizontal="center" vertical="center"/>
    </xf>
    <xf numFmtId="0" fontId="6" fillId="0" borderId="14" xfId="216" applyFont="1" applyFill="1" applyBorder="1" applyAlignment="1">
      <alignment horizontal="center" vertical="center"/>
    </xf>
    <xf numFmtId="0" fontId="6" fillId="0" borderId="73" xfId="216" applyFont="1" applyFill="1" applyBorder="1" applyAlignment="1">
      <alignment horizontal="center" vertical="center"/>
    </xf>
    <xf numFmtId="169" fontId="6" fillId="0" borderId="75" xfId="216" applyNumberFormat="1" applyFont="1" applyFill="1" applyBorder="1" applyAlignment="1">
      <alignment horizontal="center" vertical="center"/>
    </xf>
    <xf numFmtId="0" fontId="6" fillId="0" borderId="86" xfId="216" applyFont="1" applyFill="1" applyBorder="1" applyAlignment="1">
      <alignment horizontal="center" vertical="center"/>
    </xf>
    <xf numFmtId="0" fontId="6" fillId="0" borderId="88" xfId="216" applyFont="1" applyFill="1" applyBorder="1" applyAlignment="1">
      <alignment horizontal="center" vertical="center"/>
    </xf>
    <xf numFmtId="169" fontId="6" fillId="0" borderId="87" xfId="216" applyNumberFormat="1" applyFont="1" applyFill="1" applyBorder="1" applyAlignment="1">
      <alignment horizontal="center" vertical="center"/>
    </xf>
    <xf numFmtId="169" fontId="6" fillId="0" borderId="123" xfId="216" applyNumberFormat="1" applyFont="1" applyFill="1" applyBorder="1" applyAlignment="1">
      <alignment horizontal="center" vertical="center"/>
    </xf>
    <xf numFmtId="0" fontId="6" fillId="0" borderId="87" xfId="216" applyFont="1" applyFill="1" applyBorder="1" applyAlignment="1">
      <alignment horizontal="center" vertical="center"/>
    </xf>
    <xf numFmtId="0" fontId="6" fillId="0" borderId="82" xfId="216" applyFont="1" applyFill="1" applyBorder="1" applyAlignment="1">
      <alignment horizontal="center" vertical="center"/>
    </xf>
    <xf numFmtId="0" fontId="6" fillId="0" borderId="75" xfId="216" applyFont="1" applyFill="1" applyBorder="1" applyAlignment="1">
      <alignment horizontal="center" vertical="center"/>
    </xf>
    <xf numFmtId="0" fontId="6" fillId="0" borderId="124" xfId="216" applyFont="1" applyFill="1" applyBorder="1" applyAlignment="1">
      <alignment horizontal="center" vertical="center"/>
    </xf>
    <xf numFmtId="169" fontId="6" fillId="0" borderId="124" xfId="216" applyNumberFormat="1" applyFont="1" applyFill="1" applyBorder="1" applyAlignment="1">
      <alignment horizontal="center" vertical="center"/>
    </xf>
    <xf numFmtId="169" fontId="6" fillId="0" borderId="122" xfId="216" applyNumberFormat="1" applyFont="1" applyFill="1" applyBorder="1" applyAlignment="1">
      <alignment horizontal="center" vertical="center"/>
    </xf>
    <xf numFmtId="169" fontId="6" fillId="0" borderId="86" xfId="216" applyNumberFormat="1" applyFont="1" applyFill="1" applyBorder="1" applyAlignment="1">
      <alignment horizontal="center" vertical="center"/>
    </xf>
    <xf numFmtId="169" fontId="6" fillId="0" borderId="88" xfId="216" applyNumberFormat="1" applyFont="1" applyFill="1" applyBorder="1" applyAlignment="1">
      <alignment horizontal="center" vertical="center"/>
    </xf>
    <xf numFmtId="169" fontId="6" fillId="0" borderId="71" xfId="216" applyNumberFormat="1" applyFont="1" applyFill="1" applyBorder="1" applyAlignment="1">
      <alignment horizontal="center" vertical="center"/>
    </xf>
    <xf numFmtId="169" fontId="6" fillId="0" borderId="70" xfId="216" applyNumberFormat="1" applyFont="1" applyFill="1" applyBorder="1" applyAlignment="1">
      <alignment horizontal="center" vertical="center"/>
    </xf>
    <xf numFmtId="177" fontId="6" fillId="0" borderId="86" xfId="216" applyNumberFormat="1" applyFont="1" applyFill="1" applyBorder="1" applyAlignment="1">
      <alignment horizontal="center" vertical="center"/>
    </xf>
    <xf numFmtId="177" fontId="6" fillId="0" borderId="88" xfId="216" applyNumberFormat="1" applyFont="1" applyFill="1" applyBorder="1" applyAlignment="1">
      <alignment horizontal="center" vertical="center"/>
    </xf>
    <xf numFmtId="177" fontId="6" fillId="0" borderId="87" xfId="216" applyNumberFormat="1" applyFont="1" applyFill="1" applyBorder="1" applyAlignment="1">
      <alignment horizontal="center" vertical="center"/>
    </xf>
    <xf numFmtId="177" fontId="6" fillId="0" borderId="115" xfId="216" applyNumberFormat="1" applyFont="1" applyFill="1" applyBorder="1" applyAlignment="1">
      <alignment horizontal="center" vertical="center"/>
    </xf>
    <xf numFmtId="177" fontId="6" fillId="0" borderId="73" xfId="216" applyNumberFormat="1" applyFont="1" applyFill="1" applyBorder="1" applyAlignment="1">
      <alignment horizontal="center" vertical="center"/>
    </xf>
    <xf numFmtId="177" fontId="6" fillId="0" borderId="74" xfId="216" applyNumberFormat="1" applyFont="1" applyFill="1" applyBorder="1" applyAlignment="1">
      <alignment horizontal="center" vertical="center"/>
    </xf>
    <xf numFmtId="177" fontId="6" fillId="0" borderId="14" xfId="216" applyNumberFormat="1" applyFont="1" applyFill="1" applyBorder="1" applyAlignment="1">
      <alignment horizontal="center" vertical="center"/>
    </xf>
    <xf numFmtId="177" fontId="6" fillId="0" borderId="75" xfId="216" applyNumberFormat="1" applyFont="1" applyFill="1" applyBorder="1" applyAlignment="1">
      <alignment horizontal="center" vertical="center"/>
    </xf>
    <xf numFmtId="177" fontId="6" fillId="0" borderId="82" xfId="216" applyNumberFormat="1" applyFont="1" applyFill="1" applyBorder="1" applyAlignment="1">
      <alignment horizontal="center" vertical="center"/>
    </xf>
    <xf numFmtId="177" fontId="6" fillId="0" borderId="71" xfId="216" applyNumberFormat="1" applyFont="1" applyFill="1" applyBorder="1" applyAlignment="1">
      <alignment horizontal="center" vertical="center"/>
    </xf>
    <xf numFmtId="169" fontId="6" fillId="0" borderId="73" xfId="216" applyNumberFormat="1" applyFont="1" applyFill="1" applyBorder="1" applyAlignment="1">
      <alignment horizontal="center" vertical="center"/>
    </xf>
    <xf numFmtId="169" fontId="6" fillId="0" borderId="82" xfId="216" applyNumberFormat="1" applyFont="1" applyFill="1" applyBorder="1" applyAlignment="1">
      <alignment horizontal="center" vertical="center"/>
    </xf>
    <xf numFmtId="169" fontId="6" fillId="0" borderId="74" xfId="216" applyNumberFormat="1" applyFont="1" applyFill="1" applyBorder="1" applyAlignment="1">
      <alignment horizontal="center" vertical="center"/>
    </xf>
    <xf numFmtId="169" fontId="6" fillId="0" borderId="81" xfId="216" applyNumberFormat="1" applyFont="1" applyFill="1" applyBorder="1" applyAlignment="1">
      <alignment horizontal="center" vertical="center"/>
    </xf>
    <xf numFmtId="169" fontId="6" fillId="0" borderId="95" xfId="216" applyNumberFormat="1" applyFont="1" applyFill="1" applyBorder="1" applyAlignment="1">
      <alignment horizontal="center" vertical="center"/>
    </xf>
    <xf numFmtId="169" fontId="6" fillId="0" borderId="93" xfId="216" applyNumberFormat="1" applyFont="1" applyFill="1" applyBorder="1" applyAlignment="1">
      <alignment horizontal="center" vertical="center"/>
    </xf>
    <xf numFmtId="9" fontId="6" fillId="0" borderId="81" xfId="294" applyFont="1" applyFill="1" applyBorder="1" applyAlignment="1">
      <alignment horizontal="center" vertical="center"/>
    </xf>
    <xf numFmtId="169" fontId="5" fillId="0" borderId="73" xfId="216" applyNumberFormat="1" applyFont="1" applyFill="1" applyBorder="1" applyAlignment="1">
      <alignment horizontal="center" vertical="center"/>
    </xf>
    <xf numFmtId="169" fontId="5" fillId="0" borderId="82" xfId="216" applyNumberFormat="1" applyFont="1" applyFill="1" applyBorder="1" applyAlignment="1">
      <alignment horizontal="center" vertical="center"/>
    </xf>
    <xf numFmtId="169" fontId="5" fillId="0" borderId="74" xfId="216" applyNumberFormat="1" applyFont="1" applyFill="1" applyBorder="1" applyAlignment="1">
      <alignment horizontal="center" vertical="center"/>
    </xf>
    <xf numFmtId="169" fontId="5" fillId="0" borderId="75" xfId="216" applyNumberFormat="1" applyFont="1" applyFill="1" applyBorder="1" applyAlignment="1">
      <alignment horizontal="center" vertical="center"/>
    </xf>
    <xf numFmtId="169" fontId="5" fillId="0" borderId="88" xfId="216" applyNumberFormat="1" applyFont="1" applyFill="1" applyBorder="1" applyAlignment="1">
      <alignment horizontal="center" vertical="center"/>
    </xf>
    <xf numFmtId="169" fontId="5" fillId="0" borderId="122" xfId="216" applyNumberFormat="1" applyFont="1" applyFill="1" applyBorder="1" applyAlignment="1">
      <alignment horizontal="center" vertical="center"/>
    </xf>
    <xf numFmtId="169" fontId="5" fillId="0" borderId="86" xfId="216" applyNumberFormat="1" applyFont="1" applyFill="1" applyBorder="1" applyAlignment="1">
      <alignment horizontal="center" vertical="center"/>
    </xf>
    <xf numFmtId="169" fontId="5" fillId="0" borderId="87" xfId="216" applyNumberFormat="1" applyFont="1" applyFill="1" applyBorder="1" applyAlignment="1">
      <alignment horizontal="center" vertical="center"/>
    </xf>
    <xf numFmtId="17" fontId="82" fillId="0" borderId="0" xfId="216" applyNumberFormat="1" applyFont="1" applyFill="1" applyAlignment="1">
      <alignment vertical="center"/>
    </xf>
    <xf numFmtId="0" fontId="6" fillId="0" borderId="163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 wrapText="1"/>
    </xf>
    <xf numFmtId="0" fontId="6" fillId="0" borderId="56" xfId="216" applyFont="1" applyFill="1" applyBorder="1" applyAlignment="1">
      <alignment horizontal="left" vertical="center"/>
    </xf>
    <xf numFmtId="0" fontId="6" fillId="0" borderId="56" xfId="216" applyFont="1" applyFill="1" applyBorder="1" applyAlignment="1">
      <alignment vertical="center"/>
    </xf>
    <xf numFmtId="0" fontId="6" fillId="0" borderId="56" xfId="216" applyFont="1" applyFill="1" applyBorder="1" applyAlignment="1">
      <alignment vertical="center" wrapText="1"/>
    </xf>
    <xf numFmtId="169" fontId="6" fillId="0" borderId="56" xfId="216" applyNumberFormat="1" applyFont="1" applyFill="1" applyBorder="1" applyAlignment="1">
      <alignment horizontal="center" vertical="center"/>
    </xf>
    <xf numFmtId="169" fontId="6" fillId="0" borderId="56" xfId="216" applyNumberFormat="1" applyFont="1" applyFill="1" applyBorder="1" applyAlignment="1">
      <alignment horizontal="right" vertical="center"/>
    </xf>
    <xf numFmtId="169" fontId="6" fillId="0" borderId="56" xfId="216" applyNumberFormat="1" applyFont="1" applyFill="1" applyBorder="1" applyAlignment="1">
      <alignment vertical="center"/>
    </xf>
    <xf numFmtId="169" fontId="6" fillId="0" borderId="56" xfId="216" applyNumberFormat="1" applyFont="1" applyFill="1" applyBorder="1" applyAlignment="1">
      <alignment vertical="center" wrapText="1"/>
    </xf>
    <xf numFmtId="169" fontId="6" fillId="0" borderId="56" xfId="216" applyNumberFormat="1" applyFont="1" applyFill="1" applyBorder="1" applyAlignment="1">
      <alignment horizontal="center" vertical="center" wrapText="1"/>
    </xf>
    <xf numFmtId="169" fontId="82" fillId="0" borderId="56" xfId="216" applyNumberFormat="1" applyFont="1" applyFill="1" applyBorder="1" applyAlignment="1">
      <alignment horizontal="center" vertical="center"/>
    </xf>
    <xf numFmtId="169" fontId="82" fillId="0" borderId="131" xfId="216" applyNumberFormat="1" applyFont="1" applyFill="1" applyBorder="1" applyAlignment="1">
      <alignment horizontal="center" vertical="center"/>
    </xf>
    <xf numFmtId="169" fontId="82" fillId="0" borderId="148" xfId="216" applyNumberFormat="1" applyFont="1" applyFill="1" applyBorder="1" applyAlignment="1">
      <alignment horizontal="center" vertical="center"/>
    </xf>
    <xf numFmtId="169" fontId="82" fillId="0" borderId="149" xfId="216" applyNumberFormat="1" applyFont="1" applyFill="1" applyBorder="1" applyAlignment="1">
      <alignment horizontal="center" vertical="center"/>
    </xf>
    <xf numFmtId="169" fontId="82" fillId="0" borderId="157" xfId="216" applyNumberFormat="1" applyFont="1" applyFill="1" applyBorder="1" applyAlignment="1">
      <alignment horizontal="center" vertical="center"/>
    </xf>
    <xf numFmtId="200" fontId="82" fillId="0" borderId="0" xfId="120" applyNumberFormat="1" applyFont="1" applyFill="1" applyAlignment="1">
      <alignment horizontal="center" vertical="center"/>
    </xf>
    <xf numFmtId="174" fontId="82" fillId="0" borderId="0" xfId="216" applyNumberFormat="1" applyFont="1" applyFill="1" applyAlignment="1">
      <alignment vertical="center"/>
    </xf>
    <xf numFmtId="0" fontId="6" fillId="0" borderId="117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left" vertical="center"/>
    </xf>
    <xf numFmtId="169" fontId="6" fillId="0" borderId="58" xfId="216" applyNumberFormat="1" applyFont="1" applyFill="1" applyBorder="1" applyAlignment="1">
      <alignment horizontal="center" vertical="center"/>
    </xf>
    <xf numFmtId="169" fontId="6" fillId="0" borderId="58" xfId="216" applyNumberFormat="1" applyFont="1" applyFill="1" applyBorder="1" applyAlignment="1">
      <alignment horizontal="right" vertical="center"/>
    </xf>
    <xf numFmtId="169" fontId="6" fillId="0" borderId="58" xfId="216" applyNumberFormat="1" applyFont="1" applyFill="1" applyBorder="1" applyAlignment="1">
      <alignment vertical="center"/>
    </xf>
    <xf numFmtId="169" fontId="6" fillId="0" borderId="58" xfId="216" applyNumberFormat="1" applyFont="1" applyFill="1" applyBorder="1" applyAlignment="1">
      <alignment vertical="center" wrapText="1"/>
    </xf>
    <xf numFmtId="169" fontId="6" fillId="0" borderId="58" xfId="216" applyNumberFormat="1" applyFont="1" applyFill="1" applyBorder="1" applyAlignment="1">
      <alignment horizontal="center" vertical="center" wrapText="1"/>
    </xf>
    <xf numFmtId="169" fontId="82" fillId="0" borderId="58" xfId="216" applyNumberFormat="1" applyFont="1" applyFill="1" applyBorder="1" applyAlignment="1">
      <alignment horizontal="center" vertical="center"/>
    </xf>
    <xf numFmtId="169" fontId="82" fillId="0" borderId="142" xfId="216" applyNumberFormat="1" applyFont="1" applyFill="1" applyBorder="1" applyAlignment="1">
      <alignment horizontal="center" vertical="center"/>
    </xf>
    <xf numFmtId="169" fontId="82" fillId="0" borderId="150" xfId="216" applyNumberFormat="1" applyFont="1" applyFill="1" applyBorder="1" applyAlignment="1">
      <alignment horizontal="center" vertical="center"/>
    </xf>
    <xf numFmtId="169" fontId="82" fillId="0" borderId="151" xfId="216" applyNumberFormat="1" applyFont="1" applyFill="1" applyBorder="1" applyAlignment="1">
      <alignment horizontal="center" vertical="center"/>
    </xf>
    <xf numFmtId="169" fontId="82" fillId="0" borderId="158" xfId="216" applyNumberFormat="1" applyFont="1" applyFill="1" applyBorder="1" applyAlignment="1">
      <alignment horizontal="center" vertical="center"/>
    </xf>
    <xf numFmtId="0" fontId="39" fillId="0" borderId="117" xfId="216" applyFont="1" applyFill="1" applyBorder="1" applyAlignment="1">
      <alignment horizontal="center" vertical="center"/>
    </xf>
    <xf numFmtId="0" fontId="39" fillId="0" borderId="58" xfId="216" applyFont="1" applyFill="1" applyBorder="1" applyAlignment="1">
      <alignment vertical="center"/>
    </xf>
    <xf numFmtId="0" fontId="39" fillId="0" borderId="58" xfId="216" applyFont="1" applyFill="1" applyBorder="1" applyAlignment="1">
      <alignment horizontal="center" vertical="center" wrapText="1"/>
    </xf>
    <xf numFmtId="0" fontId="39" fillId="0" borderId="58" xfId="216" applyFont="1" applyFill="1" applyBorder="1" applyAlignment="1">
      <alignment horizontal="left" vertical="center" wrapText="1"/>
    </xf>
    <xf numFmtId="0" fontId="39" fillId="0" borderId="58" xfId="216" applyFont="1" applyFill="1" applyBorder="1" applyAlignment="1">
      <alignment horizontal="center" vertical="center"/>
    </xf>
    <xf numFmtId="169" fontId="39" fillId="0" borderId="58" xfId="216" applyNumberFormat="1" applyFont="1" applyFill="1" applyBorder="1" applyAlignment="1">
      <alignment vertical="center"/>
    </xf>
    <xf numFmtId="169" fontId="39" fillId="0" borderId="58" xfId="216" applyNumberFormat="1" applyFont="1" applyFill="1" applyBorder="1" applyAlignment="1">
      <alignment vertical="center" wrapText="1"/>
    </xf>
    <xf numFmtId="169" fontId="39" fillId="0" borderId="58" xfId="216" applyNumberFormat="1" applyFont="1" applyFill="1" applyBorder="1" applyAlignment="1">
      <alignment horizontal="center" vertical="center" wrapText="1"/>
    </xf>
    <xf numFmtId="169" fontId="39" fillId="0" borderId="58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vertical="center" wrapText="1"/>
    </xf>
    <xf numFmtId="0" fontId="6" fillId="0" borderId="58" xfId="216" applyFont="1" applyFill="1" applyBorder="1" applyAlignment="1">
      <alignment vertical="center"/>
    </xf>
    <xf numFmtId="0" fontId="45" fillId="0" borderId="117" xfId="216" applyFont="1" applyFill="1" applyBorder="1" applyAlignment="1">
      <alignment horizontal="center" vertical="center"/>
    </xf>
    <xf numFmtId="0" fontId="45" fillId="0" borderId="58" xfId="216" applyFont="1" applyFill="1" applyBorder="1" applyAlignment="1">
      <alignment vertical="center"/>
    </xf>
    <xf numFmtId="0" fontId="5" fillId="0" borderId="117" xfId="216" applyFont="1" applyFill="1" applyBorder="1" applyAlignment="1">
      <alignment horizontal="center" vertical="center"/>
    </xf>
    <xf numFmtId="0" fontId="5" fillId="0" borderId="58" xfId="216" applyFont="1" applyFill="1" applyBorder="1" applyAlignment="1">
      <alignment horizontal="left" vertical="center"/>
    </xf>
    <xf numFmtId="0" fontId="45" fillId="0" borderId="58" xfId="216" applyFont="1" applyFill="1" applyBorder="1" applyAlignment="1">
      <alignment horizontal="center" vertical="center" wrapText="1"/>
    </xf>
    <xf numFmtId="169" fontId="39" fillId="0" borderId="58" xfId="216" applyNumberFormat="1" applyFont="1" applyFill="1" applyBorder="1" applyAlignment="1">
      <alignment horizontal="right" vertical="center"/>
    </xf>
    <xf numFmtId="169" fontId="6" fillId="0" borderId="142" xfId="216" applyNumberFormat="1" applyFont="1" applyFill="1" applyBorder="1" applyAlignment="1">
      <alignment horizontal="center" vertical="center"/>
    </xf>
    <xf numFmtId="169" fontId="6" fillId="0" borderId="150" xfId="216" applyNumberFormat="1" applyFont="1" applyFill="1" applyBorder="1" applyAlignment="1">
      <alignment horizontal="center" vertical="center"/>
    </xf>
    <xf numFmtId="169" fontId="6" fillId="0" borderId="151" xfId="216" applyNumberFormat="1" applyFont="1" applyFill="1" applyBorder="1" applyAlignment="1">
      <alignment horizontal="center" vertical="center"/>
    </xf>
    <xf numFmtId="0" fontId="6" fillId="0" borderId="58" xfId="216" quotePrefix="1" applyFont="1" applyFill="1" applyBorder="1" applyAlignment="1">
      <alignment horizontal="center" vertical="center"/>
    </xf>
    <xf numFmtId="169" fontId="6" fillId="0" borderId="158" xfId="216" applyNumberFormat="1" applyFont="1" applyFill="1" applyBorder="1" applyAlignment="1">
      <alignment horizontal="center" vertical="center"/>
    </xf>
    <xf numFmtId="169" fontId="6" fillId="0" borderId="160" xfId="216" applyNumberFormat="1" applyFont="1" applyFill="1" applyBorder="1" applyAlignment="1">
      <alignment horizontal="center" vertical="center"/>
    </xf>
    <xf numFmtId="169" fontId="6" fillId="0" borderId="185" xfId="216" applyNumberFormat="1" applyFont="1" applyFill="1" applyBorder="1" applyAlignment="1">
      <alignment horizontal="center" vertical="center"/>
    </xf>
    <xf numFmtId="0" fontId="83" fillId="0" borderId="117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left" vertical="center"/>
    </xf>
    <xf numFmtId="0" fontId="83" fillId="0" borderId="58" xfId="216" applyFont="1" applyFill="1" applyBorder="1" applyAlignment="1">
      <alignment horizontal="center" vertical="center" wrapText="1"/>
    </xf>
    <xf numFmtId="0" fontId="83" fillId="0" borderId="58" xfId="216" applyFont="1" applyFill="1" applyBorder="1" applyAlignment="1">
      <alignment horizontal="left" vertical="center" wrapText="1"/>
    </xf>
    <xf numFmtId="169" fontId="83" fillId="0" borderId="58" xfId="216" applyNumberFormat="1" applyFont="1" applyFill="1" applyBorder="1" applyAlignment="1">
      <alignment vertical="center"/>
    </xf>
    <xf numFmtId="169" fontId="83" fillId="0" borderId="58" xfId="216" applyNumberFormat="1" applyFont="1" applyFill="1" applyBorder="1" applyAlignment="1">
      <alignment vertical="center" wrapText="1"/>
    </xf>
    <xf numFmtId="169" fontId="83" fillId="0" borderId="58" xfId="216" applyNumberFormat="1" applyFont="1" applyFill="1" applyBorder="1" applyAlignment="1">
      <alignment horizontal="center" vertical="center" wrapText="1"/>
    </xf>
    <xf numFmtId="169" fontId="83" fillId="0" borderId="58" xfId="216" applyNumberFormat="1" applyFont="1" applyFill="1" applyBorder="1" applyAlignment="1">
      <alignment horizontal="center" vertical="center"/>
    </xf>
    <xf numFmtId="169" fontId="83" fillId="0" borderId="142" xfId="216" applyNumberFormat="1" applyFont="1" applyFill="1" applyBorder="1" applyAlignment="1">
      <alignment horizontal="center" vertical="center"/>
    </xf>
    <xf numFmtId="169" fontId="83" fillId="0" borderId="150" xfId="216" applyNumberFormat="1" applyFont="1" applyFill="1" applyBorder="1" applyAlignment="1">
      <alignment horizontal="center" vertical="center"/>
    </xf>
    <xf numFmtId="169" fontId="83" fillId="0" borderId="151" xfId="216" applyNumberFormat="1" applyFont="1" applyFill="1" applyBorder="1" applyAlignment="1">
      <alignment horizontal="center" vertical="center"/>
    </xf>
    <xf numFmtId="169" fontId="83" fillId="0" borderId="158" xfId="216" applyNumberFormat="1" applyFont="1" applyFill="1" applyBorder="1" applyAlignment="1">
      <alignment horizontal="center" vertical="center"/>
    </xf>
    <xf numFmtId="43" fontId="82" fillId="0" borderId="0" xfId="120" applyFont="1" applyFill="1" applyAlignment="1">
      <alignment vertical="center"/>
    </xf>
    <xf numFmtId="169" fontId="5" fillId="0" borderId="58" xfId="216" applyNumberFormat="1" applyFont="1" applyFill="1" applyBorder="1" applyAlignment="1">
      <alignment horizontal="center" vertical="center"/>
    </xf>
    <xf numFmtId="169" fontId="6" fillId="0" borderId="58" xfId="216" quotePrefix="1" applyNumberFormat="1" applyFont="1" applyFill="1" applyBorder="1" applyAlignment="1">
      <alignment horizontal="center" vertical="center"/>
    </xf>
    <xf numFmtId="169" fontId="6" fillId="0" borderId="142" xfId="216" quotePrefix="1" applyNumberFormat="1" applyFont="1" applyFill="1" applyBorder="1" applyAlignment="1">
      <alignment horizontal="center" vertical="center"/>
    </xf>
    <xf numFmtId="169" fontId="6" fillId="0" borderId="58" xfId="216" applyNumberFormat="1" applyFont="1" applyFill="1" applyBorder="1" applyAlignment="1">
      <alignment horizontal="right" vertical="center" wrapText="1"/>
    </xf>
    <xf numFmtId="0" fontId="83" fillId="0" borderId="58" xfId="216" applyFont="1" applyFill="1" applyBorder="1" applyAlignment="1">
      <alignment vertical="center"/>
    </xf>
    <xf numFmtId="0" fontId="83" fillId="0" borderId="58" xfId="216" applyFont="1" applyFill="1" applyBorder="1" applyAlignment="1">
      <alignment vertical="center" wrapText="1"/>
    </xf>
    <xf numFmtId="169" fontId="83" fillId="0" borderId="58" xfId="216" quotePrefix="1" applyNumberFormat="1" applyFont="1" applyFill="1" applyBorder="1" applyAlignment="1">
      <alignment horizontal="center" vertical="center"/>
    </xf>
    <xf numFmtId="169" fontId="83" fillId="0" borderId="142" xfId="216" quotePrefix="1" applyNumberFormat="1" applyFont="1" applyFill="1" applyBorder="1" applyAlignment="1">
      <alignment horizontal="center" vertical="center"/>
    </xf>
    <xf numFmtId="0" fontId="83" fillId="0" borderId="0" xfId="216" applyFont="1" applyFill="1" applyAlignment="1">
      <alignment vertical="center"/>
    </xf>
    <xf numFmtId="0" fontId="6" fillId="0" borderId="0" xfId="216" applyFont="1" applyFill="1" applyAlignment="1">
      <alignment vertical="center"/>
    </xf>
    <xf numFmtId="169" fontId="82" fillId="0" borderId="164" xfId="216" applyNumberFormat="1" applyFont="1" applyFill="1" applyBorder="1" applyAlignment="1">
      <alignment horizontal="center" vertical="center"/>
    </xf>
    <xf numFmtId="0" fontId="6" fillId="0" borderId="141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vertical="center"/>
    </xf>
    <xf numFmtId="0" fontId="6" fillId="0" borderId="60" xfId="216" applyFont="1" applyFill="1" applyBorder="1" applyAlignment="1">
      <alignment horizontal="left" vertical="center" wrapText="1"/>
    </xf>
    <xf numFmtId="169" fontId="6" fillId="0" borderId="60" xfId="216" applyNumberFormat="1" applyFont="1" applyFill="1" applyBorder="1" applyAlignment="1">
      <alignment vertical="center"/>
    </xf>
    <xf numFmtId="169" fontId="6" fillId="0" borderId="60" xfId="216" applyNumberFormat="1" applyFont="1" applyFill="1" applyBorder="1" applyAlignment="1">
      <alignment vertical="center" wrapText="1"/>
    </xf>
    <xf numFmtId="169" fontId="6" fillId="0" borderId="60" xfId="216" applyNumberFormat="1" applyFont="1" applyFill="1" applyBorder="1" applyAlignment="1">
      <alignment horizontal="center" vertical="center" wrapText="1"/>
    </xf>
    <xf numFmtId="169" fontId="6" fillId="0" borderId="60" xfId="216" applyNumberFormat="1" applyFont="1" applyFill="1" applyBorder="1" applyAlignment="1">
      <alignment horizontal="center" vertical="center"/>
    </xf>
    <xf numFmtId="169" fontId="82" fillId="0" borderId="60" xfId="216" applyNumberFormat="1" applyFont="1" applyFill="1" applyBorder="1" applyAlignment="1">
      <alignment horizontal="center" vertical="center"/>
    </xf>
    <xf numFmtId="0" fontId="36" fillId="0" borderId="93" xfId="216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vertical="center"/>
    </xf>
    <xf numFmtId="0" fontId="6" fillId="0" borderId="79" xfId="216" applyFont="1" applyFill="1" applyBorder="1" applyAlignment="1">
      <alignment horizontal="center" vertical="center" wrapText="1"/>
    </xf>
    <xf numFmtId="0" fontId="6" fillId="0" borderId="79" xfId="216" applyFont="1" applyFill="1" applyBorder="1" applyAlignment="1">
      <alignment horizontal="left" vertical="center" wrapText="1"/>
    </xf>
    <xf numFmtId="2" fontId="6" fillId="0" borderId="79" xfId="216" applyNumberFormat="1" applyFont="1" applyFill="1" applyBorder="1" applyAlignment="1">
      <alignment vertical="center"/>
    </xf>
    <xf numFmtId="2" fontId="6" fillId="0" borderId="79" xfId="216" applyNumberFormat="1" applyFont="1" applyFill="1" applyBorder="1" applyAlignment="1">
      <alignment horizontal="right" vertical="center"/>
    </xf>
    <xf numFmtId="0" fontId="6" fillId="0" borderId="79" xfId="216" applyFont="1" applyFill="1" applyBorder="1" applyAlignment="1">
      <alignment horizontal="right" vertical="center"/>
    </xf>
    <xf numFmtId="169" fontId="6" fillId="0" borderId="79" xfId="216" applyNumberFormat="1" applyFont="1" applyFill="1" applyBorder="1" applyAlignment="1">
      <alignment vertical="center"/>
    </xf>
    <xf numFmtId="169" fontId="6" fillId="0" borderId="79" xfId="216" applyNumberFormat="1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vertical="center"/>
    </xf>
    <xf numFmtId="169" fontId="82" fillId="0" borderId="79" xfId="216" applyNumberFormat="1" applyFont="1" applyFill="1" applyBorder="1" applyAlignment="1">
      <alignment vertical="center"/>
    </xf>
    <xf numFmtId="169" fontId="82" fillId="0" borderId="109" xfId="216" applyNumberFormat="1" applyFont="1" applyFill="1" applyBorder="1" applyAlignment="1">
      <alignment vertical="center"/>
    </xf>
    <xf numFmtId="0" fontId="6" fillId="0" borderId="36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vertical="center"/>
    </xf>
    <xf numFmtId="0" fontId="6" fillId="0" borderId="0" xfId="216" applyFont="1" applyFill="1" applyBorder="1" applyAlignment="1">
      <alignment horizontal="left" vertical="center"/>
    </xf>
    <xf numFmtId="2" fontId="6" fillId="0" borderId="0" xfId="216" applyNumberFormat="1" applyFont="1" applyFill="1" applyBorder="1" applyAlignment="1">
      <alignment horizontal="left" vertical="center"/>
    </xf>
    <xf numFmtId="169" fontId="6" fillId="0" borderId="0" xfId="216" applyNumberFormat="1" applyFont="1" applyFill="1" applyBorder="1" applyAlignment="1">
      <alignment horizontal="left" vertical="center"/>
    </xf>
    <xf numFmtId="169" fontId="6" fillId="0" borderId="0" xfId="216" quotePrefix="1" applyNumberFormat="1" applyFont="1" applyFill="1" applyBorder="1" applyAlignment="1">
      <alignment horizontal="left" vertical="center"/>
    </xf>
    <xf numFmtId="0" fontId="82" fillId="0" borderId="0" xfId="216" applyFont="1" applyFill="1" applyBorder="1" applyAlignment="1">
      <alignment horizontal="left" vertical="center"/>
    </xf>
    <xf numFmtId="169" fontId="82" fillId="0" borderId="0" xfId="216" applyNumberFormat="1" applyFont="1" applyFill="1" applyBorder="1" applyAlignment="1">
      <alignment horizontal="left" vertical="center"/>
    </xf>
    <xf numFmtId="169" fontId="82" fillId="0" borderId="25" xfId="216" applyNumberFormat="1" applyFont="1" applyFill="1" applyBorder="1" applyAlignment="1">
      <alignment horizontal="left" vertical="center"/>
    </xf>
    <xf numFmtId="0" fontId="39" fillId="0" borderId="36" xfId="216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vertical="center" wrapText="1"/>
    </xf>
    <xf numFmtId="9" fontId="39" fillId="0" borderId="0" xfId="294" applyFont="1" applyFill="1" applyBorder="1" applyAlignment="1">
      <alignment vertical="center"/>
    </xf>
    <xf numFmtId="9" fontId="39" fillId="0" borderId="0" xfId="294" applyFont="1" applyFill="1" applyBorder="1" applyAlignment="1">
      <alignment horizontal="right" vertical="center"/>
    </xf>
    <xf numFmtId="0" fontId="82" fillId="0" borderId="0" xfId="216" applyFont="1" applyFill="1" applyBorder="1" applyAlignment="1">
      <alignment horizontal="center" vertical="center"/>
    </xf>
    <xf numFmtId="169" fontId="82" fillId="0" borderId="0" xfId="216" applyNumberFormat="1" applyFont="1" applyFill="1" applyBorder="1" applyAlignment="1">
      <alignment vertical="center"/>
    </xf>
    <xf numFmtId="169" fontId="82" fillId="0" borderId="25" xfId="216" applyNumberFormat="1" applyFont="1" applyFill="1" applyBorder="1" applyAlignment="1">
      <alignment vertical="center"/>
    </xf>
    <xf numFmtId="0" fontId="6" fillId="0" borderId="0" xfId="216" applyFont="1" applyFill="1" applyBorder="1" applyAlignment="1">
      <alignment vertical="center" wrapText="1"/>
    </xf>
    <xf numFmtId="2" fontId="6" fillId="0" borderId="0" xfId="216" applyNumberFormat="1" applyFont="1" applyFill="1" applyBorder="1" applyAlignment="1">
      <alignment vertical="center"/>
    </xf>
    <xf numFmtId="2" fontId="6" fillId="0" borderId="0" xfId="216" applyNumberFormat="1" applyFont="1" applyFill="1" applyBorder="1" applyAlignment="1">
      <alignment horizontal="right" vertical="center"/>
    </xf>
    <xf numFmtId="0" fontId="6" fillId="0" borderId="0" xfId="216" applyFont="1" applyFill="1" applyBorder="1" applyAlignment="1">
      <alignment horizontal="right" vertical="center"/>
    </xf>
    <xf numFmtId="169" fontId="6" fillId="0" borderId="0" xfId="216" applyNumberFormat="1" applyFont="1" applyFill="1" applyBorder="1" applyAlignment="1">
      <alignment vertical="center"/>
    </xf>
    <xf numFmtId="169" fontId="6" fillId="0" borderId="0" xfId="216" applyNumberFormat="1" applyFont="1" applyFill="1" applyBorder="1" applyAlignment="1">
      <alignment horizontal="center" vertical="center"/>
    </xf>
    <xf numFmtId="0" fontId="39" fillId="0" borderId="0" xfId="216" applyFont="1" applyFill="1" applyBorder="1" applyAlignment="1">
      <alignment horizontal="left" vertical="center"/>
    </xf>
    <xf numFmtId="0" fontId="39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vertical="center"/>
    </xf>
    <xf numFmtId="0" fontId="39" fillId="0" borderId="0" xfId="216" applyFont="1" applyFill="1" applyBorder="1" applyAlignment="1">
      <alignment horizontal="left" vertical="center" wrapText="1"/>
    </xf>
    <xf numFmtId="2" fontId="39" fillId="0" borderId="0" xfId="216" applyNumberFormat="1" applyFont="1" applyFill="1" applyBorder="1" applyAlignment="1">
      <alignment vertical="center"/>
    </xf>
    <xf numFmtId="2" fontId="39" fillId="0" borderId="0" xfId="216" applyNumberFormat="1" applyFont="1" applyFill="1" applyBorder="1" applyAlignment="1">
      <alignment horizontal="right" vertical="center"/>
    </xf>
    <xf numFmtId="0" fontId="39" fillId="0" borderId="0" xfId="216" applyFont="1" applyFill="1" applyBorder="1" applyAlignment="1">
      <alignment horizontal="right" vertical="center"/>
    </xf>
    <xf numFmtId="169" fontId="39" fillId="0" borderId="0" xfId="216" applyNumberFormat="1" applyFont="1" applyFill="1" applyBorder="1" applyAlignment="1">
      <alignment vertical="center"/>
    </xf>
    <xf numFmtId="169" fontId="39" fillId="0" borderId="0" xfId="216" applyNumberFormat="1" applyFont="1" applyFill="1" applyBorder="1" applyAlignment="1">
      <alignment horizontal="center" vertical="center"/>
    </xf>
    <xf numFmtId="169" fontId="82" fillId="0" borderId="0" xfId="216" applyNumberFormat="1" applyFont="1" applyFill="1" applyBorder="1" applyAlignment="1">
      <alignment horizontal="center" vertical="center"/>
    </xf>
    <xf numFmtId="169" fontId="82" fillId="0" borderId="25" xfId="216" applyNumberFormat="1" applyFont="1" applyFill="1" applyBorder="1" applyAlignment="1">
      <alignment horizontal="center" vertical="center"/>
    </xf>
    <xf numFmtId="0" fontId="83" fillId="0" borderId="36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left" vertical="center"/>
    </xf>
    <xf numFmtId="0" fontId="83" fillId="0" borderId="0" xfId="216" applyFont="1" applyFill="1" applyBorder="1" applyAlignment="1">
      <alignment vertical="center" wrapText="1"/>
    </xf>
    <xf numFmtId="0" fontId="83" fillId="0" borderId="0" xfId="216" applyFont="1" applyFill="1" applyBorder="1" applyAlignment="1">
      <alignment vertical="center"/>
    </xf>
    <xf numFmtId="0" fontId="83" fillId="0" borderId="0" xfId="216" applyFont="1" applyFill="1" applyBorder="1" applyAlignment="1">
      <alignment horizontal="left" vertical="center" wrapText="1"/>
    </xf>
    <xf numFmtId="2" fontId="83" fillId="0" borderId="0" xfId="216" applyNumberFormat="1" applyFont="1" applyFill="1" applyBorder="1" applyAlignment="1">
      <alignment vertical="center"/>
    </xf>
    <xf numFmtId="2" fontId="83" fillId="0" borderId="0" xfId="216" applyNumberFormat="1" applyFont="1" applyFill="1" applyBorder="1" applyAlignment="1">
      <alignment horizontal="right" vertical="center"/>
    </xf>
    <xf numFmtId="0" fontId="83" fillId="0" borderId="0" xfId="216" applyFont="1" applyFill="1" applyBorder="1" applyAlignment="1">
      <alignment horizontal="right" vertical="center"/>
    </xf>
    <xf numFmtId="169" fontId="83" fillId="0" borderId="0" xfId="216" applyNumberFormat="1" applyFont="1" applyFill="1" applyBorder="1" applyAlignment="1">
      <alignment vertical="center"/>
    </xf>
    <xf numFmtId="169" fontId="83" fillId="0" borderId="0" xfId="216" applyNumberFormat="1" applyFont="1" applyFill="1" applyBorder="1" applyAlignment="1">
      <alignment horizontal="center" vertical="center"/>
    </xf>
    <xf numFmtId="169" fontId="83" fillId="0" borderId="25" xfId="216" applyNumberFormat="1" applyFont="1" applyFill="1" applyBorder="1" applyAlignment="1">
      <alignment vertical="center"/>
    </xf>
    <xf numFmtId="200" fontId="83" fillId="0" borderId="0" xfId="216" applyNumberFormat="1" applyFont="1" applyFill="1" applyAlignment="1">
      <alignment horizontal="center" vertical="center"/>
    </xf>
    <xf numFmtId="0" fontId="83" fillId="0" borderId="0" xfId="216" applyFont="1" applyFill="1" applyAlignment="1">
      <alignment horizontal="center" vertical="center"/>
    </xf>
    <xf numFmtId="0" fontId="6" fillId="0" borderId="0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center" vertical="center" wrapText="1"/>
    </xf>
    <xf numFmtId="2" fontId="6" fillId="0" borderId="0" xfId="216" applyNumberFormat="1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 wrapText="1"/>
    </xf>
    <xf numFmtId="0" fontId="45" fillId="0" borderId="0" xfId="216" applyFont="1" applyFill="1" applyBorder="1" applyAlignment="1">
      <alignment horizontal="left" vertical="center"/>
    </xf>
    <xf numFmtId="0" fontId="45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horizontal="center" vertical="center" wrapText="1"/>
    </xf>
    <xf numFmtId="0" fontId="39" fillId="0" borderId="0" xfId="216" applyFont="1" applyFill="1" applyBorder="1" applyAlignment="1">
      <alignment horizontal="center" vertical="center"/>
    </xf>
    <xf numFmtId="0" fontId="39" fillId="0" borderId="64" xfId="216" applyFont="1" applyFill="1" applyBorder="1" applyAlignment="1">
      <alignment vertical="center" wrapText="1"/>
    </xf>
    <xf numFmtId="0" fontId="6" fillId="0" borderId="64" xfId="216" applyFont="1" applyFill="1" applyBorder="1" applyAlignment="1">
      <alignment vertical="center"/>
    </xf>
    <xf numFmtId="169" fontId="6" fillId="0" borderId="64" xfId="216" applyNumberFormat="1" applyFont="1" applyFill="1" applyBorder="1" applyAlignment="1">
      <alignment vertical="center"/>
    </xf>
    <xf numFmtId="169" fontId="6" fillId="0" borderId="64" xfId="216" applyNumberFormat="1" applyFont="1" applyFill="1" applyBorder="1" applyAlignment="1">
      <alignment horizontal="center" vertical="center"/>
    </xf>
    <xf numFmtId="170" fontId="39" fillId="0" borderId="0" xfId="216" applyNumberFormat="1" applyFont="1" applyFill="1" applyBorder="1" applyAlignment="1">
      <alignment horizontal="right" vertical="center"/>
    </xf>
    <xf numFmtId="170" fontId="6" fillId="0" borderId="0" xfId="216" applyNumberFormat="1" applyFont="1" applyFill="1" applyBorder="1" applyAlignment="1">
      <alignment horizontal="right" vertical="center"/>
    </xf>
    <xf numFmtId="0" fontId="5" fillId="0" borderId="0" xfId="216" applyFont="1" applyFill="1" applyBorder="1" applyAlignment="1">
      <alignment horizontal="left" vertical="center"/>
    </xf>
    <xf numFmtId="200" fontId="82" fillId="0" borderId="0" xfId="216" applyNumberFormat="1" applyFont="1" applyFill="1" applyBorder="1" applyAlignment="1">
      <alignment horizontal="center" vertical="center"/>
    </xf>
    <xf numFmtId="0" fontId="6" fillId="0" borderId="67" xfId="216" applyFont="1" applyFill="1" applyBorder="1" applyAlignment="1">
      <alignment horizontal="center" vertical="center"/>
    </xf>
    <xf numFmtId="0" fontId="82" fillId="0" borderId="64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left" vertical="center"/>
    </xf>
    <xf numFmtId="0" fontId="6" fillId="0" borderId="64" xfId="216" applyFont="1" applyFill="1" applyBorder="1" applyAlignment="1">
      <alignment vertical="center" wrapText="1"/>
    </xf>
    <xf numFmtId="2" fontId="6" fillId="0" borderId="64" xfId="216" applyNumberFormat="1" applyFont="1" applyFill="1" applyBorder="1" applyAlignment="1">
      <alignment vertical="center"/>
    </xf>
    <xf numFmtId="2" fontId="6" fillId="0" borderId="64" xfId="216" applyNumberFormat="1" applyFont="1" applyFill="1" applyBorder="1" applyAlignment="1">
      <alignment horizontal="right" vertical="center"/>
    </xf>
    <xf numFmtId="170" fontId="6" fillId="0" borderId="64" xfId="216" applyNumberFormat="1" applyFont="1" applyFill="1" applyBorder="1" applyAlignment="1">
      <alignment horizontal="right" vertical="center"/>
    </xf>
    <xf numFmtId="0" fontId="82" fillId="0" borderId="64" xfId="216" applyFont="1" applyFill="1" applyBorder="1" applyAlignment="1">
      <alignment vertical="center"/>
    </xf>
    <xf numFmtId="169" fontId="82" fillId="0" borderId="64" xfId="216" applyNumberFormat="1" applyFont="1" applyFill="1" applyBorder="1" applyAlignment="1">
      <alignment vertical="center"/>
    </xf>
    <xf numFmtId="169" fontId="82" fillId="0" borderId="92" xfId="216" applyNumberFormat="1" applyFont="1" applyFill="1" applyBorder="1" applyAlignment="1">
      <alignment vertical="center"/>
    </xf>
    <xf numFmtId="0" fontId="6" fillId="0" borderId="0" xfId="216" applyFont="1" applyFill="1" applyAlignment="1">
      <alignment horizontal="center" vertical="center" wrapText="1"/>
    </xf>
    <xf numFmtId="169" fontId="6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vertical="center" wrapText="1"/>
    </xf>
    <xf numFmtId="2" fontId="6" fillId="0" borderId="0" xfId="216" applyNumberFormat="1" applyFont="1" applyFill="1" applyAlignment="1">
      <alignment vertical="center"/>
    </xf>
    <xf numFmtId="2" fontId="6" fillId="0" borderId="0" xfId="216" applyNumberFormat="1" applyFont="1" applyFill="1" applyAlignment="1">
      <alignment horizontal="right" vertical="center"/>
    </xf>
    <xf numFmtId="169" fontId="6" fillId="0" borderId="0" xfId="216" applyNumberFormat="1" applyFont="1" applyFill="1" applyAlignment="1">
      <alignment horizontal="center" vertical="center"/>
    </xf>
    <xf numFmtId="169" fontId="82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horizontal="right" vertical="center"/>
    </xf>
    <xf numFmtId="169" fontId="6" fillId="0" borderId="0" xfId="216" applyNumberFormat="1" applyFont="1" applyFill="1" applyAlignment="1">
      <alignment vertical="center" wrapText="1"/>
    </xf>
    <xf numFmtId="169" fontId="5" fillId="0" borderId="71" xfId="216" applyNumberFormat="1" applyFont="1" applyFill="1" applyBorder="1" applyAlignment="1">
      <alignment horizontal="center" vertical="center"/>
    </xf>
    <xf numFmtId="169" fontId="82" fillId="0" borderId="132" xfId="216" applyNumberFormat="1" applyFont="1" applyFill="1" applyBorder="1" applyAlignment="1">
      <alignment horizontal="center" vertical="center"/>
    </xf>
    <xf numFmtId="169" fontId="82" fillId="0" borderId="100" xfId="216" applyNumberFormat="1" applyFont="1" applyFill="1" applyBorder="1" applyAlignment="1">
      <alignment horizontal="center" vertical="center"/>
    </xf>
    <xf numFmtId="169" fontId="82" fillId="0" borderId="100" xfId="216" quotePrefix="1" applyNumberFormat="1" applyFont="1" applyFill="1" applyBorder="1" applyAlignment="1">
      <alignment horizontal="center" vertical="center"/>
    </xf>
    <xf numFmtId="0" fontId="6" fillId="0" borderId="195" xfId="216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 wrapText="1"/>
    </xf>
    <xf numFmtId="0" fontId="6" fillId="0" borderId="196" xfId="216" applyFont="1" applyFill="1" applyBorder="1" applyAlignment="1">
      <alignment horizontal="left" vertical="center"/>
    </xf>
    <xf numFmtId="0" fontId="6" fillId="0" borderId="196" xfId="216" applyFont="1" applyFill="1" applyBorder="1" applyAlignment="1">
      <alignment horizontal="left" vertical="center" wrapText="1"/>
    </xf>
    <xf numFmtId="169" fontId="6" fillId="0" borderId="196" xfId="216" applyNumberFormat="1" applyFont="1" applyFill="1" applyBorder="1" applyAlignment="1">
      <alignment vertical="center"/>
    </xf>
    <xf numFmtId="169" fontId="6" fillId="0" borderId="196" xfId="216" applyNumberFormat="1" applyFont="1" applyFill="1" applyBorder="1" applyAlignment="1">
      <alignment vertical="center" wrapText="1"/>
    </xf>
    <xf numFmtId="169" fontId="6" fillId="0" borderId="196" xfId="216" applyNumberFormat="1" applyFont="1" applyFill="1" applyBorder="1" applyAlignment="1">
      <alignment horizontal="center" vertical="center" wrapText="1"/>
    </xf>
    <xf numFmtId="169" fontId="6" fillId="0" borderId="196" xfId="216" applyNumberFormat="1" applyFont="1" applyFill="1" applyBorder="1" applyAlignment="1">
      <alignment horizontal="center" vertical="center"/>
    </xf>
    <xf numFmtId="169" fontId="82" fillId="0" borderId="196" xfId="216" applyNumberFormat="1" applyFont="1" applyFill="1" applyBorder="1" applyAlignment="1">
      <alignment horizontal="center" vertical="center"/>
    </xf>
    <xf numFmtId="169" fontId="82" fillId="0" borderId="197" xfId="216" applyNumberFormat="1" applyFont="1" applyFill="1" applyBorder="1" applyAlignment="1">
      <alignment horizontal="center" vertical="center"/>
    </xf>
    <xf numFmtId="169" fontId="82" fillId="0" borderId="198" xfId="216" applyNumberFormat="1" applyFont="1" applyFill="1" applyBorder="1" applyAlignment="1">
      <alignment horizontal="center" vertical="center"/>
    </xf>
    <xf numFmtId="169" fontId="82" fillId="0" borderId="199" xfId="216" applyNumberFormat="1" applyFont="1" applyFill="1" applyBorder="1" applyAlignment="1">
      <alignment horizontal="center" vertical="center"/>
    </xf>
    <xf numFmtId="169" fontId="82" fillId="0" borderId="200" xfId="216" applyNumberFormat="1" applyFont="1" applyFill="1" applyBorder="1" applyAlignment="1">
      <alignment horizontal="center" vertical="center"/>
    </xf>
    <xf numFmtId="169" fontId="82" fillId="0" borderId="201" xfId="216" applyNumberFormat="1" applyFont="1" applyFill="1" applyBorder="1" applyAlignment="1">
      <alignment horizontal="center" vertical="center"/>
    </xf>
    <xf numFmtId="169" fontId="82" fillId="0" borderId="202" xfId="216" applyNumberFormat="1" applyFont="1" applyFill="1" applyBorder="1" applyAlignment="1">
      <alignment horizontal="center" vertical="center"/>
    </xf>
    <xf numFmtId="169" fontId="82" fillId="0" borderId="203" xfId="216" applyNumberFormat="1" applyFont="1" applyFill="1" applyBorder="1" applyAlignment="1">
      <alignment horizontal="center" vertical="center"/>
    </xf>
    <xf numFmtId="169" fontId="82" fillId="0" borderId="204" xfId="216" applyNumberFormat="1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left" vertical="center"/>
    </xf>
    <xf numFmtId="169" fontId="82" fillId="0" borderId="143" xfId="216" applyNumberFormat="1" applyFont="1" applyFill="1" applyBorder="1" applyAlignment="1">
      <alignment horizontal="center" vertical="center"/>
    </xf>
    <xf numFmtId="169" fontId="82" fillId="0" borderId="145" xfId="216" applyNumberFormat="1" applyFont="1" applyFill="1" applyBorder="1" applyAlignment="1">
      <alignment horizontal="center" vertical="center"/>
    </xf>
    <xf numFmtId="169" fontId="82" fillId="0" borderId="152" xfId="216" applyNumberFormat="1" applyFont="1" applyFill="1" applyBorder="1" applyAlignment="1">
      <alignment horizontal="center" vertical="center"/>
    </xf>
    <xf numFmtId="169" fontId="82" fillId="0" borderId="153" xfId="216" applyNumberFormat="1" applyFont="1" applyFill="1" applyBorder="1" applyAlignment="1">
      <alignment horizontal="center" vertical="center"/>
    </xf>
    <xf numFmtId="169" fontId="82" fillId="0" borderId="159" xfId="216" applyNumberFormat="1" applyFont="1" applyFill="1" applyBorder="1" applyAlignment="1">
      <alignment horizontal="center" vertical="center"/>
    </xf>
    <xf numFmtId="169" fontId="82" fillId="0" borderId="161" xfId="216" applyNumberFormat="1" applyFont="1" applyFill="1" applyBorder="1" applyAlignment="1">
      <alignment horizontal="center" vertical="center"/>
    </xf>
    <xf numFmtId="169" fontId="82" fillId="0" borderId="186" xfId="216" applyNumberFormat="1" applyFont="1" applyFill="1" applyBorder="1" applyAlignment="1">
      <alignment horizontal="center" vertical="center"/>
    </xf>
    <xf numFmtId="169" fontId="82" fillId="0" borderId="172" xfId="216" applyNumberFormat="1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vertical="center"/>
    </xf>
    <xf numFmtId="0" fontId="6" fillId="0" borderId="196" xfId="216" applyFont="1" applyFill="1" applyBorder="1" applyAlignment="1">
      <alignment vertical="center" wrapText="1"/>
    </xf>
    <xf numFmtId="0" fontId="6" fillId="0" borderId="94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 wrapText="1"/>
    </xf>
    <xf numFmtId="0" fontId="6" fillId="0" borderId="16" xfId="216" applyFont="1" applyFill="1" applyBorder="1" applyAlignment="1">
      <alignment vertical="center"/>
    </xf>
    <xf numFmtId="0" fontId="6" fillId="0" borderId="16" xfId="216" applyFont="1" applyFill="1" applyBorder="1" applyAlignment="1">
      <alignment horizontal="left" vertical="center" wrapText="1"/>
    </xf>
    <xf numFmtId="169" fontId="6" fillId="0" borderId="16" xfId="216" applyNumberFormat="1" applyFont="1" applyFill="1" applyBorder="1" applyAlignment="1">
      <alignment vertical="center"/>
    </xf>
    <xf numFmtId="169" fontId="6" fillId="0" borderId="16" xfId="216" applyNumberFormat="1" applyFont="1" applyFill="1" applyBorder="1" applyAlignment="1">
      <alignment vertical="center" wrapText="1"/>
    </xf>
    <xf numFmtId="169" fontId="6" fillId="0" borderId="16" xfId="216" applyNumberFormat="1" applyFont="1" applyFill="1" applyBorder="1" applyAlignment="1">
      <alignment horizontal="center" vertical="center" wrapText="1"/>
    </xf>
    <xf numFmtId="169" fontId="6" fillId="0" borderId="16" xfId="216" applyNumberFormat="1" applyFont="1" applyFill="1" applyBorder="1" applyAlignment="1">
      <alignment horizontal="center" vertical="center"/>
    </xf>
    <xf numFmtId="169" fontId="82" fillId="0" borderId="16" xfId="216" applyNumberFormat="1" applyFont="1" applyFill="1" applyBorder="1" applyAlignment="1">
      <alignment horizontal="center" vertical="center"/>
    </xf>
    <xf numFmtId="169" fontId="82" fillId="0" borderId="16" xfId="216" applyNumberFormat="1" applyFont="1" applyFill="1" applyBorder="1" applyAlignment="1">
      <alignment vertical="center"/>
    </xf>
    <xf numFmtId="169" fontId="82" fillId="0" borderId="12" xfId="216" applyNumberFormat="1" applyFont="1" applyFill="1" applyBorder="1" applyAlignment="1">
      <alignment vertical="center"/>
    </xf>
    <xf numFmtId="169" fontId="82" fillId="0" borderId="193" xfId="216" applyNumberFormat="1" applyFont="1" applyFill="1" applyBorder="1" applyAlignment="1">
      <alignment vertical="center"/>
    </xf>
    <xf numFmtId="169" fontId="82" fillId="0" borderId="205" xfId="216" applyNumberFormat="1" applyFont="1" applyFill="1" applyBorder="1" applyAlignment="1">
      <alignment vertical="center"/>
    </xf>
    <xf numFmtId="169" fontId="82" fillId="0" borderId="182" xfId="216" applyNumberFormat="1" applyFont="1" applyFill="1" applyBorder="1" applyAlignment="1">
      <alignment vertical="center"/>
    </xf>
    <xf numFmtId="169" fontId="82" fillId="0" borderId="206" xfId="216" applyNumberFormat="1" applyFont="1" applyFill="1" applyBorder="1" applyAlignment="1">
      <alignment vertical="center"/>
    </xf>
    <xf numFmtId="169" fontId="82" fillId="0" borderId="183" xfId="216" applyNumberFormat="1" applyFont="1" applyFill="1" applyBorder="1" applyAlignment="1">
      <alignment vertical="center"/>
    </xf>
    <xf numFmtId="169" fontId="82" fillId="0" borderId="181" xfId="216" applyNumberFormat="1" applyFont="1" applyFill="1" applyBorder="1" applyAlignment="1">
      <alignment vertical="center"/>
    </xf>
    <xf numFmtId="0" fontId="6" fillId="0" borderId="0" xfId="0" applyFont="1" applyFill="1" applyAlignment="1"/>
    <xf numFmtId="169" fontId="6" fillId="50" borderId="58" xfId="216" applyNumberFormat="1" applyFont="1" applyFill="1" applyBorder="1" applyAlignment="1">
      <alignment vertical="center"/>
    </xf>
    <xf numFmtId="169" fontId="6" fillId="50" borderId="58" xfId="216" applyNumberFormat="1" applyFont="1" applyFill="1" applyBorder="1" applyAlignment="1">
      <alignment vertical="center" wrapText="1"/>
    </xf>
    <xf numFmtId="169" fontId="6" fillId="50" borderId="58" xfId="216" applyNumberFormat="1" applyFont="1" applyFill="1" applyBorder="1" applyAlignment="1">
      <alignment horizontal="center" vertical="center" wrapText="1"/>
    </xf>
    <xf numFmtId="169" fontId="6" fillId="50" borderId="58" xfId="216" applyNumberFormat="1" applyFont="1" applyFill="1" applyBorder="1" applyAlignment="1">
      <alignment horizontal="center" vertical="center"/>
    </xf>
    <xf numFmtId="169" fontId="82" fillId="50" borderId="99" xfId="216" applyNumberFormat="1" applyFont="1" applyFill="1" applyBorder="1" applyAlignment="1">
      <alignment horizontal="center" vertical="center"/>
    </xf>
    <xf numFmtId="169" fontId="82" fillId="50" borderId="142" xfId="216" applyNumberFormat="1" applyFont="1" applyFill="1" applyBorder="1" applyAlignment="1">
      <alignment horizontal="center" vertical="center"/>
    </xf>
    <xf numFmtId="169" fontId="82" fillId="50" borderId="58" xfId="216" applyNumberFormat="1" applyFont="1" applyFill="1" applyBorder="1" applyAlignment="1">
      <alignment horizontal="center" vertical="center"/>
    </xf>
    <xf numFmtId="169" fontId="82" fillId="50" borderId="150" xfId="216" applyNumberFormat="1" applyFont="1" applyFill="1" applyBorder="1" applyAlignment="1">
      <alignment horizontal="center" vertical="center"/>
    </xf>
    <xf numFmtId="169" fontId="82" fillId="50" borderId="151" xfId="216" applyNumberFormat="1" applyFont="1" applyFill="1" applyBorder="1" applyAlignment="1">
      <alignment horizontal="center" vertical="center"/>
    </xf>
    <xf numFmtId="169" fontId="82" fillId="50" borderId="158" xfId="216" applyNumberFormat="1" applyFont="1" applyFill="1" applyBorder="1" applyAlignment="1">
      <alignment horizontal="center" vertical="center"/>
    </xf>
    <xf numFmtId="169" fontId="82" fillId="50" borderId="160" xfId="216" applyNumberFormat="1" applyFont="1" applyFill="1" applyBorder="1" applyAlignment="1">
      <alignment horizontal="center" vertical="center"/>
    </xf>
    <xf numFmtId="169" fontId="82" fillId="50" borderId="185" xfId="216" applyNumberFormat="1" applyFont="1" applyFill="1" applyBorder="1" applyAlignment="1">
      <alignment horizontal="center" vertical="center"/>
    </xf>
    <xf numFmtId="169" fontId="82" fillId="50" borderId="100" xfId="216" applyNumberFormat="1" applyFont="1" applyFill="1" applyBorder="1" applyAlignment="1">
      <alignment horizontal="center" vertical="center"/>
    </xf>
    <xf numFmtId="169" fontId="83" fillId="50" borderId="58" xfId="216" applyNumberFormat="1" applyFont="1" applyFill="1" applyBorder="1" applyAlignment="1">
      <alignment vertical="center"/>
    </xf>
    <xf numFmtId="169" fontId="83" fillId="50" borderId="58" xfId="216" applyNumberFormat="1" applyFont="1" applyFill="1" applyBorder="1" applyAlignment="1">
      <alignment vertical="center" wrapText="1"/>
    </xf>
    <xf numFmtId="169" fontId="83" fillId="50" borderId="58" xfId="216" applyNumberFormat="1" applyFont="1" applyFill="1" applyBorder="1" applyAlignment="1">
      <alignment horizontal="center" vertical="center" wrapText="1"/>
    </xf>
    <xf numFmtId="169" fontId="83" fillId="50" borderId="58" xfId="216" applyNumberFormat="1" applyFont="1" applyFill="1" applyBorder="1" applyAlignment="1">
      <alignment horizontal="center" vertical="center"/>
    </xf>
    <xf numFmtId="169" fontId="83" fillId="50" borderId="142" xfId="216" applyNumberFormat="1" applyFont="1" applyFill="1" applyBorder="1" applyAlignment="1">
      <alignment horizontal="center" vertical="center"/>
    </xf>
    <xf numFmtId="169" fontId="83" fillId="50" borderId="99" xfId="216" applyNumberFormat="1" applyFont="1" applyFill="1" applyBorder="1" applyAlignment="1">
      <alignment horizontal="center" vertical="center"/>
    </xf>
    <xf numFmtId="169" fontId="83" fillId="50" borderId="150" xfId="216" applyNumberFormat="1" applyFont="1" applyFill="1" applyBorder="1" applyAlignment="1">
      <alignment horizontal="center" vertical="center"/>
    </xf>
    <xf numFmtId="169" fontId="83" fillId="50" borderId="151" xfId="216" applyNumberFormat="1" applyFont="1" applyFill="1" applyBorder="1" applyAlignment="1">
      <alignment horizontal="center" vertical="center"/>
    </xf>
    <xf numFmtId="169" fontId="83" fillId="50" borderId="158" xfId="216" applyNumberFormat="1" applyFont="1" applyFill="1" applyBorder="1" applyAlignment="1">
      <alignment horizontal="center" vertical="center"/>
    </xf>
    <xf numFmtId="169" fontId="83" fillId="50" borderId="160" xfId="216" applyNumberFormat="1" applyFont="1" applyFill="1" applyBorder="1" applyAlignment="1">
      <alignment horizontal="center" vertical="center"/>
    </xf>
    <xf numFmtId="169" fontId="83" fillId="50" borderId="185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Alignment="1"/>
    <xf numFmtId="170" fontId="6" fillId="0" borderId="21" xfId="0" applyNumberFormat="1" applyFont="1" applyFill="1" applyBorder="1" applyAlignment="1">
      <alignment horizontal="center" vertical="center"/>
    </xf>
    <xf numFmtId="170" fontId="6" fillId="0" borderId="23" xfId="0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0" fillId="0" borderId="133" xfId="0" applyFill="1" applyBorder="1"/>
    <xf numFmtId="2" fontId="5" fillId="0" borderId="193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/>
    <xf numFmtId="2" fontId="5" fillId="0" borderId="3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58" xfId="216" applyFont="1" applyFill="1" applyBorder="1" applyAlignment="1">
      <alignment horizontal="left" vertical="center" wrapText="1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7" fontId="6" fillId="0" borderId="95" xfId="0" applyNumberFormat="1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horizontal="center" vertical="center"/>
    </xf>
    <xf numFmtId="0" fontId="5" fillId="0" borderId="0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center" vertical="center"/>
    </xf>
    <xf numFmtId="49" fontId="6" fillId="0" borderId="58" xfId="216" applyNumberFormat="1" applyFont="1" applyFill="1" applyBorder="1" applyAlignment="1">
      <alignment horizontal="center" vertical="center" wrapText="1"/>
    </xf>
    <xf numFmtId="0" fontId="6" fillId="0" borderId="58" xfId="216" quotePrefix="1" applyFont="1" applyFill="1" applyBorder="1" applyAlignment="1">
      <alignment horizontal="center" vertical="center" wrapText="1"/>
    </xf>
    <xf numFmtId="9" fontId="39" fillId="0" borderId="0" xfId="294" applyFont="1" applyFill="1" applyBorder="1" applyAlignment="1">
      <alignment horizontal="center" vertical="center" wrapText="1"/>
    </xf>
    <xf numFmtId="0" fontId="6" fillId="0" borderId="64" xfId="216" applyFont="1" applyFill="1" applyBorder="1" applyAlignment="1">
      <alignment horizontal="center" vertical="center" wrapText="1"/>
    </xf>
    <xf numFmtId="0" fontId="82" fillId="0" borderId="207" xfId="216" applyFont="1" applyFill="1" applyBorder="1" applyAlignment="1">
      <alignment vertical="center"/>
    </xf>
    <xf numFmtId="169" fontId="85" fillId="0" borderId="58" xfId="216" applyNumberFormat="1" applyFont="1" applyFill="1" applyBorder="1" applyAlignment="1">
      <alignment horizontal="center" vertical="center"/>
    </xf>
    <xf numFmtId="0" fontId="6" fillId="0" borderId="208" xfId="216" applyFont="1" applyFill="1" applyBorder="1" applyAlignment="1">
      <alignment horizontal="center" vertical="center"/>
    </xf>
    <xf numFmtId="0" fontId="6" fillId="0" borderId="209" xfId="216" applyFont="1" applyFill="1" applyBorder="1" applyAlignment="1">
      <alignment horizontal="center" vertical="center"/>
    </xf>
    <xf numFmtId="0" fontId="6" fillId="0" borderId="209" xfId="216" applyFont="1" applyFill="1" applyBorder="1" applyAlignment="1">
      <alignment horizontal="center" vertical="center" wrapText="1"/>
    </xf>
    <xf numFmtId="0" fontId="6" fillId="0" borderId="209" xfId="216" applyFont="1" applyFill="1" applyBorder="1" applyAlignment="1">
      <alignment horizontal="left" vertical="center"/>
    </xf>
    <xf numFmtId="0" fontId="6" fillId="0" borderId="209" xfId="216" applyFont="1" applyFill="1" applyBorder="1" applyAlignment="1">
      <alignment horizontal="left" vertical="center" wrapText="1"/>
    </xf>
    <xf numFmtId="169" fontId="6" fillId="0" borderId="209" xfId="216" applyNumberFormat="1" applyFont="1" applyFill="1" applyBorder="1" applyAlignment="1">
      <alignment vertical="center"/>
    </xf>
    <xf numFmtId="169" fontId="6" fillId="0" borderId="209" xfId="216" applyNumberFormat="1" applyFont="1" applyFill="1" applyBorder="1" applyAlignment="1">
      <alignment vertical="center" wrapText="1"/>
    </xf>
    <xf numFmtId="169" fontId="6" fillId="0" borderId="209" xfId="216" applyNumberFormat="1" applyFont="1" applyFill="1" applyBorder="1" applyAlignment="1">
      <alignment horizontal="center" vertical="center" wrapText="1"/>
    </xf>
    <xf numFmtId="169" fontId="6" fillId="0" borderId="209" xfId="216" applyNumberFormat="1" applyFont="1" applyFill="1" applyBorder="1" applyAlignment="1">
      <alignment horizontal="center" vertical="center"/>
    </xf>
    <xf numFmtId="169" fontId="82" fillId="0" borderId="209" xfId="216" applyNumberFormat="1" applyFont="1" applyFill="1" applyBorder="1" applyAlignment="1">
      <alignment horizontal="center" vertical="center"/>
    </xf>
    <xf numFmtId="169" fontId="82" fillId="0" borderId="210" xfId="216" applyNumberFormat="1" applyFont="1" applyFill="1" applyBorder="1" applyAlignment="1">
      <alignment horizontal="center" vertical="center"/>
    </xf>
    <xf numFmtId="169" fontId="82" fillId="0" borderId="211" xfId="216" applyNumberFormat="1" applyFont="1" applyFill="1" applyBorder="1" applyAlignment="1">
      <alignment horizontal="center" vertical="center"/>
    </xf>
    <xf numFmtId="169" fontId="82" fillId="0" borderId="212" xfId="216" applyNumberFormat="1" applyFont="1" applyFill="1" applyBorder="1" applyAlignment="1">
      <alignment horizontal="center" vertical="center"/>
    </xf>
    <xf numFmtId="169" fontId="82" fillId="0" borderId="213" xfId="216" applyNumberFormat="1" applyFont="1" applyFill="1" applyBorder="1" applyAlignment="1">
      <alignment horizontal="center" vertical="center"/>
    </xf>
    <xf numFmtId="169" fontId="82" fillId="0" borderId="214" xfId="216" applyNumberFormat="1" applyFont="1" applyFill="1" applyBorder="1" applyAlignment="1">
      <alignment horizontal="center" vertical="center"/>
    </xf>
    <xf numFmtId="169" fontId="82" fillId="0" borderId="215" xfId="216" applyNumberFormat="1" applyFont="1" applyFill="1" applyBorder="1" applyAlignment="1">
      <alignment horizontal="center" vertical="center"/>
    </xf>
    <xf numFmtId="169" fontId="82" fillId="0" borderId="216" xfId="216" applyNumberFormat="1" applyFont="1" applyFill="1" applyBorder="1" applyAlignment="1">
      <alignment horizontal="center" vertical="center"/>
    </xf>
    <xf numFmtId="169" fontId="82" fillId="0" borderId="217" xfId="216" applyNumberFormat="1" applyFont="1" applyFill="1" applyBorder="1" applyAlignment="1">
      <alignment horizontal="center" vertical="center"/>
    </xf>
    <xf numFmtId="17" fontId="6" fillId="0" borderId="42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>
      <alignment horizontal="center" vertical="center"/>
    </xf>
    <xf numFmtId="10" fontId="6" fillId="0" borderId="28" xfId="283" applyNumberFormat="1" applyFont="1" applyFill="1" applyBorder="1" applyAlignment="1">
      <alignment horizontal="center"/>
    </xf>
    <xf numFmtId="0" fontId="28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5" fillId="0" borderId="7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37" xfId="0" applyFont="1" applyFill="1" applyBorder="1" applyAlignment="1">
      <alignment horizontal="center"/>
    </xf>
    <xf numFmtId="17" fontId="0" fillId="0" borderId="38" xfId="0" applyNumberFormat="1" applyBorder="1" applyAlignment="1">
      <alignment horizontal="center" vertical="center"/>
    </xf>
    <xf numFmtId="174" fontId="0" fillId="0" borderId="38" xfId="0" applyNumberFormat="1" applyBorder="1"/>
    <xf numFmtId="2" fontId="40" fillId="0" borderId="38" xfId="0" applyNumberFormat="1" applyFont="1" applyBorder="1"/>
    <xf numFmtId="17" fontId="0" fillId="0" borderId="104" xfId="0" applyNumberFormat="1" applyBorder="1" applyAlignment="1">
      <alignment horizontal="center" vertical="center"/>
    </xf>
    <xf numFmtId="0" fontId="0" fillId="0" borderId="104" xfId="0" applyBorder="1"/>
    <xf numFmtId="0" fontId="2" fillId="0" borderId="194" xfId="0" applyFont="1" applyBorder="1"/>
    <xf numFmtId="174" fontId="0" fillId="0" borderId="104" xfId="0" applyNumberFormat="1" applyBorder="1"/>
    <xf numFmtId="0" fontId="0" fillId="0" borderId="194" xfId="0" applyBorder="1"/>
    <xf numFmtId="2" fontId="40" fillId="0" borderId="104" xfId="0" applyNumberFormat="1" applyFont="1" applyBorder="1"/>
    <xf numFmtId="169" fontId="6" fillId="51" borderId="58" xfId="216" applyNumberFormat="1" applyFont="1" applyFill="1" applyBorder="1" applyAlignment="1">
      <alignment vertical="center"/>
    </xf>
    <xf numFmtId="169" fontId="6" fillId="51" borderId="58" xfId="216" applyNumberFormat="1" applyFont="1" applyFill="1" applyBorder="1" applyAlignment="1">
      <alignment vertical="center" wrapText="1"/>
    </xf>
    <xf numFmtId="169" fontId="6" fillId="51" borderId="58" xfId="216" applyNumberFormat="1" applyFont="1" applyFill="1" applyBorder="1" applyAlignment="1">
      <alignment horizontal="center" vertical="center" wrapText="1"/>
    </xf>
    <xf numFmtId="169" fontId="6" fillId="51" borderId="58" xfId="216" applyNumberFormat="1" applyFont="1" applyFill="1" applyBorder="1" applyAlignment="1">
      <alignment horizontal="center" vertical="center"/>
    </xf>
    <xf numFmtId="169" fontId="82" fillId="51" borderId="58" xfId="216" applyNumberFormat="1" applyFont="1" applyFill="1" applyBorder="1" applyAlignment="1">
      <alignment horizontal="center" vertical="center"/>
    </xf>
    <xf numFmtId="169" fontId="82" fillId="51" borderId="142" xfId="216" applyNumberFormat="1" applyFont="1" applyFill="1" applyBorder="1" applyAlignment="1">
      <alignment horizontal="center" vertical="center"/>
    </xf>
    <xf numFmtId="169" fontId="82" fillId="51" borderId="99" xfId="216" applyNumberFormat="1" applyFont="1" applyFill="1" applyBorder="1" applyAlignment="1">
      <alignment horizontal="center" vertical="center"/>
    </xf>
    <xf numFmtId="169" fontId="82" fillId="51" borderId="150" xfId="216" applyNumberFormat="1" applyFont="1" applyFill="1" applyBorder="1" applyAlignment="1">
      <alignment horizontal="center" vertical="center"/>
    </xf>
    <xf numFmtId="169" fontId="82" fillId="51" borderId="151" xfId="216" applyNumberFormat="1" applyFont="1" applyFill="1" applyBorder="1" applyAlignment="1">
      <alignment horizontal="center" vertical="center"/>
    </xf>
    <xf numFmtId="169" fontId="82" fillId="51" borderId="158" xfId="216" applyNumberFormat="1" applyFont="1" applyFill="1" applyBorder="1" applyAlignment="1">
      <alignment horizontal="center" vertical="center"/>
    </xf>
    <xf numFmtId="169" fontId="82" fillId="51" borderId="160" xfId="216" applyNumberFormat="1" applyFont="1" applyFill="1" applyBorder="1" applyAlignment="1">
      <alignment horizontal="center" vertical="center"/>
    </xf>
    <xf numFmtId="169" fontId="82" fillId="51" borderId="185" xfId="216" applyNumberFormat="1" applyFont="1" applyFill="1" applyBorder="1" applyAlignment="1">
      <alignment horizontal="center" vertical="center"/>
    </xf>
    <xf numFmtId="43" fontId="82" fillId="51" borderId="99" xfId="120" applyFont="1" applyFill="1" applyBorder="1" applyAlignment="1">
      <alignment horizontal="center" vertical="center"/>
    </xf>
    <xf numFmtId="169" fontId="82" fillId="51" borderId="100" xfId="216" applyNumberFormat="1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left" vertical="center" wrapText="1"/>
    </xf>
    <xf numFmtId="3" fontId="5" fillId="0" borderId="67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 wrapText="1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0" fontId="6" fillId="0" borderId="37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60" xfId="0" applyNumberFormat="1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22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43" fontId="6" fillId="0" borderId="54" xfId="120" applyFont="1" applyFill="1" applyBorder="1" applyAlignment="1">
      <alignment horizontal="right"/>
    </xf>
    <xf numFmtId="43" fontId="6" fillId="0" borderId="37" xfId="120" applyFont="1" applyFill="1" applyBorder="1" applyAlignment="1">
      <alignment horizontal="right"/>
    </xf>
    <xf numFmtId="43" fontId="6" fillId="0" borderId="49" xfId="120" applyFont="1" applyFill="1" applyBorder="1" applyAlignment="1">
      <alignment horizontal="right"/>
    </xf>
    <xf numFmtId="43" fontId="6" fillId="0" borderId="24" xfId="120" applyFont="1" applyFill="1" applyBorder="1"/>
    <xf numFmtId="201" fontId="6" fillId="0" borderId="54" xfId="120" applyNumberFormat="1" applyFont="1" applyFill="1" applyBorder="1" applyAlignment="1">
      <alignment horizontal="right"/>
    </xf>
    <xf numFmtId="201" fontId="6" fillId="0" borderId="37" xfId="120" applyNumberFormat="1" applyFont="1" applyFill="1" applyBorder="1" applyAlignment="1">
      <alignment horizontal="right"/>
    </xf>
    <xf numFmtId="201" fontId="6" fillId="0" borderId="49" xfId="120" applyNumberFormat="1" applyFont="1" applyFill="1" applyBorder="1" applyAlignment="1">
      <alignment horizontal="right"/>
    </xf>
    <xf numFmtId="201" fontId="6" fillId="0" borderId="24" xfId="120" applyNumberFormat="1" applyFont="1" applyFill="1" applyBorder="1"/>
    <xf numFmtId="3" fontId="5" fillId="0" borderId="71" xfId="216" applyNumberFormat="1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 wrapText="1"/>
    </xf>
    <xf numFmtId="0" fontId="5" fillId="49" borderId="71" xfId="0" applyFont="1" applyFill="1" applyBorder="1"/>
    <xf numFmtId="0" fontId="5" fillId="52" borderId="71" xfId="0" applyFont="1" applyFill="1" applyBorder="1"/>
    <xf numFmtId="0" fontId="5" fillId="53" borderId="67" xfId="0" applyFont="1" applyFill="1" applyBorder="1"/>
    <xf numFmtId="0" fontId="5" fillId="51" borderId="71" xfId="0" applyFont="1" applyFill="1" applyBorder="1"/>
    <xf numFmtId="0" fontId="5" fillId="54" borderId="71" xfId="0" applyFont="1" applyFill="1" applyBorder="1"/>
    <xf numFmtId="0" fontId="5" fillId="0" borderId="75" xfId="216" applyFont="1" applyFill="1" applyBorder="1" applyAlignment="1">
      <alignment vertical="center" wrapText="1"/>
    </xf>
    <xf numFmtId="0" fontId="5" fillId="0" borderId="82" xfId="216" applyFont="1" applyFill="1" applyBorder="1" applyAlignment="1">
      <alignment vertical="center" wrapText="1"/>
    </xf>
    <xf numFmtId="3" fontId="5" fillId="0" borderId="87" xfId="216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vertical="center"/>
    </xf>
    <xf numFmtId="0" fontId="5" fillId="0" borderId="82" xfId="0" applyFont="1" applyFill="1" applyBorder="1" applyAlignment="1">
      <alignment vertical="center"/>
    </xf>
    <xf numFmtId="0" fontId="5" fillId="0" borderId="70" xfId="0" applyFont="1" applyFill="1" applyBorder="1" applyAlignment="1">
      <alignment vertical="center"/>
    </xf>
    <xf numFmtId="169" fontId="6" fillId="0" borderId="138" xfId="0" applyNumberFormat="1" applyFont="1" applyFill="1" applyBorder="1" applyAlignment="1">
      <alignment horizontal="center"/>
    </xf>
    <xf numFmtId="169" fontId="6" fillId="0" borderId="98" xfId="0" applyNumberFormat="1" applyFont="1" applyFill="1" applyBorder="1" applyAlignment="1">
      <alignment horizontal="center"/>
    </xf>
    <xf numFmtId="169" fontId="6" fillId="0" borderId="106" xfId="113" applyNumberFormat="1" applyFont="1" applyFill="1" applyBorder="1" applyAlignment="1" applyProtection="1">
      <alignment horizontal="center"/>
    </xf>
    <xf numFmtId="2" fontId="0" fillId="0" borderId="218" xfId="0" applyNumberFormat="1" applyFill="1" applyBorder="1" applyAlignment="1">
      <alignment horizontal="center"/>
    </xf>
    <xf numFmtId="2" fontId="6" fillId="0" borderId="219" xfId="0" applyNumberFormat="1" applyFont="1" applyFill="1" applyBorder="1" applyAlignment="1">
      <alignment horizontal="center"/>
    </xf>
    <xf numFmtId="2" fontId="6" fillId="0" borderId="220" xfId="0" applyNumberFormat="1" applyFont="1" applyFill="1" applyBorder="1" applyAlignment="1">
      <alignment horizontal="center"/>
    </xf>
    <xf numFmtId="0" fontId="0" fillId="0" borderId="219" xfId="0" applyFill="1" applyBorder="1"/>
    <xf numFmtId="169" fontId="6" fillId="0" borderId="221" xfId="0" applyNumberFormat="1" applyFont="1" applyFill="1" applyBorder="1" applyAlignment="1">
      <alignment horizontal="center"/>
    </xf>
    <xf numFmtId="169" fontId="6" fillId="0" borderId="219" xfId="0" applyNumberFormat="1" applyFont="1" applyFill="1" applyBorder="1" applyAlignment="1">
      <alignment horizontal="center"/>
    </xf>
    <xf numFmtId="169" fontId="6" fillId="0" borderId="219" xfId="113" applyNumberFormat="1" applyFont="1" applyFill="1" applyBorder="1" applyAlignment="1" applyProtection="1">
      <alignment horizontal="center"/>
    </xf>
    <xf numFmtId="169" fontId="6" fillId="0" borderId="222" xfId="113" applyNumberFormat="1" applyFont="1" applyFill="1" applyBorder="1" applyAlignment="1" applyProtection="1">
      <alignment horizontal="center"/>
    </xf>
    <xf numFmtId="169" fontId="6" fillId="0" borderId="187" xfId="113" applyNumberFormat="1" applyFont="1" applyFill="1" applyBorder="1" applyAlignment="1" applyProtection="1">
      <alignment horizontal="center"/>
    </xf>
    <xf numFmtId="2" fontId="6" fillId="0" borderId="218" xfId="0" applyNumberFormat="1" applyFont="1" applyFill="1" applyBorder="1" applyAlignment="1">
      <alignment horizontal="center"/>
    </xf>
    <xf numFmtId="169" fontId="6" fillId="0" borderId="220" xfId="113" applyNumberFormat="1" applyFont="1" applyFill="1" applyBorder="1" applyAlignment="1" applyProtection="1">
      <alignment horizontal="center"/>
    </xf>
    <xf numFmtId="0" fontId="0" fillId="0" borderId="222" xfId="0" applyFill="1" applyBorder="1"/>
    <xf numFmtId="2" fontId="6" fillId="0" borderId="222" xfId="0" applyNumberFormat="1" applyFont="1" applyFill="1" applyBorder="1" applyAlignment="1">
      <alignment horizontal="center"/>
    </xf>
    <xf numFmtId="0" fontId="0" fillId="0" borderId="115" xfId="0" applyFill="1" applyBorder="1"/>
    <xf numFmtId="169" fontId="6" fillId="0" borderId="218" xfId="0" applyNumberFormat="1" applyFont="1" applyFill="1" applyBorder="1" applyAlignment="1">
      <alignment horizontal="center"/>
    </xf>
    <xf numFmtId="0" fontId="6" fillId="0" borderId="148" xfId="0" applyFont="1" applyFill="1" applyBorder="1" applyAlignment="1">
      <alignment horizontal="center"/>
    </xf>
    <xf numFmtId="0" fontId="6" fillId="0" borderId="157" xfId="0" applyFont="1" applyFill="1" applyBorder="1" applyAlignment="1">
      <alignment horizontal="center"/>
    </xf>
    <xf numFmtId="2" fontId="6" fillId="0" borderId="152" xfId="0" applyNumberFormat="1" applyFont="1" applyFill="1" applyBorder="1" applyAlignment="1">
      <alignment horizontal="center"/>
    </xf>
    <xf numFmtId="2" fontId="6" fillId="0" borderId="153" xfId="0" applyNumberFormat="1" applyFont="1" applyFill="1" applyBorder="1" applyAlignment="1">
      <alignment horizontal="center"/>
    </xf>
    <xf numFmtId="2" fontId="6" fillId="0" borderId="159" xfId="0" applyNumberFormat="1" applyFont="1" applyFill="1" applyBorder="1" applyAlignment="1">
      <alignment horizontal="center"/>
    </xf>
    <xf numFmtId="0" fontId="6" fillId="0" borderId="86" xfId="0" applyFont="1" applyFill="1" applyBorder="1" applyAlignment="1">
      <alignment horizontal="center"/>
    </xf>
    <xf numFmtId="0" fontId="6" fillId="0" borderId="86" xfId="0" applyFont="1" applyFill="1" applyBorder="1"/>
    <xf numFmtId="0" fontId="6" fillId="0" borderId="139" xfId="0" applyFont="1" applyFill="1" applyBorder="1"/>
    <xf numFmtId="0" fontId="6" fillId="0" borderId="181" xfId="0" applyFont="1" applyFill="1" applyBorder="1"/>
    <xf numFmtId="2" fontId="6" fillId="0" borderId="21" xfId="0" applyNumberFormat="1" applyFont="1" applyFill="1" applyBorder="1" applyAlignment="1">
      <alignment horizontal="right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Alignment="1"/>
    <xf numFmtId="3" fontId="5" fillId="0" borderId="122" xfId="216" applyNumberFormat="1" applyFont="1" applyFill="1" applyBorder="1" applyAlignment="1">
      <alignment horizontal="center" vertical="center"/>
    </xf>
    <xf numFmtId="4" fontId="6" fillId="0" borderId="49" xfId="0" applyNumberFormat="1" applyFont="1" applyFill="1" applyBorder="1" applyAlignment="1">
      <alignment horizontal="center"/>
    </xf>
    <xf numFmtId="2" fontId="6" fillId="0" borderId="63" xfId="0" applyNumberFormat="1" applyFont="1" applyFill="1" applyBorder="1" applyAlignment="1">
      <alignment horizontal="center"/>
    </xf>
    <xf numFmtId="169" fontId="6" fillId="0" borderId="101" xfId="0" applyNumberFormat="1" applyFont="1" applyFill="1" applyBorder="1" applyAlignment="1">
      <alignment horizontal="center"/>
    </xf>
    <xf numFmtId="2" fontId="6" fillId="0" borderId="46" xfId="0" applyNumberFormat="1" applyFont="1" applyFill="1" applyBorder="1" applyAlignment="1">
      <alignment horizontal="center"/>
    </xf>
    <xf numFmtId="2" fontId="6" fillId="0" borderId="223" xfId="0" applyNumberFormat="1" applyFont="1" applyFill="1" applyBorder="1" applyAlignment="1">
      <alignment horizontal="center"/>
    </xf>
    <xf numFmtId="2" fontId="6" fillId="0" borderId="108" xfId="0" applyNumberFormat="1" applyFont="1" applyFill="1" applyBorder="1" applyAlignment="1">
      <alignment horizontal="center"/>
    </xf>
    <xf numFmtId="169" fontId="6" fillId="0" borderId="46" xfId="0" applyNumberFormat="1" applyFont="1" applyFill="1" applyBorder="1" applyAlignment="1">
      <alignment horizontal="center"/>
    </xf>
    <xf numFmtId="169" fontId="6" fillId="0" borderId="48" xfId="113" applyNumberFormat="1" applyFont="1" applyFill="1" applyBorder="1" applyAlignment="1" applyProtection="1">
      <alignment horizontal="center"/>
    </xf>
    <xf numFmtId="169" fontId="6" fillId="0" borderId="51" xfId="113" applyNumberFormat="1" applyFont="1" applyFill="1" applyBorder="1" applyAlignment="1" applyProtection="1">
      <alignment horizontal="center"/>
    </xf>
    <xf numFmtId="17" fontId="6" fillId="0" borderId="70" xfId="0" applyNumberFormat="1" applyFont="1" applyFill="1" applyBorder="1" applyAlignment="1">
      <alignment horizontal="center" vertical="center"/>
    </xf>
    <xf numFmtId="169" fontId="6" fillId="0" borderId="46" xfId="113" applyNumberFormat="1" applyFont="1" applyFill="1" applyBorder="1" applyAlignment="1" applyProtection="1">
      <alignment horizontal="center"/>
    </xf>
    <xf numFmtId="169" fontId="6" fillId="0" borderId="130" xfId="0" applyNumberFormat="1" applyFont="1" applyFill="1" applyBorder="1" applyAlignment="1">
      <alignment horizontal="center"/>
    </xf>
    <xf numFmtId="169" fontId="6" fillId="0" borderId="120" xfId="113" applyNumberFormat="1" applyFont="1" applyFill="1" applyBorder="1" applyAlignment="1" applyProtection="1">
      <alignment horizontal="center"/>
    </xf>
    <xf numFmtId="0" fontId="6" fillId="0" borderId="205" xfId="0" applyFont="1" applyFill="1" applyBorder="1"/>
    <xf numFmtId="17" fontId="0" fillId="0" borderId="98" xfId="0" applyNumberFormat="1" applyBorder="1" applyAlignment="1">
      <alignment horizontal="center" vertical="center"/>
    </xf>
    <xf numFmtId="0" fontId="0" fillId="0" borderId="98" xfId="0" applyBorder="1"/>
    <xf numFmtId="0" fontId="2" fillId="0" borderId="112" xfId="0" applyFont="1" applyBorder="1"/>
    <xf numFmtId="174" fontId="0" fillId="0" borderId="98" xfId="0" applyNumberFormat="1" applyBorder="1"/>
    <xf numFmtId="0" fontId="0" fillId="0" borderId="112" xfId="0" applyBorder="1"/>
    <xf numFmtId="2" fontId="40" fillId="0" borderId="98" xfId="0" applyNumberFormat="1" applyFont="1" applyBorder="1"/>
    <xf numFmtId="0" fontId="2" fillId="0" borderId="39" xfId="0" applyFont="1" applyBorder="1"/>
    <xf numFmtId="0" fontId="0" fillId="0" borderId="39" xfId="0" applyBorder="1"/>
    <xf numFmtId="169" fontId="82" fillId="0" borderId="158" xfId="216" quotePrefix="1" applyNumberFormat="1" applyFont="1" applyFill="1" applyBorder="1" applyAlignment="1">
      <alignment horizontal="center" vertical="center"/>
    </xf>
    <xf numFmtId="43" fontId="82" fillId="0" borderId="0" xfId="120" applyFont="1" applyFill="1" applyAlignment="1">
      <alignment horizontal="center" vertical="center"/>
    </xf>
    <xf numFmtId="43" fontId="5" fillId="0" borderId="0" xfId="120" applyFont="1" applyFill="1" applyBorder="1" applyAlignment="1">
      <alignment vertical="center" wrapText="1"/>
    </xf>
    <xf numFmtId="43" fontId="83" fillId="0" borderId="0" xfId="120" applyFont="1" applyFill="1" applyAlignment="1">
      <alignment vertical="center"/>
    </xf>
    <xf numFmtId="43" fontId="6" fillId="0" borderId="0" xfId="120" applyFont="1" applyFill="1" applyAlignment="1">
      <alignment vertical="center"/>
    </xf>
    <xf numFmtId="43" fontId="83" fillId="0" borderId="0" xfId="120" applyFont="1" applyFill="1" applyAlignment="1">
      <alignment horizontal="center" vertical="center"/>
    </xf>
    <xf numFmtId="43" fontId="82" fillId="0" borderId="0" xfId="120" applyFont="1" applyFill="1" applyBorder="1" applyAlignment="1">
      <alignment horizontal="center" vertical="center"/>
    </xf>
    <xf numFmtId="1" fontId="5" fillId="0" borderId="71" xfId="216" applyNumberFormat="1" applyFont="1" applyFill="1" applyBorder="1" applyAlignment="1">
      <alignment horizontal="center" vertical="center"/>
    </xf>
    <xf numFmtId="1" fontId="5" fillId="0" borderId="82" xfId="216" applyNumberFormat="1" applyFont="1" applyFill="1" applyBorder="1" applyAlignment="1">
      <alignment horizontal="center" vertical="center"/>
    </xf>
    <xf numFmtId="1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3" fontId="5" fillId="0" borderId="67" xfId="216" applyNumberFormat="1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6" xfId="216" applyNumberFormat="1" applyFont="1" applyFill="1" applyBorder="1" applyAlignment="1">
      <alignment horizontal="center" vertical="center"/>
    </xf>
    <xf numFmtId="3" fontId="5" fillId="0" borderId="12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3" fontId="5" fillId="0" borderId="71" xfId="216" applyNumberFormat="1" applyFont="1" applyFill="1" applyBorder="1" applyAlignment="1">
      <alignment horizontal="center" vertical="center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70" xfId="216" applyFont="1" applyFill="1" applyBorder="1" applyAlignment="1">
      <alignment horizontal="center" vertical="center"/>
    </xf>
    <xf numFmtId="0" fontId="5" fillId="0" borderId="93" xfId="216" applyFont="1" applyFill="1" applyBorder="1" applyAlignment="1">
      <alignment horizontal="center" vertical="center"/>
    </xf>
    <xf numFmtId="0" fontId="5" fillId="0" borderId="67" xfId="216" applyFont="1" applyFill="1" applyBorder="1" applyAlignment="1">
      <alignment horizontal="center" vertical="center"/>
    </xf>
    <xf numFmtId="0" fontId="5" fillId="0" borderId="31" xfId="216" applyFont="1" applyFill="1" applyBorder="1" applyAlignment="1">
      <alignment horizontal="center" vertical="center" wrapText="1"/>
    </xf>
    <xf numFmtId="0" fontId="5" fillId="0" borderId="16" xfId="216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/>
    </xf>
    <xf numFmtId="0" fontId="5" fillId="0" borderId="16" xfId="216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6" fillId="0" borderId="0" xfId="216" applyFont="1" applyFill="1" applyBorder="1" applyAlignment="1">
      <alignment horizontal="left" vertical="center" wrapText="1"/>
    </xf>
    <xf numFmtId="0" fontId="0" fillId="0" borderId="6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 wrapText="1"/>
    </xf>
    <xf numFmtId="0" fontId="6" fillId="0" borderId="21" xfId="216" applyFont="1" applyFill="1" applyBorder="1" applyAlignment="1">
      <alignment horizontal="center" vertical="center" wrapText="1"/>
    </xf>
    <xf numFmtId="0" fontId="6" fillId="0" borderId="24" xfId="216" applyFont="1" applyFill="1" applyBorder="1" applyAlignment="1">
      <alignment horizontal="center" vertical="center" wrapText="1"/>
    </xf>
    <xf numFmtId="0" fontId="6" fillId="0" borderId="58" xfId="216" applyFont="1" applyFill="1" applyBorder="1" applyAlignment="1">
      <alignment horizontal="center" vertical="center" wrapText="1"/>
    </xf>
    <xf numFmtId="0" fontId="6" fillId="0" borderId="60" xfId="216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wrapText="1" shrinkToFit="1"/>
    </xf>
    <xf numFmtId="0" fontId="5" fillId="0" borderId="46" xfId="0" applyFont="1" applyFill="1" applyBorder="1" applyAlignment="1">
      <alignment wrapText="1" shrinkToFit="1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5" fillId="0" borderId="93" xfId="0" applyFont="1" applyFill="1" applyBorder="1" applyAlignment="1">
      <alignment horizontal="center"/>
    </xf>
    <xf numFmtId="0" fontId="15" fillId="0" borderId="79" xfId="0" applyFont="1" applyFill="1" applyBorder="1" applyAlignment="1">
      <alignment horizontal="center"/>
    </xf>
    <xf numFmtId="0" fontId="15" fillId="0" borderId="109" xfId="0" applyFont="1" applyFill="1" applyBorder="1" applyAlignment="1">
      <alignment horizontal="center"/>
    </xf>
    <xf numFmtId="0" fontId="17" fillId="0" borderId="3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5" fillId="0" borderId="32" xfId="214" applyFont="1" applyFill="1" applyBorder="1" applyAlignment="1">
      <alignment horizontal="center" vertical="center"/>
    </xf>
    <xf numFmtId="0" fontId="5" fillId="0" borderId="110" xfId="214" applyFont="1" applyFill="1" applyBorder="1" applyAlignment="1">
      <alignment horizontal="center" vertical="center"/>
    </xf>
    <xf numFmtId="0" fontId="5" fillId="0" borderId="54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wrapText="1" shrinkToFit="1"/>
    </xf>
    <xf numFmtId="0" fontId="5" fillId="0" borderId="46" xfId="214" applyFont="1" applyFill="1" applyBorder="1" applyAlignment="1">
      <alignment wrapText="1" shrinkToFit="1"/>
    </xf>
    <xf numFmtId="0" fontId="4" fillId="0" borderId="0" xfId="214" applyFont="1" applyFill="1" applyAlignment="1">
      <alignment horizontal="center"/>
    </xf>
    <xf numFmtId="0" fontId="8" fillId="0" borderId="0" xfId="214" applyFont="1" applyFill="1" applyAlignment="1">
      <alignment horizontal="center"/>
    </xf>
    <xf numFmtId="0" fontId="11" fillId="0" borderId="93" xfId="214" applyFont="1" applyFill="1" applyBorder="1" applyAlignment="1">
      <alignment horizontal="center"/>
    </xf>
    <xf numFmtId="0" fontId="11" fillId="0" borderId="79" xfId="214" applyFont="1" applyFill="1" applyBorder="1" applyAlignment="1">
      <alignment horizontal="center"/>
    </xf>
    <xf numFmtId="0" fontId="11" fillId="0" borderId="109" xfId="214" applyFont="1" applyFill="1" applyBorder="1" applyAlignment="1">
      <alignment horizontal="center"/>
    </xf>
    <xf numFmtId="0" fontId="17" fillId="0" borderId="36" xfId="214" applyFont="1" applyFill="1" applyBorder="1" applyAlignment="1">
      <alignment wrapText="1"/>
    </xf>
    <xf numFmtId="0" fontId="17" fillId="0" borderId="0" xfId="214" applyFont="1" applyFill="1" applyBorder="1" applyAlignment="1">
      <alignment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5" fillId="0" borderId="71" xfId="0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29" xfId="0" applyNumberFormat="1" applyFont="1" applyFill="1" applyBorder="1" applyAlignment="1">
      <alignment horizontal="center" vertical="center"/>
    </xf>
    <xf numFmtId="17" fontId="6" fillId="0" borderId="114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7" xfId="0" applyNumberFormat="1" applyFont="1" applyFill="1" applyBorder="1" applyAlignment="1">
      <alignment horizontal="center" vertical="center"/>
    </xf>
    <xf numFmtId="17" fontId="6" fillId="0" borderId="113" xfId="0" applyNumberFormat="1" applyFont="1" applyFill="1" applyBorder="1" applyAlignment="1">
      <alignment horizontal="center" vertical="center"/>
    </xf>
    <xf numFmtId="17" fontId="6" fillId="0" borderId="179" xfId="0" applyNumberFormat="1" applyFont="1" applyFill="1" applyBorder="1" applyAlignment="1">
      <alignment horizontal="center" vertical="center"/>
    </xf>
    <xf numFmtId="17" fontId="6" fillId="0" borderId="137" xfId="0" applyNumberFormat="1" applyFont="1" applyFill="1" applyBorder="1" applyAlignment="1">
      <alignment horizontal="center" vertical="center"/>
    </xf>
    <xf numFmtId="17" fontId="6" fillId="0" borderId="180" xfId="0" applyNumberFormat="1" applyFont="1" applyFill="1" applyBorder="1" applyAlignment="1">
      <alignment horizontal="center" vertical="center"/>
    </xf>
    <xf numFmtId="17" fontId="6" fillId="0" borderId="111" xfId="0" applyNumberFormat="1" applyFont="1" applyFill="1" applyBorder="1" applyAlignment="1">
      <alignment horizontal="center" vertical="center"/>
    </xf>
    <xf numFmtId="17" fontId="6" fillId="0" borderId="136" xfId="0" applyNumberFormat="1" applyFont="1" applyFill="1" applyBorder="1" applyAlignment="1">
      <alignment horizontal="center" vertical="center"/>
    </xf>
    <xf numFmtId="17" fontId="6" fillId="0" borderId="191" xfId="0" applyNumberFormat="1" applyFont="1" applyFill="1" applyBorder="1" applyAlignment="1">
      <alignment horizontal="center" vertical="center"/>
    </xf>
    <xf numFmtId="17" fontId="6" fillId="0" borderId="194" xfId="0" applyNumberFormat="1" applyFont="1" applyFill="1" applyBorder="1" applyAlignment="1">
      <alignment horizontal="center" vertical="center"/>
    </xf>
    <xf numFmtId="17" fontId="6" fillId="0" borderId="140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38" xfId="0" applyNumberFormat="1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98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 vertical="center" wrapText="1"/>
    </xf>
    <xf numFmtId="0" fontId="6" fillId="0" borderId="165" xfId="0" applyFont="1" applyFill="1" applyBorder="1" applyAlignment="1">
      <alignment horizontal="center" vertical="center" wrapText="1"/>
    </xf>
    <xf numFmtId="9" fontId="6" fillId="0" borderId="22" xfId="0" applyNumberFormat="1" applyFont="1" applyFill="1" applyBorder="1" applyAlignment="1">
      <alignment horizontal="center"/>
    </xf>
    <xf numFmtId="0" fontId="6" fillId="0" borderId="53" xfId="0" applyFont="1" applyFill="1" applyBorder="1" applyAlignment="1">
      <alignment horizontal="center" vertical="center" wrapText="1"/>
    </xf>
    <xf numFmtId="9" fontId="6" fillId="0" borderId="24" xfId="0" applyNumberFormat="1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17" fontId="6" fillId="0" borderId="26" xfId="0" applyNumberFormat="1" applyFont="1" applyFill="1" applyBorder="1" applyAlignment="1">
      <alignment horizontal="center" vertical="center"/>
    </xf>
    <xf numFmtId="17" fontId="6" fillId="0" borderId="43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/>
    </xf>
    <xf numFmtId="0" fontId="5" fillId="0" borderId="82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6" fillId="0" borderId="80" xfId="0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wrapText="1"/>
    </xf>
    <xf numFmtId="0" fontId="5" fillId="0" borderId="82" xfId="0" applyFont="1" applyFill="1" applyBorder="1" applyAlignment="1">
      <alignment horizontal="center" wrapText="1"/>
    </xf>
    <xf numFmtId="0" fontId="5" fillId="0" borderId="7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5" fillId="0" borderId="93" xfId="0" applyFont="1" applyFill="1" applyBorder="1" applyAlignment="1">
      <alignment horizontal="center" wrapText="1"/>
    </xf>
    <xf numFmtId="0" fontId="5" fillId="0" borderId="79" xfId="0" applyFont="1" applyFill="1" applyBorder="1" applyAlignment="1">
      <alignment horizontal="center" wrapText="1"/>
    </xf>
    <xf numFmtId="0" fontId="5" fillId="0" borderId="67" xfId="0" applyFont="1" applyFill="1" applyBorder="1" applyAlignment="1">
      <alignment horizontal="center" wrapText="1"/>
    </xf>
    <xf numFmtId="0" fontId="5" fillId="0" borderId="64" xfId="0" applyFont="1" applyFill="1" applyBorder="1" applyAlignment="1">
      <alignment horizontal="center" wrapText="1"/>
    </xf>
    <xf numFmtId="0" fontId="6" fillId="0" borderId="37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69" xfId="0" applyFont="1" applyFill="1" applyBorder="1" applyAlignment="1">
      <alignment horizontal="center"/>
    </xf>
    <xf numFmtId="17" fontId="6" fillId="0" borderId="83" xfId="0" applyNumberFormat="1" applyFont="1" applyFill="1" applyBorder="1" applyAlignment="1">
      <alignment horizontal="center" vertical="center"/>
    </xf>
    <xf numFmtId="17" fontId="6" fillId="0" borderId="84" xfId="0" applyNumberFormat="1" applyFont="1" applyFill="1" applyBorder="1" applyAlignment="1">
      <alignment horizontal="center" vertical="center"/>
    </xf>
    <xf numFmtId="17" fontId="6" fillId="0" borderId="32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17" fontId="6" fillId="0" borderId="118" xfId="0" applyNumberFormat="1" applyFont="1" applyFill="1" applyBorder="1" applyAlignment="1">
      <alignment horizontal="center" vertical="center"/>
    </xf>
    <xf numFmtId="17" fontId="6" fillId="0" borderId="40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47" xfId="0" applyNumberFormat="1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/>
    </xf>
    <xf numFmtId="0" fontId="6" fillId="0" borderId="0" xfId="0" applyFont="1" applyFill="1" applyAlignment="1"/>
    <xf numFmtId="0" fontId="0" fillId="0" borderId="0" xfId="0" applyAlignment="1"/>
    <xf numFmtId="0" fontId="6" fillId="0" borderId="82" xfId="0" applyFont="1" applyFill="1" applyBorder="1" applyAlignment="1"/>
    <xf numFmtId="0" fontId="6" fillId="0" borderId="70" xfId="0" applyFont="1" applyFill="1" applyBorder="1" applyAlignment="1"/>
    <xf numFmtId="0" fontId="6" fillId="0" borderId="79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93" xfId="0" applyFont="1" applyFill="1" applyBorder="1" applyAlignment="1">
      <alignment horizontal="left"/>
    </xf>
    <xf numFmtId="17" fontId="6" fillId="0" borderId="183" xfId="0" applyNumberFormat="1" applyFont="1" applyFill="1" applyBorder="1" applyAlignment="1">
      <alignment horizontal="center" vertical="center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127" xfId="0" applyNumberFormat="1" applyFont="1" applyFill="1" applyBorder="1" applyAlignment="1">
      <alignment horizontal="center" vertical="center"/>
    </xf>
    <xf numFmtId="17" fontId="6" fillId="0" borderId="90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53" xfId="0" applyNumberFormat="1" applyFont="1" applyFill="1" applyBorder="1" applyAlignment="1">
      <alignment horizontal="center" vertical="center"/>
    </xf>
    <xf numFmtId="17" fontId="6" fillId="0" borderId="1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39" xfId="0" applyNumberFormat="1" applyFont="1" applyFill="1" applyBorder="1" applyAlignment="1">
      <alignment horizontal="center" vertical="center"/>
    </xf>
    <xf numFmtId="17" fontId="6" fillId="0" borderId="16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17" fontId="6" fillId="0" borderId="131" xfId="0" applyNumberFormat="1" applyFont="1" applyFill="1" applyBorder="1" applyAlignment="1">
      <alignment horizontal="center" vertical="center"/>
    </xf>
    <xf numFmtId="0" fontId="6" fillId="0" borderId="142" xfId="0" applyFont="1" applyFill="1" applyBorder="1" applyAlignment="1">
      <alignment horizontal="center" vertical="center"/>
    </xf>
    <xf numFmtId="0" fontId="6" fillId="0" borderId="143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" fontId="6" fillId="0" borderId="169" xfId="0" applyNumberFormat="1" applyFont="1" applyFill="1" applyBorder="1" applyAlignment="1">
      <alignment horizontal="center" vertical="center"/>
    </xf>
    <xf numFmtId="0" fontId="6" fillId="0" borderId="170" xfId="0" applyFont="1" applyFill="1" applyBorder="1" applyAlignment="1">
      <alignment horizontal="center" vertical="center"/>
    </xf>
    <xf numFmtId="0" fontId="6" fillId="0" borderId="17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/>
    </xf>
    <xf numFmtId="0" fontId="6" fillId="0" borderId="172" xfId="0" applyFont="1" applyFill="1" applyBorder="1" applyAlignment="1">
      <alignment horizontal="center" vertical="center"/>
    </xf>
    <xf numFmtId="17" fontId="6" fillId="0" borderId="167" xfId="0" applyNumberFormat="1" applyFont="1" applyFill="1" applyBorder="1" applyAlignment="1">
      <alignment horizontal="center" vertical="center"/>
    </xf>
    <xf numFmtId="0" fontId="6" fillId="0" borderId="164" xfId="0" applyFont="1" applyFill="1" applyBorder="1" applyAlignment="1">
      <alignment horizontal="center" vertical="center"/>
    </xf>
    <xf numFmtId="0" fontId="6" fillId="0" borderId="168" xfId="0" applyFont="1" applyFill="1" applyBorder="1" applyAlignment="1">
      <alignment horizontal="center" vertical="center"/>
    </xf>
    <xf numFmtId="17" fontId="6" fillId="0" borderId="144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/>
    </xf>
    <xf numFmtId="0" fontId="6" fillId="0" borderId="145" xfId="0" applyFont="1" applyFill="1" applyBorder="1" applyAlignment="1">
      <alignment horizontal="center" vertical="center"/>
    </xf>
    <xf numFmtId="17" fontId="6" fillId="47" borderId="149" xfId="0" applyNumberFormat="1" applyFont="1" applyFill="1" applyBorder="1" applyAlignment="1">
      <alignment horizontal="center" vertical="center"/>
    </xf>
    <xf numFmtId="0" fontId="6" fillId="47" borderId="151" xfId="0" applyFont="1" applyFill="1" applyBorder="1" applyAlignment="1">
      <alignment horizontal="center" vertical="center"/>
    </xf>
    <xf numFmtId="0" fontId="6" fillId="47" borderId="153" xfId="0" applyFont="1" applyFill="1" applyBorder="1" applyAlignment="1">
      <alignment horizontal="center" vertical="center"/>
    </xf>
    <xf numFmtId="17" fontId="6" fillId="0" borderId="148" xfId="0" applyNumberFormat="1" applyFont="1" applyFill="1" applyBorder="1" applyAlignment="1">
      <alignment horizontal="center" vertical="center"/>
    </xf>
    <xf numFmtId="0" fontId="6" fillId="0" borderId="150" xfId="0" applyFont="1" applyFill="1" applyBorder="1" applyAlignment="1">
      <alignment horizontal="center" vertical="center"/>
    </xf>
    <xf numFmtId="0" fontId="6" fillId="0" borderId="15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17" fontId="6" fillId="0" borderId="24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6" fillId="0" borderId="11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horizontal="left"/>
    </xf>
    <xf numFmtId="0" fontId="6" fillId="0" borderId="72" xfId="0" applyFont="1" applyFill="1" applyBorder="1" applyAlignment="1">
      <alignment horizontal="left"/>
    </xf>
    <xf numFmtId="0" fontId="6" fillId="0" borderId="65" xfId="0" applyFont="1" applyFill="1" applyBorder="1" applyAlignment="1">
      <alignment horizontal="left"/>
    </xf>
    <xf numFmtId="0" fontId="6" fillId="0" borderId="43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17" fontId="6" fillId="0" borderId="85" xfId="0" applyNumberFormat="1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left" vertical="center" wrapText="1"/>
    </xf>
    <xf numFmtId="0" fontId="6" fillId="0" borderId="82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17" fontId="6" fillId="0" borderId="80" xfId="0" applyNumberFormat="1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 wrapText="1"/>
    </xf>
    <xf numFmtId="17" fontId="6" fillId="0" borderId="91" xfId="0" applyNumberFormat="1" applyFont="1" applyFill="1" applyBorder="1" applyAlignment="1">
      <alignment horizontal="center" vertical="center"/>
    </xf>
    <xf numFmtId="17" fontId="6" fillId="0" borderId="182" xfId="0" applyNumberFormat="1" applyFont="1" applyFill="1" applyBorder="1" applyAlignment="1">
      <alignment horizontal="center" vertical="center"/>
    </xf>
    <xf numFmtId="17" fontId="6" fillId="0" borderId="18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17" fontId="6" fillId="0" borderId="112" xfId="0" applyNumberFormat="1" applyFont="1" applyFill="1" applyBorder="1" applyAlignment="1">
      <alignment horizontal="center" vertical="center"/>
    </xf>
    <xf numFmtId="17" fontId="6" fillId="0" borderId="193" xfId="0" applyNumberFormat="1" applyFont="1" applyFill="1" applyBorder="1" applyAlignment="1">
      <alignment horizontal="center" vertical="center"/>
    </xf>
    <xf numFmtId="0" fontId="5" fillId="0" borderId="126" xfId="0" applyFont="1" applyFill="1" applyBorder="1" applyAlignment="1">
      <alignment horizontal="center" wrapText="1"/>
    </xf>
    <xf numFmtId="0" fontId="5" fillId="0" borderId="89" xfId="0" applyFont="1" applyFill="1" applyBorder="1" applyAlignment="1">
      <alignment horizontal="center" wrapText="1"/>
    </xf>
    <xf numFmtId="0" fontId="5" fillId="0" borderId="9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6" fillId="0" borderId="1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126" xfId="0" applyFont="1" applyFill="1" applyBorder="1" applyAlignment="1">
      <alignment horizontal="left" wrapText="1"/>
    </xf>
    <xf numFmtId="0" fontId="5" fillId="0" borderId="89" xfId="0" applyFont="1" applyFill="1" applyBorder="1" applyAlignment="1">
      <alignment horizontal="left" wrapText="1"/>
    </xf>
    <xf numFmtId="0" fontId="5" fillId="0" borderId="67" xfId="0" applyFont="1" applyFill="1" applyBorder="1" applyAlignment="1">
      <alignment horizontal="left" wrapText="1"/>
    </xf>
    <xf numFmtId="0" fontId="5" fillId="0" borderId="96" xfId="0" applyFont="1" applyFill="1" applyBorder="1" applyAlignment="1">
      <alignment horizontal="left" wrapText="1"/>
    </xf>
    <xf numFmtId="0" fontId="12" fillId="0" borderId="65" xfId="0" applyNumberFormat="1" applyFont="1" applyBorder="1" applyAlignment="1">
      <alignment horizontal="center"/>
    </xf>
    <xf numFmtId="0" fontId="12" fillId="0" borderId="66" xfId="0" applyNumberFormat="1" applyFont="1" applyBorder="1" applyAlignment="1">
      <alignment horizontal="center"/>
    </xf>
    <xf numFmtId="0" fontId="12" fillId="0" borderId="89" xfId="0" applyNumberFormat="1" applyFont="1" applyBorder="1" applyAlignment="1">
      <alignment horizontal="center"/>
    </xf>
    <xf numFmtId="0" fontId="12" fillId="0" borderId="38" xfId="0" applyNumberFormat="1" applyFont="1" applyBorder="1" applyAlignment="1">
      <alignment horizontal="center"/>
    </xf>
    <xf numFmtId="0" fontId="12" fillId="0" borderId="47" xfId="0" applyNumberFormat="1" applyFont="1" applyBorder="1" applyAlignment="1">
      <alignment horizontal="center"/>
    </xf>
    <xf numFmtId="0" fontId="12" fillId="0" borderId="49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17" fontId="23" fillId="0" borderId="31" xfId="0" applyNumberFormat="1" applyFont="1" applyFill="1" applyBorder="1" applyAlignment="1">
      <alignment horizontal="center" vertical="center"/>
    </xf>
    <xf numFmtId="17" fontId="23" fillId="0" borderId="39" xfId="0" applyNumberFormat="1" applyFont="1" applyFill="1" applyBorder="1" applyAlignment="1">
      <alignment horizontal="center" vertical="center"/>
    </xf>
    <xf numFmtId="17" fontId="23" fillId="0" borderId="16" xfId="0" applyNumberFormat="1" applyFont="1" applyFill="1" applyBorder="1" applyAlignment="1">
      <alignment horizontal="center" vertical="center"/>
    </xf>
    <xf numFmtId="17" fontId="23" fillId="0" borderId="95" xfId="0" applyNumberFormat="1" applyFont="1" applyFill="1" applyBorder="1" applyAlignment="1">
      <alignment horizontal="center" vertical="center"/>
    </xf>
    <xf numFmtId="17" fontId="23" fillId="0" borderId="127" xfId="0" applyNumberFormat="1" applyFont="1" applyFill="1" applyBorder="1" applyAlignment="1">
      <alignment horizontal="center" vertical="center"/>
    </xf>
    <xf numFmtId="17" fontId="23" fillId="0" borderId="90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wrapText="1"/>
    </xf>
    <xf numFmtId="0" fontId="23" fillId="0" borderId="39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23" fillId="0" borderId="97" xfId="0" applyFont="1" applyFill="1" applyBorder="1" applyAlignment="1">
      <alignment horizontal="center" vertical="center"/>
    </xf>
    <xf numFmtId="0" fontId="23" fillId="0" borderId="166" xfId="0" applyFont="1" applyFill="1" applyBorder="1" applyAlignment="1">
      <alignment horizontal="center" vertical="center"/>
    </xf>
    <xf numFmtId="17" fontId="23" fillId="0" borderId="81" xfId="0" applyNumberFormat="1" applyFont="1" applyFill="1" applyBorder="1" applyAlignment="1">
      <alignment horizontal="center" vertical="center"/>
    </xf>
    <xf numFmtId="17" fontId="23" fillId="0" borderId="53" xfId="0" applyNumberFormat="1" applyFont="1" applyFill="1" applyBorder="1" applyAlignment="1">
      <alignment horizontal="center" vertical="center"/>
    </xf>
    <xf numFmtId="17" fontId="32" fillId="0" borderId="23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7" fontId="32" fillId="0" borderId="21" xfId="0" applyNumberFormat="1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17" fontId="32" fillId="0" borderId="62" xfId="0" applyNumberFormat="1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23" fillId="0" borderId="94" xfId="0" applyFont="1" applyFill="1" applyBorder="1" applyAlignment="1">
      <alignment horizontal="center" vertical="center"/>
    </xf>
    <xf numFmtId="17" fontId="23" fillId="0" borderId="165" xfId="0" applyNumberFormat="1" applyFont="1" applyFill="1" applyBorder="1" applyAlignment="1">
      <alignment horizontal="center" vertical="center"/>
    </xf>
    <xf numFmtId="17" fontId="23" fillId="0" borderId="52" xfId="0" applyNumberFormat="1" applyFont="1" applyFill="1" applyBorder="1" applyAlignment="1">
      <alignment horizontal="center" vertical="center"/>
    </xf>
    <xf numFmtId="17" fontId="23" fillId="0" borderId="96" xfId="0" applyNumberFormat="1" applyFont="1" applyFill="1" applyBorder="1" applyAlignment="1">
      <alignment horizontal="center" vertical="center"/>
    </xf>
    <xf numFmtId="0" fontId="32" fillId="0" borderId="80" xfId="0" applyFont="1" applyFill="1" applyBorder="1" applyAlignment="1">
      <alignment horizontal="center" vertical="center"/>
    </xf>
    <xf numFmtId="0" fontId="32" fillId="0" borderId="9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17" fontId="32" fillId="0" borderId="31" xfId="0" applyNumberFormat="1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17" fontId="23" fillId="0" borderId="79" xfId="0" applyNumberFormat="1" applyFont="1" applyFill="1" applyBorder="1" applyAlignment="1">
      <alignment horizontal="center" vertical="center"/>
    </xf>
    <xf numFmtId="17" fontId="23" fillId="0" borderId="0" xfId="0" applyNumberFormat="1" applyFont="1" applyFill="1" applyBorder="1" applyAlignment="1">
      <alignment horizontal="center" vertical="center"/>
    </xf>
    <xf numFmtId="17" fontId="23" fillId="0" borderId="64" xfId="0" applyNumberFormat="1" applyFont="1" applyFill="1" applyBorder="1" applyAlignment="1">
      <alignment horizontal="center" vertical="center"/>
    </xf>
    <xf numFmtId="17" fontId="32" fillId="0" borderId="81" xfId="0" applyNumberFormat="1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17" fontId="32" fillId="0" borderId="95" xfId="0" applyNumberFormat="1" applyFont="1" applyFill="1" applyBorder="1" applyAlignment="1">
      <alignment horizontal="center" vertical="center"/>
    </xf>
    <xf numFmtId="0" fontId="32" fillId="0" borderId="127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wrapText="1" shrinkToFit="1"/>
    </xf>
    <xf numFmtId="0" fontId="6" fillId="0" borderId="70" xfId="0" applyFont="1" applyFill="1" applyBorder="1" applyAlignment="1">
      <alignment wrapText="1" shrinkToFit="1"/>
    </xf>
    <xf numFmtId="0" fontId="5" fillId="0" borderId="71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wrapText="1" shrinkToFit="1"/>
    </xf>
    <xf numFmtId="0" fontId="5" fillId="0" borderId="70" xfId="0" applyFont="1" applyFill="1" applyBorder="1" applyAlignment="1">
      <alignment wrapText="1" shrinkToFit="1"/>
    </xf>
    <xf numFmtId="0" fontId="6" fillId="0" borderId="165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wrapText="1"/>
    </xf>
    <xf numFmtId="0" fontId="6" fillId="0" borderId="96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9" fillId="0" borderId="38" xfId="0" applyFont="1" applyBorder="1" applyAlignment="1">
      <alignment horizontal="center"/>
    </xf>
    <xf numFmtId="0" fontId="79" fillId="0" borderId="47" xfId="0" applyFont="1" applyBorder="1" applyAlignment="1">
      <alignment horizontal="center"/>
    </xf>
    <xf numFmtId="0" fontId="79" fillId="0" borderId="49" xfId="0" applyFont="1" applyBorder="1" applyAlignment="1">
      <alignment horizontal="center"/>
    </xf>
    <xf numFmtId="0" fontId="6" fillId="0" borderId="7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17" fontId="6" fillId="0" borderId="1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17" fontId="6" fillId="0" borderId="42" xfId="0" applyNumberFormat="1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17" fontId="4" fillId="0" borderId="54" xfId="0" applyNumberFormat="1" applyFont="1" applyFill="1" applyBorder="1" applyAlignment="1">
      <alignment horizontal="center" vertical="center"/>
    </xf>
    <xf numFmtId="17" fontId="4" fillId="0" borderId="38" xfId="0" applyNumberFormat="1" applyFont="1" applyFill="1" applyBorder="1" applyAlignment="1">
      <alignment horizontal="center" vertical="center"/>
    </xf>
    <xf numFmtId="17" fontId="4" fillId="0" borderId="42" xfId="0" applyNumberFormat="1" applyFont="1" applyFill="1" applyBorder="1" applyAlignment="1">
      <alignment horizontal="center" vertical="center"/>
    </xf>
    <xf numFmtId="17" fontId="4" fillId="0" borderId="45" xfId="0" applyNumberFormat="1" applyFont="1" applyFill="1" applyBorder="1" applyAlignment="1">
      <alignment horizontal="center" vertical="center"/>
    </xf>
    <xf numFmtId="17" fontId="4" fillId="0" borderId="47" xfId="0" applyNumberFormat="1" applyFont="1" applyFill="1" applyBorder="1" applyAlignment="1">
      <alignment horizontal="center" vertical="center"/>
    </xf>
    <xf numFmtId="17" fontId="4" fillId="0" borderId="50" xfId="0" applyNumberFormat="1" applyFont="1" applyFill="1" applyBorder="1" applyAlignment="1">
      <alignment horizontal="center" vertical="center"/>
    </xf>
    <xf numFmtId="17" fontId="4" fillId="0" borderId="23" xfId="0" applyNumberFormat="1" applyFont="1" applyFill="1" applyBorder="1" applyAlignment="1">
      <alignment horizontal="center" vertical="center"/>
    </xf>
    <xf numFmtId="17" fontId="4" fillId="0" borderId="22" xfId="0" applyNumberFormat="1" applyFont="1" applyFill="1" applyBorder="1" applyAlignment="1">
      <alignment horizontal="center" vertical="center"/>
    </xf>
    <xf numFmtId="17" fontId="4" fillId="0" borderId="13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8" fillId="0" borderId="26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3" fontId="8" fillId="0" borderId="71" xfId="0" applyNumberFormat="1" applyFont="1" applyFill="1" applyBorder="1" applyAlignment="1">
      <alignment horizontal="center"/>
    </xf>
    <xf numFmtId="3" fontId="8" fillId="0" borderId="82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1" fontId="8" fillId="0" borderId="71" xfId="0" applyNumberFormat="1" applyFont="1" applyFill="1" applyBorder="1" applyAlignment="1">
      <alignment horizontal="center"/>
    </xf>
    <xf numFmtId="1" fontId="8" fillId="0" borderId="82" xfId="0" applyNumberFormat="1" applyFont="1" applyFill="1" applyBorder="1" applyAlignment="1">
      <alignment horizontal="center"/>
    </xf>
    <xf numFmtId="1" fontId="8" fillId="0" borderId="70" xfId="0" applyNumberFormat="1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6" fillId="0" borderId="82" xfId="0" applyFont="1" applyFill="1" applyBorder="1" applyAlignment="1"/>
    <xf numFmtId="0" fontId="8" fillId="0" borderId="6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 vertical="center" wrapText="1"/>
    </xf>
    <xf numFmtId="0" fontId="6" fillId="0" borderId="12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44" fillId="0" borderId="64" xfId="0" applyFont="1" applyFill="1" applyBorder="1" applyAlignment="1">
      <alignment wrapText="1"/>
    </xf>
    <xf numFmtId="0" fontId="6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6" fillId="0" borderId="82" xfId="0" applyFont="1" applyBorder="1" applyAlignment="1"/>
    <xf numFmtId="0" fontId="6" fillId="0" borderId="70" xfId="0" applyFont="1" applyBorder="1" applyAlignment="1"/>
    <xf numFmtId="3" fontId="40" fillId="0" borderId="71" xfId="0" applyNumberFormat="1" applyFont="1" applyFill="1" applyBorder="1" applyAlignment="1">
      <alignment horizontal="center"/>
    </xf>
    <xf numFmtId="3" fontId="40" fillId="0" borderId="82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0" fontId="40" fillId="0" borderId="93" xfId="0" applyFont="1" applyFill="1" applyBorder="1" applyAlignment="1">
      <alignment horizontal="center"/>
    </xf>
    <xf numFmtId="0" fontId="40" fillId="0" borderId="79" xfId="0" applyFont="1" applyFill="1" applyBorder="1" applyAlignment="1">
      <alignment horizontal="center"/>
    </xf>
    <xf numFmtId="0" fontId="40" fillId="0" borderId="109" xfId="0" applyFont="1" applyFill="1" applyBorder="1" applyAlignment="1">
      <alignment horizontal="center"/>
    </xf>
    <xf numFmtId="0" fontId="40" fillId="0" borderId="71" xfId="0" applyFont="1" applyFill="1" applyBorder="1" applyAlignment="1">
      <alignment horizontal="center"/>
    </xf>
    <xf numFmtId="0" fontId="40" fillId="0" borderId="82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 wrapText="1"/>
    </xf>
    <xf numFmtId="0" fontId="6" fillId="0" borderId="68" xfId="0" applyFont="1" applyFill="1" applyBorder="1" applyAlignment="1">
      <alignment horizontal="left" wrapText="1"/>
    </xf>
    <xf numFmtId="0" fontId="0" fillId="0" borderId="82" xfId="0" applyBorder="1"/>
    <xf numFmtId="0" fontId="0" fillId="0" borderId="70" xfId="0" applyBorder="1"/>
    <xf numFmtId="0" fontId="5" fillId="0" borderId="3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" fontId="5" fillId="0" borderId="71" xfId="0" applyNumberFormat="1" applyFont="1" applyFill="1" applyBorder="1" applyAlignment="1">
      <alignment horizontal="center" vertical="center"/>
    </xf>
    <xf numFmtId="3" fontId="5" fillId="0" borderId="82" xfId="0" applyNumberFormat="1" applyFont="1" applyFill="1" applyBorder="1" applyAlignment="1">
      <alignment horizontal="center" vertical="center"/>
    </xf>
    <xf numFmtId="3" fontId="5" fillId="0" borderId="70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3" fontId="5" fillId="0" borderId="71" xfId="0" applyNumberFormat="1" applyFont="1" applyBorder="1" applyAlignment="1">
      <alignment horizontal="center"/>
    </xf>
    <xf numFmtId="3" fontId="5" fillId="0" borderId="82" xfId="0" applyNumberFormat="1" applyFont="1" applyBorder="1" applyAlignment="1">
      <alignment horizontal="center"/>
    </xf>
    <xf numFmtId="3" fontId="5" fillId="0" borderId="70" xfId="0" applyNumberFormat="1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71" xfId="0" applyNumberFormat="1" applyFont="1" applyBorder="1" applyAlignment="1">
      <alignment horizontal="center"/>
    </xf>
    <xf numFmtId="0" fontId="5" fillId="0" borderId="82" xfId="0" applyNumberFormat="1" applyFont="1" applyBorder="1" applyAlignment="1">
      <alignment horizontal="center"/>
    </xf>
    <xf numFmtId="0" fontId="5" fillId="0" borderId="5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70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1" fontId="5" fillId="0" borderId="71" xfId="0" applyNumberFormat="1" applyFont="1" applyFill="1" applyBorder="1" applyAlignment="1">
      <alignment horizontal="center" vertical="center"/>
    </xf>
    <xf numFmtId="1" fontId="5" fillId="0" borderId="82" xfId="0" applyNumberFormat="1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0" borderId="54" xfId="0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 wrapText="1"/>
    </xf>
    <xf numFmtId="1" fontId="5" fillId="0" borderId="6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1" fontId="4" fillId="0" borderId="71" xfId="0" applyNumberFormat="1" applyFont="1" applyFill="1" applyBorder="1" applyAlignment="1">
      <alignment horizontal="center"/>
    </xf>
    <xf numFmtId="1" fontId="4" fillId="0" borderId="82" xfId="0" applyNumberFormat="1" applyFont="1" applyFill="1" applyBorder="1" applyAlignment="1">
      <alignment horizontal="center"/>
    </xf>
    <xf numFmtId="1" fontId="4" fillId="0" borderId="70" xfId="0" applyNumberFormat="1" applyFont="1" applyFill="1" applyBorder="1" applyAlignment="1">
      <alignment horizontal="center"/>
    </xf>
    <xf numFmtId="0" fontId="4" fillId="0" borderId="71" xfId="0" applyFont="1" applyFill="1" applyBorder="1" applyAlignment="1">
      <alignment horizontal="center"/>
    </xf>
    <xf numFmtId="0" fontId="4" fillId="0" borderId="82" xfId="0" applyFont="1" applyFill="1" applyBorder="1" applyAlignment="1">
      <alignment horizontal="center"/>
    </xf>
    <xf numFmtId="0" fontId="0" fillId="0" borderId="82" xfId="0" applyBorder="1" applyAlignment="1"/>
    <xf numFmtId="0" fontId="0" fillId="0" borderId="70" xfId="0" applyBorder="1" applyAlignment="1"/>
    <xf numFmtId="3" fontId="4" fillId="0" borderId="71" xfId="0" applyNumberFormat="1" applyFont="1" applyBorder="1" applyAlignment="1">
      <alignment horizontal="center"/>
    </xf>
    <xf numFmtId="3" fontId="4" fillId="0" borderId="82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0" fontId="8" fillId="0" borderId="71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64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31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3" xfId="8"/>
    <cellStyle name="20% - Énfasis2 2" xfId="9"/>
    <cellStyle name="20% - Énfasis2 3" xfId="10"/>
    <cellStyle name="20% - Énfasis3 2" xfId="11"/>
    <cellStyle name="20% - Énfasis3 3" xfId="12"/>
    <cellStyle name="20% - Énfasis4 2" xfId="13"/>
    <cellStyle name="20% - Énfasis4 3" xfId="14"/>
    <cellStyle name="20% - Énfasis5 2" xfId="15"/>
    <cellStyle name="20% - Énfasis5 3" xfId="16"/>
    <cellStyle name="20% - Énfasis6 2" xfId="17"/>
    <cellStyle name="20% - Énfasis6 3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 2" xfId="25"/>
    <cellStyle name="40% - Énfasis1 3" xfId="26"/>
    <cellStyle name="40% - Énfasis2 2" xfId="27"/>
    <cellStyle name="40% - Énfasis2 3" xfId="28"/>
    <cellStyle name="40% - Énfasis3 2" xfId="29"/>
    <cellStyle name="40% - Énfasis3 3" xfId="30"/>
    <cellStyle name="40% - Énfasis4 2" xfId="31"/>
    <cellStyle name="40% - Énfasis4 3" xfId="32"/>
    <cellStyle name="40% - Énfasis5 2" xfId="33"/>
    <cellStyle name="40% - Énfasis5 3" xfId="34"/>
    <cellStyle name="40% - Énfasis6 2" xfId="35"/>
    <cellStyle name="40% - Énfasis6 3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 2" xfId="43"/>
    <cellStyle name="60% - Énfasis2 2" xfId="44"/>
    <cellStyle name="60% - Énfasis3 2" xfId="45"/>
    <cellStyle name="60% - Énfasis4 2" xfId="46"/>
    <cellStyle name="60% - Énfasis5 2" xfId="47"/>
    <cellStyle name="60% - Énfasis6 2" xfId="48"/>
    <cellStyle name="Accent1" xfId="49"/>
    <cellStyle name="Accent2" xfId="50"/>
    <cellStyle name="Accent3" xfId="51"/>
    <cellStyle name="Accent4" xfId="52"/>
    <cellStyle name="Accent5" xfId="53"/>
    <cellStyle name="Accent6" xfId="54"/>
    <cellStyle name="Bad" xfId="55"/>
    <cellStyle name="Buena 2" xfId="56"/>
    <cellStyle name="Cabecera 1" xfId="57"/>
    <cellStyle name="Cabecera 1 2" xfId="58"/>
    <cellStyle name="Cabecera 1 3" xfId="59"/>
    <cellStyle name="Cabecera 1_LISTA.DE.MATERIALES" xfId="60"/>
    <cellStyle name="Cabecera 2" xfId="61"/>
    <cellStyle name="Cabecera 2 2" xfId="62"/>
    <cellStyle name="Cabecera 2 2 2" xfId="63"/>
    <cellStyle name="Cabecera 2 2 3" xfId="64"/>
    <cellStyle name="Cabecera 2_LISTA.DE.MATERIALES" xfId="65"/>
    <cellStyle name="Calculation" xfId="66"/>
    <cellStyle name="Cálculo 2" xfId="67"/>
    <cellStyle name="Celda de comprobación 2" xfId="68"/>
    <cellStyle name="Celda vinculada 2" xfId="69"/>
    <cellStyle name="Check Cell" xfId="70"/>
    <cellStyle name="Dia" xfId="71"/>
    <cellStyle name="Encabez1" xfId="72"/>
    <cellStyle name="Encabez2" xfId="73"/>
    <cellStyle name="Encabezado 1" xfId="74"/>
    <cellStyle name="Encabezado 2" xfId="75"/>
    <cellStyle name="Encabezado 4 2" xfId="76"/>
    <cellStyle name="Énfasis1 2" xfId="77"/>
    <cellStyle name="Énfasis2 2" xfId="78"/>
    <cellStyle name="Énfasis3 2" xfId="79"/>
    <cellStyle name="Énfasis4 2" xfId="80"/>
    <cellStyle name="Énfasis5 2" xfId="81"/>
    <cellStyle name="Énfasis6 2" xfId="82"/>
    <cellStyle name="Entrada 2" xfId="83"/>
    <cellStyle name="Euro" xfId="84"/>
    <cellStyle name="Euro 2" xfId="85"/>
    <cellStyle name="Euro 2 2" xfId="86"/>
    <cellStyle name="Euro 3" xfId="87"/>
    <cellStyle name="Euro 3 2" xfId="88"/>
    <cellStyle name="Euro 4" xfId="89"/>
    <cellStyle name="Euro_Planilla complementaria de Acopio - (S3)" xfId="90"/>
    <cellStyle name="Explanatory Text" xfId="91"/>
    <cellStyle name="F2" xfId="92"/>
    <cellStyle name="F3" xfId="93"/>
    <cellStyle name="F4" xfId="94"/>
    <cellStyle name="F5" xfId="95"/>
    <cellStyle name="F6" xfId="96"/>
    <cellStyle name="F7" xfId="97"/>
    <cellStyle name="F8" xfId="98"/>
    <cellStyle name="Fecha" xfId="99"/>
    <cellStyle name="Fecha 2" xfId="100"/>
    <cellStyle name="Fecha 2 2" xfId="101"/>
    <cellStyle name="Fecha 3" xfId="102"/>
    <cellStyle name="Fijo" xfId="103"/>
    <cellStyle name="Fijo 2" xfId="104"/>
    <cellStyle name="Fijo 2 2" xfId="105"/>
    <cellStyle name="Fijo_01-vivienda unifamiliar VF25" xfId="106"/>
    <cellStyle name="Financiero" xfId="107"/>
    <cellStyle name="Good" xfId="108"/>
    <cellStyle name="Heading 1" xfId="109"/>
    <cellStyle name="Heading 2" xfId="110"/>
    <cellStyle name="Heading 3" xfId="111"/>
    <cellStyle name="Heading 4" xfId="112"/>
    <cellStyle name="Hipervínculo" xfId="113" builtinId="8"/>
    <cellStyle name="Hipervínculo 2" xfId="114"/>
    <cellStyle name="Hipervínculo 2 2" xfId="115"/>
    <cellStyle name="Hipervínculo 3" xfId="116"/>
    <cellStyle name="Incorrecto 2" xfId="117"/>
    <cellStyle name="Input" xfId="118"/>
    <cellStyle name="Linked Cell" xfId="119"/>
    <cellStyle name="Millares" xfId="120" builtinId="3"/>
    <cellStyle name="Millares [0] 2" xfId="121"/>
    <cellStyle name="Millares [0] 3" xfId="122"/>
    <cellStyle name="Millares [0] 4" xfId="123"/>
    <cellStyle name="Millares 2" xfId="124"/>
    <cellStyle name="Millares 2 2" xfId="125"/>
    <cellStyle name="Millares 2 2 2" xfId="126"/>
    <cellStyle name="Millares 2 3" xfId="127"/>
    <cellStyle name="Millares 2 4" xfId="128"/>
    <cellStyle name="Millares 2 4 2" xfId="129"/>
    <cellStyle name="Millares 2_01-vivienda unifamiliar VF25" xfId="130"/>
    <cellStyle name="Millares 3" xfId="131"/>
    <cellStyle name="Millares 3 2" xfId="132"/>
    <cellStyle name="Millares 3 2 2" xfId="133"/>
    <cellStyle name="Millares 3 3" xfId="134"/>
    <cellStyle name="Millares 3 4" xfId="135"/>
    <cellStyle name="Millares 4" xfId="136"/>
    <cellStyle name="Millares 4 2" xfId="137"/>
    <cellStyle name="Millares 4 2 2" xfId="138"/>
    <cellStyle name="Millares 4 3" xfId="139"/>
    <cellStyle name="Millares 4 4" xfId="140"/>
    <cellStyle name="Millares 5" xfId="141"/>
    <cellStyle name="Millares 5 2" xfId="142"/>
    <cellStyle name="Millares 6" xfId="143"/>
    <cellStyle name="Millares 6 2" xfId="144"/>
    <cellStyle name="Millares 7" xfId="145"/>
    <cellStyle name="Millares 7 2" xfId="146"/>
    <cellStyle name="Millares 8" xfId="147"/>
    <cellStyle name="Millares 9" xfId="148"/>
    <cellStyle name="Moneda [0] 2" xfId="149"/>
    <cellStyle name="Moneda 2" xfId="150"/>
    <cellStyle name="Moneda 2 2" xfId="151"/>
    <cellStyle name="Moneda 2 2 2" xfId="152"/>
    <cellStyle name="Moneda 2 2 2 2" xfId="153"/>
    <cellStyle name="Moneda 2 2 2 3" xfId="154"/>
    <cellStyle name="Moneda 2 2 3" xfId="155"/>
    <cellStyle name="Moneda 2 2 3 2" xfId="156"/>
    <cellStyle name="Moneda 2 2 3 2 2" xfId="157"/>
    <cellStyle name="Moneda 2 2 3 2 3" xfId="158"/>
    <cellStyle name="Moneda 2 2 3 3" xfId="159"/>
    <cellStyle name="Moneda 2 2 4" xfId="160"/>
    <cellStyle name="Moneda 2 2 4 2" xfId="161"/>
    <cellStyle name="Moneda 2 2 5" xfId="162"/>
    <cellStyle name="Moneda 2 2 6" xfId="163"/>
    <cellStyle name="Moneda 2 3" xfId="164"/>
    <cellStyle name="Moneda 2 3 2" xfId="165"/>
    <cellStyle name="Moneda 2 3 3" xfId="166"/>
    <cellStyle name="Moneda 2 4" xfId="167"/>
    <cellStyle name="Moneda 2 5" xfId="168"/>
    <cellStyle name="Moneda 2 6" xfId="169"/>
    <cellStyle name="Moneda 3" xfId="170"/>
    <cellStyle name="Moneda 3 2" xfId="171"/>
    <cellStyle name="Moneda 3 3" xfId="172"/>
    <cellStyle name="Moneda 3 3 2" xfId="173"/>
    <cellStyle name="Moneda 4" xfId="174"/>
    <cellStyle name="Moneda 4 2" xfId="175"/>
    <cellStyle name="Moneda 4 2 2" xfId="176"/>
    <cellStyle name="Moneda 4 3" xfId="177"/>
    <cellStyle name="Moneda 4 3 2" xfId="178"/>
    <cellStyle name="Moneda 4 3 3" xfId="179"/>
    <cellStyle name="Moneda 4 4" xfId="180"/>
    <cellStyle name="Moneda 4 5" xfId="181"/>
    <cellStyle name="Moneda 4_Planilla complementaria de Acopio - (S3)" xfId="182"/>
    <cellStyle name="Moneda 5" xfId="183"/>
    <cellStyle name="Moneda 5 2" xfId="184"/>
    <cellStyle name="Moneda 5 3" xfId="185"/>
    <cellStyle name="Moneda 5 3 2" xfId="186"/>
    <cellStyle name="Moneda 5 3 3" xfId="187"/>
    <cellStyle name="Moneda 6" xfId="188"/>
    <cellStyle name="Moneda 6 2" xfId="189"/>
    <cellStyle name="Moneda 6 3" xfId="190"/>
    <cellStyle name="Moneda 7" xfId="191"/>
    <cellStyle name="Moneda 8" xfId="192"/>
    <cellStyle name="Moneda 8 2" xfId="193"/>
    <cellStyle name="Moneda 9" xfId="194"/>
    <cellStyle name="Moneda0" xfId="195"/>
    <cellStyle name="Moneda0 2" xfId="196"/>
    <cellStyle name="Moneda0 2 2" xfId="197"/>
    <cellStyle name="Moneda0 3" xfId="198"/>
    <cellStyle name="Moneda0 4" xfId="199"/>
    <cellStyle name="Monetario" xfId="200"/>
    <cellStyle name="Monetario 2" xfId="201"/>
    <cellStyle name="Monetario 2 2" xfId="202"/>
    <cellStyle name="Monetario_01-vivienda unifamiliar VF25" xfId="203"/>
    <cellStyle name="Monetario0" xfId="204"/>
    <cellStyle name="Monetario0 2" xfId="205"/>
    <cellStyle name="Monetario0 2 2" xfId="206"/>
    <cellStyle name="Monetario0 3" xfId="207"/>
    <cellStyle name="Monetario0_LISTA.DE.MATERIALES" xfId="208"/>
    <cellStyle name="Neutral 2" xfId="209"/>
    <cellStyle name="Normal" xfId="0" builtinId="0"/>
    <cellStyle name="Normal 10" xfId="210"/>
    <cellStyle name="Normal 10 2" xfId="211"/>
    <cellStyle name="Normal 10 2 2" xfId="212"/>
    <cellStyle name="Normal 10 3" xfId="213"/>
    <cellStyle name="Normal 11" xfId="214"/>
    <cellStyle name="Normal 12" xfId="215"/>
    <cellStyle name="Normal 13" xfId="216"/>
    <cellStyle name="Normal 14" xfId="318"/>
    <cellStyle name="Normal 2" xfId="217"/>
    <cellStyle name="Normal 2 2" xfId="218"/>
    <cellStyle name="Normal 2 2 2" xfId="219"/>
    <cellStyle name="Normal 2 3" xfId="220"/>
    <cellStyle name="normal 2 4" xfId="221"/>
    <cellStyle name="normal 2 5" xfId="222"/>
    <cellStyle name="Normal 2_100-10 OFERTA FUERO PENAL" xfId="223"/>
    <cellStyle name="Normal 3" xfId="224"/>
    <cellStyle name="Normal 3 2" xfId="225"/>
    <cellStyle name="Normal 3_Planilla_de_Redeterminación" xfId="226"/>
    <cellStyle name="Normal 4" xfId="227"/>
    <cellStyle name="Normal 4 2" xfId="228"/>
    <cellStyle name="Normal 4 3" xfId="229"/>
    <cellStyle name="Normal 4 3 2" xfId="230"/>
    <cellStyle name="Normal 4 3 2 2" xfId="231"/>
    <cellStyle name="Normal 4 3 3" xfId="232"/>
    <cellStyle name="Normal 4_100-10 OFERTA FUERO PENAL" xfId="233"/>
    <cellStyle name="Normal 5" xfId="234"/>
    <cellStyle name="Normal 5 2" xfId="235"/>
    <cellStyle name="Normal 5 3" xfId="236"/>
    <cellStyle name="Normal 5 3 2" xfId="237"/>
    <cellStyle name="Normal 5 3 2 2" xfId="238"/>
    <cellStyle name="Normal 5 3 3" xfId="239"/>
    <cellStyle name="Normal 6" xfId="240"/>
    <cellStyle name="Normal 6 2" xfId="241"/>
    <cellStyle name="Normal 6 2 2" xfId="242"/>
    <cellStyle name="Normal 6 2 2 2" xfId="243"/>
    <cellStyle name="Normal 6 2 2 2 2" xfId="244"/>
    <cellStyle name="Normal 6 2 2 3" xfId="245"/>
    <cellStyle name="Normal 6 3" xfId="246"/>
    <cellStyle name="Normal 6 3 2" xfId="247"/>
    <cellStyle name="Normal 6 3 2 2" xfId="248"/>
    <cellStyle name="Normal 6 3 3" xfId="249"/>
    <cellStyle name="Normal 6 4" xfId="250"/>
    <cellStyle name="Normal 6 4 2" xfId="251"/>
    <cellStyle name="Normal 6 4 2 2" xfId="252"/>
    <cellStyle name="Normal 6 4 3" xfId="253"/>
    <cellStyle name="Normal 6_100-10 OFERTA FUERO PENAL" xfId="254"/>
    <cellStyle name="Normal 7" xfId="255"/>
    <cellStyle name="Normal 7 2" xfId="256"/>
    <cellStyle name="Normal 7 3" xfId="257"/>
    <cellStyle name="Normal 7 3 2" xfId="258"/>
    <cellStyle name="Normal 7 3 2 2" xfId="259"/>
    <cellStyle name="Normal 7 3 3" xfId="260"/>
    <cellStyle name="Normal 8" xfId="261"/>
    <cellStyle name="Normal 8 2" xfId="262"/>
    <cellStyle name="Normal 8 3" xfId="263"/>
    <cellStyle name="Normal 8 3 2" xfId="264"/>
    <cellStyle name="Normal 8 3 2 2" xfId="265"/>
    <cellStyle name="Normal 8 3 3" xfId="266"/>
    <cellStyle name="Normal 9" xfId="267"/>
    <cellStyle name="Notas 2" xfId="268"/>
    <cellStyle name="Note" xfId="269"/>
    <cellStyle name="Output" xfId="270"/>
    <cellStyle name="Porcen - Modelo1" xfId="271"/>
    <cellStyle name="Porcen - Modelo2" xfId="272"/>
    <cellStyle name="Porcentaje" xfId="283" builtinId="5"/>
    <cellStyle name="Porcentaje 2" xfId="273"/>
    <cellStyle name="Porcentaje 2 2" xfId="274"/>
    <cellStyle name="Porcentaje 2 3" xfId="275"/>
    <cellStyle name="Porcentaje 3" xfId="276"/>
    <cellStyle name="Porcentaje 3 2" xfId="277"/>
    <cellStyle name="Porcentaje 3 2 2" xfId="278"/>
    <cellStyle name="Porcentaje 3 2 2 2" xfId="279"/>
    <cellStyle name="Porcentaje 3 2 3" xfId="280"/>
    <cellStyle name="Porcentaje 3 3" xfId="281"/>
    <cellStyle name="Porcentaje 4" xfId="282"/>
    <cellStyle name="Porcentual 2" xfId="284"/>
    <cellStyle name="Porcentual 2 2" xfId="285"/>
    <cellStyle name="Porcentual 3" xfId="286"/>
    <cellStyle name="Porcentual 3 2" xfId="287"/>
    <cellStyle name="Porcentual 4" xfId="288"/>
    <cellStyle name="Porcentual 4 2" xfId="289"/>
    <cellStyle name="Porcentual 5" xfId="290"/>
    <cellStyle name="Porcentual 5 2" xfId="291"/>
    <cellStyle name="Porcentual 6" xfId="292"/>
    <cellStyle name="Porcentual 7" xfId="293"/>
    <cellStyle name="Porcentual 8" xfId="294"/>
    <cellStyle name="Punto" xfId="295"/>
    <cellStyle name="Punto 2" xfId="296"/>
    <cellStyle name="Punto 2 2" xfId="297"/>
    <cellStyle name="Punto 3" xfId="298"/>
    <cellStyle name="Punto_LISTA.DE.MATERIALES" xfId="299"/>
    <cellStyle name="Punto0" xfId="300"/>
    <cellStyle name="Punto0 2" xfId="301"/>
    <cellStyle name="Punto0 2 2" xfId="302"/>
    <cellStyle name="Punto0 3" xfId="303"/>
    <cellStyle name="Punto1 - Modelo1" xfId="304"/>
    <cellStyle name="RUTA 29 Y ACCESO A SOLANET" xfId="305"/>
    <cellStyle name="Salida 2" xfId="306"/>
    <cellStyle name="Texto de advertencia 2" xfId="307"/>
    <cellStyle name="Texto explicativo 2" xfId="308"/>
    <cellStyle name="Title" xfId="309"/>
    <cellStyle name="Título 2 2" xfId="310"/>
    <cellStyle name="Título 3 2" xfId="311"/>
    <cellStyle name="Título 4" xfId="312"/>
    <cellStyle name="Total" xfId="313" builtinId="25" customBuiltin="1"/>
    <cellStyle name="Total 2" xfId="314"/>
    <cellStyle name="Total 2 2" xfId="315"/>
    <cellStyle name="Total 3" xfId="316"/>
    <cellStyle name="Warning Text" xfId="3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74" Type="http://schemas.openxmlformats.org/officeDocument/2006/relationships/externalLink" Target="externalLinks/externalLink41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9560067681888"/>
          <c:y val="2.8799999999999999E-2"/>
          <c:w val="0.60490693739424761"/>
          <c:h val="0.68480000000000063"/>
        </c:manualLayout>
      </c:layout>
      <c:lineChart>
        <c:grouping val="standard"/>
        <c:varyColors val="0"/>
        <c:ser>
          <c:idx val="0"/>
          <c:order val="0"/>
          <c:tx>
            <c:strRef>
              <c:f>'PARA CURVAS'!$B$8:$C$8</c:f>
              <c:strCache>
                <c:ptCount val="1"/>
                <c:pt idx="0">
                  <c:v>19 Acero aletado conformado, en barra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CURVAS'!$D$8:$BA$8</c:f>
              <c:numCache>
                <c:formatCode>0.0</c:formatCode>
                <c:ptCount val="20"/>
                <c:pt idx="0">
                  <c:v>374.84143763213535</c:v>
                </c:pt>
                <c:pt idx="1">
                  <c:v>374.20718816067654</c:v>
                </c:pt>
                <c:pt idx="2">
                  <c:v>375.68710359408033</c:v>
                </c:pt>
                <c:pt idx="3">
                  <c:v>373.99577167019032</c:v>
                </c:pt>
                <c:pt idx="4">
                  <c:v>376.53276955602541</c:v>
                </c:pt>
                <c:pt idx="5">
                  <c:v>381.50105708245241</c:v>
                </c:pt>
                <c:pt idx="6">
                  <c:v>381.71247357293873</c:v>
                </c:pt>
                <c:pt idx="7">
                  <c:v>380.65539112050743</c:v>
                </c:pt>
                <c:pt idx="8">
                  <c:v>387.73784355179708</c:v>
                </c:pt>
                <c:pt idx="9">
                  <c:v>388.68921775898519</c:v>
                </c:pt>
                <c:pt idx="10">
                  <c:v>389.7463002114165</c:v>
                </c:pt>
                <c:pt idx="11">
                  <c:v>389.21775898520087</c:v>
                </c:pt>
                <c:pt idx="12">
                  <c:v>389.11205073995779</c:v>
                </c:pt>
                <c:pt idx="13">
                  <c:v>389.0063424947146</c:v>
                </c:pt>
                <c:pt idx="14">
                  <c:v>389.0063424947146</c:v>
                </c:pt>
                <c:pt idx="15">
                  <c:v>389.0063424947146</c:v>
                </c:pt>
                <c:pt idx="16">
                  <c:v>387.63213530655395</c:v>
                </c:pt>
                <c:pt idx="17">
                  <c:v>388.16067653276957</c:v>
                </c:pt>
                <c:pt idx="18">
                  <c:v>389.95771670190271</c:v>
                </c:pt>
                <c:pt idx="19">
                  <c:v>393.6575052854123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312-4DE2-9FA1-939B6B743BEB}"/>
            </c:ext>
          </c:extLst>
        </c:ser>
        <c:ser>
          <c:idx val="1"/>
          <c:order val="1"/>
          <c:tx>
            <c:strRef>
              <c:f>'PARA CURVAS'!$B$9:$C$9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CURVAS'!$D$9:$BA$9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12-4DE2-9FA1-939B6B743BEB}"/>
            </c:ext>
          </c:extLst>
        </c:ser>
        <c:ser>
          <c:idx val="2"/>
          <c:order val="2"/>
          <c:tx>
            <c:strRef>
              <c:f>'PARA CURVAS'!$B$10:$C$10</c:f>
              <c:strCache>
                <c:ptCount val="1"/>
                <c:pt idx="0">
                  <c:v>50 Cemento portland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CURVAS'!$D$10:$BA$10</c:f>
              <c:numCache>
                <c:formatCode>0.0</c:formatCode>
                <c:ptCount val="20"/>
                <c:pt idx="0">
                  <c:v>252.20272206303727</c:v>
                </c:pt>
                <c:pt idx="1">
                  <c:v>252.20272206303727</c:v>
                </c:pt>
                <c:pt idx="2">
                  <c:v>252.20272206303727</c:v>
                </c:pt>
                <c:pt idx="3">
                  <c:v>252.20272206303727</c:v>
                </c:pt>
                <c:pt idx="4">
                  <c:v>252.20272206303727</c:v>
                </c:pt>
                <c:pt idx="5">
                  <c:v>252.41762177650426</c:v>
                </c:pt>
                <c:pt idx="6">
                  <c:v>252.41762177650426</c:v>
                </c:pt>
                <c:pt idx="7">
                  <c:v>252.41762177650426</c:v>
                </c:pt>
                <c:pt idx="8">
                  <c:v>252.41762177650426</c:v>
                </c:pt>
                <c:pt idx="9">
                  <c:v>252.41762177650426</c:v>
                </c:pt>
                <c:pt idx="10">
                  <c:v>252.6862464183381</c:v>
                </c:pt>
                <c:pt idx="11">
                  <c:v>252.6862464183381</c:v>
                </c:pt>
                <c:pt idx="12">
                  <c:v>252.6862464183381</c:v>
                </c:pt>
                <c:pt idx="13">
                  <c:v>252.6862464183381</c:v>
                </c:pt>
                <c:pt idx="14">
                  <c:v>252.6862464183381</c:v>
                </c:pt>
                <c:pt idx="15">
                  <c:v>252.6862464183381</c:v>
                </c:pt>
                <c:pt idx="16">
                  <c:v>252.86532951289394</c:v>
                </c:pt>
                <c:pt idx="17">
                  <c:v>252.86532951289394</c:v>
                </c:pt>
                <c:pt idx="18">
                  <c:v>252.86532951289394</c:v>
                </c:pt>
                <c:pt idx="19">
                  <c:v>252.86532951289394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12-4DE2-9FA1-939B6B743BEB}"/>
            </c:ext>
          </c:extLst>
        </c:ser>
        <c:ser>
          <c:idx val="3"/>
          <c:order val="3"/>
          <c:tx>
            <c:strRef>
              <c:f>'PARA CURVAS'!$B$11:$C$11</c:f>
              <c:strCache>
                <c:ptCount val="1"/>
                <c:pt idx="0">
                  <c:v>81 Madera para encofrado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CURVAS'!$D$11:$BA$11</c:f>
              <c:numCache>
                <c:formatCode>0.0</c:formatCode>
                <c:ptCount val="20"/>
                <c:pt idx="0">
                  <c:v>181.04838709677418</c:v>
                </c:pt>
                <c:pt idx="1">
                  <c:v>186.29032258064518</c:v>
                </c:pt>
                <c:pt idx="2">
                  <c:v>185.98790322580646</c:v>
                </c:pt>
                <c:pt idx="3">
                  <c:v>186.08870967741936</c:v>
                </c:pt>
                <c:pt idx="4">
                  <c:v>186.39112903225808</c:v>
                </c:pt>
                <c:pt idx="5">
                  <c:v>188.50806451612902</c:v>
                </c:pt>
                <c:pt idx="6">
                  <c:v>194.45564516129033</c:v>
                </c:pt>
                <c:pt idx="7">
                  <c:v>197.37903225806451</c:v>
                </c:pt>
                <c:pt idx="8">
                  <c:v>205.04032258064515</c:v>
                </c:pt>
                <c:pt idx="9">
                  <c:v>211.89516129032256</c:v>
                </c:pt>
                <c:pt idx="10">
                  <c:v>215.22177419354841</c:v>
                </c:pt>
                <c:pt idx="11">
                  <c:v>214.01209677419354</c:v>
                </c:pt>
                <c:pt idx="12">
                  <c:v>216.12903225806451</c:v>
                </c:pt>
                <c:pt idx="13">
                  <c:v>218.34677419354836</c:v>
                </c:pt>
                <c:pt idx="14">
                  <c:v>222.7822580645161</c:v>
                </c:pt>
                <c:pt idx="15">
                  <c:v>223.89112903225805</c:v>
                </c:pt>
                <c:pt idx="16">
                  <c:v>226.91532258064515</c:v>
                </c:pt>
                <c:pt idx="17">
                  <c:v>230.44354838709674</c:v>
                </c:pt>
                <c:pt idx="18">
                  <c:v>231.65322580645159</c:v>
                </c:pt>
                <c:pt idx="19">
                  <c:v>230.74596774193549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12-4DE2-9FA1-939B6B743BEB}"/>
            </c:ext>
          </c:extLst>
        </c:ser>
        <c:ser>
          <c:idx val="4"/>
          <c:order val="4"/>
          <c:tx>
            <c:strRef>
              <c:f>'PARA CURVAS'!$B$12:$C$12</c:f>
              <c:strCache>
                <c:ptCount val="1"/>
                <c:pt idx="0">
                  <c:v>79 Ladrillo común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CURVAS'!$D$12:$BA$12</c:f>
              <c:numCache>
                <c:formatCode>0.0</c:formatCode>
                <c:ptCount val="20"/>
                <c:pt idx="0">
                  <c:v>162.01117318435755</c:v>
                </c:pt>
                <c:pt idx="1">
                  <c:v>165.58659217877093</c:v>
                </c:pt>
                <c:pt idx="2">
                  <c:v>165.58659217877093</c:v>
                </c:pt>
                <c:pt idx="3">
                  <c:v>166.927374301676</c:v>
                </c:pt>
                <c:pt idx="4">
                  <c:v>165.13966480446928</c:v>
                </c:pt>
                <c:pt idx="5">
                  <c:v>165.3631284916201</c:v>
                </c:pt>
                <c:pt idx="6">
                  <c:v>166.81564245810057</c:v>
                </c:pt>
                <c:pt idx="7">
                  <c:v>168.37988826815641</c:v>
                </c:pt>
                <c:pt idx="8">
                  <c:v>170.94972067039106</c:v>
                </c:pt>
                <c:pt idx="9">
                  <c:v>171.62011173184356</c:v>
                </c:pt>
                <c:pt idx="10">
                  <c:v>172.06703910614524</c:v>
                </c:pt>
                <c:pt idx="11">
                  <c:v>172.51396648044692</c:v>
                </c:pt>
                <c:pt idx="12">
                  <c:v>176.87150837988827</c:v>
                </c:pt>
                <c:pt idx="13">
                  <c:v>176.64804469273741</c:v>
                </c:pt>
                <c:pt idx="14">
                  <c:v>176.87150837988827</c:v>
                </c:pt>
                <c:pt idx="15">
                  <c:v>180.33519553072625</c:v>
                </c:pt>
                <c:pt idx="16">
                  <c:v>180.44692737430168</c:v>
                </c:pt>
                <c:pt idx="17">
                  <c:v>180.67039106145251</c:v>
                </c:pt>
                <c:pt idx="18">
                  <c:v>181.11731843575419</c:v>
                </c:pt>
                <c:pt idx="19">
                  <c:v>187.37430167597765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0312-4DE2-9FA1-939B6B743BEB}"/>
            </c:ext>
          </c:extLst>
        </c:ser>
        <c:ser>
          <c:idx val="5"/>
          <c:order val="5"/>
          <c:tx>
            <c:strRef>
              <c:f>'PARA CURVAS'!$B$13:$C$13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CURVAS'!$D$13:$BA$13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0312-4DE2-9FA1-939B6B743BEB}"/>
            </c:ext>
          </c:extLst>
        </c:ser>
        <c:ser>
          <c:idx val="6"/>
          <c:order val="6"/>
          <c:tx>
            <c:strRef>
              <c:f>'PARA CURVAS'!$B$14:$C$14</c:f>
              <c:strCache>
                <c:ptCount val="1"/>
                <c:pt idx="0">
                  <c:v>102 Pinturas al látex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dot"/>
            <c:size val="9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CURVAS'!$D$14:$BA$14</c:f>
              <c:numCache>
                <c:formatCode>0.0</c:formatCode>
                <c:ptCount val="20"/>
                <c:pt idx="0">
                  <c:v>225.17536273661963</c:v>
                </c:pt>
                <c:pt idx="1">
                  <c:v>226.03055635629863</c:v>
                </c:pt>
                <c:pt idx="2">
                  <c:v>227.18362640530415</c:v>
                </c:pt>
                <c:pt idx="3">
                  <c:v>229.87412318631692</c:v>
                </c:pt>
                <c:pt idx="4">
                  <c:v>234.62092822138945</c:v>
                </c:pt>
                <c:pt idx="5">
                  <c:v>234.62092822138945</c:v>
                </c:pt>
                <c:pt idx="6">
                  <c:v>239.06985682713562</c:v>
                </c:pt>
                <c:pt idx="7">
                  <c:v>247.38157009705009</c:v>
                </c:pt>
                <c:pt idx="8">
                  <c:v>247.38157009705009</c:v>
                </c:pt>
                <c:pt idx="9">
                  <c:v>247.38157009705009</c:v>
                </c:pt>
                <c:pt idx="10">
                  <c:v>250.91765158066687</c:v>
                </c:pt>
                <c:pt idx="11">
                  <c:v>258.56634957240317</c:v>
                </c:pt>
                <c:pt idx="12">
                  <c:v>258.56634957240317</c:v>
                </c:pt>
                <c:pt idx="13">
                  <c:v>268.31940040357455</c:v>
                </c:pt>
                <c:pt idx="14">
                  <c:v>268.05035072547321</c:v>
                </c:pt>
                <c:pt idx="15">
                  <c:v>268.31940040357455</c:v>
                </c:pt>
                <c:pt idx="16">
                  <c:v>268.31940040357455</c:v>
                </c:pt>
                <c:pt idx="17">
                  <c:v>268.31940040357455</c:v>
                </c:pt>
                <c:pt idx="18">
                  <c:v>273.6523493802249</c:v>
                </c:pt>
                <c:pt idx="19">
                  <c:v>275.43960795618335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0312-4DE2-9FA1-939B6B743BEB}"/>
            </c:ext>
          </c:extLst>
        </c:ser>
        <c:ser>
          <c:idx val="7"/>
          <c:order val="7"/>
          <c:tx>
            <c:strRef>
              <c:f>'PARA CURVAS'!$B$15:$C$15</c:f>
              <c:strCache>
                <c:ptCount val="1"/>
                <c:pt idx="0">
                  <c:v>58 Chapas metálicas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CURVAS'!$D$15:$BA$15</c:f>
              <c:numCache>
                <c:formatCode>0.0</c:formatCode>
                <c:ptCount val="20"/>
                <c:pt idx="0">
                  <c:v>317.01380762930029</c:v>
                </c:pt>
                <c:pt idx="1">
                  <c:v>328.37584835010534</c:v>
                </c:pt>
                <c:pt idx="2">
                  <c:v>334.71799672361345</c:v>
                </c:pt>
                <c:pt idx="3">
                  <c:v>330.96185349871286</c:v>
                </c:pt>
                <c:pt idx="4">
                  <c:v>345.64708635619007</c:v>
                </c:pt>
                <c:pt idx="5">
                  <c:v>347.80014041656921</c:v>
                </c:pt>
                <c:pt idx="6">
                  <c:v>349.54364615024576</c:v>
                </c:pt>
                <c:pt idx="7">
                  <c:v>347.47250175520713</c:v>
                </c:pt>
                <c:pt idx="8">
                  <c:v>344.99180903346598</c:v>
                </c:pt>
                <c:pt idx="9">
                  <c:v>346.22045401357366</c:v>
                </c:pt>
                <c:pt idx="10">
                  <c:v>345.49496840627194</c:v>
                </c:pt>
                <c:pt idx="11">
                  <c:v>345.74069740229356</c:v>
                </c:pt>
                <c:pt idx="12">
                  <c:v>343.89187924175053</c:v>
                </c:pt>
                <c:pt idx="13">
                  <c:v>342.99087292300493</c:v>
                </c:pt>
                <c:pt idx="14">
                  <c:v>338.42733442546222</c:v>
                </c:pt>
                <c:pt idx="15">
                  <c:v>341.13035338169902</c:v>
                </c:pt>
                <c:pt idx="16">
                  <c:v>345.81090568687102</c:v>
                </c:pt>
                <c:pt idx="17">
                  <c:v>346.16194710975896</c:v>
                </c:pt>
                <c:pt idx="18">
                  <c:v>352.15305406037913</c:v>
                </c:pt>
                <c:pt idx="19">
                  <c:v>355.72197519307281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0312-4DE2-9FA1-939B6B743BEB}"/>
            </c:ext>
          </c:extLst>
        </c:ser>
        <c:ser>
          <c:idx val="8"/>
          <c:order val="8"/>
          <c:tx>
            <c:strRef>
              <c:f>'PARA CURVAS'!$B$16:$C$16</c:f>
              <c:strCache>
                <c:ptCount val="1"/>
                <c:pt idx="0">
                  <c:v>23 Arenas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CURVAS'!$D$16:$BA$16</c:f>
              <c:numCache>
                <c:formatCode>0.0</c:formatCode>
                <c:ptCount val="20"/>
                <c:pt idx="0">
                  <c:v>220.48029437397116</c:v>
                </c:pt>
                <c:pt idx="1">
                  <c:v>221.83596397792198</c:v>
                </c:pt>
                <c:pt idx="2">
                  <c:v>224.26648591071947</c:v>
                </c:pt>
                <c:pt idx="3">
                  <c:v>241.53190665246441</c:v>
                </c:pt>
                <c:pt idx="4">
                  <c:v>273.09964171589036</c:v>
                </c:pt>
                <c:pt idx="5">
                  <c:v>275.05567928730517</c:v>
                </c:pt>
                <c:pt idx="6">
                  <c:v>275.07504599593295</c:v>
                </c:pt>
                <c:pt idx="7">
                  <c:v>277.96068558148545</c:v>
                </c:pt>
                <c:pt idx="8">
                  <c:v>282.26977825118621</c:v>
                </c:pt>
                <c:pt idx="9">
                  <c:v>283.33494722571902</c:v>
                </c:pt>
                <c:pt idx="10">
                  <c:v>283.33494722571902</c:v>
                </c:pt>
                <c:pt idx="11">
                  <c:v>283.33494722571902</c:v>
                </c:pt>
                <c:pt idx="12">
                  <c:v>283.31558051709112</c:v>
                </c:pt>
                <c:pt idx="13">
                  <c:v>284.38074949162393</c:v>
                </c:pt>
                <c:pt idx="14">
                  <c:v>284.38074949162393</c:v>
                </c:pt>
                <c:pt idx="15">
                  <c:v>288.95129272780088</c:v>
                </c:pt>
                <c:pt idx="16">
                  <c:v>312.91759465478839</c:v>
                </c:pt>
                <c:pt idx="17">
                  <c:v>314.28294761305318</c:v>
                </c:pt>
                <c:pt idx="18">
                  <c:v>312.81107775733517</c:v>
                </c:pt>
                <c:pt idx="19">
                  <c:v>316.98460346664086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312-4DE2-9FA1-939B6B743BEB}"/>
            </c:ext>
          </c:extLst>
        </c:ser>
        <c:ser>
          <c:idx val="9"/>
          <c:order val="9"/>
          <c:tx>
            <c:strRef>
              <c:f>'PARA CURVAS'!$B$17:$C$17</c:f>
              <c:strCache>
                <c:ptCount val="1"/>
                <c:pt idx="0">
                  <c:v>77 Ladrillo cerámico hueco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CURVAS'!$D$17:$BA$17</c:f>
              <c:numCache>
                <c:formatCode>0.0</c:formatCode>
                <c:ptCount val="20"/>
                <c:pt idx="0">
                  <c:v>263.2723112128146</c:v>
                </c:pt>
                <c:pt idx="1">
                  <c:v>271.96796338672766</c:v>
                </c:pt>
                <c:pt idx="2">
                  <c:v>272.88329519450798</c:v>
                </c:pt>
                <c:pt idx="3">
                  <c:v>271.96796338672766</c:v>
                </c:pt>
                <c:pt idx="4">
                  <c:v>269.4508009153318</c:v>
                </c:pt>
                <c:pt idx="5">
                  <c:v>269.4508009153318</c:v>
                </c:pt>
                <c:pt idx="6">
                  <c:v>266.36155606407323</c:v>
                </c:pt>
                <c:pt idx="7">
                  <c:v>266.24713958810065</c:v>
                </c:pt>
                <c:pt idx="8">
                  <c:v>264.18764302059492</c:v>
                </c:pt>
                <c:pt idx="9">
                  <c:v>265.33180778032033</c:v>
                </c:pt>
                <c:pt idx="10">
                  <c:v>266.36155606407323</c:v>
                </c:pt>
                <c:pt idx="11">
                  <c:v>266.36155606407323</c:v>
                </c:pt>
                <c:pt idx="12">
                  <c:v>266.59038901601832</c:v>
                </c:pt>
                <c:pt idx="13">
                  <c:v>267.04805491990845</c:v>
                </c:pt>
                <c:pt idx="14">
                  <c:v>265.78947368421052</c:v>
                </c:pt>
                <c:pt idx="15">
                  <c:v>266.47597254004575</c:v>
                </c:pt>
                <c:pt idx="16">
                  <c:v>263.38672768878718</c:v>
                </c:pt>
                <c:pt idx="17">
                  <c:v>272.76887871853546</c:v>
                </c:pt>
                <c:pt idx="18">
                  <c:v>280.77803203661324</c:v>
                </c:pt>
                <c:pt idx="19">
                  <c:v>292.56292906178487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0312-4DE2-9FA1-939B6B743BEB}"/>
            </c:ext>
          </c:extLst>
        </c:ser>
        <c:ser>
          <c:idx val="10"/>
          <c:order val="10"/>
          <c:tx>
            <c:strRef>
              <c:f>'PARA CURVAS'!$B$18:$C$18</c:f>
              <c:strCache>
                <c:ptCount val="1"/>
                <c:pt idx="0">
                  <c:v>1 Jornal Categoría Ayudante, Zona "A" C.C. 76/75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CURVAS'!$D$18:$BA$18</c:f>
              <c:numCache>
                <c:formatCode>0.0</c:formatCode>
                <c:ptCount val="20"/>
                <c:pt idx="0">
                  <c:v>206.23931623931622</c:v>
                </c:pt>
                <c:pt idx="1">
                  <c:v>206.23931623931622</c:v>
                </c:pt>
                <c:pt idx="2">
                  <c:v>206.23931623931622</c:v>
                </c:pt>
                <c:pt idx="3">
                  <c:v>206.23931623931622</c:v>
                </c:pt>
                <c:pt idx="4">
                  <c:v>206.23931623931622</c:v>
                </c:pt>
                <c:pt idx="5">
                  <c:v>206.23931623931622</c:v>
                </c:pt>
                <c:pt idx="6">
                  <c:v>206.23931623931622</c:v>
                </c:pt>
                <c:pt idx="7">
                  <c:v>206.23931623931622</c:v>
                </c:pt>
                <c:pt idx="8">
                  <c:v>206.23931623931622</c:v>
                </c:pt>
                <c:pt idx="9">
                  <c:v>218.80341880341882</c:v>
                </c:pt>
                <c:pt idx="10">
                  <c:v>247.86324786324786</c:v>
                </c:pt>
                <c:pt idx="11">
                  <c:v>247.86324786324786</c:v>
                </c:pt>
                <c:pt idx="12">
                  <c:v>247.86324786324786</c:v>
                </c:pt>
                <c:pt idx="13">
                  <c:v>247.86324786324786</c:v>
                </c:pt>
                <c:pt idx="14">
                  <c:v>247.86324786324786</c:v>
                </c:pt>
                <c:pt idx="15">
                  <c:v>247.86324786324786</c:v>
                </c:pt>
                <c:pt idx="16">
                  <c:v>247.86324786324786</c:v>
                </c:pt>
                <c:pt idx="17">
                  <c:v>305.982905982906</c:v>
                </c:pt>
                <c:pt idx="18">
                  <c:v>305.982905982906</c:v>
                </c:pt>
                <c:pt idx="19">
                  <c:v>305.982905982906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0312-4DE2-9FA1-939B6B74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13792"/>
        <c:axId val="150915712"/>
      </c:lineChart>
      <c:dateAx>
        <c:axId val="1509137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41370555143711363"/>
              <c:y val="0.82399999999999995"/>
            </c:manualLayout>
          </c:layout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s-AR" sz="1000" b="0" i="0" u="none" strike="noStrike" baseline="0">
                <a:solidFill>
                  <a:srgbClr val="000000"/>
                </a:solidFill>
                <a:latin typeface="Arial Black"/>
                <a:ea typeface="Arial Black"/>
                <a:cs typeface="Arial Black"/>
              </a:defRPr>
            </a:pPr>
            <a:endParaRPr lang="es-AR"/>
          </a:p>
        </c:txPr>
        <c:crossAx val="15091571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50915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VARIACION PORCENTUAL</a:t>
                </a:r>
              </a:p>
            </c:rich>
          </c:tx>
          <c:layout>
            <c:manualLayout>
              <c:xMode val="edge"/>
              <c:yMode val="edge"/>
              <c:x val="7.9526267867916139E-2"/>
              <c:y val="0.26079993732126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509137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AR"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5"/>
  <sheetViews>
    <sheetView zoomScale="82" workbookViewId="0"/>
  </sheetViews>
  <pageMargins left="0.78740157480314965" right="0.78740157480314965" top="0.78740157480314965" bottom="0.59055118110236227" header="0" footer="0"/>
  <pageSetup paperSize="5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1296017</xdr:colOff>
      <xdr:row>1</xdr:row>
      <xdr:rowOff>751114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6807" y="276225"/>
          <a:ext cx="2221860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244146" cy="639336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  <sheetName val="PT-MOD_(1)"/>
      <sheetName val="EQUIPOS_(2)"/>
      <sheetName val="ANT_OBRAS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  <sheetName val="ZONA_C-SOLO_OBRA_DE_EMER_LICITA"/>
      <sheetName val="ZONA_C-SOLO_OBRA_DE_EMERGENCIA"/>
      <sheetName val="ZONA_C-SIN_OBRA_DE_EMERGENCIA"/>
      <sheetName val="BD_ana_prc_items_nuevos-2000"/>
      <sheetName val="BD_ana_prc_items_nuevos-1996"/>
      <sheetName val="prcios_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=@REDONDEAR(+(L66+N66)/2;2)" TargetMode="External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=@REDONDEAR(+C23*$C$6+C24*$D$6+C25*$E$6+C26*$F$6+C27*$G$6;2)" TargetMode="External"/><Relationship Id="rId1" Type="http://schemas.openxmlformats.org/officeDocument/2006/relationships/hyperlink" Target="mailto:=@REDONDEAR(+C23*$C$6+C24*$D$6+C25*$E$6+C26*$F$6+C27*$G$6;2)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mailto:=+@redondear(H20*P22;3)" TargetMode="External"/><Relationship Id="rId1" Type="http://schemas.openxmlformats.org/officeDocument/2006/relationships/hyperlink" Target="mailto:=@redondear(+C16/$C$16;3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file:///A:\comunes\aviso.asp" TargetMode="External"/><Relationship Id="rId2" Type="http://schemas.openxmlformats.org/officeDocument/2006/relationships/hyperlink" Target="file:///A:\mapa\mapae.asp" TargetMode="External"/><Relationship Id="rId1" Type="http://schemas.openxmlformats.org/officeDocument/2006/relationships/hyperlink" Target="file:///A:\english\default.asp" TargetMode="External"/><Relationship Id="rId4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H277"/>
  <sheetViews>
    <sheetView showZeros="0" tabSelected="1" topLeftCell="IU1" zoomScale="70" zoomScaleNormal="70" zoomScaleSheetLayoutView="70" zoomScalePageLayoutView="85" workbookViewId="0">
      <selection activeCell="JH5" sqref="JH5"/>
    </sheetView>
  </sheetViews>
  <sheetFormatPr baseColWidth="10" defaultColWidth="11.42578125" defaultRowHeight="15.75"/>
  <cols>
    <col min="1" max="1" width="2.7109375" style="2027" customWidth="1"/>
    <col min="2" max="2" width="7.42578125" style="2165" customWidth="1"/>
    <col min="3" max="3" width="6.140625" style="2165" hidden="1" customWidth="1"/>
    <col min="4" max="4" width="11.28515625" style="2263" customWidth="1"/>
    <col min="5" max="5" width="46.42578125" style="2165" customWidth="1"/>
    <col min="6" max="6" width="8" style="2165" hidden="1" customWidth="1"/>
    <col min="7" max="7" width="21.5703125" style="2025" customWidth="1"/>
    <col min="8" max="8" width="22.7109375" style="2165" hidden="1" customWidth="1"/>
    <col min="9" max="9" width="10.28515625" style="2165" hidden="1" customWidth="1"/>
    <col min="10" max="10" width="27.140625" style="2265" customWidth="1"/>
    <col min="11" max="11" width="24.140625" style="2263" customWidth="1"/>
    <col min="12" max="22" width="9.5703125" style="2266" hidden="1" customWidth="1"/>
    <col min="23" max="24" width="9.5703125" style="2267" hidden="1" customWidth="1"/>
    <col min="25" max="35" width="9.5703125" style="2165" hidden="1" customWidth="1"/>
    <col min="36" max="36" width="9.5703125" style="2264" hidden="1" customWidth="1"/>
    <col min="37" max="42" width="9.5703125" style="2165" hidden="1" customWidth="1"/>
    <col min="43" max="43" width="9.5703125" style="2264" hidden="1" customWidth="1"/>
    <col min="44" max="51" width="9.5703125" style="2165" hidden="1" customWidth="1"/>
    <col min="52" max="52" width="9.5703125" style="2264" hidden="1" customWidth="1"/>
    <col min="53" max="55" width="10.85546875" style="2264" hidden="1" customWidth="1"/>
    <col min="56" max="56" width="10.85546875" style="2268" hidden="1" customWidth="1"/>
    <col min="57" max="57" width="10.85546875" style="2264" hidden="1" customWidth="1"/>
    <col min="58" max="104" width="10.85546875" style="2268" hidden="1" customWidth="1"/>
    <col min="105" max="108" width="11.42578125" style="2268" hidden="1" customWidth="1"/>
    <col min="109" max="109" width="10.85546875" style="2268" hidden="1" customWidth="1"/>
    <col min="110" max="134" width="11.42578125" style="2268" hidden="1" customWidth="1"/>
    <col min="135" max="175" width="10.85546875" style="2268" hidden="1" customWidth="1"/>
    <col min="176" max="176" width="13.140625" style="2268" hidden="1" customWidth="1"/>
    <col min="177" max="177" width="14.42578125" style="2268" hidden="1" customWidth="1"/>
    <col min="178" max="178" width="12.140625" style="2268" hidden="1" customWidth="1"/>
    <col min="179" max="180" width="11.42578125" style="2024" hidden="1" customWidth="1"/>
    <col min="181" max="181" width="11.42578125" style="2027" customWidth="1"/>
    <col min="182" max="183" width="11.42578125" style="2027" hidden="1" customWidth="1"/>
    <col min="184" max="210" width="11.42578125" style="2269" hidden="1" customWidth="1"/>
    <col min="211" max="211" width="10.5703125" style="2269" hidden="1" customWidth="1"/>
    <col min="212" max="212" width="13.42578125" style="2269" hidden="1" customWidth="1"/>
    <col min="213" max="213" width="13" style="2269" hidden="1" customWidth="1"/>
    <col min="214" max="214" width="13.140625" style="2269" hidden="1" customWidth="1"/>
    <col min="215" max="215" width="12.140625" style="2269" hidden="1" customWidth="1"/>
    <col min="216" max="216" width="12.42578125" style="2269" hidden="1" customWidth="1"/>
    <col min="217" max="217" width="11.5703125" style="2269" hidden="1" customWidth="1"/>
    <col min="218" max="218" width="12.28515625" style="2269" hidden="1" customWidth="1"/>
    <col min="219" max="219" width="11.42578125" style="2269" hidden="1" customWidth="1"/>
    <col min="220" max="220" width="11" style="2269" hidden="1" customWidth="1"/>
    <col min="221" max="221" width="12" style="2269" hidden="1" customWidth="1"/>
    <col min="222" max="222" width="11.5703125" style="2269" hidden="1" customWidth="1"/>
    <col min="223" max="223" width="13" style="2269" hidden="1" customWidth="1"/>
    <col min="224" max="224" width="11" style="2269" hidden="1" customWidth="1"/>
    <col min="225" max="226" width="12.42578125" style="2269" hidden="1" customWidth="1"/>
    <col min="227" max="227" width="12.140625" style="2269" hidden="1" customWidth="1"/>
    <col min="228" max="228" width="10.5703125" style="2269" hidden="1" customWidth="1"/>
    <col min="229" max="229" width="12.42578125" style="2269" hidden="1" customWidth="1"/>
    <col min="230" max="231" width="11.7109375" style="2269" hidden="1" customWidth="1"/>
    <col min="232" max="243" width="13.140625" style="2269" hidden="1" customWidth="1"/>
    <col min="244" max="244" width="11.28515625" style="2269" hidden="1" customWidth="1"/>
    <col min="245" max="253" width="13.140625" style="2269" hidden="1" customWidth="1"/>
    <col min="254" max="255" width="13.140625" style="2269" customWidth="1"/>
    <col min="256" max="266" width="11.28515625" style="2269" customWidth="1"/>
    <col min="267" max="267" width="15" style="2026" customWidth="1"/>
    <col min="268" max="268" width="11.42578125" style="2027"/>
    <col min="269" max="269" width="14.5703125" style="2027" bestFit="1" customWidth="1"/>
    <col min="270" max="270" width="11.42578125" style="2027"/>
    <col min="271" max="271" width="13.5703125" style="2155" bestFit="1" customWidth="1"/>
    <col min="272" max="16384" width="11.42578125" style="2027"/>
  </cols>
  <sheetData>
    <row r="1" spans="1:294" s="2024" customFormat="1" ht="16.5" thickBot="1">
      <c r="B1" s="2025">
        <v>1</v>
      </c>
      <c r="C1" s="2025">
        <f>+B1+1</f>
        <v>2</v>
      </c>
      <c r="D1" s="2025">
        <f t="shared" ref="D1:BO1" si="0">+C1+1</f>
        <v>3</v>
      </c>
      <c r="E1" s="2025">
        <f>+D1+1</f>
        <v>4</v>
      </c>
      <c r="F1" s="2025">
        <f t="shared" si="0"/>
        <v>5</v>
      </c>
      <c r="G1" s="2025">
        <f t="shared" si="0"/>
        <v>6</v>
      </c>
      <c r="H1" s="2025">
        <f t="shared" si="0"/>
        <v>7</v>
      </c>
      <c r="I1" s="2025">
        <f t="shared" si="0"/>
        <v>8</v>
      </c>
      <c r="J1" s="2025">
        <f t="shared" si="0"/>
        <v>9</v>
      </c>
      <c r="K1" s="2025">
        <f t="shared" si="0"/>
        <v>10</v>
      </c>
      <c r="L1" s="2025">
        <f t="shared" si="0"/>
        <v>11</v>
      </c>
      <c r="M1" s="2025">
        <f t="shared" si="0"/>
        <v>12</v>
      </c>
      <c r="N1" s="2025">
        <f t="shared" si="0"/>
        <v>13</v>
      </c>
      <c r="O1" s="2025">
        <f t="shared" si="0"/>
        <v>14</v>
      </c>
      <c r="P1" s="2025">
        <f t="shared" si="0"/>
        <v>15</v>
      </c>
      <c r="Q1" s="2025">
        <f t="shared" si="0"/>
        <v>16</v>
      </c>
      <c r="R1" s="2025">
        <f t="shared" si="0"/>
        <v>17</v>
      </c>
      <c r="S1" s="2025">
        <f t="shared" si="0"/>
        <v>18</v>
      </c>
      <c r="T1" s="2025">
        <f t="shared" si="0"/>
        <v>19</v>
      </c>
      <c r="U1" s="2025">
        <f t="shared" si="0"/>
        <v>20</v>
      </c>
      <c r="V1" s="2025">
        <f t="shared" si="0"/>
        <v>21</v>
      </c>
      <c r="W1" s="2025">
        <f t="shared" si="0"/>
        <v>22</v>
      </c>
      <c r="X1" s="2025">
        <f t="shared" si="0"/>
        <v>23</v>
      </c>
      <c r="Y1" s="2025">
        <f t="shared" si="0"/>
        <v>24</v>
      </c>
      <c r="Z1" s="2025">
        <f t="shared" si="0"/>
        <v>25</v>
      </c>
      <c r="AA1" s="2025">
        <f t="shared" si="0"/>
        <v>26</v>
      </c>
      <c r="AB1" s="2025">
        <f t="shared" si="0"/>
        <v>27</v>
      </c>
      <c r="AC1" s="2025">
        <f t="shared" si="0"/>
        <v>28</v>
      </c>
      <c r="AD1" s="2025">
        <f t="shared" si="0"/>
        <v>29</v>
      </c>
      <c r="AE1" s="2025">
        <f t="shared" si="0"/>
        <v>30</v>
      </c>
      <c r="AF1" s="2025">
        <f t="shared" si="0"/>
        <v>31</v>
      </c>
      <c r="AG1" s="2025">
        <f t="shared" si="0"/>
        <v>32</v>
      </c>
      <c r="AH1" s="2025">
        <f t="shared" si="0"/>
        <v>33</v>
      </c>
      <c r="AI1" s="2025">
        <f t="shared" si="0"/>
        <v>34</v>
      </c>
      <c r="AJ1" s="2025">
        <f t="shared" si="0"/>
        <v>35</v>
      </c>
      <c r="AK1" s="2025">
        <f t="shared" si="0"/>
        <v>36</v>
      </c>
      <c r="AL1" s="2025">
        <f t="shared" si="0"/>
        <v>37</v>
      </c>
      <c r="AM1" s="2025">
        <f t="shared" si="0"/>
        <v>38</v>
      </c>
      <c r="AN1" s="2025">
        <f t="shared" si="0"/>
        <v>39</v>
      </c>
      <c r="AO1" s="2025">
        <f t="shared" si="0"/>
        <v>40</v>
      </c>
      <c r="AP1" s="2025">
        <f t="shared" si="0"/>
        <v>41</v>
      </c>
      <c r="AQ1" s="2025">
        <f t="shared" si="0"/>
        <v>42</v>
      </c>
      <c r="AR1" s="2025">
        <f t="shared" si="0"/>
        <v>43</v>
      </c>
      <c r="AS1" s="2025">
        <f t="shared" si="0"/>
        <v>44</v>
      </c>
      <c r="AT1" s="2025">
        <f t="shared" si="0"/>
        <v>45</v>
      </c>
      <c r="AU1" s="2025">
        <f t="shared" si="0"/>
        <v>46</v>
      </c>
      <c r="AV1" s="2025">
        <f t="shared" si="0"/>
        <v>47</v>
      </c>
      <c r="AW1" s="2025">
        <f t="shared" si="0"/>
        <v>48</v>
      </c>
      <c r="AX1" s="2025">
        <f t="shared" si="0"/>
        <v>49</v>
      </c>
      <c r="AY1" s="2025">
        <f t="shared" si="0"/>
        <v>50</v>
      </c>
      <c r="AZ1" s="2025">
        <f t="shared" si="0"/>
        <v>51</v>
      </c>
      <c r="BA1" s="2025">
        <f t="shared" si="0"/>
        <v>52</v>
      </c>
      <c r="BB1" s="2025">
        <f t="shared" si="0"/>
        <v>53</v>
      </c>
      <c r="BC1" s="2025">
        <f t="shared" si="0"/>
        <v>54</v>
      </c>
      <c r="BD1" s="2025">
        <f t="shared" si="0"/>
        <v>55</v>
      </c>
      <c r="BE1" s="2025">
        <f t="shared" si="0"/>
        <v>56</v>
      </c>
      <c r="BF1" s="2025">
        <f t="shared" si="0"/>
        <v>57</v>
      </c>
      <c r="BG1" s="2025">
        <f t="shared" si="0"/>
        <v>58</v>
      </c>
      <c r="BH1" s="2025">
        <f t="shared" si="0"/>
        <v>59</v>
      </c>
      <c r="BI1" s="2025">
        <f t="shared" si="0"/>
        <v>60</v>
      </c>
      <c r="BJ1" s="2025">
        <f t="shared" si="0"/>
        <v>61</v>
      </c>
      <c r="BK1" s="2025">
        <f t="shared" si="0"/>
        <v>62</v>
      </c>
      <c r="BL1" s="2025">
        <f t="shared" si="0"/>
        <v>63</v>
      </c>
      <c r="BM1" s="2025">
        <f t="shared" si="0"/>
        <v>64</v>
      </c>
      <c r="BN1" s="2025">
        <f t="shared" si="0"/>
        <v>65</v>
      </c>
      <c r="BO1" s="2025">
        <f t="shared" si="0"/>
        <v>66</v>
      </c>
      <c r="BP1" s="2025">
        <f t="shared" ref="BP1:EA1" si="1">+BO1+1</f>
        <v>67</v>
      </c>
      <c r="BQ1" s="2025">
        <f t="shared" si="1"/>
        <v>68</v>
      </c>
      <c r="BR1" s="2025">
        <f t="shared" si="1"/>
        <v>69</v>
      </c>
      <c r="BS1" s="2025">
        <f t="shared" si="1"/>
        <v>70</v>
      </c>
      <c r="BT1" s="2025">
        <f t="shared" si="1"/>
        <v>71</v>
      </c>
      <c r="BU1" s="2025">
        <f t="shared" si="1"/>
        <v>72</v>
      </c>
      <c r="BV1" s="2025">
        <f t="shared" si="1"/>
        <v>73</v>
      </c>
      <c r="BW1" s="2025">
        <f t="shared" si="1"/>
        <v>74</v>
      </c>
      <c r="BX1" s="2025">
        <f t="shared" si="1"/>
        <v>75</v>
      </c>
      <c r="BY1" s="2025">
        <f t="shared" si="1"/>
        <v>76</v>
      </c>
      <c r="BZ1" s="2025">
        <f t="shared" si="1"/>
        <v>77</v>
      </c>
      <c r="CA1" s="2025">
        <f t="shared" si="1"/>
        <v>78</v>
      </c>
      <c r="CB1" s="2025">
        <f t="shared" si="1"/>
        <v>79</v>
      </c>
      <c r="CC1" s="2025">
        <f t="shared" si="1"/>
        <v>80</v>
      </c>
      <c r="CD1" s="2025">
        <f t="shared" si="1"/>
        <v>81</v>
      </c>
      <c r="CE1" s="2025">
        <f t="shared" si="1"/>
        <v>82</v>
      </c>
      <c r="CF1" s="2025">
        <f t="shared" si="1"/>
        <v>83</v>
      </c>
      <c r="CG1" s="2025">
        <f t="shared" si="1"/>
        <v>84</v>
      </c>
      <c r="CH1" s="2025">
        <f t="shared" si="1"/>
        <v>85</v>
      </c>
      <c r="CI1" s="2025">
        <f t="shared" si="1"/>
        <v>86</v>
      </c>
      <c r="CJ1" s="2025">
        <f t="shared" si="1"/>
        <v>87</v>
      </c>
      <c r="CK1" s="2025">
        <f t="shared" si="1"/>
        <v>88</v>
      </c>
      <c r="CL1" s="2025">
        <f t="shared" si="1"/>
        <v>89</v>
      </c>
      <c r="CM1" s="2025">
        <f t="shared" si="1"/>
        <v>90</v>
      </c>
      <c r="CN1" s="2025">
        <f t="shared" si="1"/>
        <v>91</v>
      </c>
      <c r="CO1" s="2025">
        <f t="shared" si="1"/>
        <v>92</v>
      </c>
      <c r="CP1" s="2025">
        <f t="shared" si="1"/>
        <v>93</v>
      </c>
      <c r="CQ1" s="2025">
        <f t="shared" si="1"/>
        <v>94</v>
      </c>
      <c r="CR1" s="2025">
        <f t="shared" si="1"/>
        <v>95</v>
      </c>
      <c r="CS1" s="2025">
        <f t="shared" si="1"/>
        <v>96</v>
      </c>
      <c r="CT1" s="2025">
        <f t="shared" si="1"/>
        <v>97</v>
      </c>
      <c r="CU1" s="2025">
        <f t="shared" si="1"/>
        <v>98</v>
      </c>
      <c r="CV1" s="2025">
        <f t="shared" si="1"/>
        <v>99</v>
      </c>
      <c r="CW1" s="2025">
        <f t="shared" si="1"/>
        <v>100</v>
      </c>
      <c r="CX1" s="2025">
        <f t="shared" si="1"/>
        <v>101</v>
      </c>
      <c r="CY1" s="2025">
        <f t="shared" si="1"/>
        <v>102</v>
      </c>
      <c r="CZ1" s="2025">
        <f t="shared" si="1"/>
        <v>103</v>
      </c>
      <c r="DA1" s="2025">
        <f t="shared" si="1"/>
        <v>104</v>
      </c>
      <c r="DB1" s="2025">
        <f t="shared" si="1"/>
        <v>105</v>
      </c>
      <c r="DC1" s="2025">
        <f t="shared" si="1"/>
        <v>106</v>
      </c>
      <c r="DD1" s="2025">
        <f t="shared" si="1"/>
        <v>107</v>
      </c>
      <c r="DE1" s="2025">
        <f t="shared" si="1"/>
        <v>108</v>
      </c>
      <c r="DF1" s="2025">
        <f t="shared" si="1"/>
        <v>109</v>
      </c>
      <c r="DG1" s="2025">
        <f t="shared" si="1"/>
        <v>110</v>
      </c>
      <c r="DH1" s="2025">
        <f t="shared" si="1"/>
        <v>111</v>
      </c>
      <c r="DI1" s="2025">
        <f t="shared" si="1"/>
        <v>112</v>
      </c>
      <c r="DJ1" s="2025">
        <f t="shared" si="1"/>
        <v>113</v>
      </c>
      <c r="DK1" s="2025">
        <f t="shared" si="1"/>
        <v>114</v>
      </c>
      <c r="DL1" s="2025">
        <f t="shared" si="1"/>
        <v>115</v>
      </c>
      <c r="DM1" s="2025">
        <f t="shared" si="1"/>
        <v>116</v>
      </c>
      <c r="DN1" s="2025">
        <f t="shared" si="1"/>
        <v>117</v>
      </c>
      <c r="DO1" s="2025">
        <f t="shared" si="1"/>
        <v>118</v>
      </c>
      <c r="DP1" s="2025">
        <f t="shared" si="1"/>
        <v>119</v>
      </c>
      <c r="DQ1" s="2025">
        <f t="shared" si="1"/>
        <v>120</v>
      </c>
      <c r="DR1" s="2025">
        <f t="shared" si="1"/>
        <v>121</v>
      </c>
      <c r="DS1" s="2025">
        <f t="shared" si="1"/>
        <v>122</v>
      </c>
      <c r="DT1" s="2025">
        <f t="shared" si="1"/>
        <v>123</v>
      </c>
      <c r="DU1" s="2025">
        <f t="shared" si="1"/>
        <v>124</v>
      </c>
      <c r="DV1" s="2025">
        <f t="shared" si="1"/>
        <v>125</v>
      </c>
      <c r="DW1" s="2025">
        <f t="shared" si="1"/>
        <v>126</v>
      </c>
      <c r="DX1" s="2025">
        <f t="shared" si="1"/>
        <v>127</v>
      </c>
      <c r="DY1" s="2025">
        <f t="shared" si="1"/>
        <v>128</v>
      </c>
      <c r="DZ1" s="2025">
        <f t="shared" si="1"/>
        <v>129</v>
      </c>
      <c r="EA1" s="2025">
        <f t="shared" si="1"/>
        <v>130</v>
      </c>
      <c r="EB1" s="2025">
        <f t="shared" ref="EB1:GM1" si="2">+EA1+1</f>
        <v>131</v>
      </c>
      <c r="EC1" s="2025">
        <f t="shared" si="2"/>
        <v>132</v>
      </c>
      <c r="ED1" s="2025">
        <f t="shared" si="2"/>
        <v>133</v>
      </c>
      <c r="EE1" s="2025">
        <f t="shared" si="2"/>
        <v>134</v>
      </c>
      <c r="EF1" s="2025">
        <f t="shared" si="2"/>
        <v>135</v>
      </c>
      <c r="EG1" s="2025">
        <f t="shared" si="2"/>
        <v>136</v>
      </c>
      <c r="EH1" s="2025">
        <f t="shared" si="2"/>
        <v>137</v>
      </c>
      <c r="EI1" s="2025">
        <f t="shared" si="2"/>
        <v>138</v>
      </c>
      <c r="EJ1" s="2025">
        <f t="shared" si="2"/>
        <v>139</v>
      </c>
      <c r="EK1" s="2025">
        <f t="shared" si="2"/>
        <v>140</v>
      </c>
      <c r="EL1" s="2025">
        <f t="shared" si="2"/>
        <v>141</v>
      </c>
      <c r="EM1" s="2025">
        <f t="shared" si="2"/>
        <v>142</v>
      </c>
      <c r="EN1" s="2025">
        <f t="shared" si="2"/>
        <v>143</v>
      </c>
      <c r="EO1" s="2025">
        <f t="shared" si="2"/>
        <v>144</v>
      </c>
      <c r="EP1" s="2025">
        <f t="shared" si="2"/>
        <v>145</v>
      </c>
      <c r="EQ1" s="2025">
        <f t="shared" si="2"/>
        <v>146</v>
      </c>
      <c r="ER1" s="2025">
        <f t="shared" si="2"/>
        <v>147</v>
      </c>
      <c r="ES1" s="2025">
        <f t="shared" si="2"/>
        <v>148</v>
      </c>
      <c r="ET1" s="2025">
        <f t="shared" si="2"/>
        <v>149</v>
      </c>
      <c r="EU1" s="2025">
        <f t="shared" si="2"/>
        <v>150</v>
      </c>
      <c r="EV1" s="2025">
        <f t="shared" si="2"/>
        <v>151</v>
      </c>
      <c r="EW1" s="2025">
        <f t="shared" si="2"/>
        <v>152</v>
      </c>
      <c r="EX1" s="2025">
        <f t="shared" si="2"/>
        <v>153</v>
      </c>
      <c r="EY1" s="2025">
        <f t="shared" si="2"/>
        <v>154</v>
      </c>
      <c r="EZ1" s="2025">
        <f t="shared" si="2"/>
        <v>155</v>
      </c>
      <c r="FA1" s="2025">
        <f t="shared" si="2"/>
        <v>156</v>
      </c>
      <c r="FB1" s="2025">
        <f t="shared" si="2"/>
        <v>157</v>
      </c>
      <c r="FC1" s="2025">
        <f t="shared" si="2"/>
        <v>158</v>
      </c>
      <c r="FD1" s="2025">
        <f t="shared" si="2"/>
        <v>159</v>
      </c>
      <c r="FE1" s="2025">
        <f t="shared" si="2"/>
        <v>160</v>
      </c>
      <c r="FF1" s="2025">
        <f t="shared" si="2"/>
        <v>161</v>
      </c>
      <c r="FG1" s="2025">
        <f t="shared" si="2"/>
        <v>162</v>
      </c>
      <c r="FH1" s="2025">
        <f t="shared" si="2"/>
        <v>163</v>
      </c>
      <c r="FI1" s="2025">
        <f t="shared" si="2"/>
        <v>164</v>
      </c>
      <c r="FJ1" s="2025">
        <f t="shared" si="2"/>
        <v>165</v>
      </c>
      <c r="FK1" s="2025">
        <f t="shared" si="2"/>
        <v>166</v>
      </c>
      <c r="FL1" s="2025">
        <f t="shared" si="2"/>
        <v>167</v>
      </c>
      <c r="FM1" s="2025">
        <f t="shared" si="2"/>
        <v>168</v>
      </c>
      <c r="FN1" s="2025">
        <f t="shared" si="2"/>
        <v>169</v>
      </c>
      <c r="FO1" s="2025">
        <f t="shared" si="2"/>
        <v>170</v>
      </c>
      <c r="FP1" s="2025">
        <f t="shared" si="2"/>
        <v>171</v>
      </c>
      <c r="FQ1" s="2025">
        <f t="shared" si="2"/>
        <v>172</v>
      </c>
      <c r="FR1" s="2025">
        <f t="shared" si="2"/>
        <v>173</v>
      </c>
      <c r="FS1" s="2025">
        <f t="shared" si="2"/>
        <v>174</v>
      </c>
      <c r="FT1" s="2025">
        <f t="shared" si="2"/>
        <v>175</v>
      </c>
      <c r="FU1" s="2025">
        <f t="shared" si="2"/>
        <v>176</v>
      </c>
      <c r="FV1" s="2025">
        <f t="shared" si="2"/>
        <v>177</v>
      </c>
      <c r="FW1" s="2025">
        <f t="shared" si="2"/>
        <v>178</v>
      </c>
      <c r="FX1" s="2025">
        <f t="shared" si="2"/>
        <v>179</v>
      </c>
      <c r="FY1" s="2025">
        <f t="shared" si="2"/>
        <v>180</v>
      </c>
      <c r="FZ1" s="2025">
        <f t="shared" si="2"/>
        <v>181</v>
      </c>
      <c r="GA1" s="2025">
        <f t="shared" si="2"/>
        <v>182</v>
      </c>
      <c r="GB1" s="2025">
        <f t="shared" si="2"/>
        <v>183</v>
      </c>
      <c r="GC1" s="2025">
        <f t="shared" si="2"/>
        <v>184</v>
      </c>
      <c r="GD1" s="2025">
        <f t="shared" si="2"/>
        <v>185</v>
      </c>
      <c r="GE1" s="2025">
        <f t="shared" si="2"/>
        <v>186</v>
      </c>
      <c r="GF1" s="2025">
        <f t="shared" si="2"/>
        <v>187</v>
      </c>
      <c r="GG1" s="2025">
        <f t="shared" si="2"/>
        <v>188</v>
      </c>
      <c r="GH1" s="2025">
        <f t="shared" si="2"/>
        <v>189</v>
      </c>
      <c r="GI1" s="2025">
        <f t="shared" si="2"/>
        <v>190</v>
      </c>
      <c r="GJ1" s="2025">
        <f t="shared" si="2"/>
        <v>191</v>
      </c>
      <c r="GK1" s="2025">
        <f t="shared" si="2"/>
        <v>192</v>
      </c>
      <c r="GL1" s="2025">
        <f t="shared" si="2"/>
        <v>193</v>
      </c>
      <c r="GM1" s="2025">
        <f t="shared" si="2"/>
        <v>194</v>
      </c>
      <c r="GN1" s="2025">
        <f t="shared" ref="GN1:IV1" si="3">+GM1+1</f>
        <v>195</v>
      </c>
      <c r="GO1" s="2025">
        <f t="shared" si="3"/>
        <v>196</v>
      </c>
      <c r="GP1" s="2025">
        <f t="shared" si="3"/>
        <v>197</v>
      </c>
      <c r="GQ1" s="2025">
        <f t="shared" si="3"/>
        <v>198</v>
      </c>
      <c r="GR1" s="2025">
        <f t="shared" si="3"/>
        <v>199</v>
      </c>
      <c r="GS1" s="2025">
        <f t="shared" si="3"/>
        <v>200</v>
      </c>
      <c r="GT1" s="2025">
        <f t="shared" si="3"/>
        <v>201</v>
      </c>
      <c r="GU1" s="2025">
        <f t="shared" si="3"/>
        <v>202</v>
      </c>
      <c r="GV1" s="2025">
        <f t="shared" si="3"/>
        <v>203</v>
      </c>
      <c r="GW1" s="2025">
        <f t="shared" si="3"/>
        <v>204</v>
      </c>
      <c r="GX1" s="2025">
        <f t="shared" si="3"/>
        <v>205</v>
      </c>
      <c r="GY1" s="2025">
        <f t="shared" si="3"/>
        <v>206</v>
      </c>
      <c r="GZ1" s="2025">
        <f t="shared" si="3"/>
        <v>207</v>
      </c>
      <c r="HA1" s="2025">
        <f t="shared" si="3"/>
        <v>208</v>
      </c>
      <c r="HB1" s="2025">
        <f t="shared" si="3"/>
        <v>209</v>
      </c>
      <c r="HC1" s="2025">
        <f t="shared" si="3"/>
        <v>210</v>
      </c>
      <c r="HD1" s="2025">
        <f t="shared" si="3"/>
        <v>211</v>
      </c>
      <c r="HE1" s="2025">
        <f t="shared" si="3"/>
        <v>212</v>
      </c>
      <c r="HF1" s="2025">
        <f t="shared" si="3"/>
        <v>213</v>
      </c>
      <c r="HG1" s="2025">
        <f t="shared" si="3"/>
        <v>214</v>
      </c>
      <c r="HH1" s="2025">
        <f t="shared" si="3"/>
        <v>215</v>
      </c>
      <c r="HI1" s="2025">
        <f t="shared" si="3"/>
        <v>216</v>
      </c>
      <c r="HJ1" s="2025">
        <f t="shared" si="3"/>
        <v>217</v>
      </c>
      <c r="HK1" s="2025">
        <f t="shared" si="3"/>
        <v>218</v>
      </c>
      <c r="HL1" s="2025">
        <f t="shared" si="3"/>
        <v>219</v>
      </c>
      <c r="HM1" s="2025">
        <f t="shared" si="3"/>
        <v>220</v>
      </c>
      <c r="HN1" s="2025">
        <f t="shared" si="3"/>
        <v>221</v>
      </c>
      <c r="HO1" s="2025">
        <f t="shared" si="3"/>
        <v>222</v>
      </c>
      <c r="HP1" s="2025">
        <f t="shared" si="3"/>
        <v>223</v>
      </c>
      <c r="HQ1" s="2025">
        <f t="shared" si="3"/>
        <v>224</v>
      </c>
      <c r="HR1" s="2025">
        <f t="shared" si="3"/>
        <v>225</v>
      </c>
      <c r="HS1" s="2025">
        <f t="shared" si="3"/>
        <v>226</v>
      </c>
      <c r="HT1" s="2025">
        <f t="shared" si="3"/>
        <v>227</v>
      </c>
      <c r="HU1" s="2025">
        <f t="shared" si="3"/>
        <v>228</v>
      </c>
      <c r="HV1" s="2025">
        <f t="shared" si="3"/>
        <v>229</v>
      </c>
      <c r="HW1" s="2025">
        <f t="shared" si="3"/>
        <v>230</v>
      </c>
      <c r="HX1" s="2025">
        <f t="shared" si="3"/>
        <v>231</v>
      </c>
      <c r="HY1" s="2025">
        <f t="shared" si="3"/>
        <v>232</v>
      </c>
      <c r="HZ1" s="2025">
        <f t="shared" si="3"/>
        <v>233</v>
      </c>
      <c r="IA1" s="2025">
        <f t="shared" si="3"/>
        <v>234</v>
      </c>
      <c r="IB1" s="2025">
        <f t="shared" si="3"/>
        <v>235</v>
      </c>
      <c r="IC1" s="2025">
        <f t="shared" si="3"/>
        <v>236</v>
      </c>
      <c r="ID1" s="2025">
        <f t="shared" si="3"/>
        <v>237</v>
      </c>
      <c r="IE1" s="2025">
        <f t="shared" si="3"/>
        <v>238</v>
      </c>
      <c r="IF1" s="2025">
        <f t="shared" si="3"/>
        <v>239</v>
      </c>
      <c r="IG1" s="2025">
        <f t="shared" si="3"/>
        <v>240</v>
      </c>
      <c r="IH1" s="2025">
        <f t="shared" si="3"/>
        <v>241</v>
      </c>
      <c r="II1" s="2025">
        <f t="shared" si="3"/>
        <v>242</v>
      </c>
      <c r="IJ1" s="2025">
        <f t="shared" si="3"/>
        <v>243</v>
      </c>
      <c r="IK1" s="2025">
        <f t="shared" si="3"/>
        <v>244</v>
      </c>
      <c r="IL1" s="2025">
        <f t="shared" si="3"/>
        <v>245</v>
      </c>
      <c r="IM1" s="2025">
        <f t="shared" si="3"/>
        <v>246</v>
      </c>
      <c r="IN1" s="2025">
        <f t="shared" si="3"/>
        <v>247</v>
      </c>
      <c r="IO1" s="2025">
        <f t="shared" si="3"/>
        <v>248</v>
      </c>
      <c r="IP1" s="2025">
        <f t="shared" si="3"/>
        <v>249</v>
      </c>
      <c r="IQ1" s="2025">
        <f t="shared" si="3"/>
        <v>250</v>
      </c>
      <c r="IR1" s="2025">
        <f t="shared" si="3"/>
        <v>251</v>
      </c>
      <c r="IS1" s="2025">
        <f t="shared" si="3"/>
        <v>252</v>
      </c>
      <c r="IT1" s="2025">
        <f t="shared" si="3"/>
        <v>253</v>
      </c>
      <c r="IU1" s="2025">
        <f t="shared" si="3"/>
        <v>254</v>
      </c>
      <c r="IV1" s="2025">
        <f t="shared" si="3"/>
        <v>255</v>
      </c>
      <c r="IW1" s="2025">
        <f t="shared" ref="IW1" si="4">+IV1+1</f>
        <v>256</v>
      </c>
      <c r="IX1" s="2025">
        <f t="shared" ref="IX1" si="5">+IW1+1</f>
        <v>257</v>
      </c>
      <c r="IY1" s="2025">
        <f t="shared" ref="IY1" si="6">+IX1+1</f>
        <v>258</v>
      </c>
      <c r="IZ1" s="2025">
        <f t="shared" ref="IZ1" si="7">+IY1+1</f>
        <v>259</v>
      </c>
      <c r="JA1" s="2025">
        <f t="shared" ref="JA1" si="8">+IZ1+1</f>
        <v>260</v>
      </c>
      <c r="JB1" s="2025">
        <f t="shared" ref="JB1" si="9">+JA1+1</f>
        <v>261</v>
      </c>
      <c r="JC1" s="2025">
        <f t="shared" ref="JC1" si="10">+JB1+1</f>
        <v>262</v>
      </c>
      <c r="JD1" s="2025">
        <f t="shared" ref="JD1:JF1" si="11">+JC1+1</f>
        <v>263</v>
      </c>
      <c r="JE1" s="2025">
        <f t="shared" si="11"/>
        <v>264</v>
      </c>
      <c r="JF1" s="2025">
        <f t="shared" si="11"/>
        <v>265</v>
      </c>
      <c r="JG1" s="2026"/>
      <c r="JK1" s="2526"/>
    </row>
    <row r="2" spans="1:294" s="2034" customFormat="1" ht="60" customHeight="1" thickBot="1">
      <c r="A2" s="2027"/>
      <c r="B2" s="2028" t="s">
        <v>1349</v>
      </c>
      <c r="C2" s="2434"/>
      <c r="D2" s="2029"/>
      <c r="E2" s="2030"/>
      <c r="F2" s="2434"/>
      <c r="G2" s="2433"/>
      <c r="H2" s="2434"/>
      <c r="I2" s="2434"/>
      <c r="J2" s="2031"/>
      <c r="K2" s="2466"/>
      <c r="L2" s="2467"/>
      <c r="M2" s="2467"/>
      <c r="N2" s="2467"/>
      <c r="O2" s="2467"/>
      <c r="P2" s="2467"/>
      <c r="Q2" s="2467"/>
      <c r="R2" s="2467"/>
      <c r="S2" s="2467"/>
      <c r="T2" s="2467"/>
      <c r="U2" s="2467"/>
      <c r="V2" s="2467"/>
      <c r="W2" s="2467"/>
      <c r="X2" s="2467"/>
      <c r="Y2" s="2467"/>
      <c r="Z2" s="2467"/>
      <c r="AA2" s="2467"/>
      <c r="AB2" s="2467"/>
      <c r="AC2" s="2467"/>
      <c r="AD2" s="2467"/>
      <c r="AE2" s="2467"/>
      <c r="AF2" s="2467"/>
      <c r="AG2" s="2467"/>
      <c r="AH2" s="2467"/>
      <c r="AI2" s="2467"/>
      <c r="AJ2" s="2467"/>
      <c r="AK2" s="2467"/>
      <c r="AL2" s="2467"/>
      <c r="AM2" s="2467"/>
      <c r="AN2" s="2467"/>
      <c r="AO2" s="2467"/>
      <c r="AP2" s="2467"/>
      <c r="AQ2" s="2467"/>
      <c r="AR2" s="2467"/>
      <c r="AS2" s="2467"/>
      <c r="AT2" s="2467"/>
      <c r="AU2" s="2467"/>
      <c r="AV2" s="2467"/>
      <c r="AW2" s="2467"/>
      <c r="AX2" s="2467"/>
      <c r="AY2" s="2467"/>
      <c r="AZ2" s="2467"/>
      <c r="BA2" s="2467"/>
      <c r="BB2" s="2467"/>
      <c r="BC2" s="2467"/>
      <c r="BD2" s="2467"/>
      <c r="BE2" s="2467"/>
      <c r="BF2" s="2467"/>
      <c r="BG2" s="2467"/>
      <c r="BH2" s="2467"/>
      <c r="BI2" s="2467"/>
      <c r="BJ2" s="2467"/>
      <c r="BK2" s="2467"/>
      <c r="BL2" s="2467"/>
      <c r="BM2" s="2467"/>
      <c r="BN2" s="2467"/>
      <c r="BO2" s="2467"/>
      <c r="BP2" s="2467"/>
      <c r="BQ2" s="2467"/>
      <c r="BR2" s="2467"/>
      <c r="BS2" s="2467"/>
      <c r="BT2" s="2467"/>
      <c r="BU2" s="2467"/>
      <c r="BV2" s="2467"/>
      <c r="BW2" s="2467"/>
      <c r="BX2" s="2467"/>
      <c r="BY2" s="2467"/>
      <c r="BZ2" s="2467"/>
      <c r="CA2" s="2467"/>
      <c r="CB2" s="2467"/>
      <c r="CC2" s="2467"/>
      <c r="CD2" s="2467"/>
      <c r="CE2" s="2467"/>
      <c r="CF2" s="2467"/>
      <c r="CG2" s="2467"/>
      <c r="CH2" s="2467"/>
      <c r="CI2" s="2467"/>
      <c r="CJ2" s="2467"/>
      <c r="CK2" s="2467"/>
      <c r="CL2" s="2467"/>
      <c r="CM2" s="2467"/>
      <c r="CN2" s="2467"/>
      <c r="CO2" s="2467"/>
      <c r="CP2" s="2467"/>
      <c r="CQ2" s="2467"/>
      <c r="CR2" s="2467"/>
      <c r="CS2" s="2467"/>
      <c r="CT2" s="2467"/>
      <c r="CU2" s="2467"/>
      <c r="CV2" s="2467"/>
      <c r="CW2" s="2467"/>
      <c r="CX2" s="2467"/>
      <c r="CY2" s="2467"/>
      <c r="CZ2" s="2467"/>
      <c r="DA2" s="2467"/>
      <c r="DB2" s="2467"/>
      <c r="DC2" s="2467"/>
      <c r="DD2" s="2467"/>
      <c r="DE2" s="2467"/>
      <c r="DF2" s="2467"/>
      <c r="DG2" s="2467"/>
      <c r="DH2" s="2467"/>
      <c r="DI2" s="2467"/>
      <c r="DJ2" s="2467"/>
      <c r="DK2" s="2467"/>
      <c r="DL2" s="2467"/>
      <c r="DM2" s="2467"/>
      <c r="DN2" s="2467"/>
      <c r="DO2" s="2467"/>
      <c r="DP2" s="2467"/>
      <c r="DQ2" s="2467"/>
      <c r="DR2" s="2467"/>
      <c r="DS2" s="2467"/>
      <c r="DT2" s="2467"/>
      <c r="DU2" s="2467"/>
      <c r="DV2" s="2467"/>
      <c r="DW2" s="2467"/>
      <c r="DX2" s="2467"/>
      <c r="DY2" s="2467"/>
      <c r="DZ2" s="2467"/>
      <c r="EA2" s="2467"/>
      <c r="EB2" s="2467"/>
      <c r="EC2" s="2467"/>
      <c r="ED2" s="2467"/>
      <c r="EE2" s="2467"/>
      <c r="EF2" s="2467"/>
      <c r="EG2" s="2467"/>
      <c r="EH2" s="2467"/>
      <c r="EI2" s="2467"/>
      <c r="EJ2" s="2467"/>
      <c r="EK2" s="2467"/>
      <c r="EL2" s="2467"/>
      <c r="EM2" s="2467"/>
      <c r="EN2" s="2467"/>
      <c r="EO2" s="2467"/>
      <c r="EP2" s="2467"/>
      <c r="EQ2" s="2467"/>
      <c r="ER2" s="2467"/>
      <c r="ES2" s="2467"/>
      <c r="ET2" s="2467"/>
      <c r="EU2" s="2467"/>
      <c r="EV2" s="2467"/>
      <c r="EW2" s="2467"/>
      <c r="EX2" s="2467"/>
      <c r="EY2" s="2467"/>
      <c r="EZ2" s="2467"/>
      <c r="FA2" s="2467"/>
      <c r="FB2" s="2467"/>
      <c r="FC2" s="2467"/>
      <c r="FD2" s="2467"/>
      <c r="FE2" s="2467"/>
      <c r="FF2" s="2467"/>
      <c r="FG2" s="2467"/>
      <c r="FH2" s="2467"/>
      <c r="FI2" s="2467"/>
      <c r="FJ2" s="2467"/>
      <c r="FK2" s="2467"/>
      <c r="FL2" s="2467"/>
      <c r="FM2" s="2467"/>
      <c r="FN2" s="2467"/>
      <c r="FO2" s="2467"/>
      <c r="FP2" s="2467"/>
      <c r="FQ2" s="2467"/>
      <c r="FR2" s="2467"/>
      <c r="FS2" s="2467"/>
      <c r="FT2" s="2467"/>
      <c r="FU2" s="2467"/>
      <c r="FV2" s="2467"/>
      <c r="FW2" s="2032" t="s">
        <v>1132</v>
      </c>
      <c r="FX2" s="2032"/>
      <c r="FY2" s="2032"/>
      <c r="FZ2" s="2032"/>
      <c r="GA2" s="2032"/>
      <c r="GB2" s="2032"/>
      <c r="GC2" s="2032"/>
      <c r="GD2" s="2032"/>
      <c r="GE2" s="2032"/>
      <c r="GF2" s="2032"/>
      <c r="GG2" s="2032"/>
      <c r="GH2" s="2032"/>
      <c r="GI2" s="2032"/>
      <c r="GJ2" s="2032"/>
      <c r="GK2" s="2032"/>
      <c r="GL2" s="2032"/>
      <c r="GM2" s="2032"/>
      <c r="GN2" s="2032"/>
      <c r="GO2" s="2032"/>
      <c r="GP2" s="2032"/>
      <c r="GQ2" s="2032"/>
      <c r="GR2" s="2032"/>
      <c r="GS2" s="2032"/>
      <c r="GT2" s="2032"/>
      <c r="GU2" s="2032"/>
      <c r="GV2" s="2032"/>
      <c r="GW2" s="2032"/>
      <c r="GX2" s="2032"/>
      <c r="GY2" s="2032"/>
      <c r="GZ2" s="2032"/>
      <c r="HA2" s="2032"/>
      <c r="HB2" s="2032"/>
      <c r="HC2" s="2553" t="s">
        <v>1350</v>
      </c>
      <c r="HD2" s="2554"/>
      <c r="HE2" s="2554"/>
      <c r="HF2" s="2554"/>
      <c r="HG2" s="2554"/>
      <c r="HH2" s="2554"/>
      <c r="HI2" s="2554"/>
      <c r="HJ2" s="2554"/>
      <c r="HK2" s="2554"/>
      <c r="HL2" s="2554"/>
      <c r="HM2" s="2554"/>
      <c r="HN2" s="2554"/>
      <c r="HO2" s="2554"/>
      <c r="HP2" s="2554"/>
      <c r="HQ2" s="2554"/>
      <c r="HR2" s="2554"/>
      <c r="HS2" s="2554"/>
      <c r="HT2" s="2554"/>
      <c r="HU2" s="2554"/>
      <c r="HV2" s="2554"/>
      <c r="HW2" s="2554"/>
      <c r="HX2" s="2554"/>
      <c r="HY2" s="2554"/>
      <c r="HZ2" s="2554"/>
      <c r="IA2" s="2554"/>
      <c r="IB2" s="2554"/>
      <c r="IC2" s="2554"/>
      <c r="ID2" s="2554"/>
      <c r="IE2" s="2554"/>
      <c r="IF2" s="2554"/>
      <c r="IG2" s="2554"/>
      <c r="IH2" s="2554"/>
      <c r="II2" s="2554"/>
      <c r="IJ2" s="2554"/>
      <c r="IK2" s="2554"/>
      <c r="IL2" s="2554"/>
      <c r="IM2" s="2554"/>
      <c r="IN2" s="2554"/>
      <c r="IO2" s="2554"/>
      <c r="IP2" s="2554"/>
      <c r="IQ2" s="2554"/>
      <c r="IR2" s="2554"/>
      <c r="IS2" s="2554"/>
      <c r="IT2" s="2554"/>
      <c r="IU2" s="2554"/>
      <c r="IV2" s="2554"/>
      <c r="IW2" s="2554"/>
      <c r="IX2" s="2554"/>
      <c r="IY2" s="2554"/>
      <c r="IZ2" s="2554"/>
      <c r="JA2" s="2554"/>
      <c r="JB2" s="2554"/>
      <c r="JC2" s="2554"/>
      <c r="JD2" s="2554"/>
      <c r="JE2" s="2460"/>
      <c r="JF2" s="2397"/>
      <c r="JG2" s="2033"/>
      <c r="JH2" s="311"/>
      <c r="JI2" s="311"/>
      <c r="JJ2" s="311"/>
      <c r="JK2" s="2527"/>
      <c r="JL2" s="311"/>
      <c r="JM2" s="311"/>
      <c r="JN2" s="311"/>
      <c r="JO2" s="311"/>
      <c r="JP2" s="311"/>
      <c r="JQ2" s="311"/>
      <c r="JR2" s="311"/>
      <c r="JS2" s="311"/>
      <c r="JT2" s="311"/>
      <c r="JU2" s="311"/>
      <c r="JV2" s="311"/>
      <c r="JW2" s="311"/>
      <c r="JX2" s="311"/>
      <c r="JY2" s="311"/>
      <c r="JZ2" s="311"/>
      <c r="KA2" s="311"/>
      <c r="KB2" s="311"/>
      <c r="KC2" s="311"/>
      <c r="KD2" s="311"/>
      <c r="KE2" s="311"/>
      <c r="KF2" s="311"/>
      <c r="KG2" s="311"/>
      <c r="KH2" s="311"/>
    </row>
    <row r="3" spans="1:294" ht="16.5" thickBot="1">
      <c r="B3" s="2547" t="s">
        <v>900</v>
      </c>
      <c r="C3" s="2035"/>
      <c r="D3" s="2549" t="s">
        <v>1030</v>
      </c>
      <c r="E3" s="2551" t="s">
        <v>894</v>
      </c>
      <c r="F3" s="2551" t="s">
        <v>895</v>
      </c>
      <c r="G3" s="2549" t="s">
        <v>1157</v>
      </c>
      <c r="H3" s="2551" t="s">
        <v>896</v>
      </c>
      <c r="I3" s="2558" t="s">
        <v>897</v>
      </c>
      <c r="J3" s="2560" t="s">
        <v>898</v>
      </c>
      <c r="K3" s="2562" t="s">
        <v>899</v>
      </c>
      <c r="L3" s="2429">
        <v>2001</v>
      </c>
      <c r="M3" s="2532">
        <v>2002</v>
      </c>
      <c r="N3" s="2533"/>
      <c r="O3" s="2533"/>
      <c r="P3" s="2533"/>
      <c r="Q3" s="2533"/>
      <c r="R3" s="2533"/>
      <c r="S3" s="2533"/>
      <c r="T3" s="2533"/>
      <c r="U3" s="2533"/>
      <c r="V3" s="2533"/>
      <c r="W3" s="2533"/>
      <c r="X3" s="2534"/>
      <c r="Y3" s="2535">
        <v>2003</v>
      </c>
      <c r="Z3" s="2536"/>
      <c r="AA3" s="2536"/>
      <c r="AB3" s="2536"/>
      <c r="AC3" s="2536"/>
      <c r="AD3" s="2536"/>
      <c r="AE3" s="2536"/>
      <c r="AF3" s="2536"/>
      <c r="AG3" s="2536"/>
      <c r="AH3" s="2536"/>
      <c r="AI3" s="2537"/>
      <c r="AJ3" s="2537"/>
      <c r="AK3" s="2432"/>
      <c r="AL3" s="2433"/>
      <c r="AM3" s="2433"/>
      <c r="AN3" s="2433"/>
      <c r="AO3" s="2433"/>
      <c r="AP3" s="2536">
        <v>2004</v>
      </c>
      <c r="AQ3" s="2536"/>
      <c r="AR3" s="2536"/>
      <c r="AS3" s="2536"/>
      <c r="AT3" s="2536"/>
      <c r="AU3" s="2536"/>
      <c r="AV3" s="2546"/>
      <c r="AW3" s="2535">
        <v>2005</v>
      </c>
      <c r="AX3" s="2536"/>
      <c r="AY3" s="2536"/>
      <c r="AZ3" s="2536"/>
      <c r="BA3" s="2536"/>
      <c r="BB3" s="2536"/>
      <c r="BC3" s="2536"/>
      <c r="BD3" s="2536"/>
      <c r="BE3" s="2536"/>
      <c r="BF3" s="2536"/>
      <c r="BG3" s="2536"/>
      <c r="BH3" s="2546"/>
      <c r="BI3" s="2532">
        <v>2006</v>
      </c>
      <c r="BJ3" s="2533"/>
      <c r="BK3" s="2533"/>
      <c r="BL3" s="2533"/>
      <c r="BM3" s="2533"/>
      <c r="BN3" s="2533"/>
      <c r="BO3" s="2533"/>
      <c r="BP3" s="2533"/>
      <c r="BQ3" s="2533"/>
      <c r="BR3" s="2533"/>
      <c r="BS3" s="2533"/>
      <c r="BT3" s="2533"/>
      <c r="BU3" s="2543">
        <v>2007</v>
      </c>
      <c r="BV3" s="2544"/>
      <c r="BW3" s="2544"/>
      <c r="BX3" s="2544"/>
      <c r="BY3" s="2544"/>
      <c r="BZ3" s="2544"/>
      <c r="CA3" s="2544"/>
      <c r="CB3" s="2544"/>
      <c r="CC3" s="2544"/>
      <c r="CD3" s="2544"/>
      <c r="CE3" s="2544"/>
      <c r="CF3" s="2545"/>
      <c r="CG3" s="2543">
        <v>2008</v>
      </c>
      <c r="CH3" s="2544"/>
      <c r="CI3" s="2544"/>
      <c r="CJ3" s="2544"/>
      <c r="CK3" s="2544"/>
      <c r="CL3" s="2544"/>
      <c r="CM3" s="2544"/>
      <c r="CN3" s="2544"/>
      <c r="CO3" s="2544"/>
      <c r="CP3" s="2544"/>
      <c r="CQ3" s="2544"/>
      <c r="CR3" s="2545"/>
      <c r="CS3" s="2543">
        <v>2009</v>
      </c>
      <c r="CT3" s="2544"/>
      <c r="CU3" s="2544"/>
      <c r="CV3" s="2544"/>
      <c r="CW3" s="2544"/>
      <c r="CX3" s="2544"/>
      <c r="CY3" s="2544"/>
      <c r="CZ3" s="2544"/>
      <c r="DA3" s="2544"/>
      <c r="DB3" s="2544"/>
      <c r="DC3" s="2544"/>
      <c r="DD3" s="2544"/>
      <c r="DE3" s="2543">
        <v>2010</v>
      </c>
      <c r="DF3" s="2544"/>
      <c r="DG3" s="2544"/>
      <c r="DH3" s="2544"/>
      <c r="DI3" s="2544"/>
      <c r="DJ3" s="2544"/>
      <c r="DK3" s="2544"/>
      <c r="DL3" s="2544"/>
      <c r="DM3" s="2544"/>
      <c r="DN3" s="2544"/>
      <c r="DO3" s="2544"/>
      <c r="DP3" s="2545"/>
      <c r="DQ3" s="2543">
        <v>2011</v>
      </c>
      <c r="DR3" s="2544"/>
      <c r="DS3" s="2544"/>
      <c r="DT3" s="2544"/>
      <c r="DU3" s="2544"/>
      <c r="DV3" s="2544"/>
      <c r="DW3" s="2544"/>
      <c r="DX3" s="2544"/>
      <c r="DY3" s="2544"/>
      <c r="DZ3" s="2544"/>
      <c r="EA3" s="2545"/>
      <c r="EB3" s="2429"/>
      <c r="EC3" s="2543">
        <v>2012</v>
      </c>
      <c r="ED3" s="2544"/>
      <c r="EE3" s="2544"/>
      <c r="EF3" s="2544"/>
      <c r="EG3" s="2544"/>
      <c r="EH3" s="2544"/>
      <c r="EI3" s="2544"/>
      <c r="EJ3" s="2544"/>
      <c r="EK3" s="2544"/>
      <c r="EL3" s="2544"/>
      <c r="EM3" s="2544"/>
      <c r="EN3" s="2545"/>
      <c r="EO3" s="2543">
        <v>2013</v>
      </c>
      <c r="EP3" s="2544"/>
      <c r="EQ3" s="2544"/>
      <c r="ER3" s="2544"/>
      <c r="ES3" s="2544"/>
      <c r="ET3" s="2544"/>
      <c r="EU3" s="2544"/>
      <c r="EV3" s="2544"/>
      <c r="EW3" s="2544"/>
      <c r="EX3" s="2544"/>
      <c r="EY3" s="2544"/>
      <c r="EZ3" s="2545"/>
      <c r="FA3" s="2036"/>
      <c r="FB3" s="2037"/>
      <c r="FC3" s="2037"/>
      <c r="FD3" s="2037"/>
      <c r="FE3" s="2037"/>
      <c r="FF3" s="2037"/>
      <c r="FG3" s="2038">
        <v>2014</v>
      </c>
      <c r="FH3" s="2038"/>
      <c r="FI3" s="2038"/>
      <c r="FJ3" s="2038"/>
      <c r="FK3" s="2038"/>
      <c r="FL3" s="2039"/>
      <c r="FM3" s="2543">
        <v>2015</v>
      </c>
      <c r="FN3" s="2544"/>
      <c r="FO3" s="2544"/>
      <c r="FP3" s="2544"/>
      <c r="FQ3" s="2544"/>
      <c r="FR3" s="2544"/>
      <c r="FS3" s="2544"/>
      <c r="FT3" s="2544"/>
      <c r="FU3" s="2544"/>
      <c r="FV3" s="2544"/>
      <c r="FW3" s="2539"/>
      <c r="FX3" s="2542"/>
      <c r="FY3" s="2538">
        <v>2016</v>
      </c>
      <c r="FZ3" s="2539"/>
      <c r="GA3" s="2539"/>
      <c r="GB3" s="2539"/>
      <c r="GC3" s="2539"/>
      <c r="GD3" s="2539"/>
      <c r="GE3" s="2539"/>
      <c r="GF3" s="2539"/>
      <c r="GG3" s="2539"/>
      <c r="GH3" s="2539"/>
      <c r="GI3" s="2539"/>
      <c r="GJ3" s="2542"/>
      <c r="GK3" s="2538">
        <v>2017</v>
      </c>
      <c r="GL3" s="2539"/>
      <c r="GM3" s="2539"/>
      <c r="GN3" s="2539"/>
      <c r="GO3" s="2539"/>
      <c r="GP3" s="2539"/>
      <c r="GQ3" s="2539"/>
      <c r="GR3" s="2539"/>
      <c r="GS3" s="2539"/>
      <c r="GT3" s="2539"/>
      <c r="GU3" s="2539"/>
      <c r="GV3" s="2540"/>
      <c r="GW3" s="2541">
        <v>2018</v>
      </c>
      <c r="GX3" s="2539"/>
      <c r="GY3" s="2539"/>
      <c r="GZ3" s="2539"/>
      <c r="HA3" s="2539"/>
      <c r="HB3" s="2539"/>
      <c r="HC3" s="2539"/>
      <c r="HD3" s="2539"/>
      <c r="HE3" s="2539"/>
      <c r="HF3" s="2539"/>
      <c r="HG3" s="2539"/>
      <c r="HH3" s="2542"/>
      <c r="HI3" s="2538"/>
      <c r="HJ3" s="2539"/>
      <c r="HK3" s="2539"/>
      <c r="HL3" s="2539"/>
      <c r="HM3" s="2539"/>
      <c r="HN3" s="2539"/>
      <c r="HO3" s="2539"/>
      <c r="HP3" s="2539"/>
      <c r="HQ3" s="2430"/>
      <c r="HR3" s="2430">
        <v>2019</v>
      </c>
      <c r="HS3" s="2430"/>
      <c r="HT3" s="2431"/>
      <c r="HU3" s="2424"/>
      <c r="HV3" s="2430"/>
      <c r="HW3" s="2430"/>
      <c r="HX3" s="2430"/>
      <c r="HY3" s="2430"/>
      <c r="HZ3" s="2430"/>
      <c r="IA3" s="2430"/>
      <c r="IB3" s="2430"/>
      <c r="IC3" s="2430"/>
      <c r="ID3" s="2430">
        <v>2020</v>
      </c>
      <c r="IE3" s="2430"/>
      <c r="IF3" s="2431"/>
      <c r="IG3" s="2430"/>
      <c r="IH3" s="2430"/>
      <c r="II3" s="2430"/>
      <c r="IJ3" s="2538">
        <v>2021</v>
      </c>
      <c r="IK3" s="2556"/>
      <c r="IL3" s="2556"/>
      <c r="IM3" s="2556"/>
      <c r="IN3" s="2556"/>
      <c r="IO3" s="2556"/>
      <c r="IP3" s="2556"/>
      <c r="IQ3" s="2556"/>
      <c r="IR3" s="2557"/>
      <c r="IS3" s="2538">
        <v>2022</v>
      </c>
      <c r="IT3" s="2539"/>
      <c r="IU3" s="2539"/>
      <c r="IV3" s="2539"/>
      <c r="IW3" s="2539"/>
      <c r="IX3" s="2430"/>
      <c r="IY3" s="2430"/>
      <c r="IZ3" s="2430"/>
      <c r="JA3" s="2428"/>
      <c r="JB3" s="2428"/>
      <c r="JC3" s="2428"/>
      <c r="JD3" s="2468"/>
      <c r="JE3" s="2459">
        <v>2023</v>
      </c>
      <c r="JF3" s="2502"/>
    </row>
    <row r="4" spans="1:294" ht="22.15" customHeight="1" thickBot="1">
      <c r="B4" s="2548"/>
      <c r="C4" s="2426" t="s">
        <v>901</v>
      </c>
      <c r="D4" s="2550"/>
      <c r="E4" s="2552"/>
      <c r="F4" s="2552"/>
      <c r="G4" s="2550"/>
      <c r="H4" s="2552"/>
      <c r="I4" s="2559"/>
      <c r="J4" s="2561"/>
      <c r="K4" s="2563"/>
      <c r="L4" s="2040" t="s">
        <v>577</v>
      </c>
      <c r="M4" s="2041" t="s">
        <v>578</v>
      </c>
      <c r="N4" s="2042" t="s">
        <v>579</v>
      </c>
      <c r="O4" s="2042" t="s">
        <v>580</v>
      </c>
      <c r="P4" s="2042" t="s">
        <v>581</v>
      </c>
      <c r="Q4" s="2042" t="s">
        <v>582</v>
      </c>
      <c r="R4" s="2042" t="s">
        <v>583</v>
      </c>
      <c r="S4" s="2042" t="s">
        <v>587</v>
      </c>
      <c r="T4" s="2042" t="s">
        <v>588</v>
      </c>
      <c r="U4" s="2042" t="s">
        <v>589</v>
      </c>
      <c r="V4" s="2042" t="s">
        <v>590</v>
      </c>
      <c r="W4" s="2042" t="s">
        <v>586</v>
      </c>
      <c r="X4" s="2043" t="s">
        <v>577</v>
      </c>
      <c r="Y4" s="2044" t="s">
        <v>578</v>
      </c>
      <c r="Z4" s="2045" t="s">
        <v>579</v>
      </c>
      <c r="AA4" s="2045" t="s">
        <v>580</v>
      </c>
      <c r="AB4" s="2045" t="s">
        <v>581</v>
      </c>
      <c r="AC4" s="2045" t="s">
        <v>582</v>
      </c>
      <c r="AD4" s="2045" t="s">
        <v>583</v>
      </c>
      <c r="AE4" s="2045" t="s">
        <v>587</v>
      </c>
      <c r="AF4" s="2045" t="s">
        <v>588</v>
      </c>
      <c r="AG4" s="2045" t="s">
        <v>589</v>
      </c>
      <c r="AH4" s="2045" t="s">
        <v>590</v>
      </c>
      <c r="AI4" s="2045" t="s">
        <v>586</v>
      </c>
      <c r="AJ4" s="2046" t="s">
        <v>577</v>
      </c>
      <c r="AK4" s="2047" t="s">
        <v>578</v>
      </c>
      <c r="AL4" s="2048" t="s">
        <v>579</v>
      </c>
      <c r="AM4" s="2048" t="s">
        <v>580</v>
      </c>
      <c r="AN4" s="2048" t="s">
        <v>581</v>
      </c>
      <c r="AO4" s="2048" t="s">
        <v>582</v>
      </c>
      <c r="AP4" s="2048" t="s">
        <v>902</v>
      </c>
      <c r="AQ4" s="2049" t="s">
        <v>903</v>
      </c>
      <c r="AR4" s="2050" t="s">
        <v>904</v>
      </c>
      <c r="AS4" s="2051" t="s">
        <v>589</v>
      </c>
      <c r="AT4" s="2045" t="s">
        <v>590</v>
      </c>
      <c r="AU4" s="2052" t="s">
        <v>586</v>
      </c>
      <c r="AV4" s="2053" t="s">
        <v>577</v>
      </c>
      <c r="AW4" s="2047" t="s">
        <v>578</v>
      </c>
      <c r="AX4" s="2052" t="s">
        <v>579</v>
      </c>
      <c r="AY4" s="2049" t="s">
        <v>580</v>
      </c>
      <c r="AZ4" s="2049" t="s">
        <v>581</v>
      </c>
      <c r="BA4" s="2049" t="s">
        <v>582</v>
      </c>
      <c r="BB4" s="2054" t="s">
        <v>902</v>
      </c>
      <c r="BC4" s="2051" t="s">
        <v>903</v>
      </c>
      <c r="BD4" s="2049" t="s">
        <v>904</v>
      </c>
      <c r="BE4" s="2049" t="s">
        <v>891</v>
      </c>
      <c r="BF4" s="2055" t="s">
        <v>609</v>
      </c>
      <c r="BG4" s="2049" t="s">
        <v>586</v>
      </c>
      <c r="BH4" s="2056" t="s">
        <v>577</v>
      </c>
      <c r="BI4" s="2057" t="s">
        <v>469</v>
      </c>
      <c r="BJ4" s="2058" t="s">
        <v>498</v>
      </c>
      <c r="BK4" s="2058" t="s">
        <v>465</v>
      </c>
      <c r="BL4" s="2058" t="s">
        <v>466</v>
      </c>
      <c r="BM4" s="2058" t="s">
        <v>467</v>
      </c>
      <c r="BN4" s="2058" t="s">
        <v>902</v>
      </c>
      <c r="BO4" s="2058" t="s">
        <v>903</v>
      </c>
      <c r="BP4" s="2058" t="s">
        <v>904</v>
      </c>
      <c r="BQ4" s="2058" t="s">
        <v>891</v>
      </c>
      <c r="BR4" s="2058" t="s">
        <v>609</v>
      </c>
      <c r="BS4" s="2058" t="s">
        <v>586</v>
      </c>
      <c r="BT4" s="2056" t="s">
        <v>611</v>
      </c>
      <c r="BU4" s="2059" t="s">
        <v>469</v>
      </c>
      <c r="BV4" s="2049" t="s">
        <v>498</v>
      </c>
      <c r="BW4" s="2049" t="s">
        <v>465</v>
      </c>
      <c r="BX4" s="2058" t="s">
        <v>466</v>
      </c>
      <c r="BY4" s="2049" t="s">
        <v>467</v>
      </c>
      <c r="BZ4" s="2049" t="s">
        <v>902</v>
      </c>
      <c r="CA4" s="2049" t="s">
        <v>903</v>
      </c>
      <c r="CB4" s="2049" t="s">
        <v>904</v>
      </c>
      <c r="CC4" s="2049" t="s">
        <v>891</v>
      </c>
      <c r="CD4" s="2049" t="s">
        <v>609</v>
      </c>
      <c r="CE4" s="2058" t="s">
        <v>610</v>
      </c>
      <c r="CF4" s="2060" t="s">
        <v>611</v>
      </c>
      <c r="CG4" s="2061" t="s">
        <v>511</v>
      </c>
      <c r="CH4" s="2062" t="s">
        <v>513</v>
      </c>
      <c r="CI4" s="2063" t="s">
        <v>139</v>
      </c>
      <c r="CJ4" s="2063" t="s">
        <v>514</v>
      </c>
      <c r="CK4" s="2063" t="s">
        <v>534</v>
      </c>
      <c r="CL4" s="2063" t="s">
        <v>503</v>
      </c>
      <c r="CM4" s="2062" t="s">
        <v>457</v>
      </c>
      <c r="CN4" s="2064" t="s">
        <v>392</v>
      </c>
      <c r="CO4" s="2065" t="s">
        <v>891</v>
      </c>
      <c r="CP4" s="2065" t="s">
        <v>609</v>
      </c>
      <c r="CQ4" s="2065" t="s">
        <v>610</v>
      </c>
      <c r="CR4" s="2066" t="s">
        <v>611</v>
      </c>
      <c r="CS4" s="2067" t="s">
        <v>511</v>
      </c>
      <c r="CT4" s="2065" t="s">
        <v>513</v>
      </c>
      <c r="CU4" s="2065" t="s">
        <v>139</v>
      </c>
      <c r="CV4" s="2065" t="s">
        <v>514</v>
      </c>
      <c r="CW4" s="2065" t="s">
        <v>534</v>
      </c>
      <c r="CX4" s="2065" t="s">
        <v>503</v>
      </c>
      <c r="CY4" s="2065" t="s">
        <v>457</v>
      </c>
      <c r="CZ4" s="2065" t="s">
        <v>588</v>
      </c>
      <c r="DA4" s="2068" t="s">
        <v>589</v>
      </c>
      <c r="DB4" s="2065" t="s">
        <v>609</v>
      </c>
      <c r="DC4" s="2069" t="s">
        <v>610</v>
      </c>
      <c r="DD4" s="2068" t="s">
        <v>611</v>
      </c>
      <c r="DE4" s="2070" t="s">
        <v>511</v>
      </c>
      <c r="DF4" s="2065" t="s">
        <v>513</v>
      </c>
      <c r="DG4" s="2069" t="s">
        <v>139</v>
      </c>
      <c r="DH4" s="2068" t="s">
        <v>466</v>
      </c>
      <c r="DI4" s="2071" t="s">
        <v>467</v>
      </c>
      <c r="DJ4" s="2072" t="s">
        <v>902</v>
      </c>
      <c r="DK4" s="2071" t="s">
        <v>903</v>
      </c>
      <c r="DL4" s="2046" t="s">
        <v>904</v>
      </c>
      <c r="DM4" s="2071" t="s">
        <v>891</v>
      </c>
      <c r="DN4" s="2072" t="s">
        <v>590</v>
      </c>
      <c r="DO4" s="2046" t="s">
        <v>610</v>
      </c>
      <c r="DP4" s="2073" t="s">
        <v>611</v>
      </c>
      <c r="DQ4" s="2070" t="s">
        <v>511</v>
      </c>
      <c r="DR4" s="2068" t="s">
        <v>513</v>
      </c>
      <c r="DS4" s="2068" t="s">
        <v>139</v>
      </c>
      <c r="DT4" s="2046" t="s">
        <v>514</v>
      </c>
      <c r="DU4" s="2071" t="s">
        <v>534</v>
      </c>
      <c r="DV4" s="2072" t="s">
        <v>503</v>
      </c>
      <c r="DW4" s="2046" t="s">
        <v>903</v>
      </c>
      <c r="DX4" s="2046" t="s">
        <v>904</v>
      </c>
      <c r="DY4" s="2046" t="s">
        <v>891</v>
      </c>
      <c r="DZ4" s="2046" t="s">
        <v>609</v>
      </c>
      <c r="EA4" s="2074" t="s">
        <v>610</v>
      </c>
      <c r="EB4" s="2073" t="s">
        <v>611</v>
      </c>
      <c r="EC4" s="2046" t="s">
        <v>511</v>
      </c>
      <c r="ED4" s="2046" t="s">
        <v>513</v>
      </c>
      <c r="EE4" s="2046" t="s">
        <v>139</v>
      </c>
      <c r="EF4" s="2046" t="s">
        <v>514</v>
      </c>
      <c r="EG4" s="2046" t="s">
        <v>534</v>
      </c>
      <c r="EH4" s="2046" t="s">
        <v>503</v>
      </c>
      <c r="EI4" s="2046" t="s">
        <v>457</v>
      </c>
      <c r="EJ4" s="2046" t="s">
        <v>392</v>
      </c>
      <c r="EK4" s="2074" t="s">
        <v>765</v>
      </c>
      <c r="EL4" s="2071" t="s">
        <v>609</v>
      </c>
      <c r="EM4" s="2072" t="s">
        <v>586</v>
      </c>
      <c r="EN4" s="2046" t="s">
        <v>611</v>
      </c>
      <c r="EO4" s="2059" t="s">
        <v>469</v>
      </c>
      <c r="EP4" s="2046" t="s">
        <v>498</v>
      </c>
      <c r="EQ4" s="2074" t="s">
        <v>465</v>
      </c>
      <c r="ER4" s="2074" t="s">
        <v>466</v>
      </c>
      <c r="ES4" s="2074" t="s">
        <v>467</v>
      </c>
      <c r="ET4" s="2046" t="s">
        <v>902</v>
      </c>
      <c r="EU4" s="2046" t="s">
        <v>903</v>
      </c>
      <c r="EV4" s="2046" t="s">
        <v>904</v>
      </c>
      <c r="EW4" s="2046" t="s">
        <v>891</v>
      </c>
      <c r="EX4" s="2046" t="s">
        <v>609</v>
      </c>
      <c r="EY4" s="2074" t="s">
        <v>610</v>
      </c>
      <c r="EZ4" s="2075" t="s">
        <v>611</v>
      </c>
      <c r="FA4" s="2076" t="s">
        <v>469</v>
      </c>
      <c r="FB4" s="2077" t="s">
        <v>513</v>
      </c>
      <c r="FC4" s="2074" t="s">
        <v>139</v>
      </c>
      <c r="FD4" s="2074" t="s">
        <v>514</v>
      </c>
      <c r="FE4" s="2074" t="s">
        <v>534</v>
      </c>
      <c r="FF4" s="2074" t="s">
        <v>503</v>
      </c>
      <c r="FG4" s="2074" t="s">
        <v>903</v>
      </c>
      <c r="FH4" s="2074" t="s">
        <v>904</v>
      </c>
      <c r="FI4" s="2074" t="s">
        <v>891</v>
      </c>
      <c r="FJ4" s="2074" t="s">
        <v>609</v>
      </c>
      <c r="FK4" s="2074" t="s">
        <v>586</v>
      </c>
      <c r="FL4" s="2073" t="s">
        <v>611</v>
      </c>
      <c r="FM4" s="2074" t="s">
        <v>511</v>
      </c>
      <c r="FN4" s="2074" t="s">
        <v>513</v>
      </c>
      <c r="FO4" s="2074" t="s">
        <v>139</v>
      </c>
      <c r="FP4" s="2074" t="s">
        <v>514</v>
      </c>
      <c r="FQ4" s="2074" t="s">
        <v>534</v>
      </c>
      <c r="FR4" s="2074" t="s">
        <v>503</v>
      </c>
      <c r="FS4" s="2074" t="s">
        <v>457</v>
      </c>
      <c r="FT4" s="2074" t="s">
        <v>588</v>
      </c>
      <c r="FU4" s="2074" t="s">
        <v>589</v>
      </c>
      <c r="FV4" s="2074" t="s">
        <v>590</v>
      </c>
      <c r="FW4" s="2078" t="s">
        <v>586</v>
      </c>
      <c r="FX4" s="2078" t="s">
        <v>577</v>
      </c>
      <c r="FY4" s="2078" t="s">
        <v>578</v>
      </c>
      <c r="FZ4" s="2078" t="s">
        <v>579</v>
      </c>
      <c r="GA4" s="2078" t="s">
        <v>580</v>
      </c>
      <c r="GB4" s="2079" t="s">
        <v>514</v>
      </c>
      <c r="GC4" s="2080" t="s">
        <v>534</v>
      </c>
      <c r="GD4" s="2080" t="s">
        <v>503</v>
      </c>
      <c r="GE4" s="2080" t="s">
        <v>587</v>
      </c>
      <c r="GF4" s="2080" t="s">
        <v>588</v>
      </c>
      <c r="GG4" s="2080" t="s">
        <v>589</v>
      </c>
      <c r="GH4" s="2080" t="s">
        <v>590</v>
      </c>
      <c r="GI4" s="2080" t="s">
        <v>586</v>
      </c>
      <c r="GJ4" s="2080" t="s">
        <v>577</v>
      </c>
      <c r="GK4" s="2080" t="s">
        <v>578</v>
      </c>
      <c r="GL4" s="2080" t="s">
        <v>579</v>
      </c>
      <c r="GM4" s="2080" t="s">
        <v>580</v>
      </c>
      <c r="GN4" s="2080" t="s">
        <v>581</v>
      </c>
      <c r="GO4" s="2080" t="s">
        <v>582</v>
      </c>
      <c r="GP4" s="2080" t="s">
        <v>1099</v>
      </c>
      <c r="GQ4" s="2080" t="s">
        <v>1100</v>
      </c>
      <c r="GR4" s="2080" t="s">
        <v>1101</v>
      </c>
      <c r="GS4" s="2080" t="s">
        <v>1102</v>
      </c>
      <c r="GT4" s="2080" t="s">
        <v>1103</v>
      </c>
      <c r="GU4" s="2080" t="s">
        <v>1104</v>
      </c>
      <c r="GV4" s="2080" t="s">
        <v>1105</v>
      </c>
      <c r="GW4" s="2080" t="s">
        <v>1106</v>
      </c>
      <c r="GX4" s="2080" t="s">
        <v>1107</v>
      </c>
      <c r="GY4" s="2080" t="s">
        <v>1108</v>
      </c>
      <c r="GZ4" s="2080" t="s">
        <v>1109</v>
      </c>
      <c r="HA4" s="2080" t="s">
        <v>1110</v>
      </c>
      <c r="HB4" s="2080" t="s">
        <v>1099</v>
      </c>
      <c r="HC4" s="2080" t="s">
        <v>1100</v>
      </c>
      <c r="HD4" s="2080" t="s">
        <v>1101</v>
      </c>
      <c r="HE4" s="2080" t="s">
        <v>1102</v>
      </c>
      <c r="HF4" s="2080" t="s">
        <v>1103</v>
      </c>
      <c r="HG4" s="2080" t="s">
        <v>1104</v>
      </c>
      <c r="HH4" s="2080" t="s">
        <v>1105</v>
      </c>
      <c r="HI4" s="2080" t="s">
        <v>1106</v>
      </c>
      <c r="HJ4" s="2080" t="s">
        <v>1107</v>
      </c>
      <c r="HK4" s="2080" t="s">
        <v>1108</v>
      </c>
      <c r="HL4" s="2080" t="s">
        <v>1109</v>
      </c>
      <c r="HM4" s="2080" t="s">
        <v>1110</v>
      </c>
      <c r="HN4" s="2080" t="s">
        <v>1099</v>
      </c>
      <c r="HO4" s="2080" t="s">
        <v>1100</v>
      </c>
      <c r="HP4" s="2080" t="s">
        <v>1101</v>
      </c>
      <c r="HQ4" s="2080" t="s">
        <v>1102</v>
      </c>
      <c r="HR4" s="2080" t="s">
        <v>1103</v>
      </c>
      <c r="HS4" s="2080" t="s">
        <v>1104</v>
      </c>
      <c r="HT4" s="2080" t="s">
        <v>1105</v>
      </c>
      <c r="HU4" s="2081" t="s">
        <v>1106</v>
      </c>
      <c r="HV4" s="2082" t="s">
        <v>1107</v>
      </c>
      <c r="HW4" s="2082" t="s">
        <v>1108</v>
      </c>
      <c r="HX4" s="2082" t="s">
        <v>1109</v>
      </c>
      <c r="HY4" s="2082" t="s">
        <v>1110</v>
      </c>
      <c r="HZ4" s="2082" t="s">
        <v>1099</v>
      </c>
      <c r="IA4" s="2082" t="s">
        <v>1100</v>
      </c>
      <c r="IB4" s="2082" t="s">
        <v>1101</v>
      </c>
      <c r="IC4" s="2082" t="s">
        <v>1102</v>
      </c>
      <c r="ID4" s="2082" t="s">
        <v>1103</v>
      </c>
      <c r="IE4" s="2082" t="s">
        <v>1104</v>
      </c>
      <c r="IF4" s="2083" t="s">
        <v>1105</v>
      </c>
      <c r="IG4" s="2084" t="s">
        <v>1106</v>
      </c>
      <c r="IH4" s="2085" t="s">
        <v>1107</v>
      </c>
      <c r="II4" s="2085" t="s">
        <v>1108</v>
      </c>
      <c r="IJ4" s="2085" t="s">
        <v>1109</v>
      </c>
      <c r="IK4" s="2085" t="s">
        <v>1110</v>
      </c>
      <c r="IL4" s="2085" t="s">
        <v>1099</v>
      </c>
      <c r="IM4" s="2085" t="s">
        <v>1100</v>
      </c>
      <c r="IN4" s="2085" t="s">
        <v>1101</v>
      </c>
      <c r="IO4" s="2085" t="s">
        <v>1102</v>
      </c>
      <c r="IP4" s="2085" t="s">
        <v>1103</v>
      </c>
      <c r="IQ4" s="2085" t="s">
        <v>1104</v>
      </c>
      <c r="IR4" s="2085" t="s">
        <v>1105</v>
      </c>
      <c r="IS4" s="2272" t="s">
        <v>1106</v>
      </c>
      <c r="IT4" s="2085" t="s">
        <v>1107</v>
      </c>
      <c r="IU4" s="2085" t="s">
        <v>1108</v>
      </c>
      <c r="IV4" s="2085" t="s">
        <v>1109</v>
      </c>
      <c r="IW4" s="2085" t="s">
        <v>1110</v>
      </c>
      <c r="IX4" s="2085" t="s">
        <v>1099</v>
      </c>
      <c r="IY4" s="2085" t="s">
        <v>1100</v>
      </c>
      <c r="IZ4" s="2085" t="s">
        <v>1101</v>
      </c>
      <c r="JA4" s="2085" t="s">
        <v>1102</v>
      </c>
      <c r="JB4" s="2085" t="s">
        <v>1103</v>
      </c>
      <c r="JC4" s="2085" t="s">
        <v>1104</v>
      </c>
      <c r="JD4" s="2085" t="s">
        <v>1105</v>
      </c>
      <c r="JE4" s="2272" t="s">
        <v>1106</v>
      </c>
      <c r="JF4" s="2083" t="s">
        <v>1107</v>
      </c>
      <c r="JH4" s="2086">
        <v>44986</v>
      </c>
      <c r="JI4" s="2086"/>
    </row>
    <row r="5" spans="1:294">
      <c r="B5" s="2087">
        <v>1</v>
      </c>
      <c r="C5" s="2088"/>
      <c r="D5" s="2089"/>
      <c r="E5" s="2090" t="s">
        <v>905</v>
      </c>
      <c r="F5" s="2088"/>
      <c r="G5" s="2088" t="s">
        <v>907</v>
      </c>
      <c r="H5" s="2088" t="s">
        <v>907</v>
      </c>
      <c r="I5" s="2091"/>
      <c r="J5" s="2092" t="s">
        <v>908</v>
      </c>
      <c r="K5" s="2089" t="s">
        <v>187</v>
      </c>
      <c r="L5" s="2093">
        <v>1.17</v>
      </c>
      <c r="M5" s="2093">
        <v>1.17</v>
      </c>
      <c r="N5" s="2093">
        <v>1.17</v>
      </c>
      <c r="O5" s="2093">
        <v>1.17</v>
      </c>
      <c r="P5" s="2093">
        <v>1.17</v>
      </c>
      <c r="Q5" s="2093">
        <v>1.17</v>
      </c>
      <c r="R5" s="2093">
        <v>1.17</v>
      </c>
      <c r="S5" s="2093">
        <v>1.17</v>
      </c>
      <c r="T5" s="2093">
        <v>1.17</v>
      </c>
      <c r="U5" s="2093">
        <v>1.17</v>
      </c>
      <c r="V5" s="2093">
        <v>1.17</v>
      </c>
      <c r="W5" s="2093">
        <v>1.17</v>
      </c>
      <c r="X5" s="2093">
        <v>1.17</v>
      </c>
      <c r="Y5" s="2094">
        <v>1.17</v>
      </c>
      <c r="Z5" s="2094">
        <v>1.17</v>
      </c>
      <c r="AA5" s="2095">
        <v>1.17</v>
      </c>
      <c r="AB5" s="2095">
        <v>1.17</v>
      </c>
      <c r="AC5" s="2095">
        <v>1.17</v>
      </c>
      <c r="AD5" s="2095">
        <v>1.17</v>
      </c>
      <c r="AE5" s="2095">
        <v>1.42</v>
      </c>
      <c r="AF5" s="2095">
        <v>1.4770000000000001</v>
      </c>
      <c r="AG5" s="2094">
        <v>1.617</v>
      </c>
      <c r="AH5" s="2094">
        <v>1.776</v>
      </c>
      <c r="AI5" s="2094">
        <v>1.9350000000000001</v>
      </c>
      <c r="AJ5" s="2095">
        <v>2.0950000000000002</v>
      </c>
      <c r="AK5" s="2094">
        <v>2.254</v>
      </c>
      <c r="AL5" s="2094">
        <v>2.4129999999999998</v>
      </c>
      <c r="AM5" s="2094">
        <v>2.4129999999999998</v>
      </c>
      <c r="AN5" s="2094">
        <v>2.4129999999999998</v>
      </c>
      <c r="AO5" s="2095">
        <v>2.4129999999999998</v>
      </c>
      <c r="AP5" s="2095">
        <v>2.4129999999999998</v>
      </c>
      <c r="AQ5" s="2095">
        <v>2.4129999999999998</v>
      </c>
      <c r="AR5" s="2095">
        <v>2.4129999999999998</v>
      </c>
      <c r="AS5" s="2095">
        <v>2.4129999999999998</v>
      </c>
      <c r="AT5" s="2095">
        <v>2.4129999999999998</v>
      </c>
      <c r="AU5" s="2095">
        <v>2.4129999999999998</v>
      </c>
      <c r="AV5" s="2095">
        <v>2.4129999999999998</v>
      </c>
      <c r="AW5" s="2096">
        <v>2.4129999999999998</v>
      </c>
      <c r="AX5" s="2096">
        <v>2.4129999999999998</v>
      </c>
      <c r="AY5" s="2096">
        <v>2.56</v>
      </c>
      <c r="AZ5" s="2096">
        <v>2.9</v>
      </c>
      <c r="BA5" s="2096">
        <v>2.9</v>
      </c>
      <c r="BB5" s="2096">
        <v>2.9</v>
      </c>
      <c r="BC5" s="2096">
        <v>2.9</v>
      </c>
      <c r="BD5" s="2097">
        <v>2.9</v>
      </c>
      <c r="BE5" s="2096">
        <v>2.9</v>
      </c>
      <c r="BF5" s="2096">
        <v>2.9</v>
      </c>
      <c r="BG5" s="2096">
        <v>3.58</v>
      </c>
      <c r="BH5" s="2096">
        <v>3.58</v>
      </c>
      <c r="BI5" s="2093">
        <v>3.58</v>
      </c>
      <c r="BJ5" s="2093">
        <v>3.58</v>
      </c>
      <c r="BK5" s="2093">
        <v>3.58</v>
      </c>
      <c r="BL5" s="2093">
        <v>3.58</v>
      </c>
      <c r="BM5" s="2093">
        <v>3.76</v>
      </c>
      <c r="BN5" s="2093">
        <v>3.76</v>
      </c>
      <c r="BO5" s="2093">
        <v>3.76</v>
      </c>
      <c r="BP5" s="2093">
        <v>3.76</v>
      </c>
      <c r="BQ5" s="2093">
        <v>3.94</v>
      </c>
      <c r="BR5" s="2093">
        <v>3.94</v>
      </c>
      <c r="BS5" s="2093">
        <v>3.94</v>
      </c>
      <c r="BT5" s="2093">
        <v>3.94</v>
      </c>
      <c r="BU5" s="2093">
        <v>4.54</v>
      </c>
      <c r="BV5" s="2093">
        <v>4.54</v>
      </c>
      <c r="BW5" s="2093">
        <v>4.54</v>
      </c>
      <c r="BX5" s="2093">
        <v>4.54</v>
      </c>
      <c r="BY5" s="2093">
        <v>4.99</v>
      </c>
      <c r="BZ5" s="2093">
        <v>4.99</v>
      </c>
      <c r="CA5" s="2093">
        <v>5.29</v>
      </c>
      <c r="CB5" s="2093">
        <v>5.29</v>
      </c>
      <c r="CC5" s="2093">
        <v>5.29</v>
      </c>
      <c r="CD5" s="2093">
        <v>6.56</v>
      </c>
      <c r="CE5" s="2093">
        <v>6.56</v>
      </c>
      <c r="CF5" s="2093">
        <v>6.56</v>
      </c>
      <c r="CG5" s="2093">
        <v>6.56</v>
      </c>
      <c r="CH5" s="2093">
        <v>6.56</v>
      </c>
      <c r="CI5" s="2093">
        <v>6.56</v>
      </c>
      <c r="CJ5" s="2093">
        <v>7.21</v>
      </c>
      <c r="CK5" s="2093">
        <v>7.21</v>
      </c>
      <c r="CL5" s="2093">
        <v>7.21</v>
      </c>
      <c r="CM5" s="2093">
        <v>7.54</v>
      </c>
      <c r="CN5" s="2093">
        <v>7.54</v>
      </c>
      <c r="CO5" s="2093">
        <v>7.54</v>
      </c>
      <c r="CP5" s="2093">
        <v>7.84</v>
      </c>
      <c r="CQ5" s="2093">
        <v>7.84</v>
      </c>
      <c r="CR5" s="2093">
        <v>7.84</v>
      </c>
      <c r="CS5" s="2093">
        <v>7.84</v>
      </c>
      <c r="CT5" s="2093">
        <v>7.84</v>
      </c>
      <c r="CU5" s="2093">
        <v>7.84</v>
      </c>
      <c r="CV5" s="2093">
        <v>7.84</v>
      </c>
      <c r="CW5" s="2093">
        <v>7.84</v>
      </c>
      <c r="CX5" s="2093">
        <v>8.5500000000000007</v>
      </c>
      <c r="CY5" s="2093">
        <v>8.5500000000000007</v>
      </c>
      <c r="CZ5" s="2093">
        <v>8.5500000000000007</v>
      </c>
      <c r="DA5" s="2093">
        <v>8.5500000000000007</v>
      </c>
      <c r="DB5" s="2093">
        <v>9.06</v>
      </c>
      <c r="DC5" s="2093">
        <v>9.06</v>
      </c>
      <c r="DD5" s="2093">
        <v>9.06</v>
      </c>
      <c r="DE5" s="2093">
        <v>9.06</v>
      </c>
      <c r="DF5" s="2093">
        <v>9.06</v>
      </c>
      <c r="DG5" s="2093">
        <v>9.06</v>
      </c>
      <c r="DH5" s="2093">
        <v>9.06</v>
      </c>
      <c r="DI5" s="2093">
        <v>10.06</v>
      </c>
      <c r="DJ5" s="2093">
        <v>10.06</v>
      </c>
      <c r="DK5" s="2093">
        <v>10.06</v>
      </c>
      <c r="DL5" s="2093">
        <v>10.76</v>
      </c>
      <c r="DM5" s="2093">
        <v>10.76</v>
      </c>
      <c r="DN5" s="2093">
        <v>10.76</v>
      </c>
      <c r="DO5" s="2093">
        <v>10.76</v>
      </c>
      <c r="DP5" s="2093">
        <v>11.51</v>
      </c>
      <c r="DQ5" s="2093">
        <v>11.51</v>
      </c>
      <c r="DR5" s="2093">
        <v>11.51</v>
      </c>
      <c r="DS5" s="2093">
        <v>11.51</v>
      </c>
      <c r="DT5" s="2093">
        <v>12.89</v>
      </c>
      <c r="DU5" s="2093">
        <v>12.89</v>
      </c>
      <c r="DV5" s="2093">
        <v>12.89</v>
      </c>
      <c r="DW5" s="2093">
        <v>12.89</v>
      </c>
      <c r="DX5" s="2093">
        <v>13.66</v>
      </c>
      <c r="DY5" s="2093">
        <v>13.66</v>
      </c>
      <c r="DZ5" s="2093">
        <v>13.66</v>
      </c>
      <c r="EA5" s="2093">
        <v>14.48</v>
      </c>
      <c r="EB5" s="2093">
        <v>14.48</v>
      </c>
      <c r="EC5" s="2093">
        <v>14.48</v>
      </c>
      <c r="ED5" s="2093">
        <v>14.48</v>
      </c>
      <c r="EE5" s="2093">
        <v>14.48</v>
      </c>
      <c r="EF5" s="2093">
        <v>14.48</v>
      </c>
      <c r="EG5" s="2093">
        <v>14.48</v>
      </c>
      <c r="EH5" s="2093">
        <v>18.61</v>
      </c>
      <c r="EI5" s="2093">
        <v>18.61</v>
      </c>
      <c r="EJ5" s="2093">
        <v>18.61</v>
      </c>
      <c r="EK5" s="2093">
        <v>18.61</v>
      </c>
      <c r="EL5" s="2093">
        <v>18.61</v>
      </c>
      <c r="EM5" s="2093">
        <v>18.61</v>
      </c>
      <c r="EN5" s="2093">
        <v>18.61</v>
      </c>
      <c r="EO5" s="2093">
        <v>18.61</v>
      </c>
      <c r="EP5" s="2093">
        <v>18.61</v>
      </c>
      <c r="EQ5" s="2093">
        <v>18.61</v>
      </c>
      <c r="ER5" s="2093">
        <v>18.61</v>
      </c>
      <c r="ES5" s="2093">
        <v>18.61</v>
      </c>
      <c r="ET5" s="2093">
        <v>21.96</v>
      </c>
      <c r="EU5" s="2093">
        <v>21.96</v>
      </c>
      <c r="EV5" s="2093">
        <v>21.96</v>
      </c>
      <c r="EW5" s="2093">
        <v>23.28</v>
      </c>
      <c r="EX5" s="2093">
        <v>23.28</v>
      </c>
      <c r="EY5" s="2093">
        <v>23.28</v>
      </c>
      <c r="EZ5" s="2093">
        <v>23.28</v>
      </c>
      <c r="FA5" s="2093">
        <v>23.28</v>
      </c>
      <c r="FB5" s="2093">
        <v>23.28</v>
      </c>
      <c r="FC5" s="2093">
        <v>23.28</v>
      </c>
      <c r="FD5" s="2093">
        <v>27.42</v>
      </c>
      <c r="FE5" s="2093">
        <v>27.42</v>
      </c>
      <c r="FF5" s="2093">
        <v>27.42</v>
      </c>
      <c r="FG5" s="2093">
        <v>30.16</v>
      </c>
      <c r="FH5" s="2093">
        <v>30.16</v>
      </c>
      <c r="FI5" s="2093">
        <v>30.16</v>
      </c>
      <c r="FJ5" s="2093">
        <v>30.16</v>
      </c>
      <c r="FK5" s="2093">
        <v>30.16</v>
      </c>
      <c r="FL5" s="2093">
        <v>30.16</v>
      </c>
      <c r="FM5" s="2093">
        <v>30.16</v>
      </c>
      <c r="FN5" s="2093">
        <v>30.16</v>
      </c>
      <c r="FO5" s="2093">
        <v>30.16</v>
      </c>
      <c r="FP5" s="2093">
        <v>35.409999999999997</v>
      </c>
      <c r="FQ5" s="2093">
        <v>35.409999999999997</v>
      </c>
      <c r="FR5" s="2093">
        <v>35.409999999999997</v>
      </c>
      <c r="FS5" s="2093">
        <v>35.409999999999997</v>
      </c>
      <c r="FT5" s="2093">
        <v>38.42</v>
      </c>
      <c r="FU5" s="2093">
        <v>38.42</v>
      </c>
      <c r="FV5" s="2093">
        <v>38.42</v>
      </c>
      <c r="FW5" s="2098">
        <v>38.42</v>
      </c>
      <c r="FX5" s="2098">
        <v>38.42</v>
      </c>
      <c r="FY5" s="2098">
        <v>38.42</v>
      </c>
      <c r="FZ5" s="2098">
        <v>38.42</v>
      </c>
      <c r="GA5" s="2098">
        <v>38.42</v>
      </c>
      <c r="GB5" s="2099">
        <v>46.87</v>
      </c>
      <c r="GC5" s="2098">
        <v>46.87</v>
      </c>
      <c r="GD5" s="2098">
        <v>46.87</v>
      </c>
      <c r="GE5" s="2098">
        <v>46.87</v>
      </c>
      <c r="GF5" s="2099">
        <v>46.87</v>
      </c>
      <c r="GG5" s="1958">
        <v>46.87</v>
      </c>
      <c r="GH5" s="2099">
        <v>51.48</v>
      </c>
      <c r="GI5" s="2099">
        <v>51.48</v>
      </c>
      <c r="GJ5" s="2098">
        <v>51.48</v>
      </c>
      <c r="GK5" s="2098">
        <v>53.4</v>
      </c>
      <c r="GL5" s="2098">
        <v>53.4</v>
      </c>
      <c r="GM5" s="2099">
        <v>53.4</v>
      </c>
      <c r="GN5" s="2099">
        <v>59.28</v>
      </c>
      <c r="GO5" s="2100">
        <v>59.28</v>
      </c>
      <c r="GP5" s="2101">
        <v>59.28</v>
      </c>
      <c r="GQ5" s="2101">
        <v>65.209999999999994</v>
      </c>
      <c r="GR5" s="2101">
        <v>65.209999999999994</v>
      </c>
      <c r="GS5" s="2101">
        <v>65.209999999999994</v>
      </c>
      <c r="GT5" s="1958">
        <v>65.209999999999994</v>
      </c>
      <c r="GU5" s="1958">
        <v>65.209999999999994</v>
      </c>
      <c r="GV5" s="1958">
        <v>65.209999999999994</v>
      </c>
      <c r="GW5" s="1958">
        <v>65.209999999999994</v>
      </c>
      <c r="GX5" s="1958">
        <v>66.180000000000007</v>
      </c>
      <c r="GY5" s="1958">
        <v>67.16</v>
      </c>
      <c r="GZ5" s="1958">
        <v>73.88</v>
      </c>
      <c r="HA5" s="1958">
        <v>73.88</v>
      </c>
      <c r="HB5" s="1958">
        <v>73.88</v>
      </c>
      <c r="HC5" s="1958">
        <v>73.88</v>
      </c>
      <c r="HD5" s="1958">
        <v>77.569999999999993</v>
      </c>
      <c r="HE5" s="1958">
        <v>80.680000000000007</v>
      </c>
      <c r="HF5" s="1958">
        <v>83.1</v>
      </c>
      <c r="HG5" s="1958">
        <v>85.52</v>
      </c>
      <c r="HH5" s="2102">
        <v>85.52</v>
      </c>
      <c r="HI5" s="1958">
        <v>88.08</v>
      </c>
      <c r="HJ5" s="1958">
        <v>88.08</v>
      </c>
      <c r="HK5" s="1958">
        <v>94.25</v>
      </c>
      <c r="HL5" s="1958">
        <v>103.67</v>
      </c>
      <c r="HM5" s="1958">
        <v>108.86</v>
      </c>
      <c r="HN5" s="1958">
        <v>108.86</v>
      </c>
      <c r="HO5" s="1958">
        <v>113.52</v>
      </c>
      <c r="HP5" s="1958">
        <v>117.49</v>
      </c>
      <c r="HQ5" s="1958">
        <v>117.49</v>
      </c>
      <c r="HR5" s="1958">
        <v>126.67</v>
      </c>
      <c r="HS5" s="1958">
        <v>134.27000000000001</v>
      </c>
      <c r="HT5" s="1992">
        <v>134.27000000000001</v>
      </c>
      <c r="HU5" s="1959">
        <v>142.47999999999999</v>
      </c>
      <c r="HV5" s="1958">
        <v>148.16999999999999</v>
      </c>
      <c r="HW5" s="1958">
        <v>148.16999999999999</v>
      </c>
      <c r="HX5" s="1958">
        <v>148.16999999999999</v>
      </c>
      <c r="HY5" s="1958">
        <v>148.16999999999999</v>
      </c>
      <c r="HZ5" s="1958">
        <v>148.16999999999999</v>
      </c>
      <c r="IA5" s="1958">
        <v>148.16999999999999</v>
      </c>
      <c r="IB5" s="1958">
        <v>148.16999999999999</v>
      </c>
      <c r="IC5" s="1958">
        <v>148.16999999999999</v>
      </c>
      <c r="ID5" s="1958">
        <v>148.16999999999999</v>
      </c>
      <c r="IE5" s="1958">
        <v>185.22</v>
      </c>
      <c r="IF5" s="1958">
        <v>185.22</v>
      </c>
      <c r="IG5" s="1959">
        <v>185.22</v>
      </c>
      <c r="IH5" s="1958">
        <v>197.07</v>
      </c>
      <c r="II5" s="1958">
        <v>197.07</v>
      </c>
      <c r="IJ5" s="1959">
        <v>220.72</v>
      </c>
      <c r="IK5" s="1958">
        <v>220.72</v>
      </c>
      <c r="IL5" s="1958">
        <v>220.72</v>
      </c>
      <c r="IM5" s="1958">
        <v>240.43</v>
      </c>
      <c r="IN5" s="1958">
        <v>240.43</v>
      </c>
      <c r="IO5" s="1958">
        <v>250.28</v>
      </c>
      <c r="IP5" s="1958">
        <v>264.08</v>
      </c>
      <c r="IQ5" s="1958">
        <v>264.08</v>
      </c>
      <c r="IR5" s="1958">
        <v>264.08</v>
      </c>
      <c r="IS5" s="2273">
        <v>273.93</v>
      </c>
      <c r="IT5" s="1958">
        <v>287.33</v>
      </c>
      <c r="IU5" s="1958">
        <v>303.49</v>
      </c>
      <c r="IV5" s="1958">
        <v>303.49</v>
      </c>
      <c r="IW5" s="1958">
        <v>334</v>
      </c>
      <c r="IX5" s="1958">
        <v>364</v>
      </c>
      <c r="IY5" s="1958">
        <v>364</v>
      </c>
      <c r="IZ5" s="1958">
        <v>388</v>
      </c>
      <c r="JA5" s="1958">
        <v>428</v>
      </c>
      <c r="JB5" s="1958">
        <v>467</v>
      </c>
      <c r="JC5" s="1958">
        <v>504</v>
      </c>
      <c r="JD5" s="1958">
        <v>504</v>
      </c>
      <c r="JE5" s="2273">
        <v>519</v>
      </c>
      <c r="JF5" s="1992">
        <v>607</v>
      </c>
      <c r="JG5" s="2103">
        <f>+JF5/JE5</f>
        <v>1.1695568400770713</v>
      </c>
      <c r="JH5" s="2155">
        <v>622</v>
      </c>
      <c r="JI5" s="2155"/>
      <c r="JJ5" s="2104"/>
      <c r="JL5" s="2104"/>
    </row>
    <row r="6" spans="1:294">
      <c r="B6" s="2105">
        <v>2</v>
      </c>
      <c r="C6" s="2106"/>
      <c r="D6" s="2425"/>
      <c r="E6" s="2107" t="s">
        <v>909</v>
      </c>
      <c r="F6" s="2106"/>
      <c r="G6" s="2106" t="s">
        <v>907</v>
      </c>
      <c r="H6" s="2106" t="s">
        <v>907</v>
      </c>
      <c r="I6" s="2106"/>
      <c r="J6" s="2359" t="s">
        <v>910</v>
      </c>
      <c r="K6" s="2425" t="s">
        <v>183</v>
      </c>
      <c r="L6" s="2108">
        <v>1.18</v>
      </c>
      <c r="M6" s="2108">
        <v>1.18</v>
      </c>
      <c r="N6" s="2108">
        <v>1.18</v>
      </c>
      <c r="O6" s="2108">
        <v>1.18</v>
      </c>
      <c r="P6" s="2108">
        <v>1.18</v>
      </c>
      <c r="Q6" s="2108">
        <v>1.18</v>
      </c>
      <c r="R6" s="2108">
        <v>1.18</v>
      </c>
      <c r="S6" s="2108">
        <v>1.18</v>
      </c>
      <c r="T6" s="2108">
        <v>1.18</v>
      </c>
      <c r="U6" s="2108">
        <v>1.18</v>
      </c>
      <c r="V6" s="2108">
        <v>1.18</v>
      </c>
      <c r="W6" s="2108">
        <v>1.18</v>
      </c>
      <c r="X6" s="2108">
        <v>1.18</v>
      </c>
      <c r="Y6" s="2109">
        <v>1.18</v>
      </c>
      <c r="Z6" s="2109">
        <v>1.18</v>
      </c>
      <c r="AA6" s="2110">
        <v>1.18</v>
      </c>
      <c r="AB6" s="2110">
        <v>1.18</v>
      </c>
      <c r="AC6" s="2110">
        <v>1.18</v>
      </c>
      <c r="AD6" s="2110">
        <v>1.18</v>
      </c>
      <c r="AE6" s="2110">
        <v>1.42</v>
      </c>
      <c r="AF6" s="2110">
        <v>1.478</v>
      </c>
      <c r="AG6" s="2109">
        <v>1.637</v>
      </c>
      <c r="AH6" s="2109">
        <v>1.796</v>
      </c>
      <c r="AI6" s="2110">
        <v>1.9550000000000001</v>
      </c>
      <c r="AJ6" s="2110">
        <v>2.1150000000000002</v>
      </c>
      <c r="AK6" s="2109">
        <v>2.274</v>
      </c>
      <c r="AL6" s="2109">
        <v>2.4329999999999998</v>
      </c>
      <c r="AM6" s="2109">
        <v>2.4329999999999998</v>
      </c>
      <c r="AN6" s="2109">
        <v>2.4329999999999998</v>
      </c>
      <c r="AO6" s="2110">
        <v>2.4329999999999998</v>
      </c>
      <c r="AP6" s="2110">
        <v>2.4329999999999998</v>
      </c>
      <c r="AQ6" s="2110">
        <v>2.4329999999999998</v>
      </c>
      <c r="AR6" s="2110">
        <v>2.4329999999999998</v>
      </c>
      <c r="AS6" s="2110">
        <v>2.4329999999999998</v>
      </c>
      <c r="AT6" s="2110">
        <v>2.4329999999999998</v>
      </c>
      <c r="AU6" s="2110">
        <v>2.4329999999999998</v>
      </c>
      <c r="AV6" s="2110">
        <v>2.4329999999999998</v>
      </c>
      <c r="AW6" s="2111">
        <v>2.4329999999999998</v>
      </c>
      <c r="AX6" s="2111">
        <v>2.4329999999999998</v>
      </c>
      <c r="AY6" s="2111">
        <v>2.68</v>
      </c>
      <c r="AZ6" s="2111">
        <v>3.02</v>
      </c>
      <c r="BA6" s="2111">
        <v>3.02</v>
      </c>
      <c r="BB6" s="2111">
        <v>3.02</v>
      </c>
      <c r="BC6" s="2111">
        <v>3.02</v>
      </c>
      <c r="BD6" s="2112">
        <v>3.02</v>
      </c>
      <c r="BE6" s="2111">
        <v>3.02</v>
      </c>
      <c r="BF6" s="2111">
        <v>3.02</v>
      </c>
      <c r="BG6" s="2111">
        <v>3.73</v>
      </c>
      <c r="BH6" s="2111">
        <v>3.73</v>
      </c>
      <c r="BI6" s="2108">
        <v>3.73</v>
      </c>
      <c r="BJ6" s="2108">
        <v>3.73</v>
      </c>
      <c r="BK6" s="2108">
        <v>3.73</v>
      </c>
      <c r="BL6" s="2108">
        <v>3.73</v>
      </c>
      <c r="BM6" s="2108">
        <v>3.91</v>
      </c>
      <c r="BN6" s="2108">
        <v>3.91</v>
      </c>
      <c r="BO6" s="2108">
        <v>3.91</v>
      </c>
      <c r="BP6" s="2108">
        <v>3.91</v>
      </c>
      <c r="BQ6" s="2108">
        <v>4.0999999999999996</v>
      </c>
      <c r="BR6" s="2108">
        <v>4.0999999999999996</v>
      </c>
      <c r="BS6" s="2108">
        <v>4.0999999999999996</v>
      </c>
      <c r="BT6" s="2108">
        <v>4.0999999999999996</v>
      </c>
      <c r="BU6" s="2108">
        <v>4.76</v>
      </c>
      <c r="BV6" s="2108">
        <v>4.76</v>
      </c>
      <c r="BW6" s="2108">
        <v>4.76</v>
      </c>
      <c r="BX6" s="2108">
        <v>4.76</v>
      </c>
      <c r="BY6" s="2108">
        <v>5.24</v>
      </c>
      <c r="BZ6" s="2108">
        <v>5.24</v>
      </c>
      <c r="CA6" s="2108">
        <v>5.55</v>
      </c>
      <c r="CB6" s="2108">
        <v>5.55</v>
      </c>
      <c r="CC6" s="2108">
        <v>5.55</v>
      </c>
      <c r="CD6" s="2108">
        <v>7.13</v>
      </c>
      <c r="CE6" s="2108">
        <v>7.13</v>
      </c>
      <c r="CF6" s="2108">
        <v>7.13</v>
      </c>
      <c r="CG6" s="2108">
        <v>7.13</v>
      </c>
      <c r="CH6" s="2108">
        <v>7.13</v>
      </c>
      <c r="CI6" s="2108">
        <v>7.13</v>
      </c>
      <c r="CJ6" s="2108">
        <v>7.84</v>
      </c>
      <c r="CK6" s="2108">
        <v>7.84</v>
      </c>
      <c r="CL6" s="2108">
        <v>7.84</v>
      </c>
      <c r="CM6" s="2108">
        <v>8.1999999999999993</v>
      </c>
      <c r="CN6" s="2108">
        <v>8.1999999999999993</v>
      </c>
      <c r="CO6" s="2108">
        <v>8.1999999999999993</v>
      </c>
      <c r="CP6" s="2108">
        <v>8.52</v>
      </c>
      <c r="CQ6" s="2108">
        <v>8.52</v>
      </c>
      <c r="CR6" s="2108">
        <v>8.52</v>
      </c>
      <c r="CS6" s="2108">
        <v>8.52</v>
      </c>
      <c r="CT6" s="2108">
        <v>8.52</v>
      </c>
      <c r="CU6" s="2108">
        <v>8.52</v>
      </c>
      <c r="CV6" s="2108">
        <v>8.52</v>
      </c>
      <c r="CW6" s="2108">
        <v>8.52</v>
      </c>
      <c r="CX6" s="2108">
        <v>9.2899999999999991</v>
      </c>
      <c r="CY6" s="2108">
        <v>9.2899999999999991</v>
      </c>
      <c r="CZ6" s="2108">
        <v>9.2899999999999991</v>
      </c>
      <c r="DA6" s="2108">
        <v>9.2899999999999991</v>
      </c>
      <c r="DB6" s="2108">
        <v>9.85</v>
      </c>
      <c r="DC6" s="2108">
        <v>9.85</v>
      </c>
      <c r="DD6" s="2108">
        <v>9.85</v>
      </c>
      <c r="DE6" s="2108">
        <v>9.85</v>
      </c>
      <c r="DF6" s="2108">
        <v>9.85</v>
      </c>
      <c r="DG6" s="2108">
        <v>9.85</v>
      </c>
      <c r="DH6" s="2108">
        <v>9.85</v>
      </c>
      <c r="DI6" s="2108">
        <v>10.93</v>
      </c>
      <c r="DJ6" s="2108">
        <v>10.93</v>
      </c>
      <c r="DK6" s="2108">
        <v>10.93</v>
      </c>
      <c r="DL6" s="2108">
        <v>11.7</v>
      </c>
      <c r="DM6" s="2108">
        <v>11.7</v>
      </c>
      <c r="DN6" s="2108">
        <v>11.7</v>
      </c>
      <c r="DO6" s="2108">
        <v>11.7</v>
      </c>
      <c r="DP6" s="2108">
        <v>12.52</v>
      </c>
      <c r="DQ6" s="2108">
        <v>12.52</v>
      </c>
      <c r="DR6" s="2108">
        <v>12.52</v>
      </c>
      <c r="DS6" s="2108">
        <v>12.52</v>
      </c>
      <c r="DT6" s="2108">
        <v>14.02</v>
      </c>
      <c r="DU6" s="2108">
        <v>14.02</v>
      </c>
      <c r="DV6" s="2108">
        <v>14.02</v>
      </c>
      <c r="DW6" s="2108">
        <v>14.02</v>
      </c>
      <c r="DX6" s="2108">
        <v>14.86</v>
      </c>
      <c r="DY6" s="2108">
        <v>14.86</v>
      </c>
      <c r="DZ6" s="2108">
        <v>14.86</v>
      </c>
      <c r="EA6" s="2108">
        <v>15.76</v>
      </c>
      <c r="EB6" s="2108">
        <v>15.76</v>
      </c>
      <c r="EC6" s="2108">
        <v>15.76</v>
      </c>
      <c r="ED6" s="2108">
        <v>15.76</v>
      </c>
      <c r="EE6" s="2108">
        <v>15.76</v>
      </c>
      <c r="EF6" s="2108">
        <v>15.76</v>
      </c>
      <c r="EG6" s="2108">
        <v>15.76</v>
      </c>
      <c r="EH6" s="2108">
        <v>20.27</v>
      </c>
      <c r="EI6" s="2108">
        <v>20.27</v>
      </c>
      <c r="EJ6" s="2108">
        <v>20.27</v>
      </c>
      <c r="EK6" s="2108">
        <v>20.27</v>
      </c>
      <c r="EL6" s="2108">
        <v>20.27</v>
      </c>
      <c r="EM6" s="2108">
        <v>20.27</v>
      </c>
      <c r="EN6" s="2108">
        <v>20.27</v>
      </c>
      <c r="EO6" s="2108">
        <v>20.27</v>
      </c>
      <c r="EP6" s="2108">
        <v>20.27</v>
      </c>
      <c r="EQ6" s="2108">
        <v>20.27</v>
      </c>
      <c r="ER6" s="2108">
        <v>20.27</v>
      </c>
      <c r="ES6" s="2108">
        <v>20.27</v>
      </c>
      <c r="ET6" s="2108">
        <v>23.92</v>
      </c>
      <c r="EU6" s="2108">
        <v>23.92</v>
      </c>
      <c r="EV6" s="2108">
        <v>23.92</v>
      </c>
      <c r="EW6" s="2108">
        <v>25.35</v>
      </c>
      <c r="EX6" s="2108">
        <v>25.35</v>
      </c>
      <c r="EY6" s="2108">
        <v>25.35</v>
      </c>
      <c r="EZ6" s="2108">
        <v>25.35</v>
      </c>
      <c r="FA6" s="2108">
        <v>25.35</v>
      </c>
      <c r="FB6" s="2108">
        <v>25.35</v>
      </c>
      <c r="FC6" s="2108">
        <v>25.35</v>
      </c>
      <c r="FD6" s="2108">
        <v>29.86</v>
      </c>
      <c r="FE6" s="2108">
        <v>29.86</v>
      </c>
      <c r="FF6" s="2108">
        <v>29.86</v>
      </c>
      <c r="FG6" s="2108">
        <v>32.85</v>
      </c>
      <c r="FH6" s="2108">
        <v>32.85</v>
      </c>
      <c r="FI6" s="2108">
        <v>32.85</v>
      </c>
      <c r="FJ6" s="2108">
        <v>32.85</v>
      </c>
      <c r="FK6" s="2108">
        <v>32.85</v>
      </c>
      <c r="FL6" s="2108">
        <v>32.85</v>
      </c>
      <c r="FM6" s="2108">
        <v>32.85</v>
      </c>
      <c r="FN6" s="2108">
        <v>32.85</v>
      </c>
      <c r="FO6" s="2108">
        <v>32.85</v>
      </c>
      <c r="FP6" s="2108">
        <v>38.57</v>
      </c>
      <c r="FQ6" s="2108">
        <v>38.57</v>
      </c>
      <c r="FR6" s="2108">
        <v>38.57</v>
      </c>
      <c r="FS6" s="2108">
        <v>38.57</v>
      </c>
      <c r="FT6" s="2108">
        <v>41.85</v>
      </c>
      <c r="FU6" s="2108">
        <v>41.85</v>
      </c>
      <c r="FV6" s="2108">
        <v>41.85</v>
      </c>
      <c r="FW6" s="2113">
        <v>41.85</v>
      </c>
      <c r="FX6" s="2113">
        <v>41.85</v>
      </c>
      <c r="FY6" s="2113">
        <v>41.85</v>
      </c>
      <c r="FZ6" s="2113">
        <v>41.85</v>
      </c>
      <c r="GA6" s="2113">
        <v>41.85</v>
      </c>
      <c r="GB6" s="2114">
        <v>51.06</v>
      </c>
      <c r="GC6" s="2113">
        <v>51.06</v>
      </c>
      <c r="GD6" s="2113">
        <v>51.06</v>
      </c>
      <c r="GE6" s="2113">
        <v>51.06</v>
      </c>
      <c r="GF6" s="2114">
        <v>51.06</v>
      </c>
      <c r="GG6" s="1960">
        <v>51.06</v>
      </c>
      <c r="GH6" s="2114">
        <v>56.08</v>
      </c>
      <c r="GI6" s="2114">
        <v>56.08</v>
      </c>
      <c r="GJ6" s="2113">
        <v>56.08</v>
      </c>
      <c r="GK6" s="2113">
        <v>58.17</v>
      </c>
      <c r="GL6" s="2113">
        <v>58.17</v>
      </c>
      <c r="GM6" s="2114">
        <v>58.17</v>
      </c>
      <c r="GN6" s="2114">
        <v>64.569999999999993</v>
      </c>
      <c r="GO6" s="2115">
        <v>64.569999999999993</v>
      </c>
      <c r="GP6" s="2116">
        <v>64.569999999999993</v>
      </c>
      <c r="GQ6" s="2116">
        <v>71.03</v>
      </c>
      <c r="GR6" s="2116">
        <v>71.03</v>
      </c>
      <c r="GS6" s="2116">
        <v>71.03</v>
      </c>
      <c r="GT6" s="1960">
        <v>71.03</v>
      </c>
      <c r="GU6" s="1960">
        <v>71.03</v>
      </c>
      <c r="GV6" s="1960">
        <v>71.03</v>
      </c>
      <c r="GW6" s="1960">
        <v>71.03</v>
      </c>
      <c r="GX6" s="1960">
        <v>72.09</v>
      </c>
      <c r="GY6" s="1960">
        <v>73.16</v>
      </c>
      <c r="GZ6" s="1960">
        <v>80.47</v>
      </c>
      <c r="HA6" s="1960">
        <v>80.47</v>
      </c>
      <c r="HB6" s="1960">
        <v>80.47</v>
      </c>
      <c r="HC6" s="1960">
        <v>80.47</v>
      </c>
      <c r="HD6" s="1960">
        <v>84.5</v>
      </c>
      <c r="HE6" s="1960">
        <v>87.88</v>
      </c>
      <c r="HF6" s="1960">
        <v>90.51</v>
      </c>
      <c r="HG6" s="1960">
        <v>93.15</v>
      </c>
      <c r="HH6" s="2117">
        <v>93.15</v>
      </c>
      <c r="HI6" s="1960">
        <v>95.94</v>
      </c>
      <c r="HJ6" s="1960">
        <v>95.94</v>
      </c>
      <c r="HK6" s="1960">
        <v>102.66</v>
      </c>
      <c r="HL6" s="1960">
        <v>112.93</v>
      </c>
      <c r="HM6" s="1960">
        <v>118.57</v>
      </c>
      <c r="HN6" s="1960">
        <v>118.57</v>
      </c>
      <c r="HO6" s="1960">
        <v>123.66</v>
      </c>
      <c r="HP6" s="1960">
        <v>127.98</v>
      </c>
      <c r="HQ6" s="1960">
        <v>127.98</v>
      </c>
      <c r="HR6" s="1960">
        <v>137.97999999999999</v>
      </c>
      <c r="HS6" s="1960">
        <v>146.26</v>
      </c>
      <c r="HT6" s="1962">
        <v>146.26</v>
      </c>
      <c r="HU6" s="1961">
        <v>155.19999999999999</v>
      </c>
      <c r="HV6" s="1960">
        <v>161.4</v>
      </c>
      <c r="HW6" s="1960">
        <v>161.4</v>
      </c>
      <c r="HX6" s="1960">
        <v>161.4</v>
      </c>
      <c r="HY6" s="1960">
        <v>161.4</v>
      </c>
      <c r="HZ6" s="1960">
        <v>161.4</v>
      </c>
      <c r="IA6" s="1960">
        <v>161.4</v>
      </c>
      <c r="IB6" s="1960">
        <v>161.4</v>
      </c>
      <c r="IC6" s="1960">
        <v>161.4</v>
      </c>
      <c r="ID6" s="1960">
        <v>161.4</v>
      </c>
      <c r="IE6" s="1960">
        <v>201.75</v>
      </c>
      <c r="IF6" s="1960">
        <v>201.75</v>
      </c>
      <c r="IG6" s="1961">
        <v>201.75</v>
      </c>
      <c r="IH6" s="1960">
        <v>214.67</v>
      </c>
      <c r="II6" s="1960">
        <v>214.67</v>
      </c>
      <c r="IJ6" s="1961">
        <v>240.43</v>
      </c>
      <c r="IK6" s="1960">
        <v>240.43</v>
      </c>
      <c r="IL6" s="1960">
        <v>240.43</v>
      </c>
      <c r="IM6" s="1960">
        <v>261.89</v>
      </c>
      <c r="IN6" s="1960">
        <v>261.89</v>
      </c>
      <c r="IO6" s="1960">
        <v>272.63</v>
      </c>
      <c r="IP6" s="1960">
        <v>287.64999999999998</v>
      </c>
      <c r="IQ6" s="1960">
        <v>287.64999999999998</v>
      </c>
      <c r="IR6" s="1960">
        <v>287.64999999999998</v>
      </c>
      <c r="IS6" s="2274">
        <v>298.39</v>
      </c>
      <c r="IT6" s="1960">
        <v>312.98</v>
      </c>
      <c r="IU6" s="1960">
        <v>330.59</v>
      </c>
      <c r="IV6" s="1960">
        <v>330.59</v>
      </c>
      <c r="IW6" s="1960">
        <v>364</v>
      </c>
      <c r="IX6" s="1960">
        <v>397</v>
      </c>
      <c r="IY6" s="1960">
        <v>397</v>
      </c>
      <c r="IZ6" s="1960">
        <v>423</v>
      </c>
      <c r="JA6" s="1960">
        <v>466</v>
      </c>
      <c r="JB6" s="1960">
        <v>509</v>
      </c>
      <c r="JC6" s="1960">
        <v>549</v>
      </c>
      <c r="JD6" s="1960">
        <v>549</v>
      </c>
      <c r="JE6" s="2274">
        <v>565</v>
      </c>
      <c r="JF6" s="1962">
        <v>661</v>
      </c>
      <c r="JG6" s="2103">
        <f t="shared" ref="JG6:JG69" si="12">+JF6/JE6</f>
        <v>1.1699115044247788</v>
      </c>
      <c r="JH6" s="2155">
        <v>678</v>
      </c>
      <c r="JI6" s="2155"/>
      <c r="JJ6" s="2104"/>
      <c r="JL6" s="2104"/>
    </row>
    <row r="7" spans="1:294">
      <c r="B7" s="2105">
        <v>3</v>
      </c>
      <c r="C7" s="2106"/>
      <c r="D7" s="2425"/>
      <c r="E7" s="2107" t="s">
        <v>883</v>
      </c>
      <c r="F7" s="2106"/>
      <c r="G7" s="2106" t="s">
        <v>907</v>
      </c>
      <c r="H7" s="2106" t="s">
        <v>907</v>
      </c>
      <c r="I7" s="2106"/>
      <c r="J7" s="2359" t="s">
        <v>911</v>
      </c>
      <c r="K7" s="2425" t="s">
        <v>183</v>
      </c>
      <c r="L7" s="2108">
        <v>1.26</v>
      </c>
      <c r="M7" s="2110">
        <v>1.26</v>
      </c>
      <c r="N7" s="2110">
        <v>1.26</v>
      </c>
      <c r="O7" s="2110">
        <v>1.26</v>
      </c>
      <c r="P7" s="2110">
        <v>1.26</v>
      </c>
      <c r="Q7" s="2110">
        <v>1.26</v>
      </c>
      <c r="R7" s="2110">
        <v>1.26</v>
      </c>
      <c r="S7" s="2110">
        <v>1.26</v>
      </c>
      <c r="T7" s="2110">
        <v>1.26</v>
      </c>
      <c r="U7" s="2110">
        <v>1.26</v>
      </c>
      <c r="V7" s="2110">
        <v>1.26</v>
      </c>
      <c r="W7" s="2110">
        <v>1.26</v>
      </c>
      <c r="X7" s="2110">
        <v>1.26</v>
      </c>
      <c r="Y7" s="2110">
        <v>1.26</v>
      </c>
      <c r="Z7" s="2110">
        <v>1.26</v>
      </c>
      <c r="AA7" s="2110">
        <v>1.26</v>
      </c>
      <c r="AB7" s="2110">
        <v>1.26</v>
      </c>
      <c r="AC7" s="2110">
        <v>1.26</v>
      </c>
      <c r="AD7" s="2110">
        <v>1.26</v>
      </c>
      <c r="AE7" s="2110">
        <v>1.42</v>
      </c>
      <c r="AF7" s="2110">
        <v>1.5580000000000001</v>
      </c>
      <c r="AG7" s="2110">
        <v>1.7170000000000001</v>
      </c>
      <c r="AH7" s="2110">
        <v>1.8759999999999999</v>
      </c>
      <c r="AI7" s="2110">
        <v>2.0350000000000001</v>
      </c>
      <c r="AJ7" s="2110">
        <v>2.1949999999999998</v>
      </c>
      <c r="AK7" s="2110">
        <v>2.3540000000000001</v>
      </c>
      <c r="AL7" s="2110">
        <v>2.5129999999999999</v>
      </c>
      <c r="AM7" s="2109">
        <v>2.5129999999999999</v>
      </c>
      <c r="AN7" s="2110">
        <v>2.5129999999999999</v>
      </c>
      <c r="AO7" s="2110">
        <v>2.5129999999999999</v>
      </c>
      <c r="AP7" s="2110">
        <v>2.5129999999999999</v>
      </c>
      <c r="AQ7" s="2110">
        <v>2.5129999999999999</v>
      </c>
      <c r="AR7" s="2110">
        <v>2.5129999999999999</v>
      </c>
      <c r="AS7" s="2110">
        <v>2.5129999999999999</v>
      </c>
      <c r="AT7" s="2110">
        <v>2.5129999999999999</v>
      </c>
      <c r="AU7" s="2110">
        <v>2.5129999999999999</v>
      </c>
      <c r="AV7" s="2110">
        <v>2.5129999999999999</v>
      </c>
      <c r="AW7" s="2111">
        <v>2.5129999999999999</v>
      </c>
      <c r="AX7" s="2111">
        <v>2.5129999999999999</v>
      </c>
      <c r="AY7" s="2111">
        <v>2.9</v>
      </c>
      <c r="AZ7" s="2111">
        <v>3.24</v>
      </c>
      <c r="BA7" s="2111">
        <v>3.24</v>
      </c>
      <c r="BB7" s="2111">
        <v>3.24</v>
      </c>
      <c r="BC7" s="2111">
        <v>3.24</v>
      </c>
      <c r="BD7" s="2112">
        <v>3.24</v>
      </c>
      <c r="BE7" s="2111">
        <v>3.24</v>
      </c>
      <c r="BF7" s="2111">
        <v>3.24</v>
      </c>
      <c r="BG7" s="2111">
        <v>4</v>
      </c>
      <c r="BH7" s="2111">
        <v>4</v>
      </c>
      <c r="BI7" s="2108">
        <v>4</v>
      </c>
      <c r="BJ7" s="2108">
        <v>4</v>
      </c>
      <c r="BK7" s="2108">
        <v>4</v>
      </c>
      <c r="BL7" s="2108">
        <v>4</v>
      </c>
      <c r="BM7" s="2108">
        <v>4.2</v>
      </c>
      <c r="BN7" s="2108">
        <v>4.2</v>
      </c>
      <c r="BO7" s="2108">
        <v>4.2</v>
      </c>
      <c r="BP7" s="2108">
        <v>4.2</v>
      </c>
      <c r="BQ7" s="2108">
        <v>4.41</v>
      </c>
      <c r="BR7" s="2108">
        <v>4.41</v>
      </c>
      <c r="BS7" s="2108">
        <v>4.41</v>
      </c>
      <c r="BT7" s="2108">
        <v>4.41</v>
      </c>
      <c r="BU7" s="2108">
        <v>5.12</v>
      </c>
      <c r="BV7" s="2108">
        <v>5.12</v>
      </c>
      <c r="BW7" s="2108">
        <v>5.12</v>
      </c>
      <c r="BX7" s="2108">
        <v>5.12</v>
      </c>
      <c r="BY7" s="2108">
        <v>5.63</v>
      </c>
      <c r="BZ7" s="2108">
        <v>5.63</v>
      </c>
      <c r="CA7" s="2108">
        <v>5.96</v>
      </c>
      <c r="CB7" s="2108">
        <v>5.96</v>
      </c>
      <c r="CC7" s="2108">
        <v>5.96</v>
      </c>
      <c r="CD7" s="2108">
        <v>7.75</v>
      </c>
      <c r="CE7" s="2108">
        <v>7.75</v>
      </c>
      <c r="CF7" s="2108">
        <v>7.75</v>
      </c>
      <c r="CG7" s="2108">
        <v>7.75</v>
      </c>
      <c r="CH7" s="2108">
        <v>7.75</v>
      </c>
      <c r="CI7" s="2108">
        <v>7.75</v>
      </c>
      <c r="CJ7" s="2108">
        <v>8.52</v>
      </c>
      <c r="CK7" s="2108">
        <v>8.52</v>
      </c>
      <c r="CL7" s="2108">
        <v>8.52</v>
      </c>
      <c r="CM7" s="2108">
        <v>8.91</v>
      </c>
      <c r="CN7" s="2108">
        <v>8.91</v>
      </c>
      <c r="CO7" s="2108">
        <v>8.91</v>
      </c>
      <c r="CP7" s="2108">
        <v>9.26</v>
      </c>
      <c r="CQ7" s="2108">
        <v>9.26</v>
      </c>
      <c r="CR7" s="2108">
        <v>9.26</v>
      </c>
      <c r="CS7" s="2108">
        <v>9.26</v>
      </c>
      <c r="CT7" s="2108">
        <v>9.26</v>
      </c>
      <c r="CU7" s="2108">
        <v>9.26</v>
      </c>
      <c r="CV7" s="2108">
        <v>9.26</v>
      </c>
      <c r="CW7" s="2108">
        <v>9.26</v>
      </c>
      <c r="CX7" s="2108">
        <v>10.09</v>
      </c>
      <c r="CY7" s="2108">
        <v>10.09</v>
      </c>
      <c r="CZ7" s="2108">
        <v>10.09</v>
      </c>
      <c r="DA7" s="2108">
        <v>10.09</v>
      </c>
      <c r="DB7" s="2108">
        <v>10.7</v>
      </c>
      <c r="DC7" s="2108">
        <v>10.7</v>
      </c>
      <c r="DD7" s="2108">
        <v>10.7</v>
      </c>
      <c r="DE7" s="2108">
        <v>10.7</v>
      </c>
      <c r="DF7" s="2108">
        <v>10.7</v>
      </c>
      <c r="DG7" s="2108">
        <v>10.7</v>
      </c>
      <c r="DH7" s="2108">
        <v>10.7</v>
      </c>
      <c r="DI7" s="2108">
        <v>11.88</v>
      </c>
      <c r="DJ7" s="2108">
        <v>11.88</v>
      </c>
      <c r="DK7" s="2108">
        <v>11.88</v>
      </c>
      <c r="DL7" s="2108">
        <v>12.71</v>
      </c>
      <c r="DM7" s="2108">
        <v>12.71</v>
      </c>
      <c r="DN7" s="2108">
        <v>12.71</v>
      </c>
      <c r="DO7" s="2108">
        <v>12.71</v>
      </c>
      <c r="DP7" s="2108">
        <v>13.6</v>
      </c>
      <c r="DQ7" s="2108">
        <v>13.6</v>
      </c>
      <c r="DR7" s="2108">
        <v>13.6</v>
      </c>
      <c r="DS7" s="2108">
        <v>13.6</v>
      </c>
      <c r="DT7" s="2108">
        <v>15.23</v>
      </c>
      <c r="DU7" s="2108">
        <v>15.23</v>
      </c>
      <c r="DV7" s="2108">
        <v>15.23</v>
      </c>
      <c r="DW7" s="2108">
        <v>15.23</v>
      </c>
      <c r="DX7" s="2108">
        <v>16.149999999999999</v>
      </c>
      <c r="DY7" s="2108">
        <v>16.149999999999999</v>
      </c>
      <c r="DZ7" s="2108">
        <v>16.149999999999999</v>
      </c>
      <c r="EA7" s="2108">
        <v>17.11</v>
      </c>
      <c r="EB7" s="2108">
        <v>17.11</v>
      </c>
      <c r="EC7" s="2108">
        <v>17.11</v>
      </c>
      <c r="ED7" s="2108">
        <v>17.11</v>
      </c>
      <c r="EE7" s="2108">
        <v>17.11</v>
      </c>
      <c r="EF7" s="2108">
        <v>17.11</v>
      </c>
      <c r="EG7" s="2108">
        <v>17.11</v>
      </c>
      <c r="EH7" s="2108">
        <v>21.99</v>
      </c>
      <c r="EI7" s="2108">
        <v>21.99</v>
      </c>
      <c r="EJ7" s="2108">
        <v>21.99</v>
      </c>
      <c r="EK7" s="2108">
        <v>21.99</v>
      </c>
      <c r="EL7" s="2108">
        <v>21.99</v>
      </c>
      <c r="EM7" s="2108">
        <v>21.99</v>
      </c>
      <c r="EN7" s="2108">
        <v>21.99</v>
      </c>
      <c r="EO7" s="2108">
        <v>21.99</v>
      </c>
      <c r="EP7" s="2108">
        <v>21.99</v>
      </c>
      <c r="EQ7" s="2108">
        <v>21.99</v>
      </c>
      <c r="ER7" s="2108">
        <v>21.99</v>
      </c>
      <c r="ES7" s="2108">
        <v>21.99</v>
      </c>
      <c r="ET7" s="2108">
        <v>25.95</v>
      </c>
      <c r="EU7" s="2108">
        <v>25.95</v>
      </c>
      <c r="EV7" s="2108">
        <v>25.95</v>
      </c>
      <c r="EW7" s="2108">
        <v>27.51</v>
      </c>
      <c r="EX7" s="2108">
        <v>27.51</v>
      </c>
      <c r="EY7" s="2108">
        <v>27.51</v>
      </c>
      <c r="EZ7" s="2108">
        <v>27.51</v>
      </c>
      <c r="FA7" s="2108">
        <v>27.51</v>
      </c>
      <c r="FB7" s="2108">
        <v>27.51</v>
      </c>
      <c r="FC7" s="2108">
        <v>27.51</v>
      </c>
      <c r="FD7" s="2108">
        <v>32.39</v>
      </c>
      <c r="FE7" s="2108">
        <v>32.39</v>
      </c>
      <c r="FF7" s="2108">
        <v>32.39</v>
      </c>
      <c r="FG7" s="2108">
        <v>35.630000000000003</v>
      </c>
      <c r="FH7" s="2108">
        <v>35.630000000000003</v>
      </c>
      <c r="FI7" s="2108">
        <v>35.630000000000003</v>
      </c>
      <c r="FJ7" s="2108">
        <v>35.630000000000003</v>
      </c>
      <c r="FK7" s="2108">
        <v>35.630000000000003</v>
      </c>
      <c r="FL7" s="2108">
        <v>35.630000000000003</v>
      </c>
      <c r="FM7" s="2108">
        <v>35.630000000000003</v>
      </c>
      <c r="FN7" s="2108">
        <v>35.630000000000003</v>
      </c>
      <c r="FO7" s="2108">
        <v>35.630000000000003</v>
      </c>
      <c r="FP7" s="2108">
        <v>41.83</v>
      </c>
      <c r="FQ7" s="2108">
        <v>41.83</v>
      </c>
      <c r="FR7" s="2108">
        <v>41.83</v>
      </c>
      <c r="FS7" s="2108">
        <v>41.83</v>
      </c>
      <c r="FT7" s="2108">
        <v>45.39</v>
      </c>
      <c r="FU7" s="2108">
        <v>45.39</v>
      </c>
      <c r="FV7" s="2108">
        <v>45.39</v>
      </c>
      <c r="FW7" s="2113">
        <v>45.39</v>
      </c>
      <c r="FX7" s="2113">
        <v>45.39</v>
      </c>
      <c r="FY7" s="2113">
        <v>45.39</v>
      </c>
      <c r="FZ7" s="2113">
        <v>45.39</v>
      </c>
      <c r="GA7" s="2113">
        <v>45.39</v>
      </c>
      <c r="GB7" s="2114">
        <v>55.38</v>
      </c>
      <c r="GC7" s="2113">
        <v>55.38</v>
      </c>
      <c r="GD7" s="2113">
        <v>55.38</v>
      </c>
      <c r="GE7" s="2113">
        <v>55.38</v>
      </c>
      <c r="GF7" s="2114">
        <v>55.38</v>
      </c>
      <c r="GG7" s="1960">
        <v>55.38</v>
      </c>
      <c r="GH7" s="2114">
        <v>60.82</v>
      </c>
      <c r="GI7" s="2114">
        <v>60.82</v>
      </c>
      <c r="GJ7" s="2113">
        <v>60.82</v>
      </c>
      <c r="GK7" s="2113">
        <v>63.09</v>
      </c>
      <c r="GL7" s="2113">
        <v>63.09</v>
      </c>
      <c r="GM7" s="2114">
        <v>63.09</v>
      </c>
      <c r="GN7" s="2114">
        <v>70.03</v>
      </c>
      <c r="GO7" s="2115">
        <v>70.03</v>
      </c>
      <c r="GP7" s="2116">
        <v>70.03</v>
      </c>
      <c r="GQ7" s="2116">
        <v>77.040000000000006</v>
      </c>
      <c r="GR7" s="2116">
        <v>77.040000000000006</v>
      </c>
      <c r="GS7" s="2116">
        <v>77.040000000000006</v>
      </c>
      <c r="GT7" s="1960">
        <v>77.040000000000006</v>
      </c>
      <c r="GU7" s="1960">
        <v>77.040000000000006</v>
      </c>
      <c r="GV7" s="1960">
        <v>77.040000000000006</v>
      </c>
      <c r="GW7" s="1960">
        <v>77.040000000000006</v>
      </c>
      <c r="GX7" s="1960">
        <v>78.19</v>
      </c>
      <c r="GY7" s="1960">
        <v>79.349999999999994</v>
      </c>
      <c r="GZ7" s="1960">
        <v>87.28</v>
      </c>
      <c r="HA7" s="1960">
        <v>87.28</v>
      </c>
      <c r="HB7" s="1960">
        <v>87.28</v>
      </c>
      <c r="HC7" s="1960">
        <v>87.28</v>
      </c>
      <c r="HD7" s="1960">
        <v>91.65</v>
      </c>
      <c r="HE7" s="1960">
        <v>95.31</v>
      </c>
      <c r="HF7" s="1960">
        <v>98.17</v>
      </c>
      <c r="HG7" s="1960">
        <v>101.03</v>
      </c>
      <c r="HH7" s="2117">
        <v>101.03</v>
      </c>
      <c r="HI7" s="1960">
        <v>104.06</v>
      </c>
      <c r="HJ7" s="1960">
        <v>104.06</v>
      </c>
      <c r="HK7" s="1960">
        <v>111.34</v>
      </c>
      <c r="HL7" s="1960">
        <v>122.48</v>
      </c>
      <c r="HM7" s="1960">
        <v>128.6</v>
      </c>
      <c r="HN7" s="1960">
        <v>128.6</v>
      </c>
      <c r="HO7" s="1960">
        <v>134.11000000000001</v>
      </c>
      <c r="HP7" s="1960">
        <v>138.81</v>
      </c>
      <c r="HQ7" s="1960">
        <v>138.81</v>
      </c>
      <c r="HR7" s="1960">
        <v>149.65</v>
      </c>
      <c r="HS7" s="1960">
        <v>158.63</v>
      </c>
      <c r="HT7" s="1962">
        <v>158.63</v>
      </c>
      <c r="HU7" s="1961">
        <v>168.32</v>
      </c>
      <c r="HV7" s="1960">
        <v>175.06</v>
      </c>
      <c r="HW7" s="1960">
        <v>175.06</v>
      </c>
      <c r="HX7" s="1960">
        <v>175.06</v>
      </c>
      <c r="HY7" s="1960">
        <v>175.06</v>
      </c>
      <c r="HZ7" s="1960">
        <v>175.06</v>
      </c>
      <c r="IA7" s="1960">
        <v>175.06</v>
      </c>
      <c r="IB7" s="1960">
        <v>175.06</v>
      </c>
      <c r="IC7" s="1960">
        <v>175.06</v>
      </c>
      <c r="ID7" s="1960">
        <v>175.06</v>
      </c>
      <c r="IE7" s="1960">
        <v>218.82</v>
      </c>
      <c r="IF7" s="1960">
        <v>218.82</v>
      </c>
      <c r="IG7" s="1961">
        <v>218.82</v>
      </c>
      <c r="IH7" s="1960">
        <v>232.82</v>
      </c>
      <c r="II7" s="1960">
        <v>232.82</v>
      </c>
      <c r="IJ7" s="1961">
        <v>260.76</v>
      </c>
      <c r="IK7" s="1960">
        <v>260.76</v>
      </c>
      <c r="IL7" s="1960">
        <v>260.76</v>
      </c>
      <c r="IM7" s="1960">
        <v>284.05</v>
      </c>
      <c r="IN7" s="1960">
        <v>284.05</v>
      </c>
      <c r="IO7" s="1960">
        <v>295.69</v>
      </c>
      <c r="IP7" s="1960">
        <v>311.99</v>
      </c>
      <c r="IQ7" s="1960">
        <v>311.99</v>
      </c>
      <c r="IR7" s="1960">
        <v>311.99</v>
      </c>
      <c r="IS7" s="2274">
        <v>323.63</v>
      </c>
      <c r="IT7" s="1960">
        <v>339.46</v>
      </c>
      <c r="IU7" s="1960">
        <v>358.55</v>
      </c>
      <c r="IV7" s="1960">
        <v>358.55</v>
      </c>
      <c r="IW7" s="1960">
        <v>394</v>
      </c>
      <c r="IX7" s="1960">
        <v>430</v>
      </c>
      <c r="IY7" s="1960">
        <v>430</v>
      </c>
      <c r="IZ7" s="1960">
        <v>459</v>
      </c>
      <c r="JA7" s="1960">
        <v>506</v>
      </c>
      <c r="JB7" s="1960">
        <v>552</v>
      </c>
      <c r="JC7" s="1960">
        <v>595</v>
      </c>
      <c r="JD7" s="1960">
        <v>595</v>
      </c>
      <c r="JE7" s="2274">
        <v>613</v>
      </c>
      <c r="JF7" s="1962">
        <v>717</v>
      </c>
      <c r="JG7" s="2103">
        <f t="shared" si="12"/>
        <v>1.1696574225122349</v>
      </c>
      <c r="JH7" s="2155">
        <v>735</v>
      </c>
      <c r="JI7" s="2155"/>
      <c r="JJ7" s="2104"/>
      <c r="JL7" s="2104"/>
    </row>
    <row r="8" spans="1:294" ht="31.5">
      <c r="B8" s="2105">
        <v>4</v>
      </c>
      <c r="C8" s="2106"/>
      <c r="D8" s="2425"/>
      <c r="E8" s="2107" t="s">
        <v>912</v>
      </c>
      <c r="F8" s="2106"/>
      <c r="G8" s="2106" t="s">
        <v>907</v>
      </c>
      <c r="H8" s="2106" t="s">
        <v>907</v>
      </c>
      <c r="I8" s="2106"/>
      <c r="J8" s="2359" t="s">
        <v>189</v>
      </c>
      <c r="K8" s="2425" t="s">
        <v>183</v>
      </c>
      <c r="L8" s="2108">
        <v>1.37</v>
      </c>
      <c r="M8" s="2110">
        <v>1.37</v>
      </c>
      <c r="N8" s="2110">
        <v>1.37</v>
      </c>
      <c r="O8" s="2110">
        <v>1.37</v>
      </c>
      <c r="P8" s="2110">
        <v>1.37</v>
      </c>
      <c r="Q8" s="2110">
        <v>1.37</v>
      </c>
      <c r="R8" s="2110">
        <v>1.37</v>
      </c>
      <c r="S8" s="2110">
        <v>1.37</v>
      </c>
      <c r="T8" s="2110">
        <v>1.37</v>
      </c>
      <c r="U8" s="2110">
        <v>1.37</v>
      </c>
      <c r="V8" s="2110">
        <v>1.37</v>
      </c>
      <c r="W8" s="2110">
        <v>1.37</v>
      </c>
      <c r="X8" s="2110">
        <v>1.37</v>
      </c>
      <c r="Y8" s="2110">
        <v>1.37</v>
      </c>
      <c r="Z8" s="2110">
        <v>1.37</v>
      </c>
      <c r="AA8" s="2110">
        <v>1.37</v>
      </c>
      <c r="AB8" s="2110">
        <v>1.37</v>
      </c>
      <c r="AC8" s="2110">
        <v>1.37</v>
      </c>
      <c r="AD8" s="2110">
        <v>1.37</v>
      </c>
      <c r="AE8" s="2110">
        <v>1.5189999999999999</v>
      </c>
      <c r="AF8" s="2110">
        <v>1.6779999999999999</v>
      </c>
      <c r="AG8" s="2110">
        <v>1.837</v>
      </c>
      <c r="AH8" s="2110">
        <v>1.996</v>
      </c>
      <c r="AI8" s="2110">
        <v>2.1549999999999998</v>
      </c>
      <c r="AJ8" s="2110">
        <v>2.3149999999999999</v>
      </c>
      <c r="AK8" s="2110">
        <v>2.4740000000000002</v>
      </c>
      <c r="AL8" s="2110">
        <v>2.633</v>
      </c>
      <c r="AM8" s="2109">
        <v>2.633</v>
      </c>
      <c r="AN8" s="2110">
        <v>2.633</v>
      </c>
      <c r="AO8" s="2110">
        <v>2.633</v>
      </c>
      <c r="AP8" s="2110">
        <v>2.633</v>
      </c>
      <c r="AQ8" s="2110">
        <v>2.633</v>
      </c>
      <c r="AR8" s="2110">
        <v>2.633</v>
      </c>
      <c r="AS8" s="2110">
        <v>2.633</v>
      </c>
      <c r="AT8" s="2110">
        <v>2.633</v>
      </c>
      <c r="AU8" s="2110">
        <v>2.633</v>
      </c>
      <c r="AV8" s="2110">
        <v>2.633</v>
      </c>
      <c r="AW8" s="2111">
        <v>2.633</v>
      </c>
      <c r="AX8" s="2111">
        <v>2.633</v>
      </c>
      <c r="AY8" s="2111">
        <v>3.49</v>
      </c>
      <c r="AZ8" s="2111">
        <v>3.83</v>
      </c>
      <c r="BA8" s="2111">
        <v>3.83</v>
      </c>
      <c r="BB8" s="2111">
        <v>3.83</v>
      </c>
      <c r="BC8" s="2111">
        <v>3.83</v>
      </c>
      <c r="BD8" s="2112">
        <v>3.83</v>
      </c>
      <c r="BE8" s="2111">
        <v>3.83</v>
      </c>
      <c r="BF8" s="2111">
        <v>3.83</v>
      </c>
      <c r="BG8" s="2111">
        <v>4.7300000000000004</v>
      </c>
      <c r="BH8" s="2111">
        <v>4.7300000000000004</v>
      </c>
      <c r="BI8" s="2108">
        <v>4.7300000000000004</v>
      </c>
      <c r="BJ8" s="2108">
        <v>4.7300000000000004</v>
      </c>
      <c r="BK8" s="2108">
        <v>4.7300000000000004</v>
      </c>
      <c r="BL8" s="2108">
        <v>4.7300000000000004</v>
      </c>
      <c r="BM8" s="2108">
        <v>4.96</v>
      </c>
      <c r="BN8" s="2108">
        <v>4.96</v>
      </c>
      <c r="BO8" s="2108">
        <v>4.96</v>
      </c>
      <c r="BP8" s="2108">
        <v>4.96</v>
      </c>
      <c r="BQ8" s="2108">
        <v>5.2</v>
      </c>
      <c r="BR8" s="2108">
        <v>5.2</v>
      </c>
      <c r="BS8" s="2108">
        <v>5.2</v>
      </c>
      <c r="BT8" s="2108">
        <v>5.2</v>
      </c>
      <c r="BU8" s="2108">
        <v>6.04</v>
      </c>
      <c r="BV8" s="2108">
        <v>6.04</v>
      </c>
      <c r="BW8" s="2108">
        <v>6.04</v>
      </c>
      <c r="BX8" s="2108">
        <v>6.04</v>
      </c>
      <c r="BY8" s="2108">
        <v>6.64</v>
      </c>
      <c r="BZ8" s="2108">
        <v>6.64</v>
      </c>
      <c r="CA8" s="2108">
        <v>7.04</v>
      </c>
      <c r="CB8" s="2108">
        <v>7.04</v>
      </c>
      <c r="CC8" s="2108">
        <v>7.04</v>
      </c>
      <c r="CD8" s="2108">
        <v>9.1</v>
      </c>
      <c r="CE8" s="2108">
        <v>9.1</v>
      </c>
      <c r="CF8" s="2108">
        <v>9.1</v>
      </c>
      <c r="CG8" s="2108">
        <v>9.1</v>
      </c>
      <c r="CH8" s="2108">
        <v>9.1</v>
      </c>
      <c r="CI8" s="2108">
        <v>9.1</v>
      </c>
      <c r="CJ8" s="2108">
        <v>10.01</v>
      </c>
      <c r="CK8" s="2108">
        <v>10.01</v>
      </c>
      <c r="CL8" s="2108">
        <v>10.01</v>
      </c>
      <c r="CM8" s="2108">
        <v>10.46</v>
      </c>
      <c r="CN8" s="2108">
        <v>10.46</v>
      </c>
      <c r="CO8" s="2108">
        <v>10.46</v>
      </c>
      <c r="CP8" s="2108">
        <v>10.87</v>
      </c>
      <c r="CQ8" s="2108">
        <v>10.87</v>
      </c>
      <c r="CR8" s="2108">
        <v>10.87</v>
      </c>
      <c r="CS8" s="2108">
        <v>10.87</v>
      </c>
      <c r="CT8" s="2108">
        <v>10.87</v>
      </c>
      <c r="CU8" s="2108">
        <v>10.87</v>
      </c>
      <c r="CV8" s="2108">
        <v>10.87</v>
      </c>
      <c r="CW8" s="2108">
        <v>10.87</v>
      </c>
      <c r="CX8" s="2108">
        <v>11.85</v>
      </c>
      <c r="CY8" s="2108">
        <v>11.85</v>
      </c>
      <c r="CZ8" s="2108">
        <v>11.85</v>
      </c>
      <c r="DA8" s="2108">
        <v>11.85</v>
      </c>
      <c r="DB8" s="2108">
        <v>12.56</v>
      </c>
      <c r="DC8" s="2108">
        <v>12.56</v>
      </c>
      <c r="DD8" s="2108">
        <v>12.56</v>
      </c>
      <c r="DE8" s="2108">
        <v>12.56</v>
      </c>
      <c r="DF8" s="2108">
        <v>12.56</v>
      </c>
      <c r="DG8" s="2108">
        <v>12.56</v>
      </c>
      <c r="DH8" s="2108">
        <v>12.56</v>
      </c>
      <c r="DI8" s="2108">
        <v>13.94</v>
      </c>
      <c r="DJ8" s="2108">
        <v>13.94</v>
      </c>
      <c r="DK8" s="2108">
        <v>13.94</v>
      </c>
      <c r="DL8" s="2108">
        <v>14.92</v>
      </c>
      <c r="DM8" s="2108">
        <v>14.92</v>
      </c>
      <c r="DN8" s="2108">
        <v>14.92</v>
      </c>
      <c r="DO8" s="2108">
        <v>14.92</v>
      </c>
      <c r="DP8" s="2108">
        <v>15.96</v>
      </c>
      <c r="DQ8" s="2108">
        <v>15.96</v>
      </c>
      <c r="DR8" s="2108">
        <v>15.96</v>
      </c>
      <c r="DS8" s="2108">
        <v>15.96</v>
      </c>
      <c r="DT8" s="2108">
        <v>17.88</v>
      </c>
      <c r="DU8" s="2108">
        <v>17.88</v>
      </c>
      <c r="DV8" s="2108">
        <v>17.88</v>
      </c>
      <c r="DW8" s="2108">
        <v>17.88</v>
      </c>
      <c r="DX8" s="2108">
        <v>18.95</v>
      </c>
      <c r="DY8" s="2108">
        <v>18.95</v>
      </c>
      <c r="DZ8" s="2108">
        <v>18.95</v>
      </c>
      <c r="EA8" s="2108">
        <v>20.079999999999998</v>
      </c>
      <c r="EB8" s="2108">
        <v>20.079999999999998</v>
      </c>
      <c r="EC8" s="2108">
        <v>20.079999999999998</v>
      </c>
      <c r="ED8" s="2108">
        <v>20.079999999999998</v>
      </c>
      <c r="EE8" s="2108">
        <v>20.079999999999998</v>
      </c>
      <c r="EF8" s="2108">
        <v>20.079999999999998</v>
      </c>
      <c r="EG8" s="2108">
        <v>20.079999999999998</v>
      </c>
      <c r="EH8" s="2108">
        <v>25.82</v>
      </c>
      <c r="EI8" s="2108">
        <v>25.82</v>
      </c>
      <c r="EJ8" s="2108">
        <v>25.82</v>
      </c>
      <c r="EK8" s="2108">
        <v>25.82</v>
      </c>
      <c r="EL8" s="2108">
        <v>25.82</v>
      </c>
      <c r="EM8" s="2108">
        <v>25.82</v>
      </c>
      <c r="EN8" s="2108">
        <v>25.82</v>
      </c>
      <c r="EO8" s="2108">
        <v>25.82</v>
      </c>
      <c r="EP8" s="2108">
        <v>25.82</v>
      </c>
      <c r="EQ8" s="2108">
        <v>25.82</v>
      </c>
      <c r="ER8" s="2108">
        <v>25.82</v>
      </c>
      <c r="ES8" s="2108">
        <v>25.82</v>
      </c>
      <c r="ET8" s="2108">
        <v>30.47</v>
      </c>
      <c r="EU8" s="2108">
        <v>30.47</v>
      </c>
      <c r="EV8" s="2108">
        <v>30.47</v>
      </c>
      <c r="EW8" s="2108">
        <v>32.200000000000003</v>
      </c>
      <c r="EX8" s="2108">
        <v>32.200000000000003</v>
      </c>
      <c r="EY8" s="2108">
        <v>32.299999999999997</v>
      </c>
      <c r="EZ8" s="2108">
        <v>32.299999999999997</v>
      </c>
      <c r="FA8" s="2108">
        <v>32.299999999999997</v>
      </c>
      <c r="FB8" s="2108">
        <v>32.299999999999997</v>
      </c>
      <c r="FC8" s="2108">
        <v>32.299999999999997</v>
      </c>
      <c r="FD8" s="2108">
        <v>38.01</v>
      </c>
      <c r="FE8" s="2108">
        <v>38.01</v>
      </c>
      <c r="FF8" s="2108">
        <v>38.01</v>
      </c>
      <c r="FG8" s="2108">
        <v>41.81</v>
      </c>
      <c r="FH8" s="2108">
        <v>41.81</v>
      </c>
      <c r="FI8" s="2108">
        <v>41.81</v>
      </c>
      <c r="FJ8" s="2108">
        <v>41.81</v>
      </c>
      <c r="FK8" s="2108">
        <v>41.81</v>
      </c>
      <c r="FL8" s="2108">
        <v>41.81</v>
      </c>
      <c r="FM8" s="2108">
        <v>41.81</v>
      </c>
      <c r="FN8" s="2108">
        <v>41.81</v>
      </c>
      <c r="FO8" s="2108">
        <v>41.81</v>
      </c>
      <c r="FP8" s="2108">
        <v>49.08</v>
      </c>
      <c r="FQ8" s="2108">
        <v>49.08</v>
      </c>
      <c r="FR8" s="2108">
        <v>49.08</v>
      </c>
      <c r="FS8" s="2108">
        <v>49.08</v>
      </c>
      <c r="FT8" s="2108">
        <v>53.27</v>
      </c>
      <c r="FU8" s="2108">
        <v>53.27</v>
      </c>
      <c r="FV8" s="2108">
        <v>53.27</v>
      </c>
      <c r="FW8" s="2113">
        <v>53.27</v>
      </c>
      <c r="FX8" s="2113">
        <v>53.27</v>
      </c>
      <c r="FY8" s="2113">
        <v>53.27</v>
      </c>
      <c r="FZ8" s="2113">
        <v>53.27</v>
      </c>
      <c r="GA8" s="2113">
        <v>53.27</v>
      </c>
      <c r="GB8" s="2114">
        <v>64.989999999999995</v>
      </c>
      <c r="GC8" s="2113">
        <v>64.989999999999995</v>
      </c>
      <c r="GD8" s="2113">
        <v>64.989999999999995</v>
      </c>
      <c r="GE8" s="2113">
        <v>64.989999999999995</v>
      </c>
      <c r="GF8" s="2114">
        <v>64.989999999999995</v>
      </c>
      <c r="GG8" s="1960">
        <v>64.989999999999995</v>
      </c>
      <c r="GH8" s="2114">
        <v>71.38</v>
      </c>
      <c r="GI8" s="2114">
        <v>71.38</v>
      </c>
      <c r="GJ8" s="2113">
        <v>71.38</v>
      </c>
      <c r="GK8" s="2113">
        <v>74.05</v>
      </c>
      <c r="GL8" s="2113">
        <v>74.05</v>
      </c>
      <c r="GM8" s="2114">
        <v>74.05</v>
      </c>
      <c r="GN8" s="2114">
        <v>82.19</v>
      </c>
      <c r="GO8" s="2115">
        <v>82.19</v>
      </c>
      <c r="GP8" s="2116">
        <v>82.19</v>
      </c>
      <c r="GQ8" s="2116">
        <v>90.41</v>
      </c>
      <c r="GR8" s="2116">
        <v>90.41</v>
      </c>
      <c r="GS8" s="2116">
        <v>90.41</v>
      </c>
      <c r="GT8" s="1960">
        <v>90.41</v>
      </c>
      <c r="GU8" s="1960">
        <v>90.41</v>
      </c>
      <c r="GV8" s="1960">
        <v>90.41</v>
      </c>
      <c r="GW8" s="1960">
        <v>90.41</v>
      </c>
      <c r="GX8" s="1960">
        <v>91.77</v>
      </c>
      <c r="GY8" s="1960">
        <v>93.12</v>
      </c>
      <c r="GZ8" s="1960">
        <v>102.43</v>
      </c>
      <c r="HA8" s="1960">
        <v>102.43</v>
      </c>
      <c r="HB8" s="1960">
        <v>102.43</v>
      </c>
      <c r="HC8" s="1960">
        <v>102.43</v>
      </c>
      <c r="HD8" s="1960">
        <v>107.56</v>
      </c>
      <c r="HE8" s="1960">
        <v>111.86</v>
      </c>
      <c r="HF8" s="1960">
        <v>115.21</v>
      </c>
      <c r="HG8" s="1960">
        <v>118.57</v>
      </c>
      <c r="HH8" s="2117">
        <v>118.57</v>
      </c>
      <c r="HI8" s="1960">
        <v>122.13</v>
      </c>
      <c r="HJ8" s="1960">
        <v>122.13</v>
      </c>
      <c r="HK8" s="1960">
        <v>130.68</v>
      </c>
      <c r="HL8" s="1960">
        <v>143.74</v>
      </c>
      <c r="HM8" s="1960">
        <v>150.93</v>
      </c>
      <c r="HN8" s="1960">
        <v>150.93</v>
      </c>
      <c r="HO8" s="1960">
        <v>157.4</v>
      </c>
      <c r="HP8" s="1960">
        <v>162.91</v>
      </c>
      <c r="HQ8" s="1960">
        <v>162.91</v>
      </c>
      <c r="HR8" s="1960">
        <v>175.63</v>
      </c>
      <c r="HS8" s="1960">
        <v>186.17</v>
      </c>
      <c r="HT8" s="1962">
        <v>186.17</v>
      </c>
      <c r="HU8" s="1961">
        <v>197.55</v>
      </c>
      <c r="HV8" s="1960">
        <v>205.45</v>
      </c>
      <c r="HW8" s="1960">
        <v>205.45</v>
      </c>
      <c r="HX8" s="1960">
        <v>205.45</v>
      </c>
      <c r="HY8" s="1960">
        <v>205.45</v>
      </c>
      <c r="HZ8" s="1960">
        <v>205.45</v>
      </c>
      <c r="IA8" s="1960">
        <v>205.45</v>
      </c>
      <c r="IB8" s="1960">
        <v>205.45</v>
      </c>
      <c r="IC8" s="1960">
        <v>205.45</v>
      </c>
      <c r="ID8" s="1960">
        <v>205.45</v>
      </c>
      <c r="IE8" s="1960">
        <v>256.81</v>
      </c>
      <c r="IF8" s="1960">
        <v>256.81</v>
      </c>
      <c r="IG8" s="1961">
        <v>256.81</v>
      </c>
      <c r="IH8" s="1960">
        <v>273.24</v>
      </c>
      <c r="II8" s="1960">
        <v>273.24</v>
      </c>
      <c r="IJ8" s="1961">
        <v>306.02999999999997</v>
      </c>
      <c r="IK8" s="1960">
        <v>306.02999999999997</v>
      </c>
      <c r="IL8" s="1960">
        <v>306.02999999999997</v>
      </c>
      <c r="IM8" s="1960">
        <v>333.36</v>
      </c>
      <c r="IN8" s="1960">
        <v>333.36</v>
      </c>
      <c r="IO8" s="1960">
        <v>347.02</v>
      </c>
      <c r="IP8" s="1960">
        <v>366.15</v>
      </c>
      <c r="IQ8" s="1960">
        <v>366.15</v>
      </c>
      <c r="IR8" s="1960">
        <v>366.15</v>
      </c>
      <c r="IS8" s="2274">
        <v>379.81</v>
      </c>
      <c r="IT8" s="1960">
        <v>398.39</v>
      </c>
      <c r="IU8" s="1960">
        <v>420.79</v>
      </c>
      <c r="IV8" s="1960">
        <v>420.79</v>
      </c>
      <c r="IW8" s="1960">
        <v>463</v>
      </c>
      <c r="IX8" s="1960">
        <v>505</v>
      </c>
      <c r="IY8" s="1960">
        <v>505</v>
      </c>
      <c r="IZ8" s="1960">
        <v>539</v>
      </c>
      <c r="JA8" s="1960">
        <v>593</v>
      </c>
      <c r="JB8" s="1960">
        <v>648</v>
      </c>
      <c r="JC8" s="1960">
        <v>699</v>
      </c>
      <c r="JD8" s="1960">
        <v>699</v>
      </c>
      <c r="JE8" s="2274">
        <v>720</v>
      </c>
      <c r="JF8" s="2117">
        <v>842</v>
      </c>
      <c r="JG8" s="2103">
        <f t="shared" si="12"/>
        <v>1.1694444444444445</v>
      </c>
      <c r="JH8" s="2155">
        <v>863</v>
      </c>
      <c r="JI8" s="2155"/>
      <c r="JJ8" s="2104"/>
      <c r="JL8" s="2104"/>
    </row>
    <row r="9" spans="1:294">
      <c r="B9" s="2105">
        <v>6</v>
      </c>
      <c r="C9" s="2106"/>
      <c r="D9" s="2425"/>
      <c r="E9" s="2107" t="s">
        <v>913</v>
      </c>
      <c r="F9" s="2106"/>
      <c r="G9" s="2106"/>
      <c r="H9" s="2106"/>
      <c r="I9" s="2106"/>
      <c r="J9" s="2425"/>
      <c r="K9" s="2425" t="s">
        <v>915</v>
      </c>
      <c r="L9" s="2108"/>
      <c r="M9" s="2108"/>
      <c r="N9" s="2108"/>
      <c r="O9" s="2108"/>
      <c r="P9" s="2108"/>
      <c r="Q9" s="2108"/>
      <c r="R9" s="2108"/>
      <c r="S9" s="2108"/>
      <c r="T9" s="2108"/>
      <c r="U9" s="2108"/>
      <c r="V9" s="2108"/>
      <c r="W9" s="2109"/>
      <c r="X9" s="2109"/>
      <c r="Y9" s="2109"/>
      <c r="Z9" s="2109"/>
      <c r="AA9" s="2110"/>
      <c r="AB9" s="2110"/>
      <c r="AC9" s="2110"/>
      <c r="AD9" s="2110"/>
      <c r="AE9" s="2110"/>
      <c r="AF9" s="2110"/>
      <c r="AG9" s="2109"/>
      <c r="AH9" s="2109"/>
      <c r="AI9" s="2110"/>
      <c r="AJ9" s="2110"/>
      <c r="AK9" s="2109"/>
      <c r="AL9" s="2109"/>
      <c r="AM9" s="2109"/>
      <c r="AN9" s="2109"/>
      <c r="AO9" s="2109"/>
      <c r="AP9" s="2109"/>
      <c r="AQ9" s="2110"/>
      <c r="AR9" s="2110"/>
      <c r="AS9" s="2110"/>
      <c r="AT9" s="2110"/>
      <c r="AU9" s="2110"/>
      <c r="AV9" s="2110"/>
      <c r="AW9" s="2111"/>
      <c r="AX9" s="2111"/>
      <c r="AY9" s="2111"/>
      <c r="AZ9" s="2111"/>
      <c r="BA9" s="2111"/>
      <c r="BB9" s="2111"/>
      <c r="BC9" s="2111"/>
      <c r="BD9" s="2112"/>
      <c r="BE9" s="2111"/>
      <c r="BF9" s="2112"/>
      <c r="BG9" s="2112"/>
      <c r="BH9" s="2112"/>
      <c r="BI9" s="2108"/>
      <c r="BJ9" s="2108"/>
      <c r="BK9" s="2108"/>
      <c r="BL9" s="2108"/>
      <c r="BM9" s="2108"/>
      <c r="BN9" s="2108"/>
      <c r="BO9" s="2108"/>
      <c r="BP9" s="2108"/>
      <c r="BQ9" s="2108"/>
      <c r="BR9" s="2108"/>
      <c r="BS9" s="2108"/>
      <c r="BT9" s="2108"/>
      <c r="BU9" s="2108"/>
      <c r="BV9" s="2108"/>
      <c r="BW9" s="2108"/>
      <c r="BX9" s="2108"/>
      <c r="BY9" s="2108"/>
      <c r="BZ9" s="2108"/>
      <c r="CA9" s="2108"/>
      <c r="CB9" s="2108"/>
      <c r="CC9" s="2108"/>
      <c r="CD9" s="2108"/>
      <c r="CE9" s="2108"/>
      <c r="CF9" s="2108"/>
      <c r="CG9" s="2108"/>
      <c r="CH9" s="2108"/>
      <c r="CI9" s="2108"/>
      <c r="CJ9" s="2108"/>
      <c r="CK9" s="2108"/>
      <c r="CL9" s="2108"/>
      <c r="CM9" s="2108"/>
      <c r="CN9" s="2108"/>
      <c r="CO9" s="2108"/>
      <c r="CP9" s="2108"/>
      <c r="CQ9" s="2108"/>
      <c r="CR9" s="2108"/>
      <c r="CS9" s="2108"/>
      <c r="CT9" s="2108"/>
      <c r="CU9" s="2108"/>
      <c r="CV9" s="2108"/>
      <c r="CW9" s="2108"/>
      <c r="CX9" s="2108"/>
      <c r="CY9" s="2108"/>
      <c r="CZ9" s="2108"/>
      <c r="DA9" s="2108"/>
      <c r="DB9" s="2108"/>
      <c r="DC9" s="2108"/>
      <c r="DD9" s="2108"/>
      <c r="DE9" s="2108"/>
      <c r="DF9" s="2108"/>
      <c r="DG9" s="2108"/>
      <c r="DH9" s="2108"/>
      <c r="DI9" s="2108"/>
      <c r="DJ9" s="2108"/>
      <c r="DK9" s="2108"/>
      <c r="DL9" s="2108"/>
      <c r="DM9" s="2108"/>
      <c r="DN9" s="2108"/>
      <c r="DO9" s="2108"/>
      <c r="DP9" s="2108"/>
      <c r="DQ9" s="2108"/>
      <c r="DR9" s="2108"/>
      <c r="DS9" s="2108"/>
      <c r="DT9" s="2108"/>
      <c r="DU9" s="2108"/>
      <c r="DV9" s="2108"/>
      <c r="DW9" s="2108"/>
      <c r="DX9" s="2108"/>
      <c r="DY9" s="2108"/>
      <c r="DZ9" s="2108"/>
      <c r="EA9" s="2108"/>
      <c r="EB9" s="2108"/>
      <c r="EC9" s="2108"/>
      <c r="ED9" s="2108"/>
      <c r="EE9" s="2108"/>
      <c r="EF9" s="2108"/>
      <c r="EG9" s="2108"/>
      <c r="EH9" s="2108"/>
      <c r="EI9" s="2108"/>
      <c r="EJ9" s="2108"/>
      <c r="EK9" s="2108"/>
      <c r="EL9" s="2108"/>
      <c r="EM9" s="2108"/>
      <c r="EN9" s="2108"/>
      <c r="EO9" s="2108"/>
      <c r="EP9" s="2108"/>
      <c r="EQ9" s="2108"/>
      <c r="ER9" s="2108"/>
      <c r="ES9" s="2108"/>
      <c r="ET9" s="2108"/>
      <c r="EU9" s="2108"/>
      <c r="EV9" s="2108"/>
      <c r="EW9" s="2108"/>
      <c r="EX9" s="2108"/>
      <c r="EY9" s="2108"/>
      <c r="EZ9" s="2108"/>
      <c r="FA9" s="2108"/>
      <c r="FB9" s="2108"/>
      <c r="FC9" s="2108"/>
      <c r="FD9" s="2108"/>
      <c r="FE9" s="2108"/>
      <c r="FF9" s="2108"/>
      <c r="FG9" s="2108"/>
      <c r="FH9" s="2108"/>
      <c r="FI9" s="2108"/>
      <c r="FJ9" s="2108"/>
      <c r="FK9" s="2108"/>
      <c r="FL9" s="2108"/>
      <c r="FM9" s="2108"/>
      <c r="FN9" s="2108"/>
      <c r="FO9" s="2108"/>
      <c r="FP9" s="2108"/>
      <c r="FQ9" s="2108"/>
      <c r="FR9" s="2108"/>
      <c r="FS9" s="2108"/>
      <c r="FT9" s="2108"/>
      <c r="FU9" s="2108"/>
      <c r="FV9" s="2108"/>
      <c r="FW9" s="2113" t="s">
        <v>481</v>
      </c>
      <c r="FX9" s="2113" t="s">
        <v>481</v>
      </c>
      <c r="FY9" s="2113" t="s">
        <v>481</v>
      </c>
      <c r="FZ9" s="2113" t="s">
        <v>481</v>
      </c>
      <c r="GA9" s="2113" t="s">
        <v>481</v>
      </c>
      <c r="GB9" s="2114"/>
      <c r="GC9" s="2113"/>
      <c r="GD9" s="2113"/>
      <c r="GE9" s="2113"/>
      <c r="GF9" s="2114"/>
      <c r="GG9" s="1960"/>
      <c r="GH9" s="2114"/>
      <c r="GI9" s="2114"/>
      <c r="GJ9" s="2113"/>
      <c r="GK9" s="2113"/>
      <c r="GL9" s="2113"/>
      <c r="GM9" s="2114"/>
      <c r="GN9" s="2114"/>
      <c r="GO9" s="2115"/>
      <c r="GP9" s="2116"/>
      <c r="GQ9" s="2116"/>
      <c r="GR9" s="2116">
        <v>0</v>
      </c>
      <c r="GS9" s="2116">
        <v>0</v>
      </c>
      <c r="GT9" s="1960">
        <v>0</v>
      </c>
      <c r="GU9" s="1960">
        <v>0</v>
      </c>
      <c r="GV9" s="1960" t="s">
        <v>481</v>
      </c>
      <c r="GW9" s="1960"/>
      <c r="GX9" s="1960"/>
      <c r="GY9" s="1960"/>
      <c r="GZ9" s="1960"/>
      <c r="HA9" s="1960"/>
      <c r="HB9" s="1960"/>
      <c r="HC9" s="1960"/>
      <c r="HD9" s="1960"/>
      <c r="HE9" s="1960"/>
      <c r="HF9" s="1960"/>
      <c r="HG9" s="1960"/>
      <c r="HH9" s="2117"/>
      <c r="HI9" s="1960"/>
      <c r="HJ9" s="1960"/>
      <c r="HK9" s="1960"/>
      <c r="HL9" s="1960"/>
      <c r="HM9" s="1960"/>
      <c r="HN9" s="1960"/>
      <c r="HO9" s="1960"/>
      <c r="HP9" s="1960"/>
      <c r="HQ9" s="1960"/>
      <c r="HR9" s="1960"/>
      <c r="HS9" s="1960"/>
      <c r="HT9" s="1962"/>
      <c r="HU9" s="1961"/>
      <c r="HV9" s="1960"/>
      <c r="HW9" s="1960"/>
      <c r="HX9" s="1960"/>
      <c r="HY9" s="1960"/>
      <c r="HZ9" s="1960"/>
      <c r="IA9" s="1960"/>
      <c r="IB9" s="1960"/>
      <c r="IC9" s="1960"/>
      <c r="ID9" s="1960"/>
      <c r="IE9" s="1960"/>
      <c r="IF9" s="1960"/>
      <c r="IG9" s="1961"/>
      <c r="IH9" s="1960"/>
      <c r="II9" s="1960"/>
      <c r="IJ9" s="1961"/>
      <c r="IK9" s="1960"/>
      <c r="IL9" s="1960"/>
      <c r="IM9" s="1960"/>
      <c r="IN9" s="1960"/>
      <c r="IO9" s="1960"/>
      <c r="IP9" s="1960"/>
      <c r="IQ9" s="1960"/>
      <c r="IR9" s="1960"/>
      <c r="IS9" s="2274"/>
      <c r="IT9" s="1960"/>
      <c r="IU9" s="1960"/>
      <c r="IV9" s="1960"/>
      <c r="IW9" s="1960"/>
      <c r="IX9" s="1960"/>
      <c r="IY9" s="1960"/>
      <c r="IZ9" s="1960"/>
      <c r="JA9" s="1960"/>
      <c r="JB9" s="1960"/>
      <c r="JC9" s="1960"/>
      <c r="JD9" s="1960"/>
      <c r="JE9" s="2274"/>
      <c r="JF9" s="2117"/>
      <c r="JG9" s="2103"/>
      <c r="JI9" s="2155"/>
      <c r="JJ9" s="2104"/>
    </row>
    <row r="10" spans="1:294" ht="31.5" hidden="1">
      <c r="B10" s="2118">
        <v>8</v>
      </c>
      <c r="C10" s="2119"/>
      <c r="D10" s="2120"/>
      <c r="E10" s="2121" t="s">
        <v>882</v>
      </c>
      <c r="F10" s="2122"/>
      <c r="G10" s="2122" t="s">
        <v>906</v>
      </c>
      <c r="H10" s="2122" t="s">
        <v>497</v>
      </c>
      <c r="I10" s="2122"/>
      <c r="J10" s="2121" t="s">
        <v>190</v>
      </c>
      <c r="K10" s="2120" t="s">
        <v>184</v>
      </c>
      <c r="L10" s="2123"/>
      <c r="M10" s="2123">
        <v>0</v>
      </c>
      <c r="N10" s="2123">
        <v>0</v>
      </c>
      <c r="O10" s="2123">
        <v>0</v>
      </c>
      <c r="P10" s="2123">
        <v>0</v>
      </c>
      <c r="Q10" s="2123">
        <v>0</v>
      </c>
      <c r="R10" s="2123">
        <v>0</v>
      </c>
      <c r="S10" s="2123">
        <v>0.56999999999999995</v>
      </c>
      <c r="T10" s="2123">
        <v>0.56999999999999995</v>
      </c>
      <c r="U10" s="2123">
        <v>0.56999999999999995</v>
      </c>
      <c r="V10" s="2123">
        <v>0.56999999999999995</v>
      </c>
      <c r="W10" s="2123">
        <v>0.56999999999999995</v>
      </c>
      <c r="X10" s="2123">
        <v>0.56999999999999995</v>
      </c>
      <c r="Y10" s="2123">
        <v>0.74</v>
      </c>
      <c r="Z10" s="2123">
        <v>0.74</v>
      </c>
      <c r="AA10" s="2123">
        <v>0.85</v>
      </c>
      <c r="AB10" s="2123">
        <v>0.85</v>
      </c>
      <c r="AC10" s="2123">
        <v>1.1399999999999999</v>
      </c>
      <c r="AD10" s="2123">
        <v>1.1399999999999999</v>
      </c>
      <c r="AE10" s="2123">
        <v>0.99399999999999999</v>
      </c>
      <c r="AF10" s="2123">
        <v>0.85199999999999998</v>
      </c>
      <c r="AG10" s="2123">
        <v>0.71</v>
      </c>
      <c r="AH10" s="2123">
        <v>0.56799999999999995</v>
      </c>
      <c r="AI10" s="2123">
        <v>0.42599999999999999</v>
      </c>
      <c r="AJ10" s="2123">
        <v>0.28409090909090912</v>
      </c>
      <c r="AK10" s="2123">
        <v>0.42613636363636365</v>
      </c>
      <c r="AL10" s="2123">
        <v>0.28409090909090912</v>
      </c>
      <c r="AM10" s="2123">
        <v>0.28409090909090912</v>
      </c>
      <c r="AN10" s="2123">
        <v>0.28409090909090912</v>
      </c>
      <c r="AO10" s="2123">
        <v>0.28399999999999997</v>
      </c>
      <c r="AP10" s="2123">
        <v>0.28399999999999997</v>
      </c>
      <c r="AQ10" s="2123">
        <v>0.28399999999999997</v>
      </c>
      <c r="AR10" s="2123">
        <v>0.28399999999999997</v>
      </c>
      <c r="AS10" s="2123">
        <v>0.28399999999999997</v>
      </c>
      <c r="AT10" s="2123">
        <v>0.28399999999999997</v>
      </c>
      <c r="AU10" s="2123">
        <v>0.28399999999999997</v>
      </c>
      <c r="AV10" s="2123">
        <v>0.28399999999999997</v>
      </c>
      <c r="AW10" s="2124">
        <v>0.85199999999999998</v>
      </c>
      <c r="AX10" s="2124">
        <v>0.85199999999999998</v>
      </c>
      <c r="AY10" s="2124"/>
      <c r="AZ10" s="2124"/>
      <c r="BA10" s="2124"/>
      <c r="BB10" s="2124"/>
      <c r="BC10" s="2124"/>
      <c r="BD10" s="2125"/>
      <c r="BE10" s="2124"/>
      <c r="BF10" s="2125"/>
      <c r="BG10" s="2125"/>
      <c r="BH10" s="2125"/>
      <c r="BI10" s="2126"/>
      <c r="BJ10" s="2126"/>
      <c r="BK10" s="2126"/>
      <c r="BL10" s="2126"/>
      <c r="BM10" s="2126"/>
      <c r="BN10" s="2126"/>
      <c r="BO10" s="2126"/>
      <c r="BP10" s="2126"/>
      <c r="BQ10" s="2126"/>
      <c r="BR10" s="2126"/>
      <c r="BS10" s="2126"/>
      <c r="BT10" s="2126"/>
      <c r="BU10" s="2126"/>
      <c r="BV10" s="2126"/>
      <c r="BW10" s="2126"/>
      <c r="BX10" s="2126"/>
      <c r="BY10" s="2126"/>
      <c r="BZ10" s="2126"/>
      <c r="CA10" s="2126"/>
      <c r="CB10" s="2126"/>
      <c r="CC10" s="2126"/>
      <c r="CD10" s="2126"/>
      <c r="CE10" s="2126"/>
      <c r="CF10" s="2126"/>
      <c r="CG10" s="2126"/>
      <c r="CH10" s="2126"/>
      <c r="CI10" s="2126"/>
      <c r="CJ10" s="2126"/>
      <c r="CK10" s="2126"/>
      <c r="CL10" s="2126"/>
      <c r="CM10" s="2126"/>
      <c r="CN10" s="2126"/>
      <c r="CO10" s="2126"/>
      <c r="CP10" s="2126"/>
      <c r="CQ10" s="2126"/>
      <c r="CR10" s="2126"/>
      <c r="CS10" s="2126"/>
      <c r="CT10" s="2126"/>
      <c r="CU10" s="2126"/>
      <c r="CV10" s="2126"/>
      <c r="CW10" s="2126"/>
      <c r="CX10" s="2126"/>
      <c r="CY10" s="2126"/>
      <c r="CZ10" s="2126"/>
      <c r="DA10" s="2126"/>
      <c r="DB10" s="2126"/>
      <c r="DC10" s="2126"/>
      <c r="DD10" s="2126"/>
      <c r="DE10" s="2126"/>
      <c r="DF10" s="2126"/>
      <c r="DG10" s="2126"/>
      <c r="DH10" s="2126"/>
      <c r="DI10" s="2126"/>
      <c r="DJ10" s="2126"/>
      <c r="DK10" s="2126"/>
      <c r="DL10" s="2126"/>
      <c r="DM10" s="2126"/>
      <c r="DN10" s="2126"/>
      <c r="DO10" s="2126"/>
      <c r="DP10" s="2126"/>
      <c r="DQ10" s="2126"/>
      <c r="DR10" s="2126"/>
      <c r="DS10" s="2126"/>
      <c r="DT10" s="2126"/>
      <c r="DU10" s="2126"/>
      <c r="DV10" s="2126"/>
      <c r="DW10" s="2126"/>
      <c r="DX10" s="2126"/>
      <c r="DY10" s="2126"/>
      <c r="DZ10" s="2126"/>
      <c r="EA10" s="2126"/>
      <c r="EB10" s="2126"/>
      <c r="EC10" s="2126"/>
      <c r="ED10" s="2126"/>
      <c r="EE10" s="2126"/>
      <c r="EF10" s="2126"/>
      <c r="EG10" s="2126"/>
      <c r="EH10" s="2126"/>
      <c r="EI10" s="2126"/>
      <c r="EJ10" s="2126"/>
      <c r="EK10" s="2126"/>
      <c r="EL10" s="2126"/>
      <c r="EM10" s="2126"/>
      <c r="EN10" s="2126"/>
      <c r="EO10" s="2126"/>
      <c r="EP10" s="2126"/>
      <c r="EQ10" s="2126"/>
      <c r="ER10" s="2126"/>
      <c r="ES10" s="2126"/>
      <c r="ET10" s="2126"/>
      <c r="EU10" s="2126"/>
      <c r="EV10" s="2126"/>
      <c r="EW10" s="2126"/>
      <c r="EX10" s="2126"/>
      <c r="EY10" s="2126"/>
      <c r="EZ10" s="2126"/>
      <c r="FA10" s="2126"/>
      <c r="FB10" s="2126"/>
      <c r="FC10" s="2126"/>
      <c r="FD10" s="2126"/>
      <c r="FE10" s="2126"/>
      <c r="FF10" s="2126"/>
      <c r="FG10" s="2126"/>
      <c r="FH10" s="2126"/>
      <c r="FI10" s="2126"/>
      <c r="FJ10" s="2126"/>
      <c r="FK10" s="2126"/>
      <c r="FL10" s="2126"/>
      <c r="FM10" s="2126"/>
      <c r="FN10" s="2126"/>
      <c r="FO10" s="2126"/>
      <c r="FP10" s="2126"/>
      <c r="FQ10" s="2126"/>
      <c r="FR10" s="2126"/>
      <c r="FS10" s="2126"/>
      <c r="FT10" s="2126"/>
      <c r="FU10" s="2126"/>
      <c r="FV10" s="2126"/>
      <c r="FW10" s="2113" t="s">
        <v>481</v>
      </c>
      <c r="FX10" s="2113" t="s">
        <v>481</v>
      </c>
      <c r="FY10" s="2113" t="s">
        <v>481</v>
      </c>
      <c r="FZ10" s="2113" t="s">
        <v>481</v>
      </c>
      <c r="GA10" s="2113" t="s">
        <v>481</v>
      </c>
      <c r="GB10" s="2114"/>
      <c r="GC10" s="2113"/>
      <c r="GD10" s="2113"/>
      <c r="GE10" s="2113"/>
      <c r="GF10" s="2114"/>
      <c r="GG10" s="1960"/>
      <c r="GH10" s="2114"/>
      <c r="GI10" s="2114"/>
      <c r="GJ10" s="2113"/>
      <c r="GK10" s="2113"/>
      <c r="GL10" s="2113"/>
      <c r="GM10" s="2114"/>
      <c r="GN10" s="2114"/>
      <c r="GO10" s="2115"/>
      <c r="GP10" s="2116"/>
      <c r="GQ10" s="2116"/>
      <c r="GR10" s="2116">
        <v>0</v>
      </c>
      <c r="GS10" s="2116">
        <v>0</v>
      </c>
      <c r="GT10" s="1960">
        <v>0</v>
      </c>
      <c r="GU10" s="1960">
        <v>0</v>
      </c>
      <c r="GV10" s="1960" t="s">
        <v>481</v>
      </c>
      <c r="GW10" s="1960"/>
      <c r="GX10" s="1960"/>
      <c r="GY10" s="1960"/>
      <c r="GZ10" s="1960"/>
      <c r="HA10" s="1960"/>
      <c r="HB10" s="1960"/>
      <c r="HC10" s="1960"/>
      <c r="HD10" s="1960"/>
      <c r="HE10" s="1960"/>
      <c r="HF10" s="1960"/>
      <c r="HG10" s="1960"/>
      <c r="HH10" s="2117"/>
      <c r="HI10" s="1960"/>
      <c r="HJ10" s="1960"/>
      <c r="HK10" s="1960"/>
      <c r="HL10" s="1960"/>
      <c r="HM10" s="1960"/>
      <c r="HN10" s="1960"/>
      <c r="HO10" s="1960"/>
      <c r="HP10" s="1960"/>
      <c r="HQ10" s="1960"/>
      <c r="HR10" s="1960"/>
      <c r="HS10" s="1960"/>
      <c r="HT10" s="1962"/>
      <c r="HU10" s="1961"/>
      <c r="HV10" s="1960"/>
      <c r="HW10" s="1960"/>
      <c r="HX10" s="1960"/>
      <c r="HY10" s="1960"/>
      <c r="HZ10" s="1960"/>
      <c r="IA10" s="1960"/>
      <c r="IB10" s="1960"/>
      <c r="IC10" s="1960"/>
      <c r="ID10" s="1960"/>
      <c r="IE10" s="1960"/>
      <c r="IF10" s="1960"/>
      <c r="IG10" s="1961"/>
      <c r="IH10" s="1960"/>
      <c r="II10" s="1960"/>
      <c r="IJ10" s="1961"/>
      <c r="IK10" s="1960"/>
      <c r="IL10" s="1960"/>
      <c r="IM10" s="1960"/>
      <c r="IN10" s="1960"/>
      <c r="IO10" s="1960"/>
      <c r="IP10" s="1960"/>
      <c r="IQ10" s="1960"/>
      <c r="IR10" s="1960"/>
      <c r="IS10" s="2274"/>
      <c r="IT10" s="1960"/>
      <c r="IU10" s="1960"/>
      <c r="IV10" s="1960"/>
      <c r="IW10" s="1960"/>
      <c r="IX10" s="1960"/>
      <c r="IY10" s="1960"/>
      <c r="IZ10" s="1960"/>
      <c r="JA10" s="1960"/>
      <c r="JB10" s="1960"/>
      <c r="JC10" s="1960"/>
      <c r="JD10" s="1960"/>
      <c r="JE10" s="2274"/>
      <c r="JF10" s="2117"/>
      <c r="JG10" s="2103" t="e">
        <f t="shared" si="12"/>
        <v>#DIV/0!</v>
      </c>
      <c r="JI10" s="2155"/>
      <c r="JJ10" s="2104"/>
    </row>
    <row r="11" spans="1:294" hidden="1">
      <c r="B11" s="2105" t="s">
        <v>473</v>
      </c>
      <c r="C11" s="2106"/>
      <c r="D11" s="2425"/>
      <c r="E11" s="2107" t="s">
        <v>845</v>
      </c>
      <c r="F11" s="2106"/>
      <c r="G11" s="2106" t="s">
        <v>906</v>
      </c>
      <c r="H11" s="2106" t="s">
        <v>497</v>
      </c>
      <c r="I11" s="2106"/>
      <c r="J11" s="2127" t="s">
        <v>908</v>
      </c>
      <c r="K11" s="2564" t="s">
        <v>565</v>
      </c>
      <c r="L11" s="2110"/>
      <c r="M11" s="2110"/>
      <c r="N11" s="2110"/>
      <c r="O11" s="2110"/>
      <c r="P11" s="2110"/>
      <c r="Q11" s="2110"/>
      <c r="R11" s="2110"/>
      <c r="S11" s="2110"/>
      <c r="T11" s="2110"/>
      <c r="U11" s="2110"/>
      <c r="V11" s="2110"/>
      <c r="W11" s="2110"/>
      <c r="X11" s="2110"/>
      <c r="Y11" s="2110"/>
      <c r="Z11" s="2110"/>
      <c r="AA11" s="2110"/>
      <c r="AB11" s="2110"/>
      <c r="AC11" s="2110"/>
      <c r="AD11" s="2110"/>
      <c r="AE11" s="2110"/>
      <c r="AF11" s="2110"/>
      <c r="AG11" s="2110"/>
      <c r="AH11" s="2110"/>
      <c r="AI11" s="2110"/>
      <c r="AJ11" s="2110"/>
      <c r="AK11" s="2110"/>
      <c r="AL11" s="2110"/>
      <c r="AM11" s="2110"/>
      <c r="AN11" s="2110"/>
      <c r="AO11" s="2110">
        <v>0.28399999999999997</v>
      </c>
      <c r="AP11" s="2110"/>
      <c r="AQ11" s="2110"/>
      <c r="AR11" s="2110"/>
      <c r="AS11" s="2110"/>
      <c r="AT11" s="2110"/>
      <c r="AU11" s="2110"/>
      <c r="AV11" s="2110"/>
      <c r="AW11" s="2111"/>
      <c r="AX11" s="2111"/>
      <c r="AY11" s="2111">
        <v>1.282</v>
      </c>
      <c r="AZ11" s="2111">
        <v>1</v>
      </c>
      <c r="BA11" s="2111">
        <v>1</v>
      </c>
      <c r="BB11" s="2111">
        <v>1</v>
      </c>
      <c r="BC11" s="2111">
        <v>1</v>
      </c>
      <c r="BD11" s="2112">
        <v>1</v>
      </c>
      <c r="BE11" s="2111">
        <v>1</v>
      </c>
      <c r="BF11" s="2111">
        <v>1</v>
      </c>
      <c r="BG11" s="2111">
        <v>0.90900000000000003</v>
      </c>
      <c r="BH11" s="2111">
        <v>0.90900000000000003</v>
      </c>
      <c r="BI11" s="2108">
        <v>0.68181818181818177</v>
      </c>
      <c r="BJ11" s="2108">
        <v>0.68181818181818177</v>
      </c>
      <c r="BK11" s="2108">
        <v>0.68181818181818177</v>
      </c>
      <c r="BL11" s="2108">
        <v>0.45454545454545453</v>
      </c>
      <c r="BM11" s="2108">
        <v>1.0225454545454544</v>
      </c>
      <c r="BN11" s="2108">
        <v>1.0225454545454549</v>
      </c>
      <c r="BO11" s="2108">
        <v>0.54545454545454519</v>
      </c>
      <c r="BP11" s="2108">
        <v>0.54500000000000004</v>
      </c>
      <c r="BQ11" s="2108">
        <v>0</v>
      </c>
      <c r="BR11" s="2108">
        <v>0.5</v>
      </c>
      <c r="BS11" s="2108">
        <v>0.5</v>
      </c>
      <c r="BT11" s="2108">
        <v>0.5</v>
      </c>
      <c r="BU11" s="2108"/>
      <c r="BV11" s="2108"/>
      <c r="BW11" s="2108"/>
      <c r="BX11" s="2108"/>
      <c r="BY11" s="2108"/>
      <c r="BZ11" s="2108"/>
      <c r="CA11" s="2108"/>
      <c r="CB11" s="2108"/>
      <c r="CC11" s="2108"/>
      <c r="CD11" s="2108"/>
      <c r="CE11" s="2108"/>
      <c r="CF11" s="2108"/>
      <c r="CG11" s="2108"/>
      <c r="CH11" s="2108"/>
      <c r="CI11" s="2108"/>
      <c r="CJ11" s="2108"/>
      <c r="CK11" s="2108"/>
      <c r="CL11" s="2108"/>
      <c r="CM11" s="2108"/>
      <c r="CN11" s="2108"/>
      <c r="CO11" s="2108"/>
      <c r="CP11" s="2108"/>
      <c r="CQ11" s="2108"/>
      <c r="CR11" s="2108"/>
      <c r="CS11" s="2108"/>
      <c r="CT11" s="2108"/>
      <c r="CU11" s="2108"/>
      <c r="CV11" s="2108"/>
      <c r="CW11" s="2108"/>
      <c r="CX11" s="2108"/>
      <c r="CY11" s="2108"/>
      <c r="CZ11" s="2108"/>
      <c r="DA11" s="2108"/>
      <c r="DB11" s="2108"/>
      <c r="DC11" s="2108"/>
      <c r="DD11" s="2108"/>
      <c r="DE11" s="2108"/>
      <c r="DF11" s="2108"/>
      <c r="DG11" s="2108">
        <v>1.4204545454545454</v>
      </c>
      <c r="DH11" s="2108">
        <v>1.4204545454545454</v>
      </c>
      <c r="DI11" s="2108">
        <v>0.56799999999999995</v>
      </c>
      <c r="DJ11" s="2108">
        <v>0.56818181818181823</v>
      </c>
      <c r="DK11" s="2108">
        <v>0.56818181818181823</v>
      </c>
      <c r="DL11" s="2108"/>
      <c r="DM11" s="2108"/>
      <c r="DN11" s="2108"/>
      <c r="DO11" s="2108"/>
      <c r="DP11" s="2108"/>
      <c r="DQ11" s="2108">
        <v>1.3258000000000001</v>
      </c>
      <c r="DR11" s="2108">
        <v>1.3258000000000001</v>
      </c>
      <c r="DS11" s="2108">
        <v>1.3258000000000001</v>
      </c>
      <c r="DT11" s="2108"/>
      <c r="DU11" s="2108">
        <v>2.8977272727272729</v>
      </c>
      <c r="DV11" s="2108"/>
      <c r="DW11" s="2108">
        <v>2.8977272727272729</v>
      </c>
      <c r="DX11" s="2108"/>
      <c r="DY11" s="2108">
        <v>2.8977272727272729</v>
      </c>
      <c r="DZ11" s="2108">
        <v>2.8977272727272729</v>
      </c>
      <c r="EA11" s="2108"/>
      <c r="EB11" s="2108"/>
      <c r="EC11" s="2108"/>
      <c r="ED11" s="2108"/>
      <c r="EE11" s="2108"/>
      <c r="EF11" s="2108"/>
      <c r="EG11" s="2108"/>
      <c r="EH11" s="2108"/>
      <c r="EI11" s="2108"/>
      <c r="EJ11" s="2108"/>
      <c r="EK11" s="2108"/>
      <c r="EL11" s="2108"/>
      <c r="EM11" s="2108"/>
      <c r="EN11" s="2108"/>
      <c r="EO11" s="2108"/>
      <c r="EP11" s="2108"/>
      <c r="EQ11" s="2108"/>
      <c r="ER11" s="2108"/>
      <c r="ES11" s="2108"/>
      <c r="ET11" s="2108"/>
      <c r="EU11" s="2108"/>
      <c r="EV11" s="2108"/>
      <c r="EW11" s="2108"/>
      <c r="EX11" s="2108"/>
      <c r="EY11" s="2108"/>
      <c r="EZ11" s="2108"/>
      <c r="FA11" s="2108"/>
      <c r="FB11" s="2108"/>
      <c r="FC11" s="2108"/>
      <c r="FD11" s="2108"/>
      <c r="FE11" s="2108"/>
      <c r="FF11" s="2108"/>
      <c r="FG11" s="2108"/>
      <c r="FH11" s="2108"/>
      <c r="FI11" s="2108"/>
      <c r="FJ11" s="2108"/>
      <c r="FK11" s="2108"/>
      <c r="FL11" s="2108"/>
      <c r="FM11" s="2108"/>
      <c r="FN11" s="2108"/>
      <c r="FO11" s="2108"/>
      <c r="FP11" s="2108"/>
      <c r="FQ11" s="2108"/>
      <c r="FR11" s="2108"/>
      <c r="FS11" s="2108"/>
      <c r="FT11" s="2108"/>
      <c r="FU11" s="2108"/>
      <c r="FV11" s="2108"/>
      <c r="FW11" s="2113" t="s">
        <v>481</v>
      </c>
      <c r="FX11" s="2113" t="s">
        <v>481</v>
      </c>
      <c r="FY11" s="2113" t="s">
        <v>481</v>
      </c>
      <c r="FZ11" s="2113" t="s">
        <v>481</v>
      </c>
      <c r="GA11" s="2113" t="s">
        <v>481</v>
      </c>
      <c r="GB11" s="2114"/>
      <c r="GC11" s="2113"/>
      <c r="GD11" s="2113"/>
      <c r="GE11" s="2113"/>
      <c r="GF11" s="2114"/>
      <c r="GG11" s="1960"/>
      <c r="GH11" s="2114"/>
      <c r="GI11" s="2114"/>
      <c r="GJ11" s="2113"/>
      <c r="GK11" s="2113"/>
      <c r="GL11" s="2113"/>
      <c r="GM11" s="2114"/>
      <c r="GN11" s="2114"/>
      <c r="GO11" s="2115"/>
      <c r="GP11" s="2116"/>
      <c r="GQ11" s="2116"/>
      <c r="GR11" s="2116">
        <v>0</v>
      </c>
      <c r="GS11" s="2116">
        <v>0</v>
      </c>
      <c r="GT11" s="1960">
        <v>0</v>
      </c>
      <c r="GU11" s="1960">
        <v>0</v>
      </c>
      <c r="GV11" s="1960" t="s">
        <v>481</v>
      </c>
      <c r="GW11" s="1960"/>
      <c r="GX11" s="1960"/>
      <c r="GY11" s="1960"/>
      <c r="GZ11" s="1960"/>
      <c r="HA11" s="1960"/>
      <c r="HB11" s="1960"/>
      <c r="HC11" s="1960"/>
      <c r="HD11" s="1960"/>
      <c r="HE11" s="1960"/>
      <c r="HF11" s="1960"/>
      <c r="HG11" s="1960"/>
      <c r="HH11" s="2117"/>
      <c r="HI11" s="1960"/>
      <c r="HJ11" s="1960"/>
      <c r="HK11" s="1960"/>
      <c r="HL11" s="1960"/>
      <c r="HM11" s="1960"/>
      <c r="HN11" s="1960"/>
      <c r="HO11" s="1960"/>
      <c r="HP11" s="1960"/>
      <c r="HQ11" s="1960"/>
      <c r="HR11" s="1960"/>
      <c r="HS11" s="1960"/>
      <c r="HT11" s="1962"/>
      <c r="HU11" s="1961"/>
      <c r="HV11" s="1960"/>
      <c r="HW11" s="1960"/>
      <c r="HX11" s="1960"/>
      <c r="HY11" s="1960"/>
      <c r="HZ11" s="1960"/>
      <c r="IA11" s="1960"/>
      <c r="IB11" s="1960"/>
      <c r="IC11" s="1960"/>
      <c r="ID11" s="1960"/>
      <c r="IE11" s="1960"/>
      <c r="IF11" s="1960"/>
      <c r="IG11" s="1961"/>
      <c r="IH11" s="1960"/>
      <c r="II11" s="1960"/>
      <c r="IJ11" s="1961"/>
      <c r="IK11" s="1960"/>
      <c r="IL11" s="1960"/>
      <c r="IM11" s="1960"/>
      <c r="IN11" s="1960"/>
      <c r="IO11" s="1960"/>
      <c r="IP11" s="1960"/>
      <c r="IQ11" s="1960"/>
      <c r="IR11" s="1960"/>
      <c r="IS11" s="2274"/>
      <c r="IT11" s="1960"/>
      <c r="IU11" s="1960"/>
      <c r="IV11" s="1960"/>
      <c r="IW11" s="1960"/>
      <c r="IX11" s="1960"/>
      <c r="IY11" s="1960"/>
      <c r="IZ11" s="1960"/>
      <c r="JA11" s="1960"/>
      <c r="JB11" s="1960"/>
      <c r="JC11" s="1960"/>
      <c r="JD11" s="1960"/>
      <c r="JE11" s="2274"/>
      <c r="JF11" s="2117"/>
      <c r="JG11" s="2103" t="e">
        <f t="shared" si="12"/>
        <v>#DIV/0!</v>
      </c>
      <c r="JI11" s="2155"/>
      <c r="JJ11" s="2104"/>
    </row>
    <row r="12" spans="1:294" hidden="1">
      <c r="B12" s="2105" t="s">
        <v>476</v>
      </c>
      <c r="C12" s="2106"/>
      <c r="D12" s="2425"/>
      <c r="E12" s="2107" t="s">
        <v>846</v>
      </c>
      <c r="F12" s="2106"/>
      <c r="G12" s="2106" t="s">
        <v>906</v>
      </c>
      <c r="H12" s="2106" t="s">
        <v>497</v>
      </c>
      <c r="I12" s="2106"/>
      <c r="J12" s="2359" t="s">
        <v>910</v>
      </c>
      <c r="K12" s="2564"/>
      <c r="L12" s="2110"/>
      <c r="M12" s="2110"/>
      <c r="N12" s="2110"/>
      <c r="O12" s="2110"/>
      <c r="P12" s="2110"/>
      <c r="Q12" s="2110"/>
      <c r="R12" s="2110"/>
      <c r="S12" s="2110"/>
      <c r="T12" s="2110"/>
      <c r="U12" s="2110"/>
      <c r="V12" s="2110"/>
      <c r="W12" s="2110"/>
      <c r="X12" s="2110"/>
      <c r="Y12" s="2110"/>
      <c r="Z12" s="2110"/>
      <c r="AA12" s="2110"/>
      <c r="AB12" s="2110"/>
      <c r="AC12" s="2110"/>
      <c r="AD12" s="2110"/>
      <c r="AE12" s="2110"/>
      <c r="AF12" s="2110"/>
      <c r="AG12" s="2110"/>
      <c r="AH12" s="2110"/>
      <c r="AI12" s="2110"/>
      <c r="AJ12" s="2110"/>
      <c r="AK12" s="2110"/>
      <c r="AL12" s="2110"/>
      <c r="AM12" s="2110"/>
      <c r="AN12" s="2110"/>
      <c r="AO12" s="2110">
        <v>0.28399999999999997</v>
      </c>
      <c r="AP12" s="2110"/>
      <c r="AQ12" s="2110"/>
      <c r="AR12" s="2110"/>
      <c r="AS12" s="2110"/>
      <c r="AT12" s="2110"/>
      <c r="AU12" s="2110"/>
      <c r="AV12" s="2110"/>
      <c r="AW12" s="2111"/>
      <c r="AX12" s="2111"/>
      <c r="AY12" s="2111">
        <v>1.472</v>
      </c>
      <c r="AZ12" s="2111">
        <v>1.19</v>
      </c>
      <c r="BA12" s="2111">
        <v>1.19</v>
      </c>
      <c r="BB12" s="2111">
        <v>1.19</v>
      </c>
      <c r="BC12" s="2111">
        <v>1.19</v>
      </c>
      <c r="BD12" s="2112">
        <v>1.19</v>
      </c>
      <c r="BE12" s="2111">
        <v>1.19</v>
      </c>
      <c r="BF12" s="2111">
        <v>1.19</v>
      </c>
      <c r="BG12" s="2111">
        <v>1.1359999999999999</v>
      </c>
      <c r="BH12" s="2111">
        <v>1.1359999999999999</v>
      </c>
      <c r="BI12" s="2108">
        <v>0.85227272727272729</v>
      </c>
      <c r="BJ12" s="2108">
        <v>0.85227272727272729</v>
      </c>
      <c r="BK12" s="2108">
        <v>0.85227272727272729</v>
      </c>
      <c r="BL12" s="2108">
        <v>0.56818181818181823</v>
      </c>
      <c r="BM12" s="2108">
        <v>1.1363636363636365</v>
      </c>
      <c r="BN12" s="2108">
        <v>1.1363636363636362</v>
      </c>
      <c r="BO12" s="2108">
        <v>0.63068181818181812</v>
      </c>
      <c r="BP12" s="2108">
        <v>0.63100000000000001</v>
      </c>
      <c r="BQ12" s="2108">
        <v>0</v>
      </c>
      <c r="BR12" s="2108">
        <v>0.55113636363636365</v>
      </c>
      <c r="BS12" s="2108">
        <v>0.55113636363636365</v>
      </c>
      <c r="BT12" s="2108">
        <v>0.55113636363636365</v>
      </c>
      <c r="BU12" s="2108"/>
      <c r="BV12" s="2108"/>
      <c r="BW12" s="2108"/>
      <c r="BX12" s="2108"/>
      <c r="BY12" s="2108"/>
      <c r="BZ12" s="2108"/>
      <c r="CA12" s="2108"/>
      <c r="CB12" s="2108"/>
      <c r="CC12" s="2108"/>
      <c r="CD12" s="2108"/>
      <c r="CE12" s="2108"/>
      <c r="CF12" s="2108"/>
      <c r="CG12" s="2108"/>
      <c r="CH12" s="2108"/>
      <c r="CI12" s="2108"/>
      <c r="CJ12" s="2108"/>
      <c r="CK12" s="2108"/>
      <c r="CL12" s="2108"/>
      <c r="CM12" s="2108"/>
      <c r="CN12" s="2108"/>
      <c r="CO12" s="2108"/>
      <c r="CP12" s="2108"/>
      <c r="CQ12" s="2108"/>
      <c r="CR12" s="2108"/>
      <c r="CS12" s="2108"/>
      <c r="CT12" s="2108"/>
      <c r="CU12" s="2108"/>
      <c r="CV12" s="2108"/>
      <c r="CW12" s="2108"/>
      <c r="CX12" s="2108"/>
      <c r="CY12" s="2108"/>
      <c r="CZ12" s="2108"/>
      <c r="DA12" s="2108"/>
      <c r="DB12" s="2108"/>
      <c r="DC12" s="2108"/>
      <c r="DD12" s="2108"/>
      <c r="DE12" s="2108"/>
      <c r="DF12" s="2108"/>
      <c r="DG12" s="2108">
        <v>1.4204545454545454</v>
      </c>
      <c r="DH12" s="2108">
        <v>1.4204545454545454</v>
      </c>
      <c r="DI12" s="2108">
        <v>0.56818181818181823</v>
      </c>
      <c r="DJ12" s="2108">
        <v>0.56818181818181823</v>
      </c>
      <c r="DK12" s="2108">
        <v>0.56818181818181823</v>
      </c>
      <c r="DL12" s="2108"/>
      <c r="DM12" s="2108"/>
      <c r="DN12" s="2108"/>
      <c r="DO12" s="2108"/>
      <c r="DP12" s="2108"/>
      <c r="DQ12" s="2108">
        <v>1.3258000000000001</v>
      </c>
      <c r="DR12" s="2108">
        <v>1.3258000000000001</v>
      </c>
      <c r="DS12" s="2108">
        <v>1.3258000000000001</v>
      </c>
      <c r="DT12" s="2108"/>
      <c r="DU12" s="2108">
        <v>3.1818181818181817</v>
      </c>
      <c r="DV12" s="2108"/>
      <c r="DW12" s="2108">
        <v>3.1818181818181817</v>
      </c>
      <c r="DX12" s="2108"/>
      <c r="DY12" s="2108">
        <v>3.1818181818181817</v>
      </c>
      <c r="DZ12" s="2108">
        <v>3.1818181818181817</v>
      </c>
      <c r="EA12" s="2108"/>
      <c r="EB12" s="2108"/>
      <c r="EC12" s="2108"/>
      <c r="ED12" s="2108"/>
      <c r="EE12" s="2108"/>
      <c r="EF12" s="2108"/>
      <c r="EG12" s="2108"/>
      <c r="EH12" s="2108"/>
      <c r="EI12" s="2108"/>
      <c r="EJ12" s="2108"/>
      <c r="EK12" s="2108"/>
      <c r="EL12" s="2108"/>
      <c r="EM12" s="2108"/>
      <c r="EN12" s="2108"/>
      <c r="EO12" s="2108"/>
      <c r="EP12" s="2108"/>
      <c r="EQ12" s="2108"/>
      <c r="ER12" s="2108"/>
      <c r="ES12" s="2108"/>
      <c r="ET12" s="2108"/>
      <c r="EU12" s="2108"/>
      <c r="EV12" s="2108"/>
      <c r="EW12" s="2108"/>
      <c r="EX12" s="2108"/>
      <c r="EY12" s="2108"/>
      <c r="EZ12" s="2108"/>
      <c r="FA12" s="2108"/>
      <c r="FB12" s="2108"/>
      <c r="FC12" s="2108"/>
      <c r="FD12" s="2108"/>
      <c r="FE12" s="2108"/>
      <c r="FF12" s="2108"/>
      <c r="FG12" s="2108"/>
      <c r="FH12" s="2108"/>
      <c r="FI12" s="2108"/>
      <c r="FJ12" s="2108"/>
      <c r="FK12" s="2108"/>
      <c r="FL12" s="2108"/>
      <c r="FM12" s="2108"/>
      <c r="FN12" s="2108"/>
      <c r="FO12" s="2108"/>
      <c r="FP12" s="2108"/>
      <c r="FQ12" s="2108"/>
      <c r="FR12" s="2108"/>
      <c r="FS12" s="2108"/>
      <c r="FT12" s="2108"/>
      <c r="FU12" s="2108"/>
      <c r="FV12" s="2108"/>
      <c r="FW12" s="2113" t="s">
        <v>481</v>
      </c>
      <c r="FX12" s="2113" t="s">
        <v>481</v>
      </c>
      <c r="FY12" s="2113" t="s">
        <v>481</v>
      </c>
      <c r="FZ12" s="2113" t="s">
        <v>481</v>
      </c>
      <c r="GA12" s="2113" t="s">
        <v>481</v>
      </c>
      <c r="GB12" s="2114"/>
      <c r="GC12" s="2113"/>
      <c r="GD12" s="2113"/>
      <c r="GE12" s="2113"/>
      <c r="GF12" s="2114"/>
      <c r="GG12" s="1960"/>
      <c r="GH12" s="2114"/>
      <c r="GI12" s="2114"/>
      <c r="GJ12" s="2113"/>
      <c r="GK12" s="2113"/>
      <c r="GL12" s="2113"/>
      <c r="GM12" s="2114"/>
      <c r="GN12" s="2114"/>
      <c r="GO12" s="2115"/>
      <c r="GP12" s="2116"/>
      <c r="GQ12" s="2116"/>
      <c r="GR12" s="2116">
        <v>0</v>
      </c>
      <c r="GS12" s="2116">
        <v>0</v>
      </c>
      <c r="GT12" s="1960">
        <v>0</v>
      </c>
      <c r="GU12" s="1960">
        <v>0</v>
      </c>
      <c r="GV12" s="1960" t="s">
        <v>481</v>
      </c>
      <c r="GW12" s="1960"/>
      <c r="GX12" s="1960"/>
      <c r="GY12" s="1960"/>
      <c r="GZ12" s="1960"/>
      <c r="HA12" s="1960"/>
      <c r="HB12" s="1960"/>
      <c r="HC12" s="1960"/>
      <c r="HD12" s="1960"/>
      <c r="HE12" s="1960"/>
      <c r="HF12" s="1960"/>
      <c r="HG12" s="1960"/>
      <c r="HH12" s="2117"/>
      <c r="HI12" s="1960"/>
      <c r="HJ12" s="1960"/>
      <c r="HK12" s="1960"/>
      <c r="HL12" s="1960"/>
      <c r="HM12" s="1960"/>
      <c r="HN12" s="1960"/>
      <c r="HO12" s="1960"/>
      <c r="HP12" s="1960"/>
      <c r="HQ12" s="1960"/>
      <c r="HR12" s="1960"/>
      <c r="HS12" s="1960"/>
      <c r="HT12" s="1962"/>
      <c r="HU12" s="1961"/>
      <c r="HV12" s="1960"/>
      <c r="HW12" s="1960"/>
      <c r="HX12" s="1960"/>
      <c r="HY12" s="1960"/>
      <c r="HZ12" s="1960"/>
      <c r="IA12" s="1960"/>
      <c r="IB12" s="1960"/>
      <c r="IC12" s="1960"/>
      <c r="ID12" s="1960"/>
      <c r="IE12" s="1960"/>
      <c r="IF12" s="1960"/>
      <c r="IG12" s="1961"/>
      <c r="IH12" s="1960"/>
      <c r="II12" s="1960"/>
      <c r="IJ12" s="1961"/>
      <c r="IK12" s="1960"/>
      <c r="IL12" s="1960"/>
      <c r="IM12" s="1960"/>
      <c r="IN12" s="1960"/>
      <c r="IO12" s="1960"/>
      <c r="IP12" s="1960"/>
      <c r="IQ12" s="1960"/>
      <c r="IR12" s="1960"/>
      <c r="IS12" s="2274"/>
      <c r="IT12" s="1960"/>
      <c r="IU12" s="1960"/>
      <c r="IV12" s="1960"/>
      <c r="IW12" s="1960"/>
      <c r="IX12" s="1960"/>
      <c r="IY12" s="1960"/>
      <c r="IZ12" s="1960"/>
      <c r="JA12" s="1960"/>
      <c r="JB12" s="1960"/>
      <c r="JC12" s="1960"/>
      <c r="JD12" s="1960"/>
      <c r="JE12" s="2274"/>
      <c r="JF12" s="2117"/>
      <c r="JG12" s="2103" t="e">
        <f t="shared" si="12"/>
        <v>#DIV/0!</v>
      </c>
      <c r="JI12" s="2155"/>
      <c r="JJ12" s="2104"/>
    </row>
    <row r="13" spans="1:294" hidden="1">
      <c r="B13" s="2105" t="s">
        <v>477</v>
      </c>
      <c r="C13" s="2106"/>
      <c r="D13" s="2425"/>
      <c r="E13" s="2107" t="s">
        <v>847</v>
      </c>
      <c r="F13" s="2106"/>
      <c r="G13" s="2106" t="s">
        <v>906</v>
      </c>
      <c r="H13" s="2106" t="s">
        <v>497</v>
      </c>
      <c r="I13" s="2106"/>
      <c r="J13" s="2359" t="s">
        <v>911</v>
      </c>
      <c r="K13" s="2564"/>
      <c r="L13" s="2110"/>
      <c r="M13" s="2110"/>
      <c r="N13" s="2110"/>
      <c r="O13" s="2110"/>
      <c r="P13" s="2110"/>
      <c r="Q13" s="2110"/>
      <c r="R13" s="2110"/>
      <c r="S13" s="2110"/>
      <c r="T13" s="2110"/>
      <c r="U13" s="2110"/>
      <c r="V13" s="2110"/>
      <c r="W13" s="2110"/>
      <c r="X13" s="2110"/>
      <c r="Y13" s="2110"/>
      <c r="Z13" s="2110"/>
      <c r="AA13" s="2110"/>
      <c r="AB13" s="2110"/>
      <c r="AC13" s="2110"/>
      <c r="AD13" s="2110"/>
      <c r="AE13" s="2110"/>
      <c r="AF13" s="2110"/>
      <c r="AG13" s="2110"/>
      <c r="AH13" s="2110"/>
      <c r="AI13" s="2110"/>
      <c r="AJ13" s="2110"/>
      <c r="AK13" s="2110"/>
      <c r="AL13" s="2110"/>
      <c r="AM13" s="2110"/>
      <c r="AN13" s="2110"/>
      <c r="AO13" s="2110">
        <v>0.28399999999999997</v>
      </c>
      <c r="AP13" s="2110"/>
      <c r="AQ13" s="2110"/>
      <c r="AR13" s="2110"/>
      <c r="AS13" s="2110"/>
      <c r="AT13" s="2110"/>
      <c r="AU13" s="2110"/>
      <c r="AV13" s="2110"/>
      <c r="AW13" s="2111"/>
      <c r="AX13" s="2111"/>
      <c r="AY13" s="2111">
        <v>1.5920000000000001</v>
      </c>
      <c r="AZ13" s="2111">
        <v>1.31</v>
      </c>
      <c r="BA13" s="2111">
        <v>1.31</v>
      </c>
      <c r="BB13" s="2111">
        <v>1.31</v>
      </c>
      <c r="BC13" s="2111">
        <v>1.31</v>
      </c>
      <c r="BD13" s="2112">
        <v>1.31</v>
      </c>
      <c r="BE13" s="2111">
        <v>1.31</v>
      </c>
      <c r="BF13" s="2111">
        <v>1.31</v>
      </c>
      <c r="BG13" s="2111">
        <v>1.278</v>
      </c>
      <c r="BH13" s="2111">
        <v>1.278</v>
      </c>
      <c r="BI13" s="2108">
        <v>0.95880681818181823</v>
      </c>
      <c r="BJ13" s="2108">
        <v>0.95880681818181823</v>
      </c>
      <c r="BK13" s="2108">
        <v>0.95880681818181823</v>
      </c>
      <c r="BL13" s="2108">
        <v>0.63920454545454541</v>
      </c>
      <c r="BM13" s="2108">
        <v>1.2073863636363638</v>
      </c>
      <c r="BN13" s="2108">
        <v>1.2073863636363638</v>
      </c>
      <c r="BO13" s="2108">
        <v>0.70028409090909083</v>
      </c>
      <c r="BP13" s="2108">
        <v>0.7</v>
      </c>
      <c r="BQ13" s="2108">
        <v>0</v>
      </c>
      <c r="BR13" s="2108">
        <v>0.59090909090909094</v>
      </c>
      <c r="BS13" s="2108">
        <v>0.59090909090909094</v>
      </c>
      <c r="BT13" s="2108">
        <v>0.59090909090909094</v>
      </c>
      <c r="BU13" s="2108"/>
      <c r="BV13" s="2108"/>
      <c r="BW13" s="2108"/>
      <c r="BX13" s="2108"/>
      <c r="BY13" s="2108"/>
      <c r="BZ13" s="2108"/>
      <c r="CA13" s="2108"/>
      <c r="CB13" s="2108"/>
      <c r="CC13" s="2108"/>
      <c r="CD13" s="2108"/>
      <c r="CE13" s="2108"/>
      <c r="CF13" s="2108"/>
      <c r="CG13" s="2108"/>
      <c r="CH13" s="2108"/>
      <c r="CI13" s="2108"/>
      <c r="CJ13" s="2108"/>
      <c r="CK13" s="2108"/>
      <c r="CL13" s="2108"/>
      <c r="CM13" s="2108"/>
      <c r="CN13" s="2108"/>
      <c r="CO13" s="2108"/>
      <c r="CP13" s="2108"/>
      <c r="CQ13" s="2108"/>
      <c r="CR13" s="2108"/>
      <c r="CS13" s="2108"/>
      <c r="CT13" s="2108"/>
      <c r="CU13" s="2108"/>
      <c r="CV13" s="2108"/>
      <c r="CW13" s="2108"/>
      <c r="CX13" s="2108"/>
      <c r="CY13" s="2108"/>
      <c r="CZ13" s="2108"/>
      <c r="DA13" s="2108"/>
      <c r="DB13" s="2108"/>
      <c r="DC13" s="2108"/>
      <c r="DD13" s="2108"/>
      <c r="DE13" s="2108"/>
      <c r="DF13" s="2108"/>
      <c r="DG13" s="2108">
        <v>1.4204545454545454</v>
      </c>
      <c r="DH13" s="2108">
        <v>1.4204545454545454</v>
      </c>
      <c r="DI13" s="2108">
        <v>0.56818181818181823</v>
      </c>
      <c r="DJ13" s="2108">
        <v>0.56818181818181823</v>
      </c>
      <c r="DK13" s="2108">
        <v>0.56818181818181823</v>
      </c>
      <c r="DL13" s="2108"/>
      <c r="DM13" s="2108"/>
      <c r="DN13" s="2108"/>
      <c r="DO13" s="2108"/>
      <c r="DP13" s="2108"/>
      <c r="DQ13" s="2108">
        <v>1.3258000000000001</v>
      </c>
      <c r="DR13" s="2108">
        <v>1.3258000000000001</v>
      </c>
      <c r="DS13" s="2108">
        <v>1.3258000000000001</v>
      </c>
      <c r="DT13" s="2108"/>
      <c r="DU13" s="2108">
        <v>3.4090909090909092</v>
      </c>
      <c r="DV13" s="2108"/>
      <c r="DW13" s="2108">
        <v>3.4090909090909092</v>
      </c>
      <c r="DX13" s="2108"/>
      <c r="DY13" s="2108">
        <v>3.4090909090909092</v>
      </c>
      <c r="DZ13" s="2108">
        <v>3.4090909090909092</v>
      </c>
      <c r="EA13" s="2108"/>
      <c r="EB13" s="2108"/>
      <c r="EC13" s="2108"/>
      <c r="ED13" s="2108"/>
      <c r="EE13" s="2108"/>
      <c r="EF13" s="2108"/>
      <c r="EG13" s="2108"/>
      <c r="EH13" s="2108"/>
      <c r="EI13" s="2108"/>
      <c r="EJ13" s="2108"/>
      <c r="EK13" s="2108"/>
      <c r="EL13" s="2108"/>
      <c r="EM13" s="2108"/>
      <c r="EN13" s="2108"/>
      <c r="EO13" s="2108"/>
      <c r="EP13" s="2108"/>
      <c r="EQ13" s="2108"/>
      <c r="ER13" s="2108"/>
      <c r="ES13" s="2108"/>
      <c r="ET13" s="2108"/>
      <c r="EU13" s="2108"/>
      <c r="EV13" s="2108"/>
      <c r="EW13" s="2108"/>
      <c r="EX13" s="2108"/>
      <c r="EY13" s="2108"/>
      <c r="EZ13" s="2108"/>
      <c r="FA13" s="2108"/>
      <c r="FB13" s="2108"/>
      <c r="FC13" s="2108"/>
      <c r="FD13" s="2108"/>
      <c r="FE13" s="2108"/>
      <c r="FF13" s="2108"/>
      <c r="FG13" s="2108"/>
      <c r="FH13" s="2108"/>
      <c r="FI13" s="2108"/>
      <c r="FJ13" s="2108"/>
      <c r="FK13" s="2108"/>
      <c r="FL13" s="2108"/>
      <c r="FM13" s="2108"/>
      <c r="FN13" s="2108"/>
      <c r="FO13" s="2108"/>
      <c r="FP13" s="2108"/>
      <c r="FQ13" s="2108"/>
      <c r="FR13" s="2108"/>
      <c r="FS13" s="2108"/>
      <c r="FT13" s="2108"/>
      <c r="FU13" s="2108"/>
      <c r="FV13" s="2108"/>
      <c r="FW13" s="2113" t="s">
        <v>481</v>
      </c>
      <c r="FX13" s="2113" t="s">
        <v>481</v>
      </c>
      <c r="FY13" s="2113" t="s">
        <v>481</v>
      </c>
      <c r="FZ13" s="2113" t="s">
        <v>481</v>
      </c>
      <c r="GA13" s="2113" t="s">
        <v>481</v>
      </c>
      <c r="GB13" s="2114"/>
      <c r="GC13" s="2113"/>
      <c r="GD13" s="2113"/>
      <c r="GE13" s="2113"/>
      <c r="GF13" s="2114"/>
      <c r="GG13" s="1960"/>
      <c r="GH13" s="2114"/>
      <c r="GI13" s="2114"/>
      <c r="GJ13" s="2113"/>
      <c r="GK13" s="2113"/>
      <c r="GL13" s="2113"/>
      <c r="GM13" s="2114"/>
      <c r="GN13" s="2114"/>
      <c r="GO13" s="2115"/>
      <c r="GP13" s="2116"/>
      <c r="GQ13" s="2116"/>
      <c r="GR13" s="2116">
        <v>0</v>
      </c>
      <c r="GS13" s="2116">
        <v>0</v>
      </c>
      <c r="GT13" s="1960">
        <v>0</v>
      </c>
      <c r="GU13" s="1960">
        <v>0</v>
      </c>
      <c r="GV13" s="1960" t="s">
        <v>481</v>
      </c>
      <c r="GW13" s="1960"/>
      <c r="GX13" s="1960"/>
      <c r="GY13" s="1960"/>
      <c r="GZ13" s="1960"/>
      <c r="HA13" s="1960"/>
      <c r="HB13" s="1960"/>
      <c r="HC13" s="1960"/>
      <c r="HD13" s="1960"/>
      <c r="HE13" s="1960"/>
      <c r="HF13" s="1960"/>
      <c r="HG13" s="1960"/>
      <c r="HH13" s="2117"/>
      <c r="HI13" s="1960"/>
      <c r="HJ13" s="1960"/>
      <c r="HK13" s="1960"/>
      <c r="HL13" s="1960"/>
      <c r="HM13" s="1960"/>
      <c r="HN13" s="1960"/>
      <c r="HO13" s="1960"/>
      <c r="HP13" s="1960"/>
      <c r="HQ13" s="1960"/>
      <c r="HR13" s="1960"/>
      <c r="HS13" s="1960"/>
      <c r="HT13" s="1962"/>
      <c r="HU13" s="1961"/>
      <c r="HV13" s="1960"/>
      <c r="HW13" s="1960"/>
      <c r="HX13" s="1960"/>
      <c r="HY13" s="1960"/>
      <c r="HZ13" s="1960"/>
      <c r="IA13" s="1960"/>
      <c r="IB13" s="1960"/>
      <c r="IC13" s="1960"/>
      <c r="ID13" s="1960"/>
      <c r="IE13" s="1960"/>
      <c r="IF13" s="1960"/>
      <c r="IG13" s="1961"/>
      <c r="IH13" s="1960"/>
      <c r="II13" s="1960"/>
      <c r="IJ13" s="1961"/>
      <c r="IK13" s="1960"/>
      <c r="IL13" s="1960"/>
      <c r="IM13" s="1960"/>
      <c r="IN13" s="1960"/>
      <c r="IO13" s="1960"/>
      <c r="IP13" s="1960"/>
      <c r="IQ13" s="1960"/>
      <c r="IR13" s="1960"/>
      <c r="IS13" s="2274"/>
      <c r="IT13" s="1960"/>
      <c r="IU13" s="1960"/>
      <c r="IV13" s="1960"/>
      <c r="IW13" s="1960"/>
      <c r="IX13" s="1960"/>
      <c r="IY13" s="1960"/>
      <c r="IZ13" s="1960"/>
      <c r="JA13" s="1960"/>
      <c r="JB13" s="1960"/>
      <c r="JC13" s="1960"/>
      <c r="JD13" s="1960"/>
      <c r="JE13" s="2274"/>
      <c r="JF13" s="2117"/>
      <c r="JG13" s="2103" t="e">
        <f t="shared" si="12"/>
        <v>#DIV/0!</v>
      </c>
      <c r="JI13" s="2155"/>
      <c r="JJ13" s="2104"/>
    </row>
    <row r="14" spans="1:294" ht="31.5" hidden="1">
      <c r="B14" s="2105" t="s">
        <v>478</v>
      </c>
      <c r="C14" s="2106"/>
      <c r="D14" s="2425"/>
      <c r="E14" s="2107" t="s">
        <v>848</v>
      </c>
      <c r="F14" s="2106"/>
      <c r="G14" s="2106" t="s">
        <v>906</v>
      </c>
      <c r="H14" s="2106" t="s">
        <v>497</v>
      </c>
      <c r="I14" s="2106"/>
      <c r="J14" s="2359" t="s">
        <v>189</v>
      </c>
      <c r="K14" s="2564"/>
      <c r="L14" s="2110"/>
      <c r="M14" s="2110"/>
      <c r="N14" s="2110"/>
      <c r="O14" s="2110"/>
      <c r="P14" s="2110"/>
      <c r="Q14" s="2110"/>
      <c r="R14" s="2110"/>
      <c r="S14" s="2110"/>
      <c r="T14" s="2110"/>
      <c r="U14" s="2110"/>
      <c r="V14" s="2110"/>
      <c r="W14" s="2110"/>
      <c r="X14" s="2110"/>
      <c r="Y14" s="2110"/>
      <c r="Z14" s="2110"/>
      <c r="AA14" s="2110"/>
      <c r="AB14" s="2110"/>
      <c r="AC14" s="2110"/>
      <c r="AD14" s="2110"/>
      <c r="AE14" s="2110"/>
      <c r="AF14" s="2110"/>
      <c r="AG14" s="2110"/>
      <c r="AH14" s="2110"/>
      <c r="AI14" s="2110"/>
      <c r="AJ14" s="2110"/>
      <c r="AK14" s="2110"/>
      <c r="AL14" s="2110"/>
      <c r="AM14" s="2110"/>
      <c r="AN14" s="2110"/>
      <c r="AO14" s="2110">
        <v>0.28399999999999997</v>
      </c>
      <c r="AP14" s="2110"/>
      <c r="AQ14" s="2110"/>
      <c r="AR14" s="2110"/>
      <c r="AS14" s="2110"/>
      <c r="AT14" s="2110"/>
      <c r="AU14" s="2110"/>
      <c r="AV14" s="2110"/>
      <c r="AW14" s="2111"/>
      <c r="AX14" s="2111"/>
      <c r="AY14" s="2111">
        <v>1.702</v>
      </c>
      <c r="AZ14" s="2111">
        <v>1.42</v>
      </c>
      <c r="BA14" s="2111">
        <v>1.42</v>
      </c>
      <c r="BB14" s="2111">
        <v>1.42</v>
      </c>
      <c r="BC14" s="2111">
        <v>1.42</v>
      </c>
      <c r="BD14" s="2112">
        <v>1.42</v>
      </c>
      <c r="BE14" s="2111">
        <v>1.42</v>
      </c>
      <c r="BF14" s="2111">
        <v>1.42</v>
      </c>
      <c r="BG14" s="2111">
        <v>1.4770000000000001</v>
      </c>
      <c r="BH14" s="2111">
        <v>1.4770000000000001</v>
      </c>
      <c r="BI14" s="2108">
        <v>1.1079545454545454</v>
      </c>
      <c r="BJ14" s="2108">
        <v>1.1079545454545454</v>
      </c>
      <c r="BK14" s="2108">
        <v>1.1079545454545454</v>
      </c>
      <c r="BL14" s="2108">
        <v>0.73863636363636365</v>
      </c>
      <c r="BM14" s="2108">
        <v>1.3068181818181819</v>
      </c>
      <c r="BN14" s="2108">
        <v>1.3068181818181821</v>
      </c>
      <c r="BO14" s="2108">
        <v>0.8125</v>
      </c>
      <c r="BP14" s="2108">
        <v>0.81299999999999994</v>
      </c>
      <c r="BQ14" s="2108">
        <v>0</v>
      </c>
      <c r="BR14" s="2108">
        <v>0.69886363636363635</v>
      </c>
      <c r="BS14" s="2108">
        <v>0.69886363636363635</v>
      </c>
      <c r="BT14" s="2108">
        <v>0.69886363636363635</v>
      </c>
      <c r="BU14" s="2108"/>
      <c r="BV14" s="2108"/>
      <c r="BW14" s="2108"/>
      <c r="BX14" s="2108"/>
      <c r="BY14" s="2108"/>
      <c r="BZ14" s="2108"/>
      <c r="CA14" s="2108"/>
      <c r="CB14" s="2108"/>
      <c r="CC14" s="2108"/>
      <c r="CD14" s="2108"/>
      <c r="CE14" s="2108"/>
      <c r="CF14" s="2108"/>
      <c r="CG14" s="2108"/>
      <c r="CH14" s="2108"/>
      <c r="CI14" s="2108"/>
      <c r="CJ14" s="2108"/>
      <c r="CK14" s="2108"/>
      <c r="CL14" s="2108"/>
      <c r="CM14" s="2108"/>
      <c r="CN14" s="2108"/>
      <c r="CO14" s="2108"/>
      <c r="CP14" s="2108"/>
      <c r="CQ14" s="2108"/>
      <c r="CR14" s="2108"/>
      <c r="CS14" s="2108"/>
      <c r="CT14" s="2108"/>
      <c r="CU14" s="2108"/>
      <c r="CV14" s="2108"/>
      <c r="CW14" s="2108"/>
      <c r="CX14" s="2108"/>
      <c r="CY14" s="2108"/>
      <c r="CZ14" s="2108"/>
      <c r="DA14" s="2108"/>
      <c r="DB14" s="2108"/>
      <c r="DC14" s="2108"/>
      <c r="DD14" s="2108"/>
      <c r="DE14" s="2108"/>
      <c r="DF14" s="2108"/>
      <c r="DG14" s="2108">
        <v>1.4204545454545454</v>
      </c>
      <c r="DH14" s="2108">
        <v>1.4204545454545454</v>
      </c>
      <c r="DI14" s="2108">
        <v>0.56818181818181823</v>
      </c>
      <c r="DJ14" s="2108">
        <v>0.56818181818181823</v>
      </c>
      <c r="DK14" s="2108">
        <v>0.56818181818181823</v>
      </c>
      <c r="DL14" s="2108"/>
      <c r="DM14" s="2108"/>
      <c r="DN14" s="2108"/>
      <c r="DO14" s="2108"/>
      <c r="DP14" s="2108"/>
      <c r="DQ14" s="2108">
        <v>1.3258000000000001</v>
      </c>
      <c r="DR14" s="2108">
        <v>1.3258000000000001</v>
      </c>
      <c r="DS14" s="2108">
        <v>1.3258000000000001</v>
      </c>
      <c r="DT14" s="2108"/>
      <c r="DU14" s="2108">
        <v>4.0340909090909092</v>
      </c>
      <c r="DV14" s="2108"/>
      <c r="DW14" s="2108">
        <v>4.0340909090909092</v>
      </c>
      <c r="DX14" s="2108"/>
      <c r="DY14" s="2108">
        <v>4.0340909090909092</v>
      </c>
      <c r="DZ14" s="2108">
        <v>4.0340909090909092</v>
      </c>
      <c r="EA14" s="2108"/>
      <c r="EB14" s="2108"/>
      <c r="EC14" s="2108"/>
      <c r="ED14" s="2108"/>
      <c r="EE14" s="2108"/>
      <c r="EF14" s="2108"/>
      <c r="EG14" s="2108"/>
      <c r="EH14" s="2108"/>
      <c r="EI14" s="2108"/>
      <c r="EJ14" s="2108"/>
      <c r="EK14" s="2108"/>
      <c r="EL14" s="2108"/>
      <c r="EM14" s="2108"/>
      <c r="EN14" s="2108"/>
      <c r="EO14" s="2108"/>
      <c r="EP14" s="2108"/>
      <c r="EQ14" s="2108"/>
      <c r="ER14" s="2108"/>
      <c r="ES14" s="2108"/>
      <c r="ET14" s="2108"/>
      <c r="EU14" s="2108"/>
      <c r="EV14" s="2108"/>
      <c r="EW14" s="2108"/>
      <c r="EX14" s="2108"/>
      <c r="EY14" s="2108"/>
      <c r="EZ14" s="2108"/>
      <c r="FA14" s="2108"/>
      <c r="FB14" s="2108"/>
      <c r="FC14" s="2108"/>
      <c r="FD14" s="2108"/>
      <c r="FE14" s="2108"/>
      <c r="FF14" s="2108"/>
      <c r="FG14" s="2108"/>
      <c r="FH14" s="2108"/>
      <c r="FI14" s="2108"/>
      <c r="FJ14" s="2108"/>
      <c r="FK14" s="2108"/>
      <c r="FL14" s="2108"/>
      <c r="FM14" s="2108"/>
      <c r="FN14" s="2108"/>
      <c r="FO14" s="2108"/>
      <c r="FP14" s="2108"/>
      <c r="FQ14" s="2108"/>
      <c r="FR14" s="2108"/>
      <c r="FS14" s="2108"/>
      <c r="FT14" s="2108"/>
      <c r="FU14" s="2108"/>
      <c r="FV14" s="2108"/>
      <c r="FW14" s="2113" t="s">
        <v>481</v>
      </c>
      <c r="FX14" s="2113" t="s">
        <v>481</v>
      </c>
      <c r="FY14" s="2113" t="s">
        <v>481</v>
      </c>
      <c r="FZ14" s="2113" t="s">
        <v>481</v>
      </c>
      <c r="GA14" s="2113" t="s">
        <v>481</v>
      </c>
      <c r="GB14" s="2114"/>
      <c r="GC14" s="2113"/>
      <c r="GD14" s="2113"/>
      <c r="GE14" s="2113"/>
      <c r="GF14" s="2114"/>
      <c r="GG14" s="1960"/>
      <c r="GH14" s="2114"/>
      <c r="GI14" s="2114"/>
      <c r="GJ14" s="2113"/>
      <c r="GK14" s="2113"/>
      <c r="GL14" s="2113"/>
      <c r="GM14" s="2114"/>
      <c r="GN14" s="2114"/>
      <c r="GO14" s="2115"/>
      <c r="GP14" s="2116"/>
      <c r="GQ14" s="2116"/>
      <c r="GR14" s="2116">
        <v>0</v>
      </c>
      <c r="GS14" s="2116">
        <v>0</v>
      </c>
      <c r="GT14" s="1960">
        <v>0</v>
      </c>
      <c r="GU14" s="1960">
        <v>0</v>
      </c>
      <c r="GV14" s="1960" t="s">
        <v>481</v>
      </c>
      <c r="GW14" s="1960"/>
      <c r="GX14" s="1960"/>
      <c r="GY14" s="1960"/>
      <c r="GZ14" s="1960"/>
      <c r="HA14" s="1960"/>
      <c r="HB14" s="1960"/>
      <c r="HC14" s="1960"/>
      <c r="HD14" s="1960"/>
      <c r="HE14" s="1960"/>
      <c r="HF14" s="1960"/>
      <c r="HG14" s="1960"/>
      <c r="HH14" s="2117"/>
      <c r="HI14" s="1960"/>
      <c r="HJ14" s="1960"/>
      <c r="HK14" s="1960"/>
      <c r="HL14" s="1960"/>
      <c r="HM14" s="1960"/>
      <c r="HN14" s="1960"/>
      <c r="HO14" s="1960"/>
      <c r="HP14" s="1960"/>
      <c r="HQ14" s="1960"/>
      <c r="HR14" s="1960"/>
      <c r="HS14" s="1960"/>
      <c r="HT14" s="1962"/>
      <c r="HU14" s="1961"/>
      <c r="HV14" s="1960"/>
      <c r="HW14" s="1960"/>
      <c r="HX14" s="1960"/>
      <c r="HY14" s="1960"/>
      <c r="HZ14" s="1960"/>
      <c r="IA14" s="1960"/>
      <c r="IB14" s="1960"/>
      <c r="IC14" s="1960"/>
      <c r="ID14" s="1960"/>
      <c r="IE14" s="1960"/>
      <c r="IF14" s="1960"/>
      <c r="IG14" s="1961"/>
      <c r="IH14" s="1960"/>
      <c r="II14" s="1960"/>
      <c r="IJ14" s="1961"/>
      <c r="IK14" s="1960"/>
      <c r="IL14" s="1960"/>
      <c r="IM14" s="1960"/>
      <c r="IN14" s="1960"/>
      <c r="IO14" s="1960"/>
      <c r="IP14" s="1960"/>
      <c r="IQ14" s="1960"/>
      <c r="IR14" s="1960"/>
      <c r="IS14" s="2274"/>
      <c r="IT14" s="1960"/>
      <c r="IU14" s="1960"/>
      <c r="IV14" s="1960"/>
      <c r="IW14" s="1960"/>
      <c r="IX14" s="1960"/>
      <c r="IY14" s="1960"/>
      <c r="IZ14" s="1960"/>
      <c r="JA14" s="1960"/>
      <c r="JB14" s="1960"/>
      <c r="JC14" s="1960"/>
      <c r="JD14" s="1960"/>
      <c r="JE14" s="2274"/>
      <c r="JF14" s="2117"/>
      <c r="JG14" s="2103" t="e">
        <f t="shared" si="12"/>
        <v>#DIV/0!</v>
      </c>
      <c r="JI14" s="2155"/>
      <c r="JJ14" s="2104"/>
    </row>
    <row r="15" spans="1:294" hidden="1">
      <c r="B15" s="2105"/>
      <c r="C15" s="2106"/>
      <c r="D15" s="2425"/>
      <c r="E15" s="2128"/>
      <c r="F15" s="2106"/>
      <c r="G15" s="2106"/>
      <c r="H15" s="2106"/>
      <c r="I15" s="2106"/>
      <c r="J15" s="2359"/>
      <c r="K15" s="2425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0"/>
      <c r="X15" s="2110"/>
      <c r="Y15" s="2110"/>
      <c r="Z15" s="2110"/>
      <c r="AA15" s="2110"/>
      <c r="AB15" s="2110"/>
      <c r="AC15" s="2110"/>
      <c r="AD15" s="2110"/>
      <c r="AE15" s="2110"/>
      <c r="AF15" s="2110"/>
      <c r="AG15" s="2110"/>
      <c r="AH15" s="2110"/>
      <c r="AI15" s="2110"/>
      <c r="AJ15" s="2110"/>
      <c r="AK15" s="2110"/>
      <c r="AL15" s="2110"/>
      <c r="AM15" s="2110"/>
      <c r="AN15" s="2110"/>
      <c r="AO15" s="2110"/>
      <c r="AP15" s="2110"/>
      <c r="AQ15" s="2110"/>
      <c r="AR15" s="2110"/>
      <c r="AS15" s="2110"/>
      <c r="AT15" s="2110"/>
      <c r="AU15" s="2110"/>
      <c r="AV15" s="2110"/>
      <c r="AW15" s="2111"/>
      <c r="AX15" s="2111"/>
      <c r="AY15" s="2111"/>
      <c r="AZ15" s="2111"/>
      <c r="BA15" s="2111"/>
      <c r="BB15" s="2111"/>
      <c r="BC15" s="2111"/>
      <c r="BD15" s="2112"/>
      <c r="BE15" s="2111"/>
      <c r="BF15" s="2111"/>
      <c r="BG15" s="2111"/>
      <c r="BH15" s="2111"/>
      <c r="BI15" s="2108"/>
      <c r="BJ15" s="2108"/>
      <c r="BK15" s="2108"/>
      <c r="BL15" s="2108"/>
      <c r="BM15" s="2108"/>
      <c r="BN15" s="2108"/>
      <c r="BO15" s="2108"/>
      <c r="BP15" s="2108"/>
      <c r="BQ15" s="2108"/>
      <c r="BR15" s="2108"/>
      <c r="BS15" s="2108"/>
      <c r="BT15" s="2108"/>
      <c r="BU15" s="2108"/>
      <c r="BV15" s="2108"/>
      <c r="BW15" s="2108"/>
      <c r="BX15" s="2108"/>
      <c r="BY15" s="2108"/>
      <c r="BZ15" s="2108"/>
      <c r="CA15" s="2108"/>
      <c r="CB15" s="2108"/>
      <c r="CC15" s="2108"/>
      <c r="CD15" s="2108"/>
      <c r="CE15" s="2108"/>
      <c r="CF15" s="2108"/>
      <c r="CG15" s="2108"/>
      <c r="CH15" s="2108"/>
      <c r="CI15" s="2108"/>
      <c r="CJ15" s="2108"/>
      <c r="CK15" s="2108"/>
      <c r="CL15" s="2108"/>
      <c r="CM15" s="2108"/>
      <c r="CN15" s="2108"/>
      <c r="CO15" s="2108"/>
      <c r="CP15" s="2108"/>
      <c r="CQ15" s="2108"/>
      <c r="CR15" s="2108"/>
      <c r="CS15" s="2108"/>
      <c r="CT15" s="2108"/>
      <c r="CU15" s="2108"/>
      <c r="CV15" s="2108"/>
      <c r="CW15" s="2108"/>
      <c r="CX15" s="2108"/>
      <c r="CY15" s="2108"/>
      <c r="CZ15" s="2108"/>
      <c r="DA15" s="2108"/>
      <c r="DB15" s="2108"/>
      <c r="DC15" s="2108"/>
      <c r="DD15" s="2108"/>
      <c r="DE15" s="2108"/>
      <c r="DF15" s="2108"/>
      <c r="DG15" s="2108"/>
      <c r="DH15" s="2108"/>
      <c r="DI15" s="2108"/>
      <c r="DJ15" s="2108"/>
      <c r="DK15" s="2108"/>
      <c r="DL15" s="2108"/>
      <c r="DM15" s="2108"/>
      <c r="DN15" s="2108"/>
      <c r="DO15" s="2108"/>
      <c r="DP15" s="2108"/>
      <c r="DQ15" s="2108"/>
      <c r="DR15" s="2108"/>
      <c r="DS15" s="2108"/>
      <c r="DT15" s="2108"/>
      <c r="DU15" s="2108"/>
      <c r="DV15" s="2108"/>
      <c r="DW15" s="2108"/>
      <c r="DX15" s="2108"/>
      <c r="DY15" s="2108"/>
      <c r="DZ15" s="2108"/>
      <c r="EA15" s="2108"/>
      <c r="EB15" s="2108"/>
      <c r="EC15" s="2108"/>
      <c r="ED15" s="2108"/>
      <c r="EE15" s="2108"/>
      <c r="EF15" s="2108"/>
      <c r="EG15" s="2108"/>
      <c r="EH15" s="2108"/>
      <c r="EI15" s="2108"/>
      <c r="EJ15" s="2108"/>
      <c r="EK15" s="2108"/>
      <c r="EL15" s="2108"/>
      <c r="EM15" s="2108"/>
      <c r="EN15" s="2108"/>
      <c r="EO15" s="2108"/>
      <c r="EP15" s="2108"/>
      <c r="EQ15" s="2108"/>
      <c r="ER15" s="2108"/>
      <c r="ES15" s="2108"/>
      <c r="ET15" s="2108"/>
      <c r="EU15" s="2108"/>
      <c r="EV15" s="2108"/>
      <c r="EW15" s="2108"/>
      <c r="EX15" s="2108"/>
      <c r="EY15" s="2108"/>
      <c r="EZ15" s="2108"/>
      <c r="FA15" s="2108"/>
      <c r="FB15" s="2108"/>
      <c r="FC15" s="2108"/>
      <c r="FD15" s="2108"/>
      <c r="FE15" s="2108"/>
      <c r="FF15" s="2108"/>
      <c r="FG15" s="2108"/>
      <c r="FH15" s="2108"/>
      <c r="FI15" s="2108"/>
      <c r="FJ15" s="2108"/>
      <c r="FK15" s="2108"/>
      <c r="FL15" s="2108"/>
      <c r="FM15" s="2108"/>
      <c r="FN15" s="2108"/>
      <c r="FO15" s="2108"/>
      <c r="FP15" s="2108"/>
      <c r="FQ15" s="2108"/>
      <c r="FR15" s="2108"/>
      <c r="FS15" s="2108"/>
      <c r="FT15" s="2108"/>
      <c r="FU15" s="2108"/>
      <c r="FV15" s="2108"/>
      <c r="FW15" s="2113" t="s">
        <v>481</v>
      </c>
      <c r="FX15" s="2113" t="s">
        <v>481</v>
      </c>
      <c r="FY15" s="2113" t="s">
        <v>481</v>
      </c>
      <c r="FZ15" s="2113" t="s">
        <v>481</v>
      </c>
      <c r="GA15" s="2113" t="s">
        <v>481</v>
      </c>
      <c r="GB15" s="2114"/>
      <c r="GC15" s="2113"/>
      <c r="GD15" s="2113"/>
      <c r="GE15" s="2113"/>
      <c r="GF15" s="2114"/>
      <c r="GG15" s="1960"/>
      <c r="GH15" s="2114"/>
      <c r="GI15" s="2114"/>
      <c r="GJ15" s="2113"/>
      <c r="GK15" s="2113"/>
      <c r="GL15" s="2113"/>
      <c r="GM15" s="2114"/>
      <c r="GN15" s="2114"/>
      <c r="GO15" s="2115"/>
      <c r="GP15" s="2116"/>
      <c r="GQ15" s="2116"/>
      <c r="GR15" s="2116" t="e">
        <v>#N/A</v>
      </c>
      <c r="GS15" s="2116"/>
      <c r="GT15" s="1960"/>
      <c r="GU15" s="1960"/>
      <c r="GV15" s="1960" t="e">
        <v>#N/A</v>
      </c>
      <c r="GW15" s="1960"/>
      <c r="GX15" s="1960"/>
      <c r="GY15" s="1960"/>
      <c r="GZ15" s="1960"/>
      <c r="HA15" s="1960"/>
      <c r="HB15" s="1960"/>
      <c r="HC15" s="1960"/>
      <c r="HD15" s="1960"/>
      <c r="HE15" s="1960"/>
      <c r="HF15" s="1960"/>
      <c r="HG15" s="1960"/>
      <c r="HH15" s="2117"/>
      <c r="HI15" s="1960"/>
      <c r="HJ15" s="1960"/>
      <c r="HK15" s="1960"/>
      <c r="HL15" s="1960"/>
      <c r="HM15" s="1960"/>
      <c r="HN15" s="1960"/>
      <c r="HO15" s="1960"/>
      <c r="HP15" s="1960"/>
      <c r="HQ15" s="1960"/>
      <c r="HR15" s="1960"/>
      <c r="HS15" s="1960"/>
      <c r="HT15" s="1962"/>
      <c r="HU15" s="1961"/>
      <c r="HV15" s="1960"/>
      <c r="HW15" s="1960"/>
      <c r="HX15" s="1960"/>
      <c r="HY15" s="1960"/>
      <c r="HZ15" s="1960"/>
      <c r="IA15" s="1960"/>
      <c r="IB15" s="1960"/>
      <c r="IC15" s="1960"/>
      <c r="ID15" s="1960"/>
      <c r="IE15" s="1960"/>
      <c r="IF15" s="1960"/>
      <c r="IG15" s="1961"/>
      <c r="IH15" s="1960"/>
      <c r="II15" s="1960"/>
      <c r="IJ15" s="1961"/>
      <c r="IK15" s="1960"/>
      <c r="IL15" s="1960"/>
      <c r="IM15" s="1960"/>
      <c r="IN15" s="1960"/>
      <c r="IO15" s="1960"/>
      <c r="IP15" s="1960"/>
      <c r="IQ15" s="1960"/>
      <c r="IR15" s="1960"/>
      <c r="IS15" s="2274"/>
      <c r="IT15" s="1960"/>
      <c r="IU15" s="1960"/>
      <c r="IV15" s="1960"/>
      <c r="IW15" s="1960"/>
      <c r="IX15" s="1960"/>
      <c r="IY15" s="1960"/>
      <c r="IZ15" s="1960"/>
      <c r="JA15" s="1960"/>
      <c r="JB15" s="1960"/>
      <c r="JC15" s="1960"/>
      <c r="JD15" s="1960"/>
      <c r="JE15" s="2274"/>
      <c r="JF15" s="2117"/>
      <c r="JG15" s="2103" t="e">
        <f t="shared" si="12"/>
        <v>#DIV/0!</v>
      </c>
      <c r="JI15" s="2155"/>
      <c r="JJ15" s="2104"/>
    </row>
    <row r="16" spans="1:294" hidden="1">
      <c r="B16" s="2105" t="s">
        <v>492</v>
      </c>
      <c r="C16" s="2106"/>
      <c r="D16" s="2425"/>
      <c r="E16" s="2107" t="s">
        <v>553</v>
      </c>
      <c r="F16" s="2106"/>
      <c r="G16" s="2106" t="s">
        <v>906</v>
      </c>
      <c r="H16" s="2106" t="s">
        <v>497</v>
      </c>
      <c r="I16" s="2106"/>
      <c r="J16" s="2359"/>
      <c r="K16" s="2425"/>
      <c r="L16" s="2110"/>
      <c r="M16" s="2110"/>
      <c r="N16" s="2110"/>
      <c r="O16" s="2110"/>
      <c r="P16" s="2110"/>
      <c r="Q16" s="2110"/>
      <c r="R16" s="2110"/>
      <c r="S16" s="2110"/>
      <c r="T16" s="2110"/>
      <c r="U16" s="2110"/>
      <c r="V16" s="2110"/>
      <c r="W16" s="2110"/>
      <c r="X16" s="2110"/>
      <c r="Y16" s="2110"/>
      <c r="Z16" s="2110"/>
      <c r="AA16" s="2110"/>
      <c r="AB16" s="2110"/>
      <c r="AC16" s="2110"/>
      <c r="AD16" s="2110"/>
      <c r="AE16" s="2110"/>
      <c r="AF16" s="2110"/>
      <c r="AG16" s="2110"/>
      <c r="AH16" s="2110"/>
      <c r="AI16" s="2110"/>
      <c r="AJ16" s="2110"/>
      <c r="AK16" s="2110"/>
      <c r="AL16" s="2110"/>
      <c r="AM16" s="2110"/>
      <c r="AN16" s="2110"/>
      <c r="AO16" s="2110"/>
      <c r="AP16" s="2110"/>
      <c r="AQ16" s="2110"/>
      <c r="AR16" s="2110"/>
      <c r="AS16" s="2110"/>
      <c r="AT16" s="2110"/>
      <c r="AU16" s="2110"/>
      <c r="AV16" s="2110"/>
      <c r="AW16" s="2111"/>
      <c r="AX16" s="2111"/>
      <c r="AY16" s="2111"/>
      <c r="AZ16" s="2111"/>
      <c r="BA16" s="2111"/>
      <c r="BB16" s="2111"/>
      <c r="BC16" s="2111"/>
      <c r="BD16" s="2112"/>
      <c r="BE16" s="2111"/>
      <c r="BF16" s="2111"/>
      <c r="BG16" s="2111"/>
      <c r="BH16" s="2111"/>
      <c r="BI16" s="2108">
        <v>0.27272727272727271</v>
      </c>
      <c r="BJ16" s="2108">
        <v>0.27272727272727271</v>
      </c>
      <c r="BK16" s="2108">
        <v>0.27272727272727271</v>
      </c>
      <c r="BL16" s="2108">
        <v>0.54545454545454541</v>
      </c>
      <c r="BM16" s="2108">
        <v>0.54545454545454541</v>
      </c>
      <c r="BN16" s="2108">
        <v>0.54545454545454541</v>
      </c>
      <c r="BO16" s="2108">
        <v>0.81818181818181823</v>
      </c>
      <c r="BP16" s="2108">
        <v>0.81818181818181823</v>
      </c>
      <c r="BQ16" s="2108">
        <v>0</v>
      </c>
      <c r="BR16" s="2108">
        <v>1.0909090909090908</v>
      </c>
      <c r="BS16" s="2108">
        <v>1.0909090909090908</v>
      </c>
      <c r="BT16" s="2108">
        <v>1.0909090909090908</v>
      </c>
      <c r="BU16" s="2108">
        <v>1.0909090909090908</v>
      </c>
      <c r="BV16" s="2108">
        <v>1.0909090909090908</v>
      </c>
      <c r="BW16" s="2108">
        <v>1.0909090909090908</v>
      </c>
      <c r="BX16" s="2108">
        <v>1.0909090909090908</v>
      </c>
      <c r="BY16" s="2108">
        <v>1.1988636363636365</v>
      </c>
      <c r="BZ16" s="2108">
        <v>1.1990000000000001</v>
      </c>
      <c r="CA16" s="2108">
        <v>1.2727272727272727</v>
      </c>
      <c r="CB16" s="2108">
        <v>1.2729999999999999</v>
      </c>
      <c r="CC16" s="2108">
        <v>1.2729999999999999</v>
      </c>
      <c r="CD16" s="2108"/>
      <c r="CE16" s="2108"/>
      <c r="CF16" s="2108"/>
      <c r="CG16" s="2108"/>
      <c r="CH16" s="2108"/>
      <c r="CI16" s="2108"/>
      <c r="CJ16" s="2108"/>
      <c r="CK16" s="2108"/>
      <c r="CL16" s="2108"/>
      <c r="CM16" s="2108"/>
      <c r="CN16" s="2108"/>
      <c r="CO16" s="2108"/>
      <c r="CP16" s="2108"/>
      <c r="CQ16" s="2108"/>
      <c r="CR16" s="2108"/>
      <c r="CS16" s="2108"/>
      <c r="CT16" s="2108"/>
      <c r="CU16" s="2108"/>
      <c r="CV16" s="2108"/>
      <c r="CW16" s="2108"/>
      <c r="CX16" s="2108"/>
      <c r="CY16" s="2108"/>
      <c r="CZ16" s="2108"/>
      <c r="DA16" s="2108"/>
      <c r="DB16" s="2108"/>
      <c r="DC16" s="2108"/>
      <c r="DD16" s="2108"/>
      <c r="DE16" s="2108"/>
      <c r="DF16" s="2108"/>
      <c r="DG16" s="2108"/>
      <c r="DH16" s="2108"/>
      <c r="DI16" s="2108"/>
      <c r="DJ16" s="2108"/>
      <c r="DK16" s="2108"/>
      <c r="DL16" s="2108"/>
      <c r="DM16" s="2108"/>
      <c r="DN16" s="2108"/>
      <c r="DO16" s="2108"/>
      <c r="DP16" s="2108"/>
      <c r="DQ16" s="2108"/>
      <c r="DR16" s="2108"/>
      <c r="DS16" s="2108"/>
      <c r="DT16" s="2108"/>
      <c r="DU16" s="2108"/>
      <c r="DV16" s="2108"/>
      <c r="DW16" s="2108"/>
      <c r="DX16" s="2108"/>
      <c r="DY16" s="2108"/>
      <c r="DZ16" s="2108"/>
      <c r="EA16" s="2108"/>
      <c r="EB16" s="2108"/>
      <c r="EC16" s="2108"/>
      <c r="ED16" s="2108"/>
      <c r="EE16" s="2108"/>
      <c r="EF16" s="2108"/>
      <c r="EG16" s="2108"/>
      <c r="EH16" s="2108"/>
      <c r="EI16" s="2108"/>
      <c r="EJ16" s="2108"/>
      <c r="EK16" s="2108"/>
      <c r="EL16" s="2108"/>
      <c r="EM16" s="2108"/>
      <c r="EN16" s="2108"/>
      <c r="EO16" s="2108"/>
      <c r="EP16" s="2108"/>
      <c r="EQ16" s="2108"/>
      <c r="ER16" s="2108"/>
      <c r="ES16" s="2108"/>
      <c r="ET16" s="2108"/>
      <c r="EU16" s="2108"/>
      <c r="EV16" s="2108"/>
      <c r="EW16" s="2108"/>
      <c r="EX16" s="2108"/>
      <c r="EY16" s="2108"/>
      <c r="EZ16" s="2108"/>
      <c r="FA16" s="2108"/>
      <c r="FB16" s="2108"/>
      <c r="FC16" s="2108"/>
      <c r="FD16" s="2108"/>
      <c r="FE16" s="2108"/>
      <c r="FF16" s="2108"/>
      <c r="FG16" s="2108"/>
      <c r="FH16" s="2108"/>
      <c r="FI16" s="2108"/>
      <c r="FJ16" s="2108"/>
      <c r="FK16" s="2108"/>
      <c r="FL16" s="2108"/>
      <c r="FM16" s="2108"/>
      <c r="FN16" s="2108"/>
      <c r="FO16" s="2108"/>
      <c r="FP16" s="2108"/>
      <c r="FQ16" s="2108"/>
      <c r="FR16" s="2108"/>
      <c r="FS16" s="2108"/>
      <c r="FT16" s="2108"/>
      <c r="FU16" s="2108"/>
      <c r="FV16" s="2108"/>
      <c r="FW16" s="2113" t="s">
        <v>481</v>
      </c>
      <c r="FX16" s="2113" t="s">
        <v>481</v>
      </c>
      <c r="FY16" s="2113" t="s">
        <v>481</v>
      </c>
      <c r="FZ16" s="2113" t="s">
        <v>481</v>
      </c>
      <c r="GA16" s="2113" t="s">
        <v>481</v>
      </c>
      <c r="GB16" s="2114"/>
      <c r="GC16" s="2113"/>
      <c r="GD16" s="2113"/>
      <c r="GE16" s="2113"/>
      <c r="GF16" s="2114"/>
      <c r="GG16" s="1960"/>
      <c r="GH16" s="2114"/>
      <c r="GI16" s="2114"/>
      <c r="GJ16" s="2113"/>
      <c r="GK16" s="2113"/>
      <c r="GL16" s="2113"/>
      <c r="GM16" s="2114"/>
      <c r="GN16" s="2114"/>
      <c r="GO16" s="2115"/>
      <c r="GP16" s="2116"/>
      <c r="GQ16" s="2116"/>
      <c r="GR16" s="2116">
        <v>0</v>
      </c>
      <c r="GS16" s="2116">
        <v>0</v>
      </c>
      <c r="GT16" s="1960">
        <v>0</v>
      </c>
      <c r="GU16" s="1960">
        <v>0</v>
      </c>
      <c r="GV16" s="1960" t="s">
        <v>481</v>
      </c>
      <c r="GW16" s="1960"/>
      <c r="GX16" s="1960"/>
      <c r="GY16" s="1960"/>
      <c r="GZ16" s="1960"/>
      <c r="HA16" s="1960"/>
      <c r="HB16" s="1960"/>
      <c r="HC16" s="1960"/>
      <c r="HD16" s="1960"/>
      <c r="HE16" s="1960"/>
      <c r="HF16" s="1960"/>
      <c r="HG16" s="1960"/>
      <c r="HH16" s="2117"/>
      <c r="HI16" s="1960"/>
      <c r="HJ16" s="1960"/>
      <c r="HK16" s="1960"/>
      <c r="HL16" s="1960"/>
      <c r="HM16" s="1960"/>
      <c r="HN16" s="1960"/>
      <c r="HO16" s="1960"/>
      <c r="HP16" s="1960"/>
      <c r="HQ16" s="1960"/>
      <c r="HR16" s="1960"/>
      <c r="HS16" s="1960"/>
      <c r="HT16" s="1962"/>
      <c r="HU16" s="1961"/>
      <c r="HV16" s="1960"/>
      <c r="HW16" s="1960"/>
      <c r="HX16" s="1960"/>
      <c r="HY16" s="1960"/>
      <c r="HZ16" s="1960"/>
      <c r="IA16" s="1960"/>
      <c r="IB16" s="1960"/>
      <c r="IC16" s="1960"/>
      <c r="ID16" s="1960"/>
      <c r="IE16" s="1960"/>
      <c r="IF16" s="1960"/>
      <c r="IG16" s="1961"/>
      <c r="IH16" s="1960"/>
      <c r="II16" s="1960"/>
      <c r="IJ16" s="1961"/>
      <c r="IK16" s="1960"/>
      <c r="IL16" s="1960"/>
      <c r="IM16" s="1960"/>
      <c r="IN16" s="1960"/>
      <c r="IO16" s="1960"/>
      <c r="IP16" s="1960"/>
      <c r="IQ16" s="1960"/>
      <c r="IR16" s="1960"/>
      <c r="IS16" s="2274"/>
      <c r="IT16" s="1960"/>
      <c r="IU16" s="1960"/>
      <c r="IV16" s="1960"/>
      <c r="IW16" s="1960"/>
      <c r="IX16" s="1960"/>
      <c r="IY16" s="1960"/>
      <c r="IZ16" s="1960"/>
      <c r="JA16" s="1960"/>
      <c r="JB16" s="1960"/>
      <c r="JC16" s="1960"/>
      <c r="JD16" s="1960"/>
      <c r="JE16" s="2274"/>
      <c r="JF16" s="2117"/>
      <c r="JG16" s="2103" t="e">
        <f t="shared" si="12"/>
        <v>#DIV/0!</v>
      </c>
      <c r="JI16" s="2155"/>
      <c r="JJ16" s="2104"/>
    </row>
    <row r="17" spans="2:270" hidden="1">
      <c r="B17" s="2105" t="s">
        <v>493</v>
      </c>
      <c r="C17" s="2106"/>
      <c r="D17" s="2425"/>
      <c r="E17" s="2107" t="s">
        <v>554</v>
      </c>
      <c r="F17" s="2106"/>
      <c r="G17" s="2106" t="s">
        <v>906</v>
      </c>
      <c r="H17" s="2106" t="s">
        <v>497</v>
      </c>
      <c r="I17" s="2106"/>
      <c r="J17" s="2359"/>
      <c r="K17" s="2425"/>
      <c r="L17" s="2110"/>
      <c r="M17" s="2110"/>
      <c r="N17" s="2110"/>
      <c r="O17" s="2110"/>
      <c r="P17" s="2110"/>
      <c r="Q17" s="2110"/>
      <c r="R17" s="2110"/>
      <c r="S17" s="2110"/>
      <c r="T17" s="2110"/>
      <c r="U17" s="2110"/>
      <c r="V17" s="2110"/>
      <c r="W17" s="2110"/>
      <c r="X17" s="2110"/>
      <c r="Y17" s="2110"/>
      <c r="Z17" s="2110"/>
      <c r="AA17" s="2110"/>
      <c r="AB17" s="2110"/>
      <c r="AC17" s="2110"/>
      <c r="AD17" s="2110"/>
      <c r="AE17" s="2110"/>
      <c r="AF17" s="2110"/>
      <c r="AG17" s="2110"/>
      <c r="AH17" s="2110"/>
      <c r="AI17" s="2110"/>
      <c r="AJ17" s="2110"/>
      <c r="AK17" s="2110"/>
      <c r="AL17" s="2110"/>
      <c r="AM17" s="2110"/>
      <c r="AN17" s="2110"/>
      <c r="AO17" s="2110"/>
      <c r="AP17" s="2110"/>
      <c r="AQ17" s="2110"/>
      <c r="AR17" s="2110"/>
      <c r="AS17" s="2110"/>
      <c r="AT17" s="2110"/>
      <c r="AU17" s="2110"/>
      <c r="AV17" s="2110"/>
      <c r="AW17" s="2111"/>
      <c r="AX17" s="2111"/>
      <c r="AY17" s="2111"/>
      <c r="AZ17" s="2111"/>
      <c r="BA17" s="2111"/>
      <c r="BB17" s="2111"/>
      <c r="BC17" s="2111"/>
      <c r="BD17" s="2112"/>
      <c r="BE17" s="2111"/>
      <c r="BF17" s="2111"/>
      <c r="BG17" s="2111"/>
      <c r="BH17" s="2111"/>
      <c r="BI17" s="2108">
        <v>0.34090909090909088</v>
      </c>
      <c r="BJ17" s="2108">
        <v>0.34090909090909088</v>
      </c>
      <c r="BK17" s="2108">
        <v>0.34090909090909088</v>
      </c>
      <c r="BL17" s="2108">
        <v>0.68181818181818177</v>
      </c>
      <c r="BM17" s="2108">
        <v>0.68181818181818177</v>
      </c>
      <c r="BN17" s="2108">
        <v>0.68181818181818177</v>
      </c>
      <c r="BO17" s="2108">
        <v>1.0227272727272727</v>
      </c>
      <c r="BP17" s="2108">
        <v>1.0227272727272727</v>
      </c>
      <c r="BQ17" s="2108">
        <v>0</v>
      </c>
      <c r="BR17" s="2108">
        <v>1.3636363636363635</v>
      </c>
      <c r="BS17" s="2108">
        <v>1.3636363636363635</v>
      </c>
      <c r="BT17" s="2108">
        <v>1.3636363636363635</v>
      </c>
      <c r="BU17" s="2108">
        <v>1.3636363636363635</v>
      </c>
      <c r="BV17" s="2108">
        <v>1.3636363636363635</v>
      </c>
      <c r="BW17" s="2108">
        <v>1.3636363636363635</v>
      </c>
      <c r="BX17" s="2108">
        <v>1.3636363636363635</v>
      </c>
      <c r="BY17" s="2108">
        <v>1.5</v>
      </c>
      <c r="BZ17" s="2108">
        <v>1.5</v>
      </c>
      <c r="CA17" s="2108">
        <v>1.5909090909090908</v>
      </c>
      <c r="CB17" s="2108">
        <v>1.591</v>
      </c>
      <c r="CC17" s="2108">
        <v>1.591</v>
      </c>
      <c r="CD17" s="2108"/>
      <c r="CE17" s="2108"/>
      <c r="CF17" s="2108"/>
      <c r="CG17" s="2108"/>
      <c r="CH17" s="2108"/>
      <c r="CI17" s="2108"/>
      <c r="CJ17" s="2108"/>
      <c r="CK17" s="2108"/>
      <c r="CL17" s="2108"/>
      <c r="CM17" s="2108"/>
      <c r="CN17" s="2108"/>
      <c r="CO17" s="2108"/>
      <c r="CP17" s="2108"/>
      <c r="CQ17" s="2108"/>
      <c r="CR17" s="2108"/>
      <c r="CS17" s="2108"/>
      <c r="CT17" s="2108"/>
      <c r="CU17" s="2108"/>
      <c r="CV17" s="2108"/>
      <c r="CW17" s="2108"/>
      <c r="CX17" s="2108"/>
      <c r="CY17" s="2108"/>
      <c r="CZ17" s="2108"/>
      <c r="DA17" s="2108"/>
      <c r="DB17" s="2108"/>
      <c r="DC17" s="2108"/>
      <c r="DD17" s="2108"/>
      <c r="DE17" s="2108"/>
      <c r="DF17" s="2108"/>
      <c r="DG17" s="2108"/>
      <c r="DH17" s="2108"/>
      <c r="DI17" s="2108"/>
      <c r="DJ17" s="2108"/>
      <c r="DK17" s="2108"/>
      <c r="DL17" s="2108"/>
      <c r="DM17" s="2108"/>
      <c r="DN17" s="2108"/>
      <c r="DO17" s="2108"/>
      <c r="DP17" s="2108"/>
      <c r="DQ17" s="2108"/>
      <c r="DR17" s="2108"/>
      <c r="DS17" s="2108"/>
      <c r="DT17" s="2108"/>
      <c r="DU17" s="2108"/>
      <c r="DV17" s="2108"/>
      <c r="DW17" s="2108"/>
      <c r="DX17" s="2108"/>
      <c r="DY17" s="2108"/>
      <c r="DZ17" s="2108"/>
      <c r="EA17" s="2108"/>
      <c r="EB17" s="2108"/>
      <c r="EC17" s="2108"/>
      <c r="ED17" s="2108"/>
      <c r="EE17" s="2108"/>
      <c r="EF17" s="2108"/>
      <c r="EG17" s="2108"/>
      <c r="EH17" s="2108"/>
      <c r="EI17" s="2108"/>
      <c r="EJ17" s="2108"/>
      <c r="EK17" s="2108"/>
      <c r="EL17" s="2108"/>
      <c r="EM17" s="2108"/>
      <c r="EN17" s="2108"/>
      <c r="EO17" s="2108"/>
      <c r="EP17" s="2108"/>
      <c r="EQ17" s="2108"/>
      <c r="ER17" s="2108"/>
      <c r="ES17" s="2108"/>
      <c r="ET17" s="2108"/>
      <c r="EU17" s="2108"/>
      <c r="EV17" s="2108"/>
      <c r="EW17" s="2108"/>
      <c r="EX17" s="2108"/>
      <c r="EY17" s="2108"/>
      <c r="EZ17" s="2108"/>
      <c r="FA17" s="2108"/>
      <c r="FB17" s="2108"/>
      <c r="FC17" s="2108"/>
      <c r="FD17" s="2108"/>
      <c r="FE17" s="2108"/>
      <c r="FF17" s="2108"/>
      <c r="FG17" s="2108"/>
      <c r="FH17" s="2108"/>
      <c r="FI17" s="2108"/>
      <c r="FJ17" s="2108"/>
      <c r="FK17" s="2108"/>
      <c r="FL17" s="2108"/>
      <c r="FM17" s="2108"/>
      <c r="FN17" s="2108"/>
      <c r="FO17" s="2108"/>
      <c r="FP17" s="2108"/>
      <c r="FQ17" s="2108"/>
      <c r="FR17" s="2108"/>
      <c r="FS17" s="2108"/>
      <c r="FT17" s="2108"/>
      <c r="FU17" s="2108"/>
      <c r="FV17" s="2108"/>
      <c r="FW17" s="2113" t="s">
        <v>481</v>
      </c>
      <c r="FX17" s="2113" t="s">
        <v>481</v>
      </c>
      <c r="FY17" s="2113" t="s">
        <v>481</v>
      </c>
      <c r="FZ17" s="2113" t="s">
        <v>481</v>
      </c>
      <c r="GA17" s="2113" t="s">
        <v>481</v>
      </c>
      <c r="GB17" s="2114"/>
      <c r="GC17" s="2113"/>
      <c r="GD17" s="2113"/>
      <c r="GE17" s="2113"/>
      <c r="GF17" s="2114"/>
      <c r="GG17" s="1960"/>
      <c r="GH17" s="2114"/>
      <c r="GI17" s="2114"/>
      <c r="GJ17" s="2113"/>
      <c r="GK17" s="2113"/>
      <c r="GL17" s="2113"/>
      <c r="GM17" s="2114"/>
      <c r="GN17" s="2114"/>
      <c r="GO17" s="2115"/>
      <c r="GP17" s="2116"/>
      <c r="GQ17" s="2116"/>
      <c r="GR17" s="2116">
        <v>0</v>
      </c>
      <c r="GS17" s="2116">
        <v>0</v>
      </c>
      <c r="GT17" s="1960">
        <v>0</v>
      </c>
      <c r="GU17" s="1960">
        <v>0</v>
      </c>
      <c r="GV17" s="1960" t="s">
        <v>481</v>
      </c>
      <c r="GW17" s="1960"/>
      <c r="GX17" s="1960"/>
      <c r="GY17" s="1960"/>
      <c r="GZ17" s="1960"/>
      <c r="HA17" s="1960"/>
      <c r="HB17" s="1960"/>
      <c r="HC17" s="1960"/>
      <c r="HD17" s="1960"/>
      <c r="HE17" s="1960"/>
      <c r="HF17" s="1960"/>
      <c r="HG17" s="1960"/>
      <c r="HH17" s="2117"/>
      <c r="HI17" s="1960"/>
      <c r="HJ17" s="1960"/>
      <c r="HK17" s="1960"/>
      <c r="HL17" s="1960"/>
      <c r="HM17" s="1960"/>
      <c r="HN17" s="1960"/>
      <c r="HO17" s="1960"/>
      <c r="HP17" s="1960"/>
      <c r="HQ17" s="1960"/>
      <c r="HR17" s="1960"/>
      <c r="HS17" s="1960"/>
      <c r="HT17" s="1962"/>
      <c r="HU17" s="1961"/>
      <c r="HV17" s="1960"/>
      <c r="HW17" s="1960"/>
      <c r="HX17" s="1960"/>
      <c r="HY17" s="1960"/>
      <c r="HZ17" s="1960"/>
      <c r="IA17" s="1960"/>
      <c r="IB17" s="1960"/>
      <c r="IC17" s="1960"/>
      <c r="ID17" s="1960"/>
      <c r="IE17" s="1960"/>
      <c r="IF17" s="1960"/>
      <c r="IG17" s="1961"/>
      <c r="IH17" s="1960"/>
      <c r="II17" s="1960"/>
      <c r="IJ17" s="1961"/>
      <c r="IK17" s="1960"/>
      <c r="IL17" s="1960"/>
      <c r="IM17" s="1960"/>
      <c r="IN17" s="1960"/>
      <c r="IO17" s="1960"/>
      <c r="IP17" s="1960"/>
      <c r="IQ17" s="1960"/>
      <c r="IR17" s="1960"/>
      <c r="IS17" s="2274"/>
      <c r="IT17" s="1960"/>
      <c r="IU17" s="1960"/>
      <c r="IV17" s="1960"/>
      <c r="IW17" s="1960"/>
      <c r="IX17" s="1960"/>
      <c r="IY17" s="1960"/>
      <c r="IZ17" s="1960"/>
      <c r="JA17" s="1960"/>
      <c r="JB17" s="1960"/>
      <c r="JC17" s="1960"/>
      <c r="JD17" s="1960"/>
      <c r="JE17" s="2274"/>
      <c r="JF17" s="2117"/>
      <c r="JG17" s="2103" t="e">
        <f t="shared" si="12"/>
        <v>#DIV/0!</v>
      </c>
      <c r="JI17" s="2155"/>
      <c r="JJ17" s="2104"/>
    </row>
    <row r="18" spans="2:270" hidden="1">
      <c r="B18" s="2105" t="s">
        <v>494</v>
      </c>
      <c r="C18" s="2106"/>
      <c r="D18" s="2425"/>
      <c r="E18" s="2107" t="s">
        <v>555</v>
      </c>
      <c r="F18" s="2106"/>
      <c r="G18" s="2106" t="s">
        <v>906</v>
      </c>
      <c r="H18" s="2106" t="s">
        <v>497</v>
      </c>
      <c r="I18" s="2106"/>
      <c r="J18" s="2359"/>
      <c r="K18" s="2425"/>
      <c r="L18" s="2110"/>
      <c r="M18" s="2110"/>
      <c r="N18" s="2110"/>
      <c r="O18" s="2110"/>
      <c r="P18" s="2110"/>
      <c r="Q18" s="2110"/>
      <c r="R18" s="2110"/>
      <c r="S18" s="2110"/>
      <c r="T18" s="2110"/>
      <c r="U18" s="2110"/>
      <c r="V18" s="2110"/>
      <c r="W18" s="2110"/>
      <c r="X18" s="2110"/>
      <c r="Y18" s="2110"/>
      <c r="Z18" s="2110"/>
      <c r="AA18" s="2110"/>
      <c r="AB18" s="2110"/>
      <c r="AC18" s="2110"/>
      <c r="AD18" s="2110"/>
      <c r="AE18" s="2110"/>
      <c r="AF18" s="2110"/>
      <c r="AG18" s="2110"/>
      <c r="AH18" s="2110"/>
      <c r="AI18" s="2110"/>
      <c r="AJ18" s="2110"/>
      <c r="AK18" s="2110"/>
      <c r="AL18" s="2110"/>
      <c r="AM18" s="2110"/>
      <c r="AN18" s="2110"/>
      <c r="AO18" s="2110"/>
      <c r="AP18" s="2110"/>
      <c r="AQ18" s="2110"/>
      <c r="AR18" s="2110"/>
      <c r="AS18" s="2110"/>
      <c r="AT18" s="2110"/>
      <c r="AU18" s="2110"/>
      <c r="AV18" s="2110"/>
      <c r="AW18" s="2111"/>
      <c r="AX18" s="2111"/>
      <c r="AY18" s="2111"/>
      <c r="AZ18" s="2111"/>
      <c r="BA18" s="2111"/>
      <c r="BB18" s="2111"/>
      <c r="BC18" s="2111"/>
      <c r="BD18" s="2112"/>
      <c r="BE18" s="2111"/>
      <c r="BF18" s="2111"/>
      <c r="BG18" s="2111"/>
      <c r="BH18" s="2111"/>
      <c r="BI18" s="2108">
        <v>0.38352272727272729</v>
      </c>
      <c r="BJ18" s="2108">
        <v>0.38352272727272729</v>
      </c>
      <c r="BK18" s="2108">
        <v>0.38352272727272729</v>
      </c>
      <c r="BL18" s="2108">
        <v>0.76704545454545459</v>
      </c>
      <c r="BM18" s="2108">
        <v>0.76700000000000002</v>
      </c>
      <c r="BN18" s="2108">
        <v>0.76704545454545459</v>
      </c>
      <c r="BO18" s="2108">
        <v>1.1505681818181819</v>
      </c>
      <c r="BP18" s="2108">
        <v>1.1505681818181819</v>
      </c>
      <c r="BQ18" s="2108">
        <v>0</v>
      </c>
      <c r="BR18" s="2108">
        <v>1.5340909090909092</v>
      </c>
      <c r="BS18" s="2108">
        <v>1.5340909090909092</v>
      </c>
      <c r="BT18" s="2108">
        <v>1.5340909090909092</v>
      </c>
      <c r="BU18" s="2108">
        <v>1.5340909090909092</v>
      </c>
      <c r="BV18" s="2108">
        <v>1.5340909090909092</v>
      </c>
      <c r="BW18" s="2108">
        <v>1.5340909090909092</v>
      </c>
      <c r="BX18" s="2108">
        <v>1.5340909090909092</v>
      </c>
      <c r="BY18" s="2108">
        <v>1.6875</v>
      </c>
      <c r="BZ18" s="2108">
        <v>1.6879999999999999</v>
      </c>
      <c r="CA18" s="2108">
        <v>1.7897727272727273</v>
      </c>
      <c r="CB18" s="2108">
        <v>1.79</v>
      </c>
      <c r="CC18" s="2108">
        <v>1.79</v>
      </c>
      <c r="CD18" s="2108"/>
      <c r="CE18" s="2108"/>
      <c r="CF18" s="2108"/>
      <c r="CG18" s="2108"/>
      <c r="CH18" s="2108"/>
      <c r="CI18" s="2108"/>
      <c r="CJ18" s="2108"/>
      <c r="CK18" s="2108"/>
      <c r="CL18" s="2108"/>
      <c r="CM18" s="2108"/>
      <c r="CN18" s="2108"/>
      <c r="CO18" s="2108"/>
      <c r="CP18" s="2108"/>
      <c r="CQ18" s="2108"/>
      <c r="CR18" s="2108"/>
      <c r="CS18" s="2108"/>
      <c r="CT18" s="2108"/>
      <c r="CU18" s="2108"/>
      <c r="CV18" s="2108"/>
      <c r="CW18" s="2108"/>
      <c r="CX18" s="2108"/>
      <c r="CY18" s="2108"/>
      <c r="CZ18" s="2108"/>
      <c r="DA18" s="2108"/>
      <c r="DB18" s="2108"/>
      <c r="DC18" s="2108"/>
      <c r="DD18" s="2108"/>
      <c r="DE18" s="2108"/>
      <c r="DF18" s="2108"/>
      <c r="DG18" s="2108"/>
      <c r="DH18" s="2108"/>
      <c r="DI18" s="2108"/>
      <c r="DJ18" s="2108"/>
      <c r="DK18" s="2108"/>
      <c r="DL18" s="2108"/>
      <c r="DM18" s="2108"/>
      <c r="DN18" s="2108"/>
      <c r="DO18" s="2108"/>
      <c r="DP18" s="2108"/>
      <c r="DQ18" s="2108"/>
      <c r="DR18" s="2108"/>
      <c r="DS18" s="2108"/>
      <c r="DT18" s="2108"/>
      <c r="DU18" s="2108"/>
      <c r="DV18" s="2108"/>
      <c r="DW18" s="2108"/>
      <c r="DX18" s="2108"/>
      <c r="DY18" s="2108"/>
      <c r="DZ18" s="2108"/>
      <c r="EA18" s="2108"/>
      <c r="EB18" s="2108"/>
      <c r="EC18" s="2108"/>
      <c r="ED18" s="2108"/>
      <c r="EE18" s="2108"/>
      <c r="EF18" s="2108"/>
      <c r="EG18" s="2108"/>
      <c r="EH18" s="2108"/>
      <c r="EI18" s="2108"/>
      <c r="EJ18" s="2108"/>
      <c r="EK18" s="2108"/>
      <c r="EL18" s="2108"/>
      <c r="EM18" s="2108"/>
      <c r="EN18" s="2108"/>
      <c r="EO18" s="2108"/>
      <c r="EP18" s="2108"/>
      <c r="EQ18" s="2108"/>
      <c r="ER18" s="2108"/>
      <c r="ES18" s="2108"/>
      <c r="ET18" s="2108"/>
      <c r="EU18" s="2108"/>
      <c r="EV18" s="2108"/>
      <c r="EW18" s="2108"/>
      <c r="EX18" s="2108"/>
      <c r="EY18" s="2108"/>
      <c r="EZ18" s="2108"/>
      <c r="FA18" s="2108"/>
      <c r="FB18" s="2108"/>
      <c r="FC18" s="2108"/>
      <c r="FD18" s="2108"/>
      <c r="FE18" s="2108"/>
      <c r="FF18" s="2108"/>
      <c r="FG18" s="2108"/>
      <c r="FH18" s="2108"/>
      <c r="FI18" s="2108"/>
      <c r="FJ18" s="2108"/>
      <c r="FK18" s="2108"/>
      <c r="FL18" s="2108"/>
      <c r="FM18" s="2108"/>
      <c r="FN18" s="2108"/>
      <c r="FO18" s="2108"/>
      <c r="FP18" s="2108"/>
      <c r="FQ18" s="2108"/>
      <c r="FR18" s="2108"/>
      <c r="FS18" s="2108"/>
      <c r="FT18" s="2108"/>
      <c r="FU18" s="2108"/>
      <c r="FV18" s="2108"/>
      <c r="FW18" s="2113" t="s">
        <v>481</v>
      </c>
      <c r="FX18" s="2113" t="s">
        <v>481</v>
      </c>
      <c r="FY18" s="2113" t="s">
        <v>481</v>
      </c>
      <c r="FZ18" s="2113" t="s">
        <v>481</v>
      </c>
      <c r="GA18" s="2113" t="s">
        <v>481</v>
      </c>
      <c r="GB18" s="2114"/>
      <c r="GC18" s="2113"/>
      <c r="GD18" s="2113"/>
      <c r="GE18" s="2113"/>
      <c r="GF18" s="2114"/>
      <c r="GG18" s="1960"/>
      <c r="GH18" s="2114"/>
      <c r="GI18" s="2114"/>
      <c r="GJ18" s="2113"/>
      <c r="GK18" s="2113"/>
      <c r="GL18" s="2113"/>
      <c r="GM18" s="2114"/>
      <c r="GN18" s="2114"/>
      <c r="GO18" s="2115"/>
      <c r="GP18" s="2116"/>
      <c r="GQ18" s="2116"/>
      <c r="GR18" s="2116">
        <v>0</v>
      </c>
      <c r="GS18" s="2116">
        <v>0</v>
      </c>
      <c r="GT18" s="1960">
        <v>0</v>
      </c>
      <c r="GU18" s="1960">
        <v>0</v>
      </c>
      <c r="GV18" s="1960" t="s">
        <v>481</v>
      </c>
      <c r="GW18" s="1960"/>
      <c r="GX18" s="1960"/>
      <c r="GY18" s="1960"/>
      <c r="GZ18" s="1960"/>
      <c r="HA18" s="1960"/>
      <c r="HB18" s="1960"/>
      <c r="HC18" s="1960"/>
      <c r="HD18" s="1960"/>
      <c r="HE18" s="1960"/>
      <c r="HF18" s="1960"/>
      <c r="HG18" s="1960"/>
      <c r="HH18" s="2117"/>
      <c r="HI18" s="1960"/>
      <c r="HJ18" s="1960"/>
      <c r="HK18" s="1960"/>
      <c r="HL18" s="1960"/>
      <c r="HM18" s="1960"/>
      <c r="HN18" s="1960"/>
      <c r="HO18" s="1960"/>
      <c r="HP18" s="1960"/>
      <c r="HQ18" s="1960"/>
      <c r="HR18" s="1960"/>
      <c r="HS18" s="1960"/>
      <c r="HT18" s="1962"/>
      <c r="HU18" s="1961"/>
      <c r="HV18" s="1960"/>
      <c r="HW18" s="1960"/>
      <c r="HX18" s="1960"/>
      <c r="HY18" s="1960"/>
      <c r="HZ18" s="1960"/>
      <c r="IA18" s="1960"/>
      <c r="IB18" s="1960"/>
      <c r="IC18" s="1960"/>
      <c r="ID18" s="1960"/>
      <c r="IE18" s="1960"/>
      <c r="IF18" s="1960"/>
      <c r="IG18" s="1961"/>
      <c r="IH18" s="1960"/>
      <c r="II18" s="1960"/>
      <c r="IJ18" s="1961"/>
      <c r="IK18" s="1960"/>
      <c r="IL18" s="1960"/>
      <c r="IM18" s="1960"/>
      <c r="IN18" s="1960"/>
      <c r="IO18" s="1960"/>
      <c r="IP18" s="1960"/>
      <c r="IQ18" s="1960"/>
      <c r="IR18" s="1960"/>
      <c r="IS18" s="2274"/>
      <c r="IT18" s="1960"/>
      <c r="IU18" s="1960"/>
      <c r="IV18" s="1960"/>
      <c r="IW18" s="1960"/>
      <c r="IX18" s="1960"/>
      <c r="IY18" s="1960"/>
      <c r="IZ18" s="1960"/>
      <c r="JA18" s="1960"/>
      <c r="JB18" s="1960"/>
      <c r="JC18" s="1960"/>
      <c r="JD18" s="1960"/>
      <c r="JE18" s="2274"/>
      <c r="JF18" s="2117"/>
      <c r="JG18" s="2103" t="e">
        <f t="shared" si="12"/>
        <v>#DIV/0!</v>
      </c>
      <c r="JI18" s="2155"/>
      <c r="JJ18" s="2104"/>
    </row>
    <row r="19" spans="2:270" hidden="1">
      <c r="B19" s="2105" t="s">
        <v>495</v>
      </c>
      <c r="C19" s="2106"/>
      <c r="D19" s="2425"/>
      <c r="E19" s="2107" t="s">
        <v>556</v>
      </c>
      <c r="F19" s="2106"/>
      <c r="G19" s="2106" t="s">
        <v>906</v>
      </c>
      <c r="H19" s="2106" t="s">
        <v>497</v>
      </c>
      <c r="I19" s="2106"/>
      <c r="J19" s="2359"/>
      <c r="K19" s="2425"/>
      <c r="L19" s="2110"/>
      <c r="M19" s="2110"/>
      <c r="N19" s="2110"/>
      <c r="O19" s="2110"/>
      <c r="P19" s="2110"/>
      <c r="Q19" s="2110"/>
      <c r="R19" s="2110"/>
      <c r="S19" s="2110"/>
      <c r="T19" s="2110"/>
      <c r="U19" s="2110"/>
      <c r="V19" s="2110"/>
      <c r="W19" s="2110"/>
      <c r="X19" s="2110"/>
      <c r="Y19" s="2110"/>
      <c r="Z19" s="2110"/>
      <c r="AA19" s="2110"/>
      <c r="AB19" s="2110"/>
      <c r="AC19" s="2110"/>
      <c r="AD19" s="2110"/>
      <c r="AE19" s="2110"/>
      <c r="AF19" s="2110"/>
      <c r="AG19" s="2110"/>
      <c r="AH19" s="2110"/>
      <c r="AI19" s="2110"/>
      <c r="AJ19" s="2110"/>
      <c r="AK19" s="2110"/>
      <c r="AL19" s="2110"/>
      <c r="AM19" s="2110"/>
      <c r="AN19" s="2110"/>
      <c r="AO19" s="2110"/>
      <c r="AP19" s="2110"/>
      <c r="AQ19" s="2110"/>
      <c r="AR19" s="2110"/>
      <c r="AS19" s="2110"/>
      <c r="AT19" s="2110"/>
      <c r="AU19" s="2110"/>
      <c r="AV19" s="2110"/>
      <c r="AW19" s="2111"/>
      <c r="AX19" s="2111"/>
      <c r="AY19" s="2111"/>
      <c r="AZ19" s="2111"/>
      <c r="BA19" s="2111"/>
      <c r="BB19" s="2111"/>
      <c r="BC19" s="2111"/>
      <c r="BD19" s="2112"/>
      <c r="BE19" s="2111"/>
      <c r="BF19" s="2111"/>
      <c r="BG19" s="2111"/>
      <c r="BH19" s="2111"/>
      <c r="BI19" s="2108">
        <v>0.44318181818181818</v>
      </c>
      <c r="BJ19" s="2108">
        <v>0.44318181818181818</v>
      </c>
      <c r="BK19" s="2108">
        <v>0.44318181818181818</v>
      </c>
      <c r="BL19" s="2108">
        <v>0.88636363636363635</v>
      </c>
      <c r="BM19" s="2108">
        <v>0.88600000000000001</v>
      </c>
      <c r="BN19" s="2108">
        <v>0.88636363636363635</v>
      </c>
      <c r="BO19" s="2108">
        <v>1.3295454545454546</v>
      </c>
      <c r="BP19" s="2108">
        <v>1.3295454545454546</v>
      </c>
      <c r="BQ19" s="2108">
        <v>0</v>
      </c>
      <c r="BR19" s="2108">
        <v>1.7727272727272727</v>
      </c>
      <c r="BS19" s="2108">
        <v>1.7727272727272727</v>
      </c>
      <c r="BT19" s="2108">
        <v>1.7727272727272727</v>
      </c>
      <c r="BU19" s="2108">
        <v>1.7727272727272727</v>
      </c>
      <c r="BV19" s="2108">
        <v>1.7727272727272727</v>
      </c>
      <c r="BW19" s="2108">
        <v>1.7727272727272727</v>
      </c>
      <c r="BX19" s="2108">
        <v>1.7727272727272727</v>
      </c>
      <c r="BY19" s="2108">
        <v>1.9488636363636365</v>
      </c>
      <c r="BZ19" s="2108">
        <v>1.9490000000000001</v>
      </c>
      <c r="CA19" s="2108">
        <v>2.0625</v>
      </c>
      <c r="CB19" s="2108">
        <v>2.0630000000000002</v>
      </c>
      <c r="CC19" s="2108">
        <v>2.0630000000000002</v>
      </c>
      <c r="CD19" s="2108"/>
      <c r="CE19" s="2108"/>
      <c r="CF19" s="2108"/>
      <c r="CG19" s="2108"/>
      <c r="CH19" s="2108"/>
      <c r="CI19" s="2108"/>
      <c r="CJ19" s="2108"/>
      <c r="CK19" s="2108"/>
      <c r="CL19" s="2108"/>
      <c r="CM19" s="2108"/>
      <c r="CN19" s="2108"/>
      <c r="CO19" s="2108"/>
      <c r="CP19" s="2108"/>
      <c r="CQ19" s="2108"/>
      <c r="CR19" s="2108"/>
      <c r="CS19" s="2108"/>
      <c r="CT19" s="2108"/>
      <c r="CU19" s="2108"/>
      <c r="CV19" s="2108"/>
      <c r="CW19" s="2108"/>
      <c r="CX19" s="2108"/>
      <c r="CY19" s="2108"/>
      <c r="CZ19" s="2108"/>
      <c r="DA19" s="2108"/>
      <c r="DB19" s="2108"/>
      <c r="DC19" s="2108"/>
      <c r="DD19" s="2108"/>
      <c r="DE19" s="2108"/>
      <c r="DF19" s="2108"/>
      <c r="DG19" s="2108"/>
      <c r="DH19" s="2108"/>
      <c r="DI19" s="2108"/>
      <c r="DJ19" s="2108"/>
      <c r="DK19" s="2108"/>
      <c r="DL19" s="2108"/>
      <c r="DM19" s="2108"/>
      <c r="DN19" s="2108"/>
      <c r="DO19" s="2108"/>
      <c r="DP19" s="2108"/>
      <c r="DQ19" s="2108"/>
      <c r="DR19" s="2108"/>
      <c r="DS19" s="2108"/>
      <c r="DT19" s="2108"/>
      <c r="DU19" s="2108"/>
      <c r="DV19" s="2108"/>
      <c r="DW19" s="2108"/>
      <c r="DX19" s="2108"/>
      <c r="DY19" s="2108"/>
      <c r="DZ19" s="2108"/>
      <c r="EA19" s="2108"/>
      <c r="EB19" s="2108"/>
      <c r="EC19" s="2108"/>
      <c r="ED19" s="2108"/>
      <c r="EE19" s="2108"/>
      <c r="EF19" s="2108"/>
      <c r="EG19" s="2108"/>
      <c r="EH19" s="2108"/>
      <c r="EI19" s="2108"/>
      <c r="EJ19" s="2108"/>
      <c r="EK19" s="2108"/>
      <c r="EL19" s="2108"/>
      <c r="EM19" s="2108"/>
      <c r="EN19" s="2108"/>
      <c r="EO19" s="2108"/>
      <c r="EP19" s="2108"/>
      <c r="EQ19" s="2108"/>
      <c r="ER19" s="2108"/>
      <c r="ES19" s="2108"/>
      <c r="ET19" s="2108"/>
      <c r="EU19" s="2108"/>
      <c r="EV19" s="2108"/>
      <c r="EW19" s="2108"/>
      <c r="EX19" s="2108"/>
      <c r="EY19" s="2108"/>
      <c r="EZ19" s="2108"/>
      <c r="FA19" s="2108"/>
      <c r="FB19" s="2108"/>
      <c r="FC19" s="2108"/>
      <c r="FD19" s="2108"/>
      <c r="FE19" s="2108"/>
      <c r="FF19" s="2108"/>
      <c r="FG19" s="2108"/>
      <c r="FH19" s="2108"/>
      <c r="FI19" s="2108"/>
      <c r="FJ19" s="2108"/>
      <c r="FK19" s="2108"/>
      <c r="FL19" s="2108"/>
      <c r="FM19" s="2108"/>
      <c r="FN19" s="2108"/>
      <c r="FO19" s="2108"/>
      <c r="FP19" s="2108"/>
      <c r="FQ19" s="2108"/>
      <c r="FR19" s="2108"/>
      <c r="FS19" s="2108"/>
      <c r="FT19" s="2108"/>
      <c r="FU19" s="2108"/>
      <c r="FV19" s="2108"/>
      <c r="FW19" s="2113" t="s">
        <v>481</v>
      </c>
      <c r="FX19" s="2113" t="s">
        <v>481</v>
      </c>
      <c r="FY19" s="2113" t="s">
        <v>481</v>
      </c>
      <c r="FZ19" s="2113" t="s">
        <v>481</v>
      </c>
      <c r="GA19" s="2113" t="s">
        <v>481</v>
      </c>
      <c r="GB19" s="2114"/>
      <c r="GC19" s="2113"/>
      <c r="GD19" s="2113"/>
      <c r="GE19" s="2113"/>
      <c r="GF19" s="2114"/>
      <c r="GG19" s="1960"/>
      <c r="GH19" s="2114"/>
      <c r="GI19" s="2114"/>
      <c r="GJ19" s="2113"/>
      <c r="GK19" s="2113"/>
      <c r="GL19" s="2113"/>
      <c r="GM19" s="2114"/>
      <c r="GN19" s="2114"/>
      <c r="GO19" s="2115"/>
      <c r="GP19" s="2116"/>
      <c r="GQ19" s="2116"/>
      <c r="GR19" s="2116">
        <v>0</v>
      </c>
      <c r="GS19" s="2116">
        <v>0</v>
      </c>
      <c r="GT19" s="1960">
        <v>0</v>
      </c>
      <c r="GU19" s="1960">
        <v>0</v>
      </c>
      <c r="GV19" s="1960" t="s">
        <v>481</v>
      </c>
      <c r="GW19" s="1960"/>
      <c r="GX19" s="1960"/>
      <c r="GY19" s="1960"/>
      <c r="GZ19" s="1960"/>
      <c r="HA19" s="1960"/>
      <c r="HB19" s="1960"/>
      <c r="HC19" s="1960"/>
      <c r="HD19" s="1960"/>
      <c r="HE19" s="1960"/>
      <c r="HF19" s="1960"/>
      <c r="HG19" s="1960"/>
      <c r="HH19" s="2117"/>
      <c r="HI19" s="1960"/>
      <c r="HJ19" s="1960"/>
      <c r="HK19" s="1960"/>
      <c r="HL19" s="1960"/>
      <c r="HM19" s="1960"/>
      <c r="HN19" s="1960"/>
      <c r="HO19" s="1960"/>
      <c r="HP19" s="1960"/>
      <c r="HQ19" s="1960"/>
      <c r="HR19" s="1960"/>
      <c r="HS19" s="1960"/>
      <c r="HT19" s="1962"/>
      <c r="HU19" s="1961"/>
      <c r="HV19" s="1960"/>
      <c r="HW19" s="1960"/>
      <c r="HX19" s="1960"/>
      <c r="HY19" s="1960"/>
      <c r="HZ19" s="1960"/>
      <c r="IA19" s="1960"/>
      <c r="IB19" s="1960"/>
      <c r="IC19" s="1960"/>
      <c r="ID19" s="1960"/>
      <c r="IE19" s="1960"/>
      <c r="IF19" s="1960"/>
      <c r="IG19" s="1961"/>
      <c r="IH19" s="1960"/>
      <c r="II19" s="1960"/>
      <c r="IJ19" s="1961"/>
      <c r="IK19" s="1960"/>
      <c r="IL19" s="1960"/>
      <c r="IM19" s="1960"/>
      <c r="IN19" s="1960"/>
      <c r="IO19" s="1960"/>
      <c r="IP19" s="1960"/>
      <c r="IQ19" s="1960"/>
      <c r="IR19" s="1960"/>
      <c r="IS19" s="2274"/>
      <c r="IT19" s="1960"/>
      <c r="IU19" s="1960"/>
      <c r="IV19" s="1960"/>
      <c r="IW19" s="1960"/>
      <c r="IX19" s="1960"/>
      <c r="IY19" s="1960"/>
      <c r="IZ19" s="1960"/>
      <c r="JA19" s="1960"/>
      <c r="JB19" s="1960"/>
      <c r="JC19" s="1960"/>
      <c r="JD19" s="1960"/>
      <c r="JE19" s="2274"/>
      <c r="JF19" s="2117"/>
      <c r="JG19" s="2103" t="e">
        <f t="shared" si="12"/>
        <v>#DIV/0!</v>
      </c>
      <c r="JI19" s="2155"/>
      <c r="JJ19" s="2104"/>
    </row>
    <row r="20" spans="2:270" hidden="1">
      <c r="B20" s="2105"/>
      <c r="C20" s="2106"/>
      <c r="D20" s="2425"/>
      <c r="E20" s="2128"/>
      <c r="F20" s="2106"/>
      <c r="G20" s="2106"/>
      <c r="H20" s="2106"/>
      <c r="I20" s="2106"/>
      <c r="J20" s="2359"/>
      <c r="K20" s="2425"/>
      <c r="L20" s="2110"/>
      <c r="M20" s="2110"/>
      <c r="N20" s="2110"/>
      <c r="O20" s="2110"/>
      <c r="P20" s="2110"/>
      <c r="Q20" s="2110"/>
      <c r="R20" s="2110"/>
      <c r="S20" s="2110"/>
      <c r="T20" s="2110"/>
      <c r="U20" s="2110"/>
      <c r="V20" s="2110"/>
      <c r="W20" s="2110"/>
      <c r="X20" s="2110"/>
      <c r="Y20" s="2110"/>
      <c r="Z20" s="2110"/>
      <c r="AA20" s="2110"/>
      <c r="AB20" s="2110"/>
      <c r="AC20" s="2110"/>
      <c r="AD20" s="2110"/>
      <c r="AE20" s="2110"/>
      <c r="AF20" s="2110"/>
      <c r="AG20" s="2110"/>
      <c r="AH20" s="2110"/>
      <c r="AI20" s="2110"/>
      <c r="AJ20" s="2110"/>
      <c r="AK20" s="2110"/>
      <c r="AL20" s="2110"/>
      <c r="AM20" s="2110"/>
      <c r="AN20" s="2110"/>
      <c r="AO20" s="2110"/>
      <c r="AP20" s="2110"/>
      <c r="AQ20" s="2110"/>
      <c r="AR20" s="2110"/>
      <c r="AS20" s="2110"/>
      <c r="AT20" s="2110"/>
      <c r="AU20" s="2110"/>
      <c r="AV20" s="2110"/>
      <c r="AW20" s="2111"/>
      <c r="AX20" s="2111"/>
      <c r="AY20" s="2111"/>
      <c r="AZ20" s="2111"/>
      <c r="BA20" s="2111"/>
      <c r="BB20" s="2111"/>
      <c r="BC20" s="2111"/>
      <c r="BD20" s="2112"/>
      <c r="BE20" s="2111"/>
      <c r="BF20" s="2111"/>
      <c r="BG20" s="2111"/>
      <c r="BH20" s="2111"/>
      <c r="BI20" s="2108"/>
      <c r="BJ20" s="2108"/>
      <c r="BK20" s="2108"/>
      <c r="BL20" s="2108"/>
      <c r="BM20" s="2108"/>
      <c r="BN20" s="2108"/>
      <c r="BO20" s="2108"/>
      <c r="BP20" s="2108"/>
      <c r="BQ20" s="2108"/>
      <c r="BR20" s="2108"/>
      <c r="BS20" s="2108"/>
      <c r="BT20" s="2108"/>
      <c r="BU20" s="2108"/>
      <c r="BV20" s="2108"/>
      <c r="BW20" s="2108"/>
      <c r="BX20" s="2108"/>
      <c r="BY20" s="2108"/>
      <c r="BZ20" s="2108"/>
      <c r="CA20" s="2108"/>
      <c r="CB20" s="2108"/>
      <c r="CC20" s="2108"/>
      <c r="CD20" s="2108"/>
      <c r="CE20" s="2108"/>
      <c r="CF20" s="2108"/>
      <c r="CG20" s="2108"/>
      <c r="CH20" s="2108"/>
      <c r="CI20" s="2108"/>
      <c r="CJ20" s="2108"/>
      <c r="CK20" s="2108"/>
      <c r="CL20" s="2108"/>
      <c r="CM20" s="2108"/>
      <c r="CN20" s="2108"/>
      <c r="CO20" s="2108"/>
      <c r="CP20" s="2108"/>
      <c r="CQ20" s="2108"/>
      <c r="CR20" s="2108"/>
      <c r="CS20" s="2108"/>
      <c r="CT20" s="2108"/>
      <c r="CU20" s="2108"/>
      <c r="CV20" s="2108"/>
      <c r="CW20" s="2108"/>
      <c r="CX20" s="2108"/>
      <c r="CY20" s="2108"/>
      <c r="CZ20" s="2108"/>
      <c r="DA20" s="2108"/>
      <c r="DB20" s="2108"/>
      <c r="DC20" s="2108"/>
      <c r="DD20" s="2108"/>
      <c r="DE20" s="2108"/>
      <c r="DF20" s="2108"/>
      <c r="DG20" s="2108"/>
      <c r="DH20" s="2108"/>
      <c r="DI20" s="2108"/>
      <c r="DJ20" s="2108"/>
      <c r="DK20" s="2108"/>
      <c r="DL20" s="2108"/>
      <c r="DM20" s="2108"/>
      <c r="DN20" s="2108"/>
      <c r="DO20" s="2108"/>
      <c r="DP20" s="2108"/>
      <c r="DQ20" s="2108"/>
      <c r="DR20" s="2108"/>
      <c r="DS20" s="2108"/>
      <c r="DT20" s="2108"/>
      <c r="DU20" s="2108"/>
      <c r="DV20" s="2108"/>
      <c r="DW20" s="2108"/>
      <c r="DX20" s="2108"/>
      <c r="DY20" s="2108"/>
      <c r="DZ20" s="2108"/>
      <c r="EA20" s="2108"/>
      <c r="EB20" s="2108"/>
      <c r="EC20" s="2108"/>
      <c r="ED20" s="2108"/>
      <c r="EE20" s="2108"/>
      <c r="EF20" s="2108"/>
      <c r="EG20" s="2108"/>
      <c r="EH20" s="2108"/>
      <c r="EI20" s="2108"/>
      <c r="EJ20" s="2108"/>
      <c r="EK20" s="2108"/>
      <c r="EL20" s="2108"/>
      <c r="EM20" s="2108"/>
      <c r="EN20" s="2108"/>
      <c r="EO20" s="2108"/>
      <c r="EP20" s="2108"/>
      <c r="EQ20" s="2108"/>
      <c r="ER20" s="2108"/>
      <c r="ES20" s="2108"/>
      <c r="ET20" s="2108"/>
      <c r="EU20" s="2108"/>
      <c r="EV20" s="2108"/>
      <c r="EW20" s="2108"/>
      <c r="EX20" s="2108"/>
      <c r="EY20" s="2108"/>
      <c r="EZ20" s="2108"/>
      <c r="FA20" s="2108"/>
      <c r="FB20" s="2108"/>
      <c r="FC20" s="2108"/>
      <c r="FD20" s="2108"/>
      <c r="FE20" s="2108"/>
      <c r="FF20" s="2108"/>
      <c r="FG20" s="2108"/>
      <c r="FH20" s="2108"/>
      <c r="FI20" s="2108"/>
      <c r="FJ20" s="2108"/>
      <c r="FK20" s="2108"/>
      <c r="FL20" s="2108"/>
      <c r="FM20" s="2108"/>
      <c r="FN20" s="2108"/>
      <c r="FO20" s="2108"/>
      <c r="FP20" s="2108"/>
      <c r="FQ20" s="2108"/>
      <c r="FR20" s="2108"/>
      <c r="FS20" s="2108"/>
      <c r="FT20" s="2108"/>
      <c r="FU20" s="2108"/>
      <c r="FV20" s="2108"/>
      <c r="FW20" s="2113" t="s">
        <v>481</v>
      </c>
      <c r="FX20" s="2113" t="s">
        <v>481</v>
      </c>
      <c r="FY20" s="2113" t="s">
        <v>481</v>
      </c>
      <c r="FZ20" s="2113" t="s">
        <v>481</v>
      </c>
      <c r="GA20" s="2113" t="s">
        <v>481</v>
      </c>
      <c r="GB20" s="2114"/>
      <c r="GC20" s="2113"/>
      <c r="GD20" s="2113"/>
      <c r="GE20" s="2113"/>
      <c r="GF20" s="2114"/>
      <c r="GG20" s="1960"/>
      <c r="GH20" s="2114"/>
      <c r="GI20" s="2114"/>
      <c r="GJ20" s="2113"/>
      <c r="GK20" s="2113"/>
      <c r="GL20" s="2113"/>
      <c r="GM20" s="2114"/>
      <c r="GN20" s="2114"/>
      <c r="GO20" s="2115"/>
      <c r="GP20" s="2116"/>
      <c r="GQ20" s="2116"/>
      <c r="GR20" s="2116" t="e">
        <v>#N/A</v>
      </c>
      <c r="GS20" s="2116"/>
      <c r="GT20" s="1960"/>
      <c r="GU20" s="1960"/>
      <c r="GV20" s="1960" t="e">
        <v>#N/A</v>
      </c>
      <c r="GW20" s="1960"/>
      <c r="GX20" s="1960"/>
      <c r="GY20" s="1960"/>
      <c r="GZ20" s="1960"/>
      <c r="HA20" s="1960"/>
      <c r="HB20" s="1960"/>
      <c r="HC20" s="1960"/>
      <c r="HD20" s="1960"/>
      <c r="HE20" s="1960"/>
      <c r="HF20" s="1960"/>
      <c r="HG20" s="1960"/>
      <c r="HH20" s="2117"/>
      <c r="HI20" s="1960"/>
      <c r="HJ20" s="1960"/>
      <c r="HK20" s="1960"/>
      <c r="HL20" s="1960"/>
      <c r="HM20" s="1960"/>
      <c r="HN20" s="1960"/>
      <c r="HO20" s="1960"/>
      <c r="HP20" s="1960"/>
      <c r="HQ20" s="1960"/>
      <c r="HR20" s="1960"/>
      <c r="HS20" s="1960"/>
      <c r="HT20" s="1962"/>
      <c r="HU20" s="1961"/>
      <c r="HV20" s="1960"/>
      <c r="HW20" s="1960"/>
      <c r="HX20" s="1960"/>
      <c r="HY20" s="1960"/>
      <c r="HZ20" s="1960"/>
      <c r="IA20" s="1960"/>
      <c r="IB20" s="1960"/>
      <c r="IC20" s="1960"/>
      <c r="ID20" s="1960"/>
      <c r="IE20" s="1960"/>
      <c r="IF20" s="1960"/>
      <c r="IG20" s="1961"/>
      <c r="IH20" s="1960"/>
      <c r="II20" s="1960"/>
      <c r="IJ20" s="1961"/>
      <c r="IK20" s="1960"/>
      <c r="IL20" s="1960"/>
      <c r="IM20" s="1960"/>
      <c r="IN20" s="1960"/>
      <c r="IO20" s="1960"/>
      <c r="IP20" s="1960"/>
      <c r="IQ20" s="1960"/>
      <c r="IR20" s="1960"/>
      <c r="IS20" s="2274"/>
      <c r="IT20" s="1960"/>
      <c r="IU20" s="1960"/>
      <c r="IV20" s="1960"/>
      <c r="IW20" s="1960"/>
      <c r="IX20" s="1960"/>
      <c r="IY20" s="1960"/>
      <c r="IZ20" s="1960"/>
      <c r="JA20" s="1960"/>
      <c r="JB20" s="1960"/>
      <c r="JC20" s="1960"/>
      <c r="JD20" s="1960"/>
      <c r="JE20" s="2274"/>
      <c r="JF20" s="2117"/>
      <c r="JG20" s="2103" t="e">
        <f t="shared" si="12"/>
        <v>#DIV/0!</v>
      </c>
      <c r="JI20" s="2155"/>
      <c r="JJ20" s="2104"/>
    </row>
    <row r="21" spans="2:270" ht="31.5" hidden="1">
      <c r="B21" s="2105" t="s">
        <v>499</v>
      </c>
      <c r="C21" s="2106"/>
      <c r="D21" s="2425"/>
      <c r="E21" s="2107" t="s">
        <v>557</v>
      </c>
      <c r="F21" s="2106"/>
      <c r="G21" s="2106" t="s">
        <v>906</v>
      </c>
      <c r="H21" s="2106" t="s">
        <v>497</v>
      </c>
      <c r="I21" s="2106"/>
      <c r="J21" s="2359"/>
      <c r="K21" s="2425" t="s">
        <v>138</v>
      </c>
      <c r="L21" s="2110"/>
      <c r="M21" s="2110"/>
      <c r="N21" s="2110"/>
      <c r="O21" s="2110"/>
      <c r="P21" s="2110"/>
      <c r="Q21" s="2110"/>
      <c r="R21" s="2110"/>
      <c r="S21" s="2110"/>
      <c r="T21" s="2110"/>
      <c r="U21" s="2110"/>
      <c r="V21" s="2110"/>
      <c r="W21" s="2110"/>
      <c r="X21" s="2110"/>
      <c r="Y21" s="2110"/>
      <c r="Z21" s="2110"/>
      <c r="AA21" s="2110"/>
      <c r="AB21" s="2110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0"/>
      <c r="AS21" s="2110"/>
      <c r="AT21" s="2110"/>
      <c r="AU21" s="2110"/>
      <c r="AV21" s="2110"/>
      <c r="AW21" s="2111"/>
      <c r="AX21" s="2111"/>
      <c r="AY21" s="2111"/>
      <c r="AZ21" s="2111"/>
      <c r="BA21" s="2111"/>
      <c r="BB21" s="2111"/>
      <c r="BC21" s="2111"/>
      <c r="BD21" s="2112"/>
      <c r="BE21" s="2111"/>
      <c r="BF21" s="2111"/>
      <c r="BG21" s="2111"/>
      <c r="BH21" s="2111"/>
      <c r="BI21" s="2108"/>
      <c r="BJ21" s="2108"/>
      <c r="BK21" s="2108"/>
      <c r="BL21" s="2108">
        <v>0.49431818181818182</v>
      </c>
      <c r="BM21" s="2108"/>
      <c r="BN21" s="2108"/>
      <c r="BO21" s="2108"/>
      <c r="BP21" s="2108"/>
      <c r="BQ21" s="2108"/>
      <c r="BR21" s="2108"/>
      <c r="BS21" s="2108"/>
      <c r="BT21" s="2108"/>
      <c r="BU21" s="2108"/>
      <c r="BV21" s="2108"/>
      <c r="BW21" s="2108"/>
      <c r="BX21" s="2108"/>
      <c r="BY21" s="2108"/>
      <c r="BZ21" s="2108"/>
      <c r="CA21" s="2108"/>
      <c r="CB21" s="2108"/>
      <c r="CC21" s="2108"/>
      <c r="CD21" s="2108"/>
      <c r="CE21" s="2108"/>
      <c r="CF21" s="2108">
        <v>2.2727272727272729</v>
      </c>
      <c r="CG21" s="2108"/>
      <c r="CH21" s="2108"/>
      <c r="CI21" s="2108"/>
      <c r="CJ21" s="2108"/>
      <c r="CK21" s="2108"/>
      <c r="CL21" s="2108"/>
      <c r="CM21" s="2108"/>
      <c r="CN21" s="2108"/>
      <c r="CO21" s="2108"/>
      <c r="CP21" s="2108"/>
      <c r="CQ21" s="2108"/>
      <c r="CR21" s="2108"/>
      <c r="CS21" s="2108"/>
      <c r="CT21" s="2108"/>
      <c r="CU21" s="2108"/>
      <c r="CV21" s="2108"/>
      <c r="CW21" s="2108"/>
      <c r="CX21" s="2108"/>
      <c r="CY21" s="2108"/>
      <c r="CZ21" s="2108"/>
      <c r="DA21" s="2108"/>
      <c r="DB21" s="2108"/>
      <c r="DC21" s="2108"/>
      <c r="DD21" s="2108"/>
      <c r="DE21" s="2108"/>
      <c r="DF21" s="2108"/>
      <c r="DG21" s="2108"/>
      <c r="DH21" s="2108"/>
      <c r="DI21" s="2108"/>
      <c r="DJ21" s="2108"/>
      <c r="DK21" s="2108"/>
      <c r="DL21" s="2108"/>
      <c r="DM21" s="2108"/>
      <c r="DN21" s="2108"/>
      <c r="DO21" s="2108"/>
      <c r="DP21" s="2108"/>
      <c r="DQ21" s="2108"/>
      <c r="DR21" s="2108"/>
      <c r="DS21" s="2108"/>
      <c r="DT21" s="2108"/>
      <c r="DU21" s="2108"/>
      <c r="DV21" s="2108"/>
      <c r="DW21" s="2108"/>
      <c r="DX21" s="2108"/>
      <c r="DY21" s="2108"/>
      <c r="DZ21" s="2108"/>
      <c r="EA21" s="2108"/>
      <c r="EB21" s="2108"/>
      <c r="EC21" s="2108"/>
      <c r="ED21" s="2108"/>
      <c r="EE21" s="2108"/>
      <c r="EF21" s="2108"/>
      <c r="EG21" s="2108"/>
      <c r="EH21" s="2108"/>
      <c r="EI21" s="2108"/>
      <c r="EJ21" s="2108"/>
      <c r="EK21" s="2108"/>
      <c r="EL21" s="2108"/>
      <c r="EM21" s="2108"/>
      <c r="EN21" s="2108"/>
      <c r="EO21" s="2108"/>
      <c r="EP21" s="2108"/>
      <c r="EQ21" s="2108"/>
      <c r="ER21" s="2108"/>
      <c r="ES21" s="2108"/>
      <c r="ET21" s="2108"/>
      <c r="EU21" s="2108"/>
      <c r="EV21" s="2108"/>
      <c r="EW21" s="2108"/>
      <c r="EX21" s="2108"/>
      <c r="EY21" s="2108"/>
      <c r="EZ21" s="2108"/>
      <c r="FA21" s="2108"/>
      <c r="FB21" s="2108"/>
      <c r="FC21" s="2108"/>
      <c r="FD21" s="2108"/>
      <c r="FE21" s="2108"/>
      <c r="FF21" s="2108"/>
      <c r="FG21" s="2108"/>
      <c r="FH21" s="2108"/>
      <c r="FI21" s="2108"/>
      <c r="FJ21" s="2108"/>
      <c r="FK21" s="2108"/>
      <c r="FL21" s="2108"/>
      <c r="FM21" s="2108"/>
      <c r="FN21" s="2108"/>
      <c r="FO21" s="2108"/>
      <c r="FP21" s="2108"/>
      <c r="FQ21" s="2108"/>
      <c r="FR21" s="2108"/>
      <c r="FS21" s="2108"/>
      <c r="FT21" s="2108"/>
      <c r="FU21" s="2108"/>
      <c r="FV21" s="2108"/>
      <c r="FW21" s="2113" t="s">
        <v>481</v>
      </c>
      <c r="FX21" s="2113" t="s">
        <v>481</v>
      </c>
      <c r="FY21" s="2113" t="s">
        <v>481</v>
      </c>
      <c r="FZ21" s="2113" t="s">
        <v>481</v>
      </c>
      <c r="GA21" s="2113" t="s">
        <v>481</v>
      </c>
      <c r="GB21" s="2114"/>
      <c r="GC21" s="2113"/>
      <c r="GD21" s="2113"/>
      <c r="GE21" s="2113"/>
      <c r="GF21" s="2114"/>
      <c r="GG21" s="1960"/>
      <c r="GH21" s="2114"/>
      <c r="GI21" s="2114"/>
      <c r="GJ21" s="2113"/>
      <c r="GK21" s="2113"/>
      <c r="GL21" s="2113"/>
      <c r="GM21" s="2114"/>
      <c r="GN21" s="2114"/>
      <c r="GO21" s="2115"/>
      <c r="GP21" s="2116"/>
      <c r="GQ21" s="2116"/>
      <c r="GR21" s="2116">
        <v>0</v>
      </c>
      <c r="GS21" s="2116">
        <v>0</v>
      </c>
      <c r="GT21" s="1960">
        <v>0</v>
      </c>
      <c r="GU21" s="1960">
        <v>0</v>
      </c>
      <c r="GV21" s="1960" t="s">
        <v>481</v>
      </c>
      <c r="GW21" s="1960"/>
      <c r="GX21" s="1960"/>
      <c r="GY21" s="1960"/>
      <c r="GZ21" s="1960"/>
      <c r="HA21" s="1960"/>
      <c r="HB21" s="1960"/>
      <c r="HC21" s="1960"/>
      <c r="HD21" s="1960"/>
      <c r="HE21" s="1960"/>
      <c r="HF21" s="1960"/>
      <c r="HG21" s="1960"/>
      <c r="HH21" s="2117"/>
      <c r="HI21" s="1960"/>
      <c r="HJ21" s="1960"/>
      <c r="HK21" s="1960"/>
      <c r="HL21" s="1960"/>
      <c r="HM21" s="1960"/>
      <c r="HN21" s="1960"/>
      <c r="HO21" s="1960"/>
      <c r="HP21" s="1960"/>
      <c r="HQ21" s="1960"/>
      <c r="HR21" s="1960"/>
      <c r="HS21" s="1960"/>
      <c r="HT21" s="1962"/>
      <c r="HU21" s="1961"/>
      <c r="HV21" s="1960"/>
      <c r="HW21" s="1960"/>
      <c r="HX21" s="1960"/>
      <c r="HY21" s="1960"/>
      <c r="HZ21" s="1960"/>
      <c r="IA21" s="1960"/>
      <c r="IB21" s="1960"/>
      <c r="IC21" s="1960"/>
      <c r="ID21" s="1960"/>
      <c r="IE21" s="1960"/>
      <c r="IF21" s="1960"/>
      <c r="IG21" s="1961"/>
      <c r="IH21" s="1960"/>
      <c r="II21" s="1960"/>
      <c r="IJ21" s="1961"/>
      <c r="IK21" s="1960"/>
      <c r="IL21" s="1960"/>
      <c r="IM21" s="1960"/>
      <c r="IN21" s="1960"/>
      <c r="IO21" s="1960"/>
      <c r="IP21" s="1960"/>
      <c r="IQ21" s="1960"/>
      <c r="IR21" s="1960"/>
      <c r="IS21" s="2274"/>
      <c r="IT21" s="1960"/>
      <c r="IU21" s="1960"/>
      <c r="IV21" s="1960"/>
      <c r="IW21" s="1960"/>
      <c r="IX21" s="1960"/>
      <c r="IY21" s="1960"/>
      <c r="IZ21" s="1960"/>
      <c r="JA21" s="1960"/>
      <c r="JB21" s="1960"/>
      <c r="JC21" s="1960"/>
      <c r="JD21" s="1960"/>
      <c r="JE21" s="2274"/>
      <c r="JF21" s="2117"/>
      <c r="JG21" s="2103" t="e">
        <f t="shared" si="12"/>
        <v>#DIV/0!</v>
      </c>
      <c r="JI21" s="2155"/>
      <c r="JJ21" s="2104"/>
    </row>
    <row r="22" spans="2:270" hidden="1">
      <c r="B22" s="2105" t="s">
        <v>500</v>
      </c>
      <c r="C22" s="2106"/>
      <c r="D22" s="2425"/>
      <c r="E22" s="2107" t="s">
        <v>558</v>
      </c>
      <c r="F22" s="2106"/>
      <c r="G22" s="2106" t="s">
        <v>906</v>
      </c>
      <c r="H22" s="2106" t="s">
        <v>497</v>
      </c>
      <c r="I22" s="2106"/>
      <c r="J22" s="2359"/>
      <c r="K22" s="2425"/>
      <c r="L22" s="2110"/>
      <c r="M22" s="2110"/>
      <c r="N22" s="2110"/>
      <c r="O22" s="2110"/>
      <c r="P22" s="2110"/>
      <c r="Q22" s="2110"/>
      <c r="R22" s="2110"/>
      <c r="S22" s="2110"/>
      <c r="T22" s="2110"/>
      <c r="U22" s="2110"/>
      <c r="V22" s="2110"/>
      <c r="W22" s="2110"/>
      <c r="X22" s="2110"/>
      <c r="Y22" s="2110"/>
      <c r="Z22" s="2110"/>
      <c r="AA22" s="2110"/>
      <c r="AB22" s="2110"/>
      <c r="AC22" s="2110"/>
      <c r="AD22" s="2110"/>
      <c r="AE22" s="2110"/>
      <c r="AF22" s="2110"/>
      <c r="AG22" s="2110"/>
      <c r="AH22" s="2110"/>
      <c r="AI22" s="2110"/>
      <c r="AJ22" s="2110"/>
      <c r="AK22" s="2110"/>
      <c r="AL22" s="2110"/>
      <c r="AM22" s="2110"/>
      <c r="AN22" s="2110"/>
      <c r="AO22" s="2110"/>
      <c r="AP22" s="2110"/>
      <c r="AQ22" s="2110"/>
      <c r="AR22" s="2110"/>
      <c r="AS22" s="2110"/>
      <c r="AT22" s="2110"/>
      <c r="AU22" s="2110"/>
      <c r="AV22" s="2110"/>
      <c r="AW22" s="2111"/>
      <c r="AX22" s="2111"/>
      <c r="AY22" s="2111"/>
      <c r="AZ22" s="2111"/>
      <c r="BA22" s="2111"/>
      <c r="BB22" s="2111"/>
      <c r="BC22" s="2111"/>
      <c r="BD22" s="2112"/>
      <c r="BE22" s="2111"/>
      <c r="BF22" s="2111"/>
      <c r="BG22" s="2111"/>
      <c r="BH22" s="2111"/>
      <c r="BI22" s="2108"/>
      <c r="BJ22" s="2108"/>
      <c r="BK22" s="2108"/>
      <c r="BL22" s="2108">
        <v>0.52840909090909094</v>
      </c>
      <c r="BM22" s="2108"/>
      <c r="BN22" s="2108"/>
      <c r="BO22" s="2108"/>
      <c r="BP22" s="2108"/>
      <c r="BQ22" s="2108"/>
      <c r="BR22" s="2108"/>
      <c r="BS22" s="2108"/>
      <c r="BT22" s="2108"/>
      <c r="BU22" s="2108"/>
      <c r="BV22" s="2108"/>
      <c r="BW22" s="2108"/>
      <c r="BX22" s="2108"/>
      <c r="BY22" s="2108"/>
      <c r="BZ22" s="2108"/>
      <c r="CA22" s="2108"/>
      <c r="CB22" s="2108"/>
      <c r="CC22" s="2108"/>
      <c r="CD22" s="2108"/>
      <c r="CE22" s="2108"/>
      <c r="CF22" s="2108">
        <v>2.2727272727272729</v>
      </c>
      <c r="CG22" s="2108"/>
      <c r="CH22" s="2108"/>
      <c r="CI22" s="2108"/>
      <c r="CJ22" s="2108"/>
      <c r="CK22" s="2108"/>
      <c r="CL22" s="2108"/>
      <c r="CM22" s="2108"/>
      <c r="CN22" s="2108"/>
      <c r="CO22" s="2108"/>
      <c r="CP22" s="2108"/>
      <c r="CQ22" s="2108"/>
      <c r="CR22" s="2108"/>
      <c r="CS22" s="2108"/>
      <c r="CT22" s="2108"/>
      <c r="CU22" s="2108"/>
      <c r="CV22" s="2108"/>
      <c r="CW22" s="2108"/>
      <c r="CX22" s="2108"/>
      <c r="CY22" s="2108"/>
      <c r="CZ22" s="2108"/>
      <c r="DA22" s="2108"/>
      <c r="DB22" s="2108"/>
      <c r="DC22" s="2108"/>
      <c r="DD22" s="2108"/>
      <c r="DE22" s="2108"/>
      <c r="DF22" s="2108"/>
      <c r="DG22" s="2108"/>
      <c r="DH22" s="2108"/>
      <c r="DI22" s="2108"/>
      <c r="DJ22" s="2108"/>
      <c r="DK22" s="2108"/>
      <c r="DL22" s="2108"/>
      <c r="DM22" s="2108"/>
      <c r="DN22" s="2108"/>
      <c r="DO22" s="2108"/>
      <c r="DP22" s="2108"/>
      <c r="DQ22" s="2108"/>
      <c r="DR22" s="2108"/>
      <c r="DS22" s="2108"/>
      <c r="DT22" s="2108"/>
      <c r="DU22" s="2108"/>
      <c r="DV22" s="2108"/>
      <c r="DW22" s="2108"/>
      <c r="DX22" s="2108"/>
      <c r="DY22" s="2108"/>
      <c r="DZ22" s="2108"/>
      <c r="EA22" s="2108"/>
      <c r="EB22" s="2108"/>
      <c r="EC22" s="2108"/>
      <c r="ED22" s="2108"/>
      <c r="EE22" s="2108"/>
      <c r="EF22" s="2108"/>
      <c r="EG22" s="2108"/>
      <c r="EH22" s="2108"/>
      <c r="EI22" s="2108"/>
      <c r="EJ22" s="2108"/>
      <c r="EK22" s="2108"/>
      <c r="EL22" s="2108"/>
      <c r="EM22" s="2108"/>
      <c r="EN22" s="2108"/>
      <c r="EO22" s="2108"/>
      <c r="EP22" s="2108"/>
      <c r="EQ22" s="2108"/>
      <c r="ER22" s="2108"/>
      <c r="ES22" s="2108"/>
      <c r="ET22" s="2108"/>
      <c r="EU22" s="2108"/>
      <c r="EV22" s="2108"/>
      <c r="EW22" s="2108"/>
      <c r="EX22" s="2108"/>
      <c r="EY22" s="2108"/>
      <c r="EZ22" s="2108"/>
      <c r="FA22" s="2108"/>
      <c r="FB22" s="2108"/>
      <c r="FC22" s="2108"/>
      <c r="FD22" s="2108"/>
      <c r="FE22" s="2108"/>
      <c r="FF22" s="2108"/>
      <c r="FG22" s="2108"/>
      <c r="FH22" s="2108"/>
      <c r="FI22" s="2108"/>
      <c r="FJ22" s="2108"/>
      <c r="FK22" s="2108"/>
      <c r="FL22" s="2108"/>
      <c r="FM22" s="2108"/>
      <c r="FN22" s="2108"/>
      <c r="FO22" s="2108"/>
      <c r="FP22" s="2108"/>
      <c r="FQ22" s="2108"/>
      <c r="FR22" s="2108"/>
      <c r="FS22" s="2108"/>
      <c r="FT22" s="2108"/>
      <c r="FU22" s="2108"/>
      <c r="FV22" s="2108"/>
      <c r="FW22" s="2113" t="s">
        <v>481</v>
      </c>
      <c r="FX22" s="2113" t="s">
        <v>481</v>
      </c>
      <c r="FY22" s="2113" t="s">
        <v>481</v>
      </c>
      <c r="FZ22" s="2113" t="s">
        <v>481</v>
      </c>
      <c r="GA22" s="2113" t="s">
        <v>481</v>
      </c>
      <c r="GB22" s="2114"/>
      <c r="GC22" s="2113"/>
      <c r="GD22" s="2113"/>
      <c r="GE22" s="2113"/>
      <c r="GF22" s="2114"/>
      <c r="GG22" s="1960"/>
      <c r="GH22" s="2114"/>
      <c r="GI22" s="2114"/>
      <c r="GJ22" s="2113"/>
      <c r="GK22" s="2113"/>
      <c r="GL22" s="2113"/>
      <c r="GM22" s="2114"/>
      <c r="GN22" s="2114"/>
      <c r="GO22" s="2115"/>
      <c r="GP22" s="2116"/>
      <c r="GQ22" s="2116"/>
      <c r="GR22" s="2116">
        <v>0</v>
      </c>
      <c r="GS22" s="2116">
        <v>0</v>
      </c>
      <c r="GT22" s="1960">
        <v>0</v>
      </c>
      <c r="GU22" s="1960">
        <v>0</v>
      </c>
      <c r="GV22" s="1960" t="s">
        <v>481</v>
      </c>
      <c r="GW22" s="1960"/>
      <c r="GX22" s="1960"/>
      <c r="GY22" s="1960"/>
      <c r="GZ22" s="1960"/>
      <c r="HA22" s="1960"/>
      <c r="HB22" s="1960"/>
      <c r="HC22" s="1960"/>
      <c r="HD22" s="1960"/>
      <c r="HE22" s="1960"/>
      <c r="HF22" s="1960"/>
      <c r="HG22" s="1960"/>
      <c r="HH22" s="2117"/>
      <c r="HI22" s="1960"/>
      <c r="HJ22" s="1960"/>
      <c r="HK22" s="1960"/>
      <c r="HL22" s="1960"/>
      <c r="HM22" s="1960"/>
      <c r="HN22" s="1960"/>
      <c r="HO22" s="1960"/>
      <c r="HP22" s="1960"/>
      <c r="HQ22" s="1960"/>
      <c r="HR22" s="1960"/>
      <c r="HS22" s="1960"/>
      <c r="HT22" s="1962"/>
      <c r="HU22" s="1961"/>
      <c r="HV22" s="1960"/>
      <c r="HW22" s="1960"/>
      <c r="HX22" s="1960"/>
      <c r="HY22" s="1960"/>
      <c r="HZ22" s="1960"/>
      <c r="IA22" s="1960"/>
      <c r="IB22" s="1960"/>
      <c r="IC22" s="1960"/>
      <c r="ID22" s="1960"/>
      <c r="IE22" s="1960"/>
      <c r="IF22" s="1960"/>
      <c r="IG22" s="1961"/>
      <c r="IH22" s="1960"/>
      <c r="II22" s="1960"/>
      <c r="IJ22" s="1961"/>
      <c r="IK22" s="1960"/>
      <c r="IL22" s="1960"/>
      <c r="IM22" s="1960"/>
      <c r="IN22" s="1960"/>
      <c r="IO22" s="1960"/>
      <c r="IP22" s="1960"/>
      <c r="IQ22" s="1960"/>
      <c r="IR22" s="1960"/>
      <c r="IS22" s="2274"/>
      <c r="IT22" s="1960"/>
      <c r="IU22" s="1960"/>
      <c r="IV22" s="1960"/>
      <c r="IW22" s="1960"/>
      <c r="IX22" s="1960"/>
      <c r="IY22" s="1960"/>
      <c r="IZ22" s="1960"/>
      <c r="JA22" s="1960"/>
      <c r="JB22" s="1960"/>
      <c r="JC22" s="1960"/>
      <c r="JD22" s="1960"/>
      <c r="JE22" s="2274"/>
      <c r="JF22" s="2117"/>
      <c r="JG22" s="2103" t="e">
        <f t="shared" si="12"/>
        <v>#DIV/0!</v>
      </c>
      <c r="JI22" s="2155"/>
      <c r="JJ22" s="2104"/>
    </row>
    <row r="23" spans="2:270" hidden="1">
      <c r="B23" s="2105" t="s">
        <v>501</v>
      </c>
      <c r="C23" s="2106"/>
      <c r="D23" s="2425"/>
      <c r="E23" s="2107" t="s">
        <v>559</v>
      </c>
      <c r="F23" s="2106"/>
      <c r="G23" s="2106" t="s">
        <v>906</v>
      </c>
      <c r="H23" s="2106" t="s">
        <v>497</v>
      </c>
      <c r="I23" s="2106"/>
      <c r="J23" s="2359"/>
      <c r="K23" s="2425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0"/>
      <c r="X23" s="2110"/>
      <c r="Y23" s="2110"/>
      <c r="Z23" s="2110"/>
      <c r="AA23" s="2110"/>
      <c r="AB23" s="2110"/>
      <c r="AC23" s="2110"/>
      <c r="AD23" s="2110"/>
      <c r="AE23" s="2110"/>
      <c r="AF23" s="2110"/>
      <c r="AG23" s="2110"/>
      <c r="AH23" s="2110"/>
      <c r="AI23" s="2110"/>
      <c r="AJ23" s="2110"/>
      <c r="AK23" s="2110"/>
      <c r="AL23" s="2110"/>
      <c r="AM23" s="2110"/>
      <c r="AN23" s="2110"/>
      <c r="AO23" s="2110"/>
      <c r="AP23" s="2110"/>
      <c r="AQ23" s="2110"/>
      <c r="AR23" s="2110"/>
      <c r="AS23" s="2110"/>
      <c r="AT23" s="2110"/>
      <c r="AU23" s="2110"/>
      <c r="AV23" s="2110"/>
      <c r="AW23" s="2111"/>
      <c r="AX23" s="2111"/>
      <c r="AY23" s="2111"/>
      <c r="AZ23" s="2111"/>
      <c r="BA23" s="2111"/>
      <c r="BB23" s="2111"/>
      <c r="BC23" s="2111"/>
      <c r="BD23" s="2112"/>
      <c r="BE23" s="2111"/>
      <c r="BF23" s="2111"/>
      <c r="BG23" s="2111"/>
      <c r="BH23" s="2111"/>
      <c r="BI23" s="2108"/>
      <c r="BJ23" s="2108"/>
      <c r="BK23" s="2108"/>
      <c r="BL23" s="2108">
        <v>0.57386363636363635</v>
      </c>
      <c r="BM23" s="2108"/>
      <c r="BN23" s="2108"/>
      <c r="BO23" s="2108"/>
      <c r="BP23" s="2108"/>
      <c r="BQ23" s="2108"/>
      <c r="BR23" s="2108"/>
      <c r="BS23" s="2108"/>
      <c r="BT23" s="2108"/>
      <c r="BU23" s="2108"/>
      <c r="BV23" s="2108"/>
      <c r="BW23" s="2108"/>
      <c r="BX23" s="2108"/>
      <c r="BY23" s="2108"/>
      <c r="BZ23" s="2108"/>
      <c r="CA23" s="2108"/>
      <c r="CB23" s="2108"/>
      <c r="CC23" s="2108"/>
      <c r="CD23" s="2108"/>
      <c r="CE23" s="2108"/>
      <c r="CF23" s="2108">
        <v>2.2727272727272729</v>
      </c>
      <c r="CG23" s="2108"/>
      <c r="CH23" s="2108"/>
      <c r="CI23" s="2108"/>
      <c r="CJ23" s="2108"/>
      <c r="CK23" s="2108"/>
      <c r="CL23" s="2108"/>
      <c r="CM23" s="2108"/>
      <c r="CN23" s="2108"/>
      <c r="CO23" s="2108"/>
      <c r="CP23" s="2108"/>
      <c r="CQ23" s="2108"/>
      <c r="CR23" s="2108"/>
      <c r="CS23" s="2108"/>
      <c r="CT23" s="2108"/>
      <c r="CU23" s="2108"/>
      <c r="CV23" s="2108"/>
      <c r="CW23" s="2108"/>
      <c r="CX23" s="2108"/>
      <c r="CY23" s="2108"/>
      <c r="CZ23" s="2108"/>
      <c r="DA23" s="2108"/>
      <c r="DB23" s="2108"/>
      <c r="DC23" s="2108"/>
      <c r="DD23" s="2108"/>
      <c r="DE23" s="2108"/>
      <c r="DF23" s="2108"/>
      <c r="DG23" s="2108"/>
      <c r="DH23" s="2108"/>
      <c r="DI23" s="2108"/>
      <c r="DJ23" s="2108"/>
      <c r="DK23" s="2108"/>
      <c r="DL23" s="2108"/>
      <c r="DM23" s="2108"/>
      <c r="DN23" s="2108"/>
      <c r="DO23" s="2108"/>
      <c r="DP23" s="2108"/>
      <c r="DQ23" s="2108"/>
      <c r="DR23" s="2108"/>
      <c r="DS23" s="2108"/>
      <c r="DT23" s="2108"/>
      <c r="DU23" s="2108"/>
      <c r="DV23" s="2108"/>
      <c r="DW23" s="2108"/>
      <c r="DX23" s="2108"/>
      <c r="DY23" s="2108"/>
      <c r="DZ23" s="2108"/>
      <c r="EA23" s="2108"/>
      <c r="EB23" s="2108"/>
      <c r="EC23" s="2108"/>
      <c r="ED23" s="2108"/>
      <c r="EE23" s="2108"/>
      <c r="EF23" s="2108"/>
      <c r="EG23" s="2108"/>
      <c r="EH23" s="2108"/>
      <c r="EI23" s="2108"/>
      <c r="EJ23" s="2108"/>
      <c r="EK23" s="2108"/>
      <c r="EL23" s="2108"/>
      <c r="EM23" s="2108"/>
      <c r="EN23" s="2108"/>
      <c r="EO23" s="2108"/>
      <c r="EP23" s="2108"/>
      <c r="EQ23" s="2108"/>
      <c r="ER23" s="2108"/>
      <c r="ES23" s="2108"/>
      <c r="ET23" s="2108"/>
      <c r="EU23" s="2108"/>
      <c r="EV23" s="2108"/>
      <c r="EW23" s="2108"/>
      <c r="EX23" s="2108"/>
      <c r="EY23" s="2108"/>
      <c r="EZ23" s="2108"/>
      <c r="FA23" s="2108"/>
      <c r="FB23" s="2108"/>
      <c r="FC23" s="2108"/>
      <c r="FD23" s="2108"/>
      <c r="FE23" s="2108"/>
      <c r="FF23" s="2108"/>
      <c r="FG23" s="2108"/>
      <c r="FH23" s="2108"/>
      <c r="FI23" s="2108"/>
      <c r="FJ23" s="2108"/>
      <c r="FK23" s="2108"/>
      <c r="FL23" s="2108"/>
      <c r="FM23" s="2108"/>
      <c r="FN23" s="2108"/>
      <c r="FO23" s="2108"/>
      <c r="FP23" s="2108"/>
      <c r="FQ23" s="2108"/>
      <c r="FR23" s="2108"/>
      <c r="FS23" s="2108"/>
      <c r="FT23" s="2108"/>
      <c r="FU23" s="2108"/>
      <c r="FV23" s="2108"/>
      <c r="FW23" s="2113" t="s">
        <v>481</v>
      </c>
      <c r="FX23" s="2113" t="s">
        <v>481</v>
      </c>
      <c r="FY23" s="2113" t="s">
        <v>481</v>
      </c>
      <c r="FZ23" s="2113" t="s">
        <v>481</v>
      </c>
      <c r="GA23" s="2113" t="s">
        <v>481</v>
      </c>
      <c r="GB23" s="2114"/>
      <c r="GC23" s="2113"/>
      <c r="GD23" s="2113"/>
      <c r="GE23" s="2113"/>
      <c r="GF23" s="2114"/>
      <c r="GG23" s="1960"/>
      <c r="GH23" s="2114"/>
      <c r="GI23" s="2114"/>
      <c r="GJ23" s="2113"/>
      <c r="GK23" s="2113"/>
      <c r="GL23" s="2113"/>
      <c r="GM23" s="2114"/>
      <c r="GN23" s="2114"/>
      <c r="GO23" s="2115"/>
      <c r="GP23" s="2116"/>
      <c r="GQ23" s="2116"/>
      <c r="GR23" s="2116">
        <v>0</v>
      </c>
      <c r="GS23" s="2116">
        <v>0</v>
      </c>
      <c r="GT23" s="1960">
        <v>0</v>
      </c>
      <c r="GU23" s="1960">
        <v>0</v>
      </c>
      <c r="GV23" s="1960" t="s">
        <v>481</v>
      </c>
      <c r="GW23" s="1960"/>
      <c r="GX23" s="1960"/>
      <c r="GY23" s="1960"/>
      <c r="GZ23" s="1960"/>
      <c r="HA23" s="1960"/>
      <c r="HB23" s="1960"/>
      <c r="HC23" s="1960"/>
      <c r="HD23" s="1960"/>
      <c r="HE23" s="1960"/>
      <c r="HF23" s="1960"/>
      <c r="HG23" s="1960"/>
      <c r="HH23" s="2117"/>
      <c r="HI23" s="1960"/>
      <c r="HJ23" s="1960"/>
      <c r="HK23" s="1960"/>
      <c r="HL23" s="1960"/>
      <c r="HM23" s="1960"/>
      <c r="HN23" s="1960"/>
      <c r="HO23" s="1960"/>
      <c r="HP23" s="1960"/>
      <c r="HQ23" s="1960"/>
      <c r="HR23" s="1960"/>
      <c r="HS23" s="1960"/>
      <c r="HT23" s="1962"/>
      <c r="HU23" s="1961"/>
      <c r="HV23" s="1960"/>
      <c r="HW23" s="1960"/>
      <c r="HX23" s="1960"/>
      <c r="HY23" s="1960"/>
      <c r="HZ23" s="1960"/>
      <c r="IA23" s="1960"/>
      <c r="IB23" s="1960"/>
      <c r="IC23" s="1960"/>
      <c r="ID23" s="1960"/>
      <c r="IE23" s="1960"/>
      <c r="IF23" s="1960"/>
      <c r="IG23" s="1961"/>
      <c r="IH23" s="1960"/>
      <c r="II23" s="1960"/>
      <c r="IJ23" s="1961"/>
      <c r="IK23" s="1960"/>
      <c r="IL23" s="1960"/>
      <c r="IM23" s="1960"/>
      <c r="IN23" s="1960"/>
      <c r="IO23" s="1960"/>
      <c r="IP23" s="1960"/>
      <c r="IQ23" s="1960"/>
      <c r="IR23" s="1960"/>
      <c r="IS23" s="2274"/>
      <c r="IT23" s="1960"/>
      <c r="IU23" s="1960"/>
      <c r="IV23" s="1960"/>
      <c r="IW23" s="1960"/>
      <c r="IX23" s="1960"/>
      <c r="IY23" s="1960"/>
      <c r="IZ23" s="1960"/>
      <c r="JA23" s="1960"/>
      <c r="JB23" s="1960"/>
      <c r="JC23" s="1960"/>
      <c r="JD23" s="1960"/>
      <c r="JE23" s="2274"/>
      <c r="JF23" s="2117"/>
      <c r="JG23" s="2103" t="e">
        <f t="shared" si="12"/>
        <v>#DIV/0!</v>
      </c>
      <c r="JI23" s="2155"/>
      <c r="JJ23" s="2104"/>
    </row>
    <row r="24" spans="2:270" hidden="1">
      <c r="B24" s="2105" t="s">
        <v>502</v>
      </c>
      <c r="C24" s="2106"/>
      <c r="D24" s="2425"/>
      <c r="E24" s="2107" t="s">
        <v>560</v>
      </c>
      <c r="F24" s="2106"/>
      <c r="G24" s="2106" t="s">
        <v>906</v>
      </c>
      <c r="H24" s="2106" t="s">
        <v>497</v>
      </c>
      <c r="I24" s="2106"/>
      <c r="J24" s="2359"/>
      <c r="K24" s="2425"/>
      <c r="L24" s="2110"/>
      <c r="M24" s="2110"/>
      <c r="N24" s="2110"/>
      <c r="O24" s="2110"/>
      <c r="P24" s="2110"/>
      <c r="Q24" s="2110"/>
      <c r="R24" s="2110"/>
      <c r="S24" s="2110"/>
      <c r="T24" s="2110"/>
      <c r="U24" s="2110"/>
      <c r="V24" s="2110"/>
      <c r="W24" s="2110"/>
      <c r="X24" s="2110"/>
      <c r="Y24" s="2110"/>
      <c r="Z24" s="2110"/>
      <c r="AA24" s="2110"/>
      <c r="AB24" s="2110"/>
      <c r="AC24" s="2110"/>
      <c r="AD24" s="2110"/>
      <c r="AE24" s="2110"/>
      <c r="AF24" s="2110"/>
      <c r="AG24" s="2110"/>
      <c r="AH24" s="2110"/>
      <c r="AI24" s="2110"/>
      <c r="AJ24" s="2110"/>
      <c r="AK24" s="2110"/>
      <c r="AL24" s="2110"/>
      <c r="AM24" s="2110"/>
      <c r="AN24" s="2110"/>
      <c r="AO24" s="2110"/>
      <c r="AP24" s="2110"/>
      <c r="AQ24" s="2110"/>
      <c r="AR24" s="2110"/>
      <c r="AS24" s="2110"/>
      <c r="AT24" s="2110"/>
      <c r="AU24" s="2110"/>
      <c r="AV24" s="2110"/>
      <c r="AW24" s="2111"/>
      <c r="AX24" s="2111"/>
      <c r="AY24" s="2111"/>
      <c r="AZ24" s="2111"/>
      <c r="BA24" s="2111"/>
      <c r="BB24" s="2111"/>
      <c r="BC24" s="2111"/>
      <c r="BD24" s="2112"/>
      <c r="BE24" s="2111"/>
      <c r="BF24" s="2111"/>
      <c r="BG24" s="2111"/>
      <c r="BH24" s="2111"/>
      <c r="BI24" s="2108"/>
      <c r="BJ24" s="2108"/>
      <c r="BK24" s="2108"/>
      <c r="BL24" s="2108">
        <v>0.67613636363636365</v>
      </c>
      <c r="BM24" s="2108"/>
      <c r="BN24" s="2108"/>
      <c r="BO24" s="2108"/>
      <c r="BP24" s="2108"/>
      <c r="BQ24" s="2108"/>
      <c r="BR24" s="2108"/>
      <c r="BS24" s="2108"/>
      <c r="BT24" s="2108"/>
      <c r="BU24" s="2108"/>
      <c r="BV24" s="2108"/>
      <c r="BW24" s="2108"/>
      <c r="BX24" s="2108"/>
      <c r="BY24" s="2108"/>
      <c r="BZ24" s="2108"/>
      <c r="CA24" s="2108"/>
      <c r="CB24" s="2108"/>
      <c r="CC24" s="2108"/>
      <c r="CD24" s="2108"/>
      <c r="CE24" s="2108"/>
      <c r="CF24" s="2108">
        <v>2.2727272727272729</v>
      </c>
      <c r="CG24" s="2108"/>
      <c r="CH24" s="2108"/>
      <c r="CI24" s="2108"/>
      <c r="CJ24" s="2108"/>
      <c r="CK24" s="2108"/>
      <c r="CL24" s="2108"/>
      <c r="CM24" s="2108"/>
      <c r="CN24" s="2108"/>
      <c r="CO24" s="2108"/>
      <c r="CP24" s="2108"/>
      <c r="CQ24" s="2108"/>
      <c r="CR24" s="2108"/>
      <c r="CS24" s="2108"/>
      <c r="CT24" s="2108"/>
      <c r="CU24" s="2108"/>
      <c r="CV24" s="2108"/>
      <c r="CW24" s="2108"/>
      <c r="CX24" s="2108"/>
      <c r="CY24" s="2108"/>
      <c r="CZ24" s="2108"/>
      <c r="DA24" s="2108"/>
      <c r="DB24" s="2108"/>
      <c r="DC24" s="2108"/>
      <c r="DD24" s="2108"/>
      <c r="DE24" s="2108"/>
      <c r="DF24" s="2108"/>
      <c r="DG24" s="2108"/>
      <c r="DH24" s="2108"/>
      <c r="DI24" s="2108"/>
      <c r="DJ24" s="2108"/>
      <c r="DK24" s="2108"/>
      <c r="DL24" s="2108"/>
      <c r="DM24" s="2108"/>
      <c r="DN24" s="2108"/>
      <c r="DO24" s="2108"/>
      <c r="DP24" s="2108"/>
      <c r="DQ24" s="2108"/>
      <c r="DR24" s="2108"/>
      <c r="DS24" s="2108"/>
      <c r="DT24" s="2108"/>
      <c r="DU24" s="2108"/>
      <c r="DV24" s="2108"/>
      <c r="DW24" s="2108"/>
      <c r="DX24" s="2108"/>
      <c r="DY24" s="2108"/>
      <c r="DZ24" s="2108"/>
      <c r="EA24" s="2108"/>
      <c r="EB24" s="2108"/>
      <c r="EC24" s="2108"/>
      <c r="ED24" s="2108"/>
      <c r="EE24" s="2108"/>
      <c r="EF24" s="2108"/>
      <c r="EG24" s="2108"/>
      <c r="EH24" s="2108"/>
      <c r="EI24" s="2108"/>
      <c r="EJ24" s="2108"/>
      <c r="EK24" s="2108"/>
      <c r="EL24" s="2108"/>
      <c r="EM24" s="2108"/>
      <c r="EN24" s="2108"/>
      <c r="EO24" s="2108"/>
      <c r="EP24" s="2108"/>
      <c r="EQ24" s="2108"/>
      <c r="ER24" s="2108"/>
      <c r="ES24" s="2108"/>
      <c r="ET24" s="2108"/>
      <c r="EU24" s="2108"/>
      <c r="EV24" s="2108"/>
      <c r="EW24" s="2108"/>
      <c r="EX24" s="2108"/>
      <c r="EY24" s="2108"/>
      <c r="EZ24" s="2108"/>
      <c r="FA24" s="2108"/>
      <c r="FB24" s="2108"/>
      <c r="FC24" s="2108"/>
      <c r="FD24" s="2108"/>
      <c r="FE24" s="2108"/>
      <c r="FF24" s="2108"/>
      <c r="FG24" s="2108"/>
      <c r="FH24" s="2108"/>
      <c r="FI24" s="2108"/>
      <c r="FJ24" s="2108"/>
      <c r="FK24" s="2108"/>
      <c r="FL24" s="2108"/>
      <c r="FM24" s="2108"/>
      <c r="FN24" s="2108"/>
      <c r="FO24" s="2108"/>
      <c r="FP24" s="2108"/>
      <c r="FQ24" s="2108"/>
      <c r="FR24" s="2108"/>
      <c r="FS24" s="2108"/>
      <c r="FT24" s="2108"/>
      <c r="FU24" s="2108"/>
      <c r="FV24" s="2108"/>
      <c r="FW24" s="2113" t="s">
        <v>481</v>
      </c>
      <c r="FX24" s="2113" t="s">
        <v>481</v>
      </c>
      <c r="FY24" s="2113" t="s">
        <v>481</v>
      </c>
      <c r="FZ24" s="2113" t="s">
        <v>481</v>
      </c>
      <c r="GA24" s="2113" t="s">
        <v>481</v>
      </c>
      <c r="GB24" s="2114"/>
      <c r="GC24" s="2113"/>
      <c r="GD24" s="2113"/>
      <c r="GE24" s="2113"/>
      <c r="GF24" s="2114"/>
      <c r="GG24" s="1960"/>
      <c r="GH24" s="2114"/>
      <c r="GI24" s="2114"/>
      <c r="GJ24" s="2113"/>
      <c r="GK24" s="2113"/>
      <c r="GL24" s="2113"/>
      <c r="GM24" s="2114"/>
      <c r="GN24" s="2114"/>
      <c r="GO24" s="2115"/>
      <c r="GP24" s="2116"/>
      <c r="GQ24" s="2116"/>
      <c r="GR24" s="2116">
        <v>0</v>
      </c>
      <c r="GS24" s="2116">
        <v>0</v>
      </c>
      <c r="GT24" s="1960">
        <v>0</v>
      </c>
      <c r="GU24" s="1960">
        <v>0</v>
      </c>
      <c r="GV24" s="1960" t="s">
        <v>481</v>
      </c>
      <c r="GW24" s="1960"/>
      <c r="GX24" s="1960"/>
      <c r="GY24" s="1960"/>
      <c r="GZ24" s="1960"/>
      <c r="HA24" s="1960"/>
      <c r="HB24" s="1960"/>
      <c r="HC24" s="1960"/>
      <c r="HD24" s="1960"/>
      <c r="HE24" s="1960"/>
      <c r="HF24" s="1960"/>
      <c r="HG24" s="1960"/>
      <c r="HH24" s="2117"/>
      <c r="HI24" s="1960"/>
      <c r="HJ24" s="1960"/>
      <c r="HK24" s="1960"/>
      <c r="HL24" s="1960"/>
      <c r="HM24" s="1960"/>
      <c r="HN24" s="1960"/>
      <c r="HO24" s="1960"/>
      <c r="HP24" s="1960"/>
      <c r="HQ24" s="1960"/>
      <c r="HR24" s="1960"/>
      <c r="HS24" s="1960"/>
      <c r="HT24" s="1962"/>
      <c r="HU24" s="1961"/>
      <c r="HV24" s="1960"/>
      <c r="HW24" s="1960"/>
      <c r="HX24" s="1960"/>
      <c r="HY24" s="1960"/>
      <c r="HZ24" s="1960"/>
      <c r="IA24" s="1960"/>
      <c r="IB24" s="1960"/>
      <c r="IC24" s="1960"/>
      <c r="ID24" s="1960"/>
      <c r="IE24" s="1960"/>
      <c r="IF24" s="1960"/>
      <c r="IG24" s="1961"/>
      <c r="IH24" s="1960"/>
      <c r="II24" s="1960"/>
      <c r="IJ24" s="1961"/>
      <c r="IK24" s="1960"/>
      <c r="IL24" s="1960"/>
      <c r="IM24" s="1960"/>
      <c r="IN24" s="1960"/>
      <c r="IO24" s="1960"/>
      <c r="IP24" s="1960"/>
      <c r="IQ24" s="1960"/>
      <c r="IR24" s="1960"/>
      <c r="IS24" s="2274"/>
      <c r="IT24" s="1960"/>
      <c r="IU24" s="1960"/>
      <c r="IV24" s="1960"/>
      <c r="IW24" s="1960"/>
      <c r="IX24" s="1960"/>
      <c r="IY24" s="1960"/>
      <c r="IZ24" s="1960"/>
      <c r="JA24" s="1960"/>
      <c r="JB24" s="1960"/>
      <c r="JC24" s="1960"/>
      <c r="JD24" s="1960"/>
      <c r="JE24" s="2274"/>
      <c r="JF24" s="2117"/>
      <c r="JG24" s="2103" t="e">
        <f t="shared" si="12"/>
        <v>#DIV/0!</v>
      </c>
      <c r="JI24" s="2155"/>
      <c r="JJ24" s="2104"/>
    </row>
    <row r="25" spans="2:270" hidden="1">
      <c r="B25" s="2105"/>
      <c r="C25" s="2106"/>
      <c r="D25" s="2425"/>
      <c r="E25" s="2128"/>
      <c r="F25" s="2106"/>
      <c r="G25" s="2106"/>
      <c r="H25" s="2106"/>
      <c r="I25" s="2106"/>
      <c r="J25" s="2359"/>
      <c r="K25" s="2425"/>
      <c r="L25" s="2110"/>
      <c r="M25" s="2110"/>
      <c r="N25" s="2110"/>
      <c r="O25" s="2110"/>
      <c r="P25" s="2110"/>
      <c r="Q25" s="2110"/>
      <c r="R25" s="2110"/>
      <c r="S25" s="2110"/>
      <c r="T25" s="2110"/>
      <c r="U25" s="2110"/>
      <c r="V25" s="2110"/>
      <c r="W25" s="2110"/>
      <c r="X25" s="2110"/>
      <c r="Y25" s="2110"/>
      <c r="Z25" s="2110"/>
      <c r="AA25" s="2110"/>
      <c r="AB25" s="2110"/>
      <c r="AC25" s="2110"/>
      <c r="AD25" s="2110"/>
      <c r="AE25" s="2110"/>
      <c r="AF25" s="2110"/>
      <c r="AG25" s="2110"/>
      <c r="AH25" s="2110"/>
      <c r="AI25" s="2110"/>
      <c r="AJ25" s="2110"/>
      <c r="AK25" s="2110"/>
      <c r="AL25" s="2110"/>
      <c r="AM25" s="2110"/>
      <c r="AN25" s="2110"/>
      <c r="AO25" s="2110"/>
      <c r="AP25" s="2110"/>
      <c r="AQ25" s="2110"/>
      <c r="AR25" s="2110"/>
      <c r="AS25" s="2110"/>
      <c r="AT25" s="2110"/>
      <c r="AU25" s="2110"/>
      <c r="AV25" s="2110"/>
      <c r="AW25" s="2111"/>
      <c r="AX25" s="2111" t="s">
        <v>882</v>
      </c>
      <c r="AY25" s="2111"/>
      <c r="AZ25" s="2111"/>
      <c r="BA25" s="2111"/>
      <c r="BB25" s="2111"/>
      <c r="BC25" s="2111"/>
      <c r="BD25" s="2112"/>
      <c r="BE25" s="2111"/>
      <c r="BF25" s="2111"/>
      <c r="BG25" s="2111"/>
      <c r="BH25" s="2111"/>
      <c r="BI25" s="2108"/>
      <c r="BJ25" s="2108"/>
      <c r="BK25" s="2108"/>
      <c r="BL25" s="2108"/>
      <c r="BM25" s="2108"/>
      <c r="BN25" s="2108"/>
      <c r="BO25" s="2108"/>
      <c r="BP25" s="2108"/>
      <c r="BQ25" s="2108"/>
      <c r="BR25" s="2108"/>
      <c r="BS25" s="2108"/>
      <c r="BT25" s="2108"/>
      <c r="BU25" s="2108"/>
      <c r="BV25" s="2108"/>
      <c r="BW25" s="2108"/>
      <c r="BX25" s="2108"/>
      <c r="BY25" s="2108"/>
      <c r="BZ25" s="2108"/>
      <c r="CA25" s="2108"/>
      <c r="CB25" s="2108"/>
      <c r="CC25" s="2108"/>
      <c r="CD25" s="2108"/>
      <c r="CE25" s="2108"/>
      <c r="CF25" s="2108"/>
      <c r="CG25" s="2108"/>
      <c r="CH25" s="2108"/>
      <c r="CI25" s="2108"/>
      <c r="CJ25" s="2108"/>
      <c r="CK25" s="2108"/>
      <c r="CL25" s="2108"/>
      <c r="CM25" s="2108"/>
      <c r="CN25" s="2108"/>
      <c r="CO25" s="2108"/>
      <c r="CP25" s="2108"/>
      <c r="CQ25" s="2108"/>
      <c r="CR25" s="2108"/>
      <c r="CS25" s="2108"/>
      <c r="CT25" s="2108"/>
      <c r="CU25" s="2108"/>
      <c r="CV25" s="2108"/>
      <c r="CW25" s="2108"/>
      <c r="CX25" s="2108"/>
      <c r="CY25" s="2108"/>
      <c r="CZ25" s="2108"/>
      <c r="DA25" s="2108"/>
      <c r="DB25" s="2108"/>
      <c r="DC25" s="2108"/>
      <c r="DD25" s="2108"/>
      <c r="DE25" s="2108"/>
      <c r="DF25" s="2108"/>
      <c r="DG25" s="2108"/>
      <c r="DH25" s="2108"/>
      <c r="DI25" s="2108"/>
      <c r="DJ25" s="2108"/>
      <c r="DK25" s="2108"/>
      <c r="DL25" s="2108"/>
      <c r="DM25" s="2108"/>
      <c r="DN25" s="2108"/>
      <c r="DO25" s="2108"/>
      <c r="DP25" s="2108"/>
      <c r="DQ25" s="2108"/>
      <c r="DR25" s="2108"/>
      <c r="DS25" s="2108"/>
      <c r="DT25" s="2108"/>
      <c r="DU25" s="2108"/>
      <c r="DV25" s="2108"/>
      <c r="DW25" s="2108"/>
      <c r="DX25" s="2108"/>
      <c r="DY25" s="2108"/>
      <c r="DZ25" s="2108"/>
      <c r="EA25" s="2108"/>
      <c r="EB25" s="2108"/>
      <c r="EC25" s="2108"/>
      <c r="ED25" s="2108"/>
      <c r="EE25" s="2108"/>
      <c r="EF25" s="2108"/>
      <c r="EG25" s="2108"/>
      <c r="EH25" s="2108"/>
      <c r="EI25" s="2108"/>
      <c r="EJ25" s="2108"/>
      <c r="EK25" s="2108"/>
      <c r="EL25" s="2108"/>
      <c r="EM25" s="2108"/>
      <c r="EN25" s="2108"/>
      <c r="EO25" s="2108"/>
      <c r="EP25" s="2108"/>
      <c r="EQ25" s="2108"/>
      <c r="ER25" s="2108"/>
      <c r="ES25" s="2108"/>
      <c r="ET25" s="2108"/>
      <c r="EU25" s="2108"/>
      <c r="EV25" s="2108"/>
      <c r="EW25" s="2108"/>
      <c r="EX25" s="2108"/>
      <c r="EY25" s="2108"/>
      <c r="EZ25" s="2108"/>
      <c r="FA25" s="2108"/>
      <c r="FB25" s="2108"/>
      <c r="FC25" s="2108"/>
      <c r="FD25" s="2108"/>
      <c r="FE25" s="2108"/>
      <c r="FF25" s="2108"/>
      <c r="FG25" s="2108"/>
      <c r="FH25" s="2108"/>
      <c r="FI25" s="2108"/>
      <c r="FJ25" s="2108"/>
      <c r="FK25" s="2108"/>
      <c r="FL25" s="2108"/>
      <c r="FM25" s="2108"/>
      <c r="FN25" s="2108"/>
      <c r="FO25" s="2108"/>
      <c r="FP25" s="2108"/>
      <c r="FQ25" s="2108"/>
      <c r="FR25" s="2108"/>
      <c r="FS25" s="2108"/>
      <c r="FT25" s="2108"/>
      <c r="FU25" s="2108"/>
      <c r="FV25" s="2108"/>
      <c r="FW25" s="2113" t="s">
        <v>481</v>
      </c>
      <c r="FX25" s="2113" t="s">
        <v>481</v>
      </c>
      <c r="FY25" s="2113" t="s">
        <v>481</v>
      </c>
      <c r="FZ25" s="2113" t="s">
        <v>481</v>
      </c>
      <c r="GA25" s="2113" t="s">
        <v>481</v>
      </c>
      <c r="GB25" s="2114"/>
      <c r="GC25" s="2113"/>
      <c r="GD25" s="2113"/>
      <c r="GE25" s="2113"/>
      <c r="GF25" s="2114"/>
      <c r="GG25" s="1960"/>
      <c r="GH25" s="2114"/>
      <c r="GI25" s="2114"/>
      <c r="GJ25" s="2113"/>
      <c r="GK25" s="2113"/>
      <c r="GL25" s="2113"/>
      <c r="GM25" s="2114"/>
      <c r="GN25" s="2114"/>
      <c r="GO25" s="2115"/>
      <c r="GP25" s="2116"/>
      <c r="GQ25" s="2116"/>
      <c r="GR25" s="2116" t="e">
        <v>#N/A</v>
      </c>
      <c r="GS25" s="2116"/>
      <c r="GT25" s="1960"/>
      <c r="GU25" s="1960"/>
      <c r="GV25" s="1960" t="e">
        <v>#N/A</v>
      </c>
      <c r="GW25" s="1960"/>
      <c r="GX25" s="1960"/>
      <c r="GY25" s="1960"/>
      <c r="GZ25" s="1960"/>
      <c r="HA25" s="1960"/>
      <c r="HB25" s="1960"/>
      <c r="HC25" s="1960"/>
      <c r="HD25" s="1960"/>
      <c r="HE25" s="1960"/>
      <c r="HF25" s="1960"/>
      <c r="HG25" s="1960"/>
      <c r="HH25" s="2117"/>
      <c r="HI25" s="1960"/>
      <c r="HJ25" s="1960"/>
      <c r="HK25" s="1960"/>
      <c r="HL25" s="1960"/>
      <c r="HM25" s="1960"/>
      <c r="HN25" s="1960"/>
      <c r="HO25" s="1960"/>
      <c r="HP25" s="1960"/>
      <c r="HQ25" s="1960"/>
      <c r="HR25" s="1960"/>
      <c r="HS25" s="1960"/>
      <c r="HT25" s="1962"/>
      <c r="HU25" s="1961"/>
      <c r="HV25" s="1960"/>
      <c r="HW25" s="1960"/>
      <c r="HX25" s="1960"/>
      <c r="HY25" s="1960"/>
      <c r="HZ25" s="1960"/>
      <c r="IA25" s="1960"/>
      <c r="IB25" s="1960"/>
      <c r="IC25" s="1960"/>
      <c r="ID25" s="1960"/>
      <c r="IE25" s="1960"/>
      <c r="IF25" s="1960"/>
      <c r="IG25" s="1961"/>
      <c r="IH25" s="1960"/>
      <c r="II25" s="1960"/>
      <c r="IJ25" s="1961"/>
      <c r="IK25" s="1960"/>
      <c r="IL25" s="1960"/>
      <c r="IM25" s="1960"/>
      <c r="IN25" s="1960"/>
      <c r="IO25" s="1960"/>
      <c r="IP25" s="1960"/>
      <c r="IQ25" s="1960"/>
      <c r="IR25" s="1960"/>
      <c r="IS25" s="2274"/>
      <c r="IT25" s="1960"/>
      <c r="IU25" s="1960"/>
      <c r="IV25" s="1960"/>
      <c r="IW25" s="1960"/>
      <c r="IX25" s="1960"/>
      <c r="IY25" s="1960"/>
      <c r="IZ25" s="1960"/>
      <c r="JA25" s="1960"/>
      <c r="JB25" s="1960"/>
      <c r="JC25" s="1960"/>
      <c r="JD25" s="1960"/>
      <c r="JE25" s="2274"/>
      <c r="JF25" s="2117"/>
      <c r="JG25" s="2103" t="e">
        <f t="shared" si="12"/>
        <v>#DIV/0!</v>
      </c>
      <c r="JI25" s="2155"/>
      <c r="JJ25" s="2104"/>
    </row>
    <row r="26" spans="2:270" ht="31.5" hidden="1">
      <c r="B26" s="2105" t="s">
        <v>330</v>
      </c>
      <c r="C26" s="2106"/>
      <c r="D26" s="2425"/>
      <c r="E26" s="2107" t="s">
        <v>561</v>
      </c>
      <c r="F26" s="2106"/>
      <c r="G26" s="2106" t="s">
        <v>906</v>
      </c>
      <c r="H26" s="2106" t="s">
        <v>497</v>
      </c>
      <c r="I26" s="2106"/>
      <c r="J26" s="2359"/>
      <c r="K26" s="2425" t="s">
        <v>844</v>
      </c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  <c r="AH26" s="2110"/>
      <c r="AI26" s="2110"/>
      <c r="AJ26" s="2110"/>
      <c r="AK26" s="2110"/>
      <c r="AL26" s="2110"/>
      <c r="AM26" s="2110"/>
      <c r="AN26" s="2110"/>
      <c r="AO26" s="2110"/>
      <c r="AP26" s="2110"/>
      <c r="AQ26" s="2110"/>
      <c r="AR26" s="2110"/>
      <c r="AS26" s="2110"/>
      <c r="AT26" s="2110"/>
      <c r="AU26" s="2110"/>
      <c r="AV26" s="2110"/>
      <c r="AW26" s="2111"/>
      <c r="AX26" s="2111"/>
      <c r="AY26" s="2111"/>
      <c r="AZ26" s="2111"/>
      <c r="BA26" s="2111"/>
      <c r="BB26" s="2111"/>
      <c r="BC26" s="2111"/>
      <c r="BD26" s="2112"/>
      <c r="BE26" s="2111"/>
      <c r="BF26" s="2111"/>
      <c r="BG26" s="2111"/>
      <c r="BH26" s="2111"/>
      <c r="BI26" s="2108"/>
      <c r="BJ26" s="2108"/>
      <c r="BK26" s="2108"/>
      <c r="BL26" s="2108"/>
      <c r="BM26" s="2108"/>
      <c r="BN26" s="2108"/>
      <c r="BO26" s="2108"/>
      <c r="BP26" s="2108"/>
      <c r="BQ26" s="2108"/>
      <c r="BR26" s="2108"/>
      <c r="BS26" s="2108"/>
      <c r="BT26" s="2108"/>
      <c r="BU26" s="2108"/>
      <c r="BV26" s="2108"/>
      <c r="BW26" s="2108"/>
      <c r="BX26" s="2108"/>
      <c r="BY26" s="2108"/>
      <c r="BZ26" s="2108"/>
      <c r="CA26" s="2108"/>
      <c r="CB26" s="2108"/>
      <c r="CC26" s="2108"/>
      <c r="CD26" s="2108"/>
      <c r="CE26" s="2108"/>
      <c r="CF26" s="2108"/>
      <c r="CG26" s="2108"/>
      <c r="CH26" s="2108"/>
      <c r="CI26" s="2108"/>
      <c r="CJ26" s="2108"/>
      <c r="CK26" s="2108">
        <v>0.42599999999999999</v>
      </c>
      <c r="CL26" s="2108"/>
      <c r="CM26" s="2108">
        <v>0.42599999999999999</v>
      </c>
      <c r="CN26" s="2108"/>
      <c r="CO26" s="2108">
        <v>0.56799999999999995</v>
      </c>
      <c r="CP26" s="2108"/>
      <c r="CQ26" s="2108"/>
      <c r="CR26" s="2108"/>
      <c r="CS26" s="2108"/>
      <c r="CT26" s="2108"/>
      <c r="CU26" s="2108"/>
      <c r="CV26" s="2108"/>
      <c r="CW26" s="2108">
        <v>1.0227272727272727</v>
      </c>
      <c r="CX26" s="2108"/>
      <c r="CY26" s="2108"/>
      <c r="CZ26" s="2108"/>
      <c r="DA26" s="2108"/>
      <c r="DB26" s="2108"/>
      <c r="DC26" s="2108"/>
      <c r="DD26" s="2108"/>
      <c r="DE26" s="2108"/>
      <c r="DF26" s="2108"/>
      <c r="DG26" s="2108"/>
      <c r="DH26" s="2108"/>
      <c r="DI26" s="2108"/>
      <c r="DJ26" s="2108"/>
      <c r="DK26" s="2108"/>
      <c r="DL26" s="2108"/>
      <c r="DM26" s="2108"/>
      <c r="DN26" s="2108"/>
      <c r="DO26" s="2108"/>
      <c r="DP26" s="2108"/>
      <c r="DQ26" s="2108"/>
      <c r="DR26" s="2108"/>
      <c r="DS26" s="2108"/>
      <c r="DT26" s="2108"/>
      <c r="DU26" s="2108"/>
      <c r="DV26" s="2108"/>
      <c r="DW26" s="2108"/>
      <c r="DX26" s="2108"/>
      <c r="DY26" s="2108"/>
      <c r="DZ26" s="2108"/>
      <c r="EA26" s="2108"/>
      <c r="EB26" s="2108"/>
      <c r="EC26" s="2108"/>
      <c r="ED26" s="2108"/>
      <c r="EE26" s="2108"/>
      <c r="EF26" s="2108"/>
      <c r="EG26" s="2108"/>
      <c r="EH26" s="2108"/>
      <c r="EI26" s="2108"/>
      <c r="EJ26" s="2108"/>
      <c r="EK26" s="2108"/>
      <c r="EL26" s="2108"/>
      <c r="EM26" s="2108"/>
      <c r="EN26" s="2108"/>
      <c r="EO26" s="2108"/>
      <c r="EP26" s="2108"/>
      <c r="EQ26" s="2108"/>
      <c r="ER26" s="2108"/>
      <c r="ES26" s="2108"/>
      <c r="ET26" s="2108"/>
      <c r="EU26" s="2108"/>
      <c r="EV26" s="2108"/>
      <c r="EW26" s="2108"/>
      <c r="EX26" s="2108"/>
      <c r="EY26" s="2108"/>
      <c r="EZ26" s="2108"/>
      <c r="FA26" s="2108"/>
      <c r="FB26" s="2108"/>
      <c r="FC26" s="2108"/>
      <c r="FD26" s="2108"/>
      <c r="FE26" s="2108"/>
      <c r="FF26" s="2108"/>
      <c r="FG26" s="2108"/>
      <c r="FH26" s="2108"/>
      <c r="FI26" s="2108"/>
      <c r="FJ26" s="2108"/>
      <c r="FK26" s="2108"/>
      <c r="FL26" s="2108"/>
      <c r="FM26" s="2108"/>
      <c r="FN26" s="2108"/>
      <c r="FO26" s="2108"/>
      <c r="FP26" s="2108"/>
      <c r="FQ26" s="2108"/>
      <c r="FR26" s="2108"/>
      <c r="FS26" s="2108"/>
      <c r="FT26" s="2108"/>
      <c r="FU26" s="2108"/>
      <c r="FV26" s="2108"/>
      <c r="FW26" s="2113" t="s">
        <v>481</v>
      </c>
      <c r="FX26" s="2113" t="s">
        <v>481</v>
      </c>
      <c r="FY26" s="2113" t="s">
        <v>481</v>
      </c>
      <c r="FZ26" s="2113" t="s">
        <v>481</v>
      </c>
      <c r="GA26" s="2113" t="s">
        <v>481</v>
      </c>
      <c r="GB26" s="2114"/>
      <c r="GC26" s="2113"/>
      <c r="GD26" s="2113"/>
      <c r="GE26" s="2113"/>
      <c r="GF26" s="2114"/>
      <c r="GG26" s="1960"/>
      <c r="GH26" s="2114"/>
      <c r="GI26" s="2114"/>
      <c r="GJ26" s="2113"/>
      <c r="GK26" s="2113"/>
      <c r="GL26" s="2113"/>
      <c r="GM26" s="2114"/>
      <c r="GN26" s="2114"/>
      <c r="GO26" s="2115"/>
      <c r="GP26" s="2116"/>
      <c r="GQ26" s="2116"/>
      <c r="GR26" s="2116">
        <v>0</v>
      </c>
      <c r="GS26" s="2116">
        <v>0</v>
      </c>
      <c r="GT26" s="1960">
        <v>0</v>
      </c>
      <c r="GU26" s="1960">
        <v>0</v>
      </c>
      <c r="GV26" s="1960" t="s">
        <v>481</v>
      </c>
      <c r="GW26" s="1960"/>
      <c r="GX26" s="1960"/>
      <c r="GY26" s="1960"/>
      <c r="GZ26" s="1960"/>
      <c r="HA26" s="1960"/>
      <c r="HB26" s="1960"/>
      <c r="HC26" s="1960"/>
      <c r="HD26" s="1960"/>
      <c r="HE26" s="1960"/>
      <c r="HF26" s="1960"/>
      <c r="HG26" s="1960"/>
      <c r="HH26" s="2117"/>
      <c r="HI26" s="1960"/>
      <c r="HJ26" s="1960"/>
      <c r="HK26" s="1960"/>
      <c r="HL26" s="1960"/>
      <c r="HM26" s="1960"/>
      <c r="HN26" s="1960"/>
      <c r="HO26" s="1960"/>
      <c r="HP26" s="1960"/>
      <c r="HQ26" s="1960"/>
      <c r="HR26" s="1960"/>
      <c r="HS26" s="1960"/>
      <c r="HT26" s="1962"/>
      <c r="HU26" s="1961"/>
      <c r="HV26" s="1960"/>
      <c r="HW26" s="1960"/>
      <c r="HX26" s="1960"/>
      <c r="HY26" s="1960"/>
      <c r="HZ26" s="1960"/>
      <c r="IA26" s="1960"/>
      <c r="IB26" s="1960"/>
      <c r="IC26" s="1960"/>
      <c r="ID26" s="1960"/>
      <c r="IE26" s="1960"/>
      <c r="IF26" s="1960"/>
      <c r="IG26" s="1961"/>
      <c r="IH26" s="1960"/>
      <c r="II26" s="1960"/>
      <c r="IJ26" s="1961"/>
      <c r="IK26" s="1960"/>
      <c r="IL26" s="1960"/>
      <c r="IM26" s="1960"/>
      <c r="IN26" s="1960"/>
      <c r="IO26" s="1960"/>
      <c r="IP26" s="1960"/>
      <c r="IQ26" s="1960"/>
      <c r="IR26" s="1960"/>
      <c r="IS26" s="2274"/>
      <c r="IT26" s="1960"/>
      <c r="IU26" s="1960"/>
      <c r="IV26" s="1960"/>
      <c r="IW26" s="1960"/>
      <c r="IX26" s="1960"/>
      <c r="IY26" s="1960"/>
      <c r="IZ26" s="1960"/>
      <c r="JA26" s="1960"/>
      <c r="JB26" s="1960"/>
      <c r="JC26" s="1960"/>
      <c r="JD26" s="1960"/>
      <c r="JE26" s="2274"/>
      <c r="JF26" s="2117"/>
      <c r="JG26" s="2103" t="e">
        <f t="shared" si="12"/>
        <v>#DIV/0!</v>
      </c>
      <c r="JI26" s="2155"/>
      <c r="JJ26" s="2104"/>
    </row>
    <row r="27" spans="2:270" hidden="1">
      <c r="B27" s="2105" t="s">
        <v>331</v>
      </c>
      <c r="C27" s="2106"/>
      <c r="D27" s="2425"/>
      <c r="E27" s="2107" t="s">
        <v>562</v>
      </c>
      <c r="F27" s="2106"/>
      <c r="G27" s="2106" t="s">
        <v>906</v>
      </c>
      <c r="H27" s="2106" t="s">
        <v>497</v>
      </c>
      <c r="I27" s="2106"/>
      <c r="J27" s="2359"/>
      <c r="K27" s="2425"/>
      <c r="L27" s="2110"/>
      <c r="M27" s="2110"/>
      <c r="N27" s="2110"/>
      <c r="O27" s="2110"/>
      <c r="P27" s="2110"/>
      <c r="Q27" s="2110"/>
      <c r="R27" s="2110"/>
      <c r="S27" s="2110"/>
      <c r="T27" s="2110"/>
      <c r="U27" s="2110"/>
      <c r="V27" s="2110"/>
      <c r="W27" s="2110"/>
      <c r="X27" s="2110"/>
      <c r="Y27" s="2110"/>
      <c r="Z27" s="2110"/>
      <c r="AA27" s="2110"/>
      <c r="AB27" s="2110"/>
      <c r="AC27" s="2110"/>
      <c r="AD27" s="2110"/>
      <c r="AE27" s="2110"/>
      <c r="AF27" s="2110"/>
      <c r="AG27" s="2110"/>
      <c r="AH27" s="2110"/>
      <c r="AI27" s="2110"/>
      <c r="AJ27" s="2110"/>
      <c r="AK27" s="2110"/>
      <c r="AL27" s="2110"/>
      <c r="AM27" s="2110"/>
      <c r="AN27" s="2110"/>
      <c r="AO27" s="2110"/>
      <c r="AP27" s="2110"/>
      <c r="AQ27" s="2110"/>
      <c r="AR27" s="2110"/>
      <c r="AS27" s="2110"/>
      <c r="AT27" s="2110"/>
      <c r="AU27" s="2110"/>
      <c r="AV27" s="2110"/>
      <c r="AW27" s="2111"/>
      <c r="AX27" s="2111"/>
      <c r="AY27" s="2111"/>
      <c r="AZ27" s="2111"/>
      <c r="BA27" s="2111"/>
      <c r="BB27" s="2111"/>
      <c r="BC27" s="2111"/>
      <c r="BD27" s="2112"/>
      <c r="BE27" s="2111"/>
      <c r="BF27" s="2111"/>
      <c r="BG27" s="2111"/>
      <c r="BH27" s="2111"/>
      <c r="BI27" s="2108"/>
      <c r="BJ27" s="2108"/>
      <c r="BK27" s="2108"/>
      <c r="BL27" s="2108"/>
      <c r="BM27" s="2108"/>
      <c r="BN27" s="2108"/>
      <c r="BO27" s="2108"/>
      <c r="BP27" s="2108"/>
      <c r="BQ27" s="2108"/>
      <c r="BR27" s="2108"/>
      <c r="BS27" s="2108"/>
      <c r="BT27" s="2108"/>
      <c r="BU27" s="2108"/>
      <c r="BV27" s="2108"/>
      <c r="BW27" s="2108"/>
      <c r="BX27" s="2108"/>
      <c r="BY27" s="2108"/>
      <c r="BZ27" s="2108"/>
      <c r="CA27" s="2108"/>
      <c r="CB27" s="2108"/>
      <c r="CC27" s="2108"/>
      <c r="CD27" s="2108"/>
      <c r="CE27" s="2108"/>
      <c r="CF27" s="2108"/>
      <c r="CG27" s="2108"/>
      <c r="CH27" s="2108"/>
      <c r="CI27" s="2108"/>
      <c r="CJ27" s="2108"/>
      <c r="CK27" s="2108">
        <v>0.42599999999999999</v>
      </c>
      <c r="CL27" s="2108"/>
      <c r="CM27" s="2108">
        <v>0.42599999999999999</v>
      </c>
      <c r="CN27" s="2108"/>
      <c r="CO27" s="2108">
        <v>0.56799999999999995</v>
      </c>
      <c r="CP27" s="2108"/>
      <c r="CQ27" s="2108"/>
      <c r="CR27" s="2108"/>
      <c r="CS27" s="2108"/>
      <c r="CT27" s="2108"/>
      <c r="CU27" s="2108"/>
      <c r="CV27" s="2108"/>
      <c r="CW27" s="2108">
        <v>1.0227272727272727</v>
      </c>
      <c r="CX27" s="2108"/>
      <c r="CY27" s="2108"/>
      <c r="CZ27" s="2108"/>
      <c r="DA27" s="2108"/>
      <c r="DB27" s="2108"/>
      <c r="DC27" s="2108"/>
      <c r="DD27" s="2108"/>
      <c r="DE27" s="2108"/>
      <c r="DF27" s="2108"/>
      <c r="DG27" s="2108"/>
      <c r="DH27" s="2108"/>
      <c r="DI27" s="2108"/>
      <c r="DJ27" s="2108"/>
      <c r="DK27" s="2108"/>
      <c r="DL27" s="2108"/>
      <c r="DM27" s="2108"/>
      <c r="DN27" s="2108"/>
      <c r="DO27" s="2108"/>
      <c r="DP27" s="2108"/>
      <c r="DQ27" s="2108"/>
      <c r="DR27" s="2108"/>
      <c r="DS27" s="2108"/>
      <c r="DT27" s="2108"/>
      <c r="DU27" s="2108"/>
      <c r="DV27" s="2108"/>
      <c r="DW27" s="2108"/>
      <c r="DX27" s="2108"/>
      <c r="DY27" s="2108"/>
      <c r="DZ27" s="2108"/>
      <c r="EA27" s="2108"/>
      <c r="EB27" s="2108"/>
      <c r="EC27" s="2108"/>
      <c r="ED27" s="2108"/>
      <c r="EE27" s="2108"/>
      <c r="EF27" s="2108"/>
      <c r="EG27" s="2108"/>
      <c r="EH27" s="2108"/>
      <c r="EI27" s="2108"/>
      <c r="EJ27" s="2108"/>
      <c r="EK27" s="2108"/>
      <c r="EL27" s="2108"/>
      <c r="EM27" s="2108"/>
      <c r="EN27" s="2108"/>
      <c r="EO27" s="2108"/>
      <c r="EP27" s="2108"/>
      <c r="EQ27" s="2108"/>
      <c r="ER27" s="2108"/>
      <c r="ES27" s="2108"/>
      <c r="ET27" s="2108"/>
      <c r="EU27" s="2108"/>
      <c r="EV27" s="2108"/>
      <c r="EW27" s="2108"/>
      <c r="EX27" s="2108"/>
      <c r="EY27" s="2108"/>
      <c r="EZ27" s="2108"/>
      <c r="FA27" s="2108"/>
      <c r="FB27" s="2108"/>
      <c r="FC27" s="2108"/>
      <c r="FD27" s="2108"/>
      <c r="FE27" s="2108"/>
      <c r="FF27" s="2108"/>
      <c r="FG27" s="2108"/>
      <c r="FH27" s="2108"/>
      <c r="FI27" s="2108"/>
      <c r="FJ27" s="2108"/>
      <c r="FK27" s="2108"/>
      <c r="FL27" s="2108"/>
      <c r="FM27" s="2108"/>
      <c r="FN27" s="2108"/>
      <c r="FO27" s="2108"/>
      <c r="FP27" s="2108"/>
      <c r="FQ27" s="2108"/>
      <c r="FR27" s="2108"/>
      <c r="FS27" s="2108"/>
      <c r="FT27" s="2108"/>
      <c r="FU27" s="2108"/>
      <c r="FV27" s="2108"/>
      <c r="FW27" s="2113" t="s">
        <v>481</v>
      </c>
      <c r="FX27" s="2113" t="s">
        <v>481</v>
      </c>
      <c r="FY27" s="2113" t="s">
        <v>481</v>
      </c>
      <c r="FZ27" s="2113" t="s">
        <v>481</v>
      </c>
      <c r="GA27" s="2113" t="s">
        <v>481</v>
      </c>
      <c r="GB27" s="2114"/>
      <c r="GC27" s="2113"/>
      <c r="GD27" s="2113"/>
      <c r="GE27" s="2113"/>
      <c r="GF27" s="2114"/>
      <c r="GG27" s="1960"/>
      <c r="GH27" s="2114"/>
      <c r="GI27" s="2114"/>
      <c r="GJ27" s="2113"/>
      <c r="GK27" s="2113"/>
      <c r="GL27" s="2113"/>
      <c r="GM27" s="2114"/>
      <c r="GN27" s="2114"/>
      <c r="GO27" s="2115"/>
      <c r="GP27" s="2116"/>
      <c r="GQ27" s="2116"/>
      <c r="GR27" s="2116">
        <v>0</v>
      </c>
      <c r="GS27" s="2116">
        <v>0</v>
      </c>
      <c r="GT27" s="1960">
        <v>0</v>
      </c>
      <c r="GU27" s="1960">
        <v>0</v>
      </c>
      <c r="GV27" s="1960" t="s">
        <v>481</v>
      </c>
      <c r="GW27" s="1960"/>
      <c r="GX27" s="1960"/>
      <c r="GY27" s="1960"/>
      <c r="GZ27" s="1960"/>
      <c r="HA27" s="1960"/>
      <c r="HB27" s="1960"/>
      <c r="HC27" s="1960"/>
      <c r="HD27" s="1960"/>
      <c r="HE27" s="1960"/>
      <c r="HF27" s="1960"/>
      <c r="HG27" s="1960"/>
      <c r="HH27" s="2117"/>
      <c r="HI27" s="1960"/>
      <c r="HJ27" s="1960"/>
      <c r="HK27" s="1960"/>
      <c r="HL27" s="1960"/>
      <c r="HM27" s="1960"/>
      <c r="HN27" s="1960"/>
      <c r="HO27" s="1960"/>
      <c r="HP27" s="1960"/>
      <c r="HQ27" s="1960"/>
      <c r="HR27" s="1960"/>
      <c r="HS27" s="1960"/>
      <c r="HT27" s="1962"/>
      <c r="HU27" s="1961"/>
      <c r="HV27" s="1960"/>
      <c r="HW27" s="1960"/>
      <c r="HX27" s="1960"/>
      <c r="HY27" s="1960"/>
      <c r="HZ27" s="1960"/>
      <c r="IA27" s="1960"/>
      <c r="IB27" s="1960"/>
      <c r="IC27" s="1960"/>
      <c r="ID27" s="1960"/>
      <c r="IE27" s="1960"/>
      <c r="IF27" s="1960"/>
      <c r="IG27" s="1961"/>
      <c r="IH27" s="1960"/>
      <c r="II27" s="1960"/>
      <c r="IJ27" s="1961"/>
      <c r="IK27" s="1960"/>
      <c r="IL27" s="1960"/>
      <c r="IM27" s="1960"/>
      <c r="IN27" s="1960"/>
      <c r="IO27" s="1960"/>
      <c r="IP27" s="1960"/>
      <c r="IQ27" s="1960"/>
      <c r="IR27" s="1960"/>
      <c r="IS27" s="2274"/>
      <c r="IT27" s="1960"/>
      <c r="IU27" s="1960"/>
      <c r="IV27" s="1960"/>
      <c r="IW27" s="1960"/>
      <c r="IX27" s="1960"/>
      <c r="IY27" s="1960"/>
      <c r="IZ27" s="1960"/>
      <c r="JA27" s="1960"/>
      <c r="JB27" s="1960"/>
      <c r="JC27" s="1960"/>
      <c r="JD27" s="1960"/>
      <c r="JE27" s="2274"/>
      <c r="JF27" s="2117"/>
      <c r="JG27" s="2103" t="e">
        <f t="shared" si="12"/>
        <v>#DIV/0!</v>
      </c>
      <c r="JI27" s="2155"/>
      <c r="JJ27" s="2104"/>
    </row>
    <row r="28" spans="2:270" hidden="1">
      <c r="B28" s="2105" t="s">
        <v>332</v>
      </c>
      <c r="C28" s="2106"/>
      <c r="D28" s="2425"/>
      <c r="E28" s="2107" t="s">
        <v>563</v>
      </c>
      <c r="F28" s="2106"/>
      <c r="G28" s="2106" t="s">
        <v>906</v>
      </c>
      <c r="H28" s="2106" t="s">
        <v>497</v>
      </c>
      <c r="I28" s="2106"/>
      <c r="J28" s="2359"/>
      <c r="K28" s="2425"/>
      <c r="L28" s="2110"/>
      <c r="M28" s="2110"/>
      <c r="N28" s="2110"/>
      <c r="O28" s="2110"/>
      <c r="P28" s="2110"/>
      <c r="Q28" s="2110"/>
      <c r="R28" s="2110"/>
      <c r="S28" s="2110"/>
      <c r="T28" s="2110"/>
      <c r="U28" s="2110"/>
      <c r="V28" s="2110"/>
      <c r="W28" s="2110"/>
      <c r="X28" s="2110"/>
      <c r="Y28" s="2110"/>
      <c r="Z28" s="2110"/>
      <c r="AA28" s="2110"/>
      <c r="AB28" s="2110"/>
      <c r="AC28" s="2110"/>
      <c r="AD28" s="2110"/>
      <c r="AE28" s="2110"/>
      <c r="AF28" s="2110"/>
      <c r="AG28" s="2110"/>
      <c r="AH28" s="2110"/>
      <c r="AI28" s="2110"/>
      <c r="AJ28" s="2110"/>
      <c r="AK28" s="2110"/>
      <c r="AL28" s="2110"/>
      <c r="AM28" s="2110"/>
      <c r="AN28" s="2110"/>
      <c r="AO28" s="2110"/>
      <c r="AP28" s="2110"/>
      <c r="AQ28" s="2110"/>
      <c r="AR28" s="2110"/>
      <c r="AS28" s="2110"/>
      <c r="AT28" s="2110"/>
      <c r="AU28" s="2110"/>
      <c r="AV28" s="2110"/>
      <c r="AW28" s="2111"/>
      <c r="AX28" s="2111"/>
      <c r="AY28" s="2111"/>
      <c r="AZ28" s="2111"/>
      <c r="BA28" s="2111"/>
      <c r="BB28" s="2111"/>
      <c r="BC28" s="2111"/>
      <c r="BD28" s="2112"/>
      <c r="BE28" s="2111"/>
      <c r="BF28" s="2111"/>
      <c r="BG28" s="2111"/>
      <c r="BH28" s="2111"/>
      <c r="BI28" s="2108"/>
      <c r="BJ28" s="2108"/>
      <c r="BK28" s="2108"/>
      <c r="BL28" s="2108"/>
      <c r="BM28" s="2108"/>
      <c r="BN28" s="2108"/>
      <c r="BO28" s="2108"/>
      <c r="BP28" s="2108"/>
      <c r="BQ28" s="2108"/>
      <c r="BR28" s="2108"/>
      <c r="BS28" s="2108"/>
      <c r="BT28" s="2108"/>
      <c r="BU28" s="2108"/>
      <c r="BV28" s="2108"/>
      <c r="BW28" s="2108"/>
      <c r="BX28" s="2108"/>
      <c r="BY28" s="2108"/>
      <c r="BZ28" s="2108"/>
      <c r="CA28" s="2108"/>
      <c r="CB28" s="2108"/>
      <c r="CC28" s="2108"/>
      <c r="CD28" s="2108"/>
      <c r="CE28" s="2108"/>
      <c r="CF28" s="2108"/>
      <c r="CG28" s="2108"/>
      <c r="CH28" s="2108"/>
      <c r="CI28" s="2108"/>
      <c r="CJ28" s="2108"/>
      <c r="CK28" s="2108">
        <v>0.42599999999999999</v>
      </c>
      <c r="CL28" s="2108"/>
      <c r="CM28" s="2108">
        <v>0.42599999999999999</v>
      </c>
      <c r="CN28" s="2108"/>
      <c r="CO28" s="2108">
        <v>0.56799999999999995</v>
      </c>
      <c r="CP28" s="2108"/>
      <c r="CQ28" s="2108"/>
      <c r="CR28" s="2108"/>
      <c r="CS28" s="2108"/>
      <c r="CT28" s="2108"/>
      <c r="CU28" s="2108"/>
      <c r="CV28" s="2108"/>
      <c r="CW28" s="2108">
        <v>1.0227272727272727</v>
      </c>
      <c r="CX28" s="2108"/>
      <c r="CY28" s="2108"/>
      <c r="CZ28" s="2108"/>
      <c r="DA28" s="2108"/>
      <c r="DB28" s="2108"/>
      <c r="DC28" s="2108"/>
      <c r="DD28" s="2108"/>
      <c r="DE28" s="2108"/>
      <c r="DF28" s="2108"/>
      <c r="DG28" s="2108"/>
      <c r="DH28" s="2108"/>
      <c r="DI28" s="2108"/>
      <c r="DJ28" s="2108"/>
      <c r="DK28" s="2108"/>
      <c r="DL28" s="2108"/>
      <c r="DM28" s="2108"/>
      <c r="DN28" s="2108"/>
      <c r="DO28" s="2108"/>
      <c r="DP28" s="2108"/>
      <c r="DQ28" s="2108"/>
      <c r="DR28" s="2108"/>
      <c r="DS28" s="2108"/>
      <c r="DT28" s="2108"/>
      <c r="DU28" s="2108"/>
      <c r="DV28" s="2108"/>
      <c r="DW28" s="2108"/>
      <c r="DX28" s="2108"/>
      <c r="DY28" s="2108"/>
      <c r="DZ28" s="2108"/>
      <c r="EA28" s="2108"/>
      <c r="EB28" s="2108"/>
      <c r="EC28" s="2108"/>
      <c r="ED28" s="2108"/>
      <c r="EE28" s="2108"/>
      <c r="EF28" s="2108"/>
      <c r="EG28" s="2108"/>
      <c r="EH28" s="2108"/>
      <c r="EI28" s="2108"/>
      <c r="EJ28" s="2108"/>
      <c r="EK28" s="2108"/>
      <c r="EL28" s="2108"/>
      <c r="EM28" s="2108"/>
      <c r="EN28" s="2108"/>
      <c r="EO28" s="2108"/>
      <c r="EP28" s="2108"/>
      <c r="EQ28" s="2108"/>
      <c r="ER28" s="2108"/>
      <c r="ES28" s="2108"/>
      <c r="ET28" s="2108"/>
      <c r="EU28" s="2108"/>
      <c r="EV28" s="2108"/>
      <c r="EW28" s="2108"/>
      <c r="EX28" s="2108"/>
      <c r="EY28" s="2108"/>
      <c r="EZ28" s="2108"/>
      <c r="FA28" s="2108"/>
      <c r="FB28" s="2108"/>
      <c r="FC28" s="2108"/>
      <c r="FD28" s="2108"/>
      <c r="FE28" s="2108"/>
      <c r="FF28" s="2108"/>
      <c r="FG28" s="2108"/>
      <c r="FH28" s="2108"/>
      <c r="FI28" s="2108"/>
      <c r="FJ28" s="2108"/>
      <c r="FK28" s="2108"/>
      <c r="FL28" s="2108"/>
      <c r="FM28" s="2108"/>
      <c r="FN28" s="2108"/>
      <c r="FO28" s="2108"/>
      <c r="FP28" s="2108"/>
      <c r="FQ28" s="2108"/>
      <c r="FR28" s="2108"/>
      <c r="FS28" s="2108"/>
      <c r="FT28" s="2108"/>
      <c r="FU28" s="2108"/>
      <c r="FV28" s="2108"/>
      <c r="FW28" s="2113" t="s">
        <v>481</v>
      </c>
      <c r="FX28" s="2113" t="s">
        <v>481</v>
      </c>
      <c r="FY28" s="2113" t="s">
        <v>481</v>
      </c>
      <c r="FZ28" s="2113" t="s">
        <v>481</v>
      </c>
      <c r="GA28" s="2113" t="s">
        <v>481</v>
      </c>
      <c r="GB28" s="2114"/>
      <c r="GC28" s="2113"/>
      <c r="GD28" s="2113"/>
      <c r="GE28" s="2113"/>
      <c r="GF28" s="2114"/>
      <c r="GG28" s="1960"/>
      <c r="GH28" s="2114"/>
      <c r="GI28" s="2114"/>
      <c r="GJ28" s="2113"/>
      <c r="GK28" s="2113"/>
      <c r="GL28" s="2113"/>
      <c r="GM28" s="2114"/>
      <c r="GN28" s="2114"/>
      <c r="GO28" s="2115"/>
      <c r="GP28" s="2116"/>
      <c r="GQ28" s="2116"/>
      <c r="GR28" s="2116">
        <v>0</v>
      </c>
      <c r="GS28" s="2116">
        <v>0</v>
      </c>
      <c r="GT28" s="1960">
        <v>0</v>
      </c>
      <c r="GU28" s="1960">
        <v>0</v>
      </c>
      <c r="GV28" s="1960" t="s">
        <v>481</v>
      </c>
      <c r="GW28" s="1960"/>
      <c r="GX28" s="1960"/>
      <c r="GY28" s="1960"/>
      <c r="GZ28" s="1960"/>
      <c r="HA28" s="1960"/>
      <c r="HB28" s="1960"/>
      <c r="HC28" s="1960"/>
      <c r="HD28" s="1960"/>
      <c r="HE28" s="1960"/>
      <c r="HF28" s="1960"/>
      <c r="HG28" s="1960"/>
      <c r="HH28" s="2117"/>
      <c r="HI28" s="1960"/>
      <c r="HJ28" s="1960"/>
      <c r="HK28" s="1960"/>
      <c r="HL28" s="1960"/>
      <c r="HM28" s="1960"/>
      <c r="HN28" s="1960"/>
      <c r="HO28" s="1960"/>
      <c r="HP28" s="1960"/>
      <c r="HQ28" s="1960"/>
      <c r="HR28" s="1960"/>
      <c r="HS28" s="1960"/>
      <c r="HT28" s="1962"/>
      <c r="HU28" s="1961"/>
      <c r="HV28" s="1960"/>
      <c r="HW28" s="1960"/>
      <c r="HX28" s="1960"/>
      <c r="HY28" s="1960"/>
      <c r="HZ28" s="1960"/>
      <c r="IA28" s="1960"/>
      <c r="IB28" s="1960"/>
      <c r="IC28" s="1960"/>
      <c r="ID28" s="1960"/>
      <c r="IE28" s="1960"/>
      <c r="IF28" s="1960"/>
      <c r="IG28" s="1961"/>
      <c r="IH28" s="1960"/>
      <c r="II28" s="1960"/>
      <c r="IJ28" s="1961"/>
      <c r="IK28" s="1960"/>
      <c r="IL28" s="1960"/>
      <c r="IM28" s="1960"/>
      <c r="IN28" s="1960"/>
      <c r="IO28" s="1960"/>
      <c r="IP28" s="1960"/>
      <c r="IQ28" s="1960"/>
      <c r="IR28" s="1960"/>
      <c r="IS28" s="2274"/>
      <c r="IT28" s="1960"/>
      <c r="IU28" s="1960"/>
      <c r="IV28" s="1960"/>
      <c r="IW28" s="1960"/>
      <c r="IX28" s="1960"/>
      <c r="IY28" s="1960"/>
      <c r="IZ28" s="1960"/>
      <c r="JA28" s="1960"/>
      <c r="JB28" s="1960"/>
      <c r="JC28" s="1960"/>
      <c r="JD28" s="1960"/>
      <c r="JE28" s="2274"/>
      <c r="JF28" s="2117"/>
      <c r="JG28" s="2103" t="e">
        <f t="shared" si="12"/>
        <v>#DIV/0!</v>
      </c>
      <c r="JI28" s="2155"/>
      <c r="JJ28" s="2104"/>
    </row>
    <row r="29" spans="2:270" hidden="1">
      <c r="B29" s="2105" t="s">
        <v>333</v>
      </c>
      <c r="C29" s="2106"/>
      <c r="D29" s="2425"/>
      <c r="E29" s="2107" t="s">
        <v>564</v>
      </c>
      <c r="F29" s="2106"/>
      <c r="G29" s="2106" t="s">
        <v>906</v>
      </c>
      <c r="H29" s="2106" t="s">
        <v>497</v>
      </c>
      <c r="I29" s="2106"/>
      <c r="J29" s="2359"/>
      <c r="K29" s="2425"/>
      <c r="L29" s="2110"/>
      <c r="M29" s="2110"/>
      <c r="N29" s="2110"/>
      <c r="O29" s="2110"/>
      <c r="P29" s="2110"/>
      <c r="Q29" s="2110"/>
      <c r="R29" s="2110"/>
      <c r="S29" s="2110"/>
      <c r="T29" s="2110"/>
      <c r="U29" s="2110"/>
      <c r="V29" s="2110"/>
      <c r="W29" s="2110"/>
      <c r="X29" s="2110"/>
      <c r="Y29" s="2110"/>
      <c r="Z29" s="2110"/>
      <c r="AA29" s="2110"/>
      <c r="AB29" s="2110"/>
      <c r="AC29" s="2110"/>
      <c r="AD29" s="2110"/>
      <c r="AE29" s="2110"/>
      <c r="AF29" s="2110"/>
      <c r="AG29" s="2110"/>
      <c r="AH29" s="2110"/>
      <c r="AI29" s="2110"/>
      <c r="AJ29" s="2110"/>
      <c r="AK29" s="2110"/>
      <c r="AL29" s="2110"/>
      <c r="AM29" s="2110"/>
      <c r="AN29" s="2110"/>
      <c r="AO29" s="2110"/>
      <c r="AP29" s="2110"/>
      <c r="AQ29" s="2110"/>
      <c r="AR29" s="2110"/>
      <c r="AS29" s="2110"/>
      <c r="AT29" s="2110"/>
      <c r="AU29" s="2110"/>
      <c r="AV29" s="2110"/>
      <c r="AW29" s="2111"/>
      <c r="AX29" s="2111"/>
      <c r="AY29" s="2111"/>
      <c r="AZ29" s="2111"/>
      <c r="BA29" s="2111"/>
      <c r="BB29" s="2111"/>
      <c r="BC29" s="2111"/>
      <c r="BD29" s="2112"/>
      <c r="BE29" s="2111"/>
      <c r="BF29" s="2111"/>
      <c r="BG29" s="2111"/>
      <c r="BH29" s="2111"/>
      <c r="BI29" s="2108"/>
      <c r="BJ29" s="2108"/>
      <c r="BK29" s="2108"/>
      <c r="BL29" s="2108"/>
      <c r="BM29" s="2108"/>
      <c r="BN29" s="2108"/>
      <c r="BO29" s="2108"/>
      <c r="BP29" s="2108"/>
      <c r="BQ29" s="2108"/>
      <c r="BR29" s="2108"/>
      <c r="BS29" s="2108"/>
      <c r="BT29" s="2108"/>
      <c r="BU29" s="2108"/>
      <c r="BV29" s="2108"/>
      <c r="BW29" s="2108"/>
      <c r="BX29" s="2108"/>
      <c r="BY29" s="2108"/>
      <c r="BZ29" s="2108"/>
      <c r="CA29" s="2108"/>
      <c r="CB29" s="2108"/>
      <c r="CC29" s="2108"/>
      <c r="CD29" s="2108"/>
      <c r="CE29" s="2108"/>
      <c r="CF29" s="2108"/>
      <c r="CG29" s="2108"/>
      <c r="CH29" s="2108"/>
      <c r="CI29" s="2108"/>
      <c r="CJ29" s="2108"/>
      <c r="CK29" s="2108">
        <v>0.42599999999999999</v>
      </c>
      <c r="CL29" s="2108"/>
      <c r="CM29" s="2108">
        <v>0.42599999999999999</v>
      </c>
      <c r="CN29" s="2108"/>
      <c r="CO29" s="2108">
        <v>0.56799999999999995</v>
      </c>
      <c r="CP29" s="2108"/>
      <c r="CQ29" s="2108"/>
      <c r="CR29" s="2108"/>
      <c r="CS29" s="2108"/>
      <c r="CT29" s="2108"/>
      <c r="CU29" s="2108"/>
      <c r="CV29" s="2108"/>
      <c r="CW29" s="2108">
        <v>1.0227272727272727</v>
      </c>
      <c r="CX29" s="2108"/>
      <c r="CY29" s="2108"/>
      <c r="CZ29" s="2108"/>
      <c r="DA29" s="2108"/>
      <c r="DB29" s="2108"/>
      <c r="DC29" s="2108"/>
      <c r="DD29" s="2108"/>
      <c r="DE29" s="2108"/>
      <c r="DF29" s="2108"/>
      <c r="DG29" s="2108"/>
      <c r="DH29" s="2108"/>
      <c r="DI29" s="2108"/>
      <c r="DJ29" s="2108"/>
      <c r="DK29" s="2108"/>
      <c r="DL29" s="2108"/>
      <c r="DM29" s="2108"/>
      <c r="DN29" s="2108"/>
      <c r="DO29" s="2108"/>
      <c r="DP29" s="2108"/>
      <c r="DQ29" s="2108"/>
      <c r="DR29" s="2108"/>
      <c r="DS29" s="2108"/>
      <c r="DT29" s="2108"/>
      <c r="DU29" s="2108"/>
      <c r="DV29" s="2108"/>
      <c r="DW29" s="2108"/>
      <c r="DX29" s="2108"/>
      <c r="DY29" s="2108"/>
      <c r="DZ29" s="2108"/>
      <c r="EA29" s="2108"/>
      <c r="EB29" s="2108"/>
      <c r="EC29" s="2108"/>
      <c r="ED29" s="2108"/>
      <c r="EE29" s="2108"/>
      <c r="EF29" s="2108"/>
      <c r="EG29" s="2108"/>
      <c r="EH29" s="2108"/>
      <c r="EI29" s="2108"/>
      <c r="EJ29" s="2108"/>
      <c r="EK29" s="2108"/>
      <c r="EL29" s="2108"/>
      <c r="EM29" s="2108"/>
      <c r="EN29" s="2108"/>
      <c r="EO29" s="2108"/>
      <c r="EP29" s="2108"/>
      <c r="EQ29" s="2108"/>
      <c r="ER29" s="2108"/>
      <c r="ES29" s="2108"/>
      <c r="ET29" s="2108"/>
      <c r="EU29" s="2108"/>
      <c r="EV29" s="2108"/>
      <c r="EW29" s="2108"/>
      <c r="EX29" s="2108"/>
      <c r="EY29" s="2108"/>
      <c r="EZ29" s="2108"/>
      <c r="FA29" s="2108"/>
      <c r="FB29" s="2108"/>
      <c r="FC29" s="2108"/>
      <c r="FD29" s="2108"/>
      <c r="FE29" s="2108"/>
      <c r="FF29" s="2108"/>
      <c r="FG29" s="2108"/>
      <c r="FH29" s="2108"/>
      <c r="FI29" s="2108"/>
      <c r="FJ29" s="2108"/>
      <c r="FK29" s="2108"/>
      <c r="FL29" s="2108"/>
      <c r="FM29" s="2108"/>
      <c r="FN29" s="2108"/>
      <c r="FO29" s="2108"/>
      <c r="FP29" s="2108"/>
      <c r="FQ29" s="2108"/>
      <c r="FR29" s="2108"/>
      <c r="FS29" s="2108"/>
      <c r="FT29" s="2108"/>
      <c r="FU29" s="2108"/>
      <c r="FV29" s="2108"/>
      <c r="FW29" s="2113" t="s">
        <v>481</v>
      </c>
      <c r="FX29" s="2113" t="s">
        <v>481</v>
      </c>
      <c r="FY29" s="2113" t="s">
        <v>481</v>
      </c>
      <c r="FZ29" s="2113" t="s">
        <v>481</v>
      </c>
      <c r="GA29" s="2113" t="s">
        <v>481</v>
      </c>
      <c r="GB29" s="2114"/>
      <c r="GC29" s="2113"/>
      <c r="GD29" s="2113"/>
      <c r="GE29" s="2113"/>
      <c r="GF29" s="2114"/>
      <c r="GG29" s="1960"/>
      <c r="GH29" s="2114"/>
      <c r="GI29" s="2114"/>
      <c r="GJ29" s="2113"/>
      <c r="GK29" s="2113"/>
      <c r="GL29" s="2113"/>
      <c r="GM29" s="2114"/>
      <c r="GN29" s="2114"/>
      <c r="GO29" s="2115"/>
      <c r="GP29" s="2116"/>
      <c r="GQ29" s="2116"/>
      <c r="GR29" s="2116">
        <v>0</v>
      </c>
      <c r="GS29" s="2116">
        <v>0</v>
      </c>
      <c r="GT29" s="1960">
        <v>0</v>
      </c>
      <c r="GU29" s="1960">
        <v>0</v>
      </c>
      <c r="GV29" s="1960" t="s">
        <v>481</v>
      </c>
      <c r="GW29" s="1960"/>
      <c r="GX29" s="1960"/>
      <c r="GY29" s="1960"/>
      <c r="GZ29" s="1960"/>
      <c r="HA29" s="1960"/>
      <c r="HB29" s="1960"/>
      <c r="HC29" s="1960"/>
      <c r="HD29" s="1960"/>
      <c r="HE29" s="1960"/>
      <c r="HF29" s="1960"/>
      <c r="HG29" s="1960"/>
      <c r="HH29" s="2117"/>
      <c r="HI29" s="1960"/>
      <c r="HJ29" s="1960"/>
      <c r="HK29" s="1960"/>
      <c r="HL29" s="1960"/>
      <c r="HM29" s="1960"/>
      <c r="HN29" s="1960"/>
      <c r="HO29" s="1960"/>
      <c r="HP29" s="1960"/>
      <c r="HQ29" s="1960"/>
      <c r="HR29" s="1960"/>
      <c r="HS29" s="1960"/>
      <c r="HT29" s="1962"/>
      <c r="HU29" s="1961"/>
      <c r="HV29" s="1960"/>
      <c r="HW29" s="1960"/>
      <c r="HX29" s="1960"/>
      <c r="HY29" s="1960"/>
      <c r="HZ29" s="1960"/>
      <c r="IA29" s="1960"/>
      <c r="IB29" s="1960"/>
      <c r="IC29" s="1960"/>
      <c r="ID29" s="1960"/>
      <c r="IE29" s="1960"/>
      <c r="IF29" s="1960"/>
      <c r="IG29" s="1961"/>
      <c r="IH29" s="1960"/>
      <c r="II29" s="1960"/>
      <c r="IJ29" s="1961"/>
      <c r="IK29" s="1960"/>
      <c r="IL29" s="1960"/>
      <c r="IM29" s="1960"/>
      <c r="IN29" s="1960"/>
      <c r="IO29" s="1960"/>
      <c r="IP29" s="1960"/>
      <c r="IQ29" s="1960"/>
      <c r="IR29" s="1960"/>
      <c r="IS29" s="2274"/>
      <c r="IT29" s="1960"/>
      <c r="IU29" s="1960"/>
      <c r="IV29" s="1960"/>
      <c r="IW29" s="1960"/>
      <c r="IX29" s="1960"/>
      <c r="IY29" s="1960"/>
      <c r="IZ29" s="1960"/>
      <c r="JA29" s="1960"/>
      <c r="JB29" s="1960"/>
      <c r="JC29" s="1960"/>
      <c r="JD29" s="1960"/>
      <c r="JE29" s="2274"/>
      <c r="JF29" s="2117"/>
      <c r="JG29" s="2103" t="e">
        <f t="shared" si="12"/>
        <v>#DIV/0!</v>
      </c>
      <c r="JI29" s="2155"/>
      <c r="JJ29" s="2104"/>
    </row>
    <row r="30" spans="2:270" hidden="1">
      <c r="B30" s="2129"/>
      <c r="C30" s="2122"/>
      <c r="D30" s="2120"/>
      <c r="E30" s="2130"/>
      <c r="F30" s="2122"/>
      <c r="G30" s="2122"/>
      <c r="H30" s="2122"/>
      <c r="I30" s="2122"/>
      <c r="J30" s="2121"/>
      <c r="K30" s="2120"/>
      <c r="L30" s="2123"/>
      <c r="M30" s="2123"/>
      <c r="N30" s="2123"/>
      <c r="O30" s="2123"/>
      <c r="P30" s="2123"/>
      <c r="Q30" s="2123"/>
      <c r="R30" s="2123"/>
      <c r="S30" s="2123"/>
      <c r="T30" s="2123"/>
      <c r="U30" s="2123"/>
      <c r="V30" s="2123"/>
      <c r="W30" s="2123"/>
      <c r="X30" s="2123"/>
      <c r="Y30" s="2123"/>
      <c r="Z30" s="2123"/>
      <c r="AA30" s="2123"/>
      <c r="AB30" s="2123"/>
      <c r="AC30" s="2123"/>
      <c r="AD30" s="2123"/>
      <c r="AE30" s="2123"/>
      <c r="AF30" s="2123"/>
      <c r="AG30" s="2123"/>
      <c r="AH30" s="2123"/>
      <c r="AI30" s="2123"/>
      <c r="AJ30" s="2123"/>
      <c r="AK30" s="2123"/>
      <c r="AL30" s="2123"/>
      <c r="AM30" s="2123"/>
      <c r="AN30" s="2123"/>
      <c r="AO30" s="2123"/>
      <c r="AP30" s="2123"/>
      <c r="AQ30" s="2123"/>
      <c r="AR30" s="2123"/>
      <c r="AS30" s="2123"/>
      <c r="AT30" s="2123"/>
      <c r="AU30" s="2123"/>
      <c r="AV30" s="2123"/>
      <c r="AW30" s="2124"/>
      <c r="AX30" s="2124"/>
      <c r="AY30" s="2124"/>
      <c r="AZ30" s="2124"/>
      <c r="BA30" s="2124"/>
      <c r="BB30" s="2124"/>
      <c r="BC30" s="2124"/>
      <c r="BD30" s="2125"/>
      <c r="BE30" s="2124"/>
      <c r="BF30" s="2124"/>
      <c r="BG30" s="2124"/>
      <c r="BH30" s="2124"/>
      <c r="BI30" s="2126"/>
      <c r="BJ30" s="2126"/>
      <c r="BK30" s="2126"/>
      <c r="BL30" s="2126"/>
      <c r="BM30" s="2126"/>
      <c r="BN30" s="2126"/>
      <c r="BO30" s="2126"/>
      <c r="BP30" s="2126"/>
      <c r="BQ30" s="2126"/>
      <c r="BR30" s="2126"/>
      <c r="BS30" s="2126"/>
      <c r="BT30" s="2126"/>
      <c r="BU30" s="2126"/>
      <c r="BV30" s="2126"/>
      <c r="BW30" s="2126"/>
      <c r="BX30" s="2126"/>
      <c r="BY30" s="2126"/>
      <c r="BZ30" s="2126"/>
      <c r="CA30" s="2126"/>
      <c r="CB30" s="2126"/>
      <c r="CC30" s="2126"/>
      <c r="CD30" s="2126"/>
      <c r="CE30" s="2126"/>
      <c r="CF30" s="2126"/>
      <c r="CG30" s="2126"/>
      <c r="CH30" s="2126"/>
      <c r="CI30" s="2126"/>
      <c r="CJ30" s="2126"/>
      <c r="CK30" s="2126"/>
      <c r="CL30" s="2126"/>
      <c r="CM30" s="2126"/>
      <c r="CN30" s="2126"/>
      <c r="CO30" s="2126"/>
      <c r="CP30" s="2126"/>
      <c r="CQ30" s="2126"/>
      <c r="CR30" s="2126"/>
      <c r="CS30" s="2126"/>
      <c r="CT30" s="2126"/>
      <c r="CU30" s="2126"/>
      <c r="CV30" s="2126"/>
      <c r="CW30" s="2126"/>
      <c r="CX30" s="2126"/>
      <c r="CY30" s="2126"/>
      <c r="CZ30" s="2126"/>
      <c r="DA30" s="2126"/>
      <c r="DB30" s="2126"/>
      <c r="DC30" s="2126"/>
      <c r="DD30" s="2126"/>
      <c r="DE30" s="2126"/>
      <c r="DF30" s="2126"/>
      <c r="DG30" s="2126"/>
      <c r="DH30" s="2126"/>
      <c r="DI30" s="2126"/>
      <c r="DJ30" s="2126"/>
      <c r="DK30" s="2126"/>
      <c r="DL30" s="2126"/>
      <c r="DM30" s="2126"/>
      <c r="DN30" s="2126"/>
      <c r="DO30" s="2126"/>
      <c r="DP30" s="2126"/>
      <c r="DQ30" s="2126"/>
      <c r="DR30" s="2126"/>
      <c r="DS30" s="2126"/>
      <c r="DT30" s="2126"/>
      <c r="DU30" s="2126"/>
      <c r="DV30" s="2126"/>
      <c r="DW30" s="2126"/>
      <c r="DX30" s="2126"/>
      <c r="DY30" s="2126"/>
      <c r="DZ30" s="2126"/>
      <c r="EA30" s="2126"/>
      <c r="EB30" s="2126"/>
      <c r="EC30" s="2126"/>
      <c r="ED30" s="2126"/>
      <c r="EE30" s="2126"/>
      <c r="EF30" s="2126"/>
      <c r="EG30" s="2126"/>
      <c r="EH30" s="2126"/>
      <c r="EI30" s="2126"/>
      <c r="EJ30" s="2126"/>
      <c r="EK30" s="2126"/>
      <c r="EL30" s="2126"/>
      <c r="EM30" s="2126"/>
      <c r="EN30" s="2126"/>
      <c r="EO30" s="2126"/>
      <c r="EP30" s="2126"/>
      <c r="EQ30" s="2126"/>
      <c r="ER30" s="2126"/>
      <c r="ES30" s="2126"/>
      <c r="ET30" s="2126"/>
      <c r="EU30" s="2126"/>
      <c r="EV30" s="2126"/>
      <c r="EW30" s="2126"/>
      <c r="EX30" s="2126"/>
      <c r="EY30" s="2126"/>
      <c r="EZ30" s="2126"/>
      <c r="FA30" s="2126"/>
      <c r="FB30" s="2126"/>
      <c r="FC30" s="2126"/>
      <c r="FD30" s="2126"/>
      <c r="FE30" s="2126"/>
      <c r="FF30" s="2126"/>
      <c r="FG30" s="2126"/>
      <c r="FH30" s="2126"/>
      <c r="FI30" s="2126"/>
      <c r="FJ30" s="2126"/>
      <c r="FK30" s="2126"/>
      <c r="FL30" s="2126"/>
      <c r="FM30" s="2126"/>
      <c r="FN30" s="2126"/>
      <c r="FO30" s="2126"/>
      <c r="FP30" s="2126"/>
      <c r="FQ30" s="2126"/>
      <c r="FR30" s="2126"/>
      <c r="FS30" s="2126"/>
      <c r="FT30" s="2126"/>
      <c r="FU30" s="2126"/>
      <c r="FV30" s="2126"/>
      <c r="FW30" s="2113" t="s">
        <v>481</v>
      </c>
      <c r="FX30" s="2113" t="s">
        <v>481</v>
      </c>
      <c r="FY30" s="2113" t="s">
        <v>481</v>
      </c>
      <c r="FZ30" s="2113" t="s">
        <v>481</v>
      </c>
      <c r="GA30" s="2113" t="s">
        <v>481</v>
      </c>
      <c r="GB30" s="2114"/>
      <c r="GC30" s="2113"/>
      <c r="GD30" s="2113"/>
      <c r="GE30" s="2113"/>
      <c r="GF30" s="2114"/>
      <c r="GG30" s="1960"/>
      <c r="GH30" s="2114"/>
      <c r="GI30" s="2114"/>
      <c r="GJ30" s="2113"/>
      <c r="GK30" s="2113"/>
      <c r="GL30" s="2113"/>
      <c r="GM30" s="2114"/>
      <c r="GN30" s="2114"/>
      <c r="GO30" s="2115"/>
      <c r="GP30" s="2116"/>
      <c r="GQ30" s="2116"/>
      <c r="GR30" s="2116" t="e">
        <v>#N/A</v>
      </c>
      <c r="GS30" s="2116"/>
      <c r="GT30" s="1960"/>
      <c r="GU30" s="1960"/>
      <c r="GV30" s="1960" t="e">
        <v>#N/A</v>
      </c>
      <c r="GW30" s="1960"/>
      <c r="GX30" s="1960"/>
      <c r="GY30" s="1960"/>
      <c r="GZ30" s="1960"/>
      <c r="HA30" s="1960"/>
      <c r="HB30" s="1960"/>
      <c r="HC30" s="1960"/>
      <c r="HD30" s="1960"/>
      <c r="HE30" s="1960"/>
      <c r="HF30" s="1960"/>
      <c r="HG30" s="1960"/>
      <c r="HH30" s="2117"/>
      <c r="HI30" s="1960"/>
      <c r="HJ30" s="1960"/>
      <c r="HK30" s="1960"/>
      <c r="HL30" s="1960"/>
      <c r="HM30" s="1960"/>
      <c r="HN30" s="1960"/>
      <c r="HO30" s="1960"/>
      <c r="HP30" s="1960"/>
      <c r="HQ30" s="1960"/>
      <c r="HR30" s="1960"/>
      <c r="HS30" s="1960"/>
      <c r="HT30" s="1962"/>
      <c r="HU30" s="1961"/>
      <c r="HV30" s="1960"/>
      <c r="HW30" s="1960"/>
      <c r="HX30" s="1960"/>
      <c r="HY30" s="1960"/>
      <c r="HZ30" s="1960"/>
      <c r="IA30" s="1960"/>
      <c r="IB30" s="1960"/>
      <c r="IC30" s="1960"/>
      <c r="ID30" s="1960"/>
      <c r="IE30" s="1960"/>
      <c r="IF30" s="1960"/>
      <c r="IG30" s="1961"/>
      <c r="IH30" s="1960"/>
      <c r="II30" s="1960"/>
      <c r="IJ30" s="1961"/>
      <c r="IK30" s="1960"/>
      <c r="IL30" s="1960"/>
      <c r="IM30" s="1960"/>
      <c r="IN30" s="1960"/>
      <c r="IO30" s="1960"/>
      <c r="IP30" s="1960"/>
      <c r="IQ30" s="1960"/>
      <c r="IR30" s="1960"/>
      <c r="IS30" s="2274"/>
      <c r="IT30" s="1960"/>
      <c r="IU30" s="1960"/>
      <c r="IV30" s="1960"/>
      <c r="IW30" s="1960"/>
      <c r="IX30" s="1960"/>
      <c r="IY30" s="1960"/>
      <c r="IZ30" s="1960"/>
      <c r="JA30" s="1960"/>
      <c r="JB30" s="1960"/>
      <c r="JC30" s="1960"/>
      <c r="JD30" s="1960"/>
      <c r="JE30" s="2274"/>
      <c r="JF30" s="2117"/>
      <c r="JG30" s="2103" t="e">
        <f t="shared" si="12"/>
        <v>#DIV/0!</v>
      </c>
      <c r="JI30" s="2155"/>
      <c r="JJ30" s="2104"/>
    </row>
    <row r="31" spans="2:270" hidden="1">
      <c r="B31" s="2131" t="s">
        <v>473</v>
      </c>
      <c r="C31" s="2106"/>
      <c r="D31" s="2425"/>
      <c r="E31" s="2132" t="s">
        <v>845</v>
      </c>
      <c r="F31" s="2106"/>
      <c r="G31" s="2106" t="s">
        <v>906</v>
      </c>
      <c r="H31" s="2106" t="s">
        <v>497</v>
      </c>
      <c r="I31" s="2106"/>
      <c r="J31" s="2425"/>
      <c r="K31" s="2564" t="s">
        <v>1307</v>
      </c>
      <c r="L31" s="2108"/>
      <c r="M31" s="2108"/>
      <c r="N31" s="2108"/>
      <c r="O31" s="2108"/>
      <c r="P31" s="2108"/>
      <c r="Q31" s="2108"/>
      <c r="R31" s="2108"/>
      <c r="S31" s="2108"/>
      <c r="T31" s="2108"/>
      <c r="U31" s="2108"/>
      <c r="V31" s="2108"/>
      <c r="W31" s="2109"/>
      <c r="X31" s="2109"/>
      <c r="Y31" s="2109"/>
      <c r="Z31" s="2109"/>
      <c r="AA31" s="2110"/>
      <c r="AB31" s="2110"/>
      <c r="AC31" s="2110"/>
      <c r="AD31" s="2110"/>
      <c r="AE31" s="2110"/>
      <c r="AF31" s="2110"/>
      <c r="AG31" s="2109"/>
      <c r="AH31" s="2109"/>
      <c r="AI31" s="2110"/>
      <c r="AJ31" s="2110"/>
      <c r="AK31" s="2109"/>
      <c r="AL31" s="2109"/>
      <c r="AM31" s="2109"/>
      <c r="AN31" s="2109"/>
      <c r="AO31" s="2109"/>
      <c r="AP31" s="2109"/>
      <c r="AQ31" s="2110"/>
      <c r="AR31" s="2110"/>
      <c r="AS31" s="2110"/>
      <c r="AT31" s="2110"/>
      <c r="AU31" s="2110"/>
      <c r="AV31" s="2110"/>
      <c r="AW31" s="2111"/>
      <c r="AX31" s="2111"/>
      <c r="AY31" s="2111"/>
      <c r="AZ31" s="2111"/>
      <c r="BA31" s="2111"/>
      <c r="BB31" s="2111"/>
      <c r="BC31" s="2111"/>
      <c r="BD31" s="2112"/>
      <c r="BE31" s="2111"/>
      <c r="BF31" s="2112"/>
      <c r="BG31" s="2112"/>
      <c r="BH31" s="2112"/>
      <c r="BI31" s="2108"/>
      <c r="BJ31" s="2108"/>
      <c r="BK31" s="2108"/>
      <c r="BL31" s="2108"/>
      <c r="BM31" s="2108"/>
      <c r="BN31" s="2108"/>
      <c r="BO31" s="2108"/>
      <c r="BP31" s="2108"/>
      <c r="BQ31" s="2108"/>
      <c r="BR31" s="2108"/>
      <c r="BS31" s="2108"/>
      <c r="BT31" s="2108"/>
      <c r="BU31" s="2108"/>
      <c r="BV31" s="2108"/>
      <c r="BW31" s="2108"/>
      <c r="BX31" s="2108"/>
      <c r="BY31" s="2108"/>
      <c r="BZ31" s="2108"/>
      <c r="CA31" s="2108"/>
      <c r="CB31" s="2108"/>
      <c r="CC31" s="2108"/>
      <c r="CD31" s="2108"/>
      <c r="CE31" s="2108"/>
      <c r="CF31" s="2108"/>
      <c r="CG31" s="2108"/>
      <c r="CH31" s="2108"/>
      <c r="CI31" s="2108"/>
      <c r="CJ31" s="2108"/>
      <c r="CK31" s="2108"/>
      <c r="CL31" s="2108"/>
      <c r="CM31" s="2108"/>
      <c r="CN31" s="2108"/>
      <c r="CO31" s="2108"/>
      <c r="CP31" s="2108"/>
      <c r="CQ31" s="2108"/>
      <c r="CR31" s="2108"/>
      <c r="CS31" s="2108"/>
      <c r="CT31" s="2108"/>
      <c r="CU31" s="2108"/>
      <c r="CV31" s="2108"/>
      <c r="CW31" s="2108"/>
      <c r="CX31" s="2108"/>
      <c r="CY31" s="2108"/>
      <c r="CZ31" s="2108"/>
      <c r="DA31" s="2108"/>
      <c r="DB31" s="2108"/>
      <c r="DC31" s="2108"/>
      <c r="DD31" s="2108"/>
      <c r="DE31" s="2108"/>
      <c r="DF31" s="2108"/>
      <c r="DG31" s="2108"/>
      <c r="DH31" s="2108"/>
      <c r="DI31" s="2108"/>
      <c r="DJ31" s="2108"/>
      <c r="DK31" s="2108"/>
      <c r="DL31" s="2108"/>
      <c r="DM31" s="2108"/>
      <c r="DN31" s="2108"/>
      <c r="DO31" s="2108"/>
      <c r="DP31" s="2108"/>
      <c r="DQ31" s="2108"/>
      <c r="DR31" s="2108"/>
      <c r="DS31" s="2108"/>
      <c r="DT31" s="2108"/>
      <c r="DU31" s="2108"/>
      <c r="DV31" s="2108"/>
      <c r="DW31" s="2108"/>
      <c r="DX31" s="2108"/>
      <c r="DY31" s="2108"/>
      <c r="DZ31" s="2108"/>
      <c r="EA31" s="2108"/>
      <c r="EB31" s="2108"/>
      <c r="EC31" s="2108">
        <v>2.2726999999999999</v>
      </c>
      <c r="ED31" s="2108">
        <v>2.2726999999999999</v>
      </c>
      <c r="EE31" s="2108">
        <v>2.2726999999999999</v>
      </c>
      <c r="EF31" s="2108">
        <v>2.2726999999999999</v>
      </c>
      <c r="EG31" s="2108"/>
      <c r="EH31" s="2108">
        <v>3.2954545454545454</v>
      </c>
      <c r="EI31" s="2108">
        <v>3.2954545454545454</v>
      </c>
      <c r="EJ31" s="2108"/>
      <c r="EK31" s="2108"/>
      <c r="EL31" s="2108"/>
      <c r="EM31" s="2108"/>
      <c r="EN31" s="2108"/>
      <c r="EO31" s="2108"/>
      <c r="EP31" s="2108"/>
      <c r="EQ31" s="2108">
        <v>2.84</v>
      </c>
      <c r="ER31" s="2108">
        <v>2.84</v>
      </c>
      <c r="ES31" s="2108">
        <v>2.84</v>
      </c>
      <c r="ET31" s="2108">
        <v>2.84</v>
      </c>
      <c r="EU31" s="2108">
        <v>3.4089999999999998</v>
      </c>
      <c r="EV31" s="2108">
        <v>3.4089999999999998</v>
      </c>
      <c r="EW31" s="2108"/>
      <c r="EX31" s="2108"/>
      <c r="EY31" s="2108"/>
      <c r="EZ31" s="2108"/>
      <c r="FA31" s="2108"/>
      <c r="FB31" s="2108"/>
      <c r="FC31" s="2108"/>
      <c r="FD31" s="2108"/>
      <c r="FE31" s="2108"/>
      <c r="FF31" s="2108"/>
      <c r="FG31" s="2108"/>
      <c r="FH31" s="2108"/>
      <c r="FI31" s="2108"/>
      <c r="FJ31" s="2108"/>
      <c r="FK31" s="2108"/>
      <c r="FL31" s="2108"/>
      <c r="FM31" s="2108"/>
      <c r="FN31" s="2108"/>
      <c r="FO31" s="2108"/>
      <c r="FP31" s="2108"/>
      <c r="FQ31" s="2108"/>
      <c r="FR31" s="2108"/>
      <c r="FS31" s="2108"/>
      <c r="FT31" s="2108"/>
      <c r="FU31" s="2108"/>
      <c r="FV31" s="2108"/>
      <c r="FW31" s="2113" t="s">
        <v>481</v>
      </c>
      <c r="FX31" s="2113" t="s">
        <v>481</v>
      </c>
      <c r="FY31" s="2113" t="s">
        <v>481</v>
      </c>
      <c r="FZ31" s="2113" t="s">
        <v>481</v>
      </c>
      <c r="GA31" s="2113" t="s">
        <v>481</v>
      </c>
      <c r="GB31" s="2114"/>
      <c r="GC31" s="2113"/>
      <c r="GD31" s="2113"/>
      <c r="GE31" s="2113"/>
      <c r="GF31" s="2114"/>
      <c r="GG31" s="1960"/>
      <c r="GH31" s="2114"/>
      <c r="GI31" s="2114"/>
      <c r="GJ31" s="2113"/>
      <c r="GK31" s="2113"/>
      <c r="GL31" s="2113"/>
      <c r="GM31" s="2114"/>
      <c r="GN31" s="2114"/>
      <c r="GO31" s="2115"/>
      <c r="GP31" s="2116"/>
      <c r="GQ31" s="2116"/>
      <c r="GR31" s="2116">
        <v>0</v>
      </c>
      <c r="GS31" s="2116">
        <v>0</v>
      </c>
      <c r="GT31" s="1960">
        <v>0</v>
      </c>
      <c r="GU31" s="1960">
        <v>0</v>
      </c>
      <c r="GV31" s="1960" t="s">
        <v>481</v>
      </c>
      <c r="GW31" s="1960"/>
      <c r="GX31" s="1960"/>
      <c r="GY31" s="1960"/>
      <c r="GZ31" s="1960"/>
      <c r="HA31" s="1960"/>
      <c r="HB31" s="1960"/>
      <c r="HC31" s="1960"/>
      <c r="HD31" s="1960"/>
      <c r="HE31" s="1960"/>
      <c r="HF31" s="1960"/>
      <c r="HG31" s="1960"/>
      <c r="HH31" s="2117"/>
      <c r="HI31" s="1960"/>
      <c r="HJ31" s="1960"/>
      <c r="HK31" s="1960"/>
      <c r="HL31" s="1960"/>
      <c r="HM31" s="1960"/>
      <c r="HN31" s="1960"/>
      <c r="HO31" s="1960"/>
      <c r="HP31" s="1960"/>
      <c r="HQ31" s="1960"/>
      <c r="HR31" s="1960"/>
      <c r="HS31" s="1960"/>
      <c r="HT31" s="1962"/>
      <c r="HU31" s="1961"/>
      <c r="HV31" s="1960"/>
      <c r="HW31" s="1960"/>
      <c r="HX31" s="1960"/>
      <c r="HY31" s="1960"/>
      <c r="HZ31" s="1960"/>
      <c r="IA31" s="1960"/>
      <c r="IB31" s="1960"/>
      <c r="IC31" s="1960"/>
      <c r="ID31" s="1960"/>
      <c r="IE31" s="1960"/>
      <c r="IF31" s="1960"/>
      <c r="IG31" s="1961"/>
      <c r="IH31" s="1960"/>
      <c r="II31" s="1960"/>
      <c r="IJ31" s="1961"/>
      <c r="IK31" s="1960"/>
      <c r="IL31" s="1960"/>
      <c r="IM31" s="1960"/>
      <c r="IN31" s="1960"/>
      <c r="IO31" s="1960"/>
      <c r="IP31" s="1960"/>
      <c r="IQ31" s="1960"/>
      <c r="IR31" s="1960"/>
      <c r="IS31" s="2274"/>
      <c r="IT31" s="1960"/>
      <c r="IU31" s="1960"/>
      <c r="IV31" s="1960"/>
      <c r="IW31" s="1960"/>
      <c r="IX31" s="1960"/>
      <c r="IY31" s="1960"/>
      <c r="IZ31" s="1960"/>
      <c r="JA31" s="1960"/>
      <c r="JB31" s="1960"/>
      <c r="JC31" s="1960"/>
      <c r="JD31" s="1960"/>
      <c r="JE31" s="2274"/>
      <c r="JF31" s="2117"/>
      <c r="JG31" s="2103" t="e">
        <f t="shared" si="12"/>
        <v>#DIV/0!</v>
      </c>
      <c r="JI31" s="2155"/>
      <c r="JJ31" s="2104"/>
    </row>
    <row r="32" spans="2:270" hidden="1">
      <c r="B32" s="2131" t="s">
        <v>476</v>
      </c>
      <c r="C32" s="2106"/>
      <c r="D32" s="2425"/>
      <c r="E32" s="2132" t="s">
        <v>846</v>
      </c>
      <c r="F32" s="2106"/>
      <c r="G32" s="2106" t="s">
        <v>906</v>
      </c>
      <c r="H32" s="2106" t="s">
        <v>497</v>
      </c>
      <c r="I32" s="2106"/>
      <c r="J32" s="2425"/>
      <c r="K32" s="2564"/>
      <c r="L32" s="2108"/>
      <c r="M32" s="2108"/>
      <c r="N32" s="2108"/>
      <c r="O32" s="2108"/>
      <c r="P32" s="2108"/>
      <c r="Q32" s="2108"/>
      <c r="R32" s="2108"/>
      <c r="S32" s="2108"/>
      <c r="T32" s="2108"/>
      <c r="U32" s="2108"/>
      <c r="V32" s="2108"/>
      <c r="W32" s="2109"/>
      <c r="X32" s="2109"/>
      <c r="Y32" s="2109"/>
      <c r="Z32" s="2109"/>
      <c r="AA32" s="2110"/>
      <c r="AB32" s="2110"/>
      <c r="AC32" s="2110"/>
      <c r="AD32" s="2110"/>
      <c r="AE32" s="2110"/>
      <c r="AF32" s="2110"/>
      <c r="AG32" s="2109"/>
      <c r="AH32" s="2109"/>
      <c r="AI32" s="2110"/>
      <c r="AJ32" s="2110"/>
      <c r="AK32" s="2109"/>
      <c r="AL32" s="2109"/>
      <c r="AM32" s="2109"/>
      <c r="AN32" s="2109"/>
      <c r="AO32" s="2109"/>
      <c r="AP32" s="2109"/>
      <c r="AQ32" s="2110"/>
      <c r="AR32" s="2110"/>
      <c r="AS32" s="2110"/>
      <c r="AT32" s="2110"/>
      <c r="AU32" s="2110"/>
      <c r="AV32" s="2110"/>
      <c r="AW32" s="2111"/>
      <c r="AX32" s="2111"/>
      <c r="AY32" s="2111"/>
      <c r="AZ32" s="2111"/>
      <c r="BA32" s="2111"/>
      <c r="BB32" s="2111"/>
      <c r="BC32" s="2111"/>
      <c r="BD32" s="2112"/>
      <c r="BE32" s="2111"/>
      <c r="BF32" s="2112"/>
      <c r="BG32" s="2112"/>
      <c r="BH32" s="2112"/>
      <c r="BI32" s="2108"/>
      <c r="BJ32" s="2108"/>
      <c r="BK32" s="2108"/>
      <c r="BL32" s="2108"/>
      <c r="BM32" s="2108"/>
      <c r="BN32" s="2108"/>
      <c r="BO32" s="2108"/>
      <c r="BP32" s="2108"/>
      <c r="BQ32" s="2108"/>
      <c r="BR32" s="2108"/>
      <c r="BS32" s="2108"/>
      <c r="BT32" s="2108"/>
      <c r="BU32" s="2108"/>
      <c r="BV32" s="2108"/>
      <c r="BW32" s="2108"/>
      <c r="BX32" s="2108"/>
      <c r="BY32" s="2108"/>
      <c r="BZ32" s="2108"/>
      <c r="CA32" s="2108"/>
      <c r="CB32" s="2108"/>
      <c r="CC32" s="2108"/>
      <c r="CD32" s="2108"/>
      <c r="CE32" s="2108"/>
      <c r="CF32" s="2108"/>
      <c r="CG32" s="2108"/>
      <c r="CH32" s="2108"/>
      <c r="CI32" s="2108"/>
      <c r="CJ32" s="2108"/>
      <c r="CK32" s="2108"/>
      <c r="CL32" s="2108"/>
      <c r="CM32" s="2108"/>
      <c r="CN32" s="2108"/>
      <c r="CO32" s="2108"/>
      <c r="CP32" s="2108"/>
      <c r="CQ32" s="2108"/>
      <c r="CR32" s="2108"/>
      <c r="CS32" s="2108"/>
      <c r="CT32" s="2108"/>
      <c r="CU32" s="2108"/>
      <c r="CV32" s="2108"/>
      <c r="CW32" s="2108"/>
      <c r="CX32" s="2108"/>
      <c r="CY32" s="2108"/>
      <c r="CZ32" s="2108"/>
      <c r="DA32" s="2108"/>
      <c r="DB32" s="2108"/>
      <c r="DC32" s="2108"/>
      <c r="DD32" s="2108"/>
      <c r="DE32" s="2108"/>
      <c r="DF32" s="2108"/>
      <c r="DG32" s="2108"/>
      <c r="DH32" s="2108"/>
      <c r="DI32" s="2108"/>
      <c r="DJ32" s="2108"/>
      <c r="DK32" s="2108"/>
      <c r="DL32" s="2108"/>
      <c r="DM32" s="2108"/>
      <c r="DN32" s="2108"/>
      <c r="DO32" s="2108"/>
      <c r="DP32" s="2108"/>
      <c r="DQ32" s="2108"/>
      <c r="DR32" s="2108"/>
      <c r="DS32" s="2108"/>
      <c r="DT32" s="2108"/>
      <c r="DU32" s="2108"/>
      <c r="DV32" s="2108"/>
      <c r="DW32" s="2108"/>
      <c r="DX32" s="2108"/>
      <c r="DY32" s="2108"/>
      <c r="DZ32" s="2108"/>
      <c r="EA32" s="2108"/>
      <c r="EB32" s="2108"/>
      <c r="EC32" s="2108">
        <v>2.2726999999999999</v>
      </c>
      <c r="ED32" s="2108">
        <v>2.2726999999999999</v>
      </c>
      <c r="EE32" s="2108">
        <v>2.2726999999999999</v>
      </c>
      <c r="EF32" s="2108">
        <v>2.2726999999999999</v>
      </c>
      <c r="EG32" s="2108"/>
      <c r="EH32" s="2108">
        <v>3.5852272727272729</v>
      </c>
      <c r="EI32" s="2108">
        <v>3.5852272727272729</v>
      </c>
      <c r="EJ32" s="2108"/>
      <c r="EK32" s="2108"/>
      <c r="EL32" s="2108"/>
      <c r="EM32" s="2108"/>
      <c r="EN32" s="2108"/>
      <c r="EO32" s="2108"/>
      <c r="EP32" s="2108"/>
      <c r="EQ32" s="2108">
        <v>2.84</v>
      </c>
      <c r="ER32" s="2108">
        <v>2.84</v>
      </c>
      <c r="ES32" s="2108">
        <v>2.84</v>
      </c>
      <c r="ET32" s="2108">
        <v>2.84</v>
      </c>
      <c r="EU32" s="2108">
        <v>3.6931818181818183</v>
      </c>
      <c r="EV32" s="2108">
        <v>3.6931818181818183</v>
      </c>
      <c r="EW32" s="2108"/>
      <c r="EX32" s="2108"/>
      <c r="EY32" s="2108"/>
      <c r="EZ32" s="2108"/>
      <c r="FA32" s="2108"/>
      <c r="FB32" s="2108"/>
      <c r="FC32" s="2108"/>
      <c r="FD32" s="2108"/>
      <c r="FE32" s="2108"/>
      <c r="FF32" s="2108"/>
      <c r="FG32" s="2108"/>
      <c r="FH32" s="2108"/>
      <c r="FI32" s="2108"/>
      <c r="FJ32" s="2108"/>
      <c r="FK32" s="2108"/>
      <c r="FL32" s="2108"/>
      <c r="FM32" s="2108"/>
      <c r="FN32" s="2108"/>
      <c r="FO32" s="2108"/>
      <c r="FP32" s="2108"/>
      <c r="FQ32" s="2108"/>
      <c r="FR32" s="2108"/>
      <c r="FS32" s="2108"/>
      <c r="FT32" s="2108"/>
      <c r="FU32" s="2108"/>
      <c r="FV32" s="2108"/>
      <c r="FW32" s="2113" t="s">
        <v>481</v>
      </c>
      <c r="FX32" s="2113" t="s">
        <v>481</v>
      </c>
      <c r="FY32" s="2113" t="s">
        <v>481</v>
      </c>
      <c r="FZ32" s="2113" t="s">
        <v>481</v>
      </c>
      <c r="GA32" s="2113" t="s">
        <v>481</v>
      </c>
      <c r="GB32" s="2114"/>
      <c r="GC32" s="2113"/>
      <c r="GD32" s="2113"/>
      <c r="GE32" s="2113"/>
      <c r="GF32" s="2114"/>
      <c r="GG32" s="1960"/>
      <c r="GH32" s="2114"/>
      <c r="GI32" s="2114"/>
      <c r="GJ32" s="2113"/>
      <c r="GK32" s="2113"/>
      <c r="GL32" s="2113"/>
      <c r="GM32" s="2114"/>
      <c r="GN32" s="2114"/>
      <c r="GO32" s="2115"/>
      <c r="GP32" s="2116"/>
      <c r="GQ32" s="2116"/>
      <c r="GR32" s="2116">
        <v>0</v>
      </c>
      <c r="GS32" s="2116">
        <v>0</v>
      </c>
      <c r="GT32" s="1960">
        <v>0</v>
      </c>
      <c r="GU32" s="1960">
        <v>0</v>
      </c>
      <c r="GV32" s="1960" t="s">
        <v>481</v>
      </c>
      <c r="GW32" s="1960"/>
      <c r="GX32" s="1960"/>
      <c r="GY32" s="1960"/>
      <c r="GZ32" s="1960"/>
      <c r="HA32" s="1960"/>
      <c r="HB32" s="1960"/>
      <c r="HC32" s="1960"/>
      <c r="HD32" s="1960"/>
      <c r="HE32" s="1960"/>
      <c r="HF32" s="1960"/>
      <c r="HG32" s="1960"/>
      <c r="HH32" s="2117"/>
      <c r="HI32" s="1960"/>
      <c r="HJ32" s="1960"/>
      <c r="HK32" s="1960"/>
      <c r="HL32" s="1960"/>
      <c r="HM32" s="1960"/>
      <c r="HN32" s="1960"/>
      <c r="HO32" s="1960"/>
      <c r="HP32" s="1960"/>
      <c r="HQ32" s="1960"/>
      <c r="HR32" s="1960"/>
      <c r="HS32" s="1960"/>
      <c r="HT32" s="1962"/>
      <c r="HU32" s="1961"/>
      <c r="HV32" s="1960"/>
      <c r="HW32" s="1960"/>
      <c r="HX32" s="1960"/>
      <c r="HY32" s="1960"/>
      <c r="HZ32" s="1960"/>
      <c r="IA32" s="1960"/>
      <c r="IB32" s="1960"/>
      <c r="IC32" s="1960"/>
      <c r="ID32" s="1960"/>
      <c r="IE32" s="1960"/>
      <c r="IF32" s="1960"/>
      <c r="IG32" s="1961"/>
      <c r="IH32" s="1960"/>
      <c r="II32" s="1960"/>
      <c r="IJ32" s="1961"/>
      <c r="IK32" s="1960"/>
      <c r="IL32" s="1960"/>
      <c r="IM32" s="1960"/>
      <c r="IN32" s="1960"/>
      <c r="IO32" s="1960"/>
      <c r="IP32" s="1960"/>
      <c r="IQ32" s="1960"/>
      <c r="IR32" s="1960"/>
      <c r="IS32" s="2274"/>
      <c r="IT32" s="1960"/>
      <c r="IU32" s="1960"/>
      <c r="IV32" s="1960"/>
      <c r="IW32" s="1960"/>
      <c r="IX32" s="1960"/>
      <c r="IY32" s="1960"/>
      <c r="IZ32" s="1960"/>
      <c r="JA32" s="1960"/>
      <c r="JB32" s="1960"/>
      <c r="JC32" s="1960"/>
      <c r="JD32" s="1960"/>
      <c r="JE32" s="2274"/>
      <c r="JF32" s="2117"/>
      <c r="JG32" s="2103" t="e">
        <f t="shared" si="12"/>
        <v>#DIV/0!</v>
      </c>
      <c r="JI32" s="2155"/>
      <c r="JJ32" s="2104"/>
    </row>
    <row r="33" spans="2:270" hidden="1">
      <c r="B33" s="2131" t="s">
        <v>477</v>
      </c>
      <c r="C33" s="2106"/>
      <c r="D33" s="2425"/>
      <c r="E33" s="2132" t="s">
        <v>847</v>
      </c>
      <c r="F33" s="2106"/>
      <c r="G33" s="2106" t="s">
        <v>906</v>
      </c>
      <c r="H33" s="2106" t="s">
        <v>497</v>
      </c>
      <c r="I33" s="2106"/>
      <c r="J33" s="2425"/>
      <c r="K33" s="2564"/>
      <c r="L33" s="2108"/>
      <c r="M33" s="2108"/>
      <c r="N33" s="2108"/>
      <c r="O33" s="2108"/>
      <c r="P33" s="2108"/>
      <c r="Q33" s="2108"/>
      <c r="R33" s="2108"/>
      <c r="S33" s="2108"/>
      <c r="T33" s="2108"/>
      <c r="U33" s="2108"/>
      <c r="V33" s="2108"/>
      <c r="W33" s="2109"/>
      <c r="X33" s="2109"/>
      <c r="Y33" s="2109"/>
      <c r="Z33" s="2109"/>
      <c r="AA33" s="2110"/>
      <c r="AB33" s="2110"/>
      <c r="AC33" s="2110"/>
      <c r="AD33" s="2110"/>
      <c r="AE33" s="2110"/>
      <c r="AF33" s="2110"/>
      <c r="AG33" s="2109"/>
      <c r="AH33" s="2109"/>
      <c r="AI33" s="2110"/>
      <c r="AJ33" s="2110"/>
      <c r="AK33" s="2109"/>
      <c r="AL33" s="2109"/>
      <c r="AM33" s="2109"/>
      <c r="AN33" s="2109"/>
      <c r="AO33" s="2109"/>
      <c r="AP33" s="2109"/>
      <c r="AQ33" s="2110"/>
      <c r="AR33" s="2110"/>
      <c r="AS33" s="2110"/>
      <c r="AT33" s="2110"/>
      <c r="AU33" s="2110"/>
      <c r="AV33" s="2110"/>
      <c r="AW33" s="2111"/>
      <c r="AX33" s="2111"/>
      <c r="AY33" s="2111"/>
      <c r="AZ33" s="2111"/>
      <c r="BA33" s="2111"/>
      <c r="BB33" s="2111"/>
      <c r="BC33" s="2111"/>
      <c r="BD33" s="2112"/>
      <c r="BE33" s="2111"/>
      <c r="BF33" s="2112"/>
      <c r="BG33" s="2112"/>
      <c r="BH33" s="2112"/>
      <c r="BI33" s="2108"/>
      <c r="BJ33" s="2108"/>
      <c r="BK33" s="2108"/>
      <c r="BL33" s="2108"/>
      <c r="BM33" s="2108"/>
      <c r="BN33" s="2108"/>
      <c r="BO33" s="2108"/>
      <c r="BP33" s="2108"/>
      <c r="BQ33" s="2108"/>
      <c r="BR33" s="2108"/>
      <c r="BS33" s="2108"/>
      <c r="BT33" s="2108"/>
      <c r="BU33" s="2108"/>
      <c r="BV33" s="2108"/>
      <c r="BW33" s="2108"/>
      <c r="BX33" s="2108"/>
      <c r="BY33" s="2108"/>
      <c r="BZ33" s="2108"/>
      <c r="CA33" s="2108"/>
      <c r="CB33" s="2108"/>
      <c r="CC33" s="2108"/>
      <c r="CD33" s="2108"/>
      <c r="CE33" s="2108"/>
      <c r="CF33" s="2108"/>
      <c r="CG33" s="2108"/>
      <c r="CH33" s="2108"/>
      <c r="CI33" s="2108"/>
      <c r="CJ33" s="2108"/>
      <c r="CK33" s="2108"/>
      <c r="CL33" s="2108"/>
      <c r="CM33" s="2108"/>
      <c r="CN33" s="2108"/>
      <c r="CO33" s="2108"/>
      <c r="CP33" s="2108"/>
      <c r="CQ33" s="2108"/>
      <c r="CR33" s="2108"/>
      <c r="CS33" s="2108"/>
      <c r="CT33" s="2108"/>
      <c r="CU33" s="2108"/>
      <c r="CV33" s="2108"/>
      <c r="CW33" s="2108"/>
      <c r="CX33" s="2108"/>
      <c r="CY33" s="2108"/>
      <c r="CZ33" s="2108"/>
      <c r="DA33" s="2108"/>
      <c r="DB33" s="2108"/>
      <c r="DC33" s="2108"/>
      <c r="DD33" s="2108"/>
      <c r="DE33" s="2108"/>
      <c r="DF33" s="2108"/>
      <c r="DG33" s="2108"/>
      <c r="DH33" s="2108"/>
      <c r="DI33" s="2108"/>
      <c r="DJ33" s="2108"/>
      <c r="DK33" s="2108"/>
      <c r="DL33" s="2108"/>
      <c r="DM33" s="2108"/>
      <c r="DN33" s="2108"/>
      <c r="DO33" s="2108"/>
      <c r="DP33" s="2108"/>
      <c r="DQ33" s="2108"/>
      <c r="DR33" s="2108"/>
      <c r="DS33" s="2108"/>
      <c r="DT33" s="2108"/>
      <c r="DU33" s="2108"/>
      <c r="DV33" s="2108"/>
      <c r="DW33" s="2108"/>
      <c r="DX33" s="2108"/>
      <c r="DY33" s="2108"/>
      <c r="DZ33" s="2108"/>
      <c r="EA33" s="2108"/>
      <c r="EB33" s="2108"/>
      <c r="EC33" s="2108">
        <v>2.2726999999999999</v>
      </c>
      <c r="ED33" s="2108">
        <v>2.2726999999999999</v>
      </c>
      <c r="EE33" s="2108">
        <v>2.2726999999999999</v>
      </c>
      <c r="EF33" s="2108">
        <v>2.2726999999999999</v>
      </c>
      <c r="EG33" s="2108"/>
      <c r="EH33" s="2108">
        <v>3.8920454545454546</v>
      </c>
      <c r="EI33" s="2108">
        <v>3.8920454545454546</v>
      </c>
      <c r="EJ33" s="2108"/>
      <c r="EK33" s="2108"/>
      <c r="EL33" s="2108"/>
      <c r="EM33" s="2108"/>
      <c r="EN33" s="2108"/>
      <c r="EO33" s="2108"/>
      <c r="EP33" s="2108"/>
      <c r="EQ33" s="2108">
        <v>2.84</v>
      </c>
      <c r="ER33" s="2108">
        <v>2.84</v>
      </c>
      <c r="ES33" s="2108">
        <v>2.84</v>
      </c>
      <c r="ET33" s="2108">
        <v>2.84</v>
      </c>
      <c r="EU33" s="2108">
        <v>3.9772727272727271</v>
      </c>
      <c r="EV33" s="2108">
        <v>3.9772727272727271</v>
      </c>
      <c r="EW33" s="2108"/>
      <c r="EX33" s="2108"/>
      <c r="EY33" s="2108"/>
      <c r="EZ33" s="2108"/>
      <c r="FA33" s="2108"/>
      <c r="FB33" s="2108"/>
      <c r="FC33" s="2108"/>
      <c r="FD33" s="2108"/>
      <c r="FE33" s="2108"/>
      <c r="FF33" s="2108"/>
      <c r="FG33" s="2108"/>
      <c r="FH33" s="2108"/>
      <c r="FI33" s="2108"/>
      <c r="FJ33" s="2108"/>
      <c r="FK33" s="2108"/>
      <c r="FL33" s="2108"/>
      <c r="FM33" s="2108"/>
      <c r="FN33" s="2108"/>
      <c r="FO33" s="2108"/>
      <c r="FP33" s="2108"/>
      <c r="FQ33" s="2108"/>
      <c r="FR33" s="2108"/>
      <c r="FS33" s="2108"/>
      <c r="FT33" s="2108"/>
      <c r="FU33" s="2108"/>
      <c r="FV33" s="2108"/>
      <c r="FW33" s="2113" t="s">
        <v>481</v>
      </c>
      <c r="FX33" s="2113" t="s">
        <v>481</v>
      </c>
      <c r="FY33" s="2113" t="s">
        <v>481</v>
      </c>
      <c r="FZ33" s="2113" t="s">
        <v>481</v>
      </c>
      <c r="GA33" s="2113" t="s">
        <v>481</v>
      </c>
      <c r="GB33" s="2114"/>
      <c r="GC33" s="2113"/>
      <c r="GD33" s="2113"/>
      <c r="GE33" s="2113"/>
      <c r="GF33" s="2114"/>
      <c r="GG33" s="1960"/>
      <c r="GH33" s="2114"/>
      <c r="GI33" s="2114"/>
      <c r="GJ33" s="2113"/>
      <c r="GK33" s="2113"/>
      <c r="GL33" s="2113"/>
      <c r="GM33" s="2114"/>
      <c r="GN33" s="2114"/>
      <c r="GO33" s="2115"/>
      <c r="GP33" s="2116"/>
      <c r="GQ33" s="2116"/>
      <c r="GR33" s="2116">
        <v>0</v>
      </c>
      <c r="GS33" s="2116">
        <v>0</v>
      </c>
      <c r="GT33" s="1960">
        <v>0</v>
      </c>
      <c r="GU33" s="1960">
        <v>0</v>
      </c>
      <c r="GV33" s="1960" t="s">
        <v>481</v>
      </c>
      <c r="GW33" s="1960"/>
      <c r="GX33" s="1960"/>
      <c r="GY33" s="1960"/>
      <c r="GZ33" s="1960"/>
      <c r="HA33" s="1960"/>
      <c r="HB33" s="1960"/>
      <c r="HC33" s="1960"/>
      <c r="HD33" s="1960"/>
      <c r="HE33" s="1960"/>
      <c r="HF33" s="1960"/>
      <c r="HG33" s="1960"/>
      <c r="HH33" s="2117"/>
      <c r="HI33" s="1960"/>
      <c r="HJ33" s="1960"/>
      <c r="HK33" s="1960"/>
      <c r="HL33" s="1960"/>
      <c r="HM33" s="1960"/>
      <c r="HN33" s="1960"/>
      <c r="HO33" s="1960"/>
      <c r="HP33" s="1960"/>
      <c r="HQ33" s="1960"/>
      <c r="HR33" s="1960"/>
      <c r="HS33" s="1960"/>
      <c r="HT33" s="1962"/>
      <c r="HU33" s="1961"/>
      <c r="HV33" s="1960"/>
      <c r="HW33" s="1960"/>
      <c r="HX33" s="1960"/>
      <c r="HY33" s="1960"/>
      <c r="HZ33" s="1960"/>
      <c r="IA33" s="1960"/>
      <c r="IB33" s="1960"/>
      <c r="IC33" s="1960"/>
      <c r="ID33" s="1960"/>
      <c r="IE33" s="1960"/>
      <c r="IF33" s="1960"/>
      <c r="IG33" s="1961"/>
      <c r="IH33" s="1960"/>
      <c r="II33" s="1960"/>
      <c r="IJ33" s="1961"/>
      <c r="IK33" s="1960"/>
      <c r="IL33" s="1960"/>
      <c r="IM33" s="1960"/>
      <c r="IN33" s="1960"/>
      <c r="IO33" s="1960"/>
      <c r="IP33" s="1960"/>
      <c r="IQ33" s="1960"/>
      <c r="IR33" s="1960"/>
      <c r="IS33" s="2274"/>
      <c r="IT33" s="1960"/>
      <c r="IU33" s="1960"/>
      <c r="IV33" s="1960"/>
      <c r="IW33" s="1960"/>
      <c r="IX33" s="1960"/>
      <c r="IY33" s="1960"/>
      <c r="IZ33" s="1960"/>
      <c r="JA33" s="1960"/>
      <c r="JB33" s="1960"/>
      <c r="JC33" s="1960"/>
      <c r="JD33" s="1960"/>
      <c r="JE33" s="2274"/>
      <c r="JF33" s="2117"/>
      <c r="JG33" s="2103" t="e">
        <f t="shared" si="12"/>
        <v>#DIV/0!</v>
      </c>
      <c r="JI33" s="2155"/>
      <c r="JJ33" s="2104"/>
    </row>
    <row r="34" spans="2:270" hidden="1">
      <c r="B34" s="2131" t="s">
        <v>478</v>
      </c>
      <c r="C34" s="2106"/>
      <c r="D34" s="2425"/>
      <c r="E34" s="2132" t="s">
        <v>848</v>
      </c>
      <c r="F34" s="2106"/>
      <c r="G34" s="2106" t="s">
        <v>906</v>
      </c>
      <c r="H34" s="2106" t="s">
        <v>497</v>
      </c>
      <c r="I34" s="2106"/>
      <c r="J34" s="2425"/>
      <c r="K34" s="2564"/>
      <c r="L34" s="2108"/>
      <c r="M34" s="2108"/>
      <c r="N34" s="2108"/>
      <c r="O34" s="2108"/>
      <c r="P34" s="2108"/>
      <c r="Q34" s="2108"/>
      <c r="R34" s="2108"/>
      <c r="S34" s="2108"/>
      <c r="T34" s="2108"/>
      <c r="U34" s="2108"/>
      <c r="V34" s="2108"/>
      <c r="W34" s="2109"/>
      <c r="X34" s="2109"/>
      <c r="Y34" s="2109"/>
      <c r="Z34" s="2109"/>
      <c r="AA34" s="2110"/>
      <c r="AB34" s="2110"/>
      <c r="AC34" s="2110"/>
      <c r="AD34" s="2110"/>
      <c r="AE34" s="2110"/>
      <c r="AF34" s="2110"/>
      <c r="AG34" s="2109"/>
      <c r="AH34" s="2109"/>
      <c r="AI34" s="2110"/>
      <c r="AJ34" s="2110"/>
      <c r="AK34" s="2109"/>
      <c r="AL34" s="2109"/>
      <c r="AM34" s="2109"/>
      <c r="AN34" s="2109"/>
      <c r="AO34" s="2109"/>
      <c r="AP34" s="2109"/>
      <c r="AQ34" s="2110"/>
      <c r="AR34" s="2110"/>
      <c r="AS34" s="2110"/>
      <c r="AT34" s="2110"/>
      <c r="AU34" s="2110"/>
      <c r="AV34" s="2110"/>
      <c r="AW34" s="2111"/>
      <c r="AX34" s="2111"/>
      <c r="AY34" s="2111"/>
      <c r="AZ34" s="2111"/>
      <c r="BA34" s="2111"/>
      <c r="BB34" s="2111"/>
      <c r="BC34" s="2111"/>
      <c r="BD34" s="2112"/>
      <c r="BE34" s="2111"/>
      <c r="BF34" s="2112"/>
      <c r="BG34" s="2112"/>
      <c r="BH34" s="2112"/>
      <c r="BI34" s="2108"/>
      <c r="BJ34" s="2108"/>
      <c r="BK34" s="2108"/>
      <c r="BL34" s="2108"/>
      <c r="BM34" s="2108"/>
      <c r="BN34" s="2108"/>
      <c r="BO34" s="2108"/>
      <c r="BP34" s="2108"/>
      <c r="BQ34" s="2108"/>
      <c r="BR34" s="2108"/>
      <c r="BS34" s="2108"/>
      <c r="BT34" s="2108"/>
      <c r="BU34" s="2108"/>
      <c r="BV34" s="2108"/>
      <c r="BW34" s="2108"/>
      <c r="BX34" s="2108"/>
      <c r="BY34" s="2108"/>
      <c r="BZ34" s="2108"/>
      <c r="CA34" s="2108"/>
      <c r="CB34" s="2108"/>
      <c r="CC34" s="2108"/>
      <c r="CD34" s="2108"/>
      <c r="CE34" s="2108"/>
      <c r="CF34" s="2108"/>
      <c r="CG34" s="2108"/>
      <c r="CH34" s="2108"/>
      <c r="CI34" s="2108"/>
      <c r="CJ34" s="2108"/>
      <c r="CK34" s="2108"/>
      <c r="CL34" s="2108"/>
      <c r="CM34" s="2108"/>
      <c r="CN34" s="2108"/>
      <c r="CO34" s="2108"/>
      <c r="CP34" s="2108"/>
      <c r="CQ34" s="2108"/>
      <c r="CR34" s="2108"/>
      <c r="CS34" s="2108"/>
      <c r="CT34" s="2108"/>
      <c r="CU34" s="2108"/>
      <c r="CV34" s="2108"/>
      <c r="CW34" s="2108"/>
      <c r="CX34" s="2108"/>
      <c r="CY34" s="2108"/>
      <c r="CZ34" s="2108"/>
      <c r="DA34" s="2108"/>
      <c r="DB34" s="2108"/>
      <c r="DC34" s="2108"/>
      <c r="DD34" s="2108"/>
      <c r="DE34" s="2108"/>
      <c r="DF34" s="2108"/>
      <c r="DG34" s="2108"/>
      <c r="DH34" s="2108"/>
      <c r="DI34" s="2108"/>
      <c r="DJ34" s="2108"/>
      <c r="DK34" s="2108"/>
      <c r="DL34" s="2108"/>
      <c r="DM34" s="2108"/>
      <c r="DN34" s="2108"/>
      <c r="DO34" s="2108"/>
      <c r="DP34" s="2108"/>
      <c r="DQ34" s="2108"/>
      <c r="DR34" s="2108"/>
      <c r="DS34" s="2108"/>
      <c r="DT34" s="2108"/>
      <c r="DU34" s="2108"/>
      <c r="DV34" s="2108"/>
      <c r="DW34" s="2108"/>
      <c r="DX34" s="2108"/>
      <c r="DY34" s="2108"/>
      <c r="DZ34" s="2108"/>
      <c r="EA34" s="2108"/>
      <c r="EB34" s="2108"/>
      <c r="EC34" s="2108">
        <v>2.2726999999999999</v>
      </c>
      <c r="ED34" s="2108">
        <v>2.2726999999999999</v>
      </c>
      <c r="EE34" s="2108">
        <v>2.2726999999999999</v>
      </c>
      <c r="EF34" s="2108">
        <v>2.2726999999999999</v>
      </c>
      <c r="EG34" s="2108"/>
      <c r="EH34" s="2108">
        <v>4.5681818181818183</v>
      </c>
      <c r="EI34" s="2108">
        <v>4.5681818181818183</v>
      </c>
      <c r="EJ34" s="2108"/>
      <c r="EK34" s="2108"/>
      <c r="EL34" s="2108"/>
      <c r="EM34" s="2108"/>
      <c r="EN34" s="2108"/>
      <c r="EO34" s="2108"/>
      <c r="EP34" s="2108"/>
      <c r="EQ34" s="2108">
        <v>2.84</v>
      </c>
      <c r="ER34" s="2108">
        <v>2.84</v>
      </c>
      <c r="ES34" s="2108">
        <v>2.84</v>
      </c>
      <c r="ET34" s="2108">
        <v>2.84</v>
      </c>
      <c r="EU34" s="2108">
        <v>4.5454545454545459</v>
      </c>
      <c r="EV34" s="2108">
        <v>4.5454545454545459</v>
      </c>
      <c r="EW34" s="2108"/>
      <c r="EX34" s="2108"/>
      <c r="EY34" s="2108"/>
      <c r="EZ34" s="2108"/>
      <c r="FA34" s="2108"/>
      <c r="FB34" s="2108"/>
      <c r="FC34" s="2108"/>
      <c r="FD34" s="2108"/>
      <c r="FE34" s="2108"/>
      <c r="FF34" s="2108"/>
      <c r="FG34" s="2108"/>
      <c r="FH34" s="2108"/>
      <c r="FI34" s="2108"/>
      <c r="FJ34" s="2108"/>
      <c r="FK34" s="2108"/>
      <c r="FL34" s="2108"/>
      <c r="FM34" s="2108"/>
      <c r="FN34" s="2108"/>
      <c r="FO34" s="2108"/>
      <c r="FP34" s="2108"/>
      <c r="FQ34" s="2108"/>
      <c r="FR34" s="2108"/>
      <c r="FS34" s="2108"/>
      <c r="FT34" s="2108"/>
      <c r="FU34" s="2108"/>
      <c r="FV34" s="2108"/>
      <c r="FW34" s="2113" t="s">
        <v>481</v>
      </c>
      <c r="FX34" s="2113" t="s">
        <v>481</v>
      </c>
      <c r="FY34" s="2113" t="s">
        <v>481</v>
      </c>
      <c r="FZ34" s="2113" t="s">
        <v>481</v>
      </c>
      <c r="GA34" s="2113" t="s">
        <v>481</v>
      </c>
      <c r="GB34" s="2114"/>
      <c r="GC34" s="2113"/>
      <c r="GD34" s="2113"/>
      <c r="GE34" s="2113"/>
      <c r="GF34" s="2114"/>
      <c r="GG34" s="1960"/>
      <c r="GH34" s="2114"/>
      <c r="GI34" s="2114"/>
      <c r="GJ34" s="2113"/>
      <c r="GK34" s="2113"/>
      <c r="GL34" s="2113"/>
      <c r="GM34" s="2114"/>
      <c r="GN34" s="2114"/>
      <c r="GO34" s="2115"/>
      <c r="GP34" s="2116"/>
      <c r="GQ34" s="2116"/>
      <c r="GR34" s="2116">
        <v>0</v>
      </c>
      <c r="GS34" s="2116">
        <v>0</v>
      </c>
      <c r="GT34" s="1960">
        <v>0</v>
      </c>
      <c r="GU34" s="1960">
        <v>0</v>
      </c>
      <c r="GV34" s="1960" t="s">
        <v>481</v>
      </c>
      <c r="GW34" s="1960"/>
      <c r="GX34" s="1960"/>
      <c r="GY34" s="1960"/>
      <c r="GZ34" s="1960"/>
      <c r="HA34" s="1960"/>
      <c r="HB34" s="1960"/>
      <c r="HC34" s="1960"/>
      <c r="HD34" s="1960"/>
      <c r="HE34" s="1960"/>
      <c r="HF34" s="1960"/>
      <c r="HG34" s="1960"/>
      <c r="HH34" s="2117"/>
      <c r="HI34" s="1960"/>
      <c r="HJ34" s="1960"/>
      <c r="HK34" s="1960"/>
      <c r="HL34" s="1960"/>
      <c r="HM34" s="1960"/>
      <c r="HN34" s="1960"/>
      <c r="HO34" s="1960"/>
      <c r="HP34" s="1960"/>
      <c r="HQ34" s="1960"/>
      <c r="HR34" s="1960"/>
      <c r="HS34" s="1960"/>
      <c r="HT34" s="1962"/>
      <c r="HU34" s="1961"/>
      <c r="HV34" s="1960"/>
      <c r="HW34" s="1960"/>
      <c r="HX34" s="1960"/>
      <c r="HY34" s="1960"/>
      <c r="HZ34" s="1960"/>
      <c r="IA34" s="1960"/>
      <c r="IB34" s="1960"/>
      <c r="IC34" s="1960"/>
      <c r="ID34" s="1960"/>
      <c r="IE34" s="1960"/>
      <c r="IF34" s="1960"/>
      <c r="IG34" s="1961"/>
      <c r="IH34" s="1960"/>
      <c r="II34" s="1960"/>
      <c r="IJ34" s="1961"/>
      <c r="IK34" s="1960"/>
      <c r="IL34" s="1960"/>
      <c r="IM34" s="1960"/>
      <c r="IN34" s="1960"/>
      <c r="IO34" s="1960"/>
      <c r="IP34" s="1960"/>
      <c r="IQ34" s="1960"/>
      <c r="IR34" s="1960"/>
      <c r="IS34" s="2274"/>
      <c r="IT34" s="1960"/>
      <c r="IU34" s="1960"/>
      <c r="IV34" s="1960"/>
      <c r="IW34" s="1960"/>
      <c r="IX34" s="1960"/>
      <c r="IY34" s="1960"/>
      <c r="IZ34" s="1960"/>
      <c r="JA34" s="1960"/>
      <c r="JB34" s="1960"/>
      <c r="JC34" s="1960"/>
      <c r="JD34" s="1960"/>
      <c r="JE34" s="2274"/>
      <c r="JF34" s="2117"/>
      <c r="JG34" s="2103" t="e">
        <f t="shared" si="12"/>
        <v>#DIV/0!</v>
      </c>
      <c r="JI34" s="2155"/>
      <c r="JJ34" s="2104"/>
    </row>
    <row r="35" spans="2:270" hidden="1">
      <c r="B35" s="2118"/>
      <c r="C35" s="2122"/>
      <c r="D35" s="2120"/>
      <c r="E35" s="2119"/>
      <c r="F35" s="2122"/>
      <c r="G35" s="2122"/>
      <c r="H35" s="2122"/>
      <c r="I35" s="2122"/>
      <c r="J35" s="2120"/>
      <c r="K35" s="2133"/>
      <c r="L35" s="2126"/>
      <c r="M35" s="2126"/>
      <c r="N35" s="2126"/>
      <c r="O35" s="2126"/>
      <c r="P35" s="2126"/>
      <c r="Q35" s="2126"/>
      <c r="R35" s="2126"/>
      <c r="S35" s="2126"/>
      <c r="T35" s="2126"/>
      <c r="U35" s="2126"/>
      <c r="V35" s="2126"/>
      <c r="W35" s="2134"/>
      <c r="X35" s="2134"/>
      <c r="Y35" s="2134"/>
      <c r="Z35" s="2134"/>
      <c r="AA35" s="2123"/>
      <c r="AB35" s="2123"/>
      <c r="AC35" s="2123"/>
      <c r="AD35" s="2123"/>
      <c r="AE35" s="2123"/>
      <c r="AF35" s="2123"/>
      <c r="AG35" s="2134"/>
      <c r="AH35" s="2134"/>
      <c r="AI35" s="2123"/>
      <c r="AJ35" s="2123"/>
      <c r="AK35" s="2134"/>
      <c r="AL35" s="2134"/>
      <c r="AM35" s="2134"/>
      <c r="AN35" s="2134"/>
      <c r="AO35" s="2134"/>
      <c r="AP35" s="2134"/>
      <c r="AQ35" s="2123"/>
      <c r="AR35" s="2123"/>
      <c r="AS35" s="2123"/>
      <c r="AT35" s="2123"/>
      <c r="AU35" s="2123"/>
      <c r="AV35" s="2123"/>
      <c r="AW35" s="2124"/>
      <c r="AX35" s="2124"/>
      <c r="AY35" s="2124"/>
      <c r="AZ35" s="2124"/>
      <c r="BA35" s="2124"/>
      <c r="BB35" s="2124"/>
      <c r="BC35" s="2124"/>
      <c r="BD35" s="2125"/>
      <c r="BE35" s="2124"/>
      <c r="BF35" s="2125"/>
      <c r="BG35" s="2125"/>
      <c r="BH35" s="2125"/>
      <c r="BI35" s="2126"/>
      <c r="BJ35" s="2126"/>
      <c r="BK35" s="2126"/>
      <c r="BL35" s="2126"/>
      <c r="BM35" s="2126"/>
      <c r="BN35" s="2126"/>
      <c r="BO35" s="2126"/>
      <c r="BP35" s="2126"/>
      <c r="BQ35" s="2126"/>
      <c r="BR35" s="2126"/>
      <c r="BS35" s="2126"/>
      <c r="BT35" s="2126"/>
      <c r="BU35" s="2126"/>
      <c r="BV35" s="2126"/>
      <c r="BW35" s="2126"/>
      <c r="BX35" s="2126"/>
      <c r="BY35" s="2126"/>
      <c r="BZ35" s="2126"/>
      <c r="CA35" s="2126"/>
      <c r="CB35" s="2126"/>
      <c r="CC35" s="2126"/>
      <c r="CD35" s="2126"/>
      <c r="CE35" s="2126"/>
      <c r="CF35" s="2126"/>
      <c r="CG35" s="2126"/>
      <c r="CH35" s="2126"/>
      <c r="CI35" s="2126"/>
      <c r="CJ35" s="2126"/>
      <c r="CK35" s="2126"/>
      <c r="CL35" s="2126"/>
      <c r="CM35" s="2126"/>
      <c r="CN35" s="2126"/>
      <c r="CO35" s="2126"/>
      <c r="CP35" s="2126"/>
      <c r="CQ35" s="2126"/>
      <c r="CR35" s="2126"/>
      <c r="CS35" s="2126"/>
      <c r="CT35" s="2126"/>
      <c r="CU35" s="2126"/>
      <c r="CV35" s="2126"/>
      <c r="CW35" s="2126"/>
      <c r="CX35" s="2126"/>
      <c r="CY35" s="2126"/>
      <c r="CZ35" s="2126"/>
      <c r="DA35" s="2126"/>
      <c r="DB35" s="2126"/>
      <c r="DC35" s="2126"/>
      <c r="DD35" s="2126"/>
      <c r="DE35" s="2126"/>
      <c r="DF35" s="2126"/>
      <c r="DG35" s="2126"/>
      <c r="DH35" s="2126"/>
      <c r="DI35" s="2126"/>
      <c r="DJ35" s="2126"/>
      <c r="DK35" s="2126"/>
      <c r="DL35" s="2126"/>
      <c r="DM35" s="2126"/>
      <c r="DN35" s="2126"/>
      <c r="DO35" s="2126"/>
      <c r="DP35" s="2126"/>
      <c r="DQ35" s="2126"/>
      <c r="DR35" s="2126"/>
      <c r="DS35" s="2126"/>
      <c r="DT35" s="2126"/>
      <c r="DU35" s="2126"/>
      <c r="DV35" s="2126"/>
      <c r="DW35" s="2126"/>
      <c r="DX35" s="2126"/>
      <c r="DY35" s="2126"/>
      <c r="DZ35" s="2126"/>
      <c r="EA35" s="2126"/>
      <c r="EB35" s="2126"/>
      <c r="EC35" s="2126"/>
      <c r="ED35" s="2126"/>
      <c r="EE35" s="2126"/>
      <c r="EF35" s="2126"/>
      <c r="EG35" s="2126"/>
      <c r="EH35" s="2126"/>
      <c r="EI35" s="2126"/>
      <c r="EJ35" s="2126"/>
      <c r="EK35" s="2126"/>
      <c r="EL35" s="2126"/>
      <c r="EM35" s="2126"/>
      <c r="EN35" s="2126"/>
      <c r="EO35" s="2126"/>
      <c r="EP35" s="2126"/>
      <c r="EQ35" s="2126"/>
      <c r="ER35" s="2126"/>
      <c r="ES35" s="2126"/>
      <c r="ET35" s="2126"/>
      <c r="EU35" s="2126"/>
      <c r="EV35" s="2126"/>
      <c r="EW35" s="2126"/>
      <c r="EX35" s="2126"/>
      <c r="EY35" s="2126"/>
      <c r="EZ35" s="2126"/>
      <c r="FA35" s="2126"/>
      <c r="FB35" s="2126"/>
      <c r="FC35" s="2126"/>
      <c r="FD35" s="2126"/>
      <c r="FE35" s="2126"/>
      <c r="FF35" s="2126"/>
      <c r="FG35" s="2126"/>
      <c r="FH35" s="2126"/>
      <c r="FI35" s="2126"/>
      <c r="FJ35" s="2126"/>
      <c r="FK35" s="2126"/>
      <c r="FL35" s="2126"/>
      <c r="FM35" s="2126"/>
      <c r="FN35" s="2126"/>
      <c r="FO35" s="2126"/>
      <c r="FP35" s="2126"/>
      <c r="FQ35" s="2126"/>
      <c r="FR35" s="2126"/>
      <c r="FS35" s="2126"/>
      <c r="FT35" s="2126"/>
      <c r="FU35" s="2126"/>
      <c r="FV35" s="2126"/>
      <c r="FW35" s="2113" t="s">
        <v>481</v>
      </c>
      <c r="FX35" s="2113" t="s">
        <v>481</v>
      </c>
      <c r="FY35" s="2113" t="s">
        <v>481</v>
      </c>
      <c r="FZ35" s="2113" t="s">
        <v>481</v>
      </c>
      <c r="GA35" s="2113" t="s">
        <v>481</v>
      </c>
      <c r="GB35" s="2114"/>
      <c r="GC35" s="2113"/>
      <c r="GD35" s="2113"/>
      <c r="GE35" s="2113"/>
      <c r="GF35" s="2114"/>
      <c r="GG35" s="1960"/>
      <c r="GH35" s="2114"/>
      <c r="GI35" s="2114"/>
      <c r="GJ35" s="2113"/>
      <c r="GK35" s="2113"/>
      <c r="GL35" s="2113"/>
      <c r="GM35" s="2114"/>
      <c r="GN35" s="2114"/>
      <c r="GO35" s="2115"/>
      <c r="GP35" s="2116"/>
      <c r="GQ35" s="2116"/>
      <c r="GR35" s="2116"/>
      <c r="GS35" s="2116"/>
      <c r="GT35" s="1960"/>
      <c r="GU35" s="1960"/>
      <c r="GV35" s="1960"/>
      <c r="GW35" s="1960"/>
      <c r="GX35" s="1960"/>
      <c r="GY35" s="1960"/>
      <c r="GZ35" s="1960"/>
      <c r="HA35" s="1960"/>
      <c r="HB35" s="1960"/>
      <c r="HC35" s="1960"/>
      <c r="HD35" s="1960"/>
      <c r="HE35" s="1960"/>
      <c r="HF35" s="1960"/>
      <c r="HG35" s="1960"/>
      <c r="HH35" s="2117"/>
      <c r="HI35" s="1960"/>
      <c r="HJ35" s="1960"/>
      <c r="HK35" s="1960"/>
      <c r="HL35" s="1960"/>
      <c r="HM35" s="1960"/>
      <c r="HN35" s="1960"/>
      <c r="HO35" s="1960"/>
      <c r="HP35" s="1960"/>
      <c r="HQ35" s="1960"/>
      <c r="HR35" s="1960"/>
      <c r="HS35" s="1960"/>
      <c r="HT35" s="1962"/>
      <c r="HU35" s="1961"/>
      <c r="HV35" s="1960"/>
      <c r="HW35" s="1960"/>
      <c r="HX35" s="1960"/>
      <c r="HY35" s="1960"/>
      <c r="HZ35" s="1960"/>
      <c r="IA35" s="1960"/>
      <c r="IB35" s="1960"/>
      <c r="IC35" s="1960"/>
      <c r="ID35" s="1960"/>
      <c r="IE35" s="1960"/>
      <c r="IF35" s="1960"/>
      <c r="IG35" s="1961"/>
      <c r="IH35" s="1960"/>
      <c r="II35" s="1960"/>
      <c r="IJ35" s="1961"/>
      <c r="IK35" s="1960"/>
      <c r="IL35" s="1960"/>
      <c r="IM35" s="1960"/>
      <c r="IN35" s="1960"/>
      <c r="IO35" s="1960"/>
      <c r="IP35" s="1960"/>
      <c r="IQ35" s="1960"/>
      <c r="IR35" s="1960"/>
      <c r="IS35" s="2274"/>
      <c r="IT35" s="1960"/>
      <c r="IU35" s="1960"/>
      <c r="IV35" s="1960"/>
      <c r="IW35" s="1960"/>
      <c r="IX35" s="1960"/>
      <c r="IY35" s="1960"/>
      <c r="IZ35" s="1960"/>
      <c r="JA35" s="1960"/>
      <c r="JB35" s="1960"/>
      <c r="JC35" s="1960"/>
      <c r="JD35" s="1960"/>
      <c r="JE35" s="2274"/>
      <c r="JF35" s="2117"/>
      <c r="JG35" s="2103" t="e">
        <f t="shared" si="12"/>
        <v>#DIV/0!</v>
      </c>
      <c r="JI35" s="2155"/>
      <c r="JJ35" s="2104"/>
    </row>
    <row r="36" spans="2:270" ht="36.75" customHeight="1">
      <c r="B36" s="2105">
        <v>11</v>
      </c>
      <c r="C36" s="2106" t="s">
        <v>916</v>
      </c>
      <c r="D36" s="2425" t="s">
        <v>1165</v>
      </c>
      <c r="E36" s="2107" t="s">
        <v>917</v>
      </c>
      <c r="F36" s="2106" t="s">
        <v>918</v>
      </c>
      <c r="G36" s="2425" t="s">
        <v>1112</v>
      </c>
      <c r="H36" s="2106" t="s">
        <v>919</v>
      </c>
      <c r="I36" s="2106" t="s">
        <v>920</v>
      </c>
      <c r="J36" s="2359" t="s">
        <v>921</v>
      </c>
      <c r="K36" s="2425"/>
      <c r="L36" s="2409">
        <v>113.41</v>
      </c>
      <c r="M36" s="2409">
        <v>113.41</v>
      </c>
      <c r="N36" s="2409">
        <v>126.22</v>
      </c>
      <c r="O36" s="2409">
        <v>144.61000000000001</v>
      </c>
      <c r="P36" s="2409">
        <v>178.42</v>
      </c>
      <c r="Q36" s="2409">
        <v>184.21</v>
      </c>
      <c r="R36" s="2409">
        <v>194.79</v>
      </c>
      <c r="S36" s="2409">
        <v>218.76</v>
      </c>
      <c r="T36" s="2409">
        <v>212.95</v>
      </c>
      <c r="U36" s="2409">
        <v>227.45</v>
      </c>
      <c r="V36" s="2409">
        <v>205.37</v>
      </c>
      <c r="W36" s="2409">
        <v>206.68</v>
      </c>
      <c r="X36" s="2409">
        <v>212.13</v>
      </c>
      <c r="Y36" s="2409">
        <v>199.9</v>
      </c>
      <c r="Z36" s="2409">
        <v>201.68</v>
      </c>
      <c r="AA36" s="2409">
        <v>199.1</v>
      </c>
      <c r="AB36" s="2409">
        <v>192.36</v>
      </c>
      <c r="AC36" s="2409">
        <v>192.85</v>
      </c>
      <c r="AD36" s="2409">
        <v>190.29</v>
      </c>
      <c r="AE36" s="2409">
        <v>189.76</v>
      </c>
      <c r="AF36" s="2409">
        <v>193.4</v>
      </c>
      <c r="AG36" s="2409">
        <v>192.44</v>
      </c>
      <c r="AH36" s="2409">
        <v>185.36</v>
      </c>
      <c r="AI36" s="2409">
        <v>186.4</v>
      </c>
      <c r="AJ36" s="2409">
        <v>189.75</v>
      </c>
      <c r="AK36" s="2409">
        <v>190.39</v>
      </c>
      <c r="AL36" s="2409">
        <v>210.88</v>
      </c>
      <c r="AM36" s="2409">
        <v>217.96</v>
      </c>
      <c r="AN36" s="2409">
        <v>217.02</v>
      </c>
      <c r="AO36" s="2409">
        <v>223.9</v>
      </c>
      <c r="AP36" s="2409">
        <v>225.46</v>
      </c>
      <c r="AQ36" s="2409">
        <v>224.88</v>
      </c>
      <c r="AR36" s="2409">
        <v>227.75</v>
      </c>
      <c r="AS36" s="2409">
        <v>226.35</v>
      </c>
      <c r="AT36" s="2409">
        <v>225.24</v>
      </c>
      <c r="AU36" s="2409">
        <v>225.79</v>
      </c>
      <c r="AV36" s="2409">
        <v>231.09</v>
      </c>
      <c r="AW36" s="2410">
        <v>232.87</v>
      </c>
      <c r="AX36" s="2410">
        <v>232.87</v>
      </c>
      <c r="AY36" s="2410">
        <v>232.77</v>
      </c>
      <c r="AZ36" s="2410">
        <v>235.25</v>
      </c>
      <c r="BA36" s="2410">
        <v>235.06</v>
      </c>
      <c r="BB36" s="2410">
        <v>234.9</v>
      </c>
      <c r="BC36" s="2410">
        <v>235.38</v>
      </c>
      <c r="BD36" s="2411">
        <v>243.08</v>
      </c>
      <c r="BE36" s="2410">
        <v>235.04</v>
      </c>
      <c r="BF36" s="2411">
        <v>249.89</v>
      </c>
      <c r="BG36" s="2411">
        <v>253.6</v>
      </c>
      <c r="BH36" s="2411">
        <v>258</v>
      </c>
      <c r="BI36" s="2412">
        <v>258.47000000000003</v>
      </c>
      <c r="BJ36" s="2412">
        <v>270.86</v>
      </c>
      <c r="BK36" s="2412">
        <v>270.83999999999997</v>
      </c>
      <c r="BL36" s="2412">
        <v>270.33999999999997</v>
      </c>
      <c r="BM36" s="2412">
        <v>281.26</v>
      </c>
      <c r="BN36" s="2412">
        <v>282.89999999999998</v>
      </c>
      <c r="BO36" s="2412">
        <v>284.8</v>
      </c>
      <c r="BP36" s="2412">
        <v>290.99</v>
      </c>
      <c r="BQ36" s="2412">
        <v>292.54000000000002</v>
      </c>
      <c r="BR36" s="2412">
        <v>292.82</v>
      </c>
      <c r="BS36" s="2412">
        <v>294.74</v>
      </c>
      <c r="BT36" s="2412">
        <v>296.44</v>
      </c>
      <c r="BU36" s="2412">
        <v>297.22000000000003</v>
      </c>
      <c r="BV36" s="2412">
        <v>300.66000000000003</v>
      </c>
      <c r="BW36" s="2412">
        <v>306.42</v>
      </c>
      <c r="BX36" s="2412">
        <v>308.35000000000002</v>
      </c>
      <c r="BY36" s="2412">
        <v>322.92</v>
      </c>
      <c r="BZ36" s="2412">
        <v>322.35000000000002</v>
      </c>
      <c r="CA36" s="2412">
        <v>322.58</v>
      </c>
      <c r="CB36" s="2412">
        <v>337.19</v>
      </c>
      <c r="CC36" s="2412">
        <v>336.37</v>
      </c>
      <c r="CD36" s="2412">
        <v>339.88</v>
      </c>
      <c r="CE36" s="2412">
        <v>339.53</v>
      </c>
      <c r="CF36" s="2412">
        <v>352.75</v>
      </c>
      <c r="CG36" s="2412">
        <v>357.36</v>
      </c>
      <c r="CH36" s="2412">
        <v>362.89</v>
      </c>
      <c r="CI36" s="2412">
        <v>365.72</v>
      </c>
      <c r="CJ36" s="2412">
        <v>381.69</v>
      </c>
      <c r="CK36" s="2412">
        <v>382.04</v>
      </c>
      <c r="CL36" s="2412">
        <v>386.31</v>
      </c>
      <c r="CM36" s="2412">
        <v>386.2</v>
      </c>
      <c r="CN36" s="2412">
        <v>392.1</v>
      </c>
      <c r="CO36" s="2412">
        <v>395.08</v>
      </c>
      <c r="CP36" s="2412">
        <v>404.31</v>
      </c>
      <c r="CQ36" s="2412">
        <v>399.16</v>
      </c>
      <c r="CR36" s="2412">
        <v>395.42</v>
      </c>
      <c r="CS36" s="2412">
        <v>395.77</v>
      </c>
      <c r="CT36" s="2412">
        <v>392.2</v>
      </c>
      <c r="CU36" s="2412">
        <v>398.26</v>
      </c>
      <c r="CV36" s="2412">
        <v>399.77</v>
      </c>
      <c r="CW36" s="2412">
        <v>406.81</v>
      </c>
      <c r="CX36" s="2412">
        <v>410.3</v>
      </c>
      <c r="CY36" s="2412">
        <v>414.58</v>
      </c>
      <c r="CZ36" s="2412">
        <v>428.47</v>
      </c>
      <c r="DA36" s="2412">
        <v>437.68</v>
      </c>
      <c r="DB36" s="2412">
        <v>437.56</v>
      </c>
      <c r="DC36" s="2412">
        <v>437.44</v>
      </c>
      <c r="DD36" s="2412">
        <v>440.52</v>
      </c>
      <c r="DE36" s="2412">
        <v>440.16</v>
      </c>
      <c r="DF36" s="2412">
        <v>454.02</v>
      </c>
      <c r="DG36" s="2412">
        <v>453.9</v>
      </c>
      <c r="DH36" s="2412">
        <v>454.84</v>
      </c>
      <c r="DI36" s="2412">
        <v>455.43</v>
      </c>
      <c r="DJ36" s="2412">
        <v>459.85</v>
      </c>
      <c r="DK36" s="2412">
        <v>469.53</v>
      </c>
      <c r="DL36" s="2412">
        <v>477.33</v>
      </c>
      <c r="DM36" s="2412">
        <v>480.01</v>
      </c>
      <c r="DN36" s="2412">
        <v>495.3</v>
      </c>
      <c r="DO36" s="2412">
        <v>509.21</v>
      </c>
      <c r="DP36" s="2412">
        <v>509.56</v>
      </c>
      <c r="DQ36" s="2412">
        <v>509.45</v>
      </c>
      <c r="DR36" s="2412">
        <v>510.56</v>
      </c>
      <c r="DS36" s="2412">
        <v>526.20000000000005</v>
      </c>
      <c r="DT36" s="2412">
        <v>534.25</v>
      </c>
      <c r="DU36" s="2412">
        <v>539.14</v>
      </c>
      <c r="DV36" s="2412">
        <v>552.92999999999995</v>
      </c>
      <c r="DW36" s="2412">
        <v>567.27</v>
      </c>
      <c r="DX36" s="2412">
        <v>555.86</v>
      </c>
      <c r="DY36" s="2412">
        <v>560.28</v>
      </c>
      <c r="DZ36" s="2412">
        <v>565.15</v>
      </c>
      <c r="EA36" s="2412">
        <v>571.53</v>
      </c>
      <c r="EB36" s="2412">
        <v>571.80999999999995</v>
      </c>
      <c r="EC36" s="2412">
        <v>572.27</v>
      </c>
      <c r="ED36" s="2412">
        <v>576.77</v>
      </c>
      <c r="EE36" s="2412">
        <v>582.14</v>
      </c>
      <c r="EF36" s="2412">
        <v>585.13</v>
      </c>
      <c r="EG36" s="2412">
        <v>592.04</v>
      </c>
      <c r="EH36" s="2412">
        <v>600.96</v>
      </c>
      <c r="EI36" s="2412">
        <v>633.03</v>
      </c>
      <c r="EJ36" s="2412">
        <v>622.25</v>
      </c>
      <c r="EK36" s="2412">
        <v>623.5</v>
      </c>
      <c r="EL36" s="2412">
        <v>622.08000000000004</v>
      </c>
      <c r="EM36" s="2412">
        <v>630.34</v>
      </c>
      <c r="EN36" s="2412">
        <v>631.36</v>
      </c>
      <c r="EO36" s="2412">
        <v>631.78</v>
      </c>
      <c r="EP36" s="2412">
        <v>643.46</v>
      </c>
      <c r="EQ36" s="2412">
        <v>643.46</v>
      </c>
      <c r="ER36" s="2412">
        <v>671.48</v>
      </c>
      <c r="ES36" s="2412">
        <v>671.48</v>
      </c>
      <c r="ET36" s="2412">
        <v>674.37</v>
      </c>
      <c r="EU36" s="2412">
        <v>688.82</v>
      </c>
      <c r="EV36" s="2412">
        <v>698.17</v>
      </c>
      <c r="EW36" s="2412">
        <v>705.68</v>
      </c>
      <c r="EX36" s="2412">
        <v>715.33</v>
      </c>
      <c r="EY36" s="2412">
        <v>715.29</v>
      </c>
      <c r="EZ36" s="2412">
        <v>728.64</v>
      </c>
      <c r="FA36" s="2412">
        <v>748.69</v>
      </c>
      <c r="FB36" s="2412">
        <v>854.42</v>
      </c>
      <c r="FC36" s="2412">
        <v>854.42</v>
      </c>
      <c r="FD36" s="2412">
        <v>850.76</v>
      </c>
      <c r="FE36" s="2412">
        <v>880.24</v>
      </c>
      <c r="FF36" s="2412">
        <v>912.7</v>
      </c>
      <c r="FG36" s="2412">
        <v>912.7</v>
      </c>
      <c r="FH36" s="2412">
        <v>930.44</v>
      </c>
      <c r="FI36" s="2412">
        <v>944.27</v>
      </c>
      <c r="FJ36" s="2412">
        <v>947.37</v>
      </c>
      <c r="FK36" s="2412">
        <v>955.49</v>
      </c>
      <c r="FL36" s="2412">
        <v>957.64</v>
      </c>
      <c r="FM36" s="2412">
        <v>986.75</v>
      </c>
      <c r="FN36" s="2412">
        <v>991.26</v>
      </c>
      <c r="FO36" s="2412">
        <v>1010.53</v>
      </c>
      <c r="FP36" s="2412">
        <v>1043.81</v>
      </c>
      <c r="FQ36" s="2412">
        <v>1056.56</v>
      </c>
      <c r="FR36" s="2412">
        <v>1062.82</v>
      </c>
      <c r="FS36" s="2412">
        <v>1072.0999999999999</v>
      </c>
      <c r="FT36" s="2412">
        <v>1116.8499999999999</v>
      </c>
      <c r="FU36" s="2412">
        <v>1122.75</v>
      </c>
      <c r="FV36" s="2412">
        <v>1169.26</v>
      </c>
      <c r="FW36" s="2413">
        <v>1122.1588272585423</v>
      </c>
      <c r="FX36" s="2413">
        <v>1122.1588272585423</v>
      </c>
      <c r="FY36" s="2413">
        <v>100</v>
      </c>
      <c r="FZ36" s="2413">
        <v>101.46691799163818</v>
      </c>
      <c r="GA36" s="2413">
        <v>110.57907059961281</v>
      </c>
      <c r="GB36" s="2413">
        <v>110.57907059961281</v>
      </c>
      <c r="GC36" s="2413">
        <v>107.4004757024356</v>
      </c>
      <c r="GD36" s="2413">
        <v>107.54932494303863</v>
      </c>
      <c r="GE36" s="2413">
        <v>106.99308471375193</v>
      </c>
      <c r="GF36" s="2413">
        <v>106.99308471375193</v>
      </c>
      <c r="GG36" s="2413">
        <v>106.83682210410674</v>
      </c>
      <c r="GH36" s="2413">
        <v>106.83682210410674</v>
      </c>
      <c r="GI36" s="2413">
        <v>106.99309210828591</v>
      </c>
      <c r="GJ36" s="2413">
        <v>108.70312288396909</v>
      </c>
      <c r="GK36" s="2416">
        <v>108.70312288396909</v>
      </c>
      <c r="GL36" s="2417">
        <v>110.48977828266577</v>
      </c>
      <c r="GM36" s="2417">
        <v>111.57303438848228</v>
      </c>
      <c r="GN36" s="2417">
        <v>111.95174072547447</v>
      </c>
      <c r="GO36" s="2417">
        <v>111.97001097162891</v>
      </c>
      <c r="GP36" s="2417">
        <v>109.98336806818493</v>
      </c>
      <c r="GQ36" s="2417">
        <v>110.44410309565124</v>
      </c>
      <c r="GR36" s="2417">
        <v>113.05125343372963</v>
      </c>
      <c r="GS36" s="2417">
        <v>113.29553317832369</v>
      </c>
      <c r="GT36" s="2417">
        <v>115.3970210975924</v>
      </c>
      <c r="GU36" s="2417">
        <v>115.46965487323138</v>
      </c>
      <c r="GV36" s="2417">
        <v>115.46965487323138</v>
      </c>
      <c r="GW36" s="2417">
        <v>117.81360982270314</v>
      </c>
      <c r="GX36" s="2417">
        <v>122.36615504251182</v>
      </c>
      <c r="GY36" s="2417">
        <v>124.03628531791416</v>
      </c>
      <c r="GZ36" s="2417">
        <v>127.72831529355327</v>
      </c>
      <c r="HA36" s="2417">
        <v>130.00589568948129</v>
      </c>
      <c r="HB36" s="2417">
        <v>146.99706082092553</v>
      </c>
      <c r="HC36" s="2417">
        <v>164.74798250680757</v>
      </c>
      <c r="HD36" s="2417">
        <v>155.83161107643483</v>
      </c>
      <c r="HE36" s="2417">
        <v>168.43372743992447</v>
      </c>
      <c r="HF36" s="2417">
        <v>174.40533917459098</v>
      </c>
      <c r="HG36" s="2417">
        <v>180.7217916579763</v>
      </c>
      <c r="HH36" s="2418">
        <v>177.33790625861914</v>
      </c>
      <c r="HI36" s="2416">
        <v>180.72444667304504</v>
      </c>
      <c r="HJ36" s="2417">
        <v>177.34051156044276</v>
      </c>
      <c r="HK36" s="2417">
        <v>178.43171330279759</v>
      </c>
      <c r="HL36" s="2417">
        <v>194.97623641742547</v>
      </c>
      <c r="HM36" s="2417">
        <v>204.58721204472693</v>
      </c>
      <c r="HN36" s="2417">
        <v>205.62164176854856</v>
      </c>
      <c r="HO36" s="2417">
        <v>207.5273069770553</v>
      </c>
      <c r="HP36" s="2417">
        <v>215.34836187955253</v>
      </c>
      <c r="HQ36" s="2417">
        <v>229.03031396301884</v>
      </c>
      <c r="HR36" s="2417">
        <v>229.42262562513048</v>
      </c>
      <c r="HS36" s="2417">
        <v>237.8726572246658</v>
      </c>
      <c r="HT36" s="2419">
        <v>239.85680282657475</v>
      </c>
      <c r="HU36" s="2420">
        <f>+'Abert aluminio'!C14</f>
        <v>241.356716335822</v>
      </c>
      <c r="HV36" s="2420">
        <f>+'Abert aluminio'!D14</f>
        <v>243.92266970975462</v>
      </c>
      <c r="HW36" s="2420">
        <f>+'Abert aluminio'!E14</f>
        <v>247.90251575911941</v>
      </c>
      <c r="HX36" s="2420">
        <f>+'Abert aluminio'!F14</f>
        <v>253.6628192516211</v>
      </c>
      <c r="HY36" s="2420">
        <f>+'Abert aluminio'!G14</f>
        <v>259.73732111644114</v>
      </c>
      <c r="HZ36" s="2420">
        <f>+'Abert aluminio'!H14</f>
        <v>270.26296658910337</v>
      </c>
      <c r="IA36" s="2420">
        <f>+'Abert aluminio'!I14</f>
        <v>277.85609392012833</v>
      </c>
      <c r="IB36" s="2420">
        <f>+'Abert aluminio'!J14</f>
        <v>295.13700439763346</v>
      </c>
      <c r="IC36" s="2420">
        <f>+'Abert aluminio'!K14</f>
        <v>333.6786714020086</v>
      </c>
      <c r="ID36" s="2420">
        <f>+'Abert aluminio'!L14</f>
        <v>337.29195268366874</v>
      </c>
      <c r="IE36" s="2420">
        <f>+'Abert aluminio'!M14</f>
        <v>366.19820293695005</v>
      </c>
      <c r="IF36" s="2420">
        <f>+'Abert aluminio'!N14</f>
        <v>374.73392538492993</v>
      </c>
      <c r="IG36" s="2420">
        <f>+'Abert aluminio'!C21</f>
        <v>382.64125108827318</v>
      </c>
      <c r="IH36" s="2420">
        <f>+'Abert aluminio'!D21</f>
        <v>388.03498981307024</v>
      </c>
      <c r="II36" s="2420">
        <f>+'Abert aluminio'!E21</f>
        <v>424.37726821121743</v>
      </c>
      <c r="IJ36" s="2420">
        <f>+'Abert aluminio'!F21</f>
        <v>433.59375379922022</v>
      </c>
      <c r="IK36" s="2420">
        <f>+'Abert aluminio'!G21</f>
        <v>444.53833043497349</v>
      </c>
      <c r="IL36" s="2420">
        <f>+'Abert aluminio'!H21</f>
        <v>444.53833043497349</v>
      </c>
      <c r="IM36" s="2420">
        <f>+'Abert aluminio'!I21</f>
        <v>461.45267614477405</v>
      </c>
      <c r="IN36" s="2420">
        <f>+'Abert aluminio'!J21</f>
        <v>470.51206254661764</v>
      </c>
      <c r="IO36" s="2420">
        <f>+'Abert aluminio'!K21</f>
        <v>478.62885383150643</v>
      </c>
      <c r="IP36" s="2420">
        <f>+'Abert aluminio'!L21</f>
        <v>513.5572395542215</v>
      </c>
      <c r="IQ36" s="2420">
        <f>+'Abert aluminio'!M21</f>
        <v>545.9720382983902</v>
      </c>
      <c r="IR36" s="2420">
        <f>+'Abert aluminio'!N21</f>
        <v>545.9720382983902</v>
      </c>
      <c r="IS36" s="2420">
        <f>+'Abert aluminio'!C28</f>
        <v>570.74134331614778</v>
      </c>
      <c r="IT36" s="2417">
        <f>+'Abert aluminio'!D28</f>
        <v>594.88225158926855</v>
      </c>
      <c r="IU36" s="2417">
        <f>+'Abert aluminio'!E28</f>
        <v>649.13383720955733</v>
      </c>
      <c r="IV36" s="2417">
        <f>+'Abert aluminio'!F28</f>
        <v>665.36741977933502</v>
      </c>
      <c r="IW36" s="2417">
        <f>+'Abert aluminio'!G28</f>
        <v>700.03397352511809</v>
      </c>
      <c r="IX36" s="2417">
        <f>+'Abert aluminio'!H28</f>
        <v>744.85960797585881</v>
      </c>
      <c r="IY36" s="2417">
        <f>+'Abert aluminio'!I28</f>
        <v>843.1513321160927</v>
      </c>
      <c r="IZ36" s="2417">
        <f>+'Abert aluminio'!J28</f>
        <v>1020.2021149174411</v>
      </c>
      <c r="JA36" s="2417">
        <f>+'Abert aluminio'!K28</f>
        <v>1020.2021149174411</v>
      </c>
      <c r="JB36" s="2417">
        <f>+'Abert aluminio'!L28</f>
        <v>1068.5886642544556</v>
      </c>
      <c r="JC36" s="2417">
        <f>+'Abert aluminio'!M28</f>
        <v>1068.5886642544556</v>
      </c>
      <c r="JD36" s="2415">
        <f>+'Abert aluminio'!N28</f>
        <v>1122.3689523162673</v>
      </c>
      <c r="JE36" s="2422">
        <f>+'Abert aluminio'!C35</f>
        <v>1135.9318487213393</v>
      </c>
      <c r="JF36" s="2418">
        <f>+'Abert aluminio'!D35</f>
        <v>1189.29320562006</v>
      </c>
      <c r="JG36" s="2103">
        <f t="shared" si="12"/>
        <v>1.0469758436289878</v>
      </c>
      <c r="JI36" s="2155"/>
      <c r="JJ36" s="2104"/>
    </row>
    <row r="37" spans="2:270" ht="47.25">
      <c r="B37" s="2105">
        <v>12</v>
      </c>
      <c r="C37" s="2106" t="s">
        <v>922</v>
      </c>
      <c r="D37" s="2425" t="s">
        <v>1166</v>
      </c>
      <c r="E37" s="2107" t="s">
        <v>923</v>
      </c>
      <c r="F37" s="2106" t="s">
        <v>918</v>
      </c>
      <c r="G37" s="2425" t="s">
        <v>1112</v>
      </c>
      <c r="H37" s="2106" t="s">
        <v>919</v>
      </c>
      <c r="I37" s="2106" t="s">
        <v>920</v>
      </c>
      <c r="J37" s="2359" t="s">
        <v>921</v>
      </c>
      <c r="K37" s="2425"/>
      <c r="L37" s="2110">
        <v>122.2</v>
      </c>
      <c r="M37" s="2110">
        <v>133.5</v>
      </c>
      <c r="N37" s="2110">
        <v>149.38</v>
      </c>
      <c r="O37" s="2110">
        <v>156.33000000000001</v>
      </c>
      <c r="P37" s="2110">
        <v>199.1</v>
      </c>
      <c r="Q37" s="2110">
        <v>199.71</v>
      </c>
      <c r="R37" s="2110">
        <v>239.56</v>
      </c>
      <c r="S37" s="2110">
        <v>243.4</v>
      </c>
      <c r="T37" s="2110">
        <v>244.74</v>
      </c>
      <c r="U37" s="2110">
        <v>244.53</v>
      </c>
      <c r="V37" s="2110">
        <v>244.08</v>
      </c>
      <c r="W37" s="2110">
        <v>244.09</v>
      </c>
      <c r="X37" s="2110">
        <v>244.12</v>
      </c>
      <c r="Y37" s="2110">
        <v>244.06</v>
      </c>
      <c r="Z37" s="2110">
        <v>244.08</v>
      </c>
      <c r="AA37" s="2110">
        <v>244.34</v>
      </c>
      <c r="AB37" s="2110">
        <v>237.23</v>
      </c>
      <c r="AC37" s="2110">
        <v>247.91</v>
      </c>
      <c r="AD37" s="2110">
        <v>244.63</v>
      </c>
      <c r="AE37" s="2110">
        <v>244.61</v>
      </c>
      <c r="AF37" s="2110">
        <v>243.13</v>
      </c>
      <c r="AG37" s="2110">
        <v>243.12</v>
      </c>
      <c r="AH37" s="2110">
        <v>253.24</v>
      </c>
      <c r="AI37" s="2110">
        <v>253.24</v>
      </c>
      <c r="AJ37" s="2110">
        <v>254.3</v>
      </c>
      <c r="AK37" s="2110">
        <v>255.32</v>
      </c>
      <c r="AL37" s="2110">
        <v>256.32</v>
      </c>
      <c r="AM37" s="2110">
        <v>257.08999999999997</v>
      </c>
      <c r="AN37" s="2110">
        <v>257.08999999999997</v>
      </c>
      <c r="AO37" s="2110">
        <v>272.64999999999998</v>
      </c>
      <c r="AP37" s="2110">
        <v>277.92</v>
      </c>
      <c r="AQ37" s="2110">
        <v>283.10000000000002</v>
      </c>
      <c r="AR37" s="2110">
        <v>290.24</v>
      </c>
      <c r="AS37" s="2110">
        <v>291.04000000000002</v>
      </c>
      <c r="AT37" s="2110">
        <v>295.94</v>
      </c>
      <c r="AU37" s="2110">
        <v>295.94</v>
      </c>
      <c r="AV37" s="2110">
        <v>297.48</v>
      </c>
      <c r="AW37" s="2111">
        <v>311.22000000000003</v>
      </c>
      <c r="AX37" s="2111">
        <v>316.88</v>
      </c>
      <c r="AY37" s="2111">
        <v>316.88</v>
      </c>
      <c r="AZ37" s="2111">
        <v>321.10000000000002</v>
      </c>
      <c r="BA37" s="2111">
        <v>321.10000000000002</v>
      </c>
      <c r="BB37" s="2111">
        <v>321.10000000000002</v>
      </c>
      <c r="BC37" s="2111">
        <v>349.07</v>
      </c>
      <c r="BD37" s="2112">
        <v>349.07</v>
      </c>
      <c r="BE37" s="2111">
        <v>330.13</v>
      </c>
      <c r="BF37" s="2112">
        <v>333.68</v>
      </c>
      <c r="BG37" s="2112">
        <v>342.77</v>
      </c>
      <c r="BH37" s="2112">
        <v>342.69</v>
      </c>
      <c r="BI37" s="2108">
        <v>350.3</v>
      </c>
      <c r="BJ37" s="2108">
        <v>356.28</v>
      </c>
      <c r="BK37" s="2108">
        <v>356.28</v>
      </c>
      <c r="BL37" s="2108">
        <v>361.72</v>
      </c>
      <c r="BM37" s="2108">
        <v>403.67</v>
      </c>
      <c r="BN37" s="2108">
        <v>411.89</v>
      </c>
      <c r="BO37" s="2108">
        <v>411.89</v>
      </c>
      <c r="BP37" s="2108">
        <v>436.52</v>
      </c>
      <c r="BQ37" s="2108">
        <v>436.52</v>
      </c>
      <c r="BR37" s="2108">
        <v>437.62</v>
      </c>
      <c r="BS37" s="2108">
        <v>437.62</v>
      </c>
      <c r="BT37" s="2108">
        <v>438.15</v>
      </c>
      <c r="BU37" s="2108">
        <v>438.15</v>
      </c>
      <c r="BV37" s="2108">
        <v>418.7</v>
      </c>
      <c r="BW37" s="2108">
        <v>438.7</v>
      </c>
      <c r="BX37" s="2108">
        <v>453.28</v>
      </c>
      <c r="BY37" s="2108">
        <v>453.28</v>
      </c>
      <c r="BZ37" s="2108">
        <v>456.25</v>
      </c>
      <c r="CA37" s="2108">
        <v>465.18</v>
      </c>
      <c r="CB37" s="2108">
        <v>466.97</v>
      </c>
      <c r="CC37" s="2108">
        <v>479.93</v>
      </c>
      <c r="CD37" s="2108">
        <v>483.38</v>
      </c>
      <c r="CE37" s="2108">
        <v>496.35</v>
      </c>
      <c r="CF37" s="2108">
        <v>499.42</v>
      </c>
      <c r="CG37" s="2108">
        <v>499.42</v>
      </c>
      <c r="CH37" s="2108">
        <v>502.79</v>
      </c>
      <c r="CI37" s="2108">
        <v>514.12</v>
      </c>
      <c r="CJ37" s="2108">
        <v>517.83000000000004</v>
      </c>
      <c r="CK37" s="2108">
        <v>520.44000000000005</v>
      </c>
      <c r="CL37" s="2108">
        <v>538.39</v>
      </c>
      <c r="CM37" s="2108">
        <v>538.39</v>
      </c>
      <c r="CN37" s="2108">
        <v>556.9</v>
      </c>
      <c r="CO37" s="2108">
        <v>556.9</v>
      </c>
      <c r="CP37" s="2108">
        <v>558.76</v>
      </c>
      <c r="CQ37" s="2108">
        <v>560.85</v>
      </c>
      <c r="CR37" s="2108">
        <v>560.59</v>
      </c>
      <c r="CS37" s="2108">
        <v>560.59</v>
      </c>
      <c r="CT37" s="2108">
        <v>560.74</v>
      </c>
      <c r="CU37" s="2108">
        <v>570.99</v>
      </c>
      <c r="CV37" s="2108">
        <v>570.69000000000005</v>
      </c>
      <c r="CW37" s="2108">
        <v>570.99</v>
      </c>
      <c r="CX37" s="2108">
        <v>570.99</v>
      </c>
      <c r="CY37" s="2108">
        <v>570.99</v>
      </c>
      <c r="CZ37" s="2108">
        <v>577.91999999999996</v>
      </c>
      <c r="DA37" s="2108">
        <v>582.36</v>
      </c>
      <c r="DB37" s="2108">
        <v>582.36</v>
      </c>
      <c r="DC37" s="2108">
        <v>582.36</v>
      </c>
      <c r="DD37" s="2108">
        <v>594.38</v>
      </c>
      <c r="DE37" s="2108">
        <v>596.20000000000005</v>
      </c>
      <c r="DF37" s="2108">
        <v>604.69000000000005</v>
      </c>
      <c r="DG37" s="2108">
        <v>616.61</v>
      </c>
      <c r="DH37" s="2108">
        <v>628.63</v>
      </c>
      <c r="DI37" s="2108">
        <v>642.91999999999996</v>
      </c>
      <c r="DJ37" s="2108">
        <v>644.25</v>
      </c>
      <c r="DK37" s="2108">
        <v>656.45</v>
      </c>
      <c r="DL37" s="2108">
        <v>658.98</v>
      </c>
      <c r="DM37" s="2108">
        <v>658.98</v>
      </c>
      <c r="DN37" s="2108">
        <v>675.03</v>
      </c>
      <c r="DO37" s="2108">
        <v>676.19</v>
      </c>
      <c r="DP37" s="2108">
        <v>676.19</v>
      </c>
      <c r="DQ37" s="2108">
        <v>684.78</v>
      </c>
      <c r="DR37" s="2108">
        <v>714.51</v>
      </c>
      <c r="DS37" s="2108">
        <v>723.46</v>
      </c>
      <c r="DT37" s="2108">
        <v>735.11</v>
      </c>
      <c r="DU37" s="2108">
        <v>737.66</v>
      </c>
      <c r="DV37" s="2108">
        <v>775.32</v>
      </c>
      <c r="DW37" s="2108">
        <v>776.15</v>
      </c>
      <c r="DX37" s="2108">
        <v>787.12</v>
      </c>
      <c r="DY37" s="2108">
        <v>804.99</v>
      </c>
      <c r="DZ37" s="2108">
        <v>806.9</v>
      </c>
      <c r="EA37" s="2108">
        <v>834.44</v>
      </c>
      <c r="EB37" s="2108">
        <v>834.46</v>
      </c>
      <c r="EC37" s="2108">
        <v>861.38</v>
      </c>
      <c r="ED37" s="2108">
        <v>861.38</v>
      </c>
      <c r="EE37" s="2108">
        <v>863.6</v>
      </c>
      <c r="EF37" s="2108">
        <v>877.96</v>
      </c>
      <c r="EG37" s="2108">
        <v>877.96</v>
      </c>
      <c r="EH37" s="2108">
        <v>892.33</v>
      </c>
      <c r="EI37" s="2108">
        <v>892.33</v>
      </c>
      <c r="EJ37" s="2108">
        <v>905.37</v>
      </c>
      <c r="EK37" s="2108">
        <v>937.52</v>
      </c>
      <c r="EL37" s="2108">
        <v>937.52</v>
      </c>
      <c r="EM37" s="2108">
        <v>941.86</v>
      </c>
      <c r="EN37" s="2108">
        <v>954.01</v>
      </c>
      <c r="EO37" s="2108">
        <v>978.57</v>
      </c>
      <c r="EP37" s="2108">
        <v>993.51</v>
      </c>
      <c r="EQ37" s="2108">
        <v>993.53</v>
      </c>
      <c r="ER37" s="2108">
        <v>996.78</v>
      </c>
      <c r="ES37" s="2108">
        <v>998.59</v>
      </c>
      <c r="ET37" s="2108">
        <v>1001.52</v>
      </c>
      <c r="EU37" s="2108">
        <v>1005.75</v>
      </c>
      <c r="EV37" s="2108">
        <v>1054.46</v>
      </c>
      <c r="EW37" s="2108">
        <v>1054.46</v>
      </c>
      <c r="EX37" s="2108">
        <v>1056.58</v>
      </c>
      <c r="EY37" s="2108">
        <v>1117.31</v>
      </c>
      <c r="EZ37" s="2108">
        <v>1193.22</v>
      </c>
      <c r="FA37" s="2108">
        <v>1197.8399999999999</v>
      </c>
      <c r="FB37" s="2108">
        <v>1212.99</v>
      </c>
      <c r="FC37" s="2108">
        <v>1212.99</v>
      </c>
      <c r="FD37" s="2108">
        <v>1219.1400000000001</v>
      </c>
      <c r="FE37" s="2108">
        <v>1280.05</v>
      </c>
      <c r="FF37" s="2108">
        <v>1287.45</v>
      </c>
      <c r="FG37" s="2108">
        <v>1287.45</v>
      </c>
      <c r="FH37" s="2108">
        <v>1289.19</v>
      </c>
      <c r="FI37" s="2108">
        <v>1290.96</v>
      </c>
      <c r="FJ37" s="2108">
        <v>1363.49</v>
      </c>
      <c r="FK37" s="2108">
        <v>1367.6</v>
      </c>
      <c r="FL37" s="2108">
        <v>1369.07</v>
      </c>
      <c r="FM37" s="2108">
        <v>1370.47</v>
      </c>
      <c r="FN37" s="2108">
        <v>1438.87</v>
      </c>
      <c r="FO37" s="2108">
        <v>1444.1</v>
      </c>
      <c r="FP37" s="2108">
        <v>1450.65</v>
      </c>
      <c r="FQ37" s="2108">
        <v>1457.62</v>
      </c>
      <c r="FR37" s="2108">
        <v>1551.15</v>
      </c>
      <c r="FS37" s="2108">
        <v>1555.73</v>
      </c>
      <c r="FT37" s="2108">
        <v>1561.52</v>
      </c>
      <c r="FU37" s="2108">
        <v>1653.75</v>
      </c>
      <c r="FV37" s="2108">
        <v>1664.54</v>
      </c>
      <c r="FW37" s="2113">
        <v>1642.4817132239407</v>
      </c>
      <c r="FX37" s="2113">
        <v>1668.9981949783364</v>
      </c>
      <c r="FY37" s="2113">
        <v>100</v>
      </c>
      <c r="FZ37" s="2113">
        <v>106.32354021072388</v>
      </c>
      <c r="GA37" s="2113">
        <v>107.98295698821647</v>
      </c>
      <c r="GB37" s="2113">
        <v>107.98295698821647</v>
      </c>
      <c r="GC37" s="2113">
        <v>114.80310286599463</v>
      </c>
      <c r="GD37" s="2113">
        <v>114.80310286599463</v>
      </c>
      <c r="GE37" s="2113">
        <v>114.80310286599463</v>
      </c>
      <c r="GF37" s="2114">
        <v>114.80310286599463</v>
      </c>
      <c r="GG37" s="1960">
        <v>114.80310286599463</v>
      </c>
      <c r="GH37" s="2114">
        <v>117.05427397765382</v>
      </c>
      <c r="GI37" s="2114">
        <v>117.05427397765382</v>
      </c>
      <c r="GJ37" s="2113">
        <v>116.14402946508268</v>
      </c>
      <c r="GK37" s="2113">
        <v>116.14402946508268</v>
      </c>
      <c r="GL37" s="2113">
        <v>116.98541729374186</v>
      </c>
      <c r="GM37" s="2114">
        <v>117.92431481038601</v>
      </c>
      <c r="GN37" s="2114">
        <v>117.92431481038601</v>
      </c>
      <c r="GO37" s="2115">
        <v>117.92431481038601</v>
      </c>
      <c r="GP37" s="2116">
        <v>118.96975589474933</v>
      </c>
      <c r="GQ37" s="2116">
        <v>121.36687661857411</v>
      </c>
      <c r="GR37" s="2116">
        <v>121.36687661857411</v>
      </c>
      <c r="GS37" s="2116">
        <v>121.36687661857411</v>
      </c>
      <c r="GT37" s="1960">
        <v>125.03554237386651</v>
      </c>
      <c r="GU37" s="1960">
        <v>126.28567302420069</v>
      </c>
      <c r="GV37" s="1960">
        <v>129.43459212267317</v>
      </c>
      <c r="GW37" s="1960">
        <v>131.16228290457261</v>
      </c>
      <c r="GX37" s="1960">
        <v>132.37711911250528</v>
      </c>
      <c r="GY37" s="1960">
        <v>132.37711911250528</v>
      </c>
      <c r="GZ37" s="1960">
        <v>133.39591350722529</v>
      </c>
      <c r="HA37" s="1960">
        <v>139.76831891987979</v>
      </c>
      <c r="HB37" s="1960">
        <v>157.67774429997061</v>
      </c>
      <c r="HC37" s="1960">
        <v>171.53427892654949</v>
      </c>
      <c r="HD37" s="1960">
        <v>172.00650591356811</v>
      </c>
      <c r="HE37" s="1960">
        <v>176.67498674383623</v>
      </c>
      <c r="HF37" s="1960">
        <v>192.28897759658477</v>
      </c>
      <c r="HG37" s="1960">
        <v>194.7700333637581</v>
      </c>
      <c r="HH37" s="2117">
        <v>196.4476126070233</v>
      </c>
      <c r="HI37" s="1960">
        <v>194.7700333637581</v>
      </c>
      <c r="HJ37" s="1960">
        <v>196.4476126070233</v>
      </c>
      <c r="HK37" s="1960">
        <v>208.33142617586842</v>
      </c>
      <c r="HL37" s="1960">
        <v>210.65740322165234</v>
      </c>
      <c r="HM37" s="1960">
        <v>229.21176056594223</v>
      </c>
      <c r="HN37" s="1960">
        <v>232.32334628058257</v>
      </c>
      <c r="HO37" s="1960">
        <v>232.16920393299725</v>
      </c>
      <c r="HP37" s="1960">
        <v>265.0839008197969</v>
      </c>
      <c r="HQ37" s="1960">
        <v>291.00013167106874</v>
      </c>
      <c r="HR37" s="1960">
        <v>292.33162172242169</v>
      </c>
      <c r="HS37" s="1960">
        <v>332.93384812672809</v>
      </c>
      <c r="HT37" s="1962">
        <v>324.1042511001861</v>
      </c>
      <c r="HU37" s="1961">
        <v>325.26469669505479</v>
      </c>
      <c r="HV37" s="1960">
        <v>341.01548945217945</v>
      </c>
      <c r="HW37" s="1960">
        <v>348.04840615698771</v>
      </c>
      <c r="HX37" s="1960">
        <v>348.04840615698771</v>
      </c>
      <c r="HY37" s="1960">
        <v>348.04840615698771</v>
      </c>
      <c r="HZ37" s="1960">
        <v>348.04840615698771</v>
      </c>
      <c r="IA37" s="1960">
        <v>348.04840615698771</v>
      </c>
      <c r="IB37" s="1960">
        <v>350.36914167893661</v>
      </c>
      <c r="IC37" s="1960">
        <v>358.15746322270667</v>
      </c>
      <c r="ID37" s="1960">
        <v>370.13608909982122</v>
      </c>
      <c r="IE37" s="1960">
        <v>373.44383106423584</v>
      </c>
      <c r="IF37" s="1960">
        <v>384.20443471524817</v>
      </c>
      <c r="IG37" s="1961">
        <v>384.20443471524817</v>
      </c>
      <c r="IH37" s="1960">
        <v>384.90576027068073</v>
      </c>
      <c r="II37" s="1960">
        <v>386.91519938975142</v>
      </c>
      <c r="IJ37" s="1961">
        <v>390.3698212429473</v>
      </c>
      <c r="IK37" s="1960">
        <v>394.07661726947623</v>
      </c>
      <c r="IL37" s="1960">
        <v>400.00740390897471</v>
      </c>
      <c r="IM37" s="1960">
        <v>401.91668986343507</v>
      </c>
      <c r="IN37" s="1960">
        <v>399.85568262064004</v>
      </c>
      <c r="IO37" s="1960">
        <v>411.25943340375318</v>
      </c>
      <c r="IP37" s="1960">
        <v>422.0688425815228</v>
      </c>
      <c r="IQ37" s="1960">
        <v>428.33248489504678</v>
      </c>
      <c r="IR37" s="1960">
        <v>433.64956543979105</v>
      </c>
      <c r="IS37" s="2274">
        <v>437.64932562433358</v>
      </c>
      <c r="IT37" s="1960">
        <v>485.05995240621138</v>
      </c>
      <c r="IU37" s="1960">
        <v>515.16049482983556</v>
      </c>
      <c r="IV37" s="1960">
        <v>553.23246259233429</v>
      </c>
      <c r="IW37" s="1960">
        <v>569.34098270854713</v>
      </c>
      <c r="IX37" s="1960">
        <v>581.71268360208569</v>
      </c>
      <c r="IY37" s="1960">
        <v>643.03516012143916</v>
      </c>
      <c r="IZ37" s="1960">
        <v>814.22977842144383</v>
      </c>
      <c r="JA37" s="1960">
        <v>849.87105590035003</v>
      </c>
      <c r="JB37" s="1960">
        <v>859.35820143686999</v>
      </c>
      <c r="JC37" s="1960">
        <v>890.57774063251793</v>
      </c>
      <c r="JD37" s="1960">
        <v>892.55736504317599</v>
      </c>
      <c r="JE37" s="2274">
        <v>922.25947391222098</v>
      </c>
      <c r="JF37" s="2117">
        <v>937.60270363224629</v>
      </c>
      <c r="JG37" s="2103">
        <f t="shared" si="12"/>
        <v>1.0166365650384044</v>
      </c>
      <c r="JI37" s="2155"/>
      <c r="JJ37" s="2104"/>
    </row>
    <row r="38" spans="2:270" ht="31.5">
      <c r="B38" s="2105">
        <v>13</v>
      </c>
      <c r="C38" s="2106"/>
      <c r="D38" s="2425" t="s">
        <v>1167</v>
      </c>
      <c r="E38" s="2107" t="s">
        <v>747</v>
      </c>
      <c r="F38" s="2106" t="s">
        <v>918</v>
      </c>
      <c r="G38" s="2425" t="s">
        <v>1112</v>
      </c>
      <c r="H38" s="2106" t="s">
        <v>408</v>
      </c>
      <c r="I38" s="2106" t="s">
        <v>920</v>
      </c>
      <c r="J38" s="2359" t="s">
        <v>925</v>
      </c>
      <c r="K38" s="2368"/>
      <c r="L38" s="2110">
        <v>96.2</v>
      </c>
      <c r="M38" s="2110">
        <v>101.4</v>
      </c>
      <c r="N38" s="2110">
        <v>118.6</v>
      </c>
      <c r="O38" s="2110">
        <v>110.9</v>
      </c>
      <c r="P38" s="2110">
        <v>129</v>
      </c>
      <c r="Q38" s="2110">
        <v>136.30000000000001</v>
      </c>
      <c r="R38" s="2110">
        <v>139.1</v>
      </c>
      <c r="S38" s="2110">
        <v>137.19999999999999</v>
      </c>
      <c r="T38" s="2110">
        <v>142.19999999999999</v>
      </c>
      <c r="U38" s="2110">
        <v>142.4</v>
      </c>
      <c r="V38" s="2110">
        <v>142.1</v>
      </c>
      <c r="W38" s="2110">
        <v>140.80000000000001</v>
      </c>
      <c r="X38" s="2110">
        <v>138.69999999999999</v>
      </c>
      <c r="Y38" s="2110">
        <v>138.5</v>
      </c>
      <c r="Z38" s="2110">
        <v>140.1</v>
      </c>
      <c r="AA38" s="2110">
        <v>137.69999999999999</v>
      </c>
      <c r="AB38" s="2110">
        <v>136.69999999999999</v>
      </c>
      <c r="AC38" s="2110">
        <v>135.80000000000001</v>
      </c>
      <c r="AD38" s="2110">
        <v>135.4</v>
      </c>
      <c r="AE38" s="2110">
        <v>131.80000000000001</v>
      </c>
      <c r="AF38" s="2110">
        <v>134.9</v>
      </c>
      <c r="AG38" s="2110">
        <v>134.80000000000001</v>
      </c>
      <c r="AH38" s="2110">
        <v>145.5</v>
      </c>
      <c r="AI38" s="2110">
        <v>146.19999999999999</v>
      </c>
      <c r="AJ38" s="2110">
        <v>147</v>
      </c>
      <c r="AK38" s="2110">
        <v>147.5</v>
      </c>
      <c r="AL38" s="2110">
        <v>167.8</v>
      </c>
      <c r="AM38" s="2110">
        <v>169.3</v>
      </c>
      <c r="AN38" s="2110">
        <v>171.1</v>
      </c>
      <c r="AO38" s="2110">
        <v>175.6</v>
      </c>
      <c r="AP38" s="2110">
        <v>178.2</v>
      </c>
      <c r="AQ38" s="2110">
        <v>177.8</v>
      </c>
      <c r="AR38" s="2110">
        <v>183.5</v>
      </c>
      <c r="AS38" s="2110">
        <v>183.5</v>
      </c>
      <c r="AT38" s="2110">
        <v>196.2</v>
      </c>
      <c r="AU38" s="2110">
        <v>197.5</v>
      </c>
      <c r="AV38" s="2110">
        <v>197.5</v>
      </c>
      <c r="AW38" s="2111">
        <v>200.6</v>
      </c>
      <c r="AX38" s="2111">
        <v>200.6</v>
      </c>
      <c r="AY38" s="2111">
        <v>203.2</v>
      </c>
      <c r="AZ38" s="2111">
        <v>207.4</v>
      </c>
      <c r="BA38" s="2111">
        <v>207.6</v>
      </c>
      <c r="BB38" s="2111">
        <v>208.1</v>
      </c>
      <c r="BC38" s="2111">
        <v>208.1</v>
      </c>
      <c r="BD38" s="2112">
        <v>209</v>
      </c>
      <c r="BE38" s="2111">
        <v>209</v>
      </c>
      <c r="BF38" s="2112">
        <v>210.3</v>
      </c>
      <c r="BG38" s="2112">
        <v>210.7</v>
      </c>
      <c r="BH38" s="2112">
        <v>211.3</v>
      </c>
      <c r="BI38" s="2108">
        <v>222.7</v>
      </c>
      <c r="BJ38" s="2108">
        <v>222.7</v>
      </c>
      <c r="BK38" s="2108">
        <v>222.7</v>
      </c>
      <c r="BL38" s="2108">
        <v>223.1</v>
      </c>
      <c r="BM38" s="2108">
        <v>239.2</v>
      </c>
      <c r="BN38" s="2108">
        <v>252</v>
      </c>
      <c r="BO38" s="2108">
        <v>255.5</v>
      </c>
      <c r="BP38" s="2108">
        <v>260.39999999999998</v>
      </c>
      <c r="BQ38" s="2108">
        <v>259.89999999999998</v>
      </c>
      <c r="BR38" s="2108">
        <v>259.39999999999998</v>
      </c>
      <c r="BS38" s="2108">
        <v>258</v>
      </c>
      <c r="BT38" s="2108">
        <v>258</v>
      </c>
      <c r="BU38" s="2108">
        <v>258</v>
      </c>
      <c r="BV38" s="2108">
        <v>258</v>
      </c>
      <c r="BW38" s="2108">
        <v>270.60000000000002</v>
      </c>
      <c r="BX38" s="2108">
        <v>278.60000000000002</v>
      </c>
      <c r="BY38" s="2108">
        <v>280.2</v>
      </c>
      <c r="BZ38" s="2108">
        <v>298</v>
      </c>
      <c r="CA38" s="2108">
        <v>299.60000000000002</v>
      </c>
      <c r="CB38" s="2108">
        <v>306.3</v>
      </c>
      <c r="CC38" s="2108">
        <v>311</v>
      </c>
      <c r="CD38" s="2108">
        <v>318.10000000000002</v>
      </c>
      <c r="CE38" s="2108">
        <v>318.10000000000002</v>
      </c>
      <c r="CF38" s="2108">
        <v>318.39999999999998</v>
      </c>
      <c r="CG38" s="2108">
        <v>325.89999999999998</v>
      </c>
      <c r="CH38" s="2108">
        <v>330.6</v>
      </c>
      <c r="CI38" s="2108">
        <v>334.2</v>
      </c>
      <c r="CJ38" s="2108">
        <v>347.9</v>
      </c>
      <c r="CK38" s="2108">
        <v>350.2</v>
      </c>
      <c r="CL38" s="2108">
        <v>373.4</v>
      </c>
      <c r="CM38" s="2108">
        <v>370.7</v>
      </c>
      <c r="CN38" s="2108">
        <v>382.7</v>
      </c>
      <c r="CO38" s="2108">
        <v>383.6</v>
      </c>
      <c r="CP38" s="2108">
        <v>383.9</v>
      </c>
      <c r="CQ38" s="2108">
        <v>383.6</v>
      </c>
      <c r="CR38" s="2108">
        <v>389</v>
      </c>
      <c r="CS38" s="2108">
        <v>385.9</v>
      </c>
      <c r="CT38" s="2108">
        <v>385.4</v>
      </c>
      <c r="CU38" s="2108">
        <v>380</v>
      </c>
      <c r="CV38" s="2108">
        <v>376.9</v>
      </c>
      <c r="CW38" s="2108">
        <v>376.9</v>
      </c>
      <c r="CX38" s="2108">
        <v>375.9</v>
      </c>
      <c r="CY38" s="2108">
        <v>377.3</v>
      </c>
      <c r="CZ38" s="2108">
        <v>376.6</v>
      </c>
      <c r="DA38" s="2108">
        <v>380.8</v>
      </c>
      <c r="DB38" s="2108">
        <v>392.4</v>
      </c>
      <c r="DC38" s="2108">
        <v>395</v>
      </c>
      <c r="DD38" s="2108">
        <v>400.6</v>
      </c>
      <c r="DE38" s="2108">
        <v>401.4</v>
      </c>
      <c r="DF38" s="2108">
        <v>407.2</v>
      </c>
      <c r="DG38" s="2108">
        <v>407.2</v>
      </c>
      <c r="DH38" s="2108">
        <v>413.7</v>
      </c>
      <c r="DI38" s="2108">
        <v>423.2</v>
      </c>
      <c r="DJ38" s="2108">
        <v>424.6</v>
      </c>
      <c r="DK38" s="2108">
        <v>425.3</v>
      </c>
      <c r="DL38" s="2108">
        <v>430.9</v>
      </c>
      <c r="DM38" s="2108">
        <v>433</v>
      </c>
      <c r="DN38" s="2108">
        <v>451.4</v>
      </c>
      <c r="DO38" s="2108">
        <v>459.3</v>
      </c>
      <c r="DP38" s="2108">
        <v>461.3</v>
      </c>
      <c r="DQ38" s="2108">
        <v>459.4</v>
      </c>
      <c r="DR38" s="2108">
        <v>473.7</v>
      </c>
      <c r="DS38" s="2108">
        <v>484.4</v>
      </c>
      <c r="DT38" s="2108">
        <v>488.3</v>
      </c>
      <c r="DU38" s="2108">
        <v>519.79999999999995</v>
      </c>
      <c r="DV38" s="2108">
        <v>541.5</v>
      </c>
      <c r="DW38" s="2108">
        <v>542.20000000000005</v>
      </c>
      <c r="DX38" s="2108">
        <v>555.6</v>
      </c>
      <c r="DY38" s="2108">
        <v>555.6</v>
      </c>
      <c r="DZ38" s="2108">
        <v>577.70000000000005</v>
      </c>
      <c r="EA38" s="2108">
        <v>608.6</v>
      </c>
      <c r="EB38" s="2108">
        <v>608.6</v>
      </c>
      <c r="EC38" s="2108">
        <v>647.5</v>
      </c>
      <c r="ED38" s="2108">
        <v>666.6</v>
      </c>
      <c r="EE38" s="2108">
        <v>668.5</v>
      </c>
      <c r="EF38" s="2108">
        <v>666.4</v>
      </c>
      <c r="EG38" s="2108">
        <v>661.5</v>
      </c>
      <c r="EH38" s="2108">
        <v>677.7</v>
      </c>
      <c r="EI38" s="2108">
        <v>701.2</v>
      </c>
      <c r="EJ38" s="2108">
        <v>702.3</v>
      </c>
      <c r="EK38" s="2108">
        <v>716.9</v>
      </c>
      <c r="EL38" s="2108">
        <v>724.3</v>
      </c>
      <c r="EM38" s="2108">
        <v>725.5</v>
      </c>
      <c r="EN38" s="2108">
        <v>726</v>
      </c>
      <c r="EO38" s="2108">
        <v>725.9</v>
      </c>
      <c r="EP38" s="2108">
        <v>741.2</v>
      </c>
      <c r="EQ38" s="2108">
        <v>750.7</v>
      </c>
      <c r="ER38" s="2108">
        <v>767.7</v>
      </c>
      <c r="ES38" s="2108">
        <v>772</v>
      </c>
      <c r="ET38" s="2108">
        <v>773.2</v>
      </c>
      <c r="EU38" s="2108">
        <v>799.5</v>
      </c>
      <c r="EV38" s="2108">
        <v>801.5</v>
      </c>
      <c r="EW38" s="2108">
        <v>822.1</v>
      </c>
      <c r="EX38" s="2108">
        <v>835.8</v>
      </c>
      <c r="EY38" s="2108">
        <v>845.4</v>
      </c>
      <c r="EZ38" s="2108">
        <v>862.5</v>
      </c>
      <c r="FA38" s="2108">
        <v>934.6</v>
      </c>
      <c r="FB38" s="2108">
        <v>1019</v>
      </c>
      <c r="FC38" s="2108">
        <v>1061.3</v>
      </c>
      <c r="FD38" s="2108">
        <v>1075.5999999999999</v>
      </c>
      <c r="FE38" s="2108">
        <v>1108.7</v>
      </c>
      <c r="FF38" s="2108">
        <v>1115.0999999999999</v>
      </c>
      <c r="FG38" s="2108">
        <v>1122.8</v>
      </c>
      <c r="FH38" s="2108">
        <v>1119.8</v>
      </c>
      <c r="FI38" s="2108">
        <v>1193.7</v>
      </c>
      <c r="FJ38" s="2108">
        <v>1201.7</v>
      </c>
      <c r="FK38" s="2108">
        <v>1202.5999999999999</v>
      </c>
      <c r="FL38" s="2108">
        <v>1202.7</v>
      </c>
      <c r="FM38" s="2108">
        <v>1205.9000000000001</v>
      </c>
      <c r="FN38" s="2108">
        <v>1202.7</v>
      </c>
      <c r="FO38" s="2108">
        <v>1208.5</v>
      </c>
      <c r="FP38" s="2108">
        <v>1278.5</v>
      </c>
      <c r="FQ38" s="2108">
        <v>1324.8</v>
      </c>
      <c r="FR38" s="2108">
        <v>1345.9</v>
      </c>
      <c r="FS38" s="2108">
        <v>1392.7</v>
      </c>
      <c r="FT38" s="2108">
        <v>1449.2</v>
      </c>
      <c r="FU38" s="2108">
        <v>1473.8</v>
      </c>
      <c r="FV38" s="2108">
        <v>1511.5</v>
      </c>
      <c r="FW38" s="2113">
        <v>1671.2924107873514</v>
      </c>
      <c r="FX38" s="2113">
        <v>1766.6290662291995</v>
      </c>
      <c r="FY38" s="2113">
        <v>100</v>
      </c>
      <c r="FZ38" s="2113">
        <v>104.49542999267578</v>
      </c>
      <c r="GA38" s="2113">
        <v>109.62167547297668</v>
      </c>
      <c r="GB38" s="2113">
        <v>111.0711040474297</v>
      </c>
      <c r="GC38" s="2113">
        <v>115.81878477884243</v>
      </c>
      <c r="GD38" s="2113">
        <v>117.74161279972263</v>
      </c>
      <c r="GE38" s="2113">
        <v>120.3537488190097</v>
      </c>
      <c r="GF38" s="2114">
        <v>121.65808918306459</v>
      </c>
      <c r="GG38" s="1960">
        <v>122.25848953960643</v>
      </c>
      <c r="GH38" s="2114">
        <v>124.9867928508739</v>
      </c>
      <c r="GI38" s="2114">
        <v>126.23730026964719</v>
      </c>
      <c r="GJ38" s="2113">
        <v>128.95940702846531</v>
      </c>
      <c r="GK38" s="2113">
        <v>130.11420800821836</v>
      </c>
      <c r="GL38" s="2113">
        <v>133.89487787820812</v>
      </c>
      <c r="GM38" s="2114">
        <v>134.61025694129265</v>
      </c>
      <c r="GN38" s="2114">
        <v>136.33326530320613</v>
      </c>
      <c r="GO38" s="2115">
        <v>137.53431852194902</v>
      </c>
      <c r="GP38" s="2116">
        <v>137.69781313563234</v>
      </c>
      <c r="GQ38" s="2116">
        <v>140.35959734162157</v>
      </c>
      <c r="GR38" s="2116">
        <v>142.07713764241046</v>
      </c>
      <c r="GS38" s="2116">
        <v>146.12565303332556</v>
      </c>
      <c r="GT38" s="1960">
        <v>150.89684632787154</v>
      </c>
      <c r="GU38" s="1960">
        <v>151.38024607087644</v>
      </c>
      <c r="GV38" s="1960">
        <v>151.81610945647628</v>
      </c>
      <c r="GW38" s="1960">
        <v>153.84785104125672</v>
      </c>
      <c r="GX38" s="1960">
        <v>161.60609553132269</v>
      </c>
      <c r="GY38" s="1960">
        <v>162.33099698847178</v>
      </c>
      <c r="GZ38" s="1960">
        <v>167.86270015962205</v>
      </c>
      <c r="HA38" s="1960">
        <v>173.61262149657878</v>
      </c>
      <c r="HB38" s="1960">
        <v>187.80076138415103</v>
      </c>
      <c r="HC38" s="1960">
        <v>196.0200759751169</v>
      </c>
      <c r="HD38" s="1960">
        <v>206.06468420533915</v>
      </c>
      <c r="HE38" s="1960">
        <v>219.36043526152849</v>
      </c>
      <c r="HF38" s="1960">
        <v>226.80131104009942</v>
      </c>
      <c r="HG38" s="1960">
        <v>231.56698884978508</v>
      </c>
      <c r="HH38" s="2117">
        <v>234.2782019812071</v>
      </c>
      <c r="HI38" s="1960">
        <v>231.63586850748339</v>
      </c>
      <c r="HJ38" s="1960">
        <v>250.3472334908131</v>
      </c>
      <c r="HK38" s="1960">
        <v>255.60105434841543</v>
      </c>
      <c r="HL38" s="1960">
        <v>268.29708040404751</v>
      </c>
      <c r="HM38" s="1960">
        <v>275.3284065175568</v>
      </c>
      <c r="HN38" s="1960">
        <v>285.45900602478611</v>
      </c>
      <c r="HO38" s="1960">
        <v>286.63320381732899</v>
      </c>
      <c r="HP38" s="1960">
        <v>324.35811586092615</v>
      </c>
      <c r="HQ38" s="1960">
        <v>360.36562081186611</v>
      </c>
      <c r="HR38" s="1960">
        <v>356.45512304570383</v>
      </c>
      <c r="HS38" s="1960">
        <v>369.39014610962869</v>
      </c>
      <c r="HT38" s="1962">
        <v>376.90964852880904</v>
      </c>
      <c r="HU38" s="1961">
        <v>383.58507175925399</v>
      </c>
      <c r="HV38" s="1960">
        <v>377.88711122571794</v>
      </c>
      <c r="HW38" s="1960">
        <v>377.88711122571794</v>
      </c>
      <c r="HX38" s="1960">
        <v>377.87288569073735</v>
      </c>
      <c r="HY38" s="1960">
        <v>390.33271351949691</v>
      </c>
      <c r="HZ38" s="1960">
        <v>403.3424934811153</v>
      </c>
      <c r="IA38" s="1960">
        <v>408.3851290621995</v>
      </c>
      <c r="IB38" s="1960">
        <v>426.6794104242822</v>
      </c>
      <c r="IC38" s="1960">
        <v>471.19726992737884</v>
      </c>
      <c r="ID38" s="1960">
        <v>523.19497996060954</v>
      </c>
      <c r="IE38" s="1960">
        <v>544.84883700435103</v>
      </c>
      <c r="IF38" s="1960">
        <v>557.55125667059951</v>
      </c>
      <c r="IG38" s="1961">
        <v>588.03152417515446</v>
      </c>
      <c r="IH38" s="1960">
        <v>630.60455972276998</v>
      </c>
      <c r="II38" s="1960">
        <v>658.68573832888353</v>
      </c>
      <c r="IJ38" s="1961">
        <v>667.65183940989618</v>
      </c>
      <c r="IK38" s="1960">
        <v>677.70336265815536</v>
      </c>
      <c r="IL38" s="1960">
        <v>699.79748302956091</v>
      </c>
      <c r="IM38" s="1960">
        <v>723.82591407807388</v>
      </c>
      <c r="IN38" s="1960">
        <v>744.03610232755113</v>
      </c>
      <c r="IO38" s="1960">
        <v>768.55283593534625</v>
      </c>
      <c r="IP38" s="1960">
        <v>789.97313176287366</v>
      </c>
      <c r="IQ38" s="1960">
        <v>800.86449133048836</v>
      </c>
      <c r="IR38" s="1960">
        <v>808.74157990750939</v>
      </c>
      <c r="IS38" s="2274">
        <v>851.40281312154912</v>
      </c>
      <c r="IT38" s="1960">
        <v>867.44182402672925</v>
      </c>
      <c r="IU38" s="1960">
        <v>883.487979594183</v>
      </c>
      <c r="IV38" s="1960">
        <v>918.50709929711468</v>
      </c>
      <c r="IW38" s="1960">
        <v>959.55112804938756</v>
      </c>
      <c r="IX38" s="1960">
        <v>1069.7068865879221</v>
      </c>
      <c r="IY38" s="1960">
        <v>1218.9129854724158</v>
      </c>
      <c r="IZ38" s="1960">
        <v>1308.2325972991953</v>
      </c>
      <c r="JA38" s="1960">
        <v>1330.8961640868915</v>
      </c>
      <c r="JB38" s="1960">
        <v>1384.6111773012058</v>
      </c>
      <c r="JC38" s="1960">
        <v>1455.5357794832159</v>
      </c>
      <c r="JD38" s="1960">
        <v>1493.7965772503244</v>
      </c>
      <c r="JE38" s="2274">
        <v>1544.2686755481946</v>
      </c>
      <c r="JF38" s="2117">
        <v>1703.9660580694622</v>
      </c>
      <c r="JG38" s="2103">
        <f t="shared" si="12"/>
        <v>1.1034129520658555</v>
      </c>
      <c r="JI38" s="2155"/>
      <c r="JJ38" s="2104"/>
    </row>
    <row r="39" spans="2:270" ht="24.75" customHeight="1">
      <c r="B39" s="2105">
        <v>14</v>
      </c>
      <c r="C39" s="2106"/>
      <c r="D39" s="2425" t="s">
        <v>1168</v>
      </c>
      <c r="E39" s="2107" t="s">
        <v>926</v>
      </c>
      <c r="F39" s="2106" t="s">
        <v>918</v>
      </c>
      <c r="G39" s="2425" t="s">
        <v>1112</v>
      </c>
      <c r="H39" s="2106" t="s">
        <v>64</v>
      </c>
      <c r="I39" s="2106" t="s">
        <v>920</v>
      </c>
      <c r="J39" s="2359" t="s">
        <v>925</v>
      </c>
      <c r="K39" s="2368"/>
      <c r="L39" s="2110">
        <v>104.7</v>
      </c>
      <c r="M39" s="2110">
        <v>111.8</v>
      </c>
      <c r="N39" s="2110">
        <v>125.4</v>
      </c>
      <c r="O39" s="2110">
        <v>123.8</v>
      </c>
      <c r="P39" s="2110">
        <v>142.69999999999999</v>
      </c>
      <c r="Q39" s="2110">
        <v>151.9</v>
      </c>
      <c r="R39" s="2110">
        <v>162.80000000000001</v>
      </c>
      <c r="S39" s="2110">
        <v>170.6</v>
      </c>
      <c r="T39" s="2110">
        <v>172.8</v>
      </c>
      <c r="U39" s="2110">
        <v>174.5</v>
      </c>
      <c r="V39" s="2110">
        <v>174.5</v>
      </c>
      <c r="W39" s="2110">
        <v>171</v>
      </c>
      <c r="X39" s="2110">
        <v>166.5</v>
      </c>
      <c r="Y39" s="2110">
        <v>165.1</v>
      </c>
      <c r="Z39" s="2110">
        <v>164.4</v>
      </c>
      <c r="AA39" s="2110">
        <v>159.80000000000001</v>
      </c>
      <c r="AB39" s="2110">
        <v>159.5</v>
      </c>
      <c r="AC39" s="2110">
        <v>159.5</v>
      </c>
      <c r="AD39" s="2110">
        <v>158.30000000000001</v>
      </c>
      <c r="AE39" s="2110">
        <v>159.4</v>
      </c>
      <c r="AF39" s="2110">
        <v>160.19999999999999</v>
      </c>
      <c r="AG39" s="2110">
        <v>159.9</v>
      </c>
      <c r="AH39" s="2110">
        <v>160.21979999999999</v>
      </c>
      <c r="AI39" s="2110">
        <v>160.30000000000001</v>
      </c>
      <c r="AJ39" s="2110">
        <v>160.19999999999999</v>
      </c>
      <c r="AK39" s="2110">
        <v>160.30000000000001</v>
      </c>
      <c r="AL39" s="2110">
        <v>161.5</v>
      </c>
      <c r="AM39" s="2110">
        <v>165.2</v>
      </c>
      <c r="AN39" s="2110">
        <v>176</v>
      </c>
      <c r="AO39" s="2110">
        <v>188</v>
      </c>
      <c r="AP39" s="2110">
        <v>194.8</v>
      </c>
      <c r="AQ39" s="2110">
        <v>190.9</v>
      </c>
      <c r="AR39" s="2110">
        <v>189.2</v>
      </c>
      <c r="AS39" s="2110">
        <v>189.2</v>
      </c>
      <c r="AT39" s="2110">
        <v>190.2</v>
      </c>
      <c r="AU39" s="2110">
        <v>191.9</v>
      </c>
      <c r="AV39" s="2110">
        <v>198.4</v>
      </c>
      <c r="AW39" s="2111">
        <v>207.8</v>
      </c>
      <c r="AX39" s="2111">
        <v>207.8</v>
      </c>
      <c r="AY39" s="2111">
        <v>207.8</v>
      </c>
      <c r="AZ39" s="2111">
        <v>211.1</v>
      </c>
      <c r="BA39" s="2111">
        <v>212.8</v>
      </c>
      <c r="BB39" s="2111">
        <v>214.8</v>
      </c>
      <c r="BC39" s="2111">
        <v>215.6</v>
      </c>
      <c r="BD39" s="2112">
        <v>217.7</v>
      </c>
      <c r="BE39" s="2111">
        <v>217.7</v>
      </c>
      <c r="BF39" s="2112">
        <v>223</v>
      </c>
      <c r="BG39" s="2112">
        <v>230.1</v>
      </c>
      <c r="BH39" s="2112">
        <v>232.6</v>
      </c>
      <c r="BI39" s="2108">
        <v>233.5</v>
      </c>
      <c r="BJ39" s="2108">
        <v>236.3</v>
      </c>
      <c r="BK39" s="2108">
        <v>237.9</v>
      </c>
      <c r="BL39" s="2108">
        <v>251.2</v>
      </c>
      <c r="BM39" s="2108">
        <v>256.60000000000002</v>
      </c>
      <c r="BN39" s="2108">
        <v>255.9</v>
      </c>
      <c r="BO39" s="2108">
        <v>257.5</v>
      </c>
      <c r="BP39" s="2108">
        <v>260.39999999999998</v>
      </c>
      <c r="BQ39" s="2108">
        <v>260.39999999999998</v>
      </c>
      <c r="BR39" s="2108">
        <v>259.8</v>
      </c>
      <c r="BS39" s="2108">
        <v>257.7</v>
      </c>
      <c r="BT39" s="2108">
        <v>257.7</v>
      </c>
      <c r="BU39" s="2108">
        <v>256.2</v>
      </c>
      <c r="BV39" s="2108">
        <v>256.8</v>
      </c>
      <c r="BW39" s="2108">
        <v>269.60000000000002</v>
      </c>
      <c r="BX39" s="2108">
        <v>280.89999999999998</v>
      </c>
      <c r="BY39" s="2108">
        <v>281.3</v>
      </c>
      <c r="BZ39" s="2108">
        <v>284.2</v>
      </c>
      <c r="CA39" s="2108">
        <v>292</v>
      </c>
      <c r="CB39" s="2108">
        <v>314.39999999999998</v>
      </c>
      <c r="CC39" s="2108">
        <v>314.10000000000002</v>
      </c>
      <c r="CD39" s="2108">
        <v>315.39999999999998</v>
      </c>
      <c r="CE39" s="2108">
        <v>316.60000000000002</v>
      </c>
      <c r="CF39" s="2108">
        <v>326.60000000000002</v>
      </c>
      <c r="CG39" s="2108">
        <v>341.3</v>
      </c>
      <c r="CH39" s="2108">
        <v>344.1</v>
      </c>
      <c r="CI39" s="2108">
        <v>343.2</v>
      </c>
      <c r="CJ39" s="2108">
        <v>343.9</v>
      </c>
      <c r="CK39" s="2108">
        <v>374.7</v>
      </c>
      <c r="CL39" s="2108">
        <v>372.2</v>
      </c>
      <c r="CM39" s="2108">
        <v>384.5</v>
      </c>
      <c r="CN39" s="2108">
        <v>388.1</v>
      </c>
      <c r="CO39" s="2108">
        <v>388.2</v>
      </c>
      <c r="CP39" s="2108">
        <v>388.2</v>
      </c>
      <c r="CQ39" s="2108">
        <v>388.2</v>
      </c>
      <c r="CR39" s="2108">
        <v>389.6</v>
      </c>
      <c r="CS39" s="2108">
        <v>388.8</v>
      </c>
      <c r="CT39" s="2108">
        <v>388.8</v>
      </c>
      <c r="CU39" s="2108">
        <v>391.2</v>
      </c>
      <c r="CV39" s="2108">
        <v>396.2</v>
      </c>
      <c r="CW39" s="2108">
        <v>401.4</v>
      </c>
      <c r="CX39" s="2108">
        <v>401.2</v>
      </c>
      <c r="CY39" s="2108">
        <v>401.2</v>
      </c>
      <c r="CZ39" s="2108">
        <v>402.8</v>
      </c>
      <c r="DA39" s="2108">
        <v>409.1</v>
      </c>
      <c r="DB39" s="2108">
        <v>409.1</v>
      </c>
      <c r="DC39" s="2108">
        <v>409.1</v>
      </c>
      <c r="DD39" s="2108">
        <v>427.2</v>
      </c>
      <c r="DE39" s="2108">
        <v>428.1</v>
      </c>
      <c r="DF39" s="2108">
        <v>432.6</v>
      </c>
      <c r="DG39" s="2108">
        <v>432.6</v>
      </c>
      <c r="DH39" s="2108">
        <v>432.2</v>
      </c>
      <c r="DI39" s="2108">
        <v>458.4</v>
      </c>
      <c r="DJ39" s="2108">
        <v>467.1</v>
      </c>
      <c r="DK39" s="2108">
        <v>467.1</v>
      </c>
      <c r="DL39" s="2108">
        <v>514.79999999999995</v>
      </c>
      <c r="DM39" s="2108">
        <v>518.9</v>
      </c>
      <c r="DN39" s="2108">
        <v>518.9</v>
      </c>
      <c r="DO39" s="2108">
        <v>527.4</v>
      </c>
      <c r="DP39" s="2108">
        <v>531.20000000000005</v>
      </c>
      <c r="DQ39" s="2108">
        <v>561.79999999999995</v>
      </c>
      <c r="DR39" s="2108">
        <v>587.9</v>
      </c>
      <c r="DS39" s="2108">
        <v>587.9</v>
      </c>
      <c r="DT39" s="2108">
        <v>587.9</v>
      </c>
      <c r="DU39" s="2108">
        <v>594.5</v>
      </c>
      <c r="DV39" s="2108">
        <v>626.5</v>
      </c>
      <c r="DW39" s="2108">
        <v>638.79999999999995</v>
      </c>
      <c r="DX39" s="2108">
        <v>656.9</v>
      </c>
      <c r="DY39" s="2108">
        <v>657.4</v>
      </c>
      <c r="DZ39" s="2108">
        <v>657.4</v>
      </c>
      <c r="EA39" s="2108">
        <v>676.6</v>
      </c>
      <c r="EB39" s="2108">
        <v>690.8</v>
      </c>
      <c r="EC39" s="2108">
        <v>706.2</v>
      </c>
      <c r="ED39" s="2108">
        <v>706.2</v>
      </c>
      <c r="EE39" s="2108">
        <v>732.3</v>
      </c>
      <c r="EF39" s="2108">
        <v>765</v>
      </c>
      <c r="EG39" s="2108">
        <v>810.1</v>
      </c>
      <c r="EH39" s="2108">
        <v>820.7</v>
      </c>
      <c r="EI39" s="2108">
        <v>858.3</v>
      </c>
      <c r="EJ39" s="2108">
        <v>867.9</v>
      </c>
      <c r="EK39" s="2108">
        <v>874.8</v>
      </c>
      <c r="EL39" s="2108">
        <v>881.7</v>
      </c>
      <c r="EM39" s="2108">
        <v>897.9</v>
      </c>
      <c r="EN39" s="2108">
        <v>901.2</v>
      </c>
      <c r="EO39" s="2108">
        <v>907.6</v>
      </c>
      <c r="EP39" s="2108">
        <v>929.9</v>
      </c>
      <c r="EQ39" s="2108">
        <v>973.5</v>
      </c>
      <c r="ER39" s="2108">
        <v>995.4</v>
      </c>
      <c r="ES39" s="2108">
        <v>1003.9</v>
      </c>
      <c r="ET39" s="2108">
        <v>1044.5999999999999</v>
      </c>
      <c r="EU39" s="2108">
        <v>1048.2</v>
      </c>
      <c r="EV39" s="2108">
        <v>1076.4000000000001</v>
      </c>
      <c r="EW39" s="2108">
        <v>1076.4000000000001</v>
      </c>
      <c r="EX39" s="2108">
        <v>1080.9000000000001</v>
      </c>
      <c r="EY39" s="2108">
        <v>1114.8</v>
      </c>
      <c r="EZ39" s="2108">
        <v>1164.5999999999999</v>
      </c>
      <c r="FA39" s="2108">
        <v>1225.7</v>
      </c>
      <c r="FB39" s="2108">
        <v>1302.7</v>
      </c>
      <c r="FC39" s="2108">
        <v>1335.4</v>
      </c>
      <c r="FD39" s="2108">
        <v>1337.1</v>
      </c>
      <c r="FE39" s="2108">
        <v>1340.2</v>
      </c>
      <c r="FF39" s="2108">
        <v>1370.2</v>
      </c>
      <c r="FG39" s="2108">
        <v>1396.8</v>
      </c>
      <c r="FH39" s="2108">
        <v>1487.2</v>
      </c>
      <c r="FI39" s="2108">
        <v>1548.6</v>
      </c>
      <c r="FJ39" s="2108">
        <v>1548.6</v>
      </c>
      <c r="FK39" s="2108">
        <v>1585.9</v>
      </c>
      <c r="FL39" s="2108">
        <v>1614.1</v>
      </c>
      <c r="FM39" s="2108">
        <v>1625.1</v>
      </c>
      <c r="FN39" s="2108">
        <v>1669.5</v>
      </c>
      <c r="FO39" s="2108">
        <v>1697.6</v>
      </c>
      <c r="FP39" s="2108">
        <v>1762.4</v>
      </c>
      <c r="FQ39" s="2108">
        <v>1767.4</v>
      </c>
      <c r="FR39" s="2108">
        <v>1777.4</v>
      </c>
      <c r="FS39" s="2108">
        <v>1862.3</v>
      </c>
      <c r="FT39" s="2108">
        <v>1880.7</v>
      </c>
      <c r="FU39" s="2108">
        <v>1880.7</v>
      </c>
      <c r="FV39" s="2108">
        <v>1905.4</v>
      </c>
      <c r="FW39" s="2113">
        <v>1854.5329588348834</v>
      </c>
      <c r="FX39" s="2113">
        <v>1854.8603746960173</v>
      </c>
      <c r="FY39" s="2113">
        <v>100</v>
      </c>
      <c r="FZ39" s="2113">
        <v>100</v>
      </c>
      <c r="GA39" s="2113">
        <v>100</v>
      </c>
      <c r="GB39" s="2113">
        <v>100</v>
      </c>
      <c r="GC39" s="2113">
        <v>100</v>
      </c>
      <c r="GD39" s="2113">
        <v>100</v>
      </c>
      <c r="GE39" s="2113">
        <v>106.89622163772583</v>
      </c>
      <c r="GF39" s="2114">
        <v>108.52525142258429</v>
      </c>
      <c r="GG39" s="1960">
        <v>108.52525142258429</v>
      </c>
      <c r="GH39" s="2114">
        <v>108.52525142258429</v>
      </c>
      <c r="GI39" s="2114">
        <v>108.52525142258429</v>
      </c>
      <c r="GJ39" s="2113">
        <v>105.5195345994522</v>
      </c>
      <c r="GK39" s="2113">
        <v>105.5195345994522</v>
      </c>
      <c r="GL39" s="2113">
        <v>105.5195345994522</v>
      </c>
      <c r="GM39" s="2114">
        <v>105.5195345994522</v>
      </c>
      <c r="GN39" s="2114">
        <v>105.5195345994522</v>
      </c>
      <c r="GO39" s="2115">
        <v>105.5195345994522</v>
      </c>
      <c r="GP39" s="2116">
        <v>105.5195345994522</v>
      </c>
      <c r="GQ39" s="2116">
        <v>107.68837746779256</v>
      </c>
      <c r="GR39" s="2116">
        <v>105.51953438156629</v>
      </c>
      <c r="GS39" s="2116">
        <v>105.51953438156629</v>
      </c>
      <c r="GT39" s="1960">
        <v>105.51953438156629</v>
      </c>
      <c r="GU39" s="1960">
        <v>109.15449937323646</v>
      </c>
      <c r="GV39" s="1960">
        <v>109.15449937323646</v>
      </c>
      <c r="GW39" s="1960">
        <v>112.3486766114201</v>
      </c>
      <c r="GX39" s="1960">
        <v>118.73701989859694</v>
      </c>
      <c r="GY39" s="1960">
        <v>125.11898354749074</v>
      </c>
      <c r="GZ39" s="1960">
        <v>125.32764922597154</v>
      </c>
      <c r="HA39" s="1960">
        <v>125.32764922597154</v>
      </c>
      <c r="HB39" s="1960">
        <v>126.26750858732296</v>
      </c>
      <c r="HC39" s="1960">
        <v>126.26750858732296</v>
      </c>
      <c r="HD39" s="1960">
        <v>127.21424237510563</v>
      </c>
      <c r="HE39" s="1960">
        <v>146.83337750106426</v>
      </c>
      <c r="HF39" s="1960">
        <v>148.87364280951221</v>
      </c>
      <c r="HG39" s="1960">
        <v>151.07795829773181</v>
      </c>
      <c r="HH39" s="2117">
        <v>153.60963744631511</v>
      </c>
      <c r="HI39" s="1960">
        <v>151.07795829773181</v>
      </c>
      <c r="HJ39" s="1960">
        <v>175.53493701336154</v>
      </c>
      <c r="HK39" s="1960">
        <v>172.20405928255215</v>
      </c>
      <c r="HL39" s="1960">
        <v>173.79855974490374</v>
      </c>
      <c r="HM39" s="1960">
        <v>173.79855974490374</v>
      </c>
      <c r="HN39" s="1960">
        <v>180.68784169726041</v>
      </c>
      <c r="HO39" s="1960">
        <v>182.49480136241942</v>
      </c>
      <c r="HP39" s="1960">
        <v>219.60445204036989</v>
      </c>
      <c r="HQ39" s="1960">
        <v>223.63052163651923</v>
      </c>
      <c r="HR39" s="1960">
        <v>231.82998101974147</v>
      </c>
      <c r="HS39" s="1960">
        <v>234.91869331460688</v>
      </c>
      <c r="HT39" s="1962">
        <v>242.74854758630042</v>
      </c>
      <c r="HU39" s="1961">
        <v>254.88566664992842</v>
      </c>
      <c r="HV39" s="1960">
        <v>254.88566664992842</v>
      </c>
      <c r="HW39" s="1960">
        <v>254.88566664992842</v>
      </c>
      <c r="HX39" s="1960">
        <v>254.88566664992842</v>
      </c>
      <c r="HY39" s="1960">
        <v>254.88566664992842</v>
      </c>
      <c r="HZ39" s="1960">
        <v>254.88566664992842</v>
      </c>
      <c r="IA39" s="1960">
        <v>254.88566664992842</v>
      </c>
      <c r="IB39" s="1960">
        <v>254.88566664992842</v>
      </c>
      <c r="IC39" s="1960">
        <v>254.88566664992842</v>
      </c>
      <c r="ID39" s="1960">
        <v>254.88566664992842</v>
      </c>
      <c r="IE39" s="1960">
        <v>254.88566664992842</v>
      </c>
      <c r="IF39" s="1960">
        <v>254.48887097982143</v>
      </c>
      <c r="IG39" s="1961">
        <v>254.88566664992842</v>
      </c>
      <c r="IH39" s="1960">
        <v>254.88566664992842</v>
      </c>
      <c r="II39" s="1960">
        <v>254.88566664992842</v>
      </c>
      <c r="IJ39" s="1961">
        <v>273.47765082976065</v>
      </c>
      <c r="IK39" s="1960">
        <v>282.16172812065935</v>
      </c>
      <c r="IL39" s="1960">
        <v>292.09809472426645</v>
      </c>
      <c r="IM39" s="1960">
        <v>319.37172703090039</v>
      </c>
      <c r="IN39" s="1960">
        <v>338.30058269740448</v>
      </c>
      <c r="IO39" s="1960">
        <v>343.2272540832268</v>
      </c>
      <c r="IP39" s="1960">
        <v>386.11520776339637</v>
      </c>
      <c r="IQ39" s="1960">
        <v>394.98234350968272</v>
      </c>
      <c r="IR39" s="1960">
        <v>401.89420787344801</v>
      </c>
      <c r="IS39" s="2274">
        <v>443.11326288415859</v>
      </c>
      <c r="IT39" s="1960">
        <v>449.02128888927143</v>
      </c>
      <c r="IU39" s="1960">
        <v>454.99008346463859</v>
      </c>
      <c r="IV39" s="1960">
        <v>497.77671257278445</v>
      </c>
      <c r="IW39" s="1960">
        <v>538.70544978902296</v>
      </c>
      <c r="IX39" s="1960">
        <v>536.8859857697696</v>
      </c>
      <c r="IY39" s="1960">
        <v>630.04592693070651</v>
      </c>
      <c r="IZ39" s="1960">
        <v>696.74792982355189</v>
      </c>
      <c r="JA39" s="1960">
        <v>710.54694654975196</v>
      </c>
      <c r="JB39" s="1960">
        <v>727.12671570253849</v>
      </c>
      <c r="JC39" s="1960">
        <v>753.78822983290183</v>
      </c>
      <c r="JD39" s="1960">
        <v>782.67186444340109</v>
      </c>
      <c r="JE39" s="2274">
        <v>801.09739291272649</v>
      </c>
      <c r="JF39" s="2117">
        <v>839.82416329765647</v>
      </c>
      <c r="JG39" s="2103">
        <f t="shared" si="12"/>
        <v>1.0483421500650782</v>
      </c>
      <c r="JI39" s="2155"/>
      <c r="JJ39" s="2104"/>
    </row>
    <row r="40" spans="2:270" ht="63">
      <c r="B40" s="2105">
        <v>15</v>
      </c>
      <c r="C40" s="2106"/>
      <c r="D40" s="2425" t="s">
        <v>1169</v>
      </c>
      <c r="E40" s="2107" t="s">
        <v>927</v>
      </c>
      <c r="F40" s="2106" t="s">
        <v>918</v>
      </c>
      <c r="G40" s="2425" t="s">
        <v>1112</v>
      </c>
      <c r="H40" s="2106" t="s">
        <v>64</v>
      </c>
      <c r="I40" s="2106" t="s">
        <v>920</v>
      </c>
      <c r="J40" s="2359" t="s">
        <v>925</v>
      </c>
      <c r="K40" s="2368"/>
      <c r="L40" s="2110">
        <v>108.2</v>
      </c>
      <c r="M40" s="2110">
        <v>108.2</v>
      </c>
      <c r="N40" s="2110">
        <v>110.1</v>
      </c>
      <c r="O40" s="2110">
        <v>117.4</v>
      </c>
      <c r="P40" s="2110">
        <v>129</v>
      </c>
      <c r="Q40" s="2110">
        <v>129</v>
      </c>
      <c r="R40" s="2110">
        <v>137.4</v>
      </c>
      <c r="S40" s="2110">
        <v>147.1</v>
      </c>
      <c r="T40" s="2110">
        <v>160</v>
      </c>
      <c r="U40" s="2110">
        <v>160</v>
      </c>
      <c r="V40" s="2110">
        <v>160</v>
      </c>
      <c r="W40" s="2110">
        <v>163.69999999999999</v>
      </c>
      <c r="X40" s="2110">
        <v>164.7</v>
      </c>
      <c r="Y40" s="2110">
        <v>162.6</v>
      </c>
      <c r="Z40" s="2110">
        <v>169.5</v>
      </c>
      <c r="AA40" s="2110">
        <v>147.9</v>
      </c>
      <c r="AB40" s="2110">
        <v>147.9</v>
      </c>
      <c r="AC40" s="2110">
        <v>146.6</v>
      </c>
      <c r="AD40" s="2110">
        <v>146.6</v>
      </c>
      <c r="AE40" s="2110">
        <v>146.6</v>
      </c>
      <c r="AF40" s="2110">
        <v>146.6</v>
      </c>
      <c r="AG40" s="2110">
        <v>146.6</v>
      </c>
      <c r="AH40" s="2110">
        <v>146.6</v>
      </c>
      <c r="AI40" s="2110">
        <v>146.6</v>
      </c>
      <c r="AJ40" s="2110">
        <v>154</v>
      </c>
      <c r="AK40" s="2110">
        <v>152.9</v>
      </c>
      <c r="AL40" s="2110">
        <v>157.30000000000001</v>
      </c>
      <c r="AM40" s="2110">
        <v>163.9</v>
      </c>
      <c r="AN40" s="2110">
        <v>167.4</v>
      </c>
      <c r="AO40" s="2110">
        <v>168.1</v>
      </c>
      <c r="AP40" s="2110">
        <v>169</v>
      </c>
      <c r="AQ40" s="2110">
        <v>169</v>
      </c>
      <c r="AR40" s="2110">
        <v>171.3</v>
      </c>
      <c r="AS40" s="2110">
        <v>152.19999999999999</v>
      </c>
      <c r="AT40" s="2110">
        <v>152.19999999999999</v>
      </c>
      <c r="AU40" s="2110">
        <v>152.19999999999999</v>
      </c>
      <c r="AV40" s="2110">
        <v>151.6</v>
      </c>
      <c r="AW40" s="2111">
        <v>153.4</v>
      </c>
      <c r="AX40" s="2111">
        <v>153.4</v>
      </c>
      <c r="AY40" s="2111">
        <v>153.4</v>
      </c>
      <c r="AZ40" s="2111">
        <v>153.4</v>
      </c>
      <c r="BA40" s="2111">
        <v>154.1</v>
      </c>
      <c r="BB40" s="2111">
        <v>154.1</v>
      </c>
      <c r="BC40" s="2111">
        <v>154.30000000000001</v>
      </c>
      <c r="BD40" s="2112">
        <v>155.4</v>
      </c>
      <c r="BE40" s="2111">
        <v>159.30000000000001</v>
      </c>
      <c r="BF40" s="2112">
        <v>157.30000000000001</v>
      </c>
      <c r="BG40" s="2112">
        <v>159.6</v>
      </c>
      <c r="BH40" s="2112">
        <v>160.5</v>
      </c>
      <c r="BI40" s="2108">
        <v>160.5</v>
      </c>
      <c r="BJ40" s="2108">
        <v>161.30000000000001</v>
      </c>
      <c r="BK40" s="2108">
        <v>161.30000000000001</v>
      </c>
      <c r="BL40" s="2108">
        <v>161.5</v>
      </c>
      <c r="BM40" s="2108">
        <v>166.2</v>
      </c>
      <c r="BN40" s="2108">
        <v>167.9</v>
      </c>
      <c r="BO40" s="2108">
        <v>167.9</v>
      </c>
      <c r="BP40" s="2108">
        <v>167.9</v>
      </c>
      <c r="BQ40" s="2108">
        <v>167.9</v>
      </c>
      <c r="BR40" s="2108">
        <v>167.7</v>
      </c>
      <c r="BS40" s="2108">
        <v>167.2</v>
      </c>
      <c r="BT40" s="2108">
        <v>167.2</v>
      </c>
      <c r="BU40" s="2108">
        <v>169.1</v>
      </c>
      <c r="BV40" s="2108">
        <v>169.9</v>
      </c>
      <c r="BW40" s="2108">
        <v>176.6</v>
      </c>
      <c r="BX40" s="2108">
        <v>182.5</v>
      </c>
      <c r="BY40" s="2108">
        <v>184</v>
      </c>
      <c r="BZ40" s="2108">
        <v>185.4</v>
      </c>
      <c r="CA40" s="2108">
        <v>184.7</v>
      </c>
      <c r="CB40" s="2108">
        <v>192.6</v>
      </c>
      <c r="CC40" s="2108">
        <v>192.6</v>
      </c>
      <c r="CD40" s="2108">
        <v>194.7</v>
      </c>
      <c r="CE40" s="2108">
        <v>196.8</v>
      </c>
      <c r="CF40" s="2108">
        <v>197.1</v>
      </c>
      <c r="CG40" s="2108">
        <v>197.1</v>
      </c>
      <c r="CH40" s="2108">
        <v>199.8</v>
      </c>
      <c r="CI40" s="2108">
        <v>204.1</v>
      </c>
      <c r="CJ40" s="2108">
        <v>211.5</v>
      </c>
      <c r="CK40" s="2108">
        <v>219</v>
      </c>
      <c r="CL40" s="2108">
        <v>224.4</v>
      </c>
      <c r="CM40" s="2108">
        <v>223</v>
      </c>
      <c r="CN40" s="2108">
        <v>225.5</v>
      </c>
      <c r="CO40" s="2108">
        <v>227.9</v>
      </c>
      <c r="CP40" s="2108">
        <v>221</v>
      </c>
      <c r="CQ40" s="2108">
        <v>222.2</v>
      </c>
      <c r="CR40" s="2108">
        <v>228.2</v>
      </c>
      <c r="CS40" s="2108">
        <v>221.9</v>
      </c>
      <c r="CT40" s="2108">
        <v>227</v>
      </c>
      <c r="CU40" s="2108">
        <v>226.3</v>
      </c>
      <c r="CV40" s="2108">
        <v>227</v>
      </c>
      <c r="CW40" s="2108">
        <v>227</v>
      </c>
      <c r="CX40" s="2108">
        <v>232.5</v>
      </c>
      <c r="CY40" s="2108">
        <v>235.4</v>
      </c>
      <c r="CZ40" s="2108">
        <v>240.9</v>
      </c>
      <c r="DA40" s="2108">
        <v>247</v>
      </c>
      <c r="DB40" s="2108">
        <v>259.2</v>
      </c>
      <c r="DC40" s="2108">
        <v>260.39999999999998</v>
      </c>
      <c r="DD40" s="2108">
        <v>260.39999999999998</v>
      </c>
      <c r="DE40" s="2108">
        <v>264</v>
      </c>
      <c r="DF40" s="2108">
        <v>278.3</v>
      </c>
      <c r="DG40" s="2108">
        <v>279.7</v>
      </c>
      <c r="DH40" s="2108">
        <v>283.8</v>
      </c>
      <c r="DI40" s="2108">
        <v>295.39999999999998</v>
      </c>
      <c r="DJ40" s="2108">
        <v>297.39999999999998</v>
      </c>
      <c r="DK40" s="2108">
        <v>299.2</v>
      </c>
      <c r="DL40" s="2108">
        <v>299.5</v>
      </c>
      <c r="DM40" s="2108">
        <v>303.60000000000002</v>
      </c>
      <c r="DN40" s="2108">
        <v>307.2</v>
      </c>
      <c r="DO40" s="2108">
        <v>313.2</v>
      </c>
      <c r="DP40" s="2108">
        <v>316.5</v>
      </c>
      <c r="DQ40" s="2108">
        <v>329</v>
      </c>
      <c r="DR40" s="2108">
        <v>346.5</v>
      </c>
      <c r="DS40" s="2108">
        <v>349.3</v>
      </c>
      <c r="DT40" s="2108">
        <v>350.8</v>
      </c>
      <c r="DU40" s="2108">
        <v>363.4</v>
      </c>
      <c r="DV40" s="2108">
        <v>372.2</v>
      </c>
      <c r="DW40" s="2108">
        <v>372.2</v>
      </c>
      <c r="DX40" s="2108">
        <v>377.3</v>
      </c>
      <c r="DY40" s="2108">
        <v>382.5</v>
      </c>
      <c r="DZ40" s="2108">
        <v>382.5</v>
      </c>
      <c r="EA40" s="2108">
        <v>401.9</v>
      </c>
      <c r="EB40" s="2108">
        <v>407.9</v>
      </c>
      <c r="EC40" s="2108">
        <v>414</v>
      </c>
      <c r="ED40" s="2108">
        <v>415.4</v>
      </c>
      <c r="EE40" s="2108">
        <v>429.2</v>
      </c>
      <c r="EF40" s="2108">
        <v>438.5</v>
      </c>
      <c r="EG40" s="2108">
        <v>442.4</v>
      </c>
      <c r="EH40" s="2108">
        <v>446.8</v>
      </c>
      <c r="EI40" s="2108">
        <v>451.2</v>
      </c>
      <c r="EJ40" s="2108">
        <v>475.3</v>
      </c>
      <c r="EK40" s="2108">
        <v>478.2</v>
      </c>
      <c r="EL40" s="2108">
        <v>478.7</v>
      </c>
      <c r="EM40" s="2108">
        <v>483.2</v>
      </c>
      <c r="EN40" s="2108">
        <v>486.4</v>
      </c>
      <c r="EO40" s="2108">
        <v>482.7</v>
      </c>
      <c r="EP40" s="2108">
        <v>482.7</v>
      </c>
      <c r="EQ40" s="2108">
        <v>484.9</v>
      </c>
      <c r="ER40" s="2108">
        <v>499.8</v>
      </c>
      <c r="ES40" s="2108">
        <v>503.9</v>
      </c>
      <c r="ET40" s="2108">
        <v>520.4</v>
      </c>
      <c r="EU40" s="2108">
        <v>524.9</v>
      </c>
      <c r="EV40" s="2108">
        <v>537.9</v>
      </c>
      <c r="EW40" s="2108">
        <v>566.6</v>
      </c>
      <c r="EX40" s="2108">
        <v>566.6</v>
      </c>
      <c r="EY40" s="2108">
        <v>585</v>
      </c>
      <c r="EZ40" s="2108">
        <v>599.79999999999995</v>
      </c>
      <c r="FA40" s="2108">
        <v>638.29999999999995</v>
      </c>
      <c r="FB40" s="2108">
        <v>724.6</v>
      </c>
      <c r="FC40" s="2108">
        <v>774.1</v>
      </c>
      <c r="FD40" s="2108">
        <v>818.2</v>
      </c>
      <c r="FE40" s="2108">
        <v>835.6</v>
      </c>
      <c r="FF40" s="2108">
        <v>844.1</v>
      </c>
      <c r="FG40" s="2108">
        <v>868.7</v>
      </c>
      <c r="FH40" s="2108">
        <v>880.7</v>
      </c>
      <c r="FI40" s="2108">
        <v>893.8</v>
      </c>
      <c r="FJ40" s="2108">
        <v>901.1</v>
      </c>
      <c r="FK40" s="2108">
        <v>936</v>
      </c>
      <c r="FL40" s="2108">
        <v>949.5</v>
      </c>
      <c r="FM40" s="2108">
        <v>973.6</v>
      </c>
      <c r="FN40" s="2108">
        <v>988.2</v>
      </c>
      <c r="FO40" s="2108">
        <v>1007.3</v>
      </c>
      <c r="FP40" s="2108">
        <v>1038.8</v>
      </c>
      <c r="FQ40" s="2108">
        <v>1107.3</v>
      </c>
      <c r="FR40" s="2108">
        <v>1141.4000000000001</v>
      </c>
      <c r="FS40" s="2108">
        <v>1175.4000000000001</v>
      </c>
      <c r="FT40" s="2108">
        <v>1183.7</v>
      </c>
      <c r="FU40" s="2108">
        <v>1212.8</v>
      </c>
      <c r="FV40" s="2108">
        <v>1219.9000000000001</v>
      </c>
      <c r="FW40" s="2113">
        <v>1179.03760303731</v>
      </c>
      <c r="FX40" s="2113">
        <v>1201.5119054156862</v>
      </c>
      <c r="FY40" s="2113">
        <v>100</v>
      </c>
      <c r="FZ40" s="2113">
        <v>100</v>
      </c>
      <c r="GA40" s="2113">
        <v>100</v>
      </c>
      <c r="GB40" s="2113">
        <v>106.01757764816284</v>
      </c>
      <c r="GC40" s="2113">
        <v>109.39178358712667</v>
      </c>
      <c r="GD40" s="2113">
        <v>110.34833157574205</v>
      </c>
      <c r="GE40" s="2113">
        <v>111.93684826700041</v>
      </c>
      <c r="GF40" s="2114">
        <v>112.08658030530808</v>
      </c>
      <c r="GG40" s="1960">
        <v>112.08658030530808</v>
      </c>
      <c r="GH40" s="2114">
        <v>114.66001550541057</v>
      </c>
      <c r="GI40" s="2114">
        <v>114.66001550541057</v>
      </c>
      <c r="GJ40" s="2113">
        <v>114.66001550541057</v>
      </c>
      <c r="GK40" s="2113">
        <v>114.66001550541057</v>
      </c>
      <c r="GL40" s="2113">
        <v>116.26224164561694</v>
      </c>
      <c r="GM40" s="2114">
        <v>116.74523272817892</v>
      </c>
      <c r="GN40" s="2114">
        <v>116.74523272817892</v>
      </c>
      <c r="GO40" s="2115">
        <v>116.74523272817892</v>
      </c>
      <c r="GP40" s="2116">
        <v>117.75213608900872</v>
      </c>
      <c r="GQ40" s="2116">
        <v>119.31368463521396</v>
      </c>
      <c r="GR40" s="2116">
        <v>118.92040329020344</v>
      </c>
      <c r="GS40" s="2116">
        <v>120.70487392997558</v>
      </c>
      <c r="GT40" s="1960">
        <v>120.70487392997558</v>
      </c>
      <c r="GU40" s="1960">
        <v>122.36907895709321</v>
      </c>
      <c r="GV40" s="1960">
        <v>125.60663557956708</v>
      </c>
      <c r="GW40" s="1960">
        <v>128.59090959708584</v>
      </c>
      <c r="GX40" s="1960">
        <v>133.08844464844915</v>
      </c>
      <c r="GY40" s="1960">
        <v>135.94592631748685</v>
      </c>
      <c r="GZ40" s="1960">
        <v>136.17990879517228</v>
      </c>
      <c r="HA40" s="1960">
        <v>142.05086994342912</v>
      </c>
      <c r="HB40" s="1960">
        <v>155.46560985721996</v>
      </c>
      <c r="HC40" s="1960">
        <v>153.33647101525276</v>
      </c>
      <c r="HD40" s="1960">
        <v>155.6905968541937</v>
      </c>
      <c r="HE40" s="1960">
        <v>170.65449181936827</v>
      </c>
      <c r="HF40" s="1960">
        <v>182.90245231397549</v>
      </c>
      <c r="HG40" s="1960">
        <v>184.19467646867918</v>
      </c>
      <c r="HH40" s="2117">
        <v>198.09710848827618</v>
      </c>
      <c r="HI40" s="1960">
        <v>184.18741215286275</v>
      </c>
      <c r="HJ40" s="1960">
        <v>207.39475543370909</v>
      </c>
      <c r="HK40" s="1960">
        <v>206.25375366366055</v>
      </c>
      <c r="HL40" s="1960">
        <v>210.44656561003075</v>
      </c>
      <c r="HM40" s="1960">
        <v>219.87897301838805</v>
      </c>
      <c r="HN40" s="1960">
        <v>225.24649417304906</v>
      </c>
      <c r="HO40" s="1960">
        <v>234.75904652524042</v>
      </c>
      <c r="HP40" s="1960">
        <v>260.49613274480527</v>
      </c>
      <c r="HQ40" s="1960">
        <v>290.66671035184493</v>
      </c>
      <c r="HR40" s="1960">
        <v>289.02933211752713</v>
      </c>
      <c r="HS40" s="1960">
        <v>331.77804021738518</v>
      </c>
      <c r="HT40" s="1962">
        <v>352.44839485577819</v>
      </c>
      <c r="HU40" s="1961">
        <v>367.4839794284814</v>
      </c>
      <c r="HV40" s="1960">
        <v>370.16059357212566</v>
      </c>
      <c r="HW40" s="1960">
        <v>370.16059357212566</v>
      </c>
      <c r="HX40" s="1960">
        <v>370.16059357212566</v>
      </c>
      <c r="HY40" s="1960">
        <v>375.71322482351889</v>
      </c>
      <c r="HZ40" s="1960">
        <v>375.71322482351889</v>
      </c>
      <c r="IA40" s="1960">
        <v>382.60129889461922</v>
      </c>
      <c r="IB40" s="1960">
        <v>401.94165163676485</v>
      </c>
      <c r="IC40" s="1960">
        <v>410.84524895375955</v>
      </c>
      <c r="ID40" s="1960">
        <v>438.26735179255581</v>
      </c>
      <c r="IE40" s="1960">
        <v>439.72789816634878</v>
      </c>
      <c r="IF40" s="1960">
        <v>444.67304840211762</v>
      </c>
      <c r="IG40" s="1961">
        <v>483.74800464506097</v>
      </c>
      <c r="IH40" s="1960">
        <v>502.16719249158905</v>
      </c>
      <c r="II40" s="1960">
        <v>519.09232324660013</v>
      </c>
      <c r="IJ40" s="1961">
        <v>526.58942441632519</v>
      </c>
      <c r="IK40" s="1960">
        <v>533.604979885587</v>
      </c>
      <c r="IL40" s="1960">
        <v>554.7413553266631</v>
      </c>
      <c r="IM40" s="1960">
        <v>571.44330309999305</v>
      </c>
      <c r="IN40" s="1960">
        <v>586.4471666973086</v>
      </c>
      <c r="IO40" s="1960">
        <v>605.38853051088165</v>
      </c>
      <c r="IP40" s="1960">
        <v>615.76109851870422</v>
      </c>
      <c r="IQ40" s="1960">
        <v>613.18968017129009</v>
      </c>
      <c r="IR40" s="1960">
        <v>619.98364517426205</v>
      </c>
      <c r="IS40" s="2274">
        <v>685.09385677370256</v>
      </c>
      <c r="IT40" s="1960">
        <v>677.27068432275792</v>
      </c>
      <c r="IU40" s="1960">
        <v>700.14564844828931</v>
      </c>
      <c r="IV40" s="1960">
        <v>739.62694175958222</v>
      </c>
      <c r="IW40" s="1960">
        <v>763.30948539970188</v>
      </c>
      <c r="IX40" s="1960">
        <v>804.7658069600036</v>
      </c>
      <c r="IY40" s="1960">
        <v>856.3958764165136</v>
      </c>
      <c r="IZ40" s="1960">
        <v>1017.1580314186705</v>
      </c>
      <c r="JA40" s="1960">
        <v>1056.5053326303014</v>
      </c>
      <c r="JB40" s="1960">
        <v>1085.3724782628694</v>
      </c>
      <c r="JC40" s="1960">
        <v>1127.0708206613715</v>
      </c>
      <c r="JD40" s="1960">
        <v>1169.2711302217053</v>
      </c>
      <c r="JE40" s="2274">
        <v>1571.5332803544231</v>
      </c>
      <c r="JF40" s="2117">
        <v>1640.8820788261189</v>
      </c>
      <c r="JG40" s="2103">
        <f t="shared" si="12"/>
        <v>1.0441281131864135</v>
      </c>
      <c r="JI40" s="2155"/>
      <c r="JJ40" s="2104"/>
    </row>
    <row r="41" spans="2:270" ht="20.25" customHeight="1">
      <c r="B41" s="2105">
        <v>16</v>
      </c>
      <c r="C41" s="2106" t="s">
        <v>536</v>
      </c>
      <c r="D41" s="2425" t="s">
        <v>1170</v>
      </c>
      <c r="E41" s="2107" t="s">
        <v>928</v>
      </c>
      <c r="F41" s="2106" t="s">
        <v>918</v>
      </c>
      <c r="G41" s="2425"/>
      <c r="H41" s="2106" t="s">
        <v>929</v>
      </c>
      <c r="I41" s="2106" t="s">
        <v>930</v>
      </c>
      <c r="J41" s="2359" t="s">
        <v>931</v>
      </c>
      <c r="K41" s="2425"/>
      <c r="L41" s="2110">
        <v>122</v>
      </c>
      <c r="M41" s="2110">
        <v>128.9</v>
      </c>
      <c r="N41" s="2110">
        <v>150.5</v>
      </c>
      <c r="O41" s="2110">
        <v>150.5</v>
      </c>
      <c r="P41" s="2110">
        <v>155.5</v>
      </c>
      <c r="Q41" s="2110">
        <v>185.2</v>
      </c>
      <c r="R41" s="2110">
        <v>180.4</v>
      </c>
      <c r="S41" s="2110">
        <v>189.2</v>
      </c>
      <c r="T41" s="2110">
        <v>192.2</v>
      </c>
      <c r="U41" s="2110">
        <v>193.3</v>
      </c>
      <c r="V41" s="2110">
        <v>193.3</v>
      </c>
      <c r="W41" s="2110">
        <v>193.3</v>
      </c>
      <c r="X41" s="2110">
        <v>193.3</v>
      </c>
      <c r="Y41" s="2110">
        <v>189.7</v>
      </c>
      <c r="Z41" s="2110">
        <v>189.7</v>
      </c>
      <c r="AA41" s="2110">
        <v>193.3</v>
      </c>
      <c r="AB41" s="2110">
        <v>196.1</v>
      </c>
      <c r="AC41" s="2110">
        <v>193.3</v>
      </c>
      <c r="AD41" s="2110">
        <v>195.8</v>
      </c>
      <c r="AE41" s="2110">
        <v>198</v>
      </c>
      <c r="AF41" s="2110">
        <v>198</v>
      </c>
      <c r="AG41" s="2110">
        <v>198</v>
      </c>
      <c r="AH41" s="2110">
        <v>200.3</v>
      </c>
      <c r="AI41" s="2110">
        <v>194.5</v>
      </c>
      <c r="AJ41" s="2110">
        <v>199.4</v>
      </c>
      <c r="AK41" s="2110">
        <v>201.1</v>
      </c>
      <c r="AL41" s="2110">
        <v>201.1</v>
      </c>
      <c r="AM41" s="2110">
        <v>212.2</v>
      </c>
      <c r="AN41" s="2110">
        <v>213.6</v>
      </c>
      <c r="AO41" s="2110">
        <v>213.6</v>
      </c>
      <c r="AP41" s="2110">
        <v>213.6</v>
      </c>
      <c r="AQ41" s="2110">
        <v>216.2</v>
      </c>
      <c r="AR41" s="2110">
        <v>216.2</v>
      </c>
      <c r="AS41" s="2110">
        <v>216.2</v>
      </c>
      <c r="AT41" s="2110">
        <v>216.2</v>
      </c>
      <c r="AU41" s="2110">
        <v>216.2</v>
      </c>
      <c r="AV41" s="2110">
        <v>216.2</v>
      </c>
      <c r="AW41" s="2111">
        <v>218.1</v>
      </c>
      <c r="AX41" s="2111">
        <v>218.1</v>
      </c>
      <c r="AY41" s="2111">
        <v>224.7</v>
      </c>
      <c r="AZ41" s="2111">
        <v>224.7</v>
      </c>
      <c r="BA41" s="2111">
        <v>224.7</v>
      </c>
      <c r="BB41" s="2111">
        <v>224.7</v>
      </c>
      <c r="BC41" s="2111">
        <v>224.7</v>
      </c>
      <c r="BD41" s="2112">
        <v>224.7</v>
      </c>
      <c r="BE41" s="2111">
        <v>225.6</v>
      </c>
      <c r="BF41" s="2112">
        <v>225.6</v>
      </c>
      <c r="BG41" s="2112">
        <v>229.3</v>
      </c>
      <c r="BH41" s="2112">
        <v>229.3</v>
      </c>
      <c r="BI41" s="2108">
        <v>232.9</v>
      </c>
      <c r="BJ41" s="2108">
        <v>234.5</v>
      </c>
      <c r="BK41" s="2108">
        <v>248.1</v>
      </c>
      <c r="BL41" s="2108">
        <v>255.1</v>
      </c>
      <c r="BM41" s="2108">
        <v>296.8</v>
      </c>
      <c r="BN41" s="2108">
        <v>305.8</v>
      </c>
      <c r="BO41" s="2108">
        <v>305.8</v>
      </c>
      <c r="BP41" s="2108">
        <v>305.8</v>
      </c>
      <c r="BQ41" s="2108">
        <v>305.8</v>
      </c>
      <c r="BR41" s="2108">
        <v>305.8</v>
      </c>
      <c r="BS41" s="2108">
        <v>305.8</v>
      </c>
      <c r="BT41" s="2108">
        <v>305.8</v>
      </c>
      <c r="BU41" s="2108">
        <v>305.8</v>
      </c>
      <c r="BV41" s="2108">
        <v>305.8</v>
      </c>
      <c r="BW41" s="2108">
        <v>305.8</v>
      </c>
      <c r="BX41" s="2108">
        <v>305.8</v>
      </c>
      <c r="BY41" s="2108">
        <v>312.60000000000002</v>
      </c>
      <c r="BZ41" s="2108">
        <v>312.60000000000002</v>
      </c>
      <c r="CA41" s="2108">
        <v>316.10000000000002</v>
      </c>
      <c r="CB41" s="2108">
        <v>319</v>
      </c>
      <c r="CC41" s="2108">
        <v>320.89999999999998</v>
      </c>
      <c r="CD41" s="2108">
        <v>347.9</v>
      </c>
      <c r="CE41" s="2108">
        <v>347.9</v>
      </c>
      <c r="CF41" s="2108">
        <v>347.9</v>
      </c>
      <c r="CG41" s="2108">
        <v>345.6</v>
      </c>
      <c r="CH41" s="2108">
        <v>345.6</v>
      </c>
      <c r="CI41" s="2108">
        <v>347.8</v>
      </c>
      <c r="CJ41" s="2108">
        <v>352.6</v>
      </c>
      <c r="CK41" s="2108">
        <v>360.8</v>
      </c>
      <c r="CL41" s="2108">
        <v>375.3</v>
      </c>
      <c r="CM41" s="2108">
        <v>379.5</v>
      </c>
      <c r="CN41" s="2108">
        <v>386.8</v>
      </c>
      <c r="CO41" s="2108">
        <v>393.4</v>
      </c>
      <c r="CP41" s="2108">
        <v>397.5</v>
      </c>
      <c r="CQ41" s="2108">
        <v>397.5</v>
      </c>
      <c r="CR41" s="2108">
        <v>397.5</v>
      </c>
      <c r="CS41" s="2108">
        <v>397.5</v>
      </c>
      <c r="CT41" s="2108">
        <v>403.6</v>
      </c>
      <c r="CU41" s="2108">
        <v>403.6</v>
      </c>
      <c r="CV41" s="2108">
        <v>403.6</v>
      </c>
      <c r="CW41" s="2108">
        <v>406.8</v>
      </c>
      <c r="CX41" s="2108">
        <v>406.8</v>
      </c>
      <c r="CY41" s="2108">
        <v>406.8</v>
      </c>
      <c r="CZ41" s="2108">
        <v>416.9</v>
      </c>
      <c r="DA41" s="2108">
        <v>416.9</v>
      </c>
      <c r="DB41" s="2108">
        <v>435.8</v>
      </c>
      <c r="DC41" s="2108">
        <v>435.8</v>
      </c>
      <c r="DD41" s="2108">
        <v>435.8</v>
      </c>
      <c r="DE41" s="2108">
        <v>448.3</v>
      </c>
      <c r="DF41" s="2108">
        <v>453.5</v>
      </c>
      <c r="DG41" s="2108">
        <v>469.3</v>
      </c>
      <c r="DH41" s="2108">
        <v>469.3</v>
      </c>
      <c r="DI41" s="2108">
        <v>469.3</v>
      </c>
      <c r="DJ41" s="2108">
        <v>476.7</v>
      </c>
      <c r="DK41" s="2108">
        <v>489.3</v>
      </c>
      <c r="DL41" s="2108">
        <v>496.9</v>
      </c>
      <c r="DM41" s="2108">
        <v>500.2</v>
      </c>
      <c r="DN41" s="2108">
        <v>511.6</v>
      </c>
      <c r="DO41" s="2108">
        <v>520.1</v>
      </c>
      <c r="DP41" s="2108">
        <v>523.6</v>
      </c>
      <c r="DQ41" s="2108">
        <v>523.6</v>
      </c>
      <c r="DR41" s="2108">
        <v>523.6</v>
      </c>
      <c r="DS41" s="2108">
        <v>527.4</v>
      </c>
      <c r="DT41" s="2108">
        <v>536.9</v>
      </c>
      <c r="DU41" s="2108">
        <v>536.9</v>
      </c>
      <c r="DV41" s="2108">
        <v>572.29999999999995</v>
      </c>
      <c r="DW41" s="2108">
        <v>572.29999999999995</v>
      </c>
      <c r="DX41" s="2108">
        <v>572.29999999999995</v>
      </c>
      <c r="DY41" s="2108">
        <v>579.29999999999995</v>
      </c>
      <c r="DZ41" s="2108">
        <v>599.6</v>
      </c>
      <c r="EA41" s="2108">
        <v>604.70000000000005</v>
      </c>
      <c r="EB41" s="2108">
        <v>611.20000000000005</v>
      </c>
      <c r="EC41" s="2108">
        <v>611.20000000000005</v>
      </c>
      <c r="ED41" s="2108">
        <v>611.20000000000005</v>
      </c>
      <c r="EE41" s="2108">
        <v>636</v>
      </c>
      <c r="EF41" s="2108">
        <v>630.29999999999995</v>
      </c>
      <c r="EG41" s="2108">
        <v>660.7</v>
      </c>
      <c r="EH41" s="2108">
        <v>660.7</v>
      </c>
      <c r="EI41" s="2108">
        <v>692.3</v>
      </c>
      <c r="EJ41" s="2108">
        <v>725.9</v>
      </c>
      <c r="EK41" s="2108">
        <v>741.2</v>
      </c>
      <c r="EL41" s="2108">
        <v>725.9</v>
      </c>
      <c r="EM41" s="2108">
        <v>733.5</v>
      </c>
      <c r="EN41" s="2108">
        <v>738.1</v>
      </c>
      <c r="EO41" s="2108">
        <v>738.1</v>
      </c>
      <c r="EP41" s="2108">
        <v>742.9</v>
      </c>
      <c r="EQ41" s="2108">
        <v>749.5</v>
      </c>
      <c r="ER41" s="2108">
        <v>749.5</v>
      </c>
      <c r="ES41" s="2108">
        <v>762.8</v>
      </c>
      <c r="ET41" s="2108">
        <v>766.4</v>
      </c>
      <c r="EU41" s="2108">
        <v>785.9</v>
      </c>
      <c r="EV41" s="2108">
        <v>809.1</v>
      </c>
      <c r="EW41" s="2108">
        <v>823</v>
      </c>
      <c r="EX41" s="2108">
        <v>835.9</v>
      </c>
      <c r="EY41" s="2108">
        <v>835.8</v>
      </c>
      <c r="EZ41" s="2108">
        <v>835.8</v>
      </c>
      <c r="FA41" s="2108">
        <v>934.6</v>
      </c>
      <c r="FB41" s="2108">
        <v>974.6</v>
      </c>
      <c r="FC41" s="2108">
        <v>1056.2</v>
      </c>
      <c r="FD41" s="2108">
        <v>1240.3</v>
      </c>
      <c r="FE41" s="2108">
        <v>1239.4000000000001</v>
      </c>
      <c r="FF41" s="2108">
        <v>1239.4000000000001</v>
      </c>
      <c r="FG41" s="2108">
        <v>1256.7</v>
      </c>
      <c r="FH41" s="2108">
        <v>1301.7</v>
      </c>
      <c r="FI41" s="2108">
        <v>1316.1</v>
      </c>
      <c r="FJ41" s="2108">
        <v>1333.4</v>
      </c>
      <c r="FK41" s="2108">
        <v>1333.4</v>
      </c>
      <c r="FL41" s="2108">
        <v>1384.8</v>
      </c>
      <c r="FM41" s="2108">
        <v>1384.8</v>
      </c>
      <c r="FN41" s="2108">
        <v>1384.8</v>
      </c>
      <c r="FO41" s="2108">
        <v>1403.1</v>
      </c>
      <c r="FP41" s="2108">
        <v>1403.1</v>
      </c>
      <c r="FQ41" s="2108">
        <v>1441.4</v>
      </c>
      <c r="FR41" s="2108">
        <v>1446.3</v>
      </c>
      <c r="FS41" s="2108">
        <v>1449.5</v>
      </c>
      <c r="FT41" s="2108">
        <v>1465.2</v>
      </c>
      <c r="FU41" s="2108">
        <v>1533.2</v>
      </c>
      <c r="FV41" s="2108">
        <v>1536.6</v>
      </c>
      <c r="FW41" s="2108" t="s">
        <v>521</v>
      </c>
      <c r="FX41" s="2108" t="s">
        <v>521</v>
      </c>
      <c r="FY41" s="2108" t="s">
        <v>521</v>
      </c>
      <c r="FZ41" s="2108" t="s">
        <v>521</v>
      </c>
      <c r="GA41" s="2108" t="s">
        <v>521</v>
      </c>
      <c r="GB41" s="2108" t="s">
        <v>521</v>
      </c>
      <c r="GC41" s="2108" t="s">
        <v>521</v>
      </c>
      <c r="GD41" s="2108" t="s">
        <v>521</v>
      </c>
      <c r="GE41" s="2108" t="s">
        <v>521</v>
      </c>
      <c r="GF41" s="2135" t="s">
        <v>521</v>
      </c>
      <c r="GG41" s="1963" t="s">
        <v>521</v>
      </c>
      <c r="GH41" s="2135" t="s">
        <v>521</v>
      </c>
      <c r="GI41" s="2135" t="s">
        <v>521</v>
      </c>
      <c r="GJ41" s="2108" t="s">
        <v>521</v>
      </c>
      <c r="GK41" s="2108" t="s">
        <v>521</v>
      </c>
      <c r="GL41" s="2108" t="s">
        <v>521</v>
      </c>
      <c r="GM41" s="2135" t="s">
        <v>521</v>
      </c>
      <c r="GN41" s="2135" t="s">
        <v>521</v>
      </c>
      <c r="GO41" s="2136" t="s">
        <v>521</v>
      </c>
      <c r="GP41" s="2137" t="s">
        <v>521</v>
      </c>
      <c r="GQ41" s="2137" t="s">
        <v>521</v>
      </c>
      <c r="GR41" s="2137" t="s">
        <v>521</v>
      </c>
      <c r="GS41" s="2137" t="s">
        <v>521</v>
      </c>
      <c r="GT41" s="1963" t="s">
        <v>521</v>
      </c>
      <c r="GU41" s="1963" t="s">
        <v>521</v>
      </c>
      <c r="GV41" s="1963" t="s">
        <v>521</v>
      </c>
      <c r="GW41" s="1963" t="s">
        <v>521</v>
      </c>
      <c r="GX41" s="1963" t="s">
        <v>521</v>
      </c>
      <c r="GY41" s="1963" t="s">
        <v>521</v>
      </c>
      <c r="GZ41" s="1963">
        <v>100</v>
      </c>
      <c r="HA41" s="1963">
        <v>106.41372432278598</v>
      </c>
      <c r="HB41" s="1963">
        <v>121.60673191138875</v>
      </c>
      <c r="HC41" s="1963">
        <v>130.73819670820683</v>
      </c>
      <c r="HD41" s="1963">
        <v>130.77931226170782</v>
      </c>
      <c r="HE41" s="1963">
        <v>149.49753560987855</v>
      </c>
      <c r="HF41" s="1963">
        <v>154.81471861081124</v>
      </c>
      <c r="HG41" s="1963">
        <v>154.8260920106504</v>
      </c>
      <c r="HH41" s="1963">
        <v>161.76798628966461</v>
      </c>
      <c r="HI41" s="2136">
        <v>161.80367040428732</v>
      </c>
      <c r="HJ41" s="1963">
        <v>165.19008254580635</v>
      </c>
      <c r="HK41" s="1963">
        <v>172.85859630214637</v>
      </c>
      <c r="HL41" s="1963">
        <v>182.70324674196496</v>
      </c>
      <c r="HM41" s="1963">
        <v>188.9388759302559</v>
      </c>
      <c r="HN41" s="1963">
        <v>208.79249063151491</v>
      </c>
      <c r="HO41" s="1963">
        <v>209.62110576214761</v>
      </c>
      <c r="HP41" s="1960">
        <v>231.28874776598997</v>
      </c>
      <c r="HQ41" s="1960">
        <v>240.1457526145449</v>
      </c>
      <c r="HR41" s="1960">
        <v>240.14332917154385</v>
      </c>
      <c r="HS41" s="1960">
        <v>271.09708235781966</v>
      </c>
      <c r="HT41" s="1962">
        <v>273.37603579190989</v>
      </c>
      <c r="HU41" s="1961">
        <v>273.38870155449803</v>
      </c>
      <c r="HV41" s="1960">
        <v>268.87760363324867</v>
      </c>
      <c r="HW41" s="1960">
        <v>268.87760363324867</v>
      </c>
      <c r="HX41" s="1960">
        <v>272.41872840123563</v>
      </c>
      <c r="HY41" s="1960">
        <v>272.41872840123563</v>
      </c>
      <c r="HZ41" s="1960">
        <v>272.41872840123563</v>
      </c>
      <c r="IA41" s="1960">
        <v>272.41872840123563</v>
      </c>
      <c r="IB41" s="1960">
        <v>272.41872840123563</v>
      </c>
      <c r="IC41" s="1960">
        <v>272.41872840123563</v>
      </c>
      <c r="ID41" s="1960">
        <v>308.38805336090871</v>
      </c>
      <c r="IE41" s="1960">
        <v>315.57687001110997</v>
      </c>
      <c r="IF41" s="1960">
        <v>318.55794151045313</v>
      </c>
      <c r="IG41" s="1961">
        <v>341.32453295263286</v>
      </c>
      <c r="IH41" s="1960">
        <v>349.09635337560405</v>
      </c>
      <c r="II41" s="1960">
        <v>349.08386951934568</v>
      </c>
      <c r="IJ41" s="1961">
        <v>362.41233026658267</v>
      </c>
      <c r="IK41" s="1960">
        <v>363.77137257243152</v>
      </c>
      <c r="IL41" s="1960">
        <v>373.76091757774884</v>
      </c>
      <c r="IM41" s="1960">
        <v>382.79227843248282</v>
      </c>
      <c r="IN41" s="1960">
        <v>401.58212507586353</v>
      </c>
      <c r="IO41" s="1960">
        <v>409.7583371424081</v>
      </c>
      <c r="IP41" s="1960">
        <v>428.63895541253169</v>
      </c>
      <c r="IQ41" s="1960">
        <v>434.58160589037107</v>
      </c>
      <c r="IR41" s="1960">
        <v>455.71703277289606</v>
      </c>
      <c r="IS41" s="2274">
        <v>472.03797898074401</v>
      </c>
      <c r="IT41" s="1960">
        <v>486.58909205988618</v>
      </c>
      <c r="IU41" s="1960">
        <v>484.79271400975807</v>
      </c>
      <c r="IV41" s="1960">
        <v>520.21453165566709</v>
      </c>
      <c r="IW41" s="1960">
        <v>531.92949864613934</v>
      </c>
      <c r="IX41" s="1960">
        <v>556.58281628318127</v>
      </c>
      <c r="IY41" s="1960">
        <v>624.96508515918811</v>
      </c>
      <c r="IZ41" s="1960">
        <v>679.6669672646791</v>
      </c>
      <c r="JA41" s="1960">
        <v>730.99837402103822</v>
      </c>
      <c r="JB41" s="1960">
        <v>798.37652197460693</v>
      </c>
      <c r="JC41" s="1960">
        <v>855.11214175238092</v>
      </c>
      <c r="JD41" s="1960">
        <v>855.11214175238092</v>
      </c>
      <c r="JE41" s="2274">
        <v>936.60938580754328</v>
      </c>
      <c r="JF41" s="2117">
        <v>950.23278852668648</v>
      </c>
      <c r="JG41" s="2103">
        <f t="shared" si="12"/>
        <v>1.0145454475746014</v>
      </c>
      <c r="JI41" s="2155"/>
      <c r="JJ41" s="2104"/>
    </row>
    <row r="42" spans="2:270" hidden="1">
      <c r="B42" s="2105">
        <v>17</v>
      </c>
      <c r="C42" s="2106"/>
      <c r="D42" s="2425">
        <v>0</v>
      </c>
      <c r="E42" s="2107" t="s">
        <v>932</v>
      </c>
      <c r="F42" s="2106" t="s">
        <v>918</v>
      </c>
      <c r="G42" s="2425"/>
      <c r="H42" s="2138" t="s">
        <v>64</v>
      </c>
      <c r="I42" s="2106" t="s">
        <v>920</v>
      </c>
      <c r="J42" s="2359" t="s">
        <v>925</v>
      </c>
      <c r="K42" s="2368"/>
      <c r="L42" s="2110">
        <v>95.6</v>
      </c>
      <c r="M42" s="2110">
        <v>102.6</v>
      </c>
      <c r="N42" s="2110">
        <v>108.5</v>
      </c>
      <c r="O42" s="2110">
        <v>126.6</v>
      </c>
      <c r="P42" s="2110">
        <v>138.69999999999999</v>
      </c>
      <c r="Q42" s="2110">
        <v>153</v>
      </c>
      <c r="R42" s="2110">
        <v>158.69999999999999</v>
      </c>
      <c r="S42" s="2110">
        <v>161.4</v>
      </c>
      <c r="T42" s="2110">
        <v>161.4</v>
      </c>
      <c r="U42" s="2110">
        <v>159.9</v>
      </c>
      <c r="V42" s="2110">
        <v>155.80000000000001</v>
      </c>
      <c r="W42" s="2110">
        <v>159</v>
      </c>
      <c r="X42" s="2110">
        <v>158.69999999999999</v>
      </c>
      <c r="Y42" s="2110">
        <v>156</v>
      </c>
      <c r="Z42" s="2110">
        <v>149.19999999999999</v>
      </c>
      <c r="AA42" s="2110">
        <v>148</v>
      </c>
      <c r="AB42" s="2110">
        <v>147.19999999999999</v>
      </c>
      <c r="AC42" s="2110">
        <v>147.19999999999999</v>
      </c>
      <c r="AD42" s="2110">
        <v>147.19999999999999</v>
      </c>
      <c r="AE42" s="2110">
        <v>147.19999999999999</v>
      </c>
      <c r="AF42" s="2110">
        <v>147.19999999999999</v>
      </c>
      <c r="AG42" s="2110">
        <v>147.19999999999999</v>
      </c>
      <c r="AH42" s="2110">
        <v>147.19999999999999</v>
      </c>
      <c r="AI42" s="2110">
        <v>146.19999999999999</v>
      </c>
      <c r="AJ42" s="2110">
        <v>150.1</v>
      </c>
      <c r="AK42" s="2110">
        <v>149</v>
      </c>
      <c r="AL42" s="2110">
        <v>156</v>
      </c>
      <c r="AM42" s="2110">
        <v>170.1</v>
      </c>
      <c r="AN42" s="2110">
        <v>181.1</v>
      </c>
      <c r="AO42" s="2110">
        <v>182</v>
      </c>
      <c r="AP42" s="2110">
        <v>181.7</v>
      </c>
      <c r="AQ42" s="2110">
        <v>187</v>
      </c>
      <c r="AR42" s="2110">
        <v>187</v>
      </c>
      <c r="AS42" s="2110">
        <v>185.5</v>
      </c>
      <c r="AT42" s="2110">
        <v>185.6</v>
      </c>
      <c r="AU42" s="2110">
        <v>185.6</v>
      </c>
      <c r="AV42" s="2110">
        <v>185.6</v>
      </c>
      <c r="AW42" s="2111">
        <v>187.4</v>
      </c>
      <c r="AX42" s="2111">
        <v>184</v>
      </c>
      <c r="AY42" s="2111">
        <v>189.3</v>
      </c>
      <c r="AZ42" s="2111">
        <v>196.8</v>
      </c>
      <c r="BA42" s="2111">
        <v>195</v>
      </c>
      <c r="BB42" s="2111">
        <v>196.2</v>
      </c>
      <c r="BC42" s="2111">
        <v>196.5</v>
      </c>
      <c r="BD42" s="2112">
        <v>197</v>
      </c>
      <c r="BE42" s="2111">
        <v>195.9</v>
      </c>
      <c r="BF42" s="2112">
        <v>203.6</v>
      </c>
      <c r="BG42" s="2112">
        <v>204.1</v>
      </c>
      <c r="BH42" s="2112">
        <v>212.1</v>
      </c>
      <c r="BI42" s="2108">
        <v>215.6</v>
      </c>
      <c r="BJ42" s="2108">
        <v>227.3</v>
      </c>
      <c r="BK42" s="2108">
        <v>231.5</v>
      </c>
      <c r="BL42" s="2108">
        <v>238.9</v>
      </c>
      <c r="BM42" s="2108">
        <v>337.5</v>
      </c>
      <c r="BN42" s="2108">
        <v>339.9</v>
      </c>
      <c r="BO42" s="2108">
        <v>329.7</v>
      </c>
      <c r="BP42" s="2108">
        <v>329.7</v>
      </c>
      <c r="BQ42" s="2108">
        <v>336.7</v>
      </c>
      <c r="BR42" s="2108">
        <v>328.3</v>
      </c>
      <c r="BS42" s="2108">
        <v>327.8</v>
      </c>
      <c r="BT42" s="2108">
        <v>327.8</v>
      </c>
      <c r="BU42" s="2108">
        <v>325.60000000000002</v>
      </c>
      <c r="BV42" s="2108">
        <v>325.60000000000002</v>
      </c>
      <c r="BW42" s="2108">
        <v>333.4</v>
      </c>
      <c r="BX42" s="2108">
        <v>337.5</v>
      </c>
      <c r="BY42" s="2108">
        <v>333</v>
      </c>
      <c r="BZ42" s="2108">
        <v>336.5</v>
      </c>
      <c r="CA42" s="2108">
        <v>336.6</v>
      </c>
      <c r="CB42" s="2108">
        <v>345.4</v>
      </c>
      <c r="CC42" s="2108">
        <v>349.4</v>
      </c>
      <c r="CD42" s="2108">
        <v>357.8</v>
      </c>
      <c r="CE42" s="2108">
        <v>358.2</v>
      </c>
      <c r="CF42" s="2108">
        <v>358.9</v>
      </c>
      <c r="CG42" s="2108">
        <v>358.7</v>
      </c>
      <c r="CH42" s="2108">
        <v>359</v>
      </c>
      <c r="CI42" s="2108">
        <v>361.3</v>
      </c>
      <c r="CJ42" s="2108">
        <v>362</v>
      </c>
      <c r="CK42" s="2108">
        <v>363.9</v>
      </c>
      <c r="CL42" s="2108">
        <v>384.6</v>
      </c>
      <c r="CM42" s="2108">
        <v>386.2</v>
      </c>
      <c r="CN42" s="2108">
        <v>387.6</v>
      </c>
      <c r="CO42" s="2108">
        <v>388.2</v>
      </c>
      <c r="CP42" s="2108">
        <v>389.7</v>
      </c>
      <c r="CQ42" s="2108">
        <v>396</v>
      </c>
      <c r="CR42" s="2108">
        <v>396</v>
      </c>
      <c r="CS42" s="2108">
        <v>396.2</v>
      </c>
      <c r="CT42" s="2108">
        <v>396.2</v>
      </c>
      <c r="CU42" s="2108">
        <v>394</v>
      </c>
      <c r="CV42" s="2108">
        <v>398.3</v>
      </c>
      <c r="CW42" s="2108">
        <v>398.3</v>
      </c>
      <c r="CX42" s="2108">
        <v>399.4</v>
      </c>
      <c r="CY42" s="2108">
        <v>404.4</v>
      </c>
      <c r="CZ42" s="2108">
        <v>409</v>
      </c>
      <c r="DA42" s="2108">
        <v>413</v>
      </c>
      <c r="DB42" s="2108">
        <v>424.9</v>
      </c>
      <c r="DC42" s="2108">
        <v>424.9</v>
      </c>
      <c r="DD42" s="2108">
        <v>429.1</v>
      </c>
      <c r="DE42" s="2108">
        <v>426.4</v>
      </c>
      <c r="DF42" s="2108">
        <v>435.6</v>
      </c>
      <c r="DG42" s="2108">
        <v>440.8</v>
      </c>
      <c r="DH42" s="2108">
        <v>465.5</v>
      </c>
      <c r="DI42" s="2108">
        <v>459.3</v>
      </c>
      <c r="DJ42" s="2108">
        <v>480.7</v>
      </c>
      <c r="DK42" s="2108">
        <v>490.8</v>
      </c>
      <c r="DL42" s="2108">
        <v>492.5</v>
      </c>
      <c r="DM42" s="2108">
        <v>497.5</v>
      </c>
      <c r="DN42" s="2108">
        <v>498.3</v>
      </c>
      <c r="DO42" s="2108">
        <v>525</v>
      </c>
      <c r="DP42" s="2108">
        <v>522.4</v>
      </c>
      <c r="DQ42" s="2108">
        <v>522.20000000000005</v>
      </c>
      <c r="DR42" s="2108">
        <v>552.70000000000005</v>
      </c>
      <c r="DS42" s="2108">
        <v>567.6</v>
      </c>
      <c r="DT42" s="2108">
        <v>595.6</v>
      </c>
      <c r="DU42" s="2108">
        <v>609.70000000000005</v>
      </c>
      <c r="DV42" s="2108">
        <v>640.6</v>
      </c>
      <c r="DW42" s="2108">
        <v>669.4</v>
      </c>
      <c r="DX42" s="2108">
        <v>674.3</v>
      </c>
      <c r="DY42" s="2108">
        <v>674.3</v>
      </c>
      <c r="DZ42" s="2108">
        <v>682.7</v>
      </c>
      <c r="EA42" s="2108">
        <v>692.4</v>
      </c>
      <c r="EB42" s="2108">
        <v>692.4</v>
      </c>
      <c r="EC42" s="2108">
        <v>695.2</v>
      </c>
      <c r="ED42" s="2108">
        <v>701.1</v>
      </c>
      <c r="EE42" s="2108">
        <v>725.8</v>
      </c>
      <c r="EF42" s="2108">
        <v>730.5</v>
      </c>
      <c r="EG42" s="2108">
        <v>741.3</v>
      </c>
      <c r="EH42" s="2108">
        <v>781</v>
      </c>
      <c r="EI42" s="2108">
        <v>779.2</v>
      </c>
      <c r="EJ42" s="2108">
        <v>809.2</v>
      </c>
      <c r="EK42" s="2108">
        <v>825.2</v>
      </c>
      <c r="EL42" s="2108">
        <v>828</v>
      </c>
      <c r="EM42" s="2108">
        <v>833.3</v>
      </c>
      <c r="EN42" s="2108">
        <v>835.8</v>
      </c>
      <c r="EO42" s="2108">
        <v>835.8</v>
      </c>
      <c r="EP42" s="2108">
        <v>858.9</v>
      </c>
      <c r="EQ42" s="2108">
        <v>875.6</v>
      </c>
      <c r="ER42" s="2108">
        <v>880.1</v>
      </c>
      <c r="ES42" s="2108">
        <v>917.3</v>
      </c>
      <c r="ET42" s="2108">
        <v>978.5</v>
      </c>
      <c r="EU42" s="2108">
        <v>979.2</v>
      </c>
      <c r="EV42" s="2108">
        <v>1064</v>
      </c>
      <c r="EW42" s="2108">
        <v>1074.9000000000001</v>
      </c>
      <c r="EX42" s="2108">
        <v>1097.5999999999999</v>
      </c>
      <c r="EY42" s="2108">
        <v>1151.5999999999999</v>
      </c>
      <c r="EZ42" s="2108">
        <v>1193.9000000000001</v>
      </c>
      <c r="FA42" s="2108">
        <v>1219.9000000000001</v>
      </c>
      <c r="FB42" s="2108">
        <v>1312.5</v>
      </c>
      <c r="FC42" s="2108">
        <v>1362.5</v>
      </c>
      <c r="FD42" s="2108">
        <v>1387.7</v>
      </c>
      <c r="FE42" s="2108">
        <v>1405.1</v>
      </c>
      <c r="FF42" s="2108">
        <v>1405.1</v>
      </c>
      <c r="FG42" s="2108">
        <v>1574.1</v>
      </c>
      <c r="FH42" s="2108">
        <v>1723.8</v>
      </c>
      <c r="FI42" s="2108">
        <v>1745.9</v>
      </c>
      <c r="FJ42" s="2108">
        <v>1817.4</v>
      </c>
      <c r="FK42" s="2108">
        <v>1817.4</v>
      </c>
      <c r="FL42" s="2108">
        <v>1817.4</v>
      </c>
      <c r="FM42" s="2108">
        <v>1816.8</v>
      </c>
      <c r="FN42" s="2108">
        <v>1922.4</v>
      </c>
      <c r="FO42" s="2108">
        <v>1952.5</v>
      </c>
      <c r="FP42" s="2108">
        <v>1985.2</v>
      </c>
      <c r="FQ42" s="2108">
        <v>1985</v>
      </c>
      <c r="FR42" s="2108">
        <v>1999.2</v>
      </c>
      <c r="FS42" s="2108">
        <v>2165.6999999999998</v>
      </c>
      <c r="FT42" s="2108">
        <v>2197.6</v>
      </c>
      <c r="FU42" s="2108">
        <v>2215.3000000000002</v>
      </c>
      <c r="FV42" s="2108">
        <v>2224.1999999999998</v>
      </c>
      <c r="FW42" s="2108" t="s">
        <v>521</v>
      </c>
      <c r="FX42" s="2108" t="s">
        <v>521</v>
      </c>
      <c r="FY42" s="2108" t="s">
        <v>521</v>
      </c>
      <c r="FZ42" s="2108" t="s">
        <v>521</v>
      </c>
      <c r="GA42" s="2108" t="s">
        <v>521</v>
      </c>
      <c r="GB42" s="2108" t="s">
        <v>521</v>
      </c>
      <c r="GC42" s="2108" t="s">
        <v>521</v>
      </c>
      <c r="GD42" s="2108" t="s">
        <v>521</v>
      </c>
      <c r="GE42" s="2108" t="s">
        <v>521</v>
      </c>
      <c r="GF42" s="2135" t="s">
        <v>521</v>
      </c>
      <c r="GG42" s="1963" t="s">
        <v>521</v>
      </c>
      <c r="GH42" s="2135" t="s">
        <v>521</v>
      </c>
      <c r="GI42" s="2135" t="s">
        <v>521</v>
      </c>
      <c r="GJ42" s="2108" t="s">
        <v>521</v>
      </c>
      <c r="GK42" s="2108" t="s">
        <v>521</v>
      </c>
      <c r="GL42" s="2108" t="s">
        <v>521</v>
      </c>
      <c r="GM42" s="2135" t="s">
        <v>521</v>
      </c>
      <c r="GN42" s="2135" t="s">
        <v>521</v>
      </c>
      <c r="GO42" s="2136" t="s">
        <v>521</v>
      </c>
      <c r="GP42" s="2137" t="s">
        <v>521</v>
      </c>
      <c r="GQ42" s="2137" t="s">
        <v>521</v>
      </c>
      <c r="GR42" s="2137" t="s">
        <v>521</v>
      </c>
      <c r="GS42" s="2137" t="s">
        <v>521</v>
      </c>
      <c r="GT42" s="1963" t="s">
        <v>521</v>
      </c>
      <c r="GU42" s="1963" t="s">
        <v>521</v>
      </c>
      <c r="GV42" s="1963" t="s">
        <v>521</v>
      </c>
      <c r="GW42" s="1963" t="s">
        <v>521</v>
      </c>
      <c r="GX42" s="1963" t="s">
        <v>521</v>
      </c>
      <c r="GY42" s="1963" t="s">
        <v>521</v>
      </c>
      <c r="GZ42" s="1963" t="s">
        <v>521</v>
      </c>
      <c r="HA42" s="1963" t="s">
        <v>521</v>
      </c>
      <c r="HB42" s="1963" t="s">
        <v>521</v>
      </c>
      <c r="HC42" s="1963" t="s">
        <v>521</v>
      </c>
      <c r="HD42" s="1963" t="s">
        <v>521</v>
      </c>
      <c r="HE42" s="1963" t="s">
        <v>521</v>
      </c>
      <c r="HF42" s="1963" t="s">
        <v>521</v>
      </c>
      <c r="HG42" s="1963" t="s">
        <v>521</v>
      </c>
      <c r="HH42" s="2139" t="s">
        <v>521</v>
      </c>
      <c r="HI42" s="1963" t="s">
        <v>521</v>
      </c>
      <c r="HJ42" s="1963" t="s">
        <v>521</v>
      </c>
      <c r="HK42" s="1963" t="s">
        <v>521</v>
      </c>
      <c r="HL42" s="1963" t="s">
        <v>521</v>
      </c>
      <c r="HM42" s="1963" t="s">
        <v>521</v>
      </c>
      <c r="HN42" s="1963" t="s">
        <v>521</v>
      </c>
      <c r="HO42" s="1963" t="s">
        <v>521</v>
      </c>
      <c r="HP42" s="1963" t="s">
        <v>521</v>
      </c>
      <c r="HQ42" s="1963" t="s">
        <v>521</v>
      </c>
      <c r="HR42" s="1963" t="s">
        <v>521</v>
      </c>
      <c r="HS42" s="1963" t="s">
        <v>521</v>
      </c>
      <c r="HT42" s="2140" t="s">
        <v>521</v>
      </c>
      <c r="HU42" s="2141" t="s">
        <v>521</v>
      </c>
      <c r="HV42" s="1960" t="s">
        <v>521</v>
      </c>
      <c r="HW42" s="1960" t="s">
        <v>521</v>
      </c>
      <c r="HX42" s="1960" t="s">
        <v>521</v>
      </c>
      <c r="HY42" s="1960" t="s">
        <v>521</v>
      </c>
      <c r="HZ42" s="1960" t="s">
        <v>521</v>
      </c>
      <c r="IA42" s="1960" t="s">
        <v>521</v>
      </c>
      <c r="IB42" s="1960" t="s">
        <v>521</v>
      </c>
      <c r="IC42" s="1960" t="s">
        <v>521</v>
      </c>
      <c r="ID42" s="1960" t="s">
        <v>521</v>
      </c>
      <c r="IE42" s="1960" t="s">
        <v>521</v>
      </c>
      <c r="IF42" s="1960" t="s">
        <v>521</v>
      </c>
      <c r="IG42" s="1961" t="s">
        <v>521</v>
      </c>
      <c r="IH42" s="1960" t="s">
        <v>521</v>
      </c>
      <c r="II42" s="1960" t="s">
        <v>521</v>
      </c>
      <c r="IJ42" s="1961" t="s">
        <v>521</v>
      </c>
      <c r="IK42" s="1960" t="s">
        <v>521</v>
      </c>
      <c r="IL42" s="1960" t="s">
        <v>521</v>
      </c>
      <c r="IM42" s="1960" t="s">
        <v>521</v>
      </c>
      <c r="IN42" s="1960" t="s">
        <v>521</v>
      </c>
      <c r="IO42" s="1960" t="s">
        <v>521</v>
      </c>
      <c r="IP42" s="1960" t="s">
        <v>521</v>
      </c>
      <c r="IQ42" s="1960" t="s">
        <v>521</v>
      </c>
      <c r="IR42" s="1960" t="s">
        <v>521</v>
      </c>
      <c r="IS42" s="2274" t="s">
        <v>521</v>
      </c>
      <c r="IT42" s="1960" t="s">
        <v>521</v>
      </c>
      <c r="IU42" s="1960" t="s">
        <v>521</v>
      </c>
      <c r="IV42" s="1960" t="s">
        <v>521</v>
      </c>
      <c r="IW42" s="1960">
        <v>0</v>
      </c>
      <c r="IX42" s="1960">
        <v>0</v>
      </c>
      <c r="IY42" s="1960">
        <v>0</v>
      </c>
      <c r="IZ42" s="1960">
        <v>0</v>
      </c>
      <c r="JA42" s="1960">
        <v>0</v>
      </c>
      <c r="JB42" s="1960">
        <v>0</v>
      </c>
      <c r="JC42" s="1960">
        <v>0</v>
      </c>
      <c r="JD42" s="1960">
        <v>0</v>
      </c>
      <c r="JE42" s="2274">
        <v>0</v>
      </c>
      <c r="JF42" s="2117">
        <v>0</v>
      </c>
      <c r="JG42" s="2103" t="e">
        <f t="shared" si="12"/>
        <v>#DIV/0!</v>
      </c>
      <c r="JI42" s="2155"/>
      <c r="JJ42" s="2104"/>
    </row>
    <row r="43" spans="2:270" ht="20.25" customHeight="1">
      <c r="B43" s="2105">
        <v>18</v>
      </c>
      <c r="C43" s="2106" t="s">
        <v>535</v>
      </c>
      <c r="D43" s="2425" t="s">
        <v>1171</v>
      </c>
      <c r="E43" s="2107" t="s">
        <v>933</v>
      </c>
      <c r="F43" s="2106" t="s">
        <v>918</v>
      </c>
      <c r="G43" s="2425" t="s">
        <v>1112</v>
      </c>
      <c r="H43" s="2106" t="s">
        <v>919</v>
      </c>
      <c r="I43" s="2106" t="s">
        <v>920</v>
      </c>
      <c r="J43" s="2359" t="s">
        <v>921</v>
      </c>
      <c r="K43" s="2425"/>
      <c r="L43" s="2110">
        <v>98.22</v>
      </c>
      <c r="M43" s="2110">
        <v>102.63</v>
      </c>
      <c r="N43" s="2110">
        <v>105.87</v>
      </c>
      <c r="O43" s="2110">
        <v>125.45</v>
      </c>
      <c r="P43" s="2110">
        <v>154.37</v>
      </c>
      <c r="Q43" s="2110">
        <v>168.14</v>
      </c>
      <c r="R43" s="2110">
        <v>188.9</v>
      </c>
      <c r="S43" s="2110">
        <v>200.09</v>
      </c>
      <c r="T43" s="2110">
        <v>201.62</v>
      </c>
      <c r="U43" s="2110">
        <v>204.89</v>
      </c>
      <c r="V43" s="2110">
        <v>206.3</v>
      </c>
      <c r="W43" s="2110">
        <v>206.31</v>
      </c>
      <c r="X43" s="2110">
        <v>205.74</v>
      </c>
      <c r="Y43" s="2110">
        <v>202.15</v>
      </c>
      <c r="Z43" s="2110">
        <v>201.82</v>
      </c>
      <c r="AA43" s="2110">
        <v>202.4</v>
      </c>
      <c r="AB43" s="2110">
        <v>203.71</v>
      </c>
      <c r="AC43" s="2110">
        <v>202.92</v>
      </c>
      <c r="AD43" s="2110">
        <v>205.92</v>
      </c>
      <c r="AE43" s="2110">
        <v>207.04</v>
      </c>
      <c r="AF43" s="2110">
        <v>208.15</v>
      </c>
      <c r="AG43" s="2110">
        <v>208.15</v>
      </c>
      <c r="AH43" s="2110">
        <v>208.15</v>
      </c>
      <c r="AI43" s="2110">
        <v>208.15</v>
      </c>
      <c r="AJ43" s="2110">
        <v>208.15</v>
      </c>
      <c r="AK43" s="2110">
        <v>208.45</v>
      </c>
      <c r="AL43" s="2110">
        <v>207.23</v>
      </c>
      <c r="AM43" s="2110">
        <v>207.23</v>
      </c>
      <c r="AN43" s="2110">
        <v>207.23</v>
      </c>
      <c r="AO43" s="2110">
        <v>208.61</v>
      </c>
      <c r="AP43" s="2110">
        <v>209.09</v>
      </c>
      <c r="AQ43" s="2110">
        <v>209.93</v>
      </c>
      <c r="AR43" s="2110">
        <v>212.27</v>
      </c>
      <c r="AS43" s="2110">
        <v>212.27</v>
      </c>
      <c r="AT43" s="2110">
        <v>217.66</v>
      </c>
      <c r="AU43" s="2110">
        <v>217.68</v>
      </c>
      <c r="AV43" s="2110">
        <v>221.41</v>
      </c>
      <c r="AW43" s="2111">
        <v>226.43</v>
      </c>
      <c r="AX43" s="2111">
        <v>228.57</v>
      </c>
      <c r="AY43" s="2111">
        <v>231.66</v>
      </c>
      <c r="AZ43" s="2111">
        <v>231.66</v>
      </c>
      <c r="BA43" s="2111">
        <v>234.33</v>
      </c>
      <c r="BB43" s="2111">
        <v>234.43</v>
      </c>
      <c r="BC43" s="2111">
        <v>235.73</v>
      </c>
      <c r="BD43" s="2112">
        <v>233.85</v>
      </c>
      <c r="BE43" s="2111">
        <v>237.04</v>
      </c>
      <c r="BF43" s="2112">
        <v>241.15</v>
      </c>
      <c r="BG43" s="2112">
        <v>251.55</v>
      </c>
      <c r="BH43" s="2112">
        <v>253.97</v>
      </c>
      <c r="BI43" s="2108">
        <v>256.75</v>
      </c>
      <c r="BJ43" s="2108">
        <v>267.06</v>
      </c>
      <c r="BK43" s="2108">
        <v>267.10000000000002</v>
      </c>
      <c r="BL43" s="2108">
        <v>272.12</v>
      </c>
      <c r="BM43" s="2108">
        <v>287.47000000000003</v>
      </c>
      <c r="BN43" s="2108">
        <v>291</v>
      </c>
      <c r="BO43" s="2108">
        <v>294.25</v>
      </c>
      <c r="BP43" s="2108">
        <v>301.54000000000002</v>
      </c>
      <c r="BQ43" s="2108">
        <v>315.69</v>
      </c>
      <c r="BR43" s="2108">
        <v>335.25</v>
      </c>
      <c r="BS43" s="2108">
        <v>336.37</v>
      </c>
      <c r="BT43" s="2108">
        <v>336.37</v>
      </c>
      <c r="BU43" s="2108">
        <v>338.26</v>
      </c>
      <c r="BV43" s="2108">
        <v>338.4</v>
      </c>
      <c r="BW43" s="2108">
        <v>343.11</v>
      </c>
      <c r="BX43" s="2108">
        <v>349.83</v>
      </c>
      <c r="BY43" s="2108">
        <v>349.36</v>
      </c>
      <c r="BZ43" s="2108">
        <v>349.36</v>
      </c>
      <c r="CA43" s="2108">
        <v>365.01</v>
      </c>
      <c r="CB43" s="2108">
        <v>365.01</v>
      </c>
      <c r="CC43" s="2108">
        <v>365.01</v>
      </c>
      <c r="CD43" s="2108">
        <v>367.75</v>
      </c>
      <c r="CE43" s="2108">
        <v>371.4</v>
      </c>
      <c r="CF43" s="2108">
        <v>381.32</v>
      </c>
      <c r="CG43" s="2108">
        <v>393.63</v>
      </c>
      <c r="CH43" s="2108">
        <v>402.4</v>
      </c>
      <c r="CI43" s="2108">
        <v>404.84</v>
      </c>
      <c r="CJ43" s="2108">
        <v>424.58</v>
      </c>
      <c r="CK43" s="2108">
        <v>429.62</v>
      </c>
      <c r="CL43" s="2108">
        <v>464.92</v>
      </c>
      <c r="CM43" s="2108">
        <v>483.18</v>
      </c>
      <c r="CN43" s="2108">
        <v>489.85</v>
      </c>
      <c r="CO43" s="2108">
        <v>508.45</v>
      </c>
      <c r="CP43" s="2108">
        <v>514.80999999999995</v>
      </c>
      <c r="CQ43" s="2108">
        <v>516.61</v>
      </c>
      <c r="CR43" s="2108">
        <v>511.58</v>
      </c>
      <c r="CS43" s="2108">
        <v>496.32</v>
      </c>
      <c r="CT43" s="2108">
        <v>496.36</v>
      </c>
      <c r="CU43" s="2108">
        <v>502.59</v>
      </c>
      <c r="CV43" s="2108">
        <v>502.11</v>
      </c>
      <c r="CW43" s="2108">
        <v>502.86</v>
      </c>
      <c r="CX43" s="2108">
        <v>502.86</v>
      </c>
      <c r="CY43" s="2108">
        <v>502.86</v>
      </c>
      <c r="CZ43" s="2108">
        <v>501.45</v>
      </c>
      <c r="DA43" s="2108">
        <v>503.74</v>
      </c>
      <c r="DB43" s="2108">
        <v>510.02</v>
      </c>
      <c r="DC43" s="2108">
        <v>514.29</v>
      </c>
      <c r="DD43" s="2108">
        <v>514.29</v>
      </c>
      <c r="DE43" s="2108">
        <v>514.29</v>
      </c>
      <c r="DF43" s="2108">
        <v>523.82000000000005</v>
      </c>
      <c r="DG43" s="2108">
        <v>540.15</v>
      </c>
      <c r="DH43" s="2108">
        <v>547.80999999999995</v>
      </c>
      <c r="DI43" s="2108">
        <v>550.35</v>
      </c>
      <c r="DJ43" s="2108">
        <v>555.20000000000005</v>
      </c>
      <c r="DK43" s="2108">
        <v>573.44000000000005</v>
      </c>
      <c r="DL43" s="2108">
        <v>595.32000000000005</v>
      </c>
      <c r="DM43" s="2108">
        <v>598.83000000000004</v>
      </c>
      <c r="DN43" s="2108">
        <v>610.14</v>
      </c>
      <c r="DO43" s="2108">
        <v>610.14</v>
      </c>
      <c r="DP43" s="2108">
        <v>619.29</v>
      </c>
      <c r="DQ43" s="2108">
        <v>644.53</v>
      </c>
      <c r="DR43" s="2108">
        <v>655.47</v>
      </c>
      <c r="DS43" s="2108">
        <v>655.65</v>
      </c>
      <c r="DT43" s="2108">
        <v>661.15</v>
      </c>
      <c r="DU43" s="2108">
        <v>678.57</v>
      </c>
      <c r="DV43" s="2108">
        <v>684.64</v>
      </c>
      <c r="DW43" s="2108">
        <v>703.94</v>
      </c>
      <c r="DX43" s="2108">
        <v>713.48</v>
      </c>
      <c r="DY43" s="2108">
        <v>726.4</v>
      </c>
      <c r="DZ43" s="2108">
        <v>731.3</v>
      </c>
      <c r="EA43" s="2108">
        <v>731.3</v>
      </c>
      <c r="EB43" s="2108">
        <v>744.16</v>
      </c>
      <c r="EC43" s="2108">
        <v>749.57</v>
      </c>
      <c r="ED43" s="2108">
        <v>749.57</v>
      </c>
      <c r="EE43" s="2108">
        <v>749.33</v>
      </c>
      <c r="EF43" s="2108">
        <v>760.37</v>
      </c>
      <c r="EG43" s="2108">
        <v>779.77</v>
      </c>
      <c r="EH43" s="2108">
        <v>796.56</v>
      </c>
      <c r="EI43" s="2108">
        <v>806.82</v>
      </c>
      <c r="EJ43" s="2108">
        <v>810.04</v>
      </c>
      <c r="EK43" s="2108">
        <v>810.04</v>
      </c>
      <c r="EL43" s="2108">
        <v>804.93</v>
      </c>
      <c r="EM43" s="2108">
        <v>819.74</v>
      </c>
      <c r="EN43" s="2108">
        <v>819.73</v>
      </c>
      <c r="EO43" s="2108">
        <v>827.29</v>
      </c>
      <c r="EP43" s="2108">
        <v>837.07</v>
      </c>
      <c r="EQ43" s="2108">
        <v>837.07</v>
      </c>
      <c r="ER43" s="2108">
        <v>854.79</v>
      </c>
      <c r="ES43" s="2108">
        <v>887.64</v>
      </c>
      <c r="ET43" s="2108">
        <v>892.58</v>
      </c>
      <c r="EU43" s="2108">
        <v>926.08</v>
      </c>
      <c r="EV43" s="2108">
        <v>949.56</v>
      </c>
      <c r="EW43" s="2108">
        <v>964.22</v>
      </c>
      <c r="EX43" s="2108">
        <v>980.8</v>
      </c>
      <c r="EY43" s="2108">
        <v>986.24</v>
      </c>
      <c r="EZ43" s="2108">
        <v>992.99</v>
      </c>
      <c r="FA43" s="2108">
        <v>1021.89</v>
      </c>
      <c r="FB43" s="2108">
        <v>1085.3</v>
      </c>
      <c r="FC43" s="2108">
        <v>1138.4000000000001</v>
      </c>
      <c r="FD43" s="2108">
        <v>1149.29</v>
      </c>
      <c r="FE43" s="2108">
        <v>1161.5899999999999</v>
      </c>
      <c r="FF43" s="2108">
        <v>1166.1099999999999</v>
      </c>
      <c r="FG43" s="2108">
        <v>1172.77</v>
      </c>
      <c r="FH43" s="2108">
        <v>1198.17</v>
      </c>
      <c r="FI43" s="2108">
        <v>1209.0999999999999</v>
      </c>
      <c r="FJ43" s="2108">
        <v>1227.3399999999999</v>
      </c>
      <c r="FK43" s="2108">
        <v>1254.01</v>
      </c>
      <c r="FL43" s="2108">
        <v>1256.27</v>
      </c>
      <c r="FM43" s="2108">
        <v>1256.27</v>
      </c>
      <c r="FN43" s="2108">
        <v>1256.27</v>
      </c>
      <c r="FO43" s="2108">
        <v>1256.27</v>
      </c>
      <c r="FP43" s="2108">
        <v>1256.27</v>
      </c>
      <c r="FQ43" s="2108">
        <v>1255.73</v>
      </c>
      <c r="FR43" s="2108">
        <v>1284.03</v>
      </c>
      <c r="FS43" s="2108">
        <v>1293.94</v>
      </c>
      <c r="FT43" s="2108">
        <v>1293.94</v>
      </c>
      <c r="FU43" s="2108">
        <v>1298.56</v>
      </c>
      <c r="FV43" s="2108">
        <v>1302.81</v>
      </c>
      <c r="FW43" s="2113">
        <v>1250.8231376030753</v>
      </c>
      <c r="FX43" s="2113">
        <v>1250.8231376030753</v>
      </c>
      <c r="FY43" s="2113">
        <v>100</v>
      </c>
      <c r="FZ43" s="2113">
        <v>100.79545974731445</v>
      </c>
      <c r="GA43" s="2113">
        <v>110.4261475759472</v>
      </c>
      <c r="GB43" s="2113">
        <v>110.4261475759472</v>
      </c>
      <c r="GC43" s="2113">
        <v>110.4261475759472</v>
      </c>
      <c r="GD43" s="2113">
        <v>113.57955444368565</v>
      </c>
      <c r="GE43" s="2113">
        <v>113.57955444368565</v>
      </c>
      <c r="GF43" s="2114">
        <v>113.57955444368565</v>
      </c>
      <c r="GG43" s="1960">
        <v>113.57955444368565</v>
      </c>
      <c r="GH43" s="2114">
        <v>119.20455735433573</v>
      </c>
      <c r="GI43" s="2114">
        <v>119.20455735433573</v>
      </c>
      <c r="GJ43" s="2113">
        <v>119.20455735433573</v>
      </c>
      <c r="GK43" s="2113">
        <v>125.17046365417366</v>
      </c>
      <c r="GL43" s="2113">
        <v>125.17046365417366</v>
      </c>
      <c r="GM43" s="2114">
        <v>126.87500423409715</v>
      </c>
      <c r="GN43" s="2114">
        <v>128.34675650956544</v>
      </c>
      <c r="GO43" s="2115">
        <v>128.34675650956544</v>
      </c>
      <c r="GP43" s="2116">
        <v>130.16485514157628</v>
      </c>
      <c r="GQ43" s="2116">
        <v>133.51697790390944</v>
      </c>
      <c r="GR43" s="2116">
        <v>139.59625544237832</v>
      </c>
      <c r="GS43" s="2116">
        <v>139.59625544237832</v>
      </c>
      <c r="GT43" s="1960">
        <v>139.59625544237832</v>
      </c>
      <c r="GU43" s="1960">
        <v>143.17565471480438</v>
      </c>
      <c r="GV43" s="1960">
        <v>143.17565471480438</v>
      </c>
      <c r="GW43" s="1960">
        <v>143.17565471480438</v>
      </c>
      <c r="GX43" s="1960">
        <v>142.15297366128166</v>
      </c>
      <c r="GY43" s="1960">
        <v>145.1642020805516</v>
      </c>
      <c r="GZ43" s="1960">
        <v>145.44622038457854</v>
      </c>
      <c r="HA43" s="1960">
        <v>149.66881388519502</v>
      </c>
      <c r="HB43" s="1960">
        <v>164.53223358877736</v>
      </c>
      <c r="HC43" s="1960">
        <v>197.57045346343119</v>
      </c>
      <c r="HD43" s="1960">
        <v>193.80720990080039</v>
      </c>
      <c r="HE43" s="1960">
        <v>236.45439049530822</v>
      </c>
      <c r="HF43" s="1960">
        <v>236.45439049530822</v>
      </c>
      <c r="HG43" s="1960">
        <v>236.45439049530822</v>
      </c>
      <c r="HH43" s="2117">
        <v>236.65964604261319</v>
      </c>
      <c r="HI43" s="1960">
        <v>236.24984517481056</v>
      </c>
      <c r="HJ43" s="1960">
        <v>236.4549231654137</v>
      </c>
      <c r="HK43" s="1960">
        <v>238.52908915809277</v>
      </c>
      <c r="HL43" s="1960">
        <v>248.23773842745186</v>
      </c>
      <c r="HM43" s="1960">
        <v>259.70821823779232</v>
      </c>
      <c r="HN43" s="1960">
        <v>259.70821823779204</v>
      </c>
      <c r="HO43" s="1960">
        <v>259.70821823779204</v>
      </c>
      <c r="HP43" s="1960">
        <v>286.40072227448081</v>
      </c>
      <c r="HQ43" s="1960">
        <v>353.74164473905051</v>
      </c>
      <c r="HR43" s="1960">
        <v>353.74164473905051</v>
      </c>
      <c r="HS43" s="1960">
        <v>430.89179463573441</v>
      </c>
      <c r="HT43" s="1962">
        <v>430.89179463573441</v>
      </c>
      <c r="HU43" s="1961">
        <v>430.89179463573441</v>
      </c>
      <c r="HV43" s="1960">
        <v>430.89179463573441</v>
      </c>
      <c r="HW43" s="1960">
        <v>430.89179463573441</v>
      </c>
      <c r="HX43" s="1960">
        <v>430.89179463573441</v>
      </c>
      <c r="HY43" s="1960">
        <v>430.89179463573441</v>
      </c>
      <c r="HZ43" s="1960">
        <v>430.89179463573441</v>
      </c>
      <c r="IA43" s="1960">
        <v>449.03460704144953</v>
      </c>
      <c r="IB43" s="1960">
        <v>451.75602890230681</v>
      </c>
      <c r="IC43" s="1960">
        <v>449.03460704144953</v>
      </c>
      <c r="ID43" s="1960">
        <v>449.03460704144953</v>
      </c>
      <c r="IE43" s="1960">
        <v>449.03460704144953</v>
      </c>
      <c r="IF43" s="1960">
        <v>449.03460704144953</v>
      </c>
      <c r="IG43" s="1961">
        <v>449.03460704144953</v>
      </c>
      <c r="IH43" s="1960">
        <v>499.01277392106289</v>
      </c>
      <c r="II43" s="1960">
        <v>568.98220755252157</v>
      </c>
      <c r="IJ43" s="1961">
        <v>741.9835544434909</v>
      </c>
      <c r="IK43" s="1960">
        <v>790.798261972668</v>
      </c>
      <c r="IL43" s="1960">
        <v>865.48529387219537</v>
      </c>
      <c r="IM43" s="1960">
        <v>865.48529387219537</v>
      </c>
      <c r="IN43" s="1960">
        <v>915.19772600609735</v>
      </c>
      <c r="IO43" s="1960">
        <v>915.19772600609735</v>
      </c>
      <c r="IP43" s="1960">
        <v>940.70577073430775</v>
      </c>
      <c r="IQ43" s="1960">
        <v>940.70577073430775</v>
      </c>
      <c r="IR43" s="1960">
        <v>948.74599099699412</v>
      </c>
      <c r="IS43" s="2274">
        <v>948.74599099699412</v>
      </c>
      <c r="IT43" s="1960">
        <v>1005.2880629982602</v>
      </c>
      <c r="IU43" s="1960">
        <v>1005.2880629982602</v>
      </c>
      <c r="IV43" s="1960">
        <v>1082.6179139981264</v>
      </c>
      <c r="IW43" s="1960">
        <v>1209.3468967321792</v>
      </c>
      <c r="IX43" s="1960">
        <v>1386.9459535793262</v>
      </c>
      <c r="IY43" s="1960">
        <v>1386.9459535793262</v>
      </c>
      <c r="IZ43" s="1960">
        <v>1386.9459535793262</v>
      </c>
      <c r="JA43" s="1960">
        <v>1386.9459535793262</v>
      </c>
      <c r="JB43" s="1960">
        <v>1386.9459535793262</v>
      </c>
      <c r="JC43" s="1960">
        <v>1386.9459535793262</v>
      </c>
      <c r="JD43" s="1960">
        <v>1386.9459535793262</v>
      </c>
      <c r="JE43" s="2274">
        <v>1386.9459535793262</v>
      </c>
      <c r="JF43" s="2117">
        <v>1386.9459535793262</v>
      </c>
      <c r="JG43" s="2103">
        <f t="shared" si="12"/>
        <v>1</v>
      </c>
      <c r="JI43" s="2155"/>
      <c r="JJ43" s="2104"/>
    </row>
    <row r="44" spans="2:270" ht="47.25">
      <c r="B44" s="2105">
        <v>19</v>
      </c>
      <c r="C44" s="2106" t="s">
        <v>537</v>
      </c>
      <c r="D44" s="2425" t="s">
        <v>1172</v>
      </c>
      <c r="E44" s="2107" t="s">
        <v>934</v>
      </c>
      <c r="F44" s="2106" t="s">
        <v>918</v>
      </c>
      <c r="G44" s="2425" t="s">
        <v>1112</v>
      </c>
      <c r="H44" s="2106" t="s">
        <v>929</v>
      </c>
      <c r="I44" s="2106" t="s">
        <v>920</v>
      </c>
      <c r="J44" s="2359" t="s">
        <v>192</v>
      </c>
      <c r="K44" s="2425"/>
      <c r="L44" s="2110">
        <v>94.6</v>
      </c>
      <c r="M44" s="2110">
        <v>106.6</v>
      </c>
      <c r="N44" s="2110">
        <v>115.4</v>
      </c>
      <c r="O44" s="2110">
        <v>123.3</v>
      </c>
      <c r="P44" s="2110">
        <v>163.5</v>
      </c>
      <c r="Q44" s="2110">
        <v>182.7</v>
      </c>
      <c r="R44" s="2110">
        <v>196.5</v>
      </c>
      <c r="S44" s="2110">
        <v>235.8</v>
      </c>
      <c r="T44" s="2110">
        <v>243.1</v>
      </c>
      <c r="U44" s="2110">
        <v>244.5</v>
      </c>
      <c r="V44" s="2110">
        <v>244</v>
      </c>
      <c r="W44" s="2110">
        <v>241.7</v>
      </c>
      <c r="X44" s="2110">
        <v>238.8</v>
      </c>
      <c r="Y44" s="2110">
        <v>239.2</v>
      </c>
      <c r="Z44" s="2110">
        <v>237.1</v>
      </c>
      <c r="AA44" s="2110">
        <v>239.1</v>
      </c>
      <c r="AB44" s="2110">
        <v>245.8</v>
      </c>
      <c r="AC44" s="2110">
        <v>246.8</v>
      </c>
      <c r="AD44" s="2110">
        <v>244.6</v>
      </c>
      <c r="AE44" s="2110">
        <v>244.2</v>
      </c>
      <c r="AF44" s="2110">
        <v>243.2</v>
      </c>
      <c r="AG44" s="2110">
        <v>243.2</v>
      </c>
      <c r="AH44" s="2110">
        <v>243.6</v>
      </c>
      <c r="AI44" s="2110">
        <v>247.6</v>
      </c>
      <c r="AJ44" s="2110">
        <v>251.7</v>
      </c>
      <c r="AK44" s="2110">
        <v>259.60000000000002</v>
      </c>
      <c r="AL44" s="2110">
        <v>283.60000000000002</v>
      </c>
      <c r="AM44" s="2110">
        <v>322.60000000000002</v>
      </c>
      <c r="AN44" s="2110">
        <v>334.7</v>
      </c>
      <c r="AO44" s="2110">
        <v>341.9</v>
      </c>
      <c r="AP44" s="2110">
        <v>354.6</v>
      </c>
      <c r="AQ44" s="2110">
        <v>354</v>
      </c>
      <c r="AR44" s="2110">
        <v>355.4</v>
      </c>
      <c r="AS44" s="2110">
        <v>353.8</v>
      </c>
      <c r="AT44" s="2110">
        <v>356.2</v>
      </c>
      <c r="AU44" s="2110">
        <v>360.9</v>
      </c>
      <c r="AV44" s="2110">
        <v>361.1</v>
      </c>
      <c r="AW44" s="2111">
        <v>360.1</v>
      </c>
      <c r="AX44" s="2111">
        <v>366.8</v>
      </c>
      <c r="AY44" s="2111">
        <v>367.7</v>
      </c>
      <c r="AZ44" s="2111">
        <v>368.7</v>
      </c>
      <c r="BA44" s="2111">
        <v>368.2</v>
      </c>
      <c r="BB44" s="2111">
        <v>368.1</v>
      </c>
      <c r="BC44" s="2111">
        <v>368</v>
      </c>
      <c r="BD44" s="2112">
        <v>368</v>
      </c>
      <c r="BE44" s="2111">
        <v>368</v>
      </c>
      <c r="BF44" s="2112">
        <v>366.7</v>
      </c>
      <c r="BG44" s="2112">
        <v>367.2</v>
      </c>
      <c r="BH44" s="2112">
        <v>368.9</v>
      </c>
      <c r="BI44" s="2108">
        <v>372.4</v>
      </c>
      <c r="BJ44" s="2108">
        <v>377.3</v>
      </c>
      <c r="BK44" s="2108">
        <v>381.5</v>
      </c>
      <c r="BL44" s="2108">
        <v>382.5</v>
      </c>
      <c r="BM44" s="2108">
        <v>384.3</v>
      </c>
      <c r="BN44" s="2108">
        <v>385.1</v>
      </c>
      <c r="BO44" s="2108">
        <v>384.1</v>
      </c>
      <c r="BP44" s="2108">
        <v>386</v>
      </c>
      <c r="BQ44" s="2108">
        <v>384.6</v>
      </c>
      <c r="BR44" s="2108">
        <v>385.2</v>
      </c>
      <c r="BS44" s="2108">
        <v>387.4</v>
      </c>
      <c r="BT44" s="2108">
        <v>391.5</v>
      </c>
      <c r="BU44" s="2108">
        <v>394.8</v>
      </c>
      <c r="BV44" s="2108">
        <v>395</v>
      </c>
      <c r="BW44" s="2108">
        <v>395.6</v>
      </c>
      <c r="BX44" s="2108">
        <v>400</v>
      </c>
      <c r="BY44" s="2108">
        <v>404.9</v>
      </c>
      <c r="BZ44" s="2108">
        <v>409.3</v>
      </c>
      <c r="CA44" s="2108">
        <v>417.8</v>
      </c>
      <c r="CB44" s="2108">
        <v>429.3</v>
      </c>
      <c r="CC44" s="2108">
        <v>430.1</v>
      </c>
      <c r="CD44" s="2108">
        <v>435.6</v>
      </c>
      <c r="CE44" s="2108">
        <v>466.8</v>
      </c>
      <c r="CF44" s="2108">
        <v>479.5</v>
      </c>
      <c r="CG44" s="2108">
        <v>486.3</v>
      </c>
      <c r="CH44" s="2108">
        <v>454.5</v>
      </c>
      <c r="CI44" s="2108">
        <v>463.6</v>
      </c>
      <c r="CJ44" s="2108">
        <v>478</v>
      </c>
      <c r="CK44" s="2108">
        <v>492.7</v>
      </c>
      <c r="CL44" s="2108">
        <v>518.9</v>
      </c>
      <c r="CM44" s="2108">
        <v>527.70000000000005</v>
      </c>
      <c r="CN44" s="2108">
        <v>527.70000000000005</v>
      </c>
      <c r="CO44" s="2108">
        <v>527.70000000000005</v>
      </c>
      <c r="CP44" s="2108">
        <v>531.29999999999995</v>
      </c>
      <c r="CQ44" s="2108">
        <v>511.8</v>
      </c>
      <c r="CR44" s="2108">
        <v>503.7</v>
      </c>
      <c r="CS44" s="2108">
        <v>503.5</v>
      </c>
      <c r="CT44" s="2108">
        <v>499.8</v>
      </c>
      <c r="CU44" s="2108">
        <v>495.9</v>
      </c>
      <c r="CV44" s="2108">
        <v>494</v>
      </c>
      <c r="CW44" s="2108">
        <v>492.8</v>
      </c>
      <c r="CX44" s="2108">
        <v>510.7</v>
      </c>
      <c r="CY44" s="2108">
        <v>518.70000000000005</v>
      </c>
      <c r="CZ44" s="2108">
        <v>532.29999999999995</v>
      </c>
      <c r="DA44" s="2108">
        <v>534.9</v>
      </c>
      <c r="DB44" s="2108">
        <v>544.5</v>
      </c>
      <c r="DC44" s="2108">
        <v>543.1</v>
      </c>
      <c r="DD44" s="2108">
        <v>549.9</v>
      </c>
      <c r="DE44" s="2108">
        <v>555.9</v>
      </c>
      <c r="DF44" s="2108">
        <v>566.79999999999995</v>
      </c>
      <c r="DG44" s="2108">
        <v>572.9</v>
      </c>
      <c r="DH44" s="2108">
        <v>586.5</v>
      </c>
      <c r="DI44" s="2108">
        <v>586.5</v>
      </c>
      <c r="DJ44" s="2108">
        <v>584.70000000000005</v>
      </c>
      <c r="DK44" s="2108">
        <v>592.29999999999995</v>
      </c>
      <c r="DL44" s="2108">
        <v>593.20000000000005</v>
      </c>
      <c r="DM44" s="2108">
        <v>597.29999999999995</v>
      </c>
      <c r="DN44" s="2108">
        <v>604</v>
      </c>
      <c r="DO44" s="2108">
        <v>608.1</v>
      </c>
      <c r="DP44" s="2108">
        <v>611.79999999999995</v>
      </c>
      <c r="DQ44" s="2108">
        <v>614.20000000000005</v>
      </c>
      <c r="DR44" s="2108">
        <v>614.20000000000005</v>
      </c>
      <c r="DS44" s="2108">
        <v>616.20000000000005</v>
      </c>
      <c r="DT44" s="2108">
        <v>625.70000000000005</v>
      </c>
      <c r="DU44" s="2108">
        <v>628.29999999999995</v>
      </c>
      <c r="DV44" s="2108">
        <v>629.79999999999995</v>
      </c>
      <c r="DW44" s="2108">
        <v>635.6</v>
      </c>
      <c r="DX44" s="2108">
        <v>643.6</v>
      </c>
      <c r="DY44" s="2108">
        <v>644.9</v>
      </c>
      <c r="DZ44" s="2108">
        <v>648.1</v>
      </c>
      <c r="EA44" s="2108">
        <v>651.5</v>
      </c>
      <c r="EB44" s="2108">
        <v>657.2</v>
      </c>
      <c r="EC44" s="2108">
        <v>667.9</v>
      </c>
      <c r="ED44" s="2108">
        <v>672.1</v>
      </c>
      <c r="EE44" s="2108">
        <v>674</v>
      </c>
      <c r="EF44" s="2108">
        <v>674</v>
      </c>
      <c r="EG44" s="2108">
        <v>677.3</v>
      </c>
      <c r="EH44" s="2108">
        <v>678.1</v>
      </c>
      <c r="EI44" s="2108">
        <v>677.6</v>
      </c>
      <c r="EJ44" s="2108">
        <v>679.9</v>
      </c>
      <c r="EK44" s="2108">
        <v>679.9</v>
      </c>
      <c r="EL44" s="2108">
        <v>695.5</v>
      </c>
      <c r="EM44" s="2108">
        <v>697.7</v>
      </c>
      <c r="EN44" s="2108">
        <v>709.2</v>
      </c>
      <c r="EO44" s="2108">
        <v>714.5</v>
      </c>
      <c r="EP44" s="2108">
        <v>730.4</v>
      </c>
      <c r="EQ44" s="2108">
        <v>732</v>
      </c>
      <c r="ER44" s="2108">
        <v>741.5</v>
      </c>
      <c r="ES44" s="2108">
        <v>755</v>
      </c>
      <c r="ET44" s="2108">
        <v>779.1</v>
      </c>
      <c r="EU44" s="2108">
        <v>785.9</v>
      </c>
      <c r="EV44" s="2108">
        <v>788.3</v>
      </c>
      <c r="EW44" s="2108">
        <v>810.2</v>
      </c>
      <c r="EX44" s="2108">
        <v>829.8</v>
      </c>
      <c r="EY44" s="2108">
        <v>837.7</v>
      </c>
      <c r="EZ44" s="2108">
        <v>876.1</v>
      </c>
      <c r="FA44" s="2108">
        <v>970</v>
      </c>
      <c r="FB44" s="2108">
        <v>1055.4000000000001</v>
      </c>
      <c r="FC44" s="2108">
        <v>1157.4000000000001</v>
      </c>
      <c r="FD44" s="2108">
        <v>1207.7</v>
      </c>
      <c r="FE44" s="2108">
        <v>1224.9000000000001</v>
      </c>
      <c r="FF44" s="2108">
        <v>1238.4000000000001</v>
      </c>
      <c r="FG44" s="2108">
        <v>1246.9000000000001</v>
      </c>
      <c r="FH44" s="2108">
        <v>1286.4000000000001</v>
      </c>
      <c r="FI44" s="2108">
        <v>1321.8</v>
      </c>
      <c r="FJ44" s="2108">
        <v>1323.3</v>
      </c>
      <c r="FK44" s="2108">
        <v>1323.5</v>
      </c>
      <c r="FL44" s="2108">
        <v>1324.4</v>
      </c>
      <c r="FM44" s="2108">
        <v>1327</v>
      </c>
      <c r="FN44" s="2108">
        <v>1330.4</v>
      </c>
      <c r="FO44" s="2108">
        <v>1370.4</v>
      </c>
      <c r="FP44" s="2108">
        <v>1388.5</v>
      </c>
      <c r="FQ44" s="2108">
        <v>1398.4</v>
      </c>
      <c r="FR44" s="2108">
        <v>1399.2</v>
      </c>
      <c r="FS44" s="2108">
        <v>1447.9</v>
      </c>
      <c r="FT44" s="2108">
        <v>1467</v>
      </c>
      <c r="FU44" s="2108">
        <v>1499.1</v>
      </c>
      <c r="FV44" s="2108">
        <v>1533.5</v>
      </c>
      <c r="FW44" s="2113">
        <v>1623.6810462628241</v>
      </c>
      <c r="FX44" s="2113">
        <v>1749.3397793492977</v>
      </c>
      <c r="FY44" s="2113">
        <v>100</v>
      </c>
      <c r="FZ44" s="2113">
        <v>100.35725831985474</v>
      </c>
      <c r="GA44" s="2113">
        <v>102.01115479188303</v>
      </c>
      <c r="GB44" s="2113">
        <v>100.81971243449372</v>
      </c>
      <c r="GC44" s="2113">
        <v>100.38317717319775</v>
      </c>
      <c r="GD44" s="2113">
        <v>102.93738965418783</v>
      </c>
      <c r="GE44" s="2113">
        <v>105.47037641850292</v>
      </c>
      <c r="GF44" s="2114">
        <v>104.61561027965898</v>
      </c>
      <c r="GG44" s="1960">
        <v>104.93336277617753</v>
      </c>
      <c r="GH44" s="2114">
        <v>106.27132879897177</v>
      </c>
      <c r="GI44" s="2114">
        <v>106.28008275292933</v>
      </c>
      <c r="GJ44" s="2113">
        <v>109.14947501226493</v>
      </c>
      <c r="GK44" s="2113">
        <v>110.30939689083743</v>
      </c>
      <c r="GL44" s="2113">
        <v>110.98368456101721</v>
      </c>
      <c r="GM44" s="2114">
        <v>112.31585530759799</v>
      </c>
      <c r="GN44" s="2114">
        <v>111.49594740017506</v>
      </c>
      <c r="GO44" s="2115">
        <v>113.92992635921773</v>
      </c>
      <c r="GP44" s="2116">
        <v>114.04239480692451</v>
      </c>
      <c r="GQ44" s="2116">
        <v>117.57312962673089</v>
      </c>
      <c r="GR44" s="2116">
        <v>122.15173009866648</v>
      </c>
      <c r="GS44" s="2116">
        <v>122.89824615892799</v>
      </c>
      <c r="GT44" s="1960">
        <v>126.00165612722706</v>
      </c>
      <c r="GU44" s="1960">
        <v>129.0698174106214</v>
      </c>
      <c r="GV44" s="1960">
        <v>130.24063952507248</v>
      </c>
      <c r="GW44" s="1960">
        <v>135.45400187826939</v>
      </c>
      <c r="GX44" s="1960">
        <v>142.04017718078759</v>
      </c>
      <c r="GY44" s="1960">
        <v>145.16546109234832</v>
      </c>
      <c r="GZ44" s="1960">
        <v>158.89319358913633</v>
      </c>
      <c r="HA44" s="1960">
        <v>179.29715815472014</v>
      </c>
      <c r="HB44" s="1960">
        <v>194.89291392347292</v>
      </c>
      <c r="HC44" s="1960">
        <v>205.42394246091368</v>
      </c>
      <c r="HD44" s="1960">
        <v>219.45022597633823</v>
      </c>
      <c r="HE44" s="1960">
        <v>259.90271550941776</v>
      </c>
      <c r="HF44" s="1960">
        <v>262.05029904581386</v>
      </c>
      <c r="HG44" s="1960">
        <v>256.87050374372279</v>
      </c>
      <c r="HH44" s="2117">
        <v>256.87050374372279</v>
      </c>
      <c r="HI44" s="1960">
        <v>255.49351659580577</v>
      </c>
      <c r="HJ44" s="1960">
        <v>266.93186973115081</v>
      </c>
      <c r="HK44" s="1960">
        <v>280.90649587235589</v>
      </c>
      <c r="HL44" s="1960">
        <v>295.61818180817625</v>
      </c>
      <c r="HM44" s="1960">
        <v>315.61965846387085</v>
      </c>
      <c r="HN44" s="1960">
        <v>320.31261953256308</v>
      </c>
      <c r="HO44" s="1960">
        <v>319.35790375847921</v>
      </c>
      <c r="HP44" s="1960">
        <v>395.64451546648365</v>
      </c>
      <c r="HQ44" s="1960">
        <v>419.69356110602735</v>
      </c>
      <c r="HR44" s="1960">
        <v>435.22789318520495</v>
      </c>
      <c r="HS44" s="1960">
        <v>448.31478552292339</v>
      </c>
      <c r="HT44" s="1962">
        <v>470.39858805720945</v>
      </c>
      <c r="HU44" s="1961">
        <v>456.63708634643996</v>
      </c>
      <c r="HV44" s="1960">
        <v>471.60175303361069</v>
      </c>
      <c r="HW44" s="1960">
        <v>510.71416891027764</v>
      </c>
      <c r="HX44" s="1960">
        <v>510.71416891027764</v>
      </c>
      <c r="HY44" s="1960">
        <v>521.72080186582264</v>
      </c>
      <c r="HZ44" s="1960">
        <v>521.72080186582264</v>
      </c>
      <c r="IA44" s="1960">
        <v>521.72080186582264</v>
      </c>
      <c r="IB44" s="1960">
        <v>548.03529220947257</v>
      </c>
      <c r="IC44" s="1960">
        <v>606.37317827139884</v>
      </c>
      <c r="ID44" s="1960">
        <v>799.2633554437067</v>
      </c>
      <c r="IE44" s="1960">
        <v>906.80309900662576</v>
      </c>
      <c r="IF44" s="1960">
        <v>919.83535483515595</v>
      </c>
      <c r="IG44" s="1961">
        <v>936.17288347472095</v>
      </c>
      <c r="IH44" s="1960">
        <v>1012.1006922916396</v>
      </c>
      <c r="II44" s="1960">
        <v>1012.1006922916396</v>
      </c>
      <c r="IJ44" s="1961">
        <v>1037.5738084592022</v>
      </c>
      <c r="IK44" s="1960">
        <v>1065.2639785287838</v>
      </c>
      <c r="IL44" s="1960">
        <v>1085.5107875724502</v>
      </c>
      <c r="IM44" s="1960">
        <v>1105.2888854350908</v>
      </c>
      <c r="IN44" s="1960">
        <v>1132.5593629320722</v>
      </c>
      <c r="IO44" s="1960">
        <v>1162.124825101414</v>
      </c>
      <c r="IP44" s="1960">
        <v>1179.6702157213035</v>
      </c>
      <c r="IQ44" s="1960">
        <v>1202.7654059812901</v>
      </c>
      <c r="IR44" s="1960">
        <v>1211.9124289638976</v>
      </c>
      <c r="IS44" s="2274">
        <v>1261.0612328430116</v>
      </c>
      <c r="IT44" s="1960">
        <v>1330.4674044972544</v>
      </c>
      <c r="IU44" s="1960">
        <v>1371.5158410727834</v>
      </c>
      <c r="IV44" s="1960">
        <v>1447.1851982898827</v>
      </c>
      <c r="IW44" s="1960">
        <v>1530.2802968962244</v>
      </c>
      <c r="IX44" s="1960">
        <v>1626.2069036391008</v>
      </c>
      <c r="IY44" s="1960">
        <v>1815.1540212092902</v>
      </c>
      <c r="IZ44" s="1960">
        <v>2088.9160407859449</v>
      </c>
      <c r="JA44" s="1960">
        <v>2068.5882871005324</v>
      </c>
      <c r="JB44" s="1960">
        <v>2020.9164131703947</v>
      </c>
      <c r="JC44" s="1960">
        <v>2084.205099594999</v>
      </c>
      <c r="JD44" s="1960">
        <v>2102.2638758398843</v>
      </c>
      <c r="JE44" s="2274">
        <v>2231.0113411214343</v>
      </c>
      <c r="JF44" s="2117">
        <v>2342.6528937102507</v>
      </c>
      <c r="JG44" s="2103">
        <f t="shared" si="12"/>
        <v>1.0500407821919449</v>
      </c>
      <c r="JI44" s="2155"/>
      <c r="JJ44" s="2104"/>
    </row>
    <row r="45" spans="2:270" ht="31.5">
      <c r="B45" s="2105">
        <v>20</v>
      </c>
      <c r="C45" s="2106" t="s">
        <v>538</v>
      </c>
      <c r="D45" s="2425" t="s">
        <v>1173</v>
      </c>
      <c r="E45" s="2107" t="s">
        <v>935</v>
      </c>
      <c r="F45" s="2106" t="s">
        <v>918</v>
      </c>
      <c r="G45" s="2425" t="s">
        <v>1112</v>
      </c>
      <c r="H45" s="2106" t="s">
        <v>929</v>
      </c>
      <c r="I45" s="2106" t="s">
        <v>930</v>
      </c>
      <c r="J45" s="2359" t="s">
        <v>936</v>
      </c>
      <c r="K45" s="2425"/>
      <c r="L45" s="2110">
        <v>96.3</v>
      </c>
      <c r="M45" s="2110">
        <v>99.8</v>
      </c>
      <c r="N45" s="2110">
        <v>103.9</v>
      </c>
      <c r="O45" s="2110">
        <v>106.6</v>
      </c>
      <c r="P45" s="2110">
        <v>116.6</v>
      </c>
      <c r="Q45" s="2110">
        <v>119.8</v>
      </c>
      <c r="R45" s="2110">
        <v>128.6</v>
      </c>
      <c r="S45" s="2110">
        <v>129.9</v>
      </c>
      <c r="T45" s="2110">
        <v>132</v>
      </c>
      <c r="U45" s="2110">
        <v>134</v>
      </c>
      <c r="V45" s="2110">
        <v>137.9</v>
      </c>
      <c r="W45" s="2110">
        <v>140.69999999999999</v>
      </c>
      <c r="X45" s="2110">
        <v>140.5</v>
      </c>
      <c r="Y45" s="2110">
        <v>141.5</v>
      </c>
      <c r="Z45" s="2110">
        <v>142.5</v>
      </c>
      <c r="AA45" s="2110">
        <v>142.30000000000001</v>
      </c>
      <c r="AB45" s="2110">
        <v>141.9</v>
      </c>
      <c r="AC45" s="2110">
        <v>141.9</v>
      </c>
      <c r="AD45" s="2110">
        <v>140</v>
      </c>
      <c r="AE45" s="2110">
        <v>143.1</v>
      </c>
      <c r="AF45" s="2110">
        <v>143</v>
      </c>
      <c r="AG45" s="2110">
        <v>143.69999999999999</v>
      </c>
      <c r="AH45" s="2110">
        <v>143.5</v>
      </c>
      <c r="AI45" s="2110">
        <v>144.69999999999999</v>
      </c>
      <c r="AJ45" s="2110">
        <v>145.19999999999999</v>
      </c>
      <c r="AK45" s="2110">
        <v>143.19999999999999</v>
      </c>
      <c r="AL45" s="2110">
        <v>144.69999999999999</v>
      </c>
      <c r="AM45" s="2110">
        <v>144.6</v>
      </c>
      <c r="AN45" s="2110">
        <v>143.1</v>
      </c>
      <c r="AO45" s="2110">
        <v>144.5</v>
      </c>
      <c r="AP45" s="2110">
        <v>146.4</v>
      </c>
      <c r="AQ45" s="2110">
        <v>147.19999999999999</v>
      </c>
      <c r="AR45" s="2110">
        <v>146.4</v>
      </c>
      <c r="AS45" s="2110">
        <v>146.4</v>
      </c>
      <c r="AT45" s="2110">
        <v>146.80000000000001</v>
      </c>
      <c r="AU45" s="2110">
        <v>147.80000000000001</v>
      </c>
      <c r="AV45" s="2110">
        <v>149</v>
      </c>
      <c r="AW45" s="2111">
        <v>150</v>
      </c>
      <c r="AX45" s="2111">
        <v>150.19999999999999</v>
      </c>
      <c r="AY45" s="2111">
        <v>151.9</v>
      </c>
      <c r="AZ45" s="2111">
        <v>153.4</v>
      </c>
      <c r="BA45" s="2111">
        <v>153.4</v>
      </c>
      <c r="BB45" s="2111">
        <v>153.69999999999999</v>
      </c>
      <c r="BC45" s="2111">
        <v>154.5</v>
      </c>
      <c r="BD45" s="2112">
        <v>154.5</v>
      </c>
      <c r="BE45" s="2111">
        <v>156.9</v>
      </c>
      <c r="BF45" s="2112">
        <v>156.6</v>
      </c>
      <c r="BG45" s="2112">
        <v>156.9</v>
      </c>
      <c r="BH45" s="2112">
        <v>157.6</v>
      </c>
      <c r="BI45" s="2108">
        <v>157.6</v>
      </c>
      <c r="BJ45" s="2108">
        <v>163.1</v>
      </c>
      <c r="BK45" s="2108">
        <v>163.6</v>
      </c>
      <c r="BL45" s="2108">
        <v>164.6</v>
      </c>
      <c r="BM45" s="2108">
        <v>170</v>
      </c>
      <c r="BN45" s="2108">
        <v>169.6</v>
      </c>
      <c r="BO45" s="2108">
        <v>170.2</v>
      </c>
      <c r="BP45" s="2108">
        <v>170.2</v>
      </c>
      <c r="BQ45" s="2108">
        <v>170.6</v>
      </c>
      <c r="BR45" s="2108">
        <v>170.7</v>
      </c>
      <c r="BS45" s="2108">
        <v>171.7</v>
      </c>
      <c r="BT45" s="2108">
        <v>172.9</v>
      </c>
      <c r="BU45" s="2108">
        <v>175.2</v>
      </c>
      <c r="BV45" s="2108">
        <v>175.9</v>
      </c>
      <c r="BW45" s="2108">
        <v>181.1</v>
      </c>
      <c r="BX45" s="2108">
        <v>182.1</v>
      </c>
      <c r="BY45" s="2108">
        <v>182.6</v>
      </c>
      <c r="BZ45" s="2108">
        <v>187.4</v>
      </c>
      <c r="CA45" s="2108">
        <v>190.9</v>
      </c>
      <c r="CB45" s="2108">
        <v>192.9</v>
      </c>
      <c r="CC45" s="2108">
        <v>193.4</v>
      </c>
      <c r="CD45" s="2108">
        <v>197.8</v>
      </c>
      <c r="CE45" s="2108">
        <v>197.8</v>
      </c>
      <c r="CF45" s="2108">
        <v>202.6</v>
      </c>
      <c r="CG45" s="2108">
        <v>202.6</v>
      </c>
      <c r="CH45" s="2108">
        <v>202.6</v>
      </c>
      <c r="CI45" s="2108">
        <v>204.8</v>
      </c>
      <c r="CJ45" s="2108">
        <v>214.9</v>
      </c>
      <c r="CK45" s="2108">
        <v>220</v>
      </c>
      <c r="CL45" s="2108">
        <v>221.9</v>
      </c>
      <c r="CM45" s="2108">
        <v>231.1</v>
      </c>
      <c r="CN45" s="2108">
        <v>236.2</v>
      </c>
      <c r="CO45" s="2108">
        <v>240.7</v>
      </c>
      <c r="CP45" s="2108">
        <v>242.5</v>
      </c>
      <c r="CQ45" s="2108">
        <v>245.5</v>
      </c>
      <c r="CR45" s="2108">
        <v>244.6</v>
      </c>
      <c r="CS45" s="2108">
        <v>252.1</v>
      </c>
      <c r="CT45" s="2108">
        <v>259.2</v>
      </c>
      <c r="CU45" s="2108">
        <v>261.2</v>
      </c>
      <c r="CV45" s="2108">
        <v>261.2</v>
      </c>
      <c r="CW45" s="2108">
        <v>262.5</v>
      </c>
      <c r="CX45" s="2108">
        <v>265.7</v>
      </c>
      <c r="CY45" s="2108">
        <v>269</v>
      </c>
      <c r="CZ45" s="2108">
        <v>275.8</v>
      </c>
      <c r="DA45" s="2108">
        <v>276.7</v>
      </c>
      <c r="DB45" s="2108">
        <v>278.60000000000002</v>
      </c>
      <c r="DC45" s="2108">
        <v>283.8</v>
      </c>
      <c r="DD45" s="2108">
        <v>281</v>
      </c>
      <c r="DE45" s="2108">
        <v>285.60000000000002</v>
      </c>
      <c r="DF45" s="2108">
        <v>291.60000000000002</v>
      </c>
      <c r="DG45" s="2108">
        <v>292.8</v>
      </c>
      <c r="DH45" s="2108">
        <v>292.10000000000002</v>
      </c>
      <c r="DI45" s="2108">
        <v>301.7</v>
      </c>
      <c r="DJ45" s="2108">
        <v>300.60000000000002</v>
      </c>
      <c r="DK45" s="2108">
        <v>302.39999999999998</v>
      </c>
      <c r="DL45" s="2108">
        <v>305.3</v>
      </c>
      <c r="DM45" s="2108">
        <v>307.7</v>
      </c>
      <c r="DN45" s="2108">
        <v>310.10000000000002</v>
      </c>
      <c r="DO45" s="2108">
        <v>319.60000000000002</v>
      </c>
      <c r="DP45" s="2108">
        <v>332.1</v>
      </c>
      <c r="DQ45" s="2108">
        <v>332.9</v>
      </c>
      <c r="DR45" s="2108">
        <v>338.6</v>
      </c>
      <c r="DS45" s="2108">
        <v>344.7</v>
      </c>
      <c r="DT45" s="2108">
        <v>348</v>
      </c>
      <c r="DU45" s="2108">
        <v>355.9</v>
      </c>
      <c r="DV45" s="2108">
        <v>365.8</v>
      </c>
      <c r="DW45" s="2108">
        <v>365</v>
      </c>
      <c r="DX45" s="2108">
        <v>366.2</v>
      </c>
      <c r="DY45" s="2108">
        <v>370</v>
      </c>
      <c r="DZ45" s="2108">
        <v>377.8</v>
      </c>
      <c r="EA45" s="2108">
        <v>389.1</v>
      </c>
      <c r="EB45" s="2108">
        <v>392.8</v>
      </c>
      <c r="EC45" s="2108">
        <v>394.3</v>
      </c>
      <c r="ED45" s="2108">
        <v>395.7</v>
      </c>
      <c r="EE45" s="2108">
        <v>402.3</v>
      </c>
      <c r="EF45" s="2108">
        <v>411.6</v>
      </c>
      <c r="EG45" s="2108">
        <v>419.8</v>
      </c>
      <c r="EH45" s="2108">
        <v>424.7</v>
      </c>
      <c r="EI45" s="2108">
        <v>436.3</v>
      </c>
      <c r="EJ45" s="2108">
        <v>440</v>
      </c>
      <c r="EK45" s="2108">
        <v>445.5</v>
      </c>
      <c r="EL45" s="2108">
        <v>455.4</v>
      </c>
      <c r="EM45" s="2108">
        <v>464</v>
      </c>
      <c r="EN45" s="2108">
        <v>468.5</v>
      </c>
      <c r="EO45" s="2108">
        <v>473.5</v>
      </c>
      <c r="EP45" s="2108">
        <v>485.2</v>
      </c>
      <c r="EQ45" s="2108">
        <v>488.6</v>
      </c>
      <c r="ER45" s="2108">
        <v>492.7</v>
      </c>
      <c r="ES45" s="2108">
        <v>510.1</v>
      </c>
      <c r="ET45" s="2108">
        <v>514.70000000000005</v>
      </c>
      <c r="EU45" s="2108">
        <v>515.9</v>
      </c>
      <c r="EV45" s="2108">
        <v>524.9</v>
      </c>
      <c r="EW45" s="2108">
        <v>525.9</v>
      </c>
      <c r="EX45" s="2108">
        <v>542.79999999999995</v>
      </c>
      <c r="EY45" s="2108">
        <v>549.1</v>
      </c>
      <c r="EZ45" s="2108">
        <v>566.9</v>
      </c>
      <c r="FA45" s="2108">
        <v>592.29999999999995</v>
      </c>
      <c r="FB45" s="2108">
        <v>655.4</v>
      </c>
      <c r="FC45" s="2108">
        <v>673.8</v>
      </c>
      <c r="FD45" s="2108">
        <v>679.9</v>
      </c>
      <c r="FE45" s="2108">
        <v>690.3</v>
      </c>
      <c r="FF45" s="2108">
        <v>704.1</v>
      </c>
      <c r="FG45" s="2108">
        <v>710.7</v>
      </c>
      <c r="FH45" s="2108">
        <v>729.7</v>
      </c>
      <c r="FI45" s="2108">
        <v>745.9</v>
      </c>
      <c r="FJ45" s="2108">
        <v>746.3</v>
      </c>
      <c r="FK45" s="2108">
        <v>757.6</v>
      </c>
      <c r="FL45" s="2108">
        <v>797.9</v>
      </c>
      <c r="FM45" s="2108">
        <v>799.3</v>
      </c>
      <c r="FN45" s="2108">
        <v>816.5</v>
      </c>
      <c r="FO45" s="2108">
        <v>844.6</v>
      </c>
      <c r="FP45" s="2108">
        <v>846.6</v>
      </c>
      <c r="FQ45" s="2108">
        <v>865.6</v>
      </c>
      <c r="FR45" s="2108">
        <v>872.2</v>
      </c>
      <c r="FS45" s="2108">
        <v>881.6</v>
      </c>
      <c r="FT45" s="2108">
        <v>932.3</v>
      </c>
      <c r="FU45" s="2108">
        <v>948.2</v>
      </c>
      <c r="FV45" s="2108">
        <v>957.8</v>
      </c>
      <c r="FW45" s="2113">
        <v>1037.6032352311408</v>
      </c>
      <c r="FX45" s="2113">
        <v>1051.706961819719</v>
      </c>
      <c r="FY45" s="2113">
        <v>100</v>
      </c>
      <c r="FZ45" s="2113">
        <v>101.85939073562622</v>
      </c>
      <c r="GA45" s="2113">
        <v>103.60037037430914</v>
      </c>
      <c r="GB45" s="2113">
        <v>105.03602318518455</v>
      </c>
      <c r="GC45" s="2113">
        <v>107.73568406036966</v>
      </c>
      <c r="GD45" s="2113">
        <v>106.85611190029752</v>
      </c>
      <c r="GE45" s="2113">
        <v>109.01385531266145</v>
      </c>
      <c r="GF45" s="2114">
        <v>113.38857042264424</v>
      </c>
      <c r="GG45" s="1960">
        <v>112.58316846866713</v>
      </c>
      <c r="GH45" s="2114">
        <v>112.5133593476795</v>
      </c>
      <c r="GI45" s="2114">
        <v>111.74602234870652</v>
      </c>
      <c r="GJ45" s="2113">
        <v>113.07103856176103</v>
      </c>
      <c r="GK45" s="2113">
        <v>117.53753307693916</v>
      </c>
      <c r="GL45" s="2113">
        <v>118.67353478684691</v>
      </c>
      <c r="GM45" s="2114">
        <v>120.42926085108265</v>
      </c>
      <c r="GN45" s="2114">
        <v>120.62575534614891</v>
      </c>
      <c r="GO45" s="2115">
        <v>120.62575534614891</v>
      </c>
      <c r="GP45" s="2116">
        <v>122.82224176002936</v>
      </c>
      <c r="GQ45" s="2116">
        <v>121.5911507695257</v>
      </c>
      <c r="GR45" s="2116">
        <v>122.63883453036198</v>
      </c>
      <c r="GS45" s="2116">
        <v>122.9261552652235</v>
      </c>
      <c r="GT45" s="1960">
        <v>123.26022112711397</v>
      </c>
      <c r="GU45" s="1960">
        <v>123.72665995217994</v>
      </c>
      <c r="GV45" s="1960">
        <v>124.19872819978782</v>
      </c>
      <c r="GW45" s="1960">
        <v>124.52563677849973</v>
      </c>
      <c r="GX45" s="1960">
        <v>128.5177687803251</v>
      </c>
      <c r="GY45" s="1960">
        <v>130.40949962955398</v>
      </c>
      <c r="GZ45" s="1960">
        <v>131.88913908293429</v>
      </c>
      <c r="HA45" s="1960">
        <v>141.77779637787867</v>
      </c>
      <c r="HB45" s="1960">
        <v>144.12429559895554</v>
      </c>
      <c r="HC45" s="1960">
        <v>148.22638602547391</v>
      </c>
      <c r="HD45" s="1960">
        <v>156.78036100828967</v>
      </c>
      <c r="HE45" s="1960">
        <v>174.30618434025789</v>
      </c>
      <c r="HF45" s="1960">
        <v>190.27840365495612</v>
      </c>
      <c r="HG45" s="1960">
        <v>199.34360495388364</v>
      </c>
      <c r="HH45" s="2117">
        <v>196.28273690543224</v>
      </c>
      <c r="HI45" s="1960">
        <v>207.46771828097241</v>
      </c>
      <c r="HJ45" s="1960">
        <v>213.67030750736527</v>
      </c>
      <c r="HK45" s="1960">
        <v>215.32972856905332</v>
      </c>
      <c r="HL45" s="1960">
        <v>224.12283324278309</v>
      </c>
      <c r="HM45" s="1960">
        <v>240.43701737016761</v>
      </c>
      <c r="HN45" s="1960">
        <v>244.51750886269394</v>
      </c>
      <c r="HO45" s="1960">
        <v>245.89795737384736</v>
      </c>
      <c r="HP45" s="1960">
        <v>286.70788539421329</v>
      </c>
      <c r="HQ45" s="1960">
        <v>292.44230178053363</v>
      </c>
      <c r="HR45" s="1960">
        <v>296.47168368384985</v>
      </c>
      <c r="HS45" s="1960">
        <v>307.33460922312884</v>
      </c>
      <c r="HT45" s="1962">
        <v>316.86109313800512</v>
      </c>
      <c r="HU45" s="1961">
        <v>320.0853749746376</v>
      </c>
      <c r="HV45" s="1960">
        <v>323.27689486151121</v>
      </c>
      <c r="HW45" s="1960">
        <v>347.53661721897782</v>
      </c>
      <c r="HX45" s="1960">
        <v>347.53661721897782</v>
      </c>
      <c r="HY45" s="1960">
        <v>347.53661721897782</v>
      </c>
      <c r="HZ45" s="1960">
        <v>347.53661721897782</v>
      </c>
      <c r="IA45" s="1960">
        <v>349.70872107659648</v>
      </c>
      <c r="IB45" s="1960">
        <v>355.49454915370552</v>
      </c>
      <c r="IC45" s="1960">
        <v>370.10168616381475</v>
      </c>
      <c r="ID45" s="1960">
        <v>411.77566806032593</v>
      </c>
      <c r="IE45" s="1960">
        <v>421.95842032355853</v>
      </c>
      <c r="IF45" s="1960">
        <v>432.23854559646009</v>
      </c>
      <c r="IG45" s="1961">
        <v>461.44004361392598</v>
      </c>
      <c r="IH45" s="1960">
        <v>510.09618943532109</v>
      </c>
      <c r="II45" s="1960">
        <v>524.71500474074924</v>
      </c>
      <c r="IJ45" s="1961">
        <v>535.84963241228274</v>
      </c>
      <c r="IK45" s="1960">
        <v>543.51648736305026</v>
      </c>
      <c r="IL45" s="1960">
        <v>568.10998075244049</v>
      </c>
      <c r="IM45" s="1960">
        <v>610.61937596366465</v>
      </c>
      <c r="IN45" s="1960">
        <v>635.14888258802694</v>
      </c>
      <c r="IO45" s="1960">
        <v>645.28427088192541</v>
      </c>
      <c r="IP45" s="1960">
        <v>663.06448698207782</v>
      </c>
      <c r="IQ45" s="1960">
        <v>684.22718468084122</v>
      </c>
      <c r="IR45" s="1960">
        <v>696.67057349629124</v>
      </c>
      <c r="IS45" s="2274">
        <v>722.55885872346073</v>
      </c>
      <c r="IT45" s="1960">
        <v>761.61001481376434</v>
      </c>
      <c r="IU45" s="1960">
        <v>821.46393362482456</v>
      </c>
      <c r="IV45" s="1960">
        <v>858.04845425521057</v>
      </c>
      <c r="IW45" s="1960">
        <v>892.76242485142916</v>
      </c>
      <c r="IX45" s="1960">
        <v>935.90938788329572</v>
      </c>
      <c r="IY45" s="1960">
        <v>1028.9483112154744</v>
      </c>
      <c r="IZ45" s="1960">
        <v>1137.3104877105877</v>
      </c>
      <c r="JA45" s="1960">
        <v>1205.4674587341588</v>
      </c>
      <c r="JB45" s="1960">
        <v>1301.7649265524428</v>
      </c>
      <c r="JC45" s="1960">
        <v>1356.4288493309273</v>
      </c>
      <c r="JD45" s="1960">
        <v>1447.167414560161</v>
      </c>
      <c r="JE45" s="2274">
        <v>1539.6200890211032</v>
      </c>
      <c r="JF45" s="2117">
        <v>1608.9099747883702</v>
      </c>
      <c r="JG45" s="2103">
        <f t="shared" si="12"/>
        <v>1.0450045347299421</v>
      </c>
      <c r="JI45" s="2155"/>
      <c r="JJ45" s="2104"/>
    </row>
    <row r="46" spans="2:270" ht="31.5">
      <c r="B46" s="2105">
        <v>21</v>
      </c>
      <c r="C46" s="2106"/>
      <c r="D46" s="2425"/>
      <c r="E46" s="2107" t="s">
        <v>937</v>
      </c>
      <c r="F46" s="2106" t="s">
        <v>918</v>
      </c>
      <c r="G46" s="2425" t="s">
        <v>1340</v>
      </c>
      <c r="H46" s="2138" t="s">
        <v>64</v>
      </c>
      <c r="I46" s="2106" t="s">
        <v>920</v>
      </c>
      <c r="J46" s="2359" t="s">
        <v>740</v>
      </c>
      <c r="K46" s="2369"/>
      <c r="L46" s="2409">
        <v>93.1</v>
      </c>
      <c r="M46" s="2409">
        <v>94.5</v>
      </c>
      <c r="N46" s="2409">
        <v>96.9</v>
      </c>
      <c r="O46" s="2409">
        <v>105.4</v>
      </c>
      <c r="P46" s="2409">
        <v>109.5</v>
      </c>
      <c r="Q46" s="2409">
        <v>118.9</v>
      </c>
      <c r="R46" s="2409">
        <v>124.1</v>
      </c>
      <c r="S46" s="2409">
        <v>131.1</v>
      </c>
      <c r="T46" s="2409">
        <v>132.69999999999999</v>
      </c>
      <c r="U46" s="2409">
        <v>132.69999999999999</v>
      </c>
      <c r="V46" s="2409">
        <v>132.69999999999999</v>
      </c>
      <c r="W46" s="2409">
        <v>132.69999999999999</v>
      </c>
      <c r="X46" s="2409">
        <v>133.30000000000001</v>
      </c>
      <c r="Y46" s="2409">
        <v>133.30000000000001</v>
      </c>
      <c r="Z46" s="2409">
        <v>133.30000000000001</v>
      </c>
      <c r="AA46" s="2409">
        <v>133.30000000000001</v>
      </c>
      <c r="AB46" s="2409">
        <v>133.30000000000001</v>
      </c>
      <c r="AC46" s="2409">
        <v>133.30000000000001</v>
      </c>
      <c r="AD46" s="2409">
        <v>133.30000000000001</v>
      </c>
      <c r="AE46" s="2409">
        <v>133.30000000000001</v>
      </c>
      <c r="AF46" s="2409">
        <v>133.30000000000001</v>
      </c>
      <c r="AG46" s="2409">
        <v>133.30000000000001</v>
      </c>
      <c r="AH46" s="2409">
        <v>133.30000000000001</v>
      </c>
      <c r="AI46" s="2409">
        <v>133.30000000000001</v>
      </c>
      <c r="AJ46" s="2409">
        <v>133.30000000000001</v>
      </c>
      <c r="AK46" s="2409">
        <v>136</v>
      </c>
      <c r="AL46" s="2409">
        <v>133.30000000000001</v>
      </c>
      <c r="AM46" s="2409">
        <v>136</v>
      </c>
      <c r="AN46" s="2409">
        <v>136</v>
      </c>
      <c r="AO46" s="2409">
        <v>136</v>
      </c>
      <c r="AP46" s="2409">
        <v>142.4</v>
      </c>
      <c r="AQ46" s="2409">
        <v>142.4</v>
      </c>
      <c r="AR46" s="2409">
        <v>142.4</v>
      </c>
      <c r="AS46" s="2409">
        <v>142.4</v>
      </c>
      <c r="AT46" s="2409">
        <v>147</v>
      </c>
      <c r="AU46" s="2409">
        <v>147</v>
      </c>
      <c r="AV46" s="2409">
        <v>147</v>
      </c>
      <c r="AW46" s="2410">
        <v>147</v>
      </c>
      <c r="AX46" s="2410">
        <v>151.80000000000001</v>
      </c>
      <c r="AY46" s="2410">
        <v>153.69999999999999</v>
      </c>
      <c r="AZ46" s="2410">
        <v>154.69999999999999</v>
      </c>
      <c r="BA46" s="2410">
        <v>157.4</v>
      </c>
      <c r="BB46" s="2410">
        <v>157.4</v>
      </c>
      <c r="BC46" s="2410">
        <v>157.4</v>
      </c>
      <c r="BD46" s="2411">
        <v>157.4</v>
      </c>
      <c r="BE46" s="2410">
        <v>158.9</v>
      </c>
      <c r="BF46" s="2411">
        <v>160.30000000000001</v>
      </c>
      <c r="BG46" s="2411">
        <v>160.30000000000001</v>
      </c>
      <c r="BH46" s="2411">
        <v>164.5</v>
      </c>
      <c r="BI46" s="2412">
        <v>168.5</v>
      </c>
      <c r="BJ46" s="2412">
        <v>168.5</v>
      </c>
      <c r="BK46" s="2412">
        <v>169.7</v>
      </c>
      <c r="BL46" s="2412">
        <v>170.4</v>
      </c>
      <c r="BM46" s="2412">
        <v>174.4</v>
      </c>
      <c r="BN46" s="2412">
        <v>174.4</v>
      </c>
      <c r="BO46" s="2412">
        <v>175.9</v>
      </c>
      <c r="BP46" s="2412">
        <v>176.7</v>
      </c>
      <c r="BQ46" s="2412">
        <v>176.7</v>
      </c>
      <c r="BR46" s="2412">
        <v>176.7</v>
      </c>
      <c r="BS46" s="2412">
        <v>177</v>
      </c>
      <c r="BT46" s="2412">
        <v>177</v>
      </c>
      <c r="BU46" s="2412">
        <v>177</v>
      </c>
      <c r="BV46" s="2412">
        <v>177</v>
      </c>
      <c r="BW46" s="2412">
        <v>177.8</v>
      </c>
      <c r="BX46" s="2412">
        <v>181</v>
      </c>
      <c r="BY46" s="2412">
        <v>185.1</v>
      </c>
      <c r="BZ46" s="2412">
        <v>195.2</v>
      </c>
      <c r="CA46" s="2412">
        <v>195.2</v>
      </c>
      <c r="CB46" s="2412">
        <v>198.7</v>
      </c>
      <c r="CC46" s="2412">
        <v>200.8</v>
      </c>
      <c r="CD46" s="2412">
        <v>202.7</v>
      </c>
      <c r="CE46" s="2412">
        <v>204.5</v>
      </c>
      <c r="CF46" s="2412">
        <v>205.3</v>
      </c>
      <c r="CG46" s="2412">
        <v>209</v>
      </c>
      <c r="CH46" s="2412">
        <v>213.1</v>
      </c>
      <c r="CI46" s="2412">
        <v>209.6</v>
      </c>
      <c r="CJ46" s="2412">
        <v>213.9</v>
      </c>
      <c r="CK46" s="2412">
        <v>218.7</v>
      </c>
      <c r="CL46" s="2412">
        <v>222.6</v>
      </c>
      <c r="CM46" s="2412">
        <v>227</v>
      </c>
      <c r="CN46" s="2412">
        <v>227</v>
      </c>
      <c r="CO46" s="2412">
        <v>227</v>
      </c>
      <c r="CP46" s="2412">
        <v>227</v>
      </c>
      <c r="CQ46" s="2412">
        <v>226.5</v>
      </c>
      <c r="CR46" s="2412">
        <v>226.5</v>
      </c>
      <c r="CS46" s="2412">
        <v>226.5</v>
      </c>
      <c r="CT46" s="2412">
        <v>227.7</v>
      </c>
      <c r="CU46" s="2412">
        <v>230.4</v>
      </c>
      <c r="CV46" s="2412">
        <v>231.7</v>
      </c>
      <c r="CW46" s="2412">
        <v>231.7</v>
      </c>
      <c r="CX46" s="2412">
        <v>233.2</v>
      </c>
      <c r="CY46" s="2412">
        <v>233.2</v>
      </c>
      <c r="CZ46" s="2412">
        <v>234.5</v>
      </c>
      <c r="DA46" s="2412">
        <v>235.9</v>
      </c>
      <c r="DB46" s="2412">
        <v>236.1</v>
      </c>
      <c r="DC46" s="2412">
        <v>237.6</v>
      </c>
      <c r="DD46" s="2412">
        <v>239</v>
      </c>
      <c r="DE46" s="2412">
        <v>241</v>
      </c>
      <c r="DF46" s="2412">
        <v>241</v>
      </c>
      <c r="DG46" s="2412">
        <v>243.6</v>
      </c>
      <c r="DH46" s="2412">
        <v>243.6</v>
      </c>
      <c r="DI46" s="2412">
        <v>243.6</v>
      </c>
      <c r="DJ46" s="2412">
        <v>242.1</v>
      </c>
      <c r="DK46" s="2412">
        <v>244.3</v>
      </c>
      <c r="DL46" s="2412">
        <v>243.5</v>
      </c>
      <c r="DM46" s="2412">
        <v>243.5</v>
      </c>
      <c r="DN46" s="2412">
        <v>244.7</v>
      </c>
      <c r="DO46" s="2412">
        <v>244.7</v>
      </c>
      <c r="DP46" s="2412">
        <v>244.7</v>
      </c>
      <c r="DQ46" s="2412">
        <v>244.7</v>
      </c>
      <c r="DR46" s="2412">
        <v>246.3</v>
      </c>
      <c r="DS46" s="2412">
        <v>246.3</v>
      </c>
      <c r="DT46" s="2412">
        <v>246.3</v>
      </c>
      <c r="DU46" s="2412">
        <v>226.6</v>
      </c>
      <c r="DV46" s="2412">
        <v>226.6</v>
      </c>
      <c r="DW46" s="2412">
        <v>226.6</v>
      </c>
      <c r="DX46" s="2412">
        <v>228.9</v>
      </c>
      <c r="DY46" s="2412">
        <v>228.9</v>
      </c>
      <c r="DZ46" s="2412">
        <v>232.9</v>
      </c>
      <c r="EA46" s="2412">
        <v>232.9</v>
      </c>
      <c r="EB46" s="2412">
        <v>233.7</v>
      </c>
      <c r="EC46" s="2412">
        <v>240.7</v>
      </c>
      <c r="ED46" s="2412">
        <v>244.7</v>
      </c>
      <c r="EE46" s="2412">
        <v>244.7</v>
      </c>
      <c r="EF46" s="2412">
        <v>246.2</v>
      </c>
      <c r="EG46" s="2412">
        <v>246.2</v>
      </c>
      <c r="EH46" s="2412">
        <v>247.5</v>
      </c>
      <c r="EI46" s="2412">
        <v>247.4</v>
      </c>
      <c r="EJ46" s="2412">
        <v>247.4</v>
      </c>
      <c r="EK46" s="2412">
        <v>251.9</v>
      </c>
      <c r="EL46" s="2412">
        <v>251.9</v>
      </c>
      <c r="EM46" s="2412">
        <v>260.3</v>
      </c>
      <c r="EN46" s="2412">
        <v>260.3</v>
      </c>
      <c r="EO46" s="2412">
        <v>260.3</v>
      </c>
      <c r="EP46" s="2412">
        <v>261.3</v>
      </c>
      <c r="EQ46" s="2412">
        <v>261.3</v>
      </c>
      <c r="ER46" s="2412">
        <v>269.8</v>
      </c>
      <c r="ES46" s="2412">
        <v>269.8</v>
      </c>
      <c r="ET46" s="2412">
        <v>269.8</v>
      </c>
      <c r="EU46" s="2412">
        <v>269.8</v>
      </c>
      <c r="EV46" s="2412">
        <v>269.8</v>
      </c>
      <c r="EW46" s="2412">
        <v>269.8</v>
      </c>
      <c r="EX46" s="2412">
        <v>274.60000000000002</v>
      </c>
      <c r="EY46" s="2412">
        <v>275.8</v>
      </c>
      <c r="EZ46" s="2412">
        <v>275.8</v>
      </c>
      <c r="FA46" s="2412">
        <v>275.8</v>
      </c>
      <c r="FB46" s="2412">
        <v>302.10000000000002</v>
      </c>
      <c r="FC46" s="2412">
        <v>326.89999999999998</v>
      </c>
      <c r="FD46" s="2412">
        <v>329.2</v>
      </c>
      <c r="FE46" s="2412">
        <v>329.2</v>
      </c>
      <c r="FF46" s="2412">
        <v>329.2</v>
      </c>
      <c r="FG46" s="2412">
        <v>329.2</v>
      </c>
      <c r="FH46" s="2412">
        <v>333.6</v>
      </c>
      <c r="FI46" s="2412">
        <v>339</v>
      </c>
      <c r="FJ46" s="2412">
        <v>342.9</v>
      </c>
      <c r="FK46" s="2412">
        <v>346.7</v>
      </c>
      <c r="FL46" s="2412">
        <v>354.8</v>
      </c>
      <c r="FM46" s="2412">
        <v>356.2</v>
      </c>
      <c r="FN46" s="2412">
        <v>357.6</v>
      </c>
      <c r="FO46" s="2412">
        <v>357.3</v>
      </c>
      <c r="FP46" s="2412">
        <v>360.5</v>
      </c>
      <c r="FQ46" s="2412">
        <v>368.6</v>
      </c>
      <c r="FR46" s="2412">
        <v>371.2</v>
      </c>
      <c r="FS46" s="2412">
        <v>379.7</v>
      </c>
      <c r="FT46" s="2412">
        <v>383.5</v>
      </c>
      <c r="FU46" s="2412">
        <v>389.1</v>
      </c>
      <c r="FV46" s="2412">
        <v>392</v>
      </c>
      <c r="FW46" s="2413" t="s">
        <v>521</v>
      </c>
      <c r="FX46" s="2413" t="s">
        <v>521</v>
      </c>
      <c r="FY46" s="2413" t="s">
        <v>521</v>
      </c>
      <c r="FZ46" s="2413" t="s">
        <v>521</v>
      </c>
      <c r="GA46" s="2413" t="s">
        <v>521</v>
      </c>
      <c r="GB46" s="2413" t="s">
        <v>521</v>
      </c>
      <c r="GC46" s="2413" t="s">
        <v>521</v>
      </c>
      <c r="GD46" s="2413" t="s">
        <v>521</v>
      </c>
      <c r="GE46" s="2413" t="s">
        <v>521</v>
      </c>
      <c r="GF46" s="2414" t="s">
        <v>521</v>
      </c>
      <c r="GG46" s="2415" t="s">
        <v>521</v>
      </c>
      <c r="GH46" s="2414" t="s">
        <v>521</v>
      </c>
      <c r="GI46" s="2414" t="s">
        <v>521</v>
      </c>
      <c r="GJ46" s="2413" t="s">
        <v>521</v>
      </c>
      <c r="GK46" s="2413" t="s">
        <v>521</v>
      </c>
      <c r="GL46" s="2413" t="s">
        <v>521</v>
      </c>
      <c r="GM46" s="2414" t="s">
        <v>521</v>
      </c>
      <c r="GN46" s="2414" t="s">
        <v>521</v>
      </c>
      <c r="GO46" s="2416" t="s">
        <v>521</v>
      </c>
      <c r="GP46" s="2417" t="s">
        <v>521</v>
      </c>
      <c r="GQ46" s="2417" t="s">
        <v>521</v>
      </c>
      <c r="GR46" s="2417" t="s">
        <v>521</v>
      </c>
      <c r="GS46" s="2417" t="s">
        <v>521</v>
      </c>
      <c r="GT46" s="2415" t="s">
        <v>521</v>
      </c>
      <c r="GU46" s="2415" t="s">
        <v>521</v>
      </c>
      <c r="GV46" s="2415" t="s">
        <v>521</v>
      </c>
      <c r="GW46" s="2415" t="s">
        <v>521</v>
      </c>
      <c r="GX46" s="2415" t="s">
        <v>521</v>
      </c>
      <c r="GY46" s="2415" t="s">
        <v>521</v>
      </c>
      <c r="GZ46" s="2415" t="s">
        <v>521</v>
      </c>
      <c r="HA46" s="2415" t="s">
        <v>521</v>
      </c>
      <c r="HB46" s="2415" t="s">
        <v>521</v>
      </c>
      <c r="HC46" s="2415" t="s">
        <v>521</v>
      </c>
      <c r="HD46" s="2415" t="s">
        <v>521</v>
      </c>
      <c r="HE46" s="2415" t="s">
        <v>521</v>
      </c>
      <c r="HF46" s="2415" t="s">
        <v>521</v>
      </c>
      <c r="HG46" s="2415" t="s">
        <v>521</v>
      </c>
      <c r="HH46" s="2418" t="s">
        <v>521</v>
      </c>
      <c r="HI46" s="2415" t="s">
        <v>521</v>
      </c>
      <c r="HJ46" s="2415" t="s">
        <v>521</v>
      </c>
      <c r="HK46" s="2415" t="s">
        <v>521</v>
      </c>
      <c r="HL46" s="2415" t="s">
        <v>521</v>
      </c>
      <c r="HM46" s="2415" t="s">
        <v>521</v>
      </c>
      <c r="HN46" s="2415" t="s">
        <v>521</v>
      </c>
      <c r="HO46" s="2415" t="s">
        <v>521</v>
      </c>
      <c r="HP46" s="2415" t="s">
        <v>521</v>
      </c>
      <c r="HQ46" s="2415" t="s">
        <v>521</v>
      </c>
      <c r="HR46" s="2415" t="s">
        <v>521</v>
      </c>
      <c r="HS46" s="2415" t="s">
        <v>521</v>
      </c>
      <c r="HT46" s="2419">
        <v>100</v>
      </c>
      <c r="HU46" s="2420">
        <f>+'Alacenas de madera'!C15</f>
        <v>100</v>
      </c>
      <c r="HV46" s="2415">
        <f>+'Alacenas de madera'!D15</f>
        <v>100</v>
      </c>
      <c r="HW46" s="2415">
        <f>+'Alacenas de madera'!E15</f>
        <v>100</v>
      </c>
      <c r="HX46" s="2415">
        <f>+'Alacenas de madera'!F15</f>
        <v>109.99810396740712</v>
      </c>
      <c r="HY46" s="2415">
        <f>+'Alacenas de madera'!G15</f>
        <v>110.41565451176585</v>
      </c>
      <c r="HZ46" s="2415">
        <f>+'Alacenas de madera'!H15</f>
        <v>115.21966578830956</v>
      </c>
      <c r="IA46" s="2415">
        <f>+'Alacenas de madera'!I15</f>
        <v>116.03319685772992</v>
      </c>
      <c r="IB46" s="2415">
        <f>+'Alacenas de madera'!J15</f>
        <v>124.85963169443411</v>
      </c>
      <c r="IC46" s="2415">
        <f>+'Alacenas de madera'!K15</f>
        <v>128.77098560103926</v>
      </c>
      <c r="ID46" s="2415">
        <f>+'Alacenas de madera'!L15</f>
        <v>135.71815266572818</v>
      </c>
      <c r="IE46" s="2415">
        <f>+'Alacenas de madera'!M15</f>
        <v>137.44286788662939</v>
      </c>
      <c r="IF46" s="2415">
        <f>+'Alacenas de madera'!N15</f>
        <v>141.41557120553171</v>
      </c>
      <c r="IG46" s="2420">
        <f>+'Alacenas de madera'!C23</f>
        <v>142.79943794626047</v>
      </c>
      <c r="IH46" s="2415">
        <f>+'Alacenas de madera'!D23</f>
        <v>150.8545132537395</v>
      </c>
      <c r="II46" s="2415">
        <f>+'Alacenas de madera'!E23</f>
        <v>152.32899184745162</v>
      </c>
      <c r="IJ46" s="2420">
        <f>+'Alacenas de madera'!F23</f>
        <v>154.09654671799154</v>
      </c>
      <c r="IK46" s="2415">
        <f>+'Alacenas de madera'!G23</f>
        <v>163.5299379888616</v>
      </c>
      <c r="IL46" s="2415">
        <f>+'Alacenas de madera'!H23</f>
        <v>164.64666994314319</v>
      </c>
      <c r="IM46" s="2415">
        <f>+'Alacenas de madera'!I23</f>
        <v>172.08713102616423</v>
      </c>
      <c r="IN46" s="2415">
        <f>+'Alacenas de madera'!J23</f>
        <v>173.3408085271532</v>
      </c>
      <c r="IO46" s="2421">
        <f>+'Alacenas de madera'!K23</f>
        <v>180.21579668563689</v>
      </c>
      <c r="IP46" s="2415">
        <f>+'Alacenas de madera'!L23</f>
        <v>184.25979729502134</v>
      </c>
      <c r="IQ46" s="2415">
        <f>+'Alacenas de madera'!M23</f>
        <v>192.83703164105646</v>
      </c>
      <c r="IR46" s="2415">
        <f>+'Alacenas de madera'!N23</f>
        <v>206.56687079221925</v>
      </c>
      <c r="IS46" s="2422">
        <f>+'Alacenas de madera'!C31</f>
        <v>217.85496882230785</v>
      </c>
      <c r="IT46" s="2415">
        <f>+'Alacenas de madera'!D31</f>
        <v>219.04674863394226</v>
      </c>
      <c r="IU46" s="2415">
        <f>+'Alacenas de madera'!E31</f>
        <v>230.53758368908171</v>
      </c>
      <c r="IV46" s="2415">
        <f>+'Alacenas de madera'!F31</f>
        <v>232.11893098593112</v>
      </c>
      <c r="IW46" s="2415">
        <f>+'Alacenas de madera'!G31</f>
        <v>242.8443802740758</v>
      </c>
      <c r="IX46" s="2415">
        <f>+'Alacenas de madera'!H31</f>
        <v>262.70328381746737</v>
      </c>
      <c r="IY46" s="2415">
        <f>+'Alacenas de madera'!I31</f>
        <v>296.72856834311926</v>
      </c>
      <c r="IZ46" s="2415">
        <f>+'Alacenas de madera'!J31</f>
        <v>313.57513579527813</v>
      </c>
      <c r="JA46" s="2415">
        <f>+'Alacenas de madera'!K31</f>
        <v>337.9189965904697</v>
      </c>
      <c r="JB46" s="2415">
        <f>+'Alacenas de madera'!L31</f>
        <v>368.12982335713934</v>
      </c>
      <c r="JC46" s="2415">
        <f>+'Alacenas de madera'!M31</f>
        <v>385.64337719611359</v>
      </c>
      <c r="JD46" s="2415">
        <f>+'Alacenas de madera'!N31</f>
        <v>399.34998115069408</v>
      </c>
      <c r="JE46" s="2422">
        <f>+'Alacenas de madera'!C39</f>
        <v>410.28588979193728</v>
      </c>
      <c r="JF46" s="2418">
        <f>+'Alacenas de madera'!D39</f>
        <v>425.67744899495153</v>
      </c>
      <c r="JG46" s="2103">
        <f t="shared" si="12"/>
        <v>1.0375142299210425</v>
      </c>
      <c r="JI46" s="2155"/>
      <c r="JJ46" s="2104"/>
    </row>
    <row r="47" spans="2:270" ht="31.5">
      <c r="B47" s="2105">
        <v>22</v>
      </c>
      <c r="C47" s="2106" t="s">
        <v>938</v>
      </c>
      <c r="D47" s="2425" t="s">
        <v>1174</v>
      </c>
      <c r="E47" s="2107" t="s">
        <v>939</v>
      </c>
      <c r="F47" s="2106" t="s">
        <v>918</v>
      </c>
      <c r="G47" s="2425" t="s">
        <v>1112</v>
      </c>
      <c r="H47" s="2106" t="s">
        <v>919</v>
      </c>
      <c r="I47" s="2106" t="s">
        <v>920</v>
      </c>
      <c r="J47" s="2359" t="s">
        <v>940</v>
      </c>
      <c r="K47" s="2425"/>
      <c r="L47" s="2110">
        <v>106.09</v>
      </c>
      <c r="M47" s="2110">
        <v>124.34</v>
      </c>
      <c r="N47" s="2110">
        <v>142.5</v>
      </c>
      <c r="O47" s="2110">
        <v>154.29</v>
      </c>
      <c r="P47" s="2110">
        <v>197.07</v>
      </c>
      <c r="Q47" s="2110">
        <v>210.03</v>
      </c>
      <c r="R47" s="2110">
        <v>264.73</v>
      </c>
      <c r="S47" s="2110">
        <v>277.89</v>
      </c>
      <c r="T47" s="2110">
        <v>277.89</v>
      </c>
      <c r="U47" s="2110">
        <v>277.89</v>
      </c>
      <c r="V47" s="2110">
        <v>277.89</v>
      </c>
      <c r="W47" s="2110">
        <v>277.89</v>
      </c>
      <c r="X47" s="2110">
        <v>277.89</v>
      </c>
      <c r="Y47" s="2110">
        <v>277.89</v>
      </c>
      <c r="Z47" s="2110">
        <v>277.89</v>
      </c>
      <c r="AA47" s="2110">
        <v>294.33</v>
      </c>
      <c r="AB47" s="2110">
        <v>294.33</v>
      </c>
      <c r="AC47" s="2110">
        <v>294.33</v>
      </c>
      <c r="AD47" s="2110">
        <v>294.33</v>
      </c>
      <c r="AE47" s="2110">
        <v>294.33</v>
      </c>
      <c r="AF47" s="2110">
        <v>294.33</v>
      </c>
      <c r="AG47" s="2110">
        <v>294.33</v>
      </c>
      <c r="AH47" s="2110">
        <v>294.33</v>
      </c>
      <c r="AI47" s="2110">
        <v>306.10000000000002</v>
      </c>
      <c r="AJ47" s="2110">
        <v>306.10000000000002</v>
      </c>
      <c r="AK47" s="2110">
        <v>316.94</v>
      </c>
      <c r="AL47" s="2110">
        <v>331.09</v>
      </c>
      <c r="AM47" s="2110">
        <v>355.43</v>
      </c>
      <c r="AN47" s="2110">
        <v>361.65</v>
      </c>
      <c r="AO47" s="2110">
        <v>392.83</v>
      </c>
      <c r="AP47" s="2110">
        <v>437.42</v>
      </c>
      <c r="AQ47" s="2110">
        <v>437.42</v>
      </c>
      <c r="AR47" s="2110">
        <v>437.42</v>
      </c>
      <c r="AS47" s="2110">
        <v>437.42</v>
      </c>
      <c r="AT47" s="2110">
        <v>437.42</v>
      </c>
      <c r="AU47" s="2110">
        <v>464.03</v>
      </c>
      <c r="AV47" s="2110">
        <v>464.03</v>
      </c>
      <c r="AW47" s="2111">
        <v>464.03</v>
      </c>
      <c r="AX47" s="2111">
        <v>464.03</v>
      </c>
      <c r="AY47" s="2111">
        <v>464.03</v>
      </c>
      <c r="AZ47" s="2111">
        <v>464.03</v>
      </c>
      <c r="BA47" s="2111">
        <v>464.03</v>
      </c>
      <c r="BB47" s="2111">
        <v>464.03</v>
      </c>
      <c r="BC47" s="2111">
        <v>464.03</v>
      </c>
      <c r="BD47" s="2112">
        <v>464.03</v>
      </c>
      <c r="BE47" s="2111">
        <v>464.03</v>
      </c>
      <c r="BF47" s="2112">
        <v>464.03</v>
      </c>
      <c r="BG47" s="2112">
        <v>464.03</v>
      </c>
      <c r="BH47" s="2112">
        <v>464.03</v>
      </c>
      <c r="BI47" s="2108">
        <v>464.03</v>
      </c>
      <c r="BJ47" s="2108">
        <v>464.03</v>
      </c>
      <c r="BK47" s="2108">
        <v>475.1</v>
      </c>
      <c r="BL47" s="2108">
        <v>475.1</v>
      </c>
      <c r="BM47" s="2108">
        <v>475.1</v>
      </c>
      <c r="BN47" s="2108">
        <v>475.1</v>
      </c>
      <c r="BO47" s="2108">
        <v>475.1</v>
      </c>
      <c r="BP47" s="2108">
        <v>475.1</v>
      </c>
      <c r="BQ47" s="2108">
        <v>475.1</v>
      </c>
      <c r="BR47" s="2108">
        <v>475.1</v>
      </c>
      <c r="BS47" s="2108">
        <v>475.1</v>
      </c>
      <c r="BT47" s="2108">
        <v>475.1</v>
      </c>
      <c r="BU47" s="2108">
        <v>482.09</v>
      </c>
      <c r="BV47" s="2108">
        <v>482.09</v>
      </c>
      <c r="BW47" s="2108">
        <v>496.86</v>
      </c>
      <c r="BX47" s="2108">
        <v>504.01</v>
      </c>
      <c r="BY47" s="2108">
        <v>504.01</v>
      </c>
      <c r="BZ47" s="2108">
        <v>504.01</v>
      </c>
      <c r="CA47" s="2108">
        <v>505.12</v>
      </c>
      <c r="CB47" s="2108">
        <v>505.12</v>
      </c>
      <c r="CC47" s="2108">
        <v>520.69000000000005</v>
      </c>
      <c r="CD47" s="2108">
        <v>520.69000000000005</v>
      </c>
      <c r="CE47" s="2108">
        <v>538.91999999999996</v>
      </c>
      <c r="CF47" s="2108">
        <v>544.42999999999995</v>
      </c>
      <c r="CG47" s="2108">
        <v>565.69000000000005</v>
      </c>
      <c r="CH47" s="2108">
        <v>588.29</v>
      </c>
      <c r="CI47" s="2108">
        <v>592.28</v>
      </c>
      <c r="CJ47" s="2108">
        <v>626.20000000000005</v>
      </c>
      <c r="CK47" s="2108">
        <v>626.21</v>
      </c>
      <c r="CL47" s="2108">
        <v>661.3</v>
      </c>
      <c r="CM47" s="2108">
        <v>712.56</v>
      </c>
      <c r="CN47" s="2108">
        <v>714.64</v>
      </c>
      <c r="CO47" s="2108">
        <v>745.42</v>
      </c>
      <c r="CP47" s="2108">
        <v>745.42</v>
      </c>
      <c r="CQ47" s="2108">
        <v>744.74</v>
      </c>
      <c r="CR47" s="2108">
        <v>728.8</v>
      </c>
      <c r="CS47" s="2108">
        <v>728.8</v>
      </c>
      <c r="CT47" s="2108">
        <v>739.62</v>
      </c>
      <c r="CU47" s="2108">
        <v>735.1</v>
      </c>
      <c r="CV47" s="2108">
        <v>736.76</v>
      </c>
      <c r="CW47" s="2108">
        <v>752.11</v>
      </c>
      <c r="CX47" s="2108">
        <v>754.93</v>
      </c>
      <c r="CY47" s="2108">
        <v>754.28</v>
      </c>
      <c r="CZ47" s="2108">
        <v>759.17</v>
      </c>
      <c r="DA47" s="2108">
        <v>759.17</v>
      </c>
      <c r="DB47" s="2108">
        <v>778.37</v>
      </c>
      <c r="DC47" s="2108">
        <v>778.37</v>
      </c>
      <c r="DD47" s="2108">
        <v>780.93</v>
      </c>
      <c r="DE47" s="2108">
        <v>780.93</v>
      </c>
      <c r="DF47" s="2108">
        <v>793.03</v>
      </c>
      <c r="DG47" s="2108">
        <v>793.03</v>
      </c>
      <c r="DH47" s="2108">
        <v>793.03</v>
      </c>
      <c r="DI47" s="2108">
        <v>826.58</v>
      </c>
      <c r="DJ47" s="2108">
        <v>844.42</v>
      </c>
      <c r="DK47" s="2108">
        <v>844.42</v>
      </c>
      <c r="DL47" s="2108">
        <v>863.41</v>
      </c>
      <c r="DM47" s="2108">
        <v>869.88</v>
      </c>
      <c r="DN47" s="2108">
        <v>876.14</v>
      </c>
      <c r="DO47" s="2108">
        <v>891.19</v>
      </c>
      <c r="DP47" s="2108">
        <v>885.98</v>
      </c>
      <c r="DQ47" s="2108">
        <v>886.93</v>
      </c>
      <c r="DR47" s="2108">
        <v>886.93</v>
      </c>
      <c r="DS47" s="2108">
        <v>886.93</v>
      </c>
      <c r="DT47" s="2108">
        <v>909.48</v>
      </c>
      <c r="DU47" s="2108">
        <v>924.22</v>
      </c>
      <c r="DV47" s="2108">
        <v>936.45</v>
      </c>
      <c r="DW47" s="2108">
        <v>936.45</v>
      </c>
      <c r="DX47" s="2108">
        <v>942.45</v>
      </c>
      <c r="DY47" s="2108">
        <v>942.45</v>
      </c>
      <c r="DZ47" s="2108">
        <v>942.45</v>
      </c>
      <c r="EA47" s="2108">
        <v>956.78</v>
      </c>
      <c r="EB47" s="2108">
        <v>948.43</v>
      </c>
      <c r="EC47" s="2108">
        <v>948.43</v>
      </c>
      <c r="ED47" s="2108">
        <v>948.43</v>
      </c>
      <c r="EE47" s="2108">
        <v>948.43</v>
      </c>
      <c r="EF47" s="2108">
        <v>948.43</v>
      </c>
      <c r="EG47" s="2108">
        <v>980.9</v>
      </c>
      <c r="EH47" s="2108">
        <v>980.9</v>
      </c>
      <c r="EI47" s="2108">
        <v>980.9</v>
      </c>
      <c r="EJ47" s="2108">
        <v>980.9</v>
      </c>
      <c r="EK47" s="2108">
        <v>994.53</v>
      </c>
      <c r="EL47" s="2108">
        <v>994.53</v>
      </c>
      <c r="EM47" s="2108">
        <v>1013.94</v>
      </c>
      <c r="EN47" s="2108">
        <v>1019.71</v>
      </c>
      <c r="EO47" s="2108">
        <v>1019.71</v>
      </c>
      <c r="EP47" s="2108">
        <v>1019.71</v>
      </c>
      <c r="EQ47" s="2108">
        <v>1019.71</v>
      </c>
      <c r="ER47" s="2108">
        <v>1047.19</v>
      </c>
      <c r="ES47" s="2108">
        <v>1047.19</v>
      </c>
      <c r="ET47" s="2108">
        <v>1081.33</v>
      </c>
      <c r="EU47" s="2108">
        <v>1106.8599999999999</v>
      </c>
      <c r="EV47" s="2108">
        <v>1106.8599999999999</v>
      </c>
      <c r="EW47" s="2108">
        <v>1106.8599999999999</v>
      </c>
      <c r="EX47" s="2108">
        <v>1106.8599999999999</v>
      </c>
      <c r="EY47" s="2108">
        <v>1106.94</v>
      </c>
      <c r="EZ47" s="2108">
        <v>1151.3699999999999</v>
      </c>
      <c r="FA47" s="2108">
        <v>1259.42</v>
      </c>
      <c r="FB47" s="2108">
        <v>1281.0999999999999</v>
      </c>
      <c r="FC47" s="2108">
        <v>1299.0999999999999</v>
      </c>
      <c r="FD47" s="2108">
        <v>1369.47</v>
      </c>
      <c r="FE47" s="2108">
        <v>1401.2</v>
      </c>
      <c r="FF47" s="2108">
        <v>1388.24</v>
      </c>
      <c r="FG47" s="2108">
        <v>1415.62</v>
      </c>
      <c r="FH47" s="2108">
        <v>1495.33</v>
      </c>
      <c r="FI47" s="2108">
        <v>1511.2</v>
      </c>
      <c r="FJ47" s="2108">
        <v>1508.96</v>
      </c>
      <c r="FK47" s="2108">
        <v>1513.22</v>
      </c>
      <c r="FL47" s="2108">
        <v>1517.79</v>
      </c>
      <c r="FM47" s="2108">
        <v>1498.33</v>
      </c>
      <c r="FN47" s="2108">
        <v>1540.36</v>
      </c>
      <c r="FO47" s="2108">
        <v>1597.43</v>
      </c>
      <c r="FP47" s="2108">
        <v>1622.3</v>
      </c>
      <c r="FQ47" s="2108">
        <v>1646.16</v>
      </c>
      <c r="FR47" s="2108">
        <v>1656.42</v>
      </c>
      <c r="FS47" s="2108">
        <v>1669.6</v>
      </c>
      <c r="FT47" s="2108">
        <v>1697.65</v>
      </c>
      <c r="FU47" s="2108">
        <v>1729.86</v>
      </c>
      <c r="FV47" s="2108">
        <v>1759.22</v>
      </c>
      <c r="FW47" s="2113">
        <v>1826.1701812128333</v>
      </c>
      <c r="FX47" s="2113">
        <v>1941.5699808232116</v>
      </c>
      <c r="FY47" s="2113">
        <v>100</v>
      </c>
      <c r="FZ47" s="2113">
        <v>103.10120582580566</v>
      </c>
      <c r="GA47" s="2113">
        <v>107.13390622686347</v>
      </c>
      <c r="GB47" s="2113">
        <v>106.54614284200001</v>
      </c>
      <c r="GC47" s="2113">
        <v>107.20903586800227</v>
      </c>
      <c r="GD47" s="2113">
        <v>107.53626300203504</v>
      </c>
      <c r="GE47" s="2113">
        <v>112.21968674306889</v>
      </c>
      <c r="GF47" s="2114">
        <v>111.36416729374555</v>
      </c>
      <c r="GG47" s="1960">
        <v>111.80941909319368</v>
      </c>
      <c r="GH47" s="2114">
        <v>112.03444789684626</v>
      </c>
      <c r="GI47" s="2114">
        <v>112.9468187304369</v>
      </c>
      <c r="GJ47" s="2113">
        <v>114.69880821427297</v>
      </c>
      <c r="GK47" s="2113">
        <v>115.38310902493187</v>
      </c>
      <c r="GL47" s="2113">
        <v>118.61954396397424</v>
      </c>
      <c r="GM47" s="2114">
        <v>119.02127703387291</v>
      </c>
      <c r="GN47" s="2114">
        <v>118.03920984093975</v>
      </c>
      <c r="GO47" s="2115">
        <v>119.54947594862033</v>
      </c>
      <c r="GP47" s="2116">
        <v>121.50016593430321</v>
      </c>
      <c r="GQ47" s="2116">
        <v>125.33463196600734</v>
      </c>
      <c r="GR47" s="2116">
        <v>127.2950325146595</v>
      </c>
      <c r="GS47" s="2116">
        <v>130.13905388314311</v>
      </c>
      <c r="GT47" s="1960">
        <v>133.15781908696539</v>
      </c>
      <c r="GU47" s="1960">
        <v>134.26848243465022</v>
      </c>
      <c r="GV47" s="1960">
        <v>136.8777407527227</v>
      </c>
      <c r="GW47" s="1960">
        <v>141.71146898121594</v>
      </c>
      <c r="GX47" s="1960">
        <v>148.55409278714089</v>
      </c>
      <c r="GY47" s="1960">
        <v>154.63802930879291</v>
      </c>
      <c r="GZ47" s="1960">
        <v>164.30216876900801</v>
      </c>
      <c r="HA47" s="1960">
        <v>206.07976390465137</v>
      </c>
      <c r="HB47" s="1960">
        <v>221.47583803249145</v>
      </c>
      <c r="HC47" s="1960">
        <v>230.67737595672986</v>
      </c>
      <c r="HD47" s="1960">
        <v>235.29609657146688</v>
      </c>
      <c r="HE47" s="1960">
        <v>300.14745514771823</v>
      </c>
      <c r="HF47" s="1960">
        <v>313.91300880570532</v>
      </c>
      <c r="HG47" s="1960">
        <v>310.17307205297828</v>
      </c>
      <c r="HH47" s="2117">
        <v>322.3862276562997</v>
      </c>
      <c r="HI47" s="1960">
        <v>316.83160424576869</v>
      </c>
      <c r="HJ47" s="1960">
        <v>339.8267340021664</v>
      </c>
      <c r="HK47" s="1960">
        <v>353.36976603571412</v>
      </c>
      <c r="HL47" s="1960">
        <v>363.2668481496512</v>
      </c>
      <c r="HM47" s="1960">
        <v>396.75256763881373</v>
      </c>
      <c r="HN47" s="1960">
        <v>395.10595125149848</v>
      </c>
      <c r="HO47" s="1960">
        <v>394.28970377575047</v>
      </c>
      <c r="HP47" s="1960">
        <v>486.94514269842745</v>
      </c>
      <c r="HQ47" s="1960">
        <v>507.53361591343975</v>
      </c>
      <c r="HR47" s="1960">
        <v>528.32302534910184</v>
      </c>
      <c r="HS47" s="1960">
        <v>533.72217624607299</v>
      </c>
      <c r="HT47" s="1962">
        <v>541.71850408197031</v>
      </c>
      <c r="HU47" s="1961">
        <v>544.73489982033107</v>
      </c>
      <c r="HV47" s="1960">
        <v>550.81957217542174</v>
      </c>
      <c r="HW47" s="1960">
        <v>569.1798087318831</v>
      </c>
      <c r="HX47" s="1960">
        <v>569.1798087318831</v>
      </c>
      <c r="HY47" s="1960">
        <v>583.55389860415551</v>
      </c>
      <c r="HZ47" s="1960">
        <v>583.55389860415551</v>
      </c>
      <c r="IA47" s="1960">
        <v>679.62163506225147</v>
      </c>
      <c r="IB47" s="1960">
        <v>686.00600107461889</v>
      </c>
      <c r="IC47" s="1960">
        <v>754.56713195251905</v>
      </c>
      <c r="ID47" s="1960">
        <v>878.58003386984683</v>
      </c>
      <c r="IE47" s="1960">
        <v>1016.0920921348751</v>
      </c>
      <c r="IF47" s="1960">
        <v>1127.2453018202509</v>
      </c>
      <c r="IG47" s="1961">
        <v>1152.7046738194881</v>
      </c>
      <c r="IH47" s="1960">
        <v>1258.4291786604233</v>
      </c>
      <c r="II47" s="1960">
        <v>1299.5240236132897</v>
      </c>
      <c r="IJ47" s="1961">
        <v>1315.2673201462624</v>
      </c>
      <c r="IK47" s="1960">
        <v>1382.2875506892433</v>
      </c>
      <c r="IL47" s="1960">
        <v>1540.9162718490634</v>
      </c>
      <c r="IM47" s="1960">
        <v>1589.4083435796126</v>
      </c>
      <c r="IN47" s="1960">
        <v>1689.7925186472789</v>
      </c>
      <c r="IO47" s="1960">
        <v>1744.670220482868</v>
      </c>
      <c r="IP47" s="1960">
        <v>1782.3094304089614</v>
      </c>
      <c r="IQ47" s="1960">
        <v>1829.2955627681176</v>
      </c>
      <c r="IR47" s="1960">
        <v>1898.391002386099</v>
      </c>
      <c r="IS47" s="2274">
        <v>1994.3349373165454</v>
      </c>
      <c r="IT47" s="1960">
        <v>2095.6741298989677</v>
      </c>
      <c r="IU47" s="1960">
        <v>2168.2958632191653</v>
      </c>
      <c r="IV47" s="1960">
        <v>2260.3522302630199</v>
      </c>
      <c r="IW47" s="1960">
        <v>2400.6458961400858</v>
      </c>
      <c r="IX47" s="1960">
        <v>2495.5882843924419</v>
      </c>
      <c r="IY47" s="1960">
        <v>2764.6752702617027</v>
      </c>
      <c r="IZ47" s="1960">
        <v>3244.2672215505054</v>
      </c>
      <c r="JA47" s="1960">
        <v>3328.2318125066781</v>
      </c>
      <c r="JB47" s="1960">
        <v>3503.8200778740561</v>
      </c>
      <c r="JC47" s="1960">
        <v>3617.256133149413</v>
      </c>
      <c r="JD47" s="1960">
        <v>3877.7895533431447</v>
      </c>
      <c r="JE47" s="2274">
        <v>4213.8023737123403</v>
      </c>
      <c r="JF47" s="2117">
        <v>4343.0841215438531</v>
      </c>
      <c r="JG47" s="2103">
        <f t="shared" si="12"/>
        <v>1.0306805436909032</v>
      </c>
      <c r="JI47" s="2155"/>
      <c r="JJ47" s="2104"/>
    </row>
    <row r="48" spans="2:270" ht="31.5">
      <c r="B48" s="2105">
        <v>23</v>
      </c>
      <c r="C48" s="2106" t="s">
        <v>6</v>
      </c>
      <c r="D48" s="2425" t="s">
        <v>1175</v>
      </c>
      <c r="E48" s="2107" t="s">
        <v>7</v>
      </c>
      <c r="F48" s="2106" t="s">
        <v>918</v>
      </c>
      <c r="G48" s="2425" t="s">
        <v>1112</v>
      </c>
      <c r="H48" s="2106" t="s">
        <v>919</v>
      </c>
      <c r="I48" s="2106" t="s">
        <v>930</v>
      </c>
      <c r="J48" s="2359" t="s">
        <v>739</v>
      </c>
      <c r="K48" s="2425" t="s">
        <v>128</v>
      </c>
      <c r="L48" s="2110">
        <v>103.27</v>
      </c>
      <c r="M48" s="2110">
        <v>103.27</v>
      </c>
      <c r="N48" s="2110">
        <v>106.65</v>
      </c>
      <c r="O48" s="2110">
        <v>103.88</v>
      </c>
      <c r="P48" s="2110">
        <v>102.94</v>
      </c>
      <c r="Q48" s="2110">
        <v>106.18</v>
      </c>
      <c r="R48" s="2110">
        <v>109.3</v>
      </c>
      <c r="S48" s="2110">
        <v>120.59</v>
      </c>
      <c r="T48" s="2110">
        <v>120.59</v>
      </c>
      <c r="U48" s="2110">
        <v>130.51</v>
      </c>
      <c r="V48" s="2110">
        <v>136.68</v>
      </c>
      <c r="W48" s="2110">
        <v>142.56</v>
      </c>
      <c r="X48" s="2110">
        <v>147.9</v>
      </c>
      <c r="Y48" s="2110">
        <v>147.16999999999999</v>
      </c>
      <c r="Z48" s="2110">
        <v>157.47</v>
      </c>
      <c r="AA48" s="2110">
        <v>162.65</v>
      </c>
      <c r="AB48" s="2110">
        <v>165.16</v>
      </c>
      <c r="AC48" s="2110">
        <v>177.31</v>
      </c>
      <c r="AD48" s="2110">
        <v>188.56</v>
      </c>
      <c r="AE48" s="2110">
        <v>190.21</v>
      </c>
      <c r="AF48" s="2110">
        <v>185.12</v>
      </c>
      <c r="AG48" s="2110">
        <v>199.92</v>
      </c>
      <c r="AH48" s="2110">
        <v>206.98</v>
      </c>
      <c r="AI48" s="2110">
        <v>217.91</v>
      </c>
      <c r="AJ48" s="2110">
        <v>224.17</v>
      </c>
      <c r="AK48" s="2110">
        <v>224.17</v>
      </c>
      <c r="AL48" s="2110">
        <v>225.11</v>
      </c>
      <c r="AM48" s="2110">
        <v>223.11</v>
      </c>
      <c r="AN48" s="2110">
        <v>225.18</v>
      </c>
      <c r="AO48" s="2110">
        <v>229.53</v>
      </c>
      <c r="AP48" s="2110">
        <v>227.69</v>
      </c>
      <c r="AQ48" s="2110">
        <v>229.09</v>
      </c>
      <c r="AR48" s="2110">
        <v>231.6</v>
      </c>
      <c r="AS48" s="2110">
        <v>249.43</v>
      </c>
      <c r="AT48" s="2110">
        <v>282.02999999999997</v>
      </c>
      <c r="AU48" s="2110">
        <v>284.05</v>
      </c>
      <c r="AV48" s="2110">
        <v>284.07</v>
      </c>
      <c r="AW48" s="2111">
        <v>287.05</v>
      </c>
      <c r="AX48" s="2111">
        <v>291.5</v>
      </c>
      <c r="AY48" s="2111">
        <v>292.60000000000002</v>
      </c>
      <c r="AZ48" s="2111">
        <v>292.60000000000002</v>
      </c>
      <c r="BA48" s="2111">
        <v>292.60000000000002</v>
      </c>
      <c r="BB48" s="2111">
        <v>292.58</v>
      </c>
      <c r="BC48" s="2111">
        <v>293.68</v>
      </c>
      <c r="BD48" s="2112">
        <v>293.68</v>
      </c>
      <c r="BE48" s="2111">
        <v>298.39999999999998</v>
      </c>
      <c r="BF48" s="2112">
        <v>323.14999999999998</v>
      </c>
      <c r="BG48" s="2112">
        <v>324.56</v>
      </c>
      <c r="BH48" s="2112">
        <v>323.04000000000002</v>
      </c>
      <c r="BI48" s="2108">
        <v>327.35000000000002</v>
      </c>
      <c r="BJ48" s="2108">
        <v>328.88</v>
      </c>
      <c r="BK48" s="2108">
        <v>330.03</v>
      </c>
      <c r="BL48" s="2108">
        <v>330.03</v>
      </c>
      <c r="BM48" s="2108">
        <v>331.86</v>
      </c>
      <c r="BN48" s="2108">
        <v>334.12</v>
      </c>
      <c r="BO48" s="2108">
        <v>334.12</v>
      </c>
      <c r="BP48" s="2108">
        <v>334.12</v>
      </c>
      <c r="BQ48" s="2108">
        <v>335.06</v>
      </c>
      <c r="BR48" s="2108">
        <v>336.16</v>
      </c>
      <c r="BS48" s="2108">
        <v>337.08</v>
      </c>
      <c r="BT48" s="2108">
        <v>337.1</v>
      </c>
      <c r="BU48" s="2108">
        <v>348.07</v>
      </c>
      <c r="BV48" s="2108">
        <v>356.23</v>
      </c>
      <c r="BW48" s="2108">
        <v>358.05</v>
      </c>
      <c r="BX48" s="2108">
        <v>358.05</v>
      </c>
      <c r="BY48" s="2108">
        <v>360.03</v>
      </c>
      <c r="BZ48" s="2108">
        <v>365.37</v>
      </c>
      <c r="CA48" s="2108">
        <v>362.57</v>
      </c>
      <c r="CB48" s="2108">
        <v>375.39</v>
      </c>
      <c r="CC48" s="2108">
        <v>402.53</v>
      </c>
      <c r="CD48" s="2108">
        <v>404.52</v>
      </c>
      <c r="CE48" s="2108">
        <v>408.77</v>
      </c>
      <c r="CF48" s="2108">
        <v>421.85</v>
      </c>
      <c r="CG48" s="2108">
        <v>423.08</v>
      </c>
      <c r="CH48" s="2108">
        <v>426.42</v>
      </c>
      <c r="CI48" s="2108">
        <v>428.98</v>
      </c>
      <c r="CJ48" s="2108">
        <v>428.98</v>
      </c>
      <c r="CK48" s="2108">
        <v>434.9</v>
      </c>
      <c r="CL48" s="2108">
        <v>452.11</v>
      </c>
      <c r="CM48" s="2108">
        <v>449.55</v>
      </c>
      <c r="CN48" s="2108">
        <v>455.46</v>
      </c>
      <c r="CO48" s="2108">
        <v>450.32</v>
      </c>
      <c r="CP48" s="2108">
        <v>455.45</v>
      </c>
      <c r="CQ48" s="2108">
        <v>455.45</v>
      </c>
      <c r="CR48" s="2108">
        <v>455.46</v>
      </c>
      <c r="CS48" s="2108">
        <v>473.28</v>
      </c>
      <c r="CT48" s="2108">
        <v>477.85</v>
      </c>
      <c r="CU48" s="2108">
        <v>477.85</v>
      </c>
      <c r="CV48" s="2108">
        <v>477.86</v>
      </c>
      <c r="CW48" s="2108">
        <v>479.15</v>
      </c>
      <c r="CX48" s="2108">
        <v>481.71</v>
      </c>
      <c r="CY48" s="2108">
        <v>485.05</v>
      </c>
      <c r="CZ48" s="2108">
        <v>487.62</v>
      </c>
      <c r="DA48" s="2108">
        <v>490.95</v>
      </c>
      <c r="DB48" s="2108">
        <v>494.62</v>
      </c>
      <c r="DC48" s="2108">
        <v>500.53</v>
      </c>
      <c r="DD48" s="2108">
        <v>503.87</v>
      </c>
      <c r="DE48" s="2108">
        <v>506.43</v>
      </c>
      <c r="DF48" s="2108">
        <v>511.61</v>
      </c>
      <c r="DG48" s="2108">
        <v>511.61</v>
      </c>
      <c r="DH48" s="2108">
        <v>517.52</v>
      </c>
      <c r="DI48" s="2108">
        <v>523.4</v>
      </c>
      <c r="DJ48" s="2108">
        <v>531.24</v>
      </c>
      <c r="DK48" s="2108">
        <v>526.44000000000005</v>
      </c>
      <c r="DL48" s="2108">
        <v>529.78</v>
      </c>
      <c r="DM48" s="2108">
        <v>538.08000000000004</v>
      </c>
      <c r="DN48" s="2108">
        <v>543.03</v>
      </c>
      <c r="DO48" s="2108">
        <v>554.79</v>
      </c>
      <c r="DP48" s="2108">
        <v>554.77</v>
      </c>
      <c r="DQ48" s="2108">
        <v>564.36</v>
      </c>
      <c r="DR48" s="2108">
        <v>570.04999999999995</v>
      </c>
      <c r="DS48" s="2108">
        <v>572.54999999999995</v>
      </c>
      <c r="DT48" s="2108">
        <v>580.92999999999995</v>
      </c>
      <c r="DU48" s="2108">
        <v>596.22</v>
      </c>
      <c r="DV48" s="2108">
        <v>618.82000000000005</v>
      </c>
      <c r="DW48" s="2108">
        <v>622.23</v>
      </c>
      <c r="DX48" s="2108">
        <v>628.28</v>
      </c>
      <c r="DY48" s="2108">
        <v>636.62</v>
      </c>
      <c r="DZ48" s="2108">
        <v>642.88</v>
      </c>
      <c r="EA48" s="2108">
        <v>646.86</v>
      </c>
      <c r="EB48" s="2108">
        <v>654.12</v>
      </c>
      <c r="EC48" s="2108">
        <v>655.77</v>
      </c>
      <c r="ED48" s="2108">
        <v>680.17</v>
      </c>
      <c r="EE48" s="2108">
        <v>684.27</v>
      </c>
      <c r="EF48" s="2108">
        <v>686.71</v>
      </c>
      <c r="EG48" s="2108">
        <v>695.35</v>
      </c>
      <c r="EH48" s="2108">
        <v>745.22</v>
      </c>
      <c r="EI48" s="2108">
        <v>750.07</v>
      </c>
      <c r="EJ48" s="2108">
        <v>761.14</v>
      </c>
      <c r="EK48" s="2108">
        <v>774.69</v>
      </c>
      <c r="EL48" s="2108">
        <v>781.79</v>
      </c>
      <c r="EM48" s="2108">
        <v>824.67</v>
      </c>
      <c r="EN48" s="2108">
        <v>834.57</v>
      </c>
      <c r="EO48" s="2108">
        <v>834.57</v>
      </c>
      <c r="EP48" s="2108">
        <v>844.61</v>
      </c>
      <c r="EQ48" s="2108">
        <v>849.67</v>
      </c>
      <c r="ER48" s="2108">
        <v>856.05</v>
      </c>
      <c r="ES48" s="2108">
        <v>865.71</v>
      </c>
      <c r="ET48" s="2108">
        <v>876.2</v>
      </c>
      <c r="EU48" s="2108">
        <v>913.87</v>
      </c>
      <c r="EV48" s="2108">
        <v>923.19</v>
      </c>
      <c r="EW48" s="2108">
        <v>918.96</v>
      </c>
      <c r="EX48" s="2108">
        <v>918.96</v>
      </c>
      <c r="EY48" s="2108">
        <v>909.78</v>
      </c>
      <c r="EZ48" s="2108">
        <v>917.26</v>
      </c>
      <c r="FA48" s="2108">
        <v>963.58</v>
      </c>
      <c r="FB48" s="2108">
        <v>1012.37</v>
      </c>
      <c r="FC48" s="2108">
        <v>1005.73</v>
      </c>
      <c r="FD48" s="2108">
        <v>1030.01</v>
      </c>
      <c r="FE48" s="2108">
        <v>1054.9000000000001</v>
      </c>
      <c r="FF48" s="2108">
        <v>1112.53</v>
      </c>
      <c r="FG48" s="2108">
        <v>1134.54</v>
      </c>
      <c r="FH48" s="2108">
        <v>1161.1300000000001</v>
      </c>
      <c r="FI48" s="2108">
        <v>1178.1500000000001</v>
      </c>
      <c r="FJ48" s="2108">
        <v>1212.27</v>
      </c>
      <c r="FK48" s="2108">
        <v>1227.05</v>
      </c>
      <c r="FL48" s="2108">
        <v>1251.24</v>
      </c>
      <c r="FM48" s="2108">
        <v>1265.18</v>
      </c>
      <c r="FN48" s="2108">
        <v>1283.19</v>
      </c>
      <c r="FO48" s="2108">
        <v>1315.28</v>
      </c>
      <c r="FP48" s="2108">
        <v>1330.76</v>
      </c>
      <c r="FQ48" s="2108">
        <v>1373.12</v>
      </c>
      <c r="FR48" s="2108">
        <v>1389.63</v>
      </c>
      <c r="FS48" s="2108">
        <v>1462.57</v>
      </c>
      <c r="FT48" s="2108">
        <v>1505.13</v>
      </c>
      <c r="FU48" s="2108">
        <v>1516.38</v>
      </c>
      <c r="FV48" s="2108">
        <v>1546.37</v>
      </c>
      <c r="FW48" s="2113">
        <v>1462.3986552403837</v>
      </c>
      <c r="FX48" s="2113">
        <v>1481.8944960774859</v>
      </c>
      <c r="FY48" s="2113">
        <v>100</v>
      </c>
      <c r="FZ48" s="2113">
        <v>101.85165405273437</v>
      </c>
      <c r="GA48" s="2113">
        <v>110.31372559473311</v>
      </c>
      <c r="GB48" s="2113">
        <v>112.26693130361051</v>
      </c>
      <c r="GC48" s="2113">
        <v>117.10072432172515</v>
      </c>
      <c r="GD48" s="2113">
        <v>117.72751956865645</v>
      </c>
      <c r="GE48" s="2113">
        <v>118.94340176423285</v>
      </c>
      <c r="GF48" s="2114">
        <v>122.31894893458582</v>
      </c>
      <c r="GG48" s="1960">
        <v>125.72725618209566</v>
      </c>
      <c r="GH48" s="2114">
        <v>127.92787824518986</v>
      </c>
      <c r="GI48" s="2114">
        <v>128.54212545759503</v>
      </c>
      <c r="GJ48" s="2113">
        <v>128.54212545759503</v>
      </c>
      <c r="GK48" s="2113">
        <v>128.54212545759503</v>
      </c>
      <c r="GL48" s="2113">
        <v>128.54212545759503</v>
      </c>
      <c r="GM48" s="2114">
        <v>129.76189997449646</v>
      </c>
      <c r="GN48" s="2114">
        <v>129.76189997449646</v>
      </c>
      <c r="GO48" s="2115">
        <v>129.76189997449646</v>
      </c>
      <c r="GP48" s="2116">
        <v>132.82669164866303</v>
      </c>
      <c r="GQ48" s="2116">
        <v>132.82669164866303</v>
      </c>
      <c r="GR48" s="2116">
        <v>134.67786511160767</v>
      </c>
      <c r="GS48" s="2116">
        <v>140.31854492077053</v>
      </c>
      <c r="GT48" s="1960">
        <v>143.87633574773233</v>
      </c>
      <c r="GU48" s="1960">
        <v>143.87633574773233</v>
      </c>
      <c r="GV48" s="1960">
        <v>145.29379569955455</v>
      </c>
      <c r="GW48" s="1960">
        <v>145.29379569955455</v>
      </c>
      <c r="GX48" s="1960">
        <v>149.57736572567089</v>
      </c>
      <c r="GY48" s="1960">
        <v>152.91734598296418</v>
      </c>
      <c r="GZ48" s="1960">
        <v>153.32349184989471</v>
      </c>
      <c r="HA48" s="1960">
        <v>149.96889709470264</v>
      </c>
      <c r="HB48" s="1960">
        <v>149.96889709470264</v>
      </c>
      <c r="HC48" s="1960">
        <v>157.110281660015</v>
      </c>
      <c r="HD48" s="1960">
        <v>166.74439366998612</v>
      </c>
      <c r="HE48" s="1960">
        <v>166.74439366998612</v>
      </c>
      <c r="HF48" s="1960">
        <v>190.22994856943066</v>
      </c>
      <c r="HG48" s="1960">
        <v>193.80677115570001</v>
      </c>
      <c r="HH48" s="2117">
        <v>199.32158020729619</v>
      </c>
      <c r="HI48" s="1960">
        <v>193.80677115570001</v>
      </c>
      <c r="HJ48" s="1960">
        <v>216.08876090158518</v>
      </c>
      <c r="HK48" s="1960">
        <v>217.53441432558691</v>
      </c>
      <c r="HL48" s="1960">
        <v>244.77957177912188</v>
      </c>
      <c r="HM48" s="1960">
        <v>253.87472499164843</v>
      </c>
      <c r="HN48" s="1960">
        <v>258.96789077080189</v>
      </c>
      <c r="HO48" s="1960">
        <v>281.80480221833938</v>
      </c>
      <c r="HP48" s="1960">
        <v>304.19988583833987</v>
      </c>
      <c r="HQ48" s="1960">
        <v>319.40988013025685</v>
      </c>
      <c r="HR48" s="1960">
        <v>319.40988013025685</v>
      </c>
      <c r="HS48" s="1960">
        <v>355.44747643389667</v>
      </c>
      <c r="HT48" s="1962">
        <v>365.32101744594934</v>
      </c>
      <c r="HU48" s="1961">
        <v>391.78788338530489</v>
      </c>
      <c r="HV48" s="1960">
        <v>391.78788338530489</v>
      </c>
      <c r="HW48" s="1960">
        <v>393.3303553671368</v>
      </c>
      <c r="HX48" s="1960">
        <v>393.3303553671368</v>
      </c>
      <c r="HY48" s="1960">
        <v>415.66792663047482</v>
      </c>
      <c r="HZ48" s="1960">
        <v>443.48822093251442</v>
      </c>
      <c r="IA48" s="1960">
        <v>450.77372038033047</v>
      </c>
      <c r="IB48" s="1960">
        <v>484.73179018484797</v>
      </c>
      <c r="IC48" s="1960">
        <v>484.73179018484797</v>
      </c>
      <c r="ID48" s="1960">
        <v>508.74941558785218</v>
      </c>
      <c r="IE48" s="1960">
        <v>622.62528504173304</v>
      </c>
      <c r="IF48" s="1960">
        <v>696.53259998109854</v>
      </c>
      <c r="IG48" s="1961">
        <v>696.51831301209188</v>
      </c>
      <c r="IH48" s="1960">
        <v>735.87976234079463</v>
      </c>
      <c r="II48" s="1960">
        <v>846.49159133491105</v>
      </c>
      <c r="IJ48" s="1961">
        <v>822.86516232396104</v>
      </c>
      <c r="IK48" s="1960">
        <v>879.30544444096722</v>
      </c>
      <c r="IL48" s="1960">
        <v>879.30544444096722</v>
      </c>
      <c r="IM48" s="1960">
        <v>879.30544444096722</v>
      </c>
      <c r="IN48" s="1960">
        <v>855.75262003629837</v>
      </c>
      <c r="IO48" s="1960">
        <v>854.68292926125309</v>
      </c>
      <c r="IP48" s="1960">
        <v>900.0945619563463</v>
      </c>
      <c r="IQ48" s="1960">
        <v>905.23860237792678</v>
      </c>
      <c r="IR48" s="1960">
        <v>929.20153579184716</v>
      </c>
      <c r="IS48" s="2274">
        <v>929.20153579184716</v>
      </c>
      <c r="IT48" s="1960">
        <v>1018.35539579737</v>
      </c>
      <c r="IU48" s="1960">
        <v>1055.3221830699101</v>
      </c>
      <c r="IV48" s="1960">
        <v>1131.1176041196616</v>
      </c>
      <c r="IW48" s="1960">
        <v>1167.8389398207578</v>
      </c>
      <c r="IX48" s="1960">
        <v>1264.2645603924448</v>
      </c>
      <c r="IY48" s="1960">
        <v>1410.3177041635881</v>
      </c>
      <c r="IZ48" s="1960">
        <v>1575.3953453320948</v>
      </c>
      <c r="JA48" s="1960">
        <v>1604.9327761146408</v>
      </c>
      <c r="JB48" s="1960">
        <v>1700.1732480694934</v>
      </c>
      <c r="JC48" s="1960">
        <v>1791.0446934362101</v>
      </c>
      <c r="JD48" s="1960">
        <v>1860.4005114050794</v>
      </c>
      <c r="JE48" s="2274">
        <v>1929.3410258708595</v>
      </c>
      <c r="JF48" s="2117">
        <v>1965.3901408780107</v>
      </c>
      <c r="JG48" s="2103">
        <f t="shared" si="12"/>
        <v>1.0186846775783869</v>
      </c>
      <c r="JI48" s="2155"/>
      <c r="JJ48" s="2104"/>
    </row>
    <row r="49" spans="1:270" ht="36.75" customHeight="1">
      <c r="B49" s="2105">
        <v>24</v>
      </c>
      <c r="C49" s="2106"/>
      <c r="D49" s="2425"/>
      <c r="E49" s="2107" t="s">
        <v>8</v>
      </c>
      <c r="F49" s="2106" t="s">
        <v>918</v>
      </c>
      <c r="G49" s="2425" t="s">
        <v>1340</v>
      </c>
      <c r="H49" s="2425" t="s">
        <v>1040</v>
      </c>
      <c r="I49" s="2106" t="s">
        <v>930</v>
      </c>
      <c r="J49" s="2359" t="s">
        <v>194</v>
      </c>
      <c r="K49" s="2425" t="s">
        <v>1048</v>
      </c>
      <c r="L49" s="2409">
        <v>95.8</v>
      </c>
      <c r="M49" s="2409">
        <v>117.6</v>
      </c>
      <c r="N49" s="2409">
        <v>143.9</v>
      </c>
      <c r="O49" s="2409">
        <v>162.4</v>
      </c>
      <c r="P49" s="2409">
        <v>179.1</v>
      </c>
      <c r="Q49" s="2409">
        <v>186.1</v>
      </c>
      <c r="R49" s="2409">
        <v>195.6</v>
      </c>
      <c r="S49" s="2409">
        <v>197.2</v>
      </c>
      <c r="T49" s="2409">
        <v>202.3</v>
      </c>
      <c r="U49" s="2409">
        <v>210.7</v>
      </c>
      <c r="V49" s="2409">
        <v>212.9</v>
      </c>
      <c r="W49" s="2409">
        <v>214.1</v>
      </c>
      <c r="X49" s="2409">
        <v>213.1</v>
      </c>
      <c r="Y49" s="2409">
        <v>202.9</v>
      </c>
      <c r="Z49" s="2409">
        <v>202.9</v>
      </c>
      <c r="AA49" s="2409">
        <v>204.4</v>
      </c>
      <c r="AB49" s="2409">
        <v>206.1</v>
      </c>
      <c r="AC49" s="2409">
        <v>205.3</v>
      </c>
      <c r="AD49" s="2409">
        <v>205</v>
      </c>
      <c r="AE49" s="2409">
        <v>205.5</v>
      </c>
      <c r="AF49" s="2409">
        <v>200.1</v>
      </c>
      <c r="AG49" s="2409">
        <v>205.4</v>
      </c>
      <c r="AH49" s="2409">
        <v>204.9</v>
      </c>
      <c r="AI49" s="2409">
        <v>205.5</v>
      </c>
      <c r="AJ49" s="2409">
        <v>206.2</v>
      </c>
      <c r="AK49" s="2409">
        <v>205.3</v>
      </c>
      <c r="AL49" s="2409">
        <v>214.5</v>
      </c>
      <c r="AM49" s="2409">
        <v>218</v>
      </c>
      <c r="AN49" s="2409">
        <v>219.2</v>
      </c>
      <c r="AO49" s="2409">
        <v>221.5</v>
      </c>
      <c r="AP49" s="2409">
        <v>221.5</v>
      </c>
      <c r="AQ49" s="2409">
        <v>212.4</v>
      </c>
      <c r="AR49" s="2409">
        <v>209.7</v>
      </c>
      <c r="AS49" s="2409">
        <v>218.3</v>
      </c>
      <c r="AT49" s="2409">
        <v>219.7</v>
      </c>
      <c r="AU49" s="2409">
        <v>219.7</v>
      </c>
      <c r="AV49" s="2409">
        <v>219.4</v>
      </c>
      <c r="AW49" s="2410">
        <v>217.6</v>
      </c>
      <c r="AX49" s="2410">
        <v>219.5</v>
      </c>
      <c r="AY49" s="2410">
        <v>221.7</v>
      </c>
      <c r="AZ49" s="2410">
        <v>220.4</v>
      </c>
      <c r="BA49" s="2410">
        <v>221.9</v>
      </c>
      <c r="BB49" s="2410">
        <v>221.9</v>
      </c>
      <c r="BC49" s="2410">
        <v>222.6</v>
      </c>
      <c r="BD49" s="2411">
        <v>226.8</v>
      </c>
      <c r="BE49" s="2410">
        <v>226.7</v>
      </c>
      <c r="BF49" s="2411">
        <v>226.7</v>
      </c>
      <c r="BG49" s="2411">
        <v>235.7</v>
      </c>
      <c r="BH49" s="2411">
        <v>238.9</v>
      </c>
      <c r="BI49" s="2412">
        <v>240</v>
      </c>
      <c r="BJ49" s="2412">
        <v>241.9</v>
      </c>
      <c r="BK49" s="2412">
        <v>241.9</v>
      </c>
      <c r="BL49" s="2412">
        <v>251.3</v>
      </c>
      <c r="BM49" s="2412">
        <v>263.10000000000002</v>
      </c>
      <c r="BN49" s="2412">
        <v>263.10000000000002</v>
      </c>
      <c r="BO49" s="2412">
        <v>265.10000000000002</v>
      </c>
      <c r="BP49" s="2412">
        <v>269.89999999999998</v>
      </c>
      <c r="BQ49" s="2412">
        <v>271.7</v>
      </c>
      <c r="BR49" s="2412">
        <v>275.7</v>
      </c>
      <c r="BS49" s="2412">
        <v>276.60000000000002</v>
      </c>
      <c r="BT49" s="2412">
        <v>275.8</v>
      </c>
      <c r="BU49" s="2412">
        <v>275</v>
      </c>
      <c r="BV49" s="2412">
        <v>273.8</v>
      </c>
      <c r="BW49" s="2412">
        <v>274</v>
      </c>
      <c r="BX49" s="2412">
        <v>275</v>
      </c>
      <c r="BY49" s="2412">
        <v>281</v>
      </c>
      <c r="BZ49" s="2412">
        <v>282.5</v>
      </c>
      <c r="CA49" s="2412">
        <v>288.10000000000002</v>
      </c>
      <c r="CB49" s="2412">
        <v>288</v>
      </c>
      <c r="CC49" s="2412">
        <v>291.8</v>
      </c>
      <c r="CD49" s="2412">
        <v>296.3</v>
      </c>
      <c r="CE49" s="2412">
        <v>303.2</v>
      </c>
      <c r="CF49" s="2412">
        <v>306.60000000000002</v>
      </c>
      <c r="CG49" s="2412">
        <v>321</v>
      </c>
      <c r="CH49" s="2412">
        <v>323</v>
      </c>
      <c r="CI49" s="2412">
        <v>327.3</v>
      </c>
      <c r="CJ49" s="2412">
        <v>330.3</v>
      </c>
      <c r="CK49" s="2412">
        <v>344.8</v>
      </c>
      <c r="CL49" s="2412">
        <v>347</v>
      </c>
      <c r="CM49" s="2412">
        <v>351.7</v>
      </c>
      <c r="CN49" s="2412">
        <v>364.2</v>
      </c>
      <c r="CO49" s="2412">
        <v>364.2</v>
      </c>
      <c r="CP49" s="2412">
        <v>364.2</v>
      </c>
      <c r="CQ49" s="2412">
        <v>376.7</v>
      </c>
      <c r="CR49" s="2412">
        <v>376.2</v>
      </c>
      <c r="CS49" s="2412">
        <v>376</v>
      </c>
      <c r="CT49" s="2412">
        <v>378.3</v>
      </c>
      <c r="CU49" s="2412">
        <v>373.1</v>
      </c>
      <c r="CV49" s="2412">
        <v>349.8</v>
      </c>
      <c r="CW49" s="2412">
        <v>365.9</v>
      </c>
      <c r="CX49" s="2412">
        <v>369.4</v>
      </c>
      <c r="CY49" s="2412">
        <v>368.6</v>
      </c>
      <c r="CZ49" s="2412">
        <v>378.6</v>
      </c>
      <c r="DA49" s="2412">
        <v>379.7</v>
      </c>
      <c r="DB49" s="2412">
        <v>379.2</v>
      </c>
      <c r="DC49" s="2412">
        <v>400.1</v>
      </c>
      <c r="DD49" s="2412">
        <v>402.9</v>
      </c>
      <c r="DE49" s="2412">
        <v>393</v>
      </c>
      <c r="DF49" s="2412">
        <v>414.6</v>
      </c>
      <c r="DG49" s="2412">
        <v>416.3</v>
      </c>
      <c r="DH49" s="2412">
        <v>424.7</v>
      </c>
      <c r="DI49" s="2412">
        <v>416.3</v>
      </c>
      <c r="DJ49" s="2412">
        <v>427.7</v>
      </c>
      <c r="DK49" s="2412">
        <v>427.7</v>
      </c>
      <c r="DL49" s="2412">
        <v>439.7</v>
      </c>
      <c r="DM49" s="2412">
        <v>449.8</v>
      </c>
      <c r="DN49" s="2412">
        <v>450.9</v>
      </c>
      <c r="DO49" s="2412">
        <v>457.1</v>
      </c>
      <c r="DP49" s="2412">
        <v>458.9</v>
      </c>
      <c r="DQ49" s="2412">
        <v>508.2</v>
      </c>
      <c r="DR49" s="2412">
        <v>523.9</v>
      </c>
      <c r="DS49" s="2412">
        <v>527.5</v>
      </c>
      <c r="DT49" s="2412">
        <v>529.79999999999995</v>
      </c>
      <c r="DU49" s="2412">
        <v>541.79999999999995</v>
      </c>
      <c r="DV49" s="2412">
        <v>550.1</v>
      </c>
      <c r="DW49" s="2412">
        <v>581.4</v>
      </c>
      <c r="DX49" s="2412">
        <v>585.5</v>
      </c>
      <c r="DY49" s="2412">
        <v>599.79999999999995</v>
      </c>
      <c r="DZ49" s="2412">
        <v>564.9</v>
      </c>
      <c r="EA49" s="2412">
        <v>565.1</v>
      </c>
      <c r="EB49" s="2412">
        <v>567.29999999999995</v>
      </c>
      <c r="EC49" s="2412">
        <v>567.29999999999995</v>
      </c>
      <c r="ED49" s="2412">
        <v>578.4</v>
      </c>
      <c r="EE49" s="2412">
        <v>591.9</v>
      </c>
      <c r="EF49" s="2412">
        <v>610.79999999999995</v>
      </c>
      <c r="EG49" s="2412">
        <v>615.6</v>
      </c>
      <c r="EH49" s="2412">
        <v>628.4</v>
      </c>
      <c r="EI49" s="2412">
        <v>631.9</v>
      </c>
      <c r="EJ49" s="2412">
        <v>638.29999999999995</v>
      </c>
      <c r="EK49" s="2412">
        <v>641.6</v>
      </c>
      <c r="EL49" s="2412">
        <v>646.4</v>
      </c>
      <c r="EM49" s="2412">
        <v>649.6</v>
      </c>
      <c r="EN49" s="2412">
        <v>649.79999999999995</v>
      </c>
      <c r="EO49" s="2412">
        <v>669.4</v>
      </c>
      <c r="EP49" s="2412">
        <v>674</v>
      </c>
      <c r="EQ49" s="2412">
        <v>678.5</v>
      </c>
      <c r="ER49" s="2412">
        <v>692.7</v>
      </c>
      <c r="ES49" s="2412">
        <v>700</v>
      </c>
      <c r="ET49" s="2412">
        <v>709.3</v>
      </c>
      <c r="EU49" s="2412">
        <v>718.1</v>
      </c>
      <c r="EV49" s="2412">
        <v>728.5</v>
      </c>
      <c r="EW49" s="2412">
        <v>728.7</v>
      </c>
      <c r="EX49" s="2412">
        <v>734.7</v>
      </c>
      <c r="EY49" s="2412">
        <v>750.5</v>
      </c>
      <c r="EZ49" s="2412">
        <v>836.6</v>
      </c>
      <c r="FA49" s="2412">
        <v>994.7</v>
      </c>
      <c r="FB49" s="2412">
        <v>1088.0999999999999</v>
      </c>
      <c r="FC49" s="2412">
        <v>1193.0999999999999</v>
      </c>
      <c r="FD49" s="2412">
        <v>1213.5999999999999</v>
      </c>
      <c r="FE49" s="2412">
        <v>1374.9</v>
      </c>
      <c r="FF49" s="2412">
        <v>1370.5</v>
      </c>
      <c r="FG49" s="2412">
        <v>1410</v>
      </c>
      <c r="FH49" s="2412">
        <v>1420.3</v>
      </c>
      <c r="FI49" s="2412">
        <v>1444</v>
      </c>
      <c r="FJ49" s="2412">
        <v>1463.8</v>
      </c>
      <c r="FK49" s="2412">
        <v>1496.6</v>
      </c>
      <c r="FL49" s="2412">
        <v>1545.2</v>
      </c>
      <c r="FM49" s="2412">
        <v>1543.8</v>
      </c>
      <c r="FN49" s="2412">
        <v>1543.8</v>
      </c>
      <c r="FO49" s="2412">
        <v>1546.1</v>
      </c>
      <c r="FP49" s="2412">
        <v>1586</v>
      </c>
      <c r="FQ49" s="2412">
        <v>1608.9</v>
      </c>
      <c r="FR49" s="2412">
        <v>1617.8</v>
      </c>
      <c r="FS49" s="2412">
        <v>1668</v>
      </c>
      <c r="FT49" s="2412">
        <v>1675.4</v>
      </c>
      <c r="FU49" s="2412">
        <v>1679.2</v>
      </c>
      <c r="FV49" s="2412">
        <v>1673.5</v>
      </c>
      <c r="FW49" s="2413">
        <f>+'art ilum'!M14</f>
        <v>1673.5</v>
      </c>
      <c r="FX49" s="2413">
        <f>+'art ilum'!N14</f>
        <v>1721.8312380043837</v>
      </c>
      <c r="FY49" s="2413">
        <f>+'art ilum'!C21</f>
        <v>100</v>
      </c>
      <c r="FZ49" s="2413">
        <f>+'art ilum'!D21</f>
        <v>100.1292716598646</v>
      </c>
      <c r="GA49" s="2413">
        <f>+'art ilum'!E21</f>
        <v>100.45011788148179</v>
      </c>
      <c r="GB49" s="2413">
        <f>+'art ilum'!F21</f>
        <v>104.11020636741998</v>
      </c>
      <c r="GC49" s="2413">
        <f>+'art ilum'!G21</f>
        <v>113.39237928469683</v>
      </c>
      <c r="GD49" s="2413">
        <f>+'art ilum'!H21</f>
        <v>113.75274805200512</v>
      </c>
      <c r="GE49" s="2413">
        <f>+'art ilum'!I21</f>
        <v>118.26051395777128</v>
      </c>
      <c r="GF49" s="2413">
        <f>+'art ilum'!J21</f>
        <v>124.14909880361965</v>
      </c>
      <c r="GG49" s="2413">
        <f>+'art ilum'!K21</f>
        <v>127.54465952944892</v>
      </c>
      <c r="GH49" s="2413">
        <f>+'art ilum'!L21</f>
        <v>128.31245837913013</v>
      </c>
      <c r="GI49" s="2413">
        <f>+'art ilum'!M21</f>
        <v>128.31159135883462</v>
      </c>
      <c r="GJ49" s="2413">
        <f>+'art ilum'!N21</f>
        <v>128.3851472077597</v>
      </c>
      <c r="GK49" s="2413">
        <f>+'art ilum'!C28</f>
        <v>128.3851472077597</v>
      </c>
      <c r="GL49" s="2413">
        <f>+'art ilum'!D28</f>
        <v>128.74661382355936</v>
      </c>
      <c r="GM49" s="2413">
        <f>+'art ilum'!E28</f>
        <v>128.74661382355936</v>
      </c>
      <c r="GN49" s="2413">
        <f>+'art ilum'!F28</f>
        <v>128.74612254422783</v>
      </c>
      <c r="GO49" s="2413">
        <f>+'art ilum'!G28</f>
        <v>135.21156912740267</v>
      </c>
      <c r="GP49" s="2413">
        <f>+'art ilum'!H28</f>
        <v>134.85010251160296</v>
      </c>
      <c r="GQ49" s="2413">
        <f>+'art ilum'!I28</f>
        <v>133.80714644475492</v>
      </c>
      <c r="GR49" s="2413">
        <f>+'art ilum'!J28</f>
        <v>134.67636798783587</v>
      </c>
      <c r="GS49" s="2413">
        <f>+'art ilum'!K28</f>
        <v>134.67636798783587</v>
      </c>
      <c r="GT49" s="2413">
        <f>+'art ilum'!L28</f>
        <v>134.67636798783587</v>
      </c>
      <c r="GU49" s="2413">
        <f>+'art ilum'!M28</f>
        <v>134.67636798783587</v>
      </c>
      <c r="GV49" s="2413">
        <f>+'art ilum'!N28</f>
        <v>134.67636798783587</v>
      </c>
      <c r="GW49" s="2415">
        <f>+'art ilum'!C35</f>
        <v>134.84763235249721</v>
      </c>
      <c r="GX49" s="2415">
        <f>+'art ilum'!D35</f>
        <v>134.95357473191913</v>
      </c>
      <c r="GY49" s="2415">
        <f>+'art ilum'!E35</f>
        <v>135.04469615670689</v>
      </c>
      <c r="GZ49" s="2415">
        <f>+'art ilum'!F35</f>
        <v>141.6458896165276</v>
      </c>
      <c r="HA49" s="2415">
        <f>+'art ilum'!G35</f>
        <v>145.08506551688893</v>
      </c>
      <c r="HB49" s="2415">
        <f>+'art ilum'!H35</f>
        <v>142.51673709823223</v>
      </c>
      <c r="HC49" s="2415">
        <f>+'art ilum'!I35</f>
        <v>151.60083803804883</v>
      </c>
      <c r="HD49" s="2415">
        <f>+'art ilum'!J35</f>
        <v>159.40629618825466</v>
      </c>
      <c r="HE49" s="2415">
        <f>+'art ilum'!K35</f>
        <v>159.40629618825466</v>
      </c>
      <c r="HF49" s="2415">
        <f>+'art ilum'!L35</f>
        <v>159.40629618825466</v>
      </c>
      <c r="HG49" s="2415">
        <f>+'art ilum'!M35</f>
        <v>159.40629618825466</v>
      </c>
      <c r="HH49" s="2415">
        <f>+'art ilum'!N35</f>
        <v>159.40629618825466</v>
      </c>
      <c r="HI49" s="2415">
        <f>+'art ilum'!C55</f>
        <v>166.16199902875547</v>
      </c>
      <c r="HJ49" s="2415">
        <f>+'art ilum'!D55</f>
        <v>167.4477320949245</v>
      </c>
      <c r="HK49" s="2415">
        <f>+'art ilum'!E55</f>
        <v>180.97182203426522</v>
      </c>
      <c r="HL49" s="2415">
        <f>+'art ilum'!F55</f>
        <v>186.37898539414493</v>
      </c>
      <c r="HM49" s="2415">
        <f>+'art ilum'!G55</f>
        <v>189.90724831001418</v>
      </c>
      <c r="HN49" s="2415">
        <f>+'art ilum'!H55</f>
        <v>183.62812801659422</v>
      </c>
      <c r="HO49" s="2415">
        <f>+'art ilum'!I55</f>
        <v>190.42912529821848</v>
      </c>
      <c r="HP49" s="2415">
        <f>+'art ilum'!J55</f>
        <v>206.44080062226496</v>
      </c>
      <c r="HQ49" s="2415">
        <f>+'art ilum'!K55</f>
        <v>237.3712914819252</v>
      </c>
      <c r="HR49" s="2415">
        <f>+'art ilum'!L55</f>
        <v>239.41767532179563</v>
      </c>
      <c r="HS49" s="2415">
        <f>+'art ilum'!M55</f>
        <v>259.0736854705562</v>
      </c>
      <c r="HT49" s="2415">
        <f>+'art ilum'!N55</f>
        <v>256.37832407913425</v>
      </c>
      <c r="HU49" s="2420">
        <f>+'art ilum'!C62</f>
        <v>252.20547960444168</v>
      </c>
      <c r="HV49" s="2417">
        <f>+'art ilum'!D62</f>
        <v>253.16658719152039</v>
      </c>
      <c r="HW49" s="2417">
        <f>+'art ilum'!E62</f>
        <v>253.16658719152039</v>
      </c>
      <c r="HX49" s="2417">
        <f>+'art ilum'!F62</f>
        <v>264.13056806480057</v>
      </c>
      <c r="HY49" s="2417">
        <f>+'art ilum'!G62</f>
        <v>307.72009000309561</v>
      </c>
      <c r="HZ49" s="2417">
        <f>+'art ilum'!H62</f>
        <v>314.32010971408988</v>
      </c>
      <c r="IA49" s="2417">
        <f>+'art ilum'!I62</f>
        <v>321.06168748905418</v>
      </c>
      <c r="IB49" s="2417">
        <f>+'art ilum'!J62</f>
        <v>333.84198929053696</v>
      </c>
      <c r="IC49" s="2417">
        <f>+'art ilum'!K62</f>
        <v>337.24717758130043</v>
      </c>
      <c r="ID49" s="2417">
        <f>+'art ilum'!L62</f>
        <v>347.89619328759346</v>
      </c>
      <c r="IE49" s="2417">
        <f>+'art ilum'!M62</f>
        <v>355.16722372730419</v>
      </c>
      <c r="IF49" s="2419">
        <f>+'art ilum'!N62</f>
        <v>362.55033535000524</v>
      </c>
      <c r="IG49" s="2420">
        <f>+'art ilum'!C69</f>
        <v>379.47621306662012</v>
      </c>
      <c r="IH49" s="2417">
        <f>+'art ilum'!D69</f>
        <v>387.81594191737292</v>
      </c>
      <c r="II49" s="2417">
        <f>+'art ilum'!E69</f>
        <v>386.7300572800043</v>
      </c>
      <c r="IJ49" s="2417">
        <f>+'art ilum'!F69</f>
        <v>392.82865838399346</v>
      </c>
      <c r="IK49" s="2417">
        <f>+'art ilum'!G69</f>
        <v>405.77513949279995</v>
      </c>
      <c r="IL49" s="2417">
        <f>+'art ilum'!H69</f>
        <v>429.15640683656363</v>
      </c>
      <c r="IM49" s="2417">
        <f>+'art ilum'!I69</f>
        <v>438.51201650560074</v>
      </c>
      <c r="IN49" s="2417">
        <f>+'art ilum'!J69</f>
        <v>440.66072538647819</v>
      </c>
      <c r="IO49" s="2417">
        <f>+'art ilum'!K69</f>
        <v>451.94163995637206</v>
      </c>
      <c r="IP49" s="2417">
        <f>+'art ilum'!L69</f>
        <v>458.04285209578308</v>
      </c>
      <c r="IQ49" s="2417">
        <f>+'art ilum'!M69</f>
        <v>460.0582406450045</v>
      </c>
      <c r="IR49" s="2419">
        <f>+'art ilum'!N69</f>
        <v>471.05363259642013</v>
      </c>
      <c r="IS49" s="2420">
        <f>+'art ilum'!C76</f>
        <v>477.28791810857524</v>
      </c>
      <c r="IT49" s="2417">
        <f>+'art ilum'!D76</f>
        <v>488.83828572680278</v>
      </c>
      <c r="IU49" s="2417">
        <f>+'art ilum'!E76</f>
        <v>501.25477818426356</v>
      </c>
      <c r="IV49" s="2417">
        <f>+'art ilum'!F76</f>
        <v>531.22981391968256</v>
      </c>
      <c r="IW49" s="2417">
        <f>+'art ilum'!G76</f>
        <v>551.42333066481058</v>
      </c>
      <c r="IX49" s="2417">
        <f>+'art ilum'!H76</f>
        <v>578.38793153431982</v>
      </c>
      <c r="IY49" s="2417">
        <f>+'art ilum'!I76</f>
        <v>638.22377030346797</v>
      </c>
      <c r="IZ49" s="2417">
        <f>+'art ilum'!J76</f>
        <v>654.30700931511535</v>
      </c>
      <c r="JA49" s="2417">
        <f>+'art ilum'!K76</f>
        <v>697.29497982711837</v>
      </c>
      <c r="JB49" s="2417">
        <f>+'art ilum'!L76</f>
        <v>729.57973739311399</v>
      </c>
      <c r="JC49" s="2417">
        <f>+'art ilum'!M76</f>
        <v>761.9730777333682</v>
      </c>
      <c r="JD49" s="2415">
        <f>+'art ilum'!N76</f>
        <v>811.12034124717047</v>
      </c>
      <c r="JE49" s="2422">
        <f>+'art ilum'!C83</f>
        <v>842.34847438518659</v>
      </c>
      <c r="JF49" s="2418">
        <f>+'art ilum'!D83</f>
        <v>878.82216332606515</v>
      </c>
      <c r="JG49" s="2103">
        <f t="shared" si="12"/>
        <v>1.0432999999999999</v>
      </c>
      <c r="JI49" s="2155"/>
      <c r="JJ49" s="2104"/>
    </row>
    <row r="50" spans="1:270" ht="31.5">
      <c r="B50" s="2105">
        <v>25</v>
      </c>
      <c r="C50" s="2106"/>
      <c r="D50" s="2425" t="s">
        <v>1176</v>
      </c>
      <c r="E50" s="2107" t="s">
        <v>9</v>
      </c>
      <c r="F50" s="2106" t="s">
        <v>918</v>
      </c>
      <c r="G50" s="2425" t="s">
        <v>1112</v>
      </c>
      <c r="H50" s="2138" t="s">
        <v>64</v>
      </c>
      <c r="I50" s="2106" t="s">
        <v>920</v>
      </c>
      <c r="J50" s="2359" t="s">
        <v>10</v>
      </c>
      <c r="K50" s="2425"/>
      <c r="L50" s="2110">
        <v>94</v>
      </c>
      <c r="M50" s="2110">
        <v>97.2</v>
      </c>
      <c r="N50" s="2110">
        <v>101.4</v>
      </c>
      <c r="O50" s="2110">
        <v>111.4</v>
      </c>
      <c r="P50" s="2110">
        <v>125.2</v>
      </c>
      <c r="Q50" s="2110">
        <v>130</v>
      </c>
      <c r="R50" s="2110">
        <v>130.6</v>
      </c>
      <c r="S50" s="2110">
        <v>129.69999999999999</v>
      </c>
      <c r="T50" s="2110">
        <v>132.6</v>
      </c>
      <c r="U50" s="2110">
        <v>132.6</v>
      </c>
      <c r="V50" s="2110">
        <v>132.9</v>
      </c>
      <c r="W50" s="2110">
        <v>132.6</v>
      </c>
      <c r="X50" s="2110">
        <v>132.80000000000001</v>
      </c>
      <c r="Y50" s="2110">
        <v>134.30000000000001</v>
      </c>
      <c r="Z50" s="2110">
        <v>127.8</v>
      </c>
      <c r="AA50" s="2110">
        <v>129.69999999999999</v>
      </c>
      <c r="AB50" s="2110">
        <v>126.2</v>
      </c>
      <c r="AC50" s="2110">
        <v>126.3</v>
      </c>
      <c r="AD50" s="2110">
        <v>124.6</v>
      </c>
      <c r="AE50" s="2110">
        <v>124.6</v>
      </c>
      <c r="AF50" s="2110">
        <v>121.9</v>
      </c>
      <c r="AG50" s="2110">
        <v>121.9</v>
      </c>
      <c r="AH50" s="2110">
        <v>121.9</v>
      </c>
      <c r="AI50" s="2110">
        <v>121.4</v>
      </c>
      <c r="AJ50" s="2110">
        <v>121.8</v>
      </c>
      <c r="AK50" s="2110">
        <v>123.1</v>
      </c>
      <c r="AL50" s="2110">
        <v>126.5</v>
      </c>
      <c r="AM50" s="2110">
        <v>130.1</v>
      </c>
      <c r="AN50" s="2110">
        <v>134.5</v>
      </c>
      <c r="AO50" s="2110">
        <v>138</v>
      </c>
      <c r="AP50" s="2110">
        <v>140</v>
      </c>
      <c r="AQ50" s="2110">
        <v>140.9</v>
      </c>
      <c r="AR50" s="2110">
        <v>140.9</v>
      </c>
      <c r="AS50" s="2110">
        <v>142.1</v>
      </c>
      <c r="AT50" s="2110">
        <v>144.30000000000001</v>
      </c>
      <c r="AU50" s="2110">
        <v>144.80000000000001</v>
      </c>
      <c r="AV50" s="2110">
        <v>144.9</v>
      </c>
      <c r="AW50" s="2111">
        <v>148.69999999999999</v>
      </c>
      <c r="AX50" s="2111">
        <v>151.4</v>
      </c>
      <c r="AY50" s="2111">
        <v>154.6</v>
      </c>
      <c r="AZ50" s="2111">
        <v>158.80000000000001</v>
      </c>
      <c r="BA50" s="2111">
        <v>161.5</v>
      </c>
      <c r="BB50" s="2111">
        <v>162.6</v>
      </c>
      <c r="BC50" s="2111">
        <v>163.1</v>
      </c>
      <c r="BD50" s="2112">
        <v>163.6</v>
      </c>
      <c r="BE50" s="2111">
        <v>163.9</v>
      </c>
      <c r="BF50" s="2112">
        <v>164.4</v>
      </c>
      <c r="BG50" s="2112">
        <v>166</v>
      </c>
      <c r="BH50" s="2112">
        <v>166.1</v>
      </c>
      <c r="BI50" s="2108">
        <v>166.7</v>
      </c>
      <c r="BJ50" s="2108">
        <v>168.1</v>
      </c>
      <c r="BK50" s="2108">
        <v>173</v>
      </c>
      <c r="BL50" s="2108">
        <v>175.2</v>
      </c>
      <c r="BM50" s="2108">
        <v>178.4</v>
      </c>
      <c r="BN50" s="2108">
        <v>178.4</v>
      </c>
      <c r="BO50" s="2108">
        <v>177.3</v>
      </c>
      <c r="BP50" s="2108">
        <v>178.3</v>
      </c>
      <c r="BQ50" s="2108">
        <v>181.5</v>
      </c>
      <c r="BR50" s="2108">
        <v>181.6</v>
      </c>
      <c r="BS50" s="2108">
        <v>181.8</v>
      </c>
      <c r="BT50" s="2108">
        <v>182.1</v>
      </c>
      <c r="BU50" s="2108">
        <v>184</v>
      </c>
      <c r="BV50" s="2108">
        <v>186.2</v>
      </c>
      <c r="BW50" s="2108">
        <v>187.1</v>
      </c>
      <c r="BX50" s="2108">
        <v>187.1</v>
      </c>
      <c r="BY50" s="2108">
        <v>193.2</v>
      </c>
      <c r="BZ50" s="2108">
        <v>192.7</v>
      </c>
      <c r="CA50" s="2108">
        <v>199.5</v>
      </c>
      <c r="CB50" s="2108">
        <v>204.3</v>
      </c>
      <c r="CC50" s="2108">
        <v>204.7</v>
      </c>
      <c r="CD50" s="2108">
        <v>204.8</v>
      </c>
      <c r="CE50" s="2108">
        <v>209.6</v>
      </c>
      <c r="CF50" s="2108">
        <v>210.2</v>
      </c>
      <c r="CG50" s="2108">
        <v>210.4</v>
      </c>
      <c r="CH50" s="2108">
        <v>216</v>
      </c>
      <c r="CI50" s="2108">
        <v>220.3</v>
      </c>
      <c r="CJ50" s="2108">
        <v>224.2</v>
      </c>
      <c r="CK50" s="2108">
        <v>226</v>
      </c>
      <c r="CL50" s="2108">
        <v>234.1</v>
      </c>
      <c r="CM50" s="2108">
        <v>239</v>
      </c>
      <c r="CN50" s="2108">
        <v>241.8</v>
      </c>
      <c r="CO50" s="2108">
        <v>241.8</v>
      </c>
      <c r="CP50" s="2108">
        <v>245.4</v>
      </c>
      <c r="CQ50" s="2108">
        <v>246.3</v>
      </c>
      <c r="CR50" s="2108">
        <v>246.3</v>
      </c>
      <c r="CS50" s="2108">
        <v>246.3</v>
      </c>
      <c r="CT50" s="2108">
        <v>248.9</v>
      </c>
      <c r="CU50" s="2108">
        <v>249.9</v>
      </c>
      <c r="CV50" s="2108">
        <v>249.9</v>
      </c>
      <c r="CW50" s="2108">
        <v>253.4</v>
      </c>
      <c r="CX50" s="2108">
        <v>256.10000000000002</v>
      </c>
      <c r="CY50" s="2108">
        <v>263.39999999999998</v>
      </c>
      <c r="CZ50" s="2108">
        <v>266.39999999999998</v>
      </c>
      <c r="DA50" s="2108">
        <v>271.8</v>
      </c>
      <c r="DB50" s="2108">
        <v>279.7</v>
      </c>
      <c r="DC50" s="2108">
        <v>280.5</v>
      </c>
      <c r="DD50" s="2108">
        <v>282</v>
      </c>
      <c r="DE50" s="2108">
        <v>285.60000000000002</v>
      </c>
      <c r="DF50" s="2108">
        <v>288</v>
      </c>
      <c r="DG50" s="2108">
        <v>293.60000000000002</v>
      </c>
      <c r="DH50" s="2108">
        <v>298.10000000000002</v>
      </c>
      <c r="DI50" s="2108">
        <v>305.3</v>
      </c>
      <c r="DJ50" s="2108">
        <v>309.39999999999998</v>
      </c>
      <c r="DK50" s="2108">
        <v>314.89999999999998</v>
      </c>
      <c r="DL50" s="2108">
        <v>327.2</v>
      </c>
      <c r="DM50" s="2108">
        <v>329.8</v>
      </c>
      <c r="DN50" s="2108">
        <v>340.4</v>
      </c>
      <c r="DO50" s="2108">
        <v>337</v>
      </c>
      <c r="DP50" s="2108">
        <v>341.4</v>
      </c>
      <c r="DQ50" s="2108">
        <v>342.6</v>
      </c>
      <c r="DR50" s="2108">
        <v>339</v>
      </c>
      <c r="DS50" s="2108">
        <v>339</v>
      </c>
      <c r="DT50" s="2108">
        <v>340.9</v>
      </c>
      <c r="DU50" s="2108">
        <v>354.6</v>
      </c>
      <c r="DV50" s="2108">
        <v>358</v>
      </c>
      <c r="DW50" s="2108">
        <v>360.2</v>
      </c>
      <c r="DX50" s="2108">
        <v>362.1</v>
      </c>
      <c r="DY50" s="2108">
        <v>376</v>
      </c>
      <c r="DZ50" s="2108">
        <v>384.2</v>
      </c>
      <c r="EA50" s="2108">
        <v>386.7</v>
      </c>
      <c r="EB50" s="2108">
        <v>398.8</v>
      </c>
      <c r="EC50" s="2108">
        <v>402</v>
      </c>
      <c r="ED50" s="2108">
        <v>404.5</v>
      </c>
      <c r="EE50" s="2108">
        <v>408.2</v>
      </c>
      <c r="EF50" s="2108">
        <v>410.6</v>
      </c>
      <c r="EG50" s="2108">
        <v>416.3</v>
      </c>
      <c r="EH50" s="2108">
        <v>430.2</v>
      </c>
      <c r="EI50" s="2108">
        <v>434.4</v>
      </c>
      <c r="EJ50" s="2108">
        <v>438.1</v>
      </c>
      <c r="EK50" s="2108">
        <v>440</v>
      </c>
      <c r="EL50" s="2108">
        <v>458.8</v>
      </c>
      <c r="EM50" s="2108">
        <v>466</v>
      </c>
      <c r="EN50" s="2108">
        <v>467.1</v>
      </c>
      <c r="EO50" s="2108">
        <v>472.8</v>
      </c>
      <c r="EP50" s="2108">
        <v>474.1</v>
      </c>
      <c r="EQ50" s="2108">
        <v>474.1</v>
      </c>
      <c r="ER50" s="2108">
        <v>474.1</v>
      </c>
      <c r="ES50" s="2108">
        <v>478.2</v>
      </c>
      <c r="ET50" s="2108">
        <v>478.2</v>
      </c>
      <c r="EU50" s="2108">
        <v>487</v>
      </c>
      <c r="EV50" s="2108">
        <v>497</v>
      </c>
      <c r="EW50" s="2108">
        <v>505.3</v>
      </c>
      <c r="EX50" s="2108">
        <v>507.2</v>
      </c>
      <c r="EY50" s="2108">
        <v>511.1</v>
      </c>
      <c r="EZ50" s="2108">
        <v>525.20000000000005</v>
      </c>
      <c r="FA50" s="2108">
        <v>561.9</v>
      </c>
      <c r="FB50" s="2108">
        <v>584</v>
      </c>
      <c r="FC50" s="2108">
        <v>596.6</v>
      </c>
      <c r="FD50" s="2108">
        <v>615.5</v>
      </c>
      <c r="FE50" s="2108">
        <v>617.9</v>
      </c>
      <c r="FF50" s="2108">
        <v>632.20000000000005</v>
      </c>
      <c r="FG50" s="2108">
        <v>636.6</v>
      </c>
      <c r="FH50" s="2108">
        <v>650.9</v>
      </c>
      <c r="FI50" s="2108">
        <v>665.5</v>
      </c>
      <c r="FJ50" s="2108">
        <v>662.9</v>
      </c>
      <c r="FK50" s="2108">
        <v>669.7</v>
      </c>
      <c r="FL50" s="2108">
        <v>674.3</v>
      </c>
      <c r="FM50" s="2108">
        <v>669.7</v>
      </c>
      <c r="FN50" s="2108">
        <v>676.1</v>
      </c>
      <c r="FO50" s="2108">
        <v>693.5</v>
      </c>
      <c r="FP50" s="2108">
        <v>693.5</v>
      </c>
      <c r="FQ50" s="2108">
        <v>717.3</v>
      </c>
      <c r="FR50" s="2108">
        <v>725.8</v>
      </c>
      <c r="FS50" s="2108">
        <v>724</v>
      </c>
      <c r="FT50" s="2108">
        <v>740.1</v>
      </c>
      <c r="FU50" s="2108">
        <v>753</v>
      </c>
      <c r="FV50" s="2108">
        <v>753.3</v>
      </c>
      <c r="FW50" s="2113">
        <v>918.27978276125623</v>
      </c>
      <c r="FX50" s="2113">
        <v>938.88200046350187</v>
      </c>
      <c r="FY50" s="2113">
        <v>100</v>
      </c>
      <c r="FZ50" s="2113">
        <v>102.72119045257568</v>
      </c>
      <c r="GA50" s="2113">
        <v>105.82792613355423</v>
      </c>
      <c r="GB50" s="2113">
        <v>105.82792613355423</v>
      </c>
      <c r="GC50" s="2113">
        <v>108.23285166575688</v>
      </c>
      <c r="GD50" s="2113">
        <v>108.23285166575688</v>
      </c>
      <c r="GE50" s="2113">
        <v>103.2717647018649</v>
      </c>
      <c r="GF50" s="2114">
        <v>104.67564430713161</v>
      </c>
      <c r="GG50" s="1960">
        <v>112.82116011105802</v>
      </c>
      <c r="GH50" s="2114">
        <v>114.17507729804065</v>
      </c>
      <c r="GI50" s="2114">
        <v>114.17507729804065</v>
      </c>
      <c r="GJ50" s="2113">
        <v>115.50747247515908</v>
      </c>
      <c r="GK50" s="2113">
        <v>116.04314981300836</v>
      </c>
      <c r="GL50" s="2113">
        <v>115.72549295633365</v>
      </c>
      <c r="GM50" s="2114">
        <v>115.72549295633365</v>
      </c>
      <c r="GN50" s="2114">
        <v>115.25594748725679</v>
      </c>
      <c r="GO50" s="2115">
        <v>119.87372401929102</v>
      </c>
      <c r="GP50" s="2116">
        <v>119.82100083747477</v>
      </c>
      <c r="GQ50" s="2116">
        <v>122.45191532570138</v>
      </c>
      <c r="GR50" s="2116">
        <v>123.43836421948268</v>
      </c>
      <c r="GS50" s="2116">
        <v>125.7536075575823</v>
      </c>
      <c r="GT50" s="1960">
        <v>132.47252798472417</v>
      </c>
      <c r="GU50" s="1960">
        <v>133.85760885684076</v>
      </c>
      <c r="GV50" s="1960">
        <v>133.85760885684076</v>
      </c>
      <c r="GW50" s="1960">
        <v>133.85760885684076</v>
      </c>
      <c r="GX50" s="1960">
        <v>138.19640014123627</v>
      </c>
      <c r="GY50" s="1960">
        <v>140.21408938208475</v>
      </c>
      <c r="GZ50" s="1960">
        <v>140.381438179751</v>
      </c>
      <c r="HA50" s="1960">
        <v>145.95359831517197</v>
      </c>
      <c r="HB50" s="1960">
        <v>150.90339467279034</v>
      </c>
      <c r="HC50" s="1960">
        <v>161.59747484097815</v>
      </c>
      <c r="HD50" s="1960">
        <v>156.28173341002656</v>
      </c>
      <c r="HE50" s="1960">
        <v>181.53620008569487</v>
      </c>
      <c r="HF50" s="1960">
        <v>188.09539524370638</v>
      </c>
      <c r="HG50" s="1960">
        <v>192.49772193054687</v>
      </c>
      <c r="HH50" s="2117">
        <v>193.94116459966671</v>
      </c>
      <c r="HI50" s="1960">
        <v>186.99634449473425</v>
      </c>
      <c r="HJ50" s="1960">
        <v>188.40086304256675</v>
      </c>
      <c r="HK50" s="1960">
        <v>191.54357955374661</v>
      </c>
      <c r="HL50" s="1960">
        <v>205.53527264924605</v>
      </c>
      <c r="HM50" s="1960">
        <v>205.54084484075071</v>
      </c>
      <c r="HN50" s="1960">
        <v>258.39763140057789</v>
      </c>
      <c r="HO50" s="1960">
        <v>268.82792308887235</v>
      </c>
      <c r="HP50" s="1960">
        <v>298.3409085085305</v>
      </c>
      <c r="HQ50" s="1960">
        <v>314.87662993588765</v>
      </c>
      <c r="HR50" s="1960">
        <v>315.7876402004357</v>
      </c>
      <c r="HS50" s="1960">
        <v>331.68807885595839</v>
      </c>
      <c r="HT50" s="1962">
        <v>350.41277536508204</v>
      </c>
      <c r="HU50" s="1961">
        <v>360.59946829765261</v>
      </c>
      <c r="HV50" s="1960">
        <v>361.39604340428377</v>
      </c>
      <c r="HW50" s="1960">
        <v>361.39604340428377</v>
      </c>
      <c r="HX50" s="1960">
        <v>361.39604340428377</v>
      </c>
      <c r="HY50" s="1960">
        <v>375.85792611685861</v>
      </c>
      <c r="HZ50" s="1960">
        <v>383.10533500263801</v>
      </c>
      <c r="IA50" s="1960">
        <v>416.90714476393492</v>
      </c>
      <c r="IB50" s="1960">
        <v>436.46357641573218</v>
      </c>
      <c r="IC50" s="1960">
        <v>438.57331345248099</v>
      </c>
      <c r="ID50" s="1960">
        <v>454.2532577499548</v>
      </c>
      <c r="IE50" s="1960">
        <v>478.84750098806495</v>
      </c>
      <c r="IF50" s="1960">
        <v>481.26852611524873</v>
      </c>
      <c r="IG50" s="1961">
        <v>500.67417568228615</v>
      </c>
      <c r="IH50" s="1960">
        <v>535.93525774247667</v>
      </c>
      <c r="II50" s="1960">
        <v>543.24109484028418</v>
      </c>
      <c r="IJ50" s="1961">
        <v>541.3173549894658</v>
      </c>
      <c r="IK50" s="1960">
        <v>554.12635048956429</v>
      </c>
      <c r="IL50" s="1960">
        <v>556.21292711027093</v>
      </c>
      <c r="IM50" s="1960">
        <v>572.20447517760249</v>
      </c>
      <c r="IN50" s="1960">
        <v>599.96763726871711</v>
      </c>
      <c r="IO50" s="1960">
        <v>619.46568552849453</v>
      </c>
      <c r="IP50" s="1960">
        <v>619.60644556700447</v>
      </c>
      <c r="IQ50" s="1960">
        <v>627.61392946628973</v>
      </c>
      <c r="IR50" s="1960">
        <v>649.66845599829924</v>
      </c>
      <c r="IS50" s="2274">
        <v>667.81637112188753</v>
      </c>
      <c r="IT50" s="1960">
        <v>698.19210008139203</v>
      </c>
      <c r="IU50" s="1960">
        <v>704.72492079549352</v>
      </c>
      <c r="IV50" s="1960">
        <v>708.25429610199808</v>
      </c>
      <c r="IW50" s="1960">
        <v>733.63183725620206</v>
      </c>
      <c r="IX50" s="1960">
        <v>744.07846238441641</v>
      </c>
      <c r="IY50" s="1960">
        <v>964.39891737423284</v>
      </c>
      <c r="IZ50" s="1960">
        <v>991.59640110544888</v>
      </c>
      <c r="JA50" s="1960">
        <v>1024.3287045865202</v>
      </c>
      <c r="JB50" s="1960">
        <v>1039.6133573782229</v>
      </c>
      <c r="JC50" s="1960">
        <v>1107.0523067635627</v>
      </c>
      <c r="JD50" s="1960">
        <v>1108.6955780314306</v>
      </c>
      <c r="JE50" s="2274">
        <v>1165.4318853099448</v>
      </c>
      <c r="JF50" s="2117">
        <v>1273.2440702682679</v>
      </c>
      <c r="JG50" s="2103">
        <f t="shared" si="12"/>
        <v>1.0925083536131763</v>
      </c>
      <c r="JI50" s="2155"/>
      <c r="JJ50" s="2104"/>
    </row>
    <row r="51" spans="1:270" ht="78.75">
      <c r="B51" s="2105">
        <v>26</v>
      </c>
      <c r="C51" s="2106"/>
      <c r="D51" s="2425" t="s">
        <v>1177</v>
      </c>
      <c r="E51" s="2107" t="s">
        <v>12</v>
      </c>
      <c r="F51" s="2106" t="s">
        <v>918</v>
      </c>
      <c r="G51" s="2425" t="s">
        <v>1112</v>
      </c>
      <c r="H51" s="2138" t="s">
        <v>64</v>
      </c>
      <c r="I51" s="2106" t="s">
        <v>920</v>
      </c>
      <c r="J51" s="2359" t="s">
        <v>921</v>
      </c>
      <c r="K51" s="2425"/>
      <c r="L51" s="2110">
        <v>101</v>
      </c>
      <c r="M51" s="2110">
        <v>102.7</v>
      </c>
      <c r="N51" s="2110">
        <v>107.4</v>
      </c>
      <c r="O51" s="2110">
        <v>108.3</v>
      </c>
      <c r="P51" s="2110">
        <v>111.7</v>
      </c>
      <c r="Q51" s="2110">
        <v>118.4</v>
      </c>
      <c r="R51" s="2110">
        <v>127.1</v>
      </c>
      <c r="S51" s="2110">
        <v>138.30000000000001</v>
      </c>
      <c r="T51" s="2110">
        <v>143.69999999999999</v>
      </c>
      <c r="U51" s="2110">
        <v>144.30000000000001</v>
      </c>
      <c r="V51" s="2110">
        <v>145.19999999999999</v>
      </c>
      <c r="W51" s="2110">
        <v>148</v>
      </c>
      <c r="X51" s="2110">
        <v>147.80000000000001</v>
      </c>
      <c r="Y51" s="2110">
        <v>149.1</v>
      </c>
      <c r="Z51" s="2110">
        <v>150.1</v>
      </c>
      <c r="AA51" s="2110">
        <v>149.6</v>
      </c>
      <c r="AB51" s="2110">
        <v>151.5</v>
      </c>
      <c r="AC51" s="2110">
        <v>150.5</v>
      </c>
      <c r="AD51" s="2110">
        <v>151</v>
      </c>
      <c r="AE51" s="2110">
        <v>150.5</v>
      </c>
      <c r="AF51" s="2110">
        <v>150.5</v>
      </c>
      <c r="AG51" s="2110">
        <v>151.6</v>
      </c>
      <c r="AH51" s="2110">
        <v>150.9</v>
      </c>
      <c r="AI51" s="2110">
        <v>150.30000000000001</v>
      </c>
      <c r="AJ51" s="2110">
        <v>154</v>
      </c>
      <c r="AK51" s="2110">
        <v>155.5</v>
      </c>
      <c r="AL51" s="2110">
        <v>157.19999999999999</v>
      </c>
      <c r="AM51" s="2110">
        <v>163</v>
      </c>
      <c r="AN51" s="2110">
        <v>162.69999999999999</v>
      </c>
      <c r="AO51" s="2110">
        <v>167</v>
      </c>
      <c r="AP51" s="2110">
        <v>171.5</v>
      </c>
      <c r="AQ51" s="2110">
        <v>173</v>
      </c>
      <c r="AR51" s="2110">
        <v>175.4</v>
      </c>
      <c r="AS51" s="2110">
        <v>174.6</v>
      </c>
      <c r="AT51" s="2110">
        <v>174.3</v>
      </c>
      <c r="AU51" s="2110">
        <v>173.5</v>
      </c>
      <c r="AV51" s="2110">
        <v>174.8</v>
      </c>
      <c r="AW51" s="2111">
        <v>179.3</v>
      </c>
      <c r="AX51" s="2111">
        <v>180</v>
      </c>
      <c r="AY51" s="2111">
        <v>181.1</v>
      </c>
      <c r="AZ51" s="2111">
        <v>182</v>
      </c>
      <c r="BA51" s="2111">
        <v>188.6</v>
      </c>
      <c r="BB51" s="2111">
        <v>188</v>
      </c>
      <c r="BC51" s="2111">
        <v>189</v>
      </c>
      <c r="BD51" s="2112">
        <v>193</v>
      </c>
      <c r="BE51" s="2111">
        <v>195.3</v>
      </c>
      <c r="BF51" s="2112">
        <v>196.9</v>
      </c>
      <c r="BG51" s="2112">
        <v>201</v>
      </c>
      <c r="BH51" s="2112">
        <v>202.8</v>
      </c>
      <c r="BI51" s="2108">
        <v>204.7</v>
      </c>
      <c r="BJ51" s="2108">
        <v>204.9</v>
      </c>
      <c r="BK51" s="2108">
        <v>214.1</v>
      </c>
      <c r="BL51" s="2108">
        <v>214.1</v>
      </c>
      <c r="BM51" s="2108">
        <v>218.4</v>
      </c>
      <c r="BN51" s="2108">
        <v>221.3</v>
      </c>
      <c r="BO51" s="2108">
        <v>222</v>
      </c>
      <c r="BP51" s="2108">
        <v>220.9</v>
      </c>
      <c r="BQ51" s="2108">
        <v>221.2</v>
      </c>
      <c r="BR51" s="2108">
        <v>220.9</v>
      </c>
      <c r="BS51" s="2108">
        <v>220.9</v>
      </c>
      <c r="BT51" s="2108">
        <v>220.9</v>
      </c>
      <c r="BU51" s="2108">
        <v>221.8</v>
      </c>
      <c r="BV51" s="2108">
        <v>223.7</v>
      </c>
      <c r="BW51" s="2108">
        <v>225.2</v>
      </c>
      <c r="BX51" s="2108">
        <v>225.2</v>
      </c>
      <c r="BY51" s="2108">
        <v>228.5</v>
      </c>
      <c r="BZ51" s="2108">
        <v>233.9</v>
      </c>
      <c r="CA51" s="2108">
        <v>233.7</v>
      </c>
      <c r="CB51" s="2108">
        <v>244.7</v>
      </c>
      <c r="CC51" s="2108">
        <v>244.9</v>
      </c>
      <c r="CD51" s="2108">
        <v>247.4</v>
      </c>
      <c r="CE51" s="2108">
        <v>248.8</v>
      </c>
      <c r="CF51" s="2108">
        <v>250.9</v>
      </c>
      <c r="CG51" s="2108">
        <v>256.3</v>
      </c>
      <c r="CH51" s="2108">
        <v>260</v>
      </c>
      <c r="CI51" s="2108">
        <v>260.89999999999998</v>
      </c>
      <c r="CJ51" s="2108">
        <v>273.5</v>
      </c>
      <c r="CK51" s="2108">
        <v>286.8</v>
      </c>
      <c r="CL51" s="2108">
        <v>291.5</v>
      </c>
      <c r="CM51" s="2108">
        <v>291.2</v>
      </c>
      <c r="CN51" s="2108">
        <v>295.2</v>
      </c>
      <c r="CO51" s="2108">
        <v>298.7</v>
      </c>
      <c r="CP51" s="2108">
        <v>299.89999999999998</v>
      </c>
      <c r="CQ51" s="2108">
        <v>302.39999999999998</v>
      </c>
      <c r="CR51" s="2108">
        <v>306.7</v>
      </c>
      <c r="CS51" s="2108">
        <v>307.60000000000002</v>
      </c>
      <c r="CT51" s="2108">
        <v>316.3</v>
      </c>
      <c r="CU51" s="2108">
        <v>317.7</v>
      </c>
      <c r="CV51" s="2108">
        <v>317.89999999999998</v>
      </c>
      <c r="CW51" s="2108">
        <v>317.89999999999998</v>
      </c>
      <c r="CX51" s="2108">
        <v>323.7</v>
      </c>
      <c r="CY51" s="2108">
        <v>330.6</v>
      </c>
      <c r="CZ51" s="2108">
        <v>337.9</v>
      </c>
      <c r="DA51" s="2108">
        <v>350.1</v>
      </c>
      <c r="DB51" s="2108">
        <v>355.6</v>
      </c>
      <c r="DC51" s="2108">
        <v>356.4</v>
      </c>
      <c r="DD51" s="2108">
        <v>357.2</v>
      </c>
      <c r="DE51" s="2108">
        <v>366</v>
      </c>
      <c r="DF51" s="2108">
        <v>375.5</v>
      </c>
      <c r="DG51" s="2108">
        <v>375.8</v>
      </c>
      <c r="DH51" s="2108">
        <v>380.7</v>
      </c>
      <c r="DI51" s="2108">
        <v>401.3</v>
      </c>
      <c r="DJ51" s="2108">
        <v>406.3</v>
      </c>
      <c r="DK51" s="2108">
        <v>412.7</v>
      </c>
      <c r="DL51" s="2108">
        <v>426.1</v>
      </c>
      <c r="DM51" s="2108">
        <v>431.5</v>
      </c>
      <c r="DN51" s="2108">
        <v>443.4</v>
      </c>
      <c r="DO51" s="2108">
        <v>450.7</v>
      </c>
      <c r="DP51" s="2108">
        <v>454.9</v>
      </c>
      <c r="DQ51" s="2108">
        <v>458.8</v>
      </c>
      <c r="DR51" s="2108">
        <v>470.9</v>
      </c>
      <c r="DS51" s="2108">
        <v>479.2</v>
      </c>
      <c r="DT51" s="2108">
        <v>481.4</v>
      </c>
      <c r="DU51" s="2108">
        <v>495.1</v>
      </c>
      <c r="DV51" s="2108">
        <v>502.7</v>
      </c>
      <c r="DW51" s="2108">
        <v>505.4</v>
      </c>
      <c r="DX51" s="2108">
        <v>516.20000000000005</v>
      </c>
      <c r="DY51" s="2108">
        <v>527.5</v>
      </c>
      <c r="DZ51" s="2108">
        <v>532.20000000000005</v>
      </c>
      <c r="EA51" s="2108">
        <v>549.9</v>
      </c>
      <c r="EB51" s="2108">
        <v>562.9</v>
      </c>
      <c r="EC51" s="2108">
        <v>578.79999999999995</v>
      </c>
      <c r="ED51" s="2108">
        <v>581</v>
      </c>
      <c r="EE51" s="2108">
        <v>629.79999999999995</v>
      </c>
      <c r="EF51" s="2108">
        <v>640</v>
      </c>
      <c r="EG51" s="2108">
        <v>650.70000000000005</v>
      </c>
      <c r="EH51" s="2108">
        <v>659.6</v>
      </c>
      <c r="EI51" s="2108">
        <v>672.6</v>
      </c>
      <c r="EJ51" s="2108">
        <v>701.1</v>
      </c>
      <c r="EK51" s="2108">
        <v>725.4</v>
      </c>
      <c r="EL51" s="2108">
        <v>729.6</v>
      </c>
      <c r="EM51" s="2108">
        <v>737.3</v>
      </c>
      <c r="EN51" s="2108">
        <v>735.2</v>
      </c>
      <c r="EO51" s="2108">
        <v>742.7</v>
      </c>
      <c r="EP51" s="2108">
        <v>744.4</v>
      </c>
      <c r="EQ51" s="2108">
        <v>749.3</v>
      </c>
      <c r="ER51" s="2108">
        <v>776.5</v>
      </c>
      <c r="ES51" s="2108">
        <v>785.6</v>
      </c>
      <c r="ET51" s="2108">
        <v>816.6</v>
      </c>
      <c r="EU51" s="2108">
        <v>840.9</v>
      </c>
      <c r="EV51" s="2108">
        <v>858</v>
      </c>
      <c r="EW51" s="2108">
        <v>884.7</v>
      </c>
      <c r="EX51" s="2108">
        <v>891.8</v>
      </c>
      <c r="EY51" s="2108">
        <v>921.1</v>
      </c>
      <c r="EZ51" s="2108">
        <v>956.8</v>
      </c>
      <c r="FA51" s="2108">
        <v>1008</v>
      </c>
      <c r="FB51" s="2108">
        <v>1117.7</v>
      </c>
      <c r="FC51" s="2108">
        <v>1195.7</v>
      </c>
      <c r="FD51" s="2108">
        <v>1204.9000000000001</v>
      </c>
      <c r="FE51" s="2108">
        <v>1249.7</v>
      </c>
      <c r="FF51" s="2108">
        <v>1295.8</v>
      </c>
      <c r="FG51" s="2108">
        <v>1314.9</v>
      </c>
      <c r="FH51" s="2108">
        <v>1340.3</v>
      </c>
      <c r="FI51" s="2108">
        <v>1388.1</v>
      </c>
      <c r="FJ51" s="2108">
        <v>1398.2</v>
      </c>
      <c r="FK51" s="2108">
        <v>1454.9</v>
      </c>
      <c r="FL51" s="2108">
        <v>1476.9</v>
      </c>
      <c r="FM51" s="2108">
        <v>1506</v>
      </c>
      <c r="FN51" s="2108">
        <v>1531.2</v>
      </c>
      <c r="FO51" s="2108">
        <v>1547.8</v>
      </c>
      <c r="FP51" s="2108">
        <v>1583.6</v>
      </c>
      <c r="FQ51" s="2108">
        <v>1627.3</v>
      </c>
      <c r="FR51" s="2108">
        <v>1675.2</v>
      </c>
      <c r="FS51" s="2108">
        <v>1693.2</v>
      </c>
      <c r="FT51" s="2108">
        <v>1721</v>
      </c>
      <c r="FU51" s="2108">
        <v>1782.2</v>
      </c>
      <c r="FV51" s="2108">
        <v>1810.6</v>
      </c>
      <c r="FW51" s="2113">
        <v>1955.6350168134177</v>
      </c>
      <c r="FX51" s="2113">
        <v>2041.463873300097</v>
      </c>
      <c r="FY51" s="2113">
        <v>100</v>
      </c>
      <c r="FZ51" s="2113">
        <v>101.11145973205566</v>
      </c>
      <c r="GA51" s="2113">
        <v>101.3712954208188</v>
      </c>
      <c r="GB51" s="2113">
        <v>102.7944268839326</v>
      </c>
      <c r="GC51" s="2113">
        <v>103.53203495161493</v>
      </c>
      <c r="GD51" s="2113">
        <v>108.5532338880392</v>
      </c>
      <c r="GE51" s="2113">
        <v>109.25269670691408</v>
      </c>
      <c r="GF51" s="2114">
        <v>109.14404451786466</v>
      </c>
      <c r="GG51" s="1960">
        <v>109.56751301429732</v>
      </c>
      <c r="GH51" s="2114">
        <v>111.85884670226547</v>
      </c>
      <c r="GI51" s="2114">
        <v>112.07741435452634</v>
      </c>
      <c r="GJ51" s="2113">
        <v>111.71028321306153</v>
      </c>
      <c r="GK51" s="2113">
        <v>112.0801602077003</v>
      </c>
      <c r="GL51" s="2113">
        <v>114.5682048503153</v>
      </c>
      <c r="GM51" s="2114">
        <v>115.091700440038</v>
      </c>
      <c r="GN51" s="2114">
        <v>115.14797987939254</v>
      </c>
      <c r="GO51" s="2115">
        <v>115.74347196379173</v>
      </c>
      <c r="GP51" s="2116">
        <v>115.89498447523992</v>
      </c>
      <c r="GQ51" s="2116">
        <v>119.26148422848459</v>
      </c>
      <c r="GR51" s="2116">
        <v>121.22062584645668</v>
      </c>
      <c r="GS51" s="2116">
        <v>122.13016261482181</v>
      </c>
      <c r="GT51" s="1960">
        <v>122.30206131720405</v>
      </c>
      <c r="GU51" s="1960">
        <v>123.98889972857566</v>
      </c>
      <c r="GV51" s="1960">
        <v>127.0719023746625</v>
      </c>
      <c r="GW51" s="1960">
        <v>128.36032837531445</v>
      </c>
      <c r="GX51" s="1960">
        <v>132.65915430361812</v>
      </c>
      <c r="GY51" s="1960">
        <v>134.26973604863443</v>
      </c>
      <c r="GZ51" s="1960">
        <v>134.94233257221731</v>
      </c>
      <c r="HA51" s="1960">
        <v>140.19040131083972</v>
      </c>
      <c r="HB51" s="1960">
        <v>146.95484995082663</v>
      </c>
      <c r="HC51" s="1960">
        <v>155.50075526399206</v>
      </c>
      <c r="HD51" s="1960">
        <v>155.16043009884112</v>
      </c>
      <c r="HE51" s="1960">
        <v>165.93226182096024</v>
      </c>
      <c r="HF51" s="1960">
        <v>182.98727678853564</v>
      </c>
      <c r="HG51" s="1960">
        <v>191.90732389775678</v>
      </c>
      <c r="HH51" s="2117">
        <v>202.63138744496001</v>
      </c>
      <c r="HI51" s="1960">
        <v>194.66569582982669</v>
      </c>
      <c r="HJ51" s="1960">
        <v>211.9755791032774</v>
      </c>
      <c r="HK51" s="1960">
        <v>214.14070674193209</v>
      </c>
      <c r="HL51" s="1960">
        <v>216.9795868589662</v>
      </c>
      <c r="HM51" s="1960">
        <v>231.90645880840546</v>
      </c>
      <c r="HN51" s="1960">
        <v>235.74530729617129</v>
      </c>
      <c r="HO51" s="1960">
        <v>246.71573827811105</v>
      </c>
      <c r="HP51" s="1960">
        <v>280.5358100328213</v>
      </c>
      <c r="HQ51" s="1960">
        <v>316.92844150533381</v>
      </c>
      <c r="HR51" s="1960">
        <v>319.40091181164956</v>
      </c>
      <c r="HS51" s="1960">
        <v>352.04910714697837</v>
      </c>
      <c r="HT51" s="1962">
        <v>379.97987717662198</v>
      </c>
      <c r="HU51" s="1961">
        <v>389.81177302421639</v>
      </c>
      <c r="HV51" s="1960">
        <v>397.14023713253374</v>
      </c>
      <c r="HW51" s="1960">
        <v>397.14672281958542</v>
      </c>
      <c r="HX51" s="1960">
        <v>397.12854676819779</v>
      </c>
      <c r="HY51" s="1960">
        <v>413.36454196930839</v>
      </c>
      <c r="HZ51" s="1960">
        <v>411.77572391843756</v>
      </c>
      <c r="IA51" s="1960">
        <v>417.27121160659368</v>
      </c>
      <c r="IB51" s="1960">
        <v>453.47524043744284</v>
      </c>
      <c r="IC51" s="1960">
        <v>486.30615240828263</v>
      </c>
      <c r="ID51" s="1960">
        <v>533.30581431758105</v>
      </c>
      <c r="IE51" s="1960">
        <v>555.57575992663283</v>
      </c>
      <c r="IF51" s="1960">
        <v>561.65410058095654</v>
      </c>
      <c r="IG51" s="1961">
        <v>601.98752247943935</v>
      </c>
      <c r="IH51" s="1960">
        <v>627.26627592965576</v>
      </c>
      <c r="II51" s="1960">
        <v>643.34302238215139</v>
      </c>
      <c r="IJ51" s="1961">
        <v>684.42134694465426</v>
      </c>
      <c r="IK51" s="1960">
        <v>708.67881429474539</v>
      </c>
      <c r="IL51" s="1960">
        <v>740.86439219231954</v>
      </c>
      <c r="IM51" s="1960">
        <v>765.30293339117338</v>
      </c>
      <c r="IN51" s="1960">
        <v>784.32587184141585</v>
      </c>
      <c r="IO51" s="1960">
        <v>798.75887966986716</v>
      </c>
      <c r="IP51" s="1960">
        <v>822.2705738910139</v>
      </c>
      <c r="IQ51" s="1960">
        <v>831.69165676431282</v>
      </c>
      <c r="IR51" s="1960">
        <v>871.57981083826917</v>
      </c>
      <c r="IS51" s="2274">
        <v>919.84817111257109</v>
      </c>
      <c r="IT51" s="1960">
        <v>933.42060974719425</v>
      </c>
      <c r="IU51" s="1960">
        <v>950.78983169612161</v>
      </c>
      <c r="IV51" s="1960">
        <v>1015.4117957185911</v>
      </c>
      <c r="IW51" s="1960">
        <v>1048.2126876327559</v>
      </c>
      <c r="IX51" s="1960">
        <v>1106.1519917767541</v>
      </c>
      <c r="IY51" s="1960">
        <v>1198.0486028747473</v>
      </c>
      <c r="IZ51" s="1960">
        <v>1287.3653314831827</v>
      </c>
      <c r="JA51" s="1960">
        <v>1361.9579319580416</v>
      </c>
      <c r="JB51" s="1960">
        <v>1478.9996062032212</v>
      </c>
      <c r="JC51" s="1960">
        <v>1572.7313563519676</v>
      </c>
      <c r="JD51" s="1960">
        <v>1647.57644893765</v>
      </c>
      <c r="JE51" s="2274">
        <v>1768.9700565794512</v>
      </c>
      <c r="JF51" s="2117">
        <v>1819.4409928180871</v>
      </c>
      <c r="JG51" s="2103">
        <f t="shared" si="12"/>
        <v>1.0285312552639971</v>
      </c>
      <c r="JI51" s="2155"/>
      <c r="JJ51" s="2104"/>
    </row>
    <row r="52" spans="1:270" ht="32.25" customHeight="1">
      <c r="B52" s="2105">
        <v>27</v>
      </c>
      <c r="C52" s="2106" t="s">
        <v>543</v>
      </c>
      <c r="D52" s="2425"/>
      <c r="E52" s="2107" t="s">
        <v>13</v>
      </c>
      <c r="F52" s="2106" t="s">
        <v>918</v>
      </c>
      <c r="G52" s="2425" t="s">
        <v>1340</v>
      </c>
      <c r="H52" s="2106" t="s">
        <v>929</v>
      </c>
      <c r="I52" s="2106" t="s">
        <v>930</v>
      </c>
      <c r="J52" s="2359" t="s">
        <v>14</v>
      </c>
      <c r="K52" s="2425"/>
      <c r="L52" s="2409">
        <v>97.7</v>
      </c>
      <c r="M52" s="2409">
        <v>98.7</v>
      </c>
      <c r="N52" s="2409">
        <v>121.5</v>
      </c>
      <c r="O52" s="2409">
        <v>152.30000000000001</v>
      </c>
      <c r="P52" s="2409">
        <v>171.1</v>
      </c>
      <c r="Q52" s="2409">
        <v>193.2</v>
      </c>
      <c r="R52" s="2409">
        <v>195.2</v>
      </c>
      <c r="S52" s="2409">
        <v>196.5</v>
      </c>
      <c r="T52" s="2409">
        <v>197.8</v>
      </c>
      <c r="U52" s="2409">
        <v>198.5</v>
      </c>
      <c r="V52" s="2409">
        <v>197.4</v>
      </c>
      <c r="W52" s="2409">
        <v>196.4</v>
      </c>
      <c r="X52" s="2409">
        <v>196.5</v>
      </c>
      <c r="Y52" s="2409">
        <v>193.7</v>
      </c>
      <c r="Z52" s="2409">
        <v>190.7</v>
      </c>
      <c r="AA52" s="2409">
        <v>189.4</v>
      </c>
      <c r="AB52" s="2409">
        <v>187.4</v>
      </c>
      <c r="AC52" s="2409">
        <v>187.6</v>
      </c>
      <c r="AD52" s="2409">
        <v>186.7</v>
      </c>
      <c r="AE52" s="2409">
        <v>187.4</v>
      </c>
      <c r="AF52" s="2409">
        <v>190.9</v>
      </c>
      <c r="AG52" s="2409">
        <v>190.7</v>
      </c>
      <c r="AH52" s="2409">
        <v>189.4</v>
      </c>
      <c r="AI52" s="2409">
        <v>190.9</v>
      </c>
      <c r="AJ52" s="2409">
        <v>192.5</v>
      </c>
      <c r="AK52" s="2409">
        <v>191.5</v>
      </c>
      <c r="AL52" s="2409">
        <v>192.8</v>
      </c>
      <c r="AM52" s="2409">
        <v>192.9</v>
      </c>
      <c r="AN52" s="2409">
        <v>191.6</v>
      </c>
      <c r="AO52" s="2409">
        <v>199.1</v>
      </c>
      <c r="AP52" s="2409">
        <v>199.9</v>
      </c>
      <c r="AQ52" s="2409">
        <v>200.6</v>
      </c>
      <c r="AR52" s="2409">
        <v>202.5</v>
      </c>
      <c r="AS52" s="2409">
        <v>202.6</v>
      </c>
      <c r="AT52" s="2409">
        <v>202.1</v>
      </c>
      <c r="AU52" s="2409">
        <v>202.7</v>
      </c>
      <c r="AV52" s="2409">
        <v>205.4</v>
      </c>
      <c r="AW52" s="2410">
        <v>205</v>
      </c>
      <c r="AX52" s="2410">
        <v>204.5</v>
      </c>
      <c r="AY52" s="2410">
        <v>205.9</v>
      </c>
      <c r="AZ52" s="2410">
        <v>205.1</v>
      </c>
      <c r="BA52" s="2410">
        <v>206.2</v>
      </c>
      <c r="BB52" s="2410">
        <v>204.7</v>
      </c>
      <c r="BC52" s="2410">
        <v>205.7</v>
      </c>
      <c r="BD52" s="2411">
        <v>212.3</v>
      </c>
      <c r="BE52" s="2410">
        <v>213.6</v>
      </c>
      <c r="BF52" s="2411">
        <v>217.3</v>
      </c>
      <c r="BG52" s="2411">
        <v>217.1</v>
      </c>
      <c r="BH52" s="2411">
        <v>219.6</v>
      </c>
      <c r="BI52" s="2412">
        <v>221.1</v>
      </c>
      <c r="BJ52" s="2412">
        <v>225</v>
      </c>
      <c r="BK52" s="2412">
        <v>225.9</v>
      </c>
      <c r="BL52" s="2412">
        <v>227.4</v>
      </c>
      <c r="BM52" s="2412">
        <v>234</v>
      </c>
      <c r="BN52" s="2412">
        <v>234.7</v>
      </c>
      <c r="BO52" s="2412">
        <v>234.7</v>
      </c>
      <c r="BP52" s="2412">
        <v>237.4</v>
      </c>
      <c r="BQ52" s="2412">
        <v>237.7</v>
      </c>
      <c r="BR52" s="2412">
        <v>239.3</v>
      </c>
      <c r="BS52" s="2412">
        <v>238.9</v>
      </c>
      <c r="BT52" s="2412">
        <v>238.5</v>
      </c>
      <c r="BU52" s="2412">
        <v>241.1</v>
      </c>
      <c r="BV52" s="2412">
        <v>241.2</v>
      </c>
      <c r="BW52" s="2412">
        <v>241.4</v>
      </c>
      <c r="BX52" s="2412">
        <v>242.8</v>
      </c>
      <c r="BY52" s="2412">
        <v>253</v>
      </c>
      <c r="BZ52" s="2412">
        <v>254.3</v>
      </c>
      <c r="CA52" s="2412">
        <v>255.5</v>
      </c>
      <c r="CB52" s="2412">
        <v>256.89999999999998</v>
      </c>
      <c r="CC52" s="2412">
        <v>264.8</v>
      </c>
      <c r="CD52" s="2412">
        <v>266.2</v>
      </c>
      <c r="CE52" s="2412">
        <v>265.89999999999998</v>
      </c>
      <c r="CF52" s="2412">
        <v>267.60000000000002</v>
      </c>
      <c r="CG52" s="2412">
        <v>268.8</v>
      </c>
      <c r="CH52" s="2412">
        <v>275</v>
      </c>
      <c r="CI52" s="2412">
        <v>275</v>
      </c>
      <c r="CJ52" s="2412">
        <v>272.10000000000002</v>
      </c>
      <c r="CK52" s="2412">
        <v>273.2</v>
      </c>
      <c r="CL52" s="2412">
        <v>256.89999999999998</v>
      </c>
      <c r="CM52" s="2412">
        <v>272.39999999999998</v>
      </c>
      <c r="CN52" s="2412">
        <v>276.2</v>
      </c>
      <c r="CO52" s="2412">
        <v>276.2</v>
      </c>
      <c r="CP52" s="2412">
        <v>277.3</v>
      </c>
      <c r="CQ52" s="2412">
        <v>279</v>
      </c>
      <c r="CR52" s="2412">
        <v>279</v>
      </c>
      <c r="CS52" s="2412">
        <v>279.3</v>
      </c>
      <c r="CT52" s="2412">
        <v>279.89999999999998</v>
      </c>
      <c r="CU52" s="2412">
        <v>284.3</v>
      </c>
      <c r="CV52" s="2412">
        <v>285.2</v>
      </c>
      <c r="CW52" s="2412">
        <v>286.10000000000002</v>
      </c>
      <c r="CX52" s="2412">
        <v>288.2</v>
      </c>
      <c r="CY52" s="2412">
        <v>292</v>
      </c>
      <c r="CZ52" s="2412">
        <v>292.7</v>
      </c>
      <c r="DA52" s="2412">
        <v>292.89999999999998</v>
      </c>
      <c r="DB52" s="2412">
        <v>295.8</v>
      </c>
      <c r="DC52" s="2412">
        <v>300.39999999999998</v>
      </c>
      <c r="DD52" s="2412">
        <v>300.39999999999998</v>
      </c>
      <c r="DE52" s="2412">
        <v>300</v>
      </c>
      <c r="DF52" s="2412">
        <v>299.8</v>
      </c>
      <c r="DG52" s="2412">
        <v>301.8</v>
      </c>
      <c r="DH52" s="2412">
        <v>302.2</v>
      </c>
      <c r="DI52" s="2412">
        <v>303.8</v>
      </c>
      <c r="DJ52" s="2412">
        <v>304.8</v>
      </c>
      <c r="DK52" s="2412">
        <v>305</v>
      </c>
      <c r="DL52" s="2412">
        <v>305.5</v>
      </c>
      <c r="DM52" s="2412">
        <v>305.5</v>
      </c>
      <c r="DN52" s="2412">
        <v>306.2</v>
      </c>
      <c r="DO52" s="2412">
        <v>306.2</v>
      </c>
      <c r="DP52" s="2412">
        <v>309.3</v>
      </c>
      <c r="DQ52" s="2412">
        <v>309.5</v>
      </c>
      <c r="DR52" s="2412">
        <v>310</v>
      </c>
      <c r="DS52" s="2412">
        <v>310</v>
      </c>
      <c r="DT52" s="2412">
        <v>310</v>
      </c>
      <c r="DU52" s="2412">
        <v>311.5</v>
      </c>
      <c r="DV52" s="2412">
        <v>311.5</v>
      </c>
      <c r="DW52" s="2412">
        <v>313.5</v>
      </c>
      <c r="DX52" s="2412">
        <v>315.39999999999998</v>
      </c>
      <c r="DY52" s="2412">
        <v>316.89999999999998</v>
      </c>
      <c r="DZ52" s="2412">
        <v>317.10000000000002</v>
      </c>
      <c r="EA52" s="2412">
        <v>316.10000000000002</v>
      </c>
      <c r="EB52" s="2412">
        <v>323.10000000000002</v>
      </c>
      <c r="EC52" s="2412">
        <v>325.39999999999998</v>
      </c>
      <c r="ED52" s="2412">
        <v>333.7</v>
      </c>
      <c r="EE52" s="2412">
        <v>338.3</v>
      </c>
      <c r="EF52" s="2412">
        <v>339.7</v>
      </c>
      <c r="EG52" s="2412">
        <v>339.7</v>
      </c>
      <c r="EH52" s="2412">
        <v>340.9</v>
      </c>
      <c r="EI52" s="2412">
        <v>342.4</v>
      </c>
      <c r="EJ52" s="2412">
        <v>344</v>
      </c>
      <c r="EK52" s="2412">
        <v>344</v>
      </c>
      <c r="EL52" s="2412">
        <v>342.4</v>
      </c>
      <c r="EM52" s="2412">
        <v>343.1</v>
      </c>
      <c r="EN52" s="2412">
        <v>343.4</v>
      </c>
      <c r="EO52" s="2412">
        <v>346.1</v>
      </c>
      <c r="EP52" s="2412">
        <v>346.1</v>
      </c>
      <c r="EQ52" s="2412">
        <v>346.1</v>
      </c>
      <c r="ER52" s="2412">
        <v>347.6</v>
      </c>
      <c r="ES52" s="2412">
        <v>349.2</v>
      </c>
      <c r="ET52" s="2412">
        <v>349.2</v>
      </c>
      <c r="EU52" s="2412">
        <v>350.3</v>
      </c>
      <c r="EV52" s="2412">
        <v>346.3</v>
      </c>
      <c r="EW52" s="2412">
        <v>346.3</v>
      </c>
      <c r="EX52" s="2412">
        <v>346.3</v>
      </c>
      <c r="EY52" s="2412">
        <v>346.3</v>
      </c>
      <c r="EZ52" s="2412">
        <v>362.3</v>
      </c>
      <c r="FA52" s="2412">
        <v>354.5</v>
      </c>
      <c r="FB52" s="2412">
        <v>371.8</v>
      </c>
      <c r="FC52" s="2412">
        <v>371.8</v>
      </c>
      <c r="FD52" s="2412">
        <v>371.8</v>
      </c>
      <c r="FE52" s="2412">
        <v>388.5</v>
      </c>
      <c r="FF52" s="2412">
        <v>412.7</v>
      </c>
      <c r="FG52" s="2412">
        <v>412.7</v>
      </c>
      <c r="FH52" s="2412">
        <v>431.6</v>
      </c>
      <c r="FI52" s="2412">
        <v>431.6</v>
      </c>
      <c r="FJ52" s="2412">
        <v>445.5</v>
      </c>
      <c r="FK52" s="2412">
        <v>472.8</v>
      </c>
      <c r="FL52" s="2412">
        <v>487</v>
      </c>
      <c r="FM52" s="2412">
        <v>487</v>
      </c>
      <c r="FN52" s="2412">
        <v>487</v>
      </c>
      <c r="FO52" s="2412">
        <v>487</v>
      </c>
      <c r="FP52" s="2412">
        <v>487</v>
      </c>
      <c r="FQ52" s="2412">
        <v>487</v>
      </c>
      <c r="FR52" s="2412">
        <v>487</v>
      </c>
      <c r="FS52" s="2412">
        <v>502.1</v>
      </c>
      <c r="FT52" s="2412">
        <v>511.5</v>
      </c>
      <c r="FU52" s="2412">
        <v>532.9</v>
      </c>
      <c r="FV52" s="2412">
        <v>532.9</v>
      </c>
      <c r="FW52" s="2413">
        <v>496.03896150251808</v>
      </c>
      <c r="FX52" s="2413">
        <v>510.4442773130304</v>
      </c>
      <c r="FY52" s="2413">
        <v>100</v>
      </c>
      <c r="FZ52" s="2413">
        <v>100.48445463180542</v>
      </c>
      <c r="GA52" s="2413">
        <v>101.92958659835938</v>
      </c>
      <c r="GB52" s="2413">
        <v>101.92958659835938</v>
      </c>
      <c r="GC52" s="2413">
        <v>105.18643099437018</v>
      </c>
      <c r="GD52" s="2413">
        <v>106.36025055754979</v>
      </c>
      <c r="GE52" s="2413">
        <v>107.92272509405311</v>
      </c>
      <c r="GF52" s="2414">
        <v>108.64412618517559</v>
      </c>
      <c r="GG52" s="2415">
        <v>109.46729057336459</v>
      </c>
      <c r="GH52" s="2414">
        <v>110.17311289961135</v>
      </c>
      <c r="GI52" s="2414">
        <v>110.38771687976869</v>
      </c>
      <c r="GJ52" s="2413">
        <v>110.38771687976869</v>
      </c>
      <c r="GK52" s="2413">
        <v>111.09426286388292</v>
      </c>
      <c r="GL52" s="2413">
        <v>111.09426286388292</v>
      </c>
      <c r="GM52" s="2414">
        <v>111.09426286388292</v>
      </c>
      <c r="GN52" s="2414">
        <v>111.09426286388292</v>
      </c>
      <c r="GO52" s="2416">
        <v>111.09426286388292</v>
      </c>
      <c r="GP52" s="2417">
        <v>111.09426286388292</v>
      </c>
      <c r="GQ52" s="2417">
        <v>112.04132975816646</v>
      </c>
      <c r="GR52" s="2417">
        <v>113.01678533270614</v>
      </c>
      <c r="GS52" s="2417">
        <v>113.01678533270614</v>
      </c>
      <c r="GT52" s="2415">
        <v>114.41008644878552</v>
      </c>
      <c r="GU52" s="2415">
        <v>115.3116484176514</v>
      </c>
      <c r="GV52" s="2415">
        <v>115.3116484176514</v>
      </c>
      <c r="GW52" s="2415">
        <v>115.3116484176514</v>
      </c>
      <c r="GX52" s="2415">
        <v>117.49549659275553</v>
      </c>
      <c r="GY52" s="2415">
        <v>122.43856380939576</v>
      </c>
      <c r="GZ52" s="2415">
        <v>136.36764122183206</v>
      </c>
      <c r="HA52" s="2415">
        <v>163.24780627230155</v>
      </c>
      <c r="HB52" s="2415">
        <v>165.75700474686749</v>
      </c>
      <c r="HC52" s="2415">
        <v>171.54835761581188</v>
      </c>
      <c r="HD52" s="2415">
        <v>178.72181946548145</v>
      </c>
      <c r="HE52" s="2415">
        <v>223.82346907458253</v>
      </c>
      <c r="HF52" s="2415">
        <v>223.50579249357816</v>
      </c>
      <c r="HG52" s="2415">
        <v>225.64123905833682</v>
      </c>
      <c r="HH52" s="2418">
        <v>237.40530394172509</v>
      </c>
      <c r="HI52" s="2415">
        <v>233.89743797077031</v>
      </c>
      <c r="HJ52" s="2415">
        <v>248.55274113117554</v>
      </c>
      <c r="HK52" s="2415">
        <v>259.81575071789337</v>
      </c>
      <c r="HL52" s="2415">
        <v>263.98654636639696</v>
      </c>
      <c r="HM52" s="2415">
        <v>282.16039306142363</v>
      </c>
      <c r="HN52" s="2415">
        <v>278.05325488003461</v>
      </c>
      <c r="HO52" s="2415">
        <v>276.60250673480783</v>
      </c>
      <c r="HP52" s="2415">
        <v>347.82691429134945</v>
      </c>
      <c r="HQ52" s="2415">
        <v>363.31787154608804</v>
      </c>
      <c r="HR52" s="2415">
        <v>429.1187912710493</v>
      </c>
      <c r="HS52" s="2415">
        <v>429.1187912710493</v>
      </c>
      <c r="HT52" s="2419">
        <v>429.1187912710493</v>
      </c>
      <c r="HU52" s="2420">
        <f>+'Ascensor '!C14</f>
        <v>471.60149366814932</v>
      </c>
      <c r="HV52" s="2417">
        <f>+'Ascensor '!D14</f>
        <v>474.47711253197951</v>
      </c>
      <c r="HW52" s="2417">
        <f>+'Ascensor '!E14</f>
        <v>480.57342452329954</v>
      </c>
      <c r="HX52" s="2417">
        <f>+'Ascensor '!F14</f>
        <v>491.73082571496064</v>
      </c>
      <c r="HY52" s="2417">
        <f>+'Ascensor '!G14</f>
        <v>491.73082571496064</v>
      </c>
      <c r="HZ52" s="2417">
        <f>+'Ascensor '!H14</f>
        <v>491.73082571496064</v>
      </c>
      <c r="IA52" s="2417">
        <f>+'Ascensor '!I14</f>
        <v>523.9377569898586</v>
      </c>
      <c r="IB52" s="2417">
        <f>+'Ascensor '!J14</f>
        <v>550.62350004620259</v>
      </c>
      <c r="IC52" s="2417">
        <f>+'Ascensor '!K14</f>
        <v>559.48040614679951</v>
      </c>
      <c r="ID52" s="2417">
        <f>+'Ascensor '!L14</f>
        <v>570.1777083202478</v>
      </c>
      <c r="IE52" s="2417">
        <f>+'Ascensor '!M14</f>
        <v>584.44077788484549</v>
      </c>
      <c r="IF52" s="2419">
        <f>+'Ascensor '!N14</f>
        <v>604.91518419531633</v>
      </c>
      <c r="IG52" s="2420">
        <f>+'Ascensor '!C21</f>
        <v>623.20412016927617</v>
      </c>
      <c r="IH52" s="2417">
        <f>+'Ascensor '!D21</f>
        <v>643.67852647974712</v>
      </c>
      <c r="II52" s="2417">
        <f>+'Ascensor '!E21</f>
        <v>662.54258622647308</v>
      </c>
      <c r="IJ52" s="2417">
        <f>+'Ascensor '!F21</f>
        <v>708.43746329320277</v>
      </c>
      <c r="IK52" s="2417">
        <f>+'Ascensor '!G21</f>
        <v>726.03625073984347</v>
      </c>
      <c r="IL52" s="2417">
        <f>+'Ascensor '!H21</f>
        <v>732.93773601303587</v>
      </c>
      <c r="IM52" s="2417">
        <f>+'Ascensor '!I21</f>
        <v>748.00597885950594</v>
      </c>
      <c r="IN52" s="2417">
        <f>+'Ascensor '!J21</f>
        <v>756.28776118733686</v>
      </c>
      <c r="IO52" s="2417">
        <f>+'Ascensor '!K21</f>
        <v>763.87939498784851</v>
      </c>
      <c r="IP52" s="2417">
        <f>+'Ascensor '!L21</f>
        <v>808.85407401815257</v>
      </c>
      <c r="IQ52" s="2417">
        <f>+'Ascensor '!M21</f>
        <v>823.80729211006951</v>
      </c>
      <c r="IR52" s="2419">
        <f>+'Ascensor '!N21</f>
        <v>835.42479231994344</v>
      </c>
      <c r="IS52" s="2420">
        <f>+'Ascensor '!C28</f>
        <v>850.14796090275399</v>
      </c>
      <c r="IT52" s="2417">
        <f>+'Ascensor '!D28</f>
        <v>855.32407485764838</v>
      </c>
      <c r="IU52" s="2417">
        <f>+'Ascensor '!E28</f>
        <v>877.17877822275773</v>
      </c>
      <c r="IV52" s="2417">
        <f>+'Ascensor '!F28</f>
        <v>924.22390283501954</v>
      </c>
      <c r="IW52" s="2417">
        <f>+'Ascensor '!G28</f>
        <v>964.13749266498257</v>
      </c>
      <c r="IX52" s="2417">
        <f>+'Ascensor '!H28</f>
        <v>1007.6168498860948</v>
      </c>
      <c r="IY52" s="2417">
        <f>+'Ascensor '!I28</f>
        <v>1106.7681883109594</v>
      </c>
      <c r="IZ52" s="2417">
        <f>+'Ascensor '!J28</f>
        <v>1223.8633884461244</v>
      </c>
      <c r="JA52" s="2417">
        <f>+'Ascensor '!K28</f>
        <v>1266.6525971399174</v>
      </c>
      <c r="JB52" s="2417">
        <f>+'Ascensor '!L28</f>
        <v>1360.9728958735475</v>
      </c>
      <c r="JC52" s="2417">
        <f>+'Ascensor '!M28</f>
        <v>1452.9294995759121</v>
      </c>
      <c r="JD52" s="2415">
        <f>+'Ascensor '!N28</f>
        <v>1569.972874896725</v>
      </c>
      <c r="JE52" s="2422">
        <f>+'Ascensor '!C35</f>
        <v>1647.7296089746931</v>
      </c>
      <c r="JF52" s="2418">
        <f>+'Ascensor '!D35</f>
        <v>1715.5942141610851</v>
      </c>
      <c r="JG52" s="2103">
        <f t="shared" si="12"/>
        <v>1.0411867364746945</v>
      </c>
      <c r="JI52" s="2155"/>
      <c r="JJ52" s="2104"/>
    </row>
    <row r="53" spans="1:270" hidden="1">
      <c r="B53" s="2142">
        <v>28</v>
      </c>
      <c r="C53" s="2143" t="s">
        <v>542</v>
      </c>
      <c r="D53" s="2425" t="s">
        <v>481</v>
      </c>
      <c r="E53" s="2144" t="s">
        <v>15</v>
      </c>
      <c r="F53" s="2143" t="s">
        <v>918</v>
      </c>
      <c r="G53" s="2145" t="s">
        <v>1112</v>
      </c>
      <c r="H53" s="2143" t="s">
        <v>929</v>
      </c>
      <c r="I53" s="2143" t="s">
        <v>930</v>
      </c>
      <c r="J53" s="2146" t="s">
        <v>921</v>
      </c>
      <c r="K53" s="2145"/>
      <c r="L53" s="2409">
        <v>91.6</v>
      </c>
      <c r="M53" s="2337">
        <v>97.5</v>
      </c>
      <c r="N53" s="2337">
        <v>98.6</v>
      </c>
      <c r="O53" s="2337">
        <v>102</v>
      </c>
      <c r="P53" s="2337">
        <v>116.3</v>
      </c>
      <c r="Q53" s="2337">
        <v>124.6</v>
      </c>
      <c r="R53" s="2337">
        <v>129.19999999999999</v>
      </c>
      <c r="S53" s="2337">
        <v>127.6</v>
      </c>
      <c r="T53" s="2337">
        <v>127.6</v>
      </c>
      <c r="U53" s="2337">
        <v>132.9</v>
      </c>
      <c r="V53" s="2337">
        <v>134.19999999999999</v>
      </c>
      <c r="W53" s="2337">
        <v>134.30000000000001</v>
      </c>
      <c r="X53" s="2337">
        <v>134.30000000000001</v>
      </c>
      <c r="Y53" s="2337">
        <v>134.30000000000001</v>
      </c>
      <c r="Z53" s="2337">
        <v>134.30000000000001</v>
      </c>
      <c r="AA53" s="2337">
        <v>136.5</v>
      </c>
      <c r="AB53" s="2337">
        <v>137.6</v>
      </c>
      <c r="AC53" s="2337">
        <v>138</v>
      </c>
      <c r="AD53" s="2337">
        <v>141.5</v>
      </c>
      <c r="AE53" s="2337">
        <v>141.9</v>
      </c>
      <c r="AF53" s="2337">
        <v>139.19999999999999</v>
      </c>
      <c r="AG53" s="2337">
        <v>138.9</v>
      </c>
      <c r="AH53" s="2337">
        <v>145.30000000000001</v>
      </c>
      <c r="AI53" s="2337">
        <v>145.19999999999999</v>
      </c>
      <c r="AJ53" s="2337">
        <v>145.5</v>
      </c>
      <c r="AK53" s="2337">
        <v>145.5</v>
      </c>
      <c r="AL53" s="2337">
        <v>159.1</v>
      </c>
      <c r="AM53" s="2337">
        <v>159.1</v>
      </c>
      <c r="AN53" s="2337">
        <v>159.1</v>
      </c>
      <c r="AO53" s="2337">
        <v>159.1</v>
      </c>
      <c r="AP53" s="2337">
        <v>159.1</v>
      </c>
      <c r="AQ53" s="2337">
        <v>159.1</v>
      </c>
      <c r="AR53" s="2337">
        <v>159.1</v>
      </c>
      <c r="AS53" s="2337">
        <v>159.1</v>
      </c>
      <c r="AT53" s="2337">
        <v>162.5</v>
      </c>
      <c r="AU53" s="2337">
        <v>162.5</v>
      </c>
      <c r="AV53" s="2337">
        <v>162.5</v>
      </c>
      <c r="AW53" s="2338">
        <v>163.30000000000001</v>
      </c>
      <c r="AX53" s="2338">
        <v>163.30000000000001</v>
      </c>
      <c r="AY53" s="2338">
        <v>163.30000000000001</v>
      </c>
      <c r="AZ53" s="2338">
        <v>163.30000000000001</v>
      </c>
      <c r="BA53" s="2338">
        <v>168.6</v>
      </c>
      <c r="BB53" s="2338">
        <v>170.7</v>
      </c>
      <c r="BC53" s="2338">
        <v>170.7</v>
      </c>
      <c r="BD53" s="2339">
        <v>170.9</v>
      </c>
      <c r="BE53" s="2338">
        <v>173.2</v>
      </c>
      <c r="BF53" s="2339">
        <v>175.5</v>
      </c>
      <c r="BG53" s="2339">
        <v>179.6</v>
      </c>
      <c r="BH53" s="2339">
        <v>188.9</v>
      </c>
      <c r="BI53" s="2340">
        <v>188.9</v>
      </c>
      <c r="BJ53" s="2340">
        <v>188.9</v>
      </c>
      <c r="BK53" s="2340">
        <v>188.9</v>
      </c>
      <c r="BL53" s="2340">
        <v>184.9</v>
      </c>
      <c r="BM53" s="2340">
        <v>198.5</v>
      </c>
      <c r="BN53" s="2340">
        <v>208</v>
      </c>
      <c r="BO53" s="2340">
        <v>211.5</v>
      </c>
      <c r="BP53" s="2340">
        <v>207.4</v>
      </c>
      <c r="BQ53" s="2340">
        <v>213.6</v>
      </c>
      <c r="BR53" s="2340">
        <v>214.9</v>
      </c>
      <c r="BS53" s="2340">
        <v>220.9</v>
      </c>
      <c r="BT53" s="2340">
        <v>220.9</v>
      </c>
      <c r="BU53" s="2340">
        <v>220.9</v>
      </c>
      <c r="BV53" s="2340">
        <v>223.5</v>
      </c>
      <c r="BW53" s="2340">
        <v>223.5</v>
      </c>
      <c r="BX53" s="2340">
        <v>227.7</v>
      </c>
      <c r="BY53" s="2340">
        <v>229.8</v>
      </c>
      <c r="BZ53" s="2340">
        <v>240.2</v>
      </c>
      <c r="CA53" s="2340">
        <v>240.2</v>
      </c>
      <c r="CB53" s="2340">
        <v>240.2</v>
      </c>
      <c r="CC53" s="2340">
        <v>240.2</v>
      </c>
      <c r="CD53" s="2340">
        <v>254.5</v>
      </c>
      <c r="CE53" s="2340">
        <v>254.7</v>
      </c>
      <c r="CF53" s="2340">
        <v>262.2</v>
      </c>
      <c r="CG53" s="2340">
        <v>269.60000000000002</v>
      </c>
      <c r="CH53" s="2340">
        <v>287.60000000000002</v>
      </c>
      <c r="CI53" s="2340">
        <v>273.7</v>
      </c>
      <c r="CJ53" s="2340">
        <v>289.10000000000002</v>
      </c>
      <c r="CK53" s="2340">
        <v>290.2</v>
      </c>
      <c r="CL53" s="2340">
        <v>283.10000000000002</v>
      </c>
      <c r="CM53" s="2340">
        <v>283.5</v>
      </c>
      <c r="CN53" s="2340">
        <v>283.8</v>
      </c>
      <c r="CO53" s="2340">
        <v>283.7</v>
      </c>
      <c r="CP53" s="2340">
        <v>283.7</v>
      </c>
      <c r="CQ53" s="2340">
        <v>283.8</v>
      </c>
      <c r="CR53" s="2340">
        <v>283.8</v>
      </c>
      <c r="CS53" s="2340">
        <v>283.8</v>
      </c>
      <c r="CT53" s="2340">
        <v>283.8</v>
      </c>
      <c r="CU53" s="2340">
        <v>283.8</v>
      </c>
      <c r="CV53" s="2340">
        <v>283.8</v>
      </c>
      <c r="CW53" s="2340">
        <v>283.8</v>
      </c>
      <c r="CX53" s="2340">
        <v>285</v>
      </c>
      <c r="CY53" s="2340">
        <v>285</v>
      </c>
      <c r="CZ53" s="2340">
        <v>300.7</v>
      </c>
      <c r="DA53" s="2340">
        <v>299.8</v>
      </c>
      <c r="DB53" s="2340">
        <v>300.39999999999998</v>
      </c>
      <c r="DC53" s="2340">
        <v>319.10000000000002</v>
      </c>
      <c r="DD53" s="2340">
        <v>320.7</v>
      </c>
      <c r="DE53" s="2340">
        <v>323.7</v>
      </c>
      <c r="DF53" s="2340">
        <v>335.8</v>
      </c>
      <c r="DG53" s="2340">
        <v>342</v>
      </c>
      <c r="DH53" s="2340">
        <v>342.2</v>
      </c>
      <c r="DI53" s="2340">
        <v>345.3</v>
      </c>
      <c r="DJ53" s="2340">
        <v>348.4</v>
      </c>
      <c r="DK53" s="2340">
        <v>348.4</v>
      </c>
      <c r="DL53" s="2340">
        <v>349.7</v>
      </c>
      <c r="DM53" s="2340">
        <v>350.1</v>
      </c>
      <c r="DN53" s="2340">
        <v>352.1</v>
      </c>
      <c r="DO53" s="2340">
        <v>352.1</v>
      </c>
      <c r="DP53" s="2340">
        <v>352.4</v>
      </c>
      <c r="DQ53" s="2340">
        <v>354.2</v>
      </c>
      <c r="DR53" s="2340">
        <v>354.4</v>
      </c>
      <c r="DS53" s="2340">
        <v>356.1</v>
      </c>
      <c r="DT53" s="2340">
        <v>354.9</v>
      </c>
      <c r="DU53" s="2340">
        <v>356.5</v>
      </c>
      <c r="DV53" s="2340">
        <v>361.4</v>
      </c>
      <c r="DW53" s="2340">
        <v>364.7</v>
      </c>
      <c r="DX53" s="2340">
        <v>369.9</v>
      </c>
      <c r="DY53" s="2340">
        <v>372.9</v>
      </c>
      <c r="DZ53" s="2340">
        <v>381.1</v>
      </c>
      <c r="EA53" s="2340">
        <v>382.6</v>
      </c>
      <c r="EB53" s="2340">
        <v>385.1</v>
      </c>
      <c r="EC53" s="2340">
        <v>386.3</v>
      </c>
      <c r="ED53" s="2340">
        <v>391.4</v>
      </c>
      <c r="EE53" s="2340">
        <v>392</v>
      </c>
      <c r="EF53" s="2340">
        <v>398.3</v>
      </c>
      <c r="EG53" s="2340">
        <v>400.4</v>
      </c>
      <c r="EH53" s="2340">
        <v>401.4</v>
      </c>
      <c r="EI53" s="2340">
        <v>414.9</v>
      </c>
      <c r="EJ53" s="2340">
        <v>428.4</v>
      </c>
      <c r="EK53" s="2340">
        <v>440.9</v>
      </c>
      <c r="EL53" s="2340">
        <v>459</v>
      </c>
      <c r="EM53" s="2340">
        <v>462.1</v>
      </c>
      <c r="EN53" s="2340">
        <v>464.6</v>
      </c>
      <c r="EO53" s="2340">
        <v>477.7</v>
      </c>
      <c r="EP53" s="2340">
        <v>482.9</v>
      </c>
      <c r="EQ53" s="2340">
        <v>501</v>
      </c>
      <c r="ER53" s="2340">
        <v>495.7</v>
      </c>
      <c r="ES53" s="2340">
        <v>499.9</v>
      </c>
      <c r="ET53" s="2340">
        <v>519.5</v>
      </c>
      <c r="EU53" s="2340">
        <v>519.5</v>
      </c>
      <c r="EV53" s="2340">
        <v>535.1</v>
      </c>
      <c r="EW53" s="2340">
        <v>545.9</v>
      </c>
      <c r="EX53" s="2340">
        <v>545.9</v>
      </c>
      <c r="EY53" s="2340">
        <v>545.9</v>
      </c>
      <c r="EZ53" s="2340">
        <v>632</v>
      </c>
      <c r="FA53" s="2340">
        <v>668</v>
      </c>
      <c r="FB53" s="2340">
        <v>687.6</v>
      </c>
      <c r="FC53" s="2340">
        <v>711.4</v>
      </c>
      <c r="FD53" s="2340">
        <v>711.4</v>
      </c>
      <c r="FE53" s="2340">
        <v>732.8</v>
      </c>
      <c r="FF53" s="2340">
        <v>777.8</v>
      </c>
      <c r="FG53" s="2340">
        <v>817.4</v>
      </c>
      <c r="FH53" s="2340">
        <v>857</v>
      </c>
      <c r="FI53" s="2340">
        <v>857</v>
      </c>
      <c r="FJ53" s="2340">
        <v>857</v>
      </c>
      <c r="FK53" s="2340">
        <v>892.8</v>
      </c>
      <c r="FL53" s="2340">
        <v>892.8</v>
      </c>
      <c r="FM53" s="2340">
        <v>912.8</v>
      </c>
      <c r="FN53" s="2340">
        <v>1246.5999999999999</v>
      </c>
      <c r="FO53" s="2340">
        <v>1246.5999999999999</v>
      </c>
      <c r="FP53" s="2340">
        <v>1246.5999999999999</v>
      </c>
      <c r="FQ53" s="2340">
        <v>1333.3</v>
      </c>
      <c r="FR53" s="2340">
        <v>1536.8</v>
      </c>
      <c r="FS53" s="2340">
        <v>1747.8</v>
      </c>
      <c r="FT53" s="2340">
        <v>1893</v>
      </c>
      <c r="FU53" s="2340">
        <v>1944.6</v>
      </c>
      <c r="FV53" s="2340">
        <v>2073.6</v>
      </c>
      <c r="FW53" s="2340">
        <v>912.39234621794128</v>
      </c>
      <c r="FX53" s="2340">
        <v>925.49131894763195</v>
      </c>
      <c r="FY53" s="2340">
        <v>100</v>
      </c>
      <c r="FZ53" s="2340">
        <v>948.04186000509219</v>
      </c>
      <c r="GA53" s="2340">
        <v>980.65629521623919</v>
      </c>
      <c r="GB53" s="2340">
        <v>980.65629521623919</v>
      </c>
      <c r="GC53" s="2340">
        <v>980.65629521623919</v>
      </c>
      <c r="GD53" s="2340">
        <v>980.65629521623919</v>
      </c>
      <c r="GE53" s="2340">
        <v>973.32137048749996</v>
      </c>
      <c r="GF53" s="2341">
        <v>982.67968537558022</v>
      </c>
      <c r="GG53" s="2342">
        <v>982.67968537558022</v>
      </c>
      <c r="GH53" s="2341">
        <v>991.95811923256497</v>
      </c>
      <c r="GI53" s="2341">
        <v>1013.9095735696537</v>
      </c>
      <c r="GJ53" s="2340">
        <v>1013.9095735696537</v>
      </c>
      <c r="GK53" s="2340">
        <v>1035.3419088861858</v>
      </c>
      <c r="GL53" s="2340">
        <v>1035.3419088861858</v>
      </c>
      <c r="GM53" s="2341">
        <v>1035.3419088861858</v>
      </c>
      <c r="GN53" s="2341">
        <v>1035.3419088861858</v>
      </c>
      <c r="GO53" s="2343">
        <v>1035.3419088861858</v>
      </c>
      <c r="GP53" s="2344">
        <v>1033.5448174182882</v>
      </c>
      <c r="GQ53" s="2344">
        <v>1053.7258184751793</v>
      </c>
      <c r="GR53" s="2344">
        <v>1060.3818481369972</v>
      </c>
      <c r="GS53" s="2344">
        <v>1060.3818481369972</v>
      </c>
      <c r="GT53" s="2342">
        <v>1105.6693097998439</v>
      </c>
      <c r="GU53" s="2342">
        <v>1143.076131224783</v>
      </c>
      <c r="GV53" s="2342">
        <v>1155.7092865857021</v>
      </c>
      <c r="GW53" s="2342">
        <v>1156.388223468233</v>
      </c>
      <c r="GX53" s="2342">
        <v>1169.56717126744</v>
      </c>
      <c r="GY53" s="2342">
        <v>1181.5479524166108</v>
      </c>
      <c r="GZ53" s="2342">
        <v>1188.9251901604382</v>
      </c>
      <c r="HA53" s="2342">
        <v>1304.2734722249754</v>
      </c>
      <c r="HB53" s="2342">
        <v>1203.051119570606</v>
      </c>
      <c r="HC53" s="2342">
        <v>1203.051119570606</v>
      </c>
      <c r="HD53" s="2342">
        <v>1203.051119570606</v>
      </c>
      <c r="HE53" s="2342">
        <v>1203.051119570606</v>
      </c>
      <c r="HF53" s="2342">
        <v>1203.051119570606</v>
      </c>
      <c r="HG53" s="2342">
        <v>1203.051119570606</v>
      </c>
      <c r="HH53" s="2345">
        <v>1203.051119570606</v>
      </c>
      <c r="HI53" s="2342">
        <v>1203.051119570606</v>
      </c>
      <c r="HJ53" s="2342">
        <v>1203.051119570606</v>
      </c>
      <c r="HK53" s="2342">
        <v>1203.051119570606</v>
      </c>
      <c r="HL53" s="2342">
        <v>1203.051119570606</v>
      </c>
      <c r="HM53" s="2342">
        <v>1203.051119570606</v>
      </c>
      <c r="HN53" s="2342">
        <v>1203.0511195706099</v>
      </c>
      <c r="HO53" s="2342">
        <v>1203.0511195706099</v>
      </c>
      <c r="HP53" s="2342">
        <v>1203.0511195706099</v>
      </c>
      <c r="HQ53" s="2342">
        <v>1203.051119570606</v>
      </c>
      <c r="HR53" s="2342">
        <v>1203.051119570606</v>
      </c>
      <c r="HS53" s="2342"/>
      <c r="HT53" s="2346"/>
      <c r="HU53" s="2347"/>
      <c r="HV53" s="2342">
        <v>0</v>
      </c>
      <c r="HW53" s="2342">
        <v>0</v>
      </c>
      <c r="HX53" s="2342">
        <v>0</v>
      </c>
      <c r="HY53" s="2328">
        <v>0</v>
      </c>
      <c r="HZ53" s="2328">
        <v>0</v>
      </c>
      <c r="IA53" s="2328">
        <v>0</v>
      </c>
      <c r="IB53" s="2328">
        <v>0</v>
      </c>
      <c r="IC53" s="2328">
        <v>0</v>
      </c>
      <c r="ID53" s="2328">
        <v>0</v>
      </c>
      <c r="IE53" s="2328">
        <v>0</v>
      </c>
      <c r="IF53" s="2328">
        <v>0</v>
      </c>
      <c r="IG53" s="2335">
        <v>0</v>
      </c>
      <c r="IH53" s="2328">
        <v>0</v>
      </c>
      <c r="II53" s="2328">
        <v>0</v>
      </c>
      <c r="IJ53" s="2335">
        <v>0</v>
      </c>
      <c r="IK53" s="2328">
        <v>0</v>
      </c>
      <c r="IL53" s="2328">
        <v>0</v>
      </c>
      <c r="IM53" s="2328">
        <v>0</v>
      </c>
      <c r="IN53" s="2328">
        <v>0</v>
      </c>
      <c r="IO53" s="2328">
        <v>0</v>
      </c>
      <c r="IP53" s="2328">
        <v>0</v>
      </c>
      <c r="IQ53" s="2328">
        <v>0</v>
      </c>
      <c r="IR53" s="2328">
        <v>0</v>
      </c>
      <c r="IS53" s="2336">
        <v>0</v>
      </c>
      <c r="IT53" s="2328">
        <v>0</v>
      </c>
      <c r="IU53" s="2328">
        <v>0</v>
      </c>
      <c r="IV53" s="2328">
        <v>0</v>
      </c>
      <c r="IW53" s="2328">
        <v>0</v>
      </c>
      <c r="IX53" s="2328">
        <v>0</v>
      </c>
      <c r="IY53" s="2328">
        <v>0</v>
      </c>
      <c r="IZ53" s="2328">
        <v>0</v>
      </c>
      <c r="JA53" s="2328">
        <v>0</v>
      </c>
      <c r="JB53" s="2328">
        <v>0</v>
      </c>
      <c r="JC53" s="2328">
        <v>0</v>
      </c>
      <c r="JD53" s="2328">
        <v>0</v>
      </c>
      <c r="JE53" s="2336"/>
      <c r="JF53" s="2333"/>
      <c r="JG53" s="2103" t="e">
        <f t="shared" si="12"/>
        <v>#DIV/0!</v>
      </c>
      <c r="JI53" s="2155"/>
      <c r="JJ53" s="2104"/>
    </row>
    <row r="54" spans="1:270" ht="31.5">
      <c r="B54" s="2105">
        <v>29</v>
      </c>
      <c r="C54" s="2106" t="s">
        <v>541</v>
      </c>
      <c r="D54" s="2425"/>
      <c r="E54" s="2107" t="s">
        <v>16</v>
      </c>
      <c r="F54" s="2106" t="s">
        <v>918</v>
      </c>
      <c r="G54" s="2425" t="s">
        <v>1340</v>
      </c>
      <c r="H54" s="2106" t="s">
        <v>929</v>
      </c>
      <c r="I54" s="2106" t="s">
        <v>930</v>
      </c>
      <c r="J54" s="2359" t="s">
        <v>921</v>
      </c>
      <c r="K54" s="2425"/>
      <c r="L54" s="2409">
        <v>85.7</v>
      </c>
      <c r="M54" s="2409">
        <v>87.7</v>
      </c>
      <c r="N54" s="2409">
        <v>85.2</v>
      </c>
      <c r="O54" s="2409">
        <v>89.2</v>
      </c>
      <c r="P54" s="2409">
        <v>102</v>
      </c>
      <c r="Q54" s="2409">
        <v>106.5</v>
      </c>
      <c r="R54" s="2409">
        <v>108.4</v>
      </c>
      <c r="S54" s="2409">
        <v>114.3</v>
      </c>
      <c r="T54" s="2409">
        <v>115.5</v>
      </c>
      <c r="U54" s="2409">
        <v>120.3</v>
      </c>
      <c r="V54" s="2409">
        <v>119.4</v>
      </c>
      <c r="W54" s="2409">
        <v>119.4</v>
      </c>
      <c r="X54" s="2409">
        <v>119.4</v>
      </c>
      <c r="Y54" s="2409">
        <v>118.8</v>
      </c>
      <c r="Z54" s="2409">
        <v>118.5</v>
      </c>
      <c r="AA54" s="2409">
        <v>122.4</v>
      </c>
      <c r="AB54" s="2409">
        <v>123.9</v>
      </c>
      <c r="AC54" s="2409">
        <v>128.1</v>
      </c>
      <c r="AD54" s="2409">
        <v>131.6</v>
      </c>
      <c r="AE54" s="2409">
        <v>131.9</v>
      </c>
      <c r="AF54" s="2409">
        <v>132.9</v>
      </c>
      <c r="AG54" s="2409">
        <v>134.69999999999999</v>
      </c>
      <c r="AH54" s="2409">
        <v>134.69999999999999</v>
      </c>
      <c r="AI54" s="2409">
        <v>134.69999999999999</v>
      </c>
      <c r="AJ54" s="2409">
        <v>134.69999999999999</v>
      </c>
      <c r="AK54" s="2409">
        <v>134.4</v>
      </c>
      <c r="AL54" s="2409">
        <v>142</v>
      </c>
      <c r="AM54" s="2409">
        <v>141.80000000000001</v>
      </c>
      <c r="AN54" s="2409">
        <v>147.30000000000001</v>
      </c>
      <c r="AO54" s="2409">
        <v>141.80000000000001</v>
      </c>
      <c r="AP54" s="2409">
        <v>141.80000000000001</v>
      </c>
      <c r="AQ54" s="2409">
        <v>141.80000000000001</v>
      </c>
      <c r="AR54" s="2409">
        <v>141.80000000000001</v>
      </c>
      <c r="AS54" s="2409">
        <v>141.80000000000001</v>
      </c>
      <c r="AT54" s="2409">
        <v>143.80000000000001</v>
      </c>
      <c r="AU54" s="2409">
        <v>143.69999999999999</v>
      </c>
      <c r="AV54" s="2409">
        <v>143.5</v>
      </c>
      <c r="AW54" s="2410">
        <v>143.4</v>
      </c>
      <c r="AX54" s="2410">
        <v>143.6</v>
      </c>
      <c r="AY54" s="2410">
        <v>143.6</v>
      </c>
      <c r="AZ54" s="2410">
        <v>143.6</v>
      </c>
      <c r="BA54" s="2410">
        <v>147.9</v>
      </c>
      <c r="BB54" s="2410">
        <v>147.9</v>
      </c>
      <c r="BC54" s="2410">
        <v>152.19999999999999</v>
      </c>
      <c r="BD54" s="2411">
        <v>152.5</v>
      </c>
      <c r="BE54" s="2410">
        <v>152.5</v>
      </c>
      <c r="BF54" s="2411">
        <v>152.5</v>
      </c>
      <c r="BG54" s="2411">
        <v>156.30000000000001</v>
      </c>
      <c r="BH54" s="2411">
        <v>160.9</v>
      </c>
      <c r="BI54" s="2412">
        <v>160.9</v>
      </c>
      <c r="BJ54" s="2412">
        <v>162.9</v>
      </c>
      <c r="BK54" s="2412">
        <v>163.30000000000001</v>
      </c>
      <c r="BL54" s="2412">
        <v>163.6</v>
      </c>
      <c r="BM54" s="2412">
        <v>171.4</v>
      </c>
      <c r="BN54" s="2412">
        <v>174.1</v>
      </c>
      <c r="BO54" s="2412">
        <v>176</v>
      </c>
      <c r="BP54" s="2412">
        <v>178</v>
      </c>
      <c r="BQ54" s="2412">
        <v>177.3</v>
      </c>
      <c r="BR54" s="2412">
        <v>178.8</v>
      </c>
      <c r="BS54" s="2412">
        <v>182.5</v>
      </c>
      <c r="BT54" s="2412">
        <v>182.5</v>
      </c>
      <c r="BU54" s="2412">
        <v>182.5</v>
      </c>
      <c r="BV54" s="2412">
        <v>182.5</v>
      </c>
      <c r="BW54" s="2412">
        <v>184.8</v>
      </c>
      <c r="BX54" s="2412">
        <v>190.3</v>
      </c>
      <c r="BY54" s="2412">
        <v>184.7</v>
      </c>
      <c r="BZ54" s="2412">
        <v>191.7</v>
      </c>
      <c r="CA54" s="2412">
        <v>193.3</v>
      </c>
      <c r="CB54" s="2412">
        <v>195.4</v>
      </c>
      <c r="CC54" s="2412">
        <v>221</v>
      </c>
      <c r="CD54" s="2412">
        <v>235.8</v>
      </c>
      <c r="CE54" s="2412">
        <v>237.5</v>
      </c>
      <c r="CF54" s="2412">
        <v>241.1</v>
      </c>
      <c r="CG54" s="2412">
        <v>247</v>
      </c>
      <c r="CH54" s="2412">
        <v>253.1</v>
      </c>
      <c r="CI54" s="2412">
        <v>253.5</v>
      </c>
      <c r="CJ54" s="2412">
        <v>265.7</v>
      </c>
      <c r="CK54" s="2412">
        <v>268.39999999999998</v>
      </c>
      <c r="CL54" s="2412">
        <v>273.60000000000002</v>
      </c>
      <c r="CM54" s="2412">
        <v>274.3</v>
      </c>
      <c r="CN54" s="2412">
        <v>274.3</v>
      </c>
      <c r="CO54" s="2412">
        <v>274.3</v>
      </c>
      <c r="CP54" s="2412">
        <v>274.7</v>
      </c>
      <c r="CQ54" s="2412">
        <v>274.7</v>
      </c>
      <c r="CR54" s="2412">
        <v>274.60000000000002</v>
      </c>
      <c r="CS54" s="2412">
        <v>266.39999999999998</v>
      </c>
      <c r="CT54" s="2412">
        <v>260.89999999999998</v>
      </c>
      <c r="CU54" s="2412">
        <v>263.3</v>
      </c>
      <c r="CV54" s="2412">
        <v>263.3</v>
      </c>
      <c r="CW54" s="2412">
        <v>263.3</v>
      </c>
      <c r="CX54" s="2412">
        <v>257.89999999999998</v>
      </c>
      <c r="CY54" s="2412">
        <v>259</v>
      </c>
      <c r="CZ54" s="2412">
        <v>264.10000000000002</v>
      </c>
      <c r="DA54" s="2412">
        <v>262.39999999999998</v>
      </c>
      <c r="DB54" s="2412">
        <v>262.10000000000002</v>
      </c>
      <c r="DC54" s="2412">
        <v>278.3</v>
      </c>
      <c r="DD54" s="2412">
        <v>278.5</v>
      </c>
      <c r="DE54" s="2412">
        <v>284.7</v>
      </c>
      <c r="DF54" s="2412">
        <v>291.3</v>
      </c>
      <c r="DG54" s="2412">
        <v>291.3</v>
      </c>
      <c r="DH54" s="2412">
        <v>291.89999999999998</v>
      </c>
      <c r="DI54" s="2412">
        <v>296.3</v>
      </c>
      <c r="DJ54" s="2412">
        <v>297.8</v>
      </c>
      <c r="DK54" s="2412">
        <v>299.3</v>
      </c>
      <c r="DL54" s="2412">
        <v>300.5</v>
      </c>
      <c r="DM54" s="2412">
        <v>300.7</v>
      </c>
      <c r="DN54" s="2412">
        <v>301</v>
      </c>
      <c r="DO54" s="2412">
        <v>297.89999999999998</v>
      </c>
      <c r="DP54" s="2412">
        <v>296.60000000000002</v>
      </c>
      <c r="DQ54" s="2412">
        <v>304.2</v>
      </c>
      <c r="DR54" s="2412">
        <v>301.2</v>
      </c>
      <c r="DS54" s="2412">
        <v>304.89999999999998</v>
      </c>
      <c r="DT54" s="2412">
        <v>304.89999999999998</v>
      </c>
      <c r="DU54" s="2412">
        <v>305.7</v>
      </c>
      <c r="DV54" s="2412">
        <v>310</v>
      </c>
      <c r="DW54" s="2412">
        <v>310</v>
      </c>
      <c r="DX54" s="2412">
        <v>317.5</v>
      </c>
      <c r="DY54" s="2412">
        <v>319.60000000000002</v>
      </c>
      <c r="DZ54" s="2412">
        <v>327.39999999999998</v>
      </c>
      <c r="EA54" s="2412">
        <v>330.9</v>
      </c>
      <c r="EB54" s="2412">
        <v>336.8</v>
      </c>
      <c r="EC54" s="2412">
        <v>338.5</v>
      </c>
      <c r="ED54" s="2412">
        <v>350.1</v>
      </c>
      <c r="EE54" s="2412">
        <v>349.5</v>
      </c>
      <c r="EF54" s="2412">
        <v>356.5</v>
      </c>
      <c r="EG54" s="2412">
        <v>358.3</v>
      </c>
      <c r="EH54" s="2412">
        <v>360.6</v>
      </c>
      <c r="EI54" s="2412">
        <v>377.8</v>
      </c>
      <c r="EJ54" s="2412">
        <v>383.3</v>
      </c>
      <c r="EK54" s="2412">
        <v>384.3</v>
      </c>
      <c r="EL54" s="2412">
        <v>416.3</v>
      </c>
      <c r="EM54" s="2412">
        <v>419</v>
      </c>
      <c r="EN54" s="2412">
        <v>419</v>
      </c>
      <c r="EO54" s="2412">
        <v>431.9</v>
      </c>
      <c r="EP54" s="2412">
        <v>428.9</v>
      </c>
      <c r="EQ54" s="2412">
        <v>435.4</v>
      </c>
      <c r="ER54" s="2412">
        <v>437.8</v>
      </c>
      <c r="ES54" s="2412">
        <v>443.8</v>
      </c>
      <c r="ET54" s="2412">
        <v>460.5</v>
      </c>
      <c r="EU54" s="2412">
        <v>478.2</v>
      </c>
      <c r="EV54" s="2412">
        <v>478.2</v>
      </c>
      <c r="EW54" s="2412">
        <v>481.1</v>
      </c>
      <c r="EX54" s="2412">
        <v>489</v>
      </c>
      <c r="EY54" s="2412">
        <v>492.5</v>
      </c>
      <c r="EZ54" s="2412">
        <v>553</v>
      </c>
      <c r="FA54" s="2412">
        <v>592.9</v>
      </c>
      <c r="FB54" s="2412">
        <v>639.79999999999995</v>
      </c>
      <c r="FC54" s="2412">
        <v>690</v>
      </c>
      <c r="FD54" s="2412">
        <v>673.9</v>
      </c>
      <c r="FE54" s="2412">
        <v>696.6</v>
      </c>
      <c r="FF54" s="2412">
        <v>679.1</v>
      </c>
      <c r="FG54" s="2412">
        <v>671.3</v>
      </c>
      <c r="FH54" s="2412">
        <v>703.7</v>
      </c>
      <c r="FI54" s="2412">
        <v>712.9</v>
      </c>
      <c r="FJ54" s="2412">
        <v>712.9</v>
      </c>
      <c r="FK54" s="2412">
        <v>738.9</v>
      </c>
      <c r="FL54" s="2412">
        <v>744.7</v>
      </c>
      <c r="FM54" s="2412">
        <v>744.7</v>
      </c>
      <c r="FN54" s="2412">
        <v>773.1</v>
      </c>
      <c r="FO54" s="2412">
        <v>784.5</v>
      </c>
      <c r="FP54" s="2412">
        <v>790.9</v>
      </c>
      <c r="FQ54" s="2412">
        <v>790.9</v>
      </c>
      <c r="FR54" s="2412">
        <v>803</v>
      </c>
      <c r="FS54" s="2412">
        <v>823.2</v>
      </c>
      <c r="FT54" s="2412">
        <v>826.6</v>
      </c>
      <c r="FU54" s="2412">
        <v>826.8</v>
      </c>
      <c r="FV54" s="2412">
        <v>897.3</v>
      </c>
      <c r="FW54" s="2413">
        <v>861.32379708781821</v>
      </c>
      <c r="FX54" s="2413">
        <v>874.76165121332645</v>
      </c>
      <c r="FY54" s="2413"/>
      <c r="FZ54" s="2413"/>
      <c r="GA54" s="2413"/>
      <c r="GB54" s="2413"/>
      <c r="GC54" s="2413"/>
      <c r="GD54" s="2413"/>
      <c r="GE54" s="2413"/>
      <c r="GF54" s="2414"/>
      <c r="GG54" s="2415"/>
      <c r="GH54" s="2414"/>
      <c r="GI54" s="2414"/>
      <c r="GJ54" s="2413"/>
      <c r="GK54" s="2413"/>
      <c r="GL54" s="2413"/>
      <c r="GM54" s="2414"/>
      <c r="GN54" s="2414"/>
      <c r="GO54" s="2416"/>
      <c r="GP54" s="2417"/>
      <c r="GQ54" s="2417"/>
      <c r="GR54" s="2417"/>
      <c r="GS54" s="2417"/>
      <c r="GT54" s="2415"/>
      <c r="GU54" s="2415"/>
      <c r="GV54" s="2415"/>
      <c r="GW54" s="2415"/>
      <c r="GX54" s="2415"/>
      <c r="GY54" s="2415"/>
      <c r="GZ54" s="2415"/>
      <c r="HA54" s="2415"/>
      <c r="HB54" s="2415"/>
      <c r="HC54" s="2415"/>
      <c r="HD54" s="2415"/>
      <c r="HE54" s="2415"/>
      <c r="HF54" s="2415"/>
      <c r="HG54" s="2415"/>
      <c r="HH54" s="2418"/>
      <c r="HI54" s="2415"/>
      <c r="HJ54" s="2415"/>
      <c r="HK54" s="2415"/>
      <c r="HL54" s="2415"/>
      <c r="HM54" s="2415"/>
      <c r="HN54" s="2415"/>
      <c r="HO54" s="2415"/>
      <c r="HP54" s="2415"/>
      <c r="HQ54" s="2415"/>
      <c r="HR54" s="2415"/>
      <c r="HS54" s="2415"/>
      <c r="HT54" s="2419"/>
      <c r="HU54" s="2420">
        <f>+'Baldosa Ceramica'!C14</f>
        <v>100</v>
      </c>
      <c r="HV54" s="2417">
        <f>+'Baldosa Ceramica'!D14</f>
        <v>102.55175148332152</v>
      </c>
      <c r="HW54" s="2417">
        <f>+'Baldosa Ceramica'!E14</f>
        <v>103.69694392177844</v>
      </c>
      <c r="HX54" s="2417">
        <f>+'Baldosa Ceramica'!F14</f>
        <v>110.34781631132893</v>
      </c>
      <c r="HY54" s="2417">
        <f>+'Baldosa Ceramica'!G14</f>
        <v>111.53080615484581</v>
      </c>
      <c r="HZ54" s="2417">
        <f>+'Baldosa Ceramica'!H14</f>
        <v>115.1221159227939</v>
      </c>
      <c r="IA54" s="2417">
        <f>+'Baldosa Ceramica'!I14</f>
        <v>125.73346417823032</v>
      </c>
      <c r="IB54" s="2417">
        <f>+'Baldosa Ceramica'!J14</f>
        <v>134.44686741145779</v>
      </c>
      <c r="IC54" s="2417">
        <f>+'Baldosa Ceramica'!K14</f>
        <v>141.33386244587828</v>
      </c>
      <c r="ID54" s="2417">
        <f>+'Baldosa Ceramica'!L14</f>
        <v>153.23330079291085</v>
      </c>
      <c r="IE54" s="2417">
        <f>+'Baldosa Ceramica'!M14</f>
        <v>164.16484779030264</v>
      </c>
      <c r="IF54" s="2419">
        <f>+'Baldosa Ceramica'!N14</f>
        <v>164.48540290386555</v>
      </c>
      <c r="IG54" s="2420">
        <f>+'Baldosa Ceramica'!C21</f>
        <v>170.71890018000082</v>
      </c>
      <c r="IH54" s="2417">
        <f>+'Baldosa Ceramica'!D21</f>
        <v>180.10697328189707</v>
      </c>
      <c r="II54" s="2417">
        <f>+'Baldosa Ceramica'!E21</f>
        <v>188.92182996512324</v>
      </c>
      <c r="IJ54" s="2417">
        <f>+'Baldosa Ceramica'!F21</f>
        <v>192.93996763918088</v>
      </c>
      <c r="IK54" s="2417">
        <f>+'Baldosa Ceramica'!G21</f>
        <v>194.3222063789508</v>
      </c>
      <c r="IL54" s="2417">
        <f>+'Baldosa Ceramica'!H21</f>
        <v>198.55670946480379</v>
      </c>
      <c r="IM54" s="2417">
        <f>+'Baldosa Ceramica'!I21</f>
        <v>196.38974246200564</v>
      </c>
      <c r="IN54" s="2417">
        <f>+'Baldosa Ceramica'!J21</f>
        <v>201.78933668489802</v>
      </c>
      <c r="IO54" s="2417">
        <f>+'Baldosa Ceramica'!K21</f>
        <v>204.99665813981895</v>
      </c>
      <c r="IP54" s="2417">
        <f>+'Baldosa Ceramica'!L21</f>
        <v>211.32295727592805</v>
      </c>
      <c r="IQ54" s="2417">
        <f>+'Baldosa Ceramica'!M21</f>
        <v>218.11277267005426</v>
      </c>
      <c r="IR54" s="2419">
        <f>+'Baldosa Ceramica'!N21</f>
        <v>227.07656539525175</v>
      </c>
      <c r="IS54" s="2420">
        <f>+'Baldosa Ceramica'!C28</f>
        <v>235.06128771925543</v>
      </c>
      <c r="IT54" s="2417">
        <f>+'Baldosa Ceramica'!D28</f>
        <v>235.67521028143946</v>
      </c>
      <c r="IU54" s="2417">
        <f>+'Baldosa Ceramica'!E28</f>
        <v>243.89838460736897</v>
      </c>
      <c r="IV54" s="2417">
        <f>+'Baldosa Ceramica'!F28</f>
        <v>262.40793749560623</v>
      </c>
      <c r="IW54" s="2417">
        <f>+'Baldosa Ceramica'!G28</f>
        <v>267.4274242993219</v>
      </c>
      <c r="IX54" s="2417">
        <f>+'Baldosa Ceramica'!H28</f>
        <v>271.64185154336627</v>
      </c>
      <c r="IY54" s="2417">
        <f>+'Baldosa Ceramica'!I28</f>
        <v>294.91555423435744</v>
      </c>
      <c r="IZ54" s="2417">
        <f>+'Baldosa Ceramica'!J28</f>
        <v>312.68534074842506</v>
      </c>
      <c r="JA54" s="2417">
        <f>+'Baldosa Ceramica'!K28</f>
        <v>325.20281868222844</v>
      </c>
      <c r="JB54" s="2417">
        <f>+'Baldosa Ceramica'!L28</f>
        <v>337.21708142271308</v>
      </c>
      <c r="JC54" s="2417">
        <f>+'Baldosa Ceramica'!M28</f>
        <v>344.75316636457876</v>
      </c>
      <c r="JD54" s="2415">
        <f>+'Baldosa Ceramica'!N28</f>
        <v>365.90034744188063</v>
      </c>
      <c r="JE54" s="2422">
        <f>+'Baldosa Ceramica'!C35</f>
        <v>382.25484122473932</v>
      </c>
      <c r="JF54" s="2418">
        <f>+'Baldosa Ceramica'!D35</f>
        <v>393.76588877190522</v>
      </c>
      <c r="JG54" s="2103">
        <f t="shared" si="12"/>
        <v>1.030113542866546</v>
      </c>
      <c r="JI54" s="2155"/>
      <c r="JJ54" s="2104"/>
    </row>
    <row r="55" spans="1:270" hidden="1">
      <c r="B55" s="2105">
        <v>30</v>
      </c>
      <c r="C55" s="2106" t="s">
        <v>540</v>
      </c>
      <c r="D55" s="2425">
        <v>16</v>
      </c>
      <c r="E55" s="2107" t="s">
        <v>17</v>
      </c>
      <c r="F55" s="2106" t="s">
        <v>918</v>
      </c>
      <c r="G55" s="2425" t="s">
        <v>1112</v>
      </c>
      <c r="H55" s="2106" t="s">
        <v>929</v>
      </c>
      <c r="I55" s="2106" t="s">
        <v>930</v>
      </c>
      <c r="J55" s="2359" t="s">
        <v>921</v>
      </c>
      <c r="K55" s="2425"/>
      <c r="L55" s="2110">
        <v>95.2</v>
      </c>
      <c r="M55" s="2110">
        <v>96.8</v>
      </c>
      <c r="N55" s="2110">
        <v>97.5</v>
      </c>
      <c r="O55" s="2110">
        <v>103.8</v>
      </c>
      <c r="P55" s="2110">
        <v>123.4</v>
      </c>
      <c r="Q55" s="2110">
        <v>123.3</v>
      </c>
      <c r="R55" s="2110">
        <v>132.6</v>
      </c>
      <c r="S55" s="2110">
        <v>139.5</v>
      </c>
      <c r="T55" s="2110">
        <v>139.5</v>
      </c>
      <c r="U55" s="2110">
        <v>139.5</v>
      </c>
      <c r="V55" s="2110">
        <v>138.1</v>
      </c>
      <c r="W55" s="2110">
        <v>140.30000000000001</v>
      </c>
      <c r="X55" s="2110">
        <v>140.30000000000001</v>
      </c>
      <c r="Y55" s="2110">
        <v>140.30000000000001</v>
      </c>
      <c r="Z55" s="2110">
        <v>140.30000000000001</v>
      </c>
      <c r="AA55" s="2110">
        <v>142.19999999999999</v>
      </c>
      <c r="AB55" s="2110">
        <v>138.9</v>
      </c>
      <c r="AC55" s="2110">
        <v>139.6</v>
      </c>
      <c r="AD55" s="2110">
        <v>149.1</v>
      </c>
      <c r="AE55" s="2110">
        <v>149.1</v>
      </c>
      <c r="AF55" s="2110">
        <v>147.69999999999999</v>
      </c>
      <c r="AG55" s="2110">
        <v>149.1</v>
      </c>
      <c r="AH55" s="2110">
        <v>149.1</v>
      </c>
      <c r="AI55" s="2110">
        <v>148</v>
      </c>
      <c r="AJ55" s="2110">
        <v>148</v>
      </c>
      <c r="AK55" s="2110">
        <v>153.30000000000001</v>
      </c>
      <c r="AL55" s="2110">
        <v>161</v>
      </c>
      <c r="AM55" s="2110">
        <v>164.7</v>
      </c>
      <c r="AN55" s="2110">
        <v>164.2</v>
      </c>
      <c r="AO55" s="2110">
        <v>169.6</v>
      </c>
      <c r="AP55" s="2110">
        <v>169.7</v>
      </c>
      <c r="AQ55" s="2110">
        <v>169.7</v>
      </c>
      <c r="AR55" s="2110">
        <v>169.7</v>
      </c>
      <c r="AS55" s="2110">
        <v>172</v>
      </c>
      <c r="AT55" s="2110">
        <v>172</v>
      </c>
      <c r="AU55" s="2110">
        <v>172</v>
      </c>
      <c r="AV55" s="2110">
        <v>172</v>
      </c>
      <c r="AW55" s="2111">
        <v>172</v>
      </c>
      <c r="AX55" s="2111">
        <v>172</v>
      </c>
      <c r="AY55" s="2111">
        <v>172</v>
      </c>
      <c r="AZ55" s="2111">
        <v>172</v>
      </c>
      <c r="BA55" s="2111">
        <v>173.6</v>
      </c>
      <c r="BB55" s="2111">
        <v>176.6</v>
      </c>
      <c r="BC55" s="2111">
        <v>176.6</v>
      </c>
      <c r="BD55" s="2112">
        <v>179.6</v>
      </c>
      <c r="BE55" s="2111">
        <v>181.8</v>
      </c>
      <c r="BF55" s="2112">
        <v>181.8</v>
      </c>
      <c r="BG55" s="2112">
        <v>181.8</v>
      </c>
      <c r="BH55" s="2112">
        <v>184.9</v>
      </c>
      <c r="BI55" s="2108">
        <v>186.1</v>
      </c>
      <c r="BJ55" s="2108">
        <v>195.6</v>
      </c>
      <c r="BK55" s="2108">
        <v>195.6</v>
      </c>
      <c r="BL55" s="2108">
        <v>196.2</v>
      </c>
      <c r="BM55" s="2108">
        <v>210</v>
      </c>
      <c r="BN55" s="2108">
        <v>210</v>
      </c>
      <c r="BO55" s="2108">
        <v>210</v>
      </c>
      <c r="BP55" s="2108">
        <v>210</v>
      </c>
      <c r="BQ55" s="2108">
        <v>210</v>
      </c>
      <c r="BR55" s="2108">
        <v>210</v>
      </c>
      <c r="BS55" s="2108">
        <v>210</v>
      </c>
      <c r="BT55" s="2108">
        <v>210</v>
      </c>
      <c r="BU55" s="2108">
        <v>210</v>
      </c>
      <c r="BV55" s="2108">
        <v>219.8</v>
      </c>
      <c r="BW55" s="2108">
        <v>219.8</v>
      </c>
      <c r="BX55" s="2108">
        <v>223.7</v>
      </c>
      <c r="BY55" s="2108">
        <v>223.8</v>
      </c>
      <c r="BZ55" s="2108">
        <v>232</v>
      </c>
      <c r="CA55" s="2108">
        <v>232</v>
      </c>
      <c r="CB55" s="2108">
        <v>238.8</v>
      </c>
      <c r="CC55" s="2108">
        <v>243.4</v>
      </c>
      <c r="CD55" s="2108">
        <v>250.5</v>
      </c>
      <c r="CE55" s="2108">
        <v>250.5</v>
      </c>
      <c r="CF55" s="2108">
        <v>250.5</v>
      </c>
      <c r="CG55" s="2108">
        <v>257.10000000000002</v>
      </c>
      <c r="CH55" s="2108">
        <v>257.10000000000002</v>
      </c>
      <c r="CI55" s="2108">
        <v>258.89999999999998</v>
      </c>
      <c r="CJ55" s="2108">
        <v>265.60000000000002</v>
      </c>
      <c r="CK55" s="2108">
        <v>271.10000000000002</v>
      </c>
      <c r="CL55" s="2108">
        <v>274.89999999999998</v>
      </c>
      <c r="CM55" s="2108">
        <v>274.89999999999998</v>
      </c>
      <c r="CN55" s="2108">
        <v>274.89999999999998</v>
      </c>
      <c r="CO55" s="2108">
        <v>274.89999999999998</v>
      </c>
      <c r="CP55" s="2108">
        <v>274.10000000000002</v>
      </c>
      <c r="CQ55" s="2108">
        <v>268.3</v>
      </c>
      <c r="CR55" s="2108">
        <v>268.3</v>
      </c>
      <c r="CS55" s="2108">
        <v>268.3</v>
      </c>
      <c r="CT55" s="2108">
        <v>268.3</v>
      </c>
      <c r="CU55" s="2108">
        <v>268.3</v>
      </c>
      <c r="CV55" s="2108">
        <v>271.2</v>
      </c>
      <c r="CW55" s="2108">
        <v>268.3</v>
      </c>
      <c r="CX55" s="2108">
        <v>263.3</v>
      </c>
      <c r="CY55" s="2108">
        <v>263.3</v>
      </c>
      <c r="CZ55" s="2108">
        <v>269.2</v>
      </c>
      <c r="DA55" s="2108">
        <v>272.5</v>
      </c>
      <c r="DB55" s="2108">
        <v>271.5</v>
      </c>
      <c r="DC55" s="2108">
        <v>275.8</v>
      </c>
      <c r="DD55" s="2108">
        <v>277.7</v>
      </c>
      <c r="DE55" s="2108">
        <v>282.10000000000002</v>
      </c>
      <c r="DF55" s="2108">
        <v>286.39999999999998</v>
      </c>
      <c r="DG55" s="2108">
        <v>290.7</v>
      </c>
      <c r="DH55" s="2108">
        <v>295.3</v>
      </c>
      <c r="DI55" s="2108">
        <v>297.60000000000002</v>
      </c>
      <c r="DJ55" s="2108">
        <v>300.5</v>
      </c>
      <c r="DK55" s="2108">
        <v>301.2</v>
      </c>
      <c r="DL55" s="2108">
        <v>301.2</v>
      </c>
      <c r="DM55" s="2108">
        <v>298.89999999999998</v>
      </c>
      <c r="DN55" s="2108">
        <v>304.89999999999998</v>
      </c>
      <c r="DO55" s="2108">
        <v>314.39999999999998</v>
      </c>
      <c r="DP55" s="2108">
        <v>320.2</v>
      </c>
      <c r="DQ55" s="2108">
        <v>322</v>
      </c>
      <c r="DR55" s="2108">
        <v>323.39999999999998</v>
      </c>
      <c r="DS55" s="2108">
        <v>328.1</v>
      </c>
      <c r="DT55" s="2108">
        <v>328.5</v>
      </c>
      <c r="DU55" s="2108">
        <v>336.8</v>
      </c>
      <c r="DV55" s="2108">
        <v>339.5</v>
      </c>
      <c r="DW55" s="2108">
        <v>345.6</v>
      </c>
      <c r="DX55" s="2108">
        <v>354.5</v>
      </c>
      <c r="DY55" s="2108">
        <v>360.8</v>
      </c>
      <c r="DZ55" s="2108">
        <v>373.9</v>
      </c>
      <c r="EA55" s="2108">
        <v>383</v>
      </c>
      <c r="EB55" s="2108">
        <v>383</v>
      </c>
      <c r="EC55" s="2108">
        <v>383</v>
      </c>
      <c r="ED55" s="2108">
        <v>392.9</v>
      </c>
      <c r="EE55" s="2108">
        <v>398.2</v>
      </c>
      <c r="EF55" s="2108">
        <v>407.2</v>
      </c>
      <c r="EG55" s="2108">
        <v>413.5</v>
      </c>
      <c r="EH55" s="2108">
        <v>431.2</v>
      </c>
      <c r="EI55" s="2108">
        <v>437.3</v>
      </c>
      <c r="EJ55" s="2108">
        <v>459.2</v>
      </c>
      <c r="EK55" s="2108">
        <v>470</v>
      </c>
      <c r="EL55" s="2108">
        <v>477.9</v>
      </c>
      <c r="EM55" s="2108">
        <v>480.6</v>
      </c>
      <c r="EN55" s="2108">
        <v>483.5</v>
      </c>
      <c r="EO55" s="2108">
        <v>487.4</v>
      </c>
      <c r="EP55" s="2108">
        <v>491.3</v>
      </c>
      <c r="EQ55" s="2108">
        <v>495.8</v>
      </c>
      <c r="ER55" s="2108">
        <v>491.9</v>
      </c>
      <c r="ES55" s="2108">
        <v>492</v>
      </c>
      <c r="ET55" s="2108">
        <v>499.4</v>
      </c>
      <c r="EU55" s="2108">
        <v>513.5</v>
      </c>
      <c r="EV55" s="2108">
        <v>513.5</v>
      </c>
      <c r="EW55" s="2108">
        <v>513.5</v>
      </c>
      <c r="EX55" s="2108">
        <v>513.5</v>
      </c>
      <c r="EY55" s="2108">
        <v>513.1</v>
      </c>
      <c r="EZ55" s="2108">
        <v>524</v>
      </c>
      <c r="FA55" s="2108">
        <v>537.6</v>
      </c>
      <c r="FB55" s="2108">
        <v>537.6</v>
      </c>
      <c r="FC55" s="2108">
        <v>537.6</v>
      </c>
      <c r="FD55" s="2108">
        <v>585.70000000000005</v>
      </c>
      <c r="FE55" s="2108">
        <v>603.5</v>
      </c>
      <c r="FF55" s="2108">
        <v>627.20000000000005</v>
      </c>
      <c r="FG55" s="2108">
        <v>627.20000000000005</v>
      </c>
      <c r="FH55" s="2108">
        <v>662.7</v>
      </c>
      <c r="FI55" s="2108">
        <v>682.1</v>
      </c>
      <c r="FJ55" s="2108">
        <v>682.1</v>
      </c>
      <c r="FK55" s="2108">
        <v>707.4</v>
      </c>
      <c r="FL55" s="2108">
        <v>707.4</v>
      </c>
      <c r="FM55" s="2108">
        <v>707.4</v>
      </c>
      <c r="FN55" s="2108">
        <v>725</v>
      </c>
      <c r="FO55" s="2108">
        <v>737.8</v>
      </c>
      <c r="FP55" s="2108">
        <v>737.8</v>
      </c>
      <c r="FQ55" s="2108">
        <v>739.4</v>
      </c>
      <c r="FR55" s="2108">
        <v>776.8</v>
      </c>
      <c r="FS55" s="2108">
        <v>786.5</v>
      </c>
      <c r="FT55" s="2108">
        <v>786.5</v>
      </c>
      <c r="FU55" s="2108">
        <v>786.5</v>
      </c>
      <c r="FV55" s="2108">
        <v>812.7</v>
      </c>
      <c r="FW55" s="2113">
        <v>668.59246063107173</v>
      </c>
      <c r="FX55" s="2113">
        <v>743.88240680874674</v>
      </c>
      <c r="FY55" s="2113">
        <v>764.12716946124044</v>
      </c>
      <c r="FZ55" s="2113">
        <v>764.12716946124044</v>
      </c>
      <c r="GA55" s="2113">
        <v>1023.2301245373582</v>
      </c>
      <c r="GB55" s="2113">
        <v>1023.2301245373582</v>
      </c>
      <c r="GC55" s="2113">
        <v>1023.2301245373582</v>
      </c>
      <c r="GD55" s="2113">
        <v>1023.2301245373582</v>
      </c>
      <c r="GE55" s="2113">
        <v>1027.5237690113538</v>
      </c>
      <c r="GF55" s="2114">
        <v>1068.3137999942528</v>
      </c>
      <c r="GG55" s="1960">
        <v>1068.3137999942528</v>
      </c>
      <c r="GH55" s="2114">
        <v>1083.3417003356351</v>
      </c>
      <c r="GI55" s="2114">
        <v>1118.4640681357134</v>
      </c>
      <c r="GJ55" s="2113">
        <v>1118.4640681357134</v>
      </c>
      <c r="GK55" s="2113">
        <v>1146.5877740420967</v>
      </c>
      <c r="GL55" s="2113">
        <v>1146.5877740420967</v>
      </c>
      <c r="GM55" s="2114">
        <v>1152.8135896386586</v>
      </c>
      <c r="GN55" s="2114">
        <v>1135.6366340608404</v>
      </c>
      <c r="GO55" s="2115">
        <v>1135.6366340608404</v>
      </c>
      <c r="GP55" s="2116">
        <v>1150.5143180786636</v>
      </c>
      <c r="GQ55" s="2116">
        <v>1176.4910429844426</v>
      </c>
      <c r="GR55" s="2116">
        <v>1187.2467128269811</v>
      </c>
      <c r="GS55" s="2116">
        <v>1187.2467128269811</v>
      </c>
      <c r="GT55" s="1960">
        <v>1187.2467128269811</v>
      </c>
      <c r="GU55" s="1960">
        <v>1204.6361821960245</v>
      </c>
      <c r="GV55" s="1960">
        <v>1204.6361821960245</v>
      </c>
      <c r="GW55" s="1960">
        <v>1204.6361821960245</v>
      </c>
      <c r="GX55" s="1960">
        <v>1226.2334792232989</v>
      </c>
      <c r="GY55" s="1960">
        <v>1245.5550506707639</v>
      </c>
      <c r="GZ55" s="1960">
        <v>1240.5584176432524</v>
      </c>
      <c r="HA55" s="1960">
        <v>1345.9004876860085</v>
      </c>
      <c r="HB55" s="1960">
        <v>1204.618133779062</v>
      </c>
      <c r="HC55" s="1960">
        <v>1204.618133779062</v>
      </c>
      <c r="HD55" s="1960">
        <v>1204.618133779062</v>
      </c>
      <c r="HE55" s="1960">
        <v>1300.2789855791641</v>
      </c>
      <c r="HF55" s="1960">
        <v>1300.2789855791641</v>
      </c>
      <c r="HG55" s="1960">
        <v>1300.2789855791641</v>
      </c>
      <c r="HH55" s="2117">
        <v>1298.2136456882963</v>
      </c>
      <c r="HI55" s="1960">
        <v>1300.2789855791641</v>
      </c>
      <c r="HJ55" s="1960">
        <v>1300.2789855791639</v>
      </c>
      <c r="HK55" s="1960">
        <v>1300.2789855791639</v>
      </c>
      <c r="HL55" s="1960">
        <v>1300.2789855791639</v>
      </c>
      <c r="HM55" s="1960">
        <v>1492.9456925415407</v>
      </c>
      <c r="HN55" s="1960">
        <v>1731.344925658846</v>
      </c>
      <c r="HO55" s="1960">
        <v>1495.3060809882468</v>
      </c>
      <c r="HP55" s="1960">
        <v>1495.3060809882468</v>
      </c>
      <c r="HQ55" s="1960">
        <v>1495.3060809882468</v>
      </c>
      <c r="HR55" s="1960">
        <v>1495.3060809882468</v>
      </c>
      <c r="HS55" s="1960">
        <v>1495.3060809882468</v>
      </c>
      <c r="HT55" s="1962">
        <v>1495.3060809882468</v>
      </c>
      <c r="HU55" s="1961"/>
      <c r="HV55" s="1960">
        <v>0</v>
      </c>
      <c r="HW55" s="1960">
        <v>0</v>
      </c>
      <c r="HX55" s="1960">
        <v>0</v>
      </c>
      <c r="HY55" s="1960">
        <v>0</v>
      </c>
      <c r="HZ55" s="1960">
        <v>0</v>
      </c>
      <c r="IA55" s="1960">
        <v>0</v>
      </c>
      <c r="IB55" s="1960">
        <v>0</v>
      </c>
      <c r="IC55" s="1960">
        <v>0</v>
      </c>
      <c r="ID55" s="1960">
        <v>0</v>
      </c>
      <c r="IE55" s="1960">
        <v>0</v>
      </c>
      <c r="IF55" s="1960">
        <v>0</v>
      </c>
      <c r="IG55" s="1961">
        <v>0</v>
      </c>
      <c r="IH55" s="1960">
        <v>0</v>
      </c>
      <c r="II55" s="1960">
        <v>0</v>
      </c>
      <c r="IJ55" s="1961">
        <v>0</v>
      </c>
      <c r="IK55" s="1960">
        <v>0</v>
      </c>
      <c r="IL55" s="1960">
        <v>0</v>
      </c>
      <c r="IM55" s="1960">
        <v>0</v>
      </c>
      <c r="IN55" s="1960">
        <v>0</v>
      </c>
      <c r="IO55" s="1960">
        <v>0</v>
      </c>
      <c r="IP55" s="1960">
        <v>0</v>
      </c>
      <c r="IQ55" s="1960">
        <v>0</v>
      </c>
      <c r="IR55" s="1960">
        <v>0</v>
      </c>
      <c r="IS55" s="2274">
        <v>0</v>
      </c>
      <c r="IT55" s="1960">
        <v>0</v>
      </c>
      <c r="IU55" s="1960">
        <v>0</v>
      </c>
      <c r="IV55" s="1960">
        <v>0</v>
      </c>
      <c r="IW55" s="1960">
        <v>0</v>
      </c>
      <c r="IX55" s="1960">
        <v>0</v>
      </c>
      <c r="IY55" s="1960">
        <v>0</v>
      </c>
      <c r="IZ55" s="1960">
        <v>0</v>
      </c>
      <c r="JA55" s="1960">
        <v>0</v>
      </c>
      <c r="JB55" s="1960">
        <v>0</v>
      </c>
      <c r="JC55" s="1960">
        <v>0</v>
      </c>
      <c r="JD55" s="1960">
        <v>0</v>
      </c>
      <c r="JE55" s="2274">
        <v>0</v>
      </c>
      <c r="JF55" s="2117">
        <v>0</v>
      </c>
      <c r="JG55" s="2103" t="e">
        <f t="shared" si="12"/>
        <v>#DIV/0!</v>
      </c>
      <c r="JI55" s="2155"/>
      <c r="JJ55" s="2104"/>
    </row>
    <row r="56" spans="1:270">
      <c r="B56" s="2105">
        <v>31</v>
      </c>
      <c r="C56" s="2106" t="s">
        <v>544</v>
      </c>
      <c r="D56" s="2425" t="s">
        <v>1178</v>
      </c>
      <c r="E56" s="2107" t="s">
        <v>18</v>
      </c>
      <c r="F56" s="2106" t="s">
        <v>918</v>
      </c>
      <c r="G56" s="2425"/>
      <c r="H56" s="2106" t="s">
        <v>929</v>
      </c>
      <c r="I56" s="2106" t="s">
        <v>930</v>
      </c>
      <c r="J56" s="2359" t="s">
        <v>19</v>
      </c>
      <c r="K56" s="2425"/>
      <c r="L56" s="2110">
        <v>70.599999999999994</v>
      </c>
      <c r="M56" s="2110">
        <v>70.900000000000006</v>
      </c>
      <c r="N56" s="2110">
        <v>90.6</v>
      </c>
      <c r="O56" s="2110">
        <v>115.1</v>
      </c>
      <c r="P56" s="2110">
        <v>134.5</v>
      </c>
      <c r="Q56" s="2110">
        <v>156.1</v>
      </c>
      <c r="R56" s="2110">
        <v>173.8</v>
      </c>
      <c r="S56" s="2110">
        <v>192.4</v>
      </c>
      <c r="T56" s="2110">
        <v>208.6</v>
      </c>
      <c r="U56" s="2110">
        <v>208.6</v>
      </c>
      <c r="V56" s="2110">
        <v>208.6</v>
      </c>
      <c r="W56" s="2110">
        <v>212.4</v>
      </c>
      <c r="X56" s="2110">
        <v>211.1</v>
      </c>
      <c r="Y56" s="2110">
        <v>208.7</v>
      </c>
      <c r="Z56" s="2110">
        <v>207.4</v>
      </c>
      <c r="AA56" s="2110">
        <v>208</v>
      </c>
      <c r="AB56" s="2110">
        <v>210.9</v>
      </c>
      <c r="AC56" s="2110">
        <v>209.3</v>
      </c>
      <c r="AD56" s="2110">
        <v>211.8</v>
      </c>
      <c r="AE56" s="2110">
        <v>211.8</v>
      </c>
      <c r="AF56" s="2110">
        <v>211.8</v>
      </c>
      <c r="AG56" s="2110">
        <v>209.8</v>
      </c>
      <c r="AH56" s="2110">
        <v>209.1</v>
      </c>
      <c r="AI56" s="2110">
        <v>207.1</v>
      </c>
      <c r="AJ56" s="2110">
        <v>211</v>
      </c>
      <c r="AK56" s="2110">
        <v>215.8</v>
      </c>
      <c r="AL56" s="2110">
        <v>221.2</v>
      </c>
      <c r="AM56" s="2110">
        <v>237.5</v>
      </c>
      <c r="AN56" s="2110">
        <v>239</v>
      </c>
      <c r="AO56" s="2110">
        <v>243.6</v>
      </c>
      <c r="AP56" s="2110">
        <v>246.3</v>
      </c>
      <c r="AQ56" s="2110">
        <v>249.5</v>
      </c>
      <c r="AR56" s="2110">
        <v>254.2</v>
      </c>
      <c r="AS56" s="2110">
        <v>252.9</v>
      </c>
      <c r="AT56" s="2110">
        <v>252.9</v>
      </c>
      <c r="AU56" s="2110">
        <v>252.9</v>
      </c>
      <c r="AV56" s="2110">
        <v>256.39999999999998</v>
      </c>
      <c r="AW56" s="2111">
        <v>270.10000000000002</v>
      </c>
      <c r="AX56" s="2111">
        <v>273.39999999999998</v>
      </c>
      <c r="AY56" s="2111">
        <v>274.39999999999998</v>
      </c>
      <c r="AZ56" s="2111">
        <v>276.7</v>
      </c>
      <c r="BA56" s="2111">
        <v>283.2</v>
      </c>
      <c r="BB56" s="2111">
        <v>280.7</v>
      </c>
      <c r="BC56" s="2111">
        <v>283.39999999999998</v>
      </c>
      <c r="BD56" s="2112">
        <v>283.89999999999998</v>
      </c>
      <c r="BE56" s="2111">
        <v>287.89999999999998</v>
      </c>
      <c r="BF56" s="2112">
        <v>287.89999999999998</v>
      </c>
      <c r="BG56" s="2112">
        <v>289.39999999999998</v>
      </c>
      <c r="BH56" s="2112">
        <v>288.39999999999998</v>
      </c>
      <c r="BI56" s="2108">
        <v>294.2</v>
      </c>
      <c r="BJ56" s="2108">
        <v>292.60000000000002</v>
      </c>
      <c r="BK56" s="2108">
        <v>304</v>
      </c>
      <c r="BL56" s="2108">
        <v>304</v>
      </c>
      <c r="BM56" s="2108">
        <v>308.5</v>
      </c>
      <c r="BN56" s="2108">
        <v>310.89999999999998</v>
      </c>
      <c r="BO56" s="2108">
        <v>312.3</v>
      </c>
      <c r="BP56" s="2108">
        <v>309.2</v>
      </c>
      <c r="BQ56" s="2108">
        <v>309.2</v>
      </c>
      <c r="BR56" s="2108">
        <v>309.2</v>
      </c>
      <c r="BS56" s="2108">
        <v>309.2</v>
      </c>
      <c r="BT56" s="2108">
        <v>307.3</v>
      </c>
      <c r="BU56" s="2108">
        <v>307.3</v>
      </c>
      <c r="BV56" s="2108">
        <v>309.3</v>
      </c>
      <c r="BW56" s="2108">
        <v>309.3</v>
      </c>
      <c r="BX56" s="2108">
        <v>309.3</v>
      </c>
      <c r="BY56" s="2108">
        <v>309.3</v>
      </c>
      <c r="BZ56" s="2108">
        <v>310.5</v>
      </c>
      <c r="CA56" s="2108">
        <v>305.39999999999998</v>
      </c>
      <c r="CB56" s="2108">
        <v>320.60000000000002</v>
      </c>
      <c r="CC56" s="2108">
        <v>319.7</v>
      </c>
      <c r="CD56" s="2108">
        <v>322.60000000000002</v>
      </c>
      <c r="CE56" s="2108">
        <v>326.60000000000002</v>
      </c>
      <c r="CF56" s="2108">
        <v>328.5</v>
      </c>
      <c r="CG56" s="2108">
        <v>328.5</v>
      </c>
      <c r="CH56" s="2108">
        <v>330.9</v>
      </c>
      <c r="CI56" s="2108">
        <v>332.9</v>
      </c>
      <c r="CJ56" s="2108">
        <v>334.9</v>
      </c>
      <c r="CK56" s="2108">
        <v>340.8</v>
      </c>
      <c r="CL56" s="2108">
        <v>336.4</v>
      </c>
      <c r="CM56" s="2108">
        <v>336.4</v>
      </c>
      <c r="CN56" s="2108">
        <v>343.2</v>
      </c>
      <c r="CO56" s="2108">
        <v>347.3</v>
      </c>
      <c r="CP56" s="2108">
        <v>349.9</v>
      </c>
      <c r="CQ56" s="2108">
        <v>351.9</v>
      </c>
      <c r="CR56" s="2108">
        <v>351.9</v>
      </c>
      <c r="CS56" s="2108">
        <v>352.3</v>
      </c>
      <c r="CT56" s="2108">
        <v>351.8</v>
      </c>
      <c r="CU56" s="2108">
        <v>353.5</v>
      </c>
      <c r="CV56" s="2108">
        <v>353.5</v>
      </c>
      <c r="CW56" s="2108">
        <v>353.5</v>
      </c>
      <c r="CX56" s="2108">
        <v>360.5</v>
      </c>
      <c r="CY56" s="2108">
        <v>368</v>
      </c>
      <c r="CZ56" s="2108">
        <v>373.5</v>
      </c>
      <c r="DA56" s="2108">
        <v>378.5</v>
      </c>
      <c r="DB56" s="2108">
        <v>390.8</v>
      </c>
      <c r="DC56" s="2108">
        <v>391.9</v>
      </c>
      <c r="DD56" s="2108">
        <v>391.9</v>
      </c>
      <c r="DE56" s="2108">
        <v>393.5</v>
      </c>
      <c r="DF56" s="2108">
        <v>398.2</v>
      </c>
      <c r="DG56" s="2108">
        <v>400.8</v>
      </c>
      <c r="DH56" s="2108">
        <v>418.4</v>
      </c>
      <c r="DI56" s="2108">
        <v>421.2</v>
      </c>
      <c r="DJ56" s="2108">
        <v>430.4</v>
      </c>
      <c r="DK56" s="2108">
        <v>440.1</v>
      </c>
      <c r="DL56" s="2108">
        <v>433.6</v>
      </c>
      <c r="DM56" s="2108">
        <v>435.7</v>
      </c>
      <c r="DN56" s="2108">
        <v>436.8</v>
      </c>
      <c r="DO56" s="2108">
        <v>445.4</v>
      </c>
      <c r="DP56" s="2108">
        <v>446.7</v>
      </c>
      <c r="DQ56" s="2108">
        <v>448.7</v>
      </c>
      <c r="DR56" s="2108">
        <v>450.8</v>
      </c>
      <c r="DS56" s="2108">
        <v>451.4</v>
      </c>
      <c r="DT56" s="2108">
        <v>448.2</v>
      </c>
      <c r="DU56" s="2108">
        <v>461</v>
      </c>
      <c r="DV56" s="2108">
        <v>458</v>
      </c>
      <c r="DW56" s="2108">
        <v>459</v>
      </c>
      <c r="DX56" s="2108">
        <v>470.8</v>
      </c>
      <c r="DY56" s="2108">
        <v>472</v>
      </c>
      <c r="DZ56" s="2108">
        <v>478.9</v>
      </c>
      <c r="EA56" s="2108">
        <v>492.1</v>
      </c>
      <c r="EB56" s="2108">
        <v>511.6</v>
      </c>
      <c r="EC56" s="2108">
        <v>520</v>
      </c>
      <c r="ED56" s="2108">
        <v>523</v>
      </c>
      <c r="EE56" s="2108">
        <v>547.29999999999995</v>
      </c>
      <c r="EF56" s="2108">
        <v>554.20000000000005</v>
      </c>
      <c r="EG56" s="2108">
        <v>559.79999999999995</v>
      </c>
      <c r="EH56" s="2108">
        <v>569.79999999999995</v>
      </c>
      <c r="EI56" s="2108">
        <v>587</v>
      </c>
      <c r="EJ56" s="2108">
        <v>609.9</v>
      </c>
      <c r="EK56" s="2108">
        <v>613.9</v>
      </c>
      <c r="EL56" s="2108">
        <v>620.6</v>
      </c>
      <c r="EM56" s="2108">
        <v>625.20000000000005</v>
      </c>
      <c r="EN56" s="2108">
        <v>629.4</v>
      </c>
      <c r="EO56" s="2108">
        <v>634.4</v>
      </c>
      <c r="EP56" s="2108">
        <v>630.79999999999995</v>
      </c>
      <c r="EQ56" s="2108">
        <v>633.5</v>
      </c>
      <c r="ER56" s="2108">
        <v>643.4</v>
      </c>
      <c r="ES56" s="2108">
        <v>650.4</v>
      </c>
      <c r="ET56" s="2108">
        <v>666</v>
      </c>
      <c r="EU56" s="2108">
        <v>692.8</v>
      </c>
      <c r="EV56" s="2108">
        <v>740.6</v>
      </c>
      <c r="EW56" s="2108">
        <v>763.7</v>
      </c>
      <c r="EX56" s="2108">
        <v>729</v>
      </c>
      <c r="EY56" s="2108">
        <v>750.6</v>
      </c>
      <c r="EZ56" s="2108">
        <v>785.3</v>
      </c>
      <c r="FA56" s="2108">
        <v>904.7</v>
      </c>
      <c r="FB56" s="2108">
        <v>963</v>
      </c>
      <c r="FC56" s="2108">
        <v>1102.8</v>
      </c>
      <c r="FD56" s="2108">
        <v>1219.5</v>
      </c>
      <c r="FE56" s="2108">
        <v>1248.2</v>
      </c>
      <c r="FF56" s="2108">
        <v>1249.5999999999999</v>
      </c>
      <c r="FG56" s="2108">
        <v>1282.9000000000001</v>
      </c>
      <c r="FH56" s="2108">
        <v>1287.8</v>
      </c>
      <c r="FI56" s="2108">
        <v>1314.8</v>
      </c>
      <c r="FJ56" s="2108">
        <v>1337.1</v>
      </c>
      <c r="FK56" s="2108">
        <v>1359.8</v>
      </c>
      <c r="FL56" s="2108">
        <v>1359.5</v>
      </c>
      <c r="FM56" s="2108">
        <v>1359.8</v>
      </c>
      <c r="FN56" s="2108">
        <v>1430.3</v>
      </c>
      <c r="FO56" s="2108">
        <v>1445.3</v>
      </c>
      <c r="FP56" s="2108">
        <v>1466</v>
      </c>
      <c r="FQ56" s="2108">
        <v>1490.8</v>
      </c>
      <c r="FR56" s="2108">
        <v>1502.9</v>
      </c>
      <c r="FS56" s="2108">
        <v>1523.1</v>
      </c>
      <c r="FT56" s="2108">
        <v>1523.1</v>
      </c>
      <c r="FU56" s="2108">
        <v>1584.8</v>
      </c>
      <c r="FV56" s="2108">
        <v>1647.9</v>
      </c>
      <c r="FW56" s="2113" t="s">
        <v>521</v>
      </c>
      <c r="FX56" s="2113" t="s">
        <v>521</v>
      </c>
      <c r="FY56" s="2113" t="s">
        <v>521</v>
      </c>
      <c r="FZ56" s="2113" t="s">
        <v>521</v>
      </c>
      <c r="GA56" s="2113" t="s">
        <v>521</v>
      </c>
      <c r="GB56" s="2113" t="s">
        <v>521</v>
      </c>
      <c r="GC56" s="2113" t="s">
        <v>521</v>
      </c>
      <c r="GD56" s="2113" t="s">
        <v>521</v>
      </c>
      <c r="GE56" s="2113" t="s">
        <v>521</v>
      </c>
      <c r="GF56" s="2114" t="s">
        <v>521</v>
      </c>
      <c r="GG56" s="1960" t="s">
        <v>521</v>
      </c>
      <c r="GH56" s="2114" t="s">
        <v>521</v>
      </c>
      <c r="GI56" s="2114" t="s">
        <v>521</v>
      </c>
      <c r="GJ56" s="2113" t="s">
        <v>521</v>
      </c>
      <c r="GK56" s="2113" t="s">
        <v>521</v>
      </c>
      <c r="GL56" s="2113" t="s">
        <v>521</v>
      </c>
      <c r="GM56" s="2114" t="s">
        <v>521</v>
      </c>
      <c r="GN56" s="2114" t="s">
        <v>521</v>
      </c>
      <c r="GO56" s="2115" t="s">
        <v>521</v>
      </c>
      <c r="GP56" s="2116" t="s">
        <v>521</v>
      </c>
      <c r="GQ56" s="2116" t="s">
        <v>521</v>
      </c>
      <c r="GR56" s="2116" t="s">
        <v>521</v>
      </c>
      <c r="GS56" s="2116" t="s">
        <v>521</v>
      </c>
      <c r="GT56" s="1960" t="s">
        <v>521</v>
      </c>
      <c r="GU56" s="1960" t="s">
        <v>521</v>
      </c>
      <c r="GV56" s="1960" t="s">
        <v>521</v>
      </c>
      <c r="GW56" s="1960" t="s">
        <v>521</v>
      </c>
      <c r="GX56" s="1960" t="s">
        <v>521</v>
      </c>
      <c r="GY56" s="1960" t="s">
        <v>521</v>
      </c>
      <c r="GZ56" s="1960">
        <v>100</v>
      </c>
      <c r="HA56" s="1960">
        <v>100.79661690160174</v>
      </c>
      <c r="HB56" s="1960">
        <v>115.82677315240173</v>
      </c>
      <c r="HC56" s="1960">
        <v>123.14678392729793</v>
      </c>
      <c r="HD56" s="1960">
        <v>130.1889392127209</v>
      </c>
      <c r="HE56" s="1960">
        <v>159.68924731750073</v>
      </c>
      <c r="HF56" s="1960">
        <v>188.24153119025266</v>
      </c>
      <c r="HG56" s="1960">
        <v>192.51108041026143</v>
      </c>
      <c r="HH56" s="1960">
        <v>199.01095333708452</v>
      </c>
      <c r="HI56" s="1960">
        <v>198.14610645769986</v>
      </c>
      <c r="HJ56" s="1960">
        <v>198.05440030118609</v>
      </c>
      <c r="HK56" s="1960">
        <v>205.39992092182933</v>
      </c>
      <c r="HL56" s="1960">
        <v>211.56538323104087</v>
      </c>
      <c r="HM56" s="1960">
        <v>226.85253411898324</v>
      </c>
      <c r="HN56" s="1960">
        <v>232.73405875251186</v>
      </c>
      <c r="HO56" s="1960">
        <v>241.29332079630967</v>
      </c>
      <c r="HP56" s="1960">
        <v>277.44930518177989</v>
      </c>
      <c r="HQ56" s="1960">
        <v>312.95148945052483</v>
      </c>
      <c r="HR56" s="1960">
        <v>312.95148945052483</v>
      </c>
      <c r="HS56" s="1960">
        <v>365.83745633596271</v>
      </c>
      <c r="HT56" s="1962">
        <v>374.17407871154825</v>
      </c>
      <c r="HU56" s="1961">
        <v>375.63696762209543</v>
      </c>
      <c r="HV56" s="1960">
        <v>383.2126367116382</v>
      </c>
      <c r="HW56" s="1960">
        <v>383.2126367116382</v>
      </c>
      <c r="HX56" s="1960">
        <v>383.2126367116382</v>
      </c>
      <c r="HY56" s="1960">
        <v>383.2126367116382</v>
      </c>
      <c r="HZ56" s="1960">
        <v>383.2126367116382</v>
      </c>
      <c r="IA56" s="1960">
        <v>383.2126367116382</v>
      </c>
      <c r="IB56" s="1960">
        <v>383.2126367116382</v>
      </c>
      <c r="IC56" s="1960">
        <v>383.2126367116382</v>
      </c>
      <c r="ID56" s="1960">
        <v>433.8306434676627</v>
      </c>
      <c r="IE56" s="1960">
        <v>501.82767091791021</v>
      </c>
      <c r="IF56" s="1960">
        <v>511.86068997844222</v>
      </c>
      <c r="IG56" s="1961">
        <v>535.03402350248007</v>
      </c>
      <c r="IH56" s="1960">
        <v>561.51097457448202</v>
      </c>
      <c r="II56" s="1960">
        <v>591.90857865611679</v>
      </c>
      <c r="IJ56" s="1961">
        <v>606.09225027233845</v>
      </c>
      <c r="IK56" s="1960">
        <v>628.10657682917372</v>
      </c>
      <c r="IL56" s="1960">
        <v>651.80189038952369</v>
      </c>
      <c r="IM56" s="1960">
        <v>669.67620793615015</v>
      </c>
      <c r="IN56" s="1960">
        <v>696.29040636203149</v>
      </c>
      <c r="IO56" s="1960">
        <v>710.43136822483791</v>
      </c>
      <c r="IP56" s="1960">
        <v>780.88082960707698</v>
      </c>
      <c r="IQ56" s="1960">
        <v>791.29231370822811</v>
      </c>
      <c r="IR56" s="1960">
        <v>842.93485100464716</v>
      </c>
      <c r="IS56" s="2274">
        <v>855.62507356682374</v>
      </c>
      <c r="IT56" s="1960">
        <v>882.2545569976312</v>
      </c>
      <c r="IU56" s="1960">
        <v>896.96676061779294</v>
      </c>
      <c r="IV56" s="1960">
        <v>1040.898134454545</v>
      </c>
      <c r="IW56" s="1960">
        <v>1054.7786424824055</v>
      </c>
      <c r="IX56" s="1960">
        <v>1201.1848272768834</v>
      </c>
      <c r="IY56" s="1960">
        <v>1201.1848272768834</v>
      </c>
      <c r="IZ56" s="1960">
        <v>1201.1848272768834</v>
      </c>
      <c r="JA56" s="1960">
        <v>1201.1848272768834</v>
      </c>
      <c r="JB56" s="1960">
        <v>1201.1848272768834</v>
      </c>
      <c r="JC56" s="1960">
        <v>1201.1848272768834</v>
      </c>
      <c r="JD56" s="1960">
        <v>1202.18482727688</v>
      </c>
      <c r="JE56" s="2274">
        <v>1201.1848272768834</v>
      </c>
      <c r="JF56" s="2117">
        <v>1201.1848272768834</v>
      </c>
      <c r="JG56" s="2103">
        <f t="shared" si="12"/>
        <v>1</v>
      </c>
      <c r="JI56" s="2155"/>
      <c r="JJ56" s="2104"/>
    </row>
    <row r="57" spans="1:270" ht="31.5">
      <c r="B57" s="2374">
        <v>32</v>
      </c>
      <c r="C57" s="2375" t="s">
        <v>36</v>
      </c>
      <c r="D57" s="2376" t="s">
        <v>1179</v>
      </c>
      <c r="E57" s="2377" t="s">
        <v>37</v>
      </c>
      <c r="F57" s="2375" t="s">
        <v>918</v>
      </c>
      <c r="G57" s="2376" t="s">
        <v>1112</v>
      </c>
      <c r="H57" s="2375" t="s">
        <v>919</v>
      </c>
      <c r="I57" s="2375" t="s">
        <v>920</v>
      </c>
      <c r="J57" s="2378" t="s">
        <v>921</v>
      </c>
      <c r="K57" s="2376"/>
      <c r="L57" s="2379">
        <v>102.65</v>
      </c>
      <c r="M57" s="2379">
        <v>120.06</v>
      </c>
      <c r="N57" s="2379">
        <v>143.02000000000001</v>
      </c>
      <c r="O57" s="2379">
        <v>154.24</v>
      </c>
      <c r="P57" s="2379">
        <v>194.11</v>
      </c>
      <c r="Q57" s="2379">
        <v>208.51</v>
      </c>
      <c r="R57" s="2379">
        <v>242.96</v>
      </c>
      <c r="S57" s="2379">
        <v>246.41</v>
      </c>
      <c r="T57" s="2379">
        <v>244.88</v>
      </c>
      <c r="U57" s="2379">
        <v>247.77</v>
      </c>
      <c r="V57" s="2379">
        <v>246.97</v>
      </c>
      <c r="W57" s="2379">
        <v>246.97</v>
      </c>
      <c r="X57" s="2379">
        <v>246.97</v>
      </c>
      <c r="Y57" s="2379">
        <v>246.97</v>
      </c>
      <c r="Z57" s="2379">
        <v>246.97</v>
      </c>
      <c r="AA57" s="2379">
        <v>246.97</v>
      </c>
      <c r="AB57" s="2379">
        <v>250.06</v>
      </c>
      <c r="AC57" s="2379">
        <v>242.79</v>
      </c>
      <c r="AD57" s="2379">
        <v>241.64</v>
      </c>
      <c r="AE57" s="2379">
        <v>248.49</v>
      </c>
      <c r="AF57" s="2379">
        <v>246.15</v>
      </c>
      <c r="AG57" s="2379">
        <v>246.15</v>
      </c>
      <c r="AH57" s="2379">
        <v>246.15</v>
      </c>
      <c r="AI57" s="2379">
        <v>246.15</v>
      </c>
      <c r="AJ57" s="2379">
        <v>244.16</v>
      </c>
      <c r="AK57" s="2379">
        <v>244.13</v>
      </c>
      <c r="AL57" s="2379">
        <v>246.02</v>
      </c>
      <c r="AM57" s="2379">
        <v>247.42</v>
      </c>
      <c r="AN57" s="2379">
        <v>247.42</v>
      </c>
      <c r="AO57" s="2379">
        <v>247.42</v>
      </c>
      <c r="AP57" s="2379">
        <v>249.19</v>
      </c>
      <c r="AQ57" s="2379">
        <v>250.87</v>
      </c>
      <c r="AR57" s="2379">
        <v>253.19</v>
      </c>
      <c r="AS57" s="2379">
        <v>254.48</v>
      </c>
      <c r="AT57" s="2379">
        <v>263.67</v>
      </c>
      <c r="AU57" s="2379">
        <v>263.68</v>
      </c>
      <c r="AV57" s="2379">
        <v>264.87</v>
      </c>
      <c r="AW57" s="2380">
        <v>272.2</v>
      </c>
      <c r="AX57" s="2380">
        <v>272.2</v>
      </c>
      <c r="AY57" s="2380">
        <v>274.3</v>
      </c>
      <c r="AZ57" s="2380">
        <v>278.70999999999998</v>
      </c>
      <c r="BA57" s="2380">
        <v>280.18</v>
      </c>
      <c r="BB57" s="2380">
        <v>280.18</v>
      </c>
      <c r="BC57" s="2380">
        <v>288.26</v>
      </c>
      <c r="BD57" s="2381">
        <v>288.26</v>
      </c>
      <c r="BE57" s="2380">
        <v>288.69</v>
      </c>
      <c r="BF57" s="2381">
        <v>288.69</v>
      </c>
      <c r="BG57" s="2381">
        <v>289.20999999999998</v>
      </c>
      <c r="BH57" s="2381">
        <v>295.74</v>
      </c>
      <c r="BI57" s="2382">
        <v>295.87</v>
      </c>
      <c r="BJ57" s="2382">
        <v>299.66000000000003</v>
      </c>
      <c r="BK57" s="2382">
        <v>299.66000000000003</v>
      </c>
      <c r="BL57" s="2382">
        <v>305.86</v>
      </c>
      <c r="BM57" s="2382">
        <v>306.79000000000002</v>
      </c>
      <c r="BN57" s="2382">
        <v>308.29000000000002</v>
      </c>
      <c r="BO57" s="2382">
        <v>309.35000000000002</v>
      </c>
      <c r="BP57" s="2382">
        <v>310.27999999999997</v>
      </c>
      <c r="BQ57" s="2382">
        <v>310.27999999999997</v>
      </c>
      <c r="BR57" s="2382">
        <v>314.88</v>
      </c>
      <c r="BS57" s="2382">
        <v>316.41000000000003</v>
      </c>
      <c r="BT57" s="2382">
        <v>325.44</v>
      </c>
      <c r="BU57" s="2382">
        <v>325.41000000000003</v>
      </c>
      <c r="BV57" s="2382">
        <v>327.02</v>
      </c>
      <c r="BW57" s="2382">
        <v>325.7</v>
      </c>
      <c r="BX57" s="2382">
        <v>332.39</v>
      </c>
      <c r="BY57" s="2382">
        <v>333.64</v>
      </c>
      <c r="BZ57" s="2382">
        <v>338.35</v>
      </c>
      <c r="CA57" s="2382">
        <v>338.35</v>
      </c>
      <c r="CB57" s="2382">
        <v>341.83</v>
      </c>
      <c r="CC57" s="2382">
        <v>351.7</v>
      </c>
      <c r="CD57" s="2382">
        <v>350.67</v>
      </c>
      <c r="CE57" s="2382">
        <v>358.04</v>
      </c>
      <c r="CF57" s="2382">
        <v>371.96</v>
      </c>
      <c r="CG57" s="2382">
        <v>371.96</v>
      </c>
      <c r="CH57" s="2382">
        <v>380.8</v>
      </c>
      <c r="CI57" s="2382">
        <v>388.99</v>
      </c>
      <c r="CJ57" s="2382">
        <v>399.13</v>
      </c>
      <c r="CK57" s="2382">
        <v>403.68</v>
      </c>
      <c r="CL57" s="2382">
        <v>412.29</v>
      </c>
      <c r="CM57" s="2382">
        <v>415.36</v>
      </c>
      <c r="CN57" s="2382">
        <v>417.7</v>
      </c>
      <c r="CO57" s="2382">
        <v>432.03</v>
      </c>
      <c r="CP57" s="2382">
        <v>432.03</v>
      </c>
      <c r="CQ57" s="2382">
        <v>447.4</v>
      </c>
      <c r="CR57" s="2382">
        <v>454.48</v>
      </c>
      <c r="CS57" s="2382">
        <v>461.88</v>
      </c>
      <c r="CT57" s="2382">
        <v>464.46</v>
      </c>
      <c r="CU57" s="2382">
        <v>464.46</v>
      </c>
      <c r="CV57" s="2382">
        <v>492.74</v>
      </c>
      <c r="CW57" s="2382">
        <v>500.13</v>
      </c>
      <c r="CX57" s="2382">
        <v>504.45</v>
      </c>
      <c r="CY57" s="2382">
        <v>504.45</v>
      </c>
      <c r="CZ57" s="2382">
        <v>520.47</v>
      </c>
      <c r="DA57" s="2382">
        <v>520.47</v>
      </c>
      <c r="DB57" s="2382">
        <v>515.28</v>
      </c>
      <c r="DC57" s="2382">
        <v>533.49</v>
      </c>
      <c r="DD57" s="2382">
        <v>540.09</v>
      </c>
      <c r="DE57" s="2382">
        <v>542.66999999999996</v>
      </c>
      <c r="DF57" s="2382">
        <v>545.79999999999995</v>
      </c>
      <c r="DG57" s="2382">
        <v>550.15</v>
      </c>
      <c r="DH57" s="2382">
        <v>563.03</v>
      </c>
      <c r="DI57" s="2382">
        <v>563.03</v>
      </c>
      <c r="DJ57" s="2382">
        <v>563.03</v>
      </c>
      <c r="DK57" s="2382">
        <v>578.72</v>
      </c>
      <c r="DL57" s="2382">
        <v>588.14</v>
      </c>
      <c r="DM57" s="2382">
        <v>590.92999999999995</v>
      </c>
      <c r="DN57" s="2382">
        <v>598.23</v>
      </c>
      <c r="DO57" s="2382">
        <v>609.80999999999995</v>
      </c>
      <c r="DP57" s="2382">
        <v>622.79999999999995</v>
      </c>
      <c r="DQ57" s="2382">
        <v>625.02</v>
      </c>
      <c r="DR57" s="2382">
        <v>625.02</v>
      </c>
      <c r="DS57" s="2382">
        <v>627.89</v>
      </c>
      <c r="DT57" s="2382">
        <v>647.21</v>
      </c>
      <c r="DU57" s="2382">
        <v>649.02</v>
      </c>
      <c r="DV57" s="2382">
        <v>646.66</v>
      </c>
      <c r="DW57" s="2382">
        <v>675.6</v>
      </c>
      <c r="DX57" s="2382">
        <v>675.6</v>
      </c>
      <c r="DY57" s="2382">
        <v>681.11</v>
      </c>
      <c r="DZ57" s="2382">
        <v>694.59</v>
      </c>
      <c r="EA57" s="2382">
        <v>711.05</v>
      </c>
      <c r="EB57" s="2382">
        <v>713.19</v>
      </c>
      <c r="EC57" s="2382">
        <v>725.58</v>
      </c>
      <c r="ED57" s="2382">
        <v>749.22</v>
      </c>
      <c r="EE57" s="2382">
        <v>749.22</v>
      </c>
      <c r="EF57" s="2382">
        <v>760.16</v>
      </c>
      <c r="EG57" s="2382">
        <v>763.35</v>
      </c>
      <c r="EH57" s="2382">
        <v>766.82</v>
      </c>
      <c r="EI57" s="2382">
        <v>762</v>
      </c>
      <c r="EJ57" s="2382">
        <v>769.02</v>
      </c>
      <c r="EK57" s="2382">
        <v>769.02</v>
      </c>
      <c r="EL57" s="2382">
        <v>769.02</v>
      </c>
      <c r="EM57" s="2382">
        <v>770.62</v>
      </c>
      <c r="EN57" s="2382">
        <v>776.17</v>
      </c>
      <c r="EO57" s="2382">
        <v>776.09</v>
      </c>
      <c r="EP57" s="2382">
        <v>776.09</v>
      </c>
      <c r="EQ57" s="2382">
        <v>776.09</v>
      </c>
      <c r="ER57" s="2382">
        <v>781.93</v>
      </c>
      <c r="ES57" s="2382">
        <v>790.32</v>
      </c>
      <c r="ET57" s="2382">
        <v>811.93</v>
      </c>
      <c r="EU57" s="2382">
        <v>847.54</v>
      </c>
      <c r="EV57" s="2382">
        <v>847.54</v>
      </c>
      <c r="EW57" s="2382">
        <v>854.36</v>
      </c>
      <c r="EX57" s="2382">
        <v>854.36</v>
      </c>
      <c r="EY57" s="2382">
        <v>891.6</v>
      </c>
      <c r="EZ57" s="2382">
        <v>918.36</v>
      </c>
      <c r="FA57" s="2382">
        <v>989.37</v>
      </c>
      <c r="FB57" s="2382">
        <v>1039.57</v>
      </c>
      <c r="FC57" s="2382">
        <v>1052.31</v>
      </c>
      <c r="FD57" s="2382">
        <v>1062.0899999999999</v>
      </c>
      <c r="FE57" s="2382">
        <v>1090.58</v>
      </c>
      <c r="FF57" s="2382">
        <v>1112.4100000000001</v>
      </c>
      <c r="FG57" s="2382">
        <v>1112.4100000000001</v>
      </c>
      <c r="FH57" s="2382">
        <v>1130.4100000000001</v>
      </c>
      <c r="FI57" s="2382">
        <v>1169.3699999999999</v>
      </c>
      <c r="FJ57" s="2382">
        <v>1187.5999999999999</v>
      </c>
      <c r="FK57" s="2382">
        <v>1240.26</v>
      </c>
      <c r="FL57" s="2382">
        <v>1273.22</v>
      </c>
      <c r="FM57" s="2382">
        <v>1273.22</v>
      </c>
      <c r="FN57" s="2382">
        <v>1318.56</v>
      </c>
      <c r="FO57" s="2382">
        <v>1338.97</v>
      </c>
      <c r="FP57" s="2382">
        <v>1347.08</v>
      </c>
      <c r="FQ57" s="2382">
        <v>1347.08</v>
      </c>
      <c r="FR57" s="2382">
        <v>1347.08</v>
      </c>
      <c r="FS57" s="2382">
        <v>1400.4</v>
      </c>
      <c r="FT57" s="2382">
        <v>1416.99</v>
      </c>
      <c r="FU57" s="2382">
        <v>1416.99</v>
      </c>
      <c r="FV57" s="2382">
        <v>1485.54</v>
      </c>
      <c r="FW57" s="2383">
        <v>1419.1879914691558</v>
      </c>
      <c r="FX57" s="2383">
        <v>1514.541782482853</v>
      </c>
      <c r="FY57" s="2383">
        <v>100</v>
      </c>
      <c r="FZ57" s="2383">
        <v>101.84884071350098</v>
      </c>
      <c r="GA57" s="2383">
        <v>101.3108706136734</v>
      </c>
      <c r="GB57" s="2383">
        <v>102.39514927502282</v>
      </c>
      <c r="GC57" s="2383">
        <v>103.78497601343449</v>
      </c>
      <c r="GD57" s="2383">
        <v>107.28803419584328</v>
      </c>
      <c r="GE57" s="2383">
        <v>107.28803419584328</v>
      </c>
      <c r="GF57" s="2384">
        <v>104.02185041698741</v>
      </c>
      <c r="GG57" s="2385">
        <v>105.16172970993813</v>
      </c>
      <c r="GH57" s="2384">
        <v>105.30074424259402</v>
      </c>
      <c r="GI57" s="2384">
        <v>105.46755875940538</v>
      </c>
      <c r="GJ57" s="2383">
        <v>104.52229192398201</v>
      </c>
      <c r="GK57" s="2383">
        <v>106.21821389714863</v>
      </c>
      <c r="GL57" s="2383">
        <v>114.04393331097342</v>
      </c>
      <c r="GM57" s="2384">
        <v>116.54611077902111</v>
      </c>
      <c r="GN57" s="2384">
        <v>116.54611077902111</v>
      </c>
      <c r="GO57" s="2386">
        <v>118.15807619176005</v>
      </c>
      <c r="GP57" s="2387">
        <v>118.15807619176005</v>
      </c>
      <c r="GQ57" s="2387">
        <v>119.35355825512779</v>
      </c>
      <c r="GR57" s="2387">
        <v>121.38033016053626</v>
      </c>
      <c r="GS57" s="2387">
        <v>122.68757738773098</v>
      </c>
      <c r="GT57" s="2385">
        <v>122.68757738773098</v>
      </c>
      <c r="GU57" s="2385">
        <v>125.24535776934535</v>
      </c>
      <c r="GV57" s="2385">
        <v>125.24535776934535</v>
      </c>
      <c r="GW57" s="2385">
        <v>128.88019597368898</v>
      </c>
      <c r="GX57" s="2385">
        <v>133.84452008121892</v>
      </c>
      <c r="GY57" s="2385">
        <v>133.84452008121892</v>
      </c>
      <c r="GZ57" s="2385">
        <v>144.10964113526424</v>
      </c>
      <c r="HA57" s="2385">
        <v>152.04354909529545</v>
      </c>
      <c r="HB57" s="2385">
        <v>163.9565157499797</v>
      </c>
      <c r="HC57" s="2385">
        <v>167.04171606106044</v>
      </c>
      <c r="HD57" s="2385">
        <v>177.63534992926569</v>
      </c>
      <c r="HE57" s="2385">
        <v>208.65503628110335</v>
      </c>
      <c r="HF57" s="2385">
        <v>223.49744450838216</v>
      </c>
      <c r="HG57" s="2385">
        <v>232.51505998564724</v>
      </c>
      <c r="HH57" s="2388">
        <v>230.75631134520714</v>
      </c>
      <c r="HI57" s="2385">
        <v>243.73580918499454</v>
      </c>
      <c r="HJ57" s="2385">
        <v>231.87691318163314</v>
      </c>
      <c r="HK57" s="2385">
        <v>246.86330923357295</v>
      </c>
      <c r="HL57" s="2385">
        <v>252.78122233865352</v>
      </c>
      <c r="HM57" s="2385">
        <v>259.79400336769891</v>
      </c>
      <c r="HN57" s="2385">
        <v>263.63708572339084</v>
      </c>
      <c r="HO57" s="2385">
        <v>267.51621450515194</v>
      </c>
      <c r="HP57" s="2385">
        <v>317.46042827149046</v>
      </c>
      <c r="HQ57" s="2385">
        <v>333.1473152391971</v>
      </c>
      <c r="HR57" s="2385">
        <v>341.16538951972842</v>
      </c>
      <c r="HS57" s="2385">
        <v>384.68063698989391</v>
      </c>
      <c r="HT57" s="2389">
        <v>390.4059835458379</v>
      </c>
      <c r="HU57" s="2390">
        <v>391.70406214481841</v>
      </c>
      <c r="HV57" s="2385">
        <v>393.83804868977126</v>
      </c>
      <c r="HW57" s="2385">
        <v>406.70296752763397</v>
      </c>
      <c r="HX57" s="2385">
        <v>442.26286573405361</v>
      </c>
      <c r="HY57" s="2385">
        <v>442.26286573405361</v>
      </c>
      <c r="HZ57" s="2385">
        <v>452.77461471459429</v>
      </c>
      <c r="IA57" s="2385">
        <v>474.82757726943368</v>
      </c>
      <c r="IB57" s="2385">
        <v>479.36096658457393</v>
      </c>
      <c r="IC57" s="2385">
        <v>496.78932840843066</v>
      </c>
      <c r="ID57" s="2385">
        <v>516.00863743423486</v>
      </c>
      <c r="IE57" s="2385">
        <v>524.72505808753669</v>
      </c>
      <c r="IF57" s="2385">
        <v>559.90917821126448</v>
      </c>
      <c r="IG57" s="2390">
        <v>581.11004856941895</v>
      </c>
      <c r="IH57" s="2385">
        <v>585.74065979150828</v>
      </c>
      <c r="II57" s="2385">
        <v>650.66182342115223</v>
      </c>
      <c r="IJ57" s="2390">
        <v>662.6868880174967</v>
      </c>
      <c r="IK57" s="2385">
        <v>677.63844584253525</v>
      </c>
      <c r="IL57" s="2385">
        <v>721.84281103446017</v>
      </c>
      <c r="IM57" s="2385">
        <v>763.12595892332888</v>
      </c>
      <c r="IN57" s="2385">
        <v>791.36824471089983</v>
      </c>
      <c r="IO57" s="2385">
        <v>789.52039985949989</v>
      </c>
      <c r="IP57" s="2385">
        <v>817.91857930457081</v>
      </c>
      <c r="IQ57" s="2385">
        <v>845.43213343450759</v>
      </c>
      <c r="IR57" s="2385">
        <v>860.8471246249901</v>
      </c>
      <c r="IS57" s="2391">
        <v>899.06000709317448</v>
      </c>
      <c r="IT57" s="2385">
        <v>922.53325445974053</v>
      </c>
      <c r="IU57" s="2385">
        <v>969.02065745361358</v>
      </c>
      <c r="IV57" s="2385">
        <v>1050.6562397333453</v>
      </c>
      <c r="IW57" s="2385">
        <v>1062.7475937818742</v>
      </c>
      <c r="IX57" s="2385">
        <v>1117.1166745261655</v>
      </c>
      <c r="IY57" s="2385">
        <v>1223.4672481058601</v>
      </c>
      <c r="IZ57" s="2385">
        <v>1279.1141184047158</v>
      </c>
      <c r="JA57" s="2385">
        <v>1352.9912831273562</v>
      </c>
      <c r="JB57" s="2385">
        <v>1408.8870791636878</v>
      </c>
      <c r="JC57" s="2385">
        <v>1525.7567464114334</v>
      </c>
      <c r="JD57" s="2385">
        <v>1690.9137280658715</v>
      </c>
      <c r="JE57" s="2391">
        <v>1814.7932889306328</v>
      </c>
      <c r="JF57" s="2388">
        <v>1927.2189345090321</v>
      </c>
      <c r="JG57" s="2103">
        <f t="shared" si="12"/>
        <v>1.0619495599108404</v>
      </c>
      <c r="JI57" s="2155"/>
      <c r="JJ57" s="2104"/>
    </row>
    <row r="58" spans="1:270" ht="63.75" thickBot="1">
      <c r="B58" s="2167">
        <v>33</v>
      </c>
      <c r="C58" s="2168" t="s">
        <v>545</v>
      </c>
      <c r="D58" s="2427" t="s">
        <v>1180</v>
      </c>
      <c r="E58" s="2294" t="s">
        <v>38</v>
      </c>
      <c r="F58" s="2168" t="s">
        <v>918</v>
      </c>
      <c r="G58" s="2427" t="s">
        <v>1112</v>
      </c>
      <c r="H58" s="2168" t="s">
        <v>929</v>
      </c>
      <c r="I58" s="2168" t="s">
        <v>930</v>
      </c>
      <c r="J58" s="2170" t="s">
        <v>193</v>
      </c>
      <c r="K58" s="2427"/>
      <c r="L58" s="2171">
        <v>90.3</v>
      </c>
      <c r="M58" s="2171">
        <v>108.5</v>
      </c>
      <c r="N58" s="2171">
        <v>139.30000000000001</v>
      </c>
      <c r="O58" s="2171">
        <v>157.1</v>
      </c>
      <c r="P58" s="2171">
        <v>198.6</v>
      </c>
      <c r="Q58" s="2171">
        <v>210.1</v>
      </c>
      <c r="R58" s="2171">
        <v>229.8</v>
      </c>
      <c r="S58" s="2171">
        <v>228.2</v>
      </c>
      <c r="T58" s="2171">
        <v>210.1</v>
      </c>
      <c r="U58" s="2171">
        <v>200.7</v>
      </c>
      <c r="V58" s="2171">
        <v>197.4</v>
      </c>
      <c r="W58" s="2171">
        <v>191.3</v>
      </c>
      <c r="X58" s="2171">
        <v>192.6</v>
      </c>
      <c r="Y58" s="2171">
        <v>193.6</v>
      </c>
      <c r="Z58" s="2171">
        <v>196.9</v>
      </c>
      <c r="AA58" s="2171">
        <v>197.4</v>
      </c>
      <c r="AB58" s="2171">
        <v>201.9</v>
      </c>
      <c r="AC58" s="2171">
        <v>201.7</v>
      </c>
      <c r="AD58" s="2171">
        <v>201.4</v>
      </c>
      <c r="AE58" s="2171">
        <v>202.7</v>
      </c>
      <c r="AF58" s="2171">
        <v>204.7</v>
      </c>
      <c r="AG58" s="2171">
        <v>206.9</v>
      </c>
      <c r="AH58" s="2171">
        <v>206.4</v>
      </c>
      <c r="AI58" s="2171">
        <v>209</v>
      </c>
      <c r="AJ58" s="2171">
        <v>211.6</v>
      </c>
      <c r="AK58" s="2171">
        <v>219.8</v>
      </c>
      <c r="AL58" s="2171">
        <v>235.2</v>
      </c>
      <c r="AM58" s="2171">
        <v>247.8</v>
      </c>
      <c r="AN58" s="2171">
        <v>257.39999999999998</v>
      </c>
      <c r="AO58" s="2171">
        <v>267.60000000000002</v>
      </c>
      <c r="AP58" s="2171">
        <v>268</v>
      </c>
      <c r="AQ58" s="2171">
        <v>266.7</v>
      </c>
      <c r="AR58" s="2171">
        <v>266.2</v>
      </c>
      <c r="AS58" s="2171">
        <v>265.60000000000002</v>
      </c>
      <c r="AT58" s="2171">
        <v>277.8</v>
      </c>
      <c r="AU58" s="2171">
        <v>277.8</v>
      </c>
      <c r="AV58" s="2171">
        <v>289.3</v>
      </c>
      <c r="AW58" s="2172">
        <v>287.7</v>
      </c>
      <c r="AX58" s="2172">
        <v>282.7</v>
      </c>
      <c r="AY58" s="2172">
        <v>295</v>
      </c>
      <c r="AZ58" s="2172">
        <v>292</v>
      </c>
      <c r="BA58" s="2172">
        <v>290.7</v>
      </c>
      <c r="BB58" s="2172">
        <v>291.39999999999998</v>
      </c>
      <c r="BC58" s="2172">
        <v>291.3</v>
      </c>
      <c r="BD58" s="2173">
        <v>296.7</v>
      </c>
      <c r="BE58" s="2172">
        <v>301</v>
      </c>
      <c r="BF58" s="2173">
        <v>309.10000000000002</v>
      </c>
      <c r="BG58" s="2173">
        <v>327.2</v>
      </c>
      <c r="BH58" s="2173">
        <v>358.8</v>
      </c>
      <c r="BI58" s="2174">
        <v>378</v>
      </c>
      <c r="BJ58" s="2174">
        <v>389.4</v>
      </c>
      <c r="BK58" s="2174">
        <v>401.7</v>
      </c>
      <c r="BL58" s="2174">
        <v>441.4</v>
      </c>
      <c r="BM58" s="2174">
        <v>613.6</v>
      </c>
      <c r="BN58" s="2174">
        <v>626.79999999999995</v>
      </c>
      <c r="BO58" s="2174">
        <v>597.79999999999995</v>
      </c>
      <c r="BP58" s="2174">
        <v>593.79999999999995</v>
      </c>
      <c r="BQ58" s="2174">
        <v>595.20000000000005</v>
      </c>
      <c r="BR58" s="2174">
        <v>592.4</v>
      </c>
      <c r="BS58" s="2174">
        <v>592.20000000000005</v>
      </c>
      <c r="BT58" s="2174">
        <v>581.6</v>
      </c>
      <c r="BU58" s="2174">
        <v>579.5</v>
      </c>
      <c r="BV58" s="2174">
        <v>561.9</v>
      </c>
      <c r="BW58" s="2174">
        <v>543.4</v>
      </c>
      <c r="BX58" s="2174">
        <v>617.1</v>
      </c>
      <c r="BY58" s="2174">
        <v>663</v>
      </c>
      <c r="BZ58" s="2174">
        <v>660.1</v>
      </c>
      <c r="CA58" s="2174">
        <v>660.1</v>
      </c>
      <c r="CB58" s="2174">
        <v>676.4</v>
      </c>
      <c r="CC58" s="2174">
        <v>686.9</v>
      </c>
      <c r="CD58" s="2174">
        <v>701.8</v>
      </c>
      <c r="CE58" s="2174">
        <v>713.5</v>
      </c>
      <c r="CF58" s="2174">
        <v>712</v>
      </c>
      <c r="CG58" s="2174">
        <v>712.1</v>
      </c>
      <c r="CH58" s="2174">
        <v>715.5</v>
      </c>
      <c r="CI58" s="2174">
        <v>750.9</v>
      </c>
      <c r="CJ58" s="2174">
        <v>769.4</v>
      </c>
      <c r="CK58" s="2174">
        <v>784.6</v>
      </c>
      <c r="CL58" s="2174">
        <v>784.5</v>
      </c>
      <c r="CM58" s="2174">
        <v>782.5</v>
      </c>
      <c r="CN58" s="2174">
        <v>786.2</v>
      </c>
      <c r="CO58" s="2174">
        <v>786.2</v>
      </c>
      <c r="CP58" s="2174">
        <v>788.8</v>
      </c>
      <c r="CQ58" s="2174">
        <v>716.3</v>
      </c>
      <c r="CR58" s="2174">
        <v>687.1</v>
      </c>
      <c r="CS58" s="2174">
        <v>652.4</v>
      </c>
      <c r="CT58" s="2174">
        <v>624.9</v>
      </c>
      <c r="CU58" s="2174">
        <v>601.29999999999995</v>
      </c>
      <c r="CV58" s="2174">
        <v>600</v>
      </c>
      <c r="CW58" s="2174">
        <v>599.79999999999995</v>
      </c>
      <c r="CX58" s="2174">
        <v>596.29999999999995</v>
      </c>
      <c r="CY58" s="2174">
        <v>615.70000000000005</v>
      </c>
      <c r="CZ58" s="2174">
        <v>657.8</v>
      </c>
      <c r="DA58" s="2174">
        <v>685.3</v>
      </c>
      <c r="DB58" s="2174">
        <v>694</v>
      </c>
      <c r="DC58" s="2174">
        <v>687.3</v>
      </c>
      <c r="DD58" s="2174">
        <v>716.5</v>
      </c>
      <c r="DE58" s="2174">
        <v>754.7</v>
      </c>
      <c r="DF58" s="2174">
        <v>770.9</v>
      </c>
      <c r="DG58" s="2174">
        <v>779.6</v>
      </c>
      <c r="DH58" s="2174">
        <v>778.6</v>
      </c>
      <c r="DI58" s="2174">
        <v>791.4</v>
      </c>
      <c r="DJ58" s="2174">
        <v>764.3</v>
      </c>
      <c r="DK58" s="2174">
        <v>761.6</v>
      </c>
      <c r="DL58" s="2174">
        <v>777.3</v>
      </c>
      <c r="DM58" s="2174">
        <v>803.8</v>
      </c>
      <c r="DN58" s="2174">
        <v>849.3</v>
      </c>
      <c r="DO58" s="2174">
        <v>893.2</v>
      </c>
      <c r="DP58" s="2174">
        <v>945.9</v>
      </c>
      <c r="DQ58" s="2174">
        <v>992.9</v>
      </c>
      <c r="DR58" s="2174">
        <v>1013.7</v>
      </c>
      <c r="DS58" s="2174">
        <v>1053.9000000000001</v>
      </c>
      <c r="DT58" s="2174">
        <v>1087.8</v>
      </c>
      <c r="DU58" s="2174">
        <v>1096.5</v>
      </c>
      <c r="DV58" s="2174">
        <v>1099.5999999999999</v>
      </c>
      <c r="DW58" s="2174">
        <v>1116.9000000000001</v>
      </c>
      <c r="DX58" s="2174">
        <v>1149.4000000000001</v>
      </c>
      <c r="DY58" s="2174">
        <v>1149.5999999999999</v>
      </c>
      <c r="DZ58" s="2174">
        <v>1106.5</v>
      </c>
      <c r="EA58" s="2174">
        <v>1106.9000000000001</v>
      </c>
      <c r="EB58" s="2174">
        <v>1113.3</v>
      </c>
      <c r="EC58" s="2174">
        <v>1117.5999999999999</v>
      </c>
      <c r="ED58" s="2174">
        <v>1130.9000000000001</v>
      </c>
      <c r="EE58" s="2174">
        <v>1143.5999999999999</v>
      </c>
      <c r="EF58" s="2174">
        <v>1143.5</v>
      </c>
      <c r="EG58" s="2174">
        <v>1145.2</v>
      </c>
      <c r="EH58" s="2174">
        <v>1150.8</v>
      </c>
      <c r="EI58" s="2174">
        <v>1147.3</v>
      </c>
      <c r="EJ58" s="2174">
        <v>1147.9000000000001</v>
      </c>
      <c r="EK58" s="2174">
        <v>1179</v>
      </c>
      <c r="EL58" s="2174">
        <v>1184.5999999999999</v>
      </c>
      <c r="EM58" s="2174">
        <v>1188.8</v>
      </c>
      <c r="EN58" s="2174">
        <v>1254</v>
      </c>
      <c r="EO58" s="2174">
        <v>1255.2</v>
      </c>
      <c r="EP58" s="2174">
        <v>1254.9000000000001</v>
      </c>
      <c r="EQ58" s="2174">
        <v>1269.7</v>
      </c>
      <c r="ER58" s="2174">
        <v>1275.5</v>
      </c>
      <c r="ES58" s="2174">
        <v>1294.7</v>
      </c>
      <c r="ET58" s="2174">
        <v>1330.6</v>
      </c>
      <c r="EU58" s="2174">
        <v>1339.9</v>
      </c>
      <c r="EV58" s="2174">
        <v>1366.5</v>
      </c>
      <c r="EW58" s="2174">
        <v>1438.4</v>
      </c>
      <c r="EX58" s="2174">
        <v>1492.6</v>
      </c>
      <c r="EY58" s="2174">
        <v>1605.5</v>
      </c>
      <c r="EZ58" s="2174">
        <v>1666.7</v>
      </c>
      <c r="FA58" s="2174">
        <v>1758.3</v>
      </c>
      <c r="FB58" s="2174">
        <v>1998.7</v>
      </c>
      <c r="FC58" s="2174">
        <v>2089.5</v>
      </c>
      <c r="FD58" s="2174">
        <v>2051.1999999999998</v>
      </c>
      <c r="FE58" s="2174">
        <v>2052.5</v>
      </c>
      <c r="FF58" s="2174">
        <v>2077.5</v>
      </c>
      <c r="FG58" s="2174">
        <v>2077.5</v>
      </c>
      <c r="FH58" s="2174">
        <v>2093</v>
      </c>
      <c r="FI58" s="2174">
        <v>2103</v>
      </c>
      <c r="FJ58" s="2174">
        <v>2124.5</v>
      </c>
      <c r="FK58" s="2174">
        <v>2135.6999999999998</v>
      </c>
      <c r="FL58" s="2174">
        <v>2215.9</v>
      </c>
      <c r="FM58" s="2174">
        <v>2169.6</v>
      </c>
      <c r="FN58" s="2174">
        <v>2172.5</v>
      </c>
      <c r="FO58" s="2174">
        <v>2159</v>
      </c>
      <c r="FP58" s="2174">
        <v>2147.9</v>
      </c>
      <c r="FQ58" s="2174">
        <v>2142.9</v>
      </c>
      <c r="FR58" s="2174">
        <v>2159</v>
      </c>
      <c r="FS58" s="2174">
        <v>2143.4</v>
      </c>
      <c r="FT58" s="2174">
        <v>2100</v>
      </c>
      <c r="FU58" s="2174">
        <v>2088.5</v>
      </c>
      <c r="FV58" s="2174">
        <v>2083.1</v>
      </c>
      <c r="FW58" s="2175">
        <v>2131.6226199787511</v>
      </c>
      <c r="FX58" s="2175">
        <v>2541.2898781521149</v>
      </c>
      <c r="FY58" s="2175">
        <v>100</v>
      </c>
      <c r="FZ58" s="2175">
        <v>108.11868906021118</v>
      </c>
      <c r="GA58" s="2175">
        <v>106.63507124920172</v>
      </c>
      <c r="GB58" s="2175">
        <v>105.04842385155955</v>
      </c>
      <c r="GC58" s="2175">
        <v>103.58540998967186</v>
      </c>
      <c r="GD58" s="2175">
        <v>105.41932417002408</v>
      </c>
      <c r="GE58" s="2175">
        <v>106.32598026380872</v>
      </c>
      <c r="GF58" s="2295">
        <v>103.23510727066957</v>
      </c>
      <c r="GG58" s="2296">
        <v>103.23510727066957</v>
      </c>
      <c r="GH58" s="2295">
        <v>98.145473410804996</v>
      </c>
      <c r="GI58" s="2295">
        <v>98.578192442865927</v>
      </c>
      <c r="GJ58" s="2175">
        <v>98.969703294180775</v>
      </c>
      <c r="GK58" s="2175">
        <v>100.80362480052057</v>
      </c>
      <c r="GL58" s="2175">
        <v>106.07871625923549</v>
      </c>
      <c r="GM58" s="2295">
        <v>106.30537542726796</v>
      </c>
      <c r="GN58" s="2295">
        <v>107.93185144266744</v>
      </c>
      <c r="GO58" s="2297">
        <v>107.19005387659332</v>
      </c>
      <c r="GP58" s="2298">
        <v>107.19005387659332</v>
      </c>
      <c r="GQ58" s="2298">
        <v>108.44699233762033</v>
      </c>
      <c r="GR58" s="2298">
        <v>112.6299142177196</v>
      </c>
      <c r="GS58" s="2298">
        <v>116.81284286752859</v>
      </c>
      <c r="GT58" s="2296">
        <v>119.34732237733407</v>
      </c>
      <c r="GU58" s="2296">
        <v>120.50122831517425</v>
      </c>
      <c r="GV58" s="2296">
        <v>121.03696598583598</v>
      </c>
      <c r="GW58" s="2296">
        <v>126.27077162520692</v>
      </c>
      <c r="GX58" s="2296">
        <v>130.18583015014593</v>
      </c>
      <c r="GY58" s="2296">
        <v>134.7602547211518</v>
      </c>
      <c r="GZ58" s="2296">
        <v>151.01047593344126</v>
      </c>
      <c r="HA58" s="2296">
        <v>173.08272613833242</v>
      </c>
      <c r="HB58" s="2296">
        <v>183.60878936039512</v>
      </c>
      <c r="HC58" s="2296">
        <v>196.1620100269385</v>
      </c>
      <c r="HD58" s="2296">
        <v>199.39544769919536</v>
      </c>
      <c r="HE58" s="2296">
        <v>264.83691309508458</v>
      </c>
      <c r="HF58" s="2296">
        <v>287.76388008865069</v>
      </c>
      <c r="HG58" s="2296">
        <v>271.63103133159501</v>
      </c>
      <c r="HH58" s="2299">
        <v>270.26417801748357</v>
      </c>
      <c r="HI58" s="2296">
        <v>296.51609238981592</v>
      </c>
      <c r="HJ58" s="2296">
        <v>295.0240169020355</v>
      </c>
      <c r="HK58" s="2296">
        <v>337.35402563394507</v>
      </c>
      <c r="HL58" s="2296">
        <v>339.90228109568108</v>
      </c>
      <c r="HM58" s="2296">
        <v>358.68171946281194</v>
      </c>
      <c r="HN58" s="2296">
        <v>358.68171946281194</v>
      </c>
      <c r="HO58" s="2296">
        <v>353.49794321700898</v>
      </c>
      <c r="HP58" s="2296">
        <v>396.33576049461971</v>
      </c>
      <c r="HQ58" s="2296">
        <v>450.42918899951951</v>
      </c>
      <c r="HR58" s="2296">
        <v>450.42918899951951</v>
      </c>
      <c r="HS58" s="2296">
        <v>506.06595853753129</v>
      </c>
      <c r="HT58" s="2300">
        <v>506.07962639143227</v>
      </c>
      <c r="HU58" s="2301">
        <v>509.02888954146641</v>
      </c>
      <c r="HV58" s="2296">
        <v>503.39604205824168</v>
      </c>
      <c r="HW58" s="2296">
        <v>503.39604205824168</v>
      </c>
      <c r="HX58" s="2296">
        <v>530.1348488416711</v>
      </c>
      <c r="HY58" s="2296">
        <v>549.71344653167682</v>
      </c>
      <c r="HZ58" s="2296">
        <v>546.95019498598356</v>
      </c>
      <c r="IA58" s="2296">
        <v>574.00806017447144</v>
      </c>
      <c r="IB58" s="2296">
        <v>616.01955211893642</v>
      </c>
      <c r="IC58" s="2296">
        <v>631.38275476127853</v>
      </c>
      <c r="ID58" s="2296">
        <v>743.25841232753783</v>
      </c>
      <c r="IE58" s="2296">
        <v>791.07270695893146</v>
      </c>
      <c r="IF58" s="2296">
        <v>854.71760807997339</v>
      </c>
      <c r="IG58" s="2301">
        <v>928.35438402307989</v>
      </c>
      <c r="IH58" s="2296">
        <v>971.40790762127381</v>
      </c>
      <c r="II58" s="2296">
        <v>1028.6227600228301</v>
      </c>
      <c r="IJ58" s="2301">
        <v>1095.7666403776213</v>
      </c>
      <c r="IK58" s="2296">
        <v>1208.7086023644943</v>
      </c>
      <c r="IL58" s="2296">
        <v>1241.0304903881702</v>
      </c>
      <c r="IM58" s="2296">
        <v>1243.8846543026889</v>
      </c>
      <c r="IN58" s="2296">
        <v>1274.3983158384824</v>
      </c>
      <c r="IO58" s="2296">
        <v>1310.5660586415577</v>
      </c>
      <c r="IP58" s="2296">
        <v>1349.9448639345826</v>
      </c>
      <c r="IQ58" s="2296">
        <v>1453.8244711592126</v>
      </c>
      <c r="IR58" s="2296">
        <v>1542.2664814844638</v>
      </c>
      <c r="IS58" s="2302">
        <v>1587.429397656073</v>
      </c>
      <c r="IT58" s="2296">
        <v>1660.6870761682283</v>
      </c>
      <c r="IU58" s="2296">
        <v>1708.9966016670592</v>
      </c>
      <c r="IV58" s="2296">
        <v>1846.17310763879</v>
      </c>
      <c r="IW58" s="2296">
        <v>1926.7282285538527</v>
      </c>
      <c r="IX58" s="2296">
        <v>2018.8506772910623</v>
      </c>
      <c r="IY58" s="2296">
        <v>2589.1678353532461</v>
      </c>
      <c r="IZ58" s="2296">
        <v>3137.2567986974987</v>
      </c>
      <c r="JA58" s="2296">
        <v>4483.1000297077644</v>
      </c>
      <c r="JB58" s="2296">
        <v>4485.0649315368282</v>
      </c>
      <c r="JC58" s="2296">
        <v>5130.5998614451173</v>
      </c>
      <c r="JD58" s="2296">
        <v>5745.3674556900269</v>
      </c>
      <c r="JE58" s="2302">
        <v>6300.2372197218374</v>
      </c>
      <c r="JF58" s="2299">
        <v>6708.0444108579222</v>
      </c>
      <c r="JG58" s="2103">
        <f t="shared" si="12"/>
        <v>1.0647288628846407</v>
      </c>
      <c r="JI58" s="2155"/>
      <c r="JJ58" s="2104"/>
    </row>
    <row r="59" spans="1:270" ht="94.5">
      <c r="A59" s="2372"/>
      <c r="B59" s="2276">
        <v>34</v>
      </c>
      <c r="C59" s="2277" t="s">
        <v>546</v>
      </c>
      <c r="D59" s="2278" t="s">
        <v>1181</v>
      </c>
      <c r="E59" s="2279" t="s">
        <v>39</v>
      </c>
      <c r="F59" s="2277" t="s">
        <v>918</v>
      </c>
      <c r="G59" s="2278" t="s">
        <v>1112</v>
      </c>
      <c r="H59" s="2277" t="s">
        <v>929</v>
      </c>
      <c r="I59" s="2277" t="s">
        <v>930</v>
      </c>
      <c r="J59" s="2280" t="s">
        <v>921</v>
      </c>
      <c r="K59" s="2278"/>
      <c r="L59" s="2281">
        <v>109.9</v>
      </c>
      <c r="M59" s="2281">
        <v>128.6</v>
      </c>
      <c r="N59" s="2281">
        <v>141.19999999999999</v>
      </c>
      <c r="O59" s="2281">
        <v>186</v>
      </c>
      <c r="P59" s="2281">
        <v>197.8</v>
      </c>
      <c r="Q59" s="2281">
        <v>212.5</v>
      </c>
      <c r="R59" s="2281">
        <v>203.8</v>
      </c>
      <c r="S59" s="2281">
        <v>226</v>
      </c>
      <c r="T59" s="2281">
        <v>228.2</v>
      </c>
      <c r="U59" s="2281">
        <v>219.1</v>
      </c>
      <c r="V59" s="2281">
        <v>231.3</v>
      </c>
      <c r="W59" s="2281">
        <v>226.3</v>
      </c>
      <c r="X59" s="2281">
        <v>225.5</v>
      </c>
      <c r="Y59" s="2281">
        <v>217.3</v>
      </c>
      <c r="Z59" s="2281">
        <v>220.8</v>
      </c>
      <c r="AA59" s="2281">
        <v>225.9</v>
      </c>
      <c r="AB59" s="2281">
        <v>225</v>
      </c>
      <c r="AC59" s="2281">
        <v>228.8</v>
      </c>
      <c r="AD59" s="2281">
        <v>229.4</v>
      </c>
      <c r="AE59" s="2281">
        <v>223.9</v>
      </c>
      <c r="AF59" s="2281">
        <v>214.4</v>
      </c>
      <c r="AG59" s="2281">
        <v>228.2</v>
      </c>
      <c r="AH59" s="2281">
        <v>228.2</v>
      </c>
      <c r="AI59" s="2281">
        <v>227.8</v>
      </c>
      <c r="AJ59" s="2281">
        <v>230</v>
      </c>
      <c r="AK59" s="2281">
        <v>240.7</v>
      </c>
      <c r="AL59" s="2281">
        <v>271.60000000000002</v>
      </c>
      <c r="AM59" s="2281">
        <v>292.2</v>
      </c>
      <c r="AN59" s="2281">
        <v>298.8</v>
      </c>
      <c r="AO59" s="2281">
        <v>296.7</v>
      </c>
      <c r="AP59" s="2281">
        <v>298.10000000000002</v>
      </c>
      <c r="AQ59" s="2281">
        <v>289.39999999999998</v>
      </c>
      <c r="AR59" s="2281">
        <v>281.10000000000002</v>
      </c>
      <c r="AS59" s="2281">
        <v>279.89999999999998</v>
      </c>
      <c r="AT59" s="2281">
        <v>290.2</v>
      </c>
      <c r="AU59" s="2281">
        <v>296.10000000000002</v>
      </c>
      <c r="AV59" s="2281">
        <v>304.60000000000002</v>
      </c>
      <c r="AW59" s="2282">
        <v>311.7</v>
      </c>
      <c r="AX59" s="2282">
        <v>318.60000000000002</v>
      </c>
      <c r="AY59" s="2282">
        <v>326.2</v>
      </c>
      <c r="AZ59" s="2282">
        <v>345</v>
      </c>
      <c r="BA59" s="2282">
        <v>344.9</v>
      </c>
      <c r="BB59" s="2282">
        <v>345</v>
      </c>
      <c r="BC59" s="2282">
        <v>344.9</v>
      </c>
      <c r="BD59" s="2283">
        <v>347</v>
      </c>
      <c r="BE59" s="2282">
        <v>348.3</v>
      </c>
      <c r="BF59" s="2283">
        <v>351.6</v>
      </c>
      <c r="BG59" s="2283">
        <v>376.6</v>
      </c>
      <c r="BH59" s="2283">
        <v>420.8</v>
      </c>
      <c r="BI59" s="2284">
        <v>435.9</v>
      </c>
      <c r="BJ59" s="2284">
        <v>440.7</v>
      </c>
      <c r="BK59" s="2284">
        <v>446.8</v>
      </c>
      <c r="BL59" s="2284">
        <v>458.9</v>
      </c>
      <c r="BM59" s="2284">
        <v>612.6</v>
      </c>
      <c r="BN59" s="2284">
        <v>663.9</v>
      </c>
      <c r="BO59" s="2284">
        <v>652.9</v>
      </c>
      <c r="BP59" s="2284">
        <v>636.4</v>
      </c>
      <c r="BQ59" s="2284">
        <v>611.70000000000005</v>
      </c>
      <c r="BR59" s="2284">
        <v>609.5</v>
      </c>
      <c r="BS59" s="2284">
        <v>605.9</v>
      </c>
      <c r="BT59" s="2284">
        <v>575.5</v>
      </c>
      <c r="BU59" s="2284">
        <v>577.20000000000005</v>
      </c>
      <c r="BV59" s="2284">
        <v>547.20000000000005</v>
      </c>
      <c r="BW59" s="2284">
        <v>510.6</v>
      </c>
      <c r="BX59" s="2284">
        <v>569.20000000000005</v>
      </c>
      <c r="BY59" s="2284">
        <v>589.20000000000005</v>
      </c>
      <c r="BZ59" s="2284">
        <v>584.5</v>
      </c>
      <c r="CA59" s="2284">
        <v>604.29999999999995</v>
      </c>
      <c r="CB59" s="2284">
        <v>612.6</v>
      </c>
      <c r="CC59" s="2284">
        <v>619</v>
      </c>
      <c r="CD59" s="2284">
        <v>636.79999999999995</v>
      </c>
      <c r="CE59" s="2284">
        <v>636.9</v>
      </c>
      <c r="CF59" s="2284">
        <v>639.70000000000005</v>
      </c>
      <c r="CG59" s="2284">
        <v>653</v>
      </c>
      <c r="CH59" s="2284">
        <v>669</v>
      </c>
      <c r="CI59" s="2284">
        <v>720.9</v>
      </c>
      <c r="CJ59" s="2284">
        <v>716.6</v>
      </c>
      <c r="CK59" s="2284">
        <v>717.7</v>
      </c>
      <c r="CL59" s="2284">
        <v>714.2</v>
      </c>
      <c r="CM59" s="2284">
        <v>711.7</v>
      </c>
      <c r="CN59" s="2284">
        <v>714.3</v>
      </c>
      <c r="CO59" s="2284">
        <v>714.3</v>
      </c>
      <c r="CP59" s="2284">
        <v>710.3</v>
      </c>
      <c r="CQ59" s="2284">
        <v>651.1</v>
      </c>
      <c r="CR59" s="2284">
        <v>631</v>
      </c>
      <c r="CS59" s="2284">
        <v>603.5</v>
      </c>
      <c r="CT59" s="2284">
        <v>557.20000000000005</v>
      </c>
      <c r="CU59" s="2284">
        <v>555.20000000000005</v>
      </c>
      <c r="CV59" s="2284">
        <v>559.4</v>
      </c>
      <c r="CW59" s="2284">
        <v>544.29999999999995</v>
      </c>
      <c r="CX59" s="2284">
        <v>553.79999999999995</v>
      </c>
      <c r="CY59" s="2284">
        <v>585</v>
      </c>
      <c r="CZ59" s="2284">
        <v>606.9</v>
      </c>
      <c r="DA59" s="2284">
        <v>623.20000000000005</v>
      </c>
      <c r="DB59" s="2284">
        <v>619.79999999999995</v>
      </c>
      <c r="DC59" s="2284">
        <v>625.1</v>
      </c>
      <c r="DD59" s="2284">
        <v>638</v>
      </c>
      <c r="DE59" s="2284">
        <v>664.4</v>
      </c>
      <c r="DF59" s="2284">
        <v>694</v>
      </c>
      <c r="DG59" s="2284">
        <v>699.9</v>
      </c>
      <c r="DH59" s="2284">
        <v>721.3</v>
      </c>
      <c r="DI59" s="2284">
        <v>731.3</v>
      </c>
      <c r="DJ59" s="2284">
        <v>729.5</v>
      </c>
      <c r="DK59" s="2284">
        <v>719.5</v>
      </c>
      <c r="DL59" s="2284">
        <v>736.3</v>
      </c>
      <c r="DM59" s="2284">
        <v>760.6</v>
      </c>
      <c r="DN59" s="2284">
        <v>809.3</v>
      </c>
      <c r="DO59" s="2284">
        <v>840.3</v>
      </c>
      <c r="DP59" s="2284">
        <v>886.3</v>
      </c>
      <c r="DQ59" s="2284">
        <v>936.6</v>
      </c>
      <c r="DR59" s="2284">
        <v>968.6</v>
      </c>
      <c r="DS59" s="2284">
        <v>960.1</v>
      </c>
      <c r="DT59" s="2284">
        <v>975.2</v>
      </c>
      <c r="DU59" s="2284">
        <v>972.9</v>
      </c>
      <c r="DV59" s="2284">
        <v>967.5</v>
      </c>
      <c r="DW59" s="2284">
        <v>1000.6</v>
      </c>
      <c r="DX59" s="2284">
        <v>1036.5</v>
      </c>
      <c r="DY59" s="2284">
        <v>1045.0999999999999</v>
      </c>
      <c r="DZ59" s="2284">
        <v>1006.6</v>
      </c>
      <c r="EA59" s="2284">
        <v>1008.5</v>
      </c>
      <c r="EB59" s="2284">
        <v>997.2</v>
      </c>
      <c r="EC59" s="2284">
        <v>997.1</v>
      </c>
      <c r="ED59" s="2284">
        <v>1002.1</v>
      </c>
      <c r="EE59" s="2284">
        <v>1025.2</v>
      </c>
      <c r="EF59" s="2284">
        <v>1027.9000000000001</v>
      </c>
      <c r="EG59" s="2284">
        <v>1029.5999999999999</v>
      </c>
      <c r="EH59" s="2284">
        <v>1030.4000000000001</v>
      </c>
      <c r="EI59" s="2284">
        <v>1010.5</v>
      </c>
      <c r="EJ59" s="2284">
        <v>1019.5</v>
      </c>
      <c r="EK59" s="2284">
        <v>1040</v>
      </c>
      <c r="EL59" s="2284">
        <v>1050.9000000000001</v>
      </c>
      <c r="EM59" s="2284">
        <v>1057.3</v>
      </c>
      <c r="EN59" s="2284">
        <v>1101.2</v>
      </c>
      <c r="EO59" s="2284">
        <v>1113.9000000000001</v>
      </c>
      <c r="EP59" s="2284">
        <v>1139.0999999999999</v>
      </c>
      <c r="EQ59" s="2284">
        <v>1151.7</v>
      </c>
      <c r="ER59" s="2284">
        <v>1153.5</v>
      </c>
      <c r="ES59" s="2284">
        <v>1174.4000000000001</v>
      </c>
      <c r="ET59" s="2284">
        <v>1208.9000000000001</v>
      </c>
      <c r="EU59" s="2284">
        <v>1217.5999999999999</v>
      </c>
      <c r="EV59" s="2284">
        <v>1235.2</v>
      </c>
      <c r="EW59" s="2284">
        <v>1295</v>
      </c>
      <c r="EX59" s="2284">
        <v>1343.8</v>
      </c>
      <c r="EY59" s="2284">
        <v>1463.8</v>
      </c>
      <c r="EZ59" s="2284">
        <v>1500.8</v>
      </c>
      <c r="FA59" s="2284">
        <v>1605.8</v>
      </c>
      <c r="FB59" s="2284">
        <v>1827.4</v>
      </c>
      <c r="FC59" s="2284">
        <v>1895.6</v>
      </c>
      <c r="FD59" s="2284">
        <v>1899</v>
      </c>
      <c r="FE59" s="2284">
        <v>1878.4</v>
      </c>
      <c r="FF59" s="2284">
        <v>1900.2</v>
      </c>
      <c r="FG59" s="2284">
        <v>1904.1</v>
      </c>
      <c r="FH59" s="2284">
        <v>1903.5</v>
      </c>
      <c r="FI59" s="2284">
        <v>1920.6</v>
      </c>
      <c r="FJ59" s="2284">
        <v>1947.4</v>
      </c>
      <c r="FK59" s="2284">
        <v>1975.5</v>
      </c>
      <c r="FL59" s="2284">
        <v>1951</v>
      </c>
      <c r="FM59" s="2284">
        <v>1957.8</v>
      </c>
      <c r="FN59" s="2284">
        <v>1966.8</v>
      </c>
      <c r="FO59" s="2284">
        <v>1956.9</v>
      </c>
      <c r="FP59" s="2284">
        <v>1955.5</v>
      </c>
      <c r="FQ59" s="2284">
        <v>1956.1</v>
      </c>
      <c r="FR59" s="2284">
        <v>1958.3</v>
      </c>
      <c r="FS59" s="2284">
        <v>1953</v>
      </c>
      <c r="FT59" s="2284">
        <v>1944.6</v>
      </c>
      <c r="FU59" s="2284">
        <v>1928.2</v>
      </c>
      <c r="FV59" s="2284">
        <v>1917.6</v>
      </c>
      <c r="FW59" s="2285">
        <v>2223.1853380954785</v>
      </c>
      <c r="FX59" s="2285">
        <v>2585.574591567608</v>
      </c>
      <c r="FY59" s="2285">
        <v>100</v>
      </c>
      <c r="FZ59" s="2285">
        <v>101.21562480926514</v>
      </c>
      <c r="GA59" s="2285">
        <v>99.830303175563998</v>
      </c>
      <c r="GB59" s="2285">
        <v>94.866574960088499</v>
      </c>
      <c r="GC59" s="2285">
        <v>94.234448381522768</v>
      </c>
      <c r="GD59" s="2285">
        <v>95.620755927592214</v>
      </c>
      <c r="GE59" s="2285">
        <v>95.112673543249002</v>
      </c>
      <c r="GF59" s="2286">
        <v>91.175035743969218</v>
      </c>
      <c r="GG59" s="2287">
        <v>91.175035743969218</v>
      </c>
      <c r="GH59" s="2286">
        <v>90.750311299607645</v>
      </c>
      <c r="GI59" s="2286">
        <v>91.595792347118532</v>
      </c>
      <c r="GJ59" s="2285">
        <v>91.595792347118532</v>
      </c>
      <c r="GK59" s="2285">
        <v>93.061491780699257</v>
      </c>
      <c r="GL59" s="2285">
        <v>90.578634049181559</v>
      </c>
      <c r="GM59" s="2286">
        <v>90.890226585482836</v>
      </c>
      <c r="GN59" s="2286">
        <v>90.27217341742417</v>
      </c>
      <c r="GO59" s="2288">
        <v>94.44807800403234</v>
      </c>
      <c r="GP59" s="2289">
        <v>94.44807800403234</v>
      </c>
      <c r="GQ59" s="2289">
        <v>95.595255249619797</v>
      </c>
      <c r="GR59" s="2289">
        <v>104.92356141018142</v>
      </c>
      <c r="GS59" s="2289">
        <v>108.49908420393186</v>
      </c>
      <c r="GT59" s="2287">
        <v>110.53542871032279</v>
      </c>
      <c r="GU59" s="2287">
        <v>111.57543794449128</v>
      </c>
      <c r="GV59" s="2287">
        <v>112.61644060263951</v>
      </c>
      <c r="GW59" s="2287">
        <v>119.87862740539829</v>
      </c>
      <c r="GX59" s="2287">
        <v>121.41382863381185</v>
      </c>
      <c r="GY59" s="2287">
        <v>125.3793499213424</v>
      </c>
      <c r="GZ59" s="2287">
        <v>147.83303241056279</v>
      </c>
      <c r="HA59" s="2287">
        <v>162.4251288584243</v>
      </c>
      <c r="HB59" s="2287">
        <v>244.95758256591625</v>
      </c>
      <c r="HC59" s="2287">
        <v>262.16393387064346</v>
      </c>
      <c r="HD59" s="2287">
        <v>259.45624400712694</v>
      </c>
      <c r="HE59" s="2287">
        <v>333.03616755463145</v>
      </c>
      <c r="HF59" s="2287">
        <v>331.56739152337792</v>
      </c>
      <c r="HG59" s="2287">
        <v>327.71479060131907</v>
      </c>
      <c r="HH59" s="2290">
        <v>327.71479060131907</v>
      </c>
      <c r="HI59" s="2287">
        <v>330.69197448721383</v>
      </c>
      <c r="HJ59" s="2287">
        <v>333.24848361239924</v>
      </c>
      <c r="HK59" s="2287">
        <v>350.80157761677464</v>
      </c>
      <c r="HL59" s="2287">
        <v>373.52768188364246</v>
      </c>
      <c r="HM59" s="2287">
        <v>376.41113622366328</v>
      </c>
      <c r="HN59" s="2287">
        <v>371.97300381487099</v>
      </c>
      <c r="HO59" s="2287">
        <v>400.49247682267219</v>
      </c>
      <c r="HP59" s="2287">
        <v>400.49247682267219</v>
      </c>
      <c r="HQ59" s="2287">
        <v>477.4325881645936</v>
      </c>
      <c r="HR59" s="2287">
        <v>457.39079513988605</v>
      </c>
      <c r="HS59" s="2287">
        <v>507.65442276854759</v>
      </c>
      <c r="HT59" s="2291">
        <v>499.03894011789646</v>
      </c>
      <c r="HU59" s="2292">
        <v>502.80206091236482</v>
      </c>
      <c r="HV59" s="2287">
        <v>493.24047966664011</v>
      </c>
      <c r="HW59" s="2287">
        <v>493.24047966664011</v>
      </c>
      <c r="HX59" s="2287">
        <v>519.28816450921784</v>
      </c>
      <c r="HY59" s="2287">
        <v>545.17631265368652</v>
      </c>
      <c r="HZ59" s="2287">
        <v>550.73164953517539</v>
      </c>
      <c r="IA59" s="2287">
        <v>560.90545048381011</v>
      </c>
      <c r="IB59" s="2287">
        <v>647.4614204698737</v>
      </c>
      <c r="IC59" s="2287">
        <v>664.60730316556044</v>
      </c>
      <c r="ID59" s="2287">
        <v>761.30030149202639</v>
      </c>
      <c r="IE59" s="2287">
        <v>820.94503028893871</v>
      </c>
      <c r="IF59" s="2287">
        <v>891.71659798261146</v>
      </c>
      <c r="IG59" s="2292">
        <v>925.19305983467768</v>
      </c>
      <c r="IH59" s="2287">
        <v>976.03225575242436</v>
      </c>
      <c r="II59" s="2287">
        <v>1032.1733028061597</v>
      </c>
      <c r="IJ59" s="2292">
        <v>1114.9118121781689</v>
      </c>
      <c r="IK59" s="2287">
        <v>1248.5075198698548</v>
      </c>
      <c r="IL59" s="2287">
        <v>1272.9907911274604</v>
      </c>
      <c r="IM59" s="2287">
        <v>1272.809580566977</v>
      </c>
      <c r="IN59" s="2287">
        <v>1284.0953966550549</v>
      </c>
      <c r="IO59" s="2287">
        <v>1328.8878543288747</v>
      </c>
      <c r="IP59" s="2287">
        <v>1352.8350795115289</v>
      </c>
      <c r="IQ59" s="2287">
        <v>1417.5355445517339</v>
      </c>
      <c r="IR59" s="2287">
        <v>1495.571364889621</v>
      </c>
      <c r="IS59" s="2293">
        <v>1542.1234424373602</v>
      </c>
      <c r="IT59" s="2287">
        <v>1584.4045165720477</v>
      </c>
      <c r="IU59" s="2287">
        <v>1688.5455040026593</v>
      </c>
      <c r="IV59" s="2287">
        <v>1795.4204733076213</v>
      </c>
      <c r="IW59" s="2287">
        <v>1874.3548953794977</v>
      </c>
      <c r="IX59" s="2287">
        <v>1980.3903425982392</v>
      </c>
      <c r="IY59" s="2287">
        <v>2316.426810807362</v>
      </c>
      <c r="IZ59" s="2287">
        <v>2815.2510694436623</v>
      </c>
      <c r="JA59" s="2287">
        <v>3101.8712831153625</v>
      </c>
      <c r="JB59" s="2287">
        <v>3210.4000185455916</v>
      </c>
      <c r="JC59" s="2287">
        <v>3518.6943330658378</v>
      </c>
      <c r="JD59" s="2287">
        <v>4146.0989028495396</v>
      </c>
      <c r="JE59" s="2293">
        <v>4326.1068789778083</v>
      </c>
      <c r="JF59" s="2290">
        <v>4623.5045475437655</v>
      </c>
      <c r="JG59" s="2103">
        <f t="shared" si="12"/>
        <v>1.0687448731355031</v>
      </c>
      <c r="JI59" s="2155"/>
      <c r="JJ59" s="2104"/>
    </row>
    <row r="60" spans="1:270" ht="24" customHeight="1">
      <c r="B60" s="2276">
        <v>35</v>
      </c>
      <c r="C60" s="2277" t="s">
        <v>547</v>
      </c>
      <c r="D60" s="2278" t="s">
        <v>1182</v>
      </c>
      <c r="E60" s="2279" t="s">
        <v>40</v>
      </c>
      <c r="F60" s="2277" t="s">
        <v>918</v>
      </c>
      <c r="G60" s="2278" t="s">
        <v>1112</v>
      </c>
      <c r="H60" s="2277" t="s">
        <v>929</v>
      </c>
      <c r="I60" s="2277" t="s">
        <v>930</v>
      </c>
      <c r="J60" s="2280" t="s">
        <v>921</v>
      </c>
      <c r="K60" s="2278"/>
      <c r="L60" s="2281">
        <v>110</v>
      </c>
      <c r="M60" s="2281">
        <v>126.1</v>
      </c>
      <c r="N60" s="2281">
        <v>143.6</v>
      </c>
      <c r="O60" s="2281">
        <v>181</v>
      </c>
      <c r="P60" s="2281">
        <v>187.6</v>
      </c>
      <c r="Q60" s="2281">
        <v>187.7</v>
      </c>
      <c r="R60" s="2281">
        <v>197.3</v>
      </c>
      <c r="S60" s="2281">
        <v>202.7</v>
      </c>
      <c r="T60" s="2281">
        <v>200.5</v>
      </c>
      <c r="U60" s="2281">
        <v>204.3</v>
      </c>
      <c r="V60" s="2281">
        <v>206.6</v>
      </c>
      <c r="W60" s="2281">
        <v>205.8</v>
      </c>
      <c r="X60" s="2281">
        <v>208.9</v>
      </c>
      <c r="Y60" s="2281">
        <v>210.6</v>
      </c>
      <c r="Z60" s="2281">
        <v>210.6</v>
      </c>
      <c r="AA60" s="2281">
        <v>229.5</v>
      </c>
      <c r="AB60" s="2281">
        <v>229.5</v>
      </c>
      <c r="AC60" s="2281">
        <v>229.5</v>
      </c>
      <c r="AD60" s="2281">
        <v>217.5</v>
      </c>
      <c r="AE60" s="2281">
        <v>217.1</v>
      </c>
      <c r="AF60" s="2281">
        <v>217.1</v>
      </c>
      <c r="AG60" s="2281">
        <v>217.1</v>
      </c>
      <c r="AH60" s="2281">
        <v>216.2</v>
      </c>
      <c r="AI60" s="2281">
        <v>217.5</v>
      </c>
      <c r="AJ60" s="2281">
        <v>217.8</v>
      </c>
      <c r="AK60" s="2281">
        <v>222.3</v>
      </c>
      <c r="AL60" s="2281">
        <v>234.3</v>
      </c>
      <c r="AM60" s="2281">
        <v>227.5</v>
      </c>
      <c r="AN60" s="2281">
        <v>223.7</v>
      </c>
      <c r="AO60" s="2281">
        <v>230</v>
      </c>
      <c r="AP60" s="2281">
        <v>228.3</v>
      </c>
      <c r="AQ60" s="2281">
        <v>231.7</v>
      </c>
      <c r="AR60" s="2281">
        <v>237.4</v>
      </c>
      <c r="AS60" s="2281">
        <v>238.2</v>
      </c>
      <c r="AT60" s="2281">
        <v>242</v>
      </c>
      <c r="AU60" s="2281">
        <v>243.4</v>
      </c>
      <c r="AV60" s="2281">
        <v>244.6</v>
      </c>
      <c r="AW60" s="2282">
        <v>249.5</v>
      </c>
      <c r="AX60" s="2282">
        <v>250.8</v>
      </c>
      <c r="AY60" s="2282">
        <v>253.2</v>
      </c>
      <c r="AZ60" s="2282">
        <v>252.7</v>
      </c>
      <c r="BA60" s="2282">
        <v>252.7</v>
      </c>
      <c r="BB60" s="2282">
        <v>253.3</v>
      </c>
      <c r="BC60" s="2282">
        <v>254.7</v>
      </c>
      <c r="BD60" s="2283">
        <v>262.5</v>
      </c>
      <c r="BE60" s="2282">
        <v>265.89999999999998</v>
      </c>
      <c r="BF60" s="2283">
        <v>268.10000000000002</v>
      </c>
      <c r="BG60" s="2283">
        <v>268.39999999999998</v>
      </c>
      <c r="BH60" s="2283">
        <v>281.7</v>
      </c>
      <c r="BI60" s="2284">
        <v>282.7</v>
      </c>
      <c r="BJ60" s="2284">
        <v>290.3</v>
      </c>
      <c r="BK60" s="2284">
        <v>295.2</v>
      </c>
      <c r="BL60" s="2284">
        <v>295.2</v>
      </c>
      <c r="BM60" s="2284">
        <v>295.2</v>
      </c>
      <c r="BN60" s="2284">
        <v>297.10000000000002</v>
      </c>
      <c r="BO60" s="2284">
        <v>301.7</v>
      </c>
      <c r="BP60" s="2284">
        <v>305.60000000000002</v>
      </c>
      <c r="BQ60" s="2284">
        <v>308.10000000000002</v>
      </c>
      <c r="BR60" s="2284">
        <v>307</v>
      </c>
      <c r="BS60" s="2284">
        <v>307</v>
      </c>
      <c r="BT60" s="2284">
        <v>307.10000000000002</v>
      </c>
      <c r="BU60" s="2284">
        <v>314.89999999999998</v>
      </c>
      <c r="BV60" s="2284">
        <v>317.2</v>
      </c>
      <c r="BW60" s="2284">
        <v>316.60000000000002</v>
      </c>
      <c r="BX60" s="2284">
        <v>317.5</v>
      </c>
      <c r="BY60" s="2284">
        <v>324.7</v>
      </c>
      <c r="BZ60" s="2284">
        <v>324.8</v>
      </c>
      <c r="CA60" s="2284">
        <v>324.7</v>
      </c>
      <c r="CB60" s="2284">
        <v>324.7</v>
      </c>
      <c r="CC60" s="2284">
        <v>329.6</v>
      </c>
      <c r="CD60" s="2284">
        <v>329.6</v>
      </c>
      <c r="CE60" s="2284">
        <v>337.9</v>
      </c>
      <c r="CF60" s="2284">
        <v>338</v>
      </c>
      <c r="CG60" s="2284">
        <v>347.8</v>
      </c>
      <c r="CH60" s="2284">
        <v>350.7</v>
      </c>
      <c r="CI60" s="2284">
        <v>398.6</v>
      </c>
      <c r="CJ60" s="2284">
        <v>414.4</v>
      </c>
      <c r="CK60" s="2284">
        <v>414.4</v>
      </c>
      <c r="CL60" s="2284">
        <v>415.7</v>
      </c>
      <c r="CM60" s="2284">
        <v>420.4</v>
      </c>
      <c r="CN60" s="2284">
        <v>435.6</v>
      </c>
      <c r="CO60" s="2284">
        <v>442.5</v>
      </c>
      <c r="CP60" s="2284">
        <v>442.5</v>
      </c>
      <c r="CQ60" s="2284">
        <v>435.1</v>
      </c>
      <c r="CR60" s="2284">
        <v>435.1</v>
      </c>
      <c r="CS60" s="2284">
        <v>435.1</v>
      </c>
      <c r="CT60" s="2284">
        <v>435.1</v>
      </c>
      <c r="CU60" s="2284">
        <v>439.1</v>
      </c>
      <c r="CV60" s="2284">
        <v>439.1</v>
      </c>
      <c r="CW60" s="2284">
        <v>439.1</v>
      </c>
      <c r="CX60" s="2284">
        <v>439.1</v>
      </c>
      <c r="CY60" s="2284">
        <v>439.1</v>
      </c>
      <c r="CZ60" s="2284">
        <v>446.1</v>
      </c>
      <c r="DA60" s="2284">
        <v>452.2</v>
      </c>
      <c r="DB60" s="2284">
        <v>460</v>
      </c>
      <c r="DC60" s="2284">
        <v>461.9</v>
      </c>
      <c r="DD60" s="2284">
        <v>461.8</v>
      </c>
      <c r="DE60" s="2284">
        <v>467.6</v>
      </c>
      <c r="DF60" s="2284">
        <v>467.8</v>
      </c>
      <c r="DG60" s="2284">
        <v>490.4</v>
      </c>
      <c r="DH60" s="2284">
        <v>501.9</v>
      </c>
      <c r="DI60" s="2284">
        <v>510.3</v>
      </c>
      <c r="DJ60" s="2284">
        <v>515.70000000000005</v>
      </c>
      <c r="DK60" s="2284">
        <v>522.6</v>
      </c>
      <c r="DL60" s="2284">
        <v>522.6</v>
      </c>
      <c r="DM60" s="2284">
        <v>528.79999999999995</v>
      </c>
      <c r="DN60" s="2284">
        <v>548.70000000000005</v>
      </c>
      <c r="DO60" s="2284">
        <v>562.1</v>
      </c>
      <c r="DP60" s="2284">
        <v>562</v>
      </c>
      <c r="DQ60" s="2284">
        <v>582.70000000000005</v>
      </c>
      <c r="DR60" s="2284">
        <v>609.9</v>
      </c>
      <c r="DS60" s="2284">
        <v>612.6</v>
      </c>
      <c r="DT60" s="2284">
        <v>623.1</v>
      </c>
      <c r="DU60" s="2284">
        <v>630.79999999999995</v>
      </c>
      <c r="DV60" s="2284">
        <v>630.79999999999995</v>
      </c>
      <c r="DW60" s="2284">
        <v>630.79999999999995</v>
      </c>
      <c r="DX60" s="2284">
        <v>636.4</v>
      </c>
      <c r="DY60" s="2284">
        <v>650</v>
      </c>
      <c r="DZ60" s="2284">
        <v>680</v>
      </c>
      <c r="EA60" s="2284">
        <v>690</v>
      </c>
      <c r="EB60" s="2284">
        <v>690</v>
      </c>
      <c r="EC60" s="2284">
        <v>696.6</v>
      </c>
      <c r="ED60" s="2284">
        <v>717.1</v>
      </c>
      <c r="EE60" s="2284">
        <v>744.1</v>
      </c>
      <c r="EF60" s="2284">
        <v>752.8</v>
      </c>
      <c r="EG60" s="2284">
        <v>761.5</v>
      </c>
      <c r="EH60" s="2284">
        <v>795</v>
      </c>
      <c r="EI60" s="2284">
        <v>795</v>
      </c>
      <c r="EJ60" s="2284">
        <v>812.9</v>
      </c>
      <c r="EK60" s="2284">
        <v>814</v>
      </c>
      <c r="EL60" s="2284">
        <v>820.8</v>
      </c>
      <c r="EM60" s="2284">
        <v>845.6</v>
      </c>
      <c r="EN60" s="2284">
        <v>864.2</v>
      </c>
      <c r="EO60" s="2284">
        <v>885.8</v>
      </c>
      <c r="EP60" s="2284">
        <v>906.5</v>
      </c>
      <c r="EQ60" s="2284">
        <v>943.9</v>
      </c>
      <c r="ER60" s="2284">
        <v>957.3</v>
      </c>
      <c r="ES60" s="2284">
        <v>968.7</v>
      </c>
      <c r="ET60" s="2284">
        <v>1018.4</v>
      </c>
      <c r="EU60" s="2284">
        <v>1018.4</v>
      </c>
      <c r="EV60" s="2284">
        <v>1017.6</v>
      </c>
      <c r="EW60" s="2284">
        <v>1050.8</v>
      </c>
      <c r="EX60" s="2284">
        <v>1064.2</v>
      </c>
      <c r="EY60" s="2284">
        <v>1088.8</v>
      </c>
      <c r="EZ60" s="2284">
        <v>1179.3</v>
      </c>
      <c r="FA60" s="2284">
        <v>1223.5</v>
      </c>
      <c r="FB60" s="2284">
        <v>1468.6</v>
      </c>
      <c r="FC60" s="2284">
        <v>1519.1</v>
      </c>
      <c r="FD60" s="2284">
        <v>1523</v>
      </c>
      <c r="FE60" s="2284">
        <v>1579.8</v>
      </c>
      <c r="FF60" s="2284">
        <v>1611.4</v>
      </c>
      <c r="FG60" s="2284">
        <v>1664.4</v>
      </c>
      <c r="FH60" s="2284">
        <v>1690.3</v>
      </c>
      <c r="FI60" s="2284">
        <v>1763.6</v>
      </c>
      <c r="FJ60" s="2284">
        <v>1790.4</v>
      </c>
      <c r="FK60" s="2284">
        <v>1790.4</v>
      </c>
      <c r="FL60" s="2284">
        <v>1790.4</v>
      </c>
      <c r="FM60" s="2284">
        <v>1802.3</v>
      </c>
      <c r="FN60" s="2284">
        <v>1828.5</v>
      </c>
      <c r="FO60" s="2284">
        <v>1875.4</v>
      </c>
      <c r="FP60" s="2284">
        <v>1875.5</v>
      </c>
      <c r="FQ60" s="2284">
        <v>1866.4</v>
      </c>
      <c r="FR60" s="2284">
        <v>1892</v>
      </c>
      <c r="FS60" s="2284">
        <v>1809.5</v>
      </c>
      <c r="FT60" s="2284">
        <v>1880.5</v>
      </c>
      <c r="FU60" s="2284">
        <v>1978.9</v>
      </c>
      <c r="FV60" s="2284">
        <v>2044.4</v>
      </c>
      <c r="FW60" s="2285">
        <v>2112.1097424276163</v>
      </c>
      <c r="FX60" s="2285">
        <v>2364.304006081014</v>
      </c>
      <c r="FY60" s="2285">
        <v>100</v>
      </c>
      <c r="FZ60" s="2285">
        <v>100.21874904632568</v>
      </c>
      <c r="GA60" s="2285">
        <v>99.941333596440543</v>
      </c>
      <c r="GB60" s="2285">
        <v>99.935370671785464</v>
      </c>
      <c r="GC60" s="2285">
        <v>99.935370671785464</v>
      </c>
      <c r="GD60" s="2285">
        <v>101.43877195568103</v>
      </c>
      <c r="GE60" s="2285">
        <v>103.00580758068494</v>
      </c>
      <c r="GF60" s="2286">
        <v>104.64841501756551</v>
      </c>
      <c r="GG60" s="2287">
        <v>104.64841501756551</v>
      </c>
      <c r="GH60" s="2286">
        <v>104.64841501756551</v>
      </c>
      <c r="GI60" s="2286">
        <v>104.64841501756551</v>
      </c>
      <c r="GJ60" s="2285">
        <v>104.64841501756551</v>
      </c>
      <c r="GK60" s="2285">
        <v>104.64841501756551</v>
      </c>
      <c r="GL60" s="2285">
        <v>101.0828111643758</v>
      </c>
      <c r="GM60" s="2286">
        <v>101.0828111643758</v>
      </c>
      <c r="GN60" s="2286">
        <v>103.53912137414837</v>
      </c>
      <c r="GO60" s="2288">
        <v>105.05042625065902</v>
      </c>
      <c r="GP60" s="2289">
        <v>105.05042625065902</v>
      </c>
      <c r="GQ60" s="2289">
        <v>105.05042625065902</v>
      </c>
      <c r="GR60" s="2289">
        <v>102.77352811990488</v>
      </c>
      <c r="GS60" s="2289">
        <v>108.04717505377386</v>
      </c>
      <c r="GT60" s="2287">
        <v>108.04915860872818</v>
      </c>
      <c r="GU60" s="2287">
        <v>109.56444208806683</v>
      </c>
      <c r="GV60" s="2287">
        <v>109.56444208806683</v>
      </c>
      <c r="GW60" s="2287">
        <v>111.035970840853</v>
      </c>
      <c r="GX60" s="2287">
        <v>112.9937049763908</v>
      </c>
      <c r="GY60" s="2287">
        <v>114.07746613378312</v>
      </c>
      <c r="GZ60" s="2287">
        <v>127.68575281268021</v>
      </c>
      <c r="HA60" s="2287">
        <v>138.1358945823915</v>
      </c>
      <c r="HB60" s="2287">
        <v>147.13668625455847</v>
      </c>
      <c r="HC60" s="2287">
        <v>162.2406422594207</v>
      </c>
      <c r="HD60" s="2287">
        <v>161.51580411524458</v>
      </c>
      <c r="HE60" s="2287">
        <v>170.5084834966666</v>
      </c>
      <c r="HF60" s="2287">
        <v>170.5084834966666</v>
      </c>
      <c r="HG60" s="2287">
        <v>179.24704327587077</v>
      </c>
      <c r="HH60" s="2290">
        <v>179.24704327587077</v>
      </c>
      <c r="HI60" s="2287">
        <v>183.3403191358814</v>
      </c>
      <c r="HJ60" s="2287">
        <v>184.75763229024409</v>
      </c>
      <c r="HK60" s="2287">
        <v>187.57536018578736</v>
      </c>
      <c r="HL60" s="2287">
        <v>196.26565480642626</v>
      </c>
      <c r="HM60" s="2287">
        <v>196.26565480642626</v>
      </c>
      <c r="HN60" s="2287">
        <v>202.43753074373527</v>
      </c>
      <c r="HO60" s="2287">
        <v>209.18328366629669</v>
      </c>
      <c r="HP60" s="2287">
        <v>232.7618073114798</v>
      </c>
      <c r="HQ60" s="2287">
        <v>287.07807990096484</v>
      </c>
      <c r="HR60" s="2287">
        <v>287.13039581656204</v>
      </c>
      <c r="HS60" s="2287">
        <v>299.85807368594021</v>
      </c>
      <c r="HT60" s="2291">
        <v>294.32681753220754</v>
      </c>
      <c r="HU60" s="2292">
        <v>294.32681753220754</v>
      </c>
      <c r="HV60" s="2287">
        <v>293.77460528447079</v>
      </c>
      <c r="HW60" s="2287">
        <v>293.77460528447079</v>
      </c>
      <c r="HX60" s="2287">
        <v>293.77460528447079</v>
      </c>
      <c r="HY60" s="2287">
        <v>317.10316500286905</v>
      </c>
      <c r="HZ60" s="2287">
        <v>318.98025905861834</v>
      </c>
      <c r="IA60" s="2287">
        <v>334.56941672743426</v>
      </c>
      <c r="IB60" s="2287">
        <v>340.88381241883627</v>
      </c>
      <c r="IC60" s="2287">
        <v>344.29325872766742</v>
      </c>
      <c r="ID60" s="2287">
        <v>378.613434677101</v>
      </c>
      <c r="IE60" s="2287">
        <v>407.27194443905427</v>
      </c>
      <c r="IF60" s="2287">
        <v>423.99063500672702</v>
      </c>
      <c r="IG60" s="2292">
        <v>447.21098852294108</v>
      </c>
      <c r="IH60" s="2287">
        <v>476.90732270537694</v>
      </c>
      <c r="II60" s="2287">
        <v>484.20014797286279</v>
      </c>
      <c r="IJ60" s="2292">
        <v>527.27010428730796</v>
      </c>
      <c r="IK60" s="2287">
        <v>544.00111442656225</v>
      </c>
      <c r="IL60" s="2287">
        <v>549.28946148958858</v>
      </c>
      <c r="IM60" s="2287">
        <v>564.94097251459812</v>
      </c>
      <c r="IN60" s="2287">
        <v>574.95379987288493</v>
      </c>
      <c r="IO60" s="2287">
        <v>596.70372716827626</v>
      </c>
      <c r="IP60" s="2287">
        <v>615.80461546006893</v>
      </c>
      <c r="IQ60" s="2287">
        <v>632.45289323903182</v>
      </c>
      <c r="IR60" s="2287">
        <v>641.96558902105926</v>
      </c>
      <c r="IS60" s="2293">
        <v>660.99209678832119</v>
      </c>
      <c r="IT60" s="2287">
        <v>679.64378040999236</v>
      </c>
      <c r="IU60" s="2287">
        <v>697.88177003379167</v>
      </c>
      <c r="IV60" s="2287">
        <v>727.31459009329353</v>
      </c>
      <c r="IW60" s="2287">
        <v>774.78468413733719</v>
      </c>
      <c r="IX60" s="2287">
        <v>853.02421897123156</v>
      </c>
      <c r="IY60" s="2287">
        <v>1025.4369941486138</v>
      </c>
      <c r="IZ60" s="2287">
        <v>1119.4282255536145</v>
      </c>
      <c r="JA60" s="2287">
        <v>1198.1586069111006</v>
      </c>
      <c r="JB60" s="2287">
        <v>1281.9978505553188</v>
      </c>
      <c r="JC60" s="2287">
        <v>1370.7964174811248</v>
      </c>
      <c r="JD60" s="2287">
        <v>1457.3917864003677</v>
      </c>
      <c r="JE60" s="2293">
        <v>1564.9132714482473</v>
      </c>
      <c r="JF60" s="2290">
        <v>1665.6531895040316</v>
      </c>
      <c r="JG60" s="2103">
        <f t="shared" si="12"/>
        <v>1.0643741221279022</v>
      </c>
      <c r="JI60" s="2155"/>
      <c r="JJ60" s="2104"/>
    </row>
    <row r="61" spans="1:270" ht="31.5">
      <c r="B61" s="2105">
        <v>36</v>
      </c>
      <c r="C61" s="2106"/>
      <c r="D61" s="2425" t="s">
        <v>1183</v>
      </c>
      <c r="E61" s="2107" t="s">
        <v>41</v>
      </c>
      <c r="F61" s="2106" t="s">
        <v>918</v>
      </c>
      <c r="G61" s="2425" t="s">
        <v>1112</v>
      </c>
      <c r="H61" s="2138" t="s">
        <v>64</v>
      </c>
      <c r="I61" s="2106" t="s">
        <v>920</v>
      </c>
      <c r="J61" s="2359" t="s">
        <v>921</v>
      </c>
      <c r="K61" s="2425"/>
      <c r="L61" s="2110">
        <v>100.8</v>
      </c>
      <c r="M61" s="2110">
        <v>116.3</v>
      </c>
      <c r="N61" s="2110">
        <v>124</v>
      </c>
      <c r="O61" s="2110">
        <v>153.6</v>
      </c>
      <c r="P61" s="2110">
        <v>162.19999999999999</v>
      </c>
      <c r="Q61" s="2110">
        <v>167.2</v>
      </c>
      <c r="R61" s="2110">
        <v>179.6</v>
      </c>
      <c r="S61" s="2110">
        <v>187.2</v>
      </c>
      <c r="T61" s="2110">
        <v>185.3</v>
      </c>
      <c r="U61" s="2110">
        <v>175.2</v>
      </c>
      <c r="V61" s="2110">
        <v>173.4</v>
      </c>
      <c r="W61" s="2110">
        <v>171.7</v>
      </c>
      <c r="X61" s="2110">
        <v>172.8</v>
      </c>
      <c r="Y61" s="2110">
        <v>173.4</v>
      </c>
      <c r="Z61" s="2110">
        <v>173.5</v>
      </c>
      <c r="AA61" s="2110">
        <v>179.8</v>
      </c>
      <c r="AB61" s="2110">
        <v>179.9</v>
      </c>
      <c r="AC61" s="2110">
        <v>180.1</v>
      </c>
      <c r="AD61" s="2110">
        <v>175.1</v>
      </c>
      <c r="AE61" s="2110">
        <v>176.5</v>
      </c>
      <c r="AF61" s="2110">
        <v>176.6</v>
      </c>
      <c r="AG61" s="2110">
        <v>177.5</v>
      </c>
      <c r="AH61" s="2110">
        <v>177.4</v>
      </c>
      <c r="AI61" s="2110">
        <v>177.8</v>
      </c>
      <c r="AJ61" s="2110">
        <v>179.2</v>
      </c>
      <c r="AK61" s="2110">
        <v>184.4</v>
      </c>
      <c r="AL61" s="2110">
        <v>194</v>
      </c>
      <c r="AM61" s="2110">
        <v>194.7</v>
      </c>
      <c r="AN61" s="2110">
        <v>200.6</v>
      </c>
      <c r="AO61" s="2110">
        <v>210.6</v>
      </c>
      <c r="AP61" s="2110">
        <v>216.5</v>
      </c>
      <c r="AQ61" s="2110">
        <v>223.3</v>
      </c>
      <c r="AR61" s="2110">
        <v>224.1</v>
      </c>
      <c r="AS61" s="2110">
        <v>224.3</v>
      </c>
      <c r="AT61" s="2110">
        <v>231.4</v>
      </c>
      <c r="AU61" s="2110">
        <v>232.1</v>
      </c>
      <c r="AV61" s="2110">
        <v>239</v>
      </c>
      <c r="AW61" s="2111">
        <v>236.3</v>
      </c>
      <c r="AX61" s="2111">
        <v>244.6</v>
      </c>
      <c r="AY61" s="2111">
        <v>245.4</v>
      </c>
      <c r="AZ61" s="2111">
        <v>246.7</v>
      </c>
      <c r="BA61" s="2111">
        <v>244.1</v>
      </c>
      <c r="BB61" s="2111">
        <v>240.2</v>
      </c>
      <c r="BC61" s="2111">
        <v>240.7</v>
      </c>
      <c r="BD61" s="2112">
        <v>243.3</v>
      </c>
      <c r="BE61" s="2111">
        <v>247</v>
      </c>
      <c r="BF61" s="2112">
        <v>247.7</v>
      </c>
      <c r="BG61" s="2112">
        <v>249.3</v>
      </c>
      <c r="BH61" s="2112">
        <v>253.7</v>
      </c>
      <c r="BI61" s="2108">
        <v>254.1</v>
      </c>
      <c r="BJ61" s="2108">
        <v>256.10000000000002</v>
      </c>
      <c r="BK61" s="2108">
        <v>261.89999999999998</v>
      </c>
      <c r="BL61" s="2108">
        <v>265.3</v>
      </c>
      <c r="BM61" s="2108">
        <v>267.39999999999998</v>
      </c>
      <c r="BN61" s="2108">
        <v>270.7</v>
      </c>
      <c r="BO61" s="2108">
        <v>274.89999999999998</v>
      </c>
      <c r="BP61" s="2108">
        <v>281</v>
      </c>
      <c r="BQ61" s="2108">
        <v>281.8</v>
      </c>
      <c r="BR61" s="2108">
        <v>277.3</v>
      </c>
      <c r="BS61" s="2108">
        <v>280</v>
      </c>
      <c r="BT61" s="2108">
        <v>280</v>
      </c>
      <c r="BU61" s="2108">
        <v>282.60000000000002</v>
      </c>
      <c r="BV61" s="2108">
        <v>284.3</v>
      </c>
      <c r="BW61" s="2108">
        <v>284.8</v>
      </c>
      <c r="BX61" s="2108">
        <v>288.60000000000002</v>
      </c>
      <c r="BY61" s="2108">
        <v>291</v>
      </c>
      <c r="BZ61" s="2108">
        <v>291.10000000000002</v>
      </c>
      <c r="CA61" s="2108">
        <v>291</v>
      </c>
      <c r="CB61" s="2108">
        <v>293</v>
      </c>
      <c r="CC61" s="2108">
        <v>297.5</v>
      </c>
      <c r="CD61" s="2108">
        <v>297.5</v>
      </c>
      <c r="CE61" s="2108">
        <v>300.3</v>
      </c>
      <c r="CF61" s="2108">
        <v>304.2</v>
      </c>
      <c r="CG61" s="2108">
        <v>310</v>
      </c>
      <c r="CH61" s="2108">
        <v>310.89999999999998</v>
      </c>
      <c r="CI61" s="2108">
        <v>342.2</v>
      </c>
      <c r="CJ61" s="2108">
        <v>354</v>
      </c>
      <c r="CK61" s="2108">
        <v>362.2</v>
      </c>
      <c r="CL61" s="2108">
        <v>365.3</v>
      </c>
      <c r="CM61" s="2108">
        <v>366.9</v>
      </c>
      <c r="CN61" s="2108">
        <v>377.9</v>
      </c>
      <c r="CO61" s="2108">
        <v>380.2</v>
      </c>
      <c r="CP61" s="2108">
        <v>383.9</v>
      </c>
      <c r="CQ61" s="2108">
        <v>386.7</v>
      </c>
      <c r="CR61" s="2108">
        <v>386.7</v>
      </c>
      <c r="CS61" s="2108">
        <v>386.7</v>
      </c>
      <c r="CT61" s="2108">
        <v>386.7</v>
      </c>
      <c r="CU61" s="2108">
        <v>388</v>
      </c>
      <c r="CV61" s="2108">
        <v>388</v>
      </c>
      <c r="CW61" s="2108">
        <v>388</v>
      </c>
      <c r="CX61" s="2108">
        <v>388</v>
      </c>
      <c r="CY61" s="2108">
        <v>388</v>
      </c>
      <c r="CZ61" s="2108">
        <v>390.7</v>
      </c>
      <c r="DA61" s="2108">
        <v>392.9</v>
      </c>
      <c r="DB61" s="2108">
        <v>395.5</v>
      </c>
      <c r="DC61" s="2108">
        <v>404.4</v>
      </c>
      <c r="DD61" s="2108">
        <v>404.3</v>
      </c>
      <c r="DE61" s="2108">
        <v>408.1</v>
      </c>
      <c r="DF61" s="2108">
        <v>408</v>
      </c>
      <c r="DG61" s="2108">
        <v>418.4</v>
      </c>
      <c r="DH61" s="2108">
        <v>426.3</v>
      </c>
      <c r="DI61" s="2108">
        <v>437.1</v>
      </c>
      <c r="DJ61" s="2108">
        <v>439</v>
      </c>
      <c r="DK61" s="2108">
        <v>449.5</v>
      </c>
      <c r="DL61" s="2108">
        <v>451.9</v>
      </c>
      <c r="DM61" s="2108">
        <v>458.8</v>
      </c>
      <c r="DN61" s="2108">
        <v>464.2</v>
      </c>
      <c r="DO61" s="2108">
        <v>468.3</v>
      </c>
      <c r="DP61" s="2108">
        <v>468.6</v>
      </c>
      <c r="DQ61" s="2108">
        <v>477.9</v>
      </c>
      <c r="DR61" s="2108">
        <v>490.9</v>
      </c>
      <c r="DS61" s="2108">
        <v>498.2</v>
      </c>
      <c r="DT61" s="2108">
        <v>508.7</v>
      </c>
      <c r="DU61" s="2108">
        <v>513.1</v>
      </c>
      <c r="DV61" s="2108">
        <v>515.20000000000005</v>
      </c>
      <c r="DW61" s="2108">
        <v>515.20000000000005</v>
      </c>
      <c r="DX61" s="2108">
        <v>526.1</v>
      </c>
      <c r="DY61" s="2108">
        <v>533.6</v>
      </c>
      <c r="DZ61" s="2108">
        <v>543.5</v>
      </c>
      <c r="EA61" s="2108">
        <v>546.79999999999995</v>
      </c>
      <c r="EB61" s="2108">
        <v>546.79999999999995</v>
      </c>
      <c r="EC61" s="2108">
        <v>549</v>
      </c>
      <c r="ED61" s="2108">
        <v>550</v>
      </c>
      <c r="EE61" s="2108">
        <v>559</v>
      </c>
      <c r="EF61" s="2108">
        <v>561.20000000000005</v>
      </c>
      <c r="EG61" s="2108">
        <v>564.1</v>
      </c>
      <c r="EH61" s="2108">
        <v>575.29999999999995</v>
      </c>
      <c r="EI61" s="2108">
        <v>593.29999999999995</v>
      </c>
      <c r="EJ61" s="2108">
        <v>601.6</v>
      </c>
      <c r="EK61" s="2108">
        <v>605.1</v>
      </c>
      <c r="EL61" s="2108">
        <v>608.6</v>
      </c>
      <c r="EM61" s="2108">
        <v>619</v>
      </c>
      <c r="EN61" s="2108">
        <v>625.20000000000005</v>
      </c>
      <c r="EO61" s="2108">
        <v>633.20000000000005</v>
      </c>
      <c r="EP61" s="2108">
        <v>648.4</v>
      </c>
      <c r="EQ61" s="2108">
        <v>663.5</v>
      </c>
      <c r="ER61" s="2108">
        <v>671.6</v>
      </c>
      <c r="ES61" s="2108">
        <v>683.1</v>
      </c>
      <c r="ET61" s="2108">
        <v>701.1</v>
      </c>
      <c r="EU61" s="2108">
        <v>711.9</v>
      </c>
      <c r="EV61" s="2108">
        <v>720.7</v>
      </c>
      <c r="EW61" s="2108">
        <v>736.2</v>
      </c>
      <c r="EX61" s="2108">
        <v>750.7</v>
      </c>
      <c r="EY61" s="2108">
        <v>771.3</v>
      </c>
      <c r="EZ61" s="2108">
        <v>810.9</v>
      </c>
      <c r="FA61" s="2108">
        <v>840.6</v>
      </c>
      <c r="FB61" s="2108">
        <v>989.7</v>
      </c>
      <c r="FC61" s="2108">
        <v>1035.7</v>
      </c>
      <c r="FD61" s="2108">
        <v>1072.0999999999999</v>
      </c>
      <c r="FE61" s="2108">
        <v>1100.9000000000001</v>
      </c>
      <c r="FF61" s="2108">
        <v>1116</v>
      </c>
      <c r="FG61" s="2108">
        <v>1153.5</v>
      </c>
      <c r="FH61" s="2108">
        <v>1158.8</v>
      </c>
      <c r="FI61" s="2108">
        <v>1221.7</v>
      </c>
      <c r="FJ61" s="2108">
        <v>1270.8</v>
      </c>
      <c r="FK61" s="2108">
        <v>1282.8</v>
      </c>
      <c r="FL61" s="2108">
        <v>1282.8</v>
      </c>
      <c r="FM61" s="2108">
        <v>1287</v>
      </c>
      <c r="FN61" s="2108">
        <v>1324</v>
      </c>
      <c r="FO61" s="2108">
        <v>1367.3</v>
      </c>
      <c r="FP61" s="2108">
        <v>1372.8</v>
      </c>
      <c r="FQ61" s="2108">
        <v>1376.4</v>
      </c>
      <c r="FR61" s="2108">
        <v>1391.8</v>
      </c>
      <c r="FS61" s="2108">
        <v>1377.4</v>
      </c>
      <c r="FT61" s="2108">
        <v>1401.1</v>
      </c>
      <c r="FU61" s="2108">
        <v>1448.3</v>
      </c>
      <c r="FV61" s="2108">
        <v>1470.1</v>
      </c>
      <c r="FW61" s="2113">
        <v>1447.0459119164639</v>
      </c>
      <c r="FX61" s="2113">
        <v>1495.338690088538</v>
      </c>
      <c r="FY61" s="2113">
        <v>100</v>
      </c>
      <c r="FZ61" s="2113">
        <v>100</v>
      </c>
      <c r="GA61" s="2113">
        <v>108.95829200744629</v>
      </c>
      <c r="GB61" s="2113">
        <v>113.07275404940924</v>
      </c>
      <c r="GC61" s="2113">
        <v>113.07275404940924</v>
      </c>
      <c r="GD61" s="2113">
        <v>114.1387662833815</v>
      </c>
      <c r="GE61" s="2113">
        <v>114.1387662833815</v>
      </c>
      <c r="GF61" s="2114">
        <v>114.1387662833815</v>
      </c>
      <c r="GG61" s="1960">
        <v>114.1387662833815</v>
      </c>
      <c r="GH61" s="2114">
        <v>115.56011816959368</v>
      </c>
      <c r="GI61" s="2114">
        <v>115.56011816959368</v>
      </c>
      <c r="GJ61" s="2113">
        <v>116.79446094830404</v>
      </c>
      <c r="GK61" s="2113">
        <v>116.79446094830404</v>
      </c>
      <c r="GL61" s="2113">
        <v>117.20591299254598</v>
      </c>
      <c r="GM61" s="2114">
        <v>117.20591299254598</v>
      </c>
      <c r="GN61" s="2114">
        <v>117.20591299254598</v>
      </c>
      <c r="GO61" s="2115">
        <v>119.1322232955628</v>
      </c>
      <c r="GP61" s="2116">
        <v>119.1322232955628</v>
      </c>
      <c r="GQ61" s="2116">
        <v>122.19935746909226</v>
      </c>
      <c r="GR61" s="2116">
        <v>122.19935746909226</v>
      </c>
      <c r="GS61" s="2116">
        <v>130.12903732057484</v>
      </c>
      <c r="GT61" s="1960">
        <v>132.37329026650812</v>
      </c>
      <c r="GU61" s="1960">
        <v>132.41068916486307</v>
      </c>
      <c r="GV61" s="1960">
        <v>132.44809862937979</v>
      </c>
      <c r="GW61" s="1960">
        <v>133.75724719107859</v>
      </c>
      <c r="GX61" s="1960">
        <v>136.28202723023762</v>
      </c>
      <c r="GY61" s="1960">
        <v>135.02899116785071</v>
      </c>
      <c r="GZ61" s="1960">
        <v>141.19216392002977</v>
      </c>
      <c r="HA61" s="1960">
        <v>143.78450518840648</v>
      </c>
      <c r="HB61" s="1960">
        <v>144.90718743858858</v>
      </c>
      <c r="HC61" s="1960">
        <v>147.79707131626546</v>
      </c>
      <c r="HD61" s="1960">
        <v>150.65591802454793</v>
      </c>
      <c r="HE61" s="1960">
        <v>166.45565516477379</v>
      </c>
      <c r="HF61" s="1960">
        <v>188.10257354383049</v>
      </c>
      <c r="HG61" s="1960">
        <v>188.10257354383049</v>
      </c>
      <c r="HH61" s="2117">
        <v>188.10257354383049</v>
      </c>
      <c r="HI61" s="1960">
        <v>198.69089441866714</v>
      </c>
      <c r="HJ61" s="1960">
        <v>227.80438997853054</v>
      </c>
      <c r="HK61" s="1960">
        <v>230.11811542740693</v>
      </c>
      <c r="HL61" s="1960">
        <v>230.11811542740693</v>
      </c>
      <c r="HM61" s="1960">
        <v>236.39918971476709</v>
      </c>
      <c r="HN61" s="1960">
        <v>231.64365604915963</v>
      </c>
      <c r="HO61" s="1960">
        <v>240.777847676693</v>
      </c>
      <c r="HP61" s="1960">
        <v>246.34136266136059</v>
      </c>
      <c r="HQ61" s="1960">
        <v>280.34344537267214</v>
      </c>
      <c r="HR61" s="1960">
        <v>300.36797718500583</v>
      </c>
      <c r="HS61" s="1960">
        <v>319.77140713208064</v>
      </c>
      <c r="HT61" s="1962">
        <v>313.77667786188562</v>
      </c>
      <c r="HU61" s="1961">
        <v>313.77667786188562</v>
      </c>
      <c r="HV61" s="1960">
        <v>313.48232594719718</v>
      </c>
      <c r="HW61" s="1960">
        <v>313.48232594719718</v>
      </c>
      <c r="HX61" s="1960">
        <v>313.48232594719718</v>
      </c>
      <c r="HY61" s="1960">
        <v>323.15692476977722</v>
      </c>
      <c r="HZ61" s="1960">
        <v>349.19417378987566</v>
      </c>
      <c r="IA61" s="1960">
        <v>364.08653705615188</v>
      </c>
      <c r="IB61" s="1960">
        <v>380.43883567838759</v>
      </c>
      <c r="IC61" s="1960">
        <v>385.82909117408133</v>
      </c>
      <c r="ID61" s="1960">
        <v>438.51293999231507</v>
      </c>
      <c r="IE61" s="1960">
        <v>456.45561520782394</v>
      </c>
      <c r="IF61" s="1960">
        <v>463.43089004818285</v>
      </c>
      <c r="IG61" s="1961">
        <v>482.63091096305692</v>
      </c>
      <c r="IH61" s="1960">
        <v>534.13684961676552</v>
      </c>
      <c r="II61" s="1960">
        <v>538.59354916588666</v>
      </c>
      <c r="IJ61" s="1961">
        <v>575.26027657722602</v>
      </c>
      <c r="IK61" s="1960">
        <v>628.26147004636493</v>
      </c>
      <c r="IL61" s="1960">
        <v>656.7344223419841</v>
      </c>
      <c r="IM61" s="1960">
        <v>660.08312462348658</v>
      </c>
      <c r="IN61" s="1960">
        <v>675.81510576034634</v>
      </c>
      <c r="IO61" s="1960">
        <v>721.87764964631288</v>
      </c>
      <c r="IP61" s="1960">
        <v>741.75094363758819</v>
      </c>
      <c r="IQ61" s="1960">
        <v>770.49861408467848</v>
      </c>
      <c r="IR61" s="1960">
        <v>785.74526177512928</v>
      </c>
      <c r="IS61" s="2274">
        <v>795.15515983120633</v>
      </c>
      <c r="IT61" s="1960">
        <v>816.90571296163444</v>
      </c>
      <c r="IU61" s="1960">
        <v>834.46545397601278</v>
      </c>
      <c r="IV61" s="1960">
        <v>894.23041493795574</v>
      </c>
      <c r="IW61" s="1960">
        <v>905.14309615852358</v>
      </c>
      <c r="IX61" s="1960">
        <v>978.72171950641518</v>
      </c>
      <c r="IY61" s="1960">
        <v>1149.1581299549159</v>
      </c>
      <c r="IZ61" s="1960">
        <v>1237.8230544768548</v>
      </c>
      <c r="JA61" s="1960">
        <v>1306.2596605715748</v>
      </c>
      <c r="JB61" s="1960">
        <v>1384.4086396281361</v>
      </c>
      <c r="JC61" s="1960">
        <v>1454.2727247730259</v>
      </c>
      <c r="JD61" s="1960">
        <v>1548.7636575459269</v>
      </c>
      <c r="JE61" s="2274">
        <v>1576.4405793138535</v>
      </c>
      <c r="JF61" s="2117">
        <v>1635.0531897555647</v>
      </c>
      <c r="JG61" s="2103">
        <f t="shared" si="12"/>
        <v>1.0371803486987263</v>
      </c>
      <c r="JI61" s="2155"/>
      <c r="JJ61" s="2104"/>
    </row>
    <row r="62" spans="1:270">
      <c r="B62" s="2105">
        <v>37</v>
      </c>
      <c r="C62" s="2106" t="s">
        <v>42</v>
      </c>
      <c r="D62" s="2425" t="s">
        <v>1184</v>
      </c>
      <c r="E62" s="2107" t="s">
        <v>43</v>
      </c>
      <c r="F62" s="2106" t="s">
        <v>918</v>
      </c>
      <c r="G62" s="2425" t="s">
        <v>1112</v>
      </c>
      <c r="H62" s="2106" t="s">
        <v>929</v>
      </c>
      <c r="I62" s="2106" t="s">
        <v>930</v>
      </c>
      <c r="J62" s="2359" t="s">
        <v>921</v>
      </c>
      <c r="K62" s="2425"/>
      <c r="L62" s="2110">
        <v>93.3</v>
      </c>
      <c r="M62" s="2110">
        <v>93.6</v>
      </c>
      <c r="N62" s="2110">
        <v>95.7</v>
      </c>
      <c r="O62" s="2110">
        <v>96.7</v>
      </c>
      <c r="P62" s="2110">
        <v>97.6</v>
      </c>
      <c r="Q62" s="2110">
        <v>104.6</v>
      </c>
      <c r="R62" s="2110">
        <v>115.1</v>
      </c>
      <c r="S62" s="2110">
        <v>124.4</v>
      </c>
      <c r="T62" s="2110">
        <v>131</v>
      </c>
      <c r="U62" s="2110">
        <v>138.69999999999999</v>
      </c>
      <c r="V62" s="2110">
        <v>146.5</v>
      </c>
      <c r="W62" s="2110">
        <v>144.6</v>
      </c>
      <c r="X62" s="2110">
        <v>153.6</v>
      </c>
      <c r="Y62" s="2110">
        <v>157</v>
      </c>
      <c r="Z62" s="2110">
        <v>160.1</v>
      </c>
      <c r="AA62" s="2110">
        <v>160.30000000000001</v>
      </c>
      <c r="AB62" s="2110">
        <v>164.4</v>
      </c>
      <c r="AC62" s="2110">
        <v>159.30000000000001</v>
      </c>
      <c r="AD62" s="2110">
        <v>160.19999999999999</v>
      </c>
      <c r="AE62" s="2110">
        <v>161.80000000000001</v>
      </c>
      <c r="AF62" s="2110">
        <v>161.80000000000001</v>
      </c>
      <c r="AG62" s="2110">
        <v>163.6</v>
      </c>
      <c r="AH62" s="2110">
        <v>163.4</v>
      </c>
      <c r="AI62" s="2110">
        <v>168.6</v>
      </c>
      <c r="AJ62" s="2110">
        <v>169.5</v>
      </c>
      <c r="AK62" s="2110">
        <v>169.2</v>
      </c>
      <c r="AL62" s="2110">
        <v>177.3</v>
      </c>
      <c r="AM62" s="2110">
        <v>181.7</v>
      </c>
      <c r="AN62" s="2110">
        <v>187.5</v>
      </c>
      <c r="AO62" s="2110">
        <v>191.4</v>
      </c>
      <c r="AP62" s="2110">
        <v>198.2</v>
      </c>
      <c r="AQ62" s="2110">
        <v>198.1</v>
      </c>
      <c r="AR62" s="2110">
        <v>198.7</v>
      </c>
      <c r="AS62" s="2110">
        <v>197.9</v>
      </c>
      <c r="AT62" s="2110">
        <v>197.6</v>
      </c>
      <c r="AU62" s="2110">
        <v>199.2</v>
      </c>
      <c r="AV62" s="2110">
        <v>202.2</v>
      </c>
      <c r="AW62" s="2111">
        <v>201.9</v>
      </c>
      <c r="AX62" s="2111">
        <v>202</v>
      </c>
      <c r="AY62" s="2111">
        <v>204.5</v>
      </c>
      <c r="AZ62" s="2111">
        <v>206.1</v>
      </c>
      <c r="BA62" s="2111">
        <v>206.1</v>
      </c>
      <c r="BB62" s="2111">
        <v>207.1</v>
      </c>
      <c r="BC62" s="2111">
        <v>207.3</v>
      </c>
      <c r="BD62" s="2112">
        <v>207.3</v>
      </c>
      <c r="BE62" s="2111">
        <v>207.2</v>
      </c>
      <c r="BF62" s="2112">
        <v>207.2</v>
      </c>
      <c r="BG62" s="2112">
        <v>208.1</v>
      </c>
      <c r="BH62" s="2112">
        <v>210.2</v>
      </c>
      <c r="BI62" s="2108">
        <v>213.8</v>
      </c>
      <c r="BJ62" s="2108">
        <v>214.2</v>
      </c>
      <c r="BK62" s="2108">
        <v>216.7</v>
      </c>
      <c r="BL62" s="2108">
        <v>221.3</v>
      </c>
      <c r="BM62" s="2108">
        <v>225.2</v>
      </c>
      <c r="BN62" s="2108">
        <v>228.4</v>
      </c>
      <c r="BO62" s="2108">
        <v>228</v>
      </c>
      <c r="BP62" s="2108">
        <v>228</v>
      </c>
      <c r="BQ62" s="2108">
        <v>229.1</v>
      </c>
      <c r="BR62" s="2108">
        <v>229.7</v>
      </c>
      <c r="BS62" s="2108">
        <v>233.1</v>
      </c>
      <c r="BT62" s="2108">
        <v>238.7</v>
      </c>
      <c r="BU62" s="2108">
        <v>244.2</v>
      </c>
      <c r="BV62" s="2108">
        <v>244.9</v>
      </c>
      <c r="BW62" s="2108">
        <v>253.9</v>
      </c>
      <c r="BX62" s="2108">
        <v>254.5</v>
      </c>
      <c r="BY62" s="2108">
        <v>254.5</v>
      </c>
      <c r="BZ62" s="2108">
        <v>261.3</v>
      </c>
      <c r="CA62" s="2108">
        <v>271.7</v>
      </c>
      <c r="CB62" s="2108">
        <v>280.60000000000002</v>
      </c>
      <c r="CC62" s="2108">
        <v>282</v>
      </c>
      <c r="CD62" s="2108">
        <v>283.7</v>
      </c>
      <c r="CE62" s="2108">
        <v>296.60000000000002</v>
      </c>
      <c r="CF62" s="2108">
        <v>300.7</v>
      </c>
      <c r="CG62" s="2108">
        <v>308.89999999999998</v>
      </c>
      <c r="CH62" s="2108">
        <v>309.89999999999998</v>
      </c>
      <c r="CI62" s="2108">
        <v>313.89999999999998</v>
      </c>
      <c r="CJ62" s="2108">
        <v>321.7</v>
      </c>
      <c r="CK62" s="2108">
        <v>325.8</v>
      </c>
      <c r="CL62" s="2108">
        <v>325.3</v>
      </c>
      <c r="CM62" s="2108">
        <v>333.7</v>
      </c>
      <c r="CN62" s="2108">
        <v>332.9</v>
      </c>
      <c r="CO62" s="2108">
        <v>332.9</v>
      </c>
      <c r="CP62" s="2108">
        <v>335.3</v>
      </c>
      <c r="CQ62" s="2108">
        <v>335.4</v>
      </c>
      <c r="CR62" s="2108">
        <v>336.1</v>
      </c>
      <c r="CS62" s="2108">
        <v>346.7</v>
      </c>
      <c r="CT62" s="2108">
        <v>353.3</v>
      </c>
      <c r="CU62" s="2108">
        <v>347.5</v>
      </c>
      <c r="CV62" s="2108">
        <v>347.6</v>
      </c>
      <c r="CW62" s="2108">
        <v>356.5</v>
      </c>
      <c r="CX62" s="2108">
        <v>357.6</v>
      </c>
      <c r="CY62" s="2108">
        <v>359.1</v>
      </c>
      <c r="CZ62" s="2108">
        <v>365.2</v>
      </c>
      <c r="DA62" s="2108">
        <v>367.6</v>
      </c>
      <c r="DB62" s="2108">
        <v>364.5</v>
      </c>
      <c r="DC62" s="2108">
        <v>367.3</v>
      </c>
      <c r="DD62" s="2108">
        <v>370</v>
      </c>
      <c r="DE62" s="2108">
        <v>375.9</v>
      </c>
      <c r="DF62" s="2108">
        <v>381.6</v>
      </c>
      <c r="DG62" s="2108">
        <v>383.2</v>
      </c>
      <c r="DH62" s="2108">
        <v>384.4</v>
      </c>
      <c r="DI62" s="2108">
        <v>400.9</v>
      </c>
      <c r="DJ62" s="2108">
        <v>401.8</v>
      </c>
      <c r="DK62" s="2108">
        <v>405.6</v>
      </c>
      <c r="DL62" s="2108">
        <v>411.2</v>
      </c>
      <c r="DM62" s="2108">
        <v>413.9</v>
      </c>
      <c r="DN62" s="2108">
        <v>426.9</v>
      </c>
      <c r="DO62" s="2108">
        <v>438.8</v>
      </c>
      <c r="DP62" s="2108">
        <v>448.7</v>
      </c>
      <c r="DQ62" s="2108">
        <v>457</v>
      </c>
      <c r="DR62" s="2108">
        <v>465.7</v>
      </c>
      <c r="DS62" s="2108">
        <v>470.9</v>
      </c>
      <c r="DT62" s="2108">
        <v>487.4</v>
      </c>
      <c r="DU62" s="2108">
        <v>510.7</v>
      </c>
      <c r="DV62" s="2108">
        <v>523.4</v>
      </c>
      <c r="DW62" s="2108">
        <v>532.1</v>
      </c>
      <c r="DX62" s="2108">
        <v>561.29999999999995</v>
      </c>
      <c r="DY62" s="2108">
        <v>554.5</v>
      </c>
      <c r="DZ62" s="2108">
        <v>571.1</v>
      </c>
      <c r="EA62" s="2108">
        <v>593.79999999999995</v>
      </c>
      <c r="EB62" s="2108">
        <v>594.70000000000005</v>
      </c>
      <c r="EC62" s="2108">
        <v>602.6</v>
      </c>
      <c r="ED62" s="2108">
        <v>620.4</v>
      </c>
      <c r="EE62" s="2108">
        <v>627.70000000000005</v>
      </c>
      <c r="EF62" s="2108">
        <v>665.3</v>
      </c>
      <c r="EG62" s="2108">
        <v>672.9</v>
      </c>
      <c r="EH62" s="2108">
        <v>689.3</v>
      </c>
      <c r="EI62" s="2108">
        <v>708.2</v>
      </c>
      <c r="EJ62" s="2108">
        <v>715.5</v>
      </c>
      <c r="EK62" s="2108">
        <v>725.9</v>
      </c>
      <c r="EL62" s="2108">
        <v>752.9</v>
      </c>
      <c r="EM62" s="2108">
        <v>760.2</v>
      </c>
      <c r="EN62" s="2108">
        <v>759.6</v>
      </c>
      <c r="EO62" s="2108">
        <v>781.7</v>
      </c>
      <c r="EP62" s="2108">
        <v>788</v>
      </c>
      <c r="EQ62" s="2108">
        <v>794.4</v>
      </c>
      <c r="ER62" s="2108">
        <v>794.8</v>
      </c>
      <c r="ES62" s="2108">
        <v>837.8</v>
      </c>
      <c r="ET62" s="2108">
        <v>867.2</v>
      </c>
      <c r="EU62" s="2108">
        <v>900.7</v>
      </c>
      <c r="EV62" s="2108">
        <v>984.8</v>
      </c>
      <c r="EW62" s="2108">
        <v>1030.7</v>
      </c>
      <c r="EX62" s="2108">
        <v>1044</v>
      </c>
      <c r="EY62" s="2108">
        <v>1066.2</v>
      </c>
      <c r="EZ62" s="2108">
        <v>1066.2</v>
      </c>
      <c r="FA62" s="2108">
        <v>1081.0999999999999</v>
      </c>
      <c r="FB62" s="2108">
        <v>1233.4000000000001</v>
      </c>
      <c r="FC62" s="2108">
        <v>1241.9000000000001</v>
      </c>
      <c r="FD62" s="2108">
        <v>1251.9000000000001</v>
      </c>
      <c r="FE62" s="2108">
        <v>1262.5999999999999</v>
      </c>
      <c r="FF62" s="2108">
        <v>1295.2</v>
      </c>
      <c r="FG62" s="2108">
        <v>1301.2</v>
      </c>
      <c r="FH62" s="2108">
        <v>1336.2</v>
      </c>
      <c r="FI62" s="2108">
        <v>1361.4</v>
      </c>
      <c r="FJ62" s="2108">
        <v>1392.4</v>
      </c>
      <c r="FK62" s="2108">
        <v>1416.2</v>
      </c>
      <c r="FL62" s="2108">
        <v>1431.7</v>
      </c>
      <c r="FM62" s="2108">
        <v>1453.7</v>
      </c>
      <c r="FN62" s="2108">
        <v>1476</v>
      </c>
      <c r="FO62" s="2108">
        <v>1498.8</v>
      </c>
      <c r="FP62" s="2108">
        <v>1543.7</v>
      </c>
      <c r="FQ62" s="2108">
        <v>1578.6</v>
      </c>
      <c r="FR62" s="2108">
        <v>1613.5</v>
      </c>
      <c r="FS62" s="2108">
        <v>1636.2</v>
      </c>
      <c r="FT62" s="2108">
        <v>1726.8</v>
      </c>
      <c r="FU62" s="2108">
        <v>1773.9</v>
      </c>
      <c r="FV62" s="2108">
        <v>1820.2</v>
      </c>
      <c r="FW62" s="2113">
        <v>1641.5805811079676</v>
      </c>
      <c r="FX62" s="2113">
        <v>1657.6288623359737</v>
      </c>
      <c r="FY62" s="2113">
        <v>100</v>
      </c>
      <c r="FZ62" s="2113">
        <v>102.28898525238037</v>
      </c>
      <c r="GA62" s="2113">
        <v>99.50478771761766</v>
      </c>
      <c r="GB62" s="2113">
        <v>100.60526316905302</v>
      </c>
      <c r="GC62" s="2113">
        <v>100.58325586367944</v>
      </c>
      <c r="GD62" s="2113">
        <v>103.60955165839839</v>
      </c>
      <c r="GE62" s="2113">
        <v>104.57797384678531</v>
      </c>
      <c r="GF62" s="2114">
        <v>106.62045006515051</v>
      </c>
      <c r="GG62" s="1960">
        <v>107.08265460094705</v>
      </c>
      <c r="GH62" s="2114">
        <v>112.5101951614173</v>
      </c>
      <c r="GI62" s="2114">
        <v>113.8439639878581</v>
      </c>
      <c r="GJ62" s="2113">
        <v>117.69562273975043</v>
      </c>
      <c r="GK62" s="2113">
        <v>119.65226184607384</v>
      </c>
      <c r="GL62" s="2113">
        <v>120.87598412521243</v>
      </c>
      <c r="GM62" s="2114">
        <v>123.12094725839921</v>
      </c>
      <c r="GN62" s="2114">
        <v>127.28243600372028</v>
      </c>
      <c r="GO62" s="2115">
        <v>127.28243600372028</v>
      </c>
      <c r="GP62" s="2116">
        <v>128.86705423883731</v>
      </c>
      <c r="GQ62" s="2116">
        <v>128.47090279616842</v>
      </c>
      <c r="GR62" s="2116">
        <v>129.90807067781162</v>
      </c>
      <c r="GS62" s="2116">
        <v>125.26204891472352</v>
      </c>
      <c r="GT62" s="1960">
        <v>128.98150066595244</v>
      </c>
      <c r="GU62" s="1960">
        <v>133.9114258188531</v>
      </c>
      <c r="GV62" s="1960">
        <v>139.28372948482479</v>
      </c>
      <c r="GW62" s="1960">
        <v>143.9583623478336</v>
      </c>
      <c r="GX62" s="1960">
        <v>152.18958221568766</v>
      </c>
      <c r="GY62" s="1960">
        <v>152.3590504859271</v>
      </c>
      <c r="GZ62" s="1960">
        <v>155.67770518355252</v>
      </c>
      <c r="HA62" s="1960">
        <v>160.73376466723832</v>
      </c>
      <c r="HB62" s="1960">
        <v>170.00554142102933</v>
      </c>
      <c r="HC62" s="1960">
        <v>176.48238847022557</v>
      </c>
      <c r="HD62" s="1960">
        <v>183.71131565763031</v>
      </c>
      <c r="HE62" s="1960">
        <v>194.23023432895704</v>
      </c>
      <c r="HF62" s="1960">
        <v>210.26095591681397</v>
      </c>
      <c r="HG62" s="1960">
        <v>210.26095591681397</v>
      </c>
      <c r="HH62" s="2117">
        <v>211.97419333539543</v>
      </c>
      <c r="HI62" s="1960">
        <v>211.8795929517145</v>
      </c>
      <c r="HJ62" s="1960">
        <v>226.01894341192974</v>
      </c>
      <c r="HK62" s="1960">
        <v>226.26783009991209</v>
      </c>
      <c r="HL62" s="1960">
        <v>228.90836792412472</v>
      </c>
      <c r="HM62" s="1960">
        <v>245.23467564910982</v>
      </c>
      <c r="HN62" s="1960">
        <v>250.59992454228507</v>
      </c>
      <c r="HO62" s="1960">
        <v>252.89820992783456</v>
      </c>
      <c r="HP62" s="1960">
        <v>285.34378000877007</v>
      </c>
      <c r="HQ62" s="1960">
        <v>302.81798055401816</v>
      </c>
      <c r="HR62" s="1960">
        <v>309.92389965465736</v>
      </c>
      <c r="HS62" s="1960">
        <v>319.85789411323663</v>
      </c>
      <c r="HT62" s="1962">
        <v>328.02033499059934</v>
      </c>
      <c r="HU62" s="1961">
        <v>336.80866841280408</v>
      </c>
      <c r="HV62" s="1960">
        <v>336.90122470025142</v>
      </c>
      <c r="HW62" s="1960">
        <v>353.74086545004405</v>
      </c>
      <c r="HX62" s="1960">
        <v>353.74086545004405</v>
      </c>
      <c r="HY62" s="1960">
        <v>353.74086545004405</v>
      </c>
      <c r="HZ62" s="1960">
        <v>353.74086545004405</v>
      </c>
      <c r="IA62" s="1960">
        <v>353.74086545004405</v>
      </c>
      <c r="IB62" s="1960">
        <v>376.18602015117142</v>
      </c>
      <c r="IC62" s="1960">
        <v>394.40589914569421</v>
      </c>
      <c r="ID62" s="1960">
        <v>408.86912018315513</v>
      </c>
      <c r="IE62" s="1960">
        <v>406.55948761777489</v>
      </c>
      <c r="IF62" s="1960">
        <v>406.91459305259258</v>
      </c>
      <c r="IG62" s="1961">
        <v>426.86278709600384</v>
      </c>
      <c r="IH62" s="1960">
        <v>487.52567581080928</v>
      </c>
      <c r="II62" s="1960">
        <v>520.35456160696742</v>
      </c>
      <c r="IJ62" s="1961">
        <v>537.70141634805316</v>
      </c>
      <c r="IK62" s="1960">
        <v>572.38121546149978</v>
      </c>
      <c r="IL62" s="1960">
        <v>573.30864804461953</v>
      </c>
      <c r="IM62" s="1960">
        <v>600.04064363233908</v>
      </c>
      <c r="IN62" s="1960">
        <v>625.3362492929507</v>
      </c>
      <c r="IO62" s="1960">
        <v>647.26929290065164</v>
      </c>
      <c r="IP62" s="1960">
        <v>675.21375172074647</v>
      </c>
      <c r="IQ62" s="1960">
        <v>679.66341034458628</v>
      </c>
      <c r="IR62" s="1960">
        <v>701.43974514911417</v>
      </c>
      <c r="IS62" s="2274">
        <v>725.39445583893018</v>
      </c>
      <c r="IT62" s="1960">
        <v>749.65507398287082</v>
      </c>
      <c r="IU62" s="1960">
        <v>775.77062622366043</v>
      </c>
      <c r="IV62" s="1960">
        <v>829.5155784114819</v>
      </c>
      <c r="IW62" s="1960">
        <v>882.58149717401011</v>
      </c>
      <c r="IX62" s="1960">
        <v>974.89180590964759</v>
      </c>
      <c r="IY62" s="1960">
        <v>1069.1582033660188</v>
      </c>
      <c r="IZ62" s="1960">
        <v>1193.0378665429216</v>
      </c>
      <c r="JA62" s="1960">
        <v>1271.6052177657077</v>
      </c>
      <c r="JB62" s="1960">
        <v>1360.4535665356286</v>
      </c>
      <c r="JC62" s="1960">
        <v>1422.0647801138946</v>
      </c>
      <c r="JD62" s="1960">
        <v>1496.8637241619276</v>
      </c>
      <c r="JE62" s="2274">
        <v>1639.3987732521246</v>
      </c>
      <c r="JF62" s="2117">
        <v>1704.8407999462997</v>
      </c>
      <c r="JG62" s="2103">
        <f t="shared" si="12"/>
        <v>1.0399183089324606</v>
      </c>
      <c r="JI62" s="2155"/>
      <c r="JJ62" s="2104"/>
    </row>
    <row r="63" spans="1:270" ht="31.5">
      <c r="B63" s="2105">
        <v>38</v>
      </c>
      <c r="C63" s="2106"/>
      <c r="D63" s="2425" t="s">
        <v>1176</v>
      </c>
      <c r="E63" s="2107" t="s">
        <v>44</v>
      </c>
      <c r="F63" s="2106" t="s">
        <v>918</v>
      </c>
      <c r="G63" s="2425" t="s">
        <v>1112</v>
      </c>
      <c r="H63" s="2138" t="s">
        <v>64</v>
      </c>
      <c r="I63" s="2106" t="s">
        <v>920</v>
      </c>
      <c r="J63" s="2359" t="s">
        <v>195</v>
      </c>
      <c r="K63" s="2425"/>
      <c r="L63" s="2110">
        <v>99.2</v>
      </c>
      <c r="M63" s="2110">
        <v>100.2</v>
      </c>
      <c r="N63" s="2110">
        <v>106.9</v>
      </c>
      <c r="O63" s="2110">
        <v>110.2</v>
      </c>
      <c r="P63" s="2110">
        <v>124.5</v>
      </c>
      <c r="Q63" s="2110">
        <v>128.69999999999999</v>
      </c>
      <c r="R63" s="2110">
        <v>127.4</v>
      </c>
      <c r="S63" s="2110">
        <v>127.7</v>
      </c>
      <c r="T63" s="2110">
        <v>131.4</v>
      </c>
      <c r="U63" s="2110">
        <v>131.4</v>
      </c>
      <c r="V63" s="2110">
        <v>133.69999999999999</v>
      </c>
      <c r="W63" s="2110">
        <v>133.9</v>
      </c>
      <c r="X63" s="2110">
        <v>134.1</v>
      </c>
      <c r="Y63" s="2110">
        <v>132.80000000000001</v>
      </c>
      <c r="Z63" s="2110">
        <v>133.19999999999999</v>
      </c>
      <c r="AA63" s="2110">
        <v>132.1</v>
      </c>
      <c r="AB63" s="2110">
        <v>132.1</v>
      </c>
      <c r="AC63" s="2110">
        <v>130.9</v>
      </c>
      <c r="AD63" s="2110">
        <v>130.19999999999999</v>
      </c>
      <c r="AE63" s="2110">
        <v>130.19999999999999</v>
      </c>
      <c r="AF63" s="2110">
        <v>130.19999999999999</v>
      </c>
      <c r="AG63" s="2110">
        <v>130.19999999999999</v>
      </c>
      <c r="AH63" s="2110">
        <v>130.19999999999999</v>
      </c>
      <c r="AI63" s="2110">
        <v>130.30000000000001</v>
      </c>
      <c r="AJ63" s="2110">
        <v>130.30000000000001</v>
      </c>
      <c r="AK63" s="2110">
        <v>131.30000000000001</v>
      </c>
      <c r="AL63" s="2110">
        <v>136.30000000000001</v>
      </c>
      <c r="AM63" s="2110">
        <v>136.80000000000001</v>
      </c>
      <c r="AN63" s="2110">
        <v>140.6</v>
      </c>
      <c r="AO63" s="2110">
        <v>143.4</v>
      </c>
      <c r="AP63" s="2110">
        <v>149.1</v>
      </c>
      <c r="AQ63" s="2110">
        <v>152.19999999999999</v>
      </c>
      <c r="AR63" s="2110">
        <v>152.19999999999999</v>
      </c>
      <c r="AS63" s="2110">
        <v>154</v>
      </c>
      <c r="AT63" s="2110">
        <v>156.30000000000001</v>
      </c>
      <c r="AU63" s="2110">
        <v>159.80000000000001</v>
      </c>
      <c r="AV63" s="2110">
        <v>160.1</v>
      </c>
      <c r="AW63" s="2111">
        <v>162.19999999999999</v>
      </c>
      <c r="AX63" s="2111">
        <v>171.5</v>
      </c>
      <c r="AY63" s="2111">
        <v>172.3</v>
      </c>
      <c r="AZ63" s="2111">
        <v>179.5</v>
      </c>
      <c r="BA63" s="2111">
        <v>183.1</v>
      </c>
      <c r="BB63" s="2111">
        <v>184.4</v>
      </c>
      <c r="BC63" s="2111">
        <v>186.3</v>
      </c>
      <c r="BD63" s="2112">
        <v>187.6</v>
      </c>
      <c r="BE63" s="2111">
        <v>187.6</v>
      </c>
      <c r="BF63" s="2112">
        <v>188.6</v>
      </c>
      <c r="BG63" s="2112">
        <v>190.6</v>
      </c>
      <c r="BH63" s="2112">
        <v>185.8</v>
      </c>
      <c r="BI63" s="2108">
        <v>187.6</v>
      </c>
      <c r="BJ63" s="2108">
        <v>190.8</v>
      </c>
      <c r="BK63" s="2108">
        <v>196.1</v>
      </c>
      <c r="BL63" s="2108">
        <v>197.9</v>
      </c>
      <c r="BM63" s="2108">
        <v>206</v>
      </c>
      <c r="BN63" s="2108">
        <v>206</v>
      </c>
      <c r="BO63" s="2108">
        <v>206</v>
      </c>
      <c r="BP63" s="2108">
        <v>208.3</v>
      </c>
      <c r="BQ63" s="2108">
        <v>211.1</v>
      </c>
      <c r="BR63" s="2108">
        <v>211.7</v>
      </c>
      <c r="BS63" s="2108">
        <v>211.3</v>
      </c>
      <c r="BT63" s="2108">
        <v>212.8</v>
      </c>
      <c r="BU63" s="2108">
        <v>212.8</v>
      </c>
      <c r="BV63" s="2108">
        <v>214.9</v>
      </c>
      <c r="BW63" s="2108">
        <v>214.4</v>
      </c>
      <c r="BX63" s="2108">
        <v>218.7</v>
      </c>
      <c r="BY63" s="2108">
        <v>229.7</v>
      </c>
      <c r="BZ63" s="2108">
        <v>237.6</v>
      </c>
      <c r="CA63" s="2108">
        <v>246.2</v>
      </c>
      <c r="CB63" s="2108">
        <v>250.6</v>
      </c>
      <c r="CC63" s="2108">
        <v>254.8</v>
      </c>
      <c r="CD63" s="2108">
        <v>255.4</v>
      </c>
      <c r="CE63" s="2108">
        <v>258.2</v>
      </c>
      <c r="CF63" s="2108">
        <v>261.7</v>
      </c>
      <c r="CG63" s="2108">
        <v>261.7</v>
      </c>
      <c r="CH63" s="2108">
        <v>268.3</v>
      </c>
      <c r="CI63" s="2108">
        <v>271.7</v>
      </c>
      <c r="CJ63" s="2108">
        <v>284.39999999999998</v>
      </c>
      <c r="CK63" s="2108">
        <v>289.2</v>
      </c>
      <c r="CL63" s="2108">
        <v>302.39999999999998</v>
      </c>
      <c r="CM63" s="2108">
        <v>301.5</v>
      </c>
      <c r="CN63" s="2108">
        <v>304.3</v>
      </c>
      <c r="CO63" s="2108">
        <v>304.3</v>
      </c>
      <c r="CP63" s="2108">
        <v>306.3</v>
      </c>
      <c r="CQ63" s="2108">
        <v>308.3</v>
      </c>
      <c r="CR63" s="2108">
        <v>307</v>
      </c>
      <c r="CS63" s="2108">
        <v>307</v>
      </c>
      <c r="CT63" s="2108">
        <v>305.2</v>
      </c>
      <c r="CU63" s="2108">
        <v>306.5</v>
      </c>
      <c r="CV63" s="2108">
        <v>305.2</v>
      </c>
      <c r="CW63" s="2108">
        <v>305.2</v>
      </c>
      <c r="CX63" s="2108">
        <v>305.2</v>
      </c>
      <c r="CY63" s="2108">
        <v>301.39999999999998</v>
      </c>
      <c r="CZ63" s="2108">
        <v>308.10000000000002</v>
      </c>
      <c r="DA63" s="2108">
        <v>310.39999999999998</v>
      </c>
      <c r="DB63" s="2108">
        <v>318.3</v>
      </c>
      <c r="DC63" s="2108">
        <v>314.3</v>
      </c>
      <c r="DD63" s="2108">
        <v>320.2</v>
      </c>
      <c r="DE63" s="2108">
        <v>322.2</v>
      </c>
      <c r="DF63" s="2108">
        <v>327.60000000000002</v>
      </c>
      <c r="DG63" s="2108">
        <v>332.7</v>
      </c>
      <c r="DH63" s="2108">
        <v>336</v>
      </c>
      <c r="DI63" s="2108">
        <v>336.7</v>
      </c>
      <c r="DJ63" s="2108">
        <v>339</v>
      </c>
      <c r="DK63" s="2108">
        <v>360.3</v>
      </c>
      <c r="DL63" s="2108">
        <v>362.4</v>
      </c>
      <c r="DM63" s="2108">
        <v>362.4</v>
      </c>
      <c r="DN63" s="2108">
        <v>370.1</v>
      </c>
      <c r="DO63" s="2108">
        <v>373.2</v>
      </c>
      <c r="DP63" s="2108">
        <v>373.9</v>
      </c>
      <c r="DQ63" s="2108">
        <v>375.7</v>
      </c>
      <c r="DR63" s="2108">
        <v>381.3</v>
      </c>
      <c r="DS63" s="2108">
        <v>382.6</v>
      </c>
      <c r="DT63" s="2108">
        <v>384.4</v>
      </c>
      <c r="DU63" s="2108">
        <v>395.8</v>
      </c>
      <c r="DV63" s="2108">
        <v>397</v>
      </c>
      <c r="DW63" s="2108">
        <v>398.6</v>
      </c>
      <c r="DX63" s="2108">
        <v>404.2</v>
      </c>
      <c r="DY63" s="2108">
        <v>419.3</v>
      </c>
      <c r="DZ63" s="2108">
        <v>429.3</v>
      </c>
      <c r="EA63" s="2108">
        <v>431.2</v>
      </c>
      <c r="EB63" s="2108">
        <v>434</v>
      </c>
      <c r="EC63" s="2108">
        <v>434</v>
      </c>
      <c r="ED63" s="2108">
        <v>434</v>
      </c>
      <c r="EE63" s="2108">
        <v>434</v>
      </c>
      <c r="EF63" s="2108">
        <v>434</v>
      </c>
      <c r="EG63" s="2108">
        <v>457.3</v>
      </c>
      <c r="EH63" s="2108">
        <v>464.9</v>
      </c>
      <c r="EI63" s="2108">
        <v>463.6</v>
      </c>
      <c r="EJ63" s="2108">
        <v>473.6</v>
      </c>
      <c r="EK63" s="2108">
        <v>473.6</v>
      </c>
      <c r="EL63" s="2108">
        <v>485.6</v>
      </c>
      <c r="EM63" s="2108">
        <v>492.2</v>
      </c>
      <c r="EN63" s="2108">
        <v>491.3</v>
      </c>
      <c r="EO63" s="2108">
        <v>492.8</v>
      </c>
      <c r="EP63" s="2108">
        <v>492.8</v>
      </c>
      <c r="EQ63" s="2108">
        <v>496.7</v>
      </c>
      <c r="ER63" s="2108">
        <v>496.7</v>
      </c>
      <c r="ES63" s="2108">
        <v>498.8</v>
      </c>
      <c r="ET63" s="2108">
        <v>500.5</v>
      </c>
      <c r="EU63" s="2108">
        <v>532.79999999999995</v>
      </c>
      <c r="EV63" s="2108">
        <v>538.20000000000005</v>
      </c>
      <c r="EW63" s="2108">
        <v>544.29999999999995</v>
      </c>
      <c r="EX63" s="2108">
        <v>549.79999999999995</v>
      </c>
      <c r="EY63" s="2108">
        <v>549.79999999999995</v>
      </c>
      <c r="EZ63" s="2108">
        <v>562.70000000000005</v>
      </c>
      <c r="FA63" s="2108">
        <v>599.9</v>
      </c>
      <c r="FB63" s="2108">
        <v>641.9</v>
      </c>
      <c r="FC63" s="2108">
        <v>655.6</v>
      </c>
      <c r="FD63" s="2108">
        <v>687</v>
      </c>
      <c r="FE63" s="2108">
        <v>718</v>
      </c>
      <c r="FF63" s="2108">
        <v>744.6</v>
      </c>
      <c r="FG63" s="2108">
        <v>746.3</v>
      </c>
      <c r="FH63" s="2108">
        <v>763.3</v>
      </c>
      <c r="FI63" s="2108">
        <v>796.9</v>
      </c>
      <c r="FJ63" s="2108">
        <v>796.7</v>
      </c>
      <c r="FK63" s="2108">
        <v>814.3</v>
      </c>
      <c r="FL63" s="2108">
        <v>828.5</v>
      </c>
      <c r="FM63" s="2108">
        <v>822.6</v>
      </c>
      <c r="FN63" s="2108">
        <v>831.2</v>
      </c>
      <c r="FO63" s="2108">
        <v>842.4</v>
      </c>
      <c r="FP63" s="2108">
        <v>842.4</v>
      </c>
      <c r="FQ63" s="2108">
        <v>869.5</v>
      </c>
      <c r="FR63" s="2108">
        <v>875.4</v>
      </c>
      <c r="FS63" s="2108">
        <v>877.3</v>
      </c>
      <c r="FT63" s="2108">
        <v>907.1</v>
      </c>
      <c r="FU63" s="2108">
        <v>915.9</v>
      </c>
      <c r="FV63" s="2108">
        <v>915.9</v>
      </c>
      <c r="FW63" s="2113">
        <v>998.33246165357582</v>
      </c>
      <c r="FX63" s="2113">
        <v>1011.9282215721827</v>
      </c>
      <c r="FY63" s="2113">
        <v>100</v>
      </c>
      <c r="FZ63" s="2113">
        <v>105.51642179489136</v>
      </c>
      <c r="GA63" s="2113">
        <v>106.67685478838536</v>
      </c>
      <c r="GB63" s="2113">
        <v>106.67685478838536</v>
      </c>
      <c r="GC63" s="2113">
        <v>109.77689756058115</v>
      </c>
      <c r="GD63" s="2113">
        <v>109.77689756058115</v>
      </c>
      <c r="GE63" s="2113">
        <v>99.381839044153338</v>
      </c>
      <c r="GF63" s="2114">
        <v>100.17020167801991</v>
      </c>
      <c r="GG63" s="1960">
        <v>113.4642886715866</v>
      </c>
      <c r="GH63" s="2114">
        <v>113.4642886715866</v>
      </c>
      <c r="GI63" s="2114">
        <v>113.4642886715866</v>
      </c>
      <c r="GJ63" s="2113">
        <v>114.59598180882395</v>
      </c>
      <c r="GK63" s="2113">
        <v>114.59598180882395</v>
      </c>
      <c r="GL63" s="2113">
        <v>115.38103306960616</v>
      </c>
      <c r="GM63" s="2114">
        <v>115.38103306960616</v>
      </c>
      <c r="GN63" s="2114">
        <v>115.35795991098746</v>
      </c>
      <c r="GO63" s="2115">
        <v>122.90690906957694</v>
      </c>
      <c r="GP63" s="2116">
        <v>122.90690906957694</v>
      </c>
      <c r="GQ63" s="2116">
        <v>125.43721891150754</v>
      </c>
      <c r="GR63" s="2116">
        <v>129.82696411506669</v>
      </c>
      <c r="GS63" s="2116">
        <v>131.96311909119407</v>
      </c>
      <c r="GT63" s="1960">
        <v>139.74480781776771</v>
      </c>
      <c r="GU63" s="1960">
        <v>140.44882871410553</v>
      </c>
      <c r="GV63" s="1960">
        <v>140.44882871410553</v>
      </c>
      <c r="GW63" s="1960">
        <v>140.44882871410553</v>
      </c>
      <c r="GX63" s="1960">
        <v>146.70702137158497</v>
      </c>
      <c r="GY63" s="1960">
        <v>146.70702137158497</v>
      </c>
      <c r="GZ63" s="1960">
        <v>146.93238256111655</v>
      </c>
      <c r="HA63" s="1960">
        <v>156.67071164493856</v>
      </c>
      <c r="HB63" s="1960">
        <v>164.79871377541627</v>
      </c>
      <c r="HC63" s="1960">
        <v>175.39793315153372</v>
      </c>
      <c r="HD63" s="1960">
        <v>179.75181453366349</v>
      </c>
      <c r="HE63" s="1960">
        <v>206.38740211010804</v>
      </c>
      <c r="HF63" s="1960">
        <v>220.11622009580395</v>
      </c>
      <c r="HG63" s="1960">
        <v>228.39777666715364</v>
      </c>
      <c r="HH63" s="2117">
        <v>231.82305456724669</v>
      </c>
      <c r="HI63" s="1960">
        <v>231.85923684476009</v>
      </c>
      <c r="HJ63" s="1960">
        <v>235.34122870935596</v>
      </c>
      <c r="HK63" s="1960">
        <v>235.34122870935596</v>
      </c>
      <c r="HL63" s="1960">
        <v>259.55536435371874</v>
      </c>
      <c r="HM63" s="1960">
        <v>259.55929730870554</v>
      </c>
      <c r="HN63" s="1960">
        <v>263.77266481956798</v>
      </c>
      <c r="HO63" s="1960">
        <v>275.66176461439704</v>
      </c>
      <c r="HP63" s="1960">
        <v>305.0767965158596</v>
      </c>
      <c r="HQ63" s="1960">
        <v>335.61966726030755</v>
      </c>
      <c r="HR63" s="1960">
        <v>339.59162880937265</v>
      </c>
      <c r="HS63" s="1960">
        <v>360.56258089309824</v>
      </c>
      <c r="HT63" s="1962">
        <v>385.62207617944756</v>
      </c>
      <c r="HU63" s="1961">
        <v>396.83232293477124</v>
      </c>
      <c r="HV63" s="1960">
        <v>397.70893751062948</v>
      </c>
      <c r="HW63" s="1960">
        <v>397.70893751062948</v>
      </c>
      <c r="HX63" s="1960">
        <v>397.70893751062948</v>
      </c>
      <c r="HY63" s="1960">
        <v>413.62394298175275</v>
      </c>
      <c r="HZ63" s="1960">
        <v>421.59956789595253</v>
      </c>
      <c r="IA63" s="1960">
        <v>458.79776663512132</v>
      </c>
      <c r="IB63" s="1960">
        <v>480.31921878072427</v>
      </c>
      <c r="IC63" s="1960">
        <v>482.64094114217681</v>
      </c>
      <c r="ID63" s="1960">
        <v>499.89639841844274</v>
      </c>
      <c r="IE63" s="1960">
        <v>526.96185894470716</v>
      </c>
      <c r="IF63" s="1960">
        <v>529.62614746859026</v>
      </c>
      <c r="IG63" s="1961">
        <v>550.98166702079618</v>
      </c>
      <c r="IH63" s="1960">
        <v>589.78576501128146</v>
      </c>
      <c r="II63" s="1960">
        <v>597.8256889750985</v>
      </c>
      <c r="IJ63" s="1961">
        <v>595.70865270400691</v>
      </c>
      <c r="IK63" s="1960">
        <v>609.8046896803271</v>
      </c>
      <c r="IL63" s="1960">
        <v>612.10092447869056</v>
      </c>
      <c r="IM63" s="1960">
        <v>629.69929531612081</v>
      </c>
      <c r="IN63" s="1960">
        <v>660.25208608046398</v>
      </c>
      <c r="IO63" s="1960">
        <v>681.70928849994993</v>
      </c>
      <c r="IP63" s="1960">
        <v>681.8641920368907</v>
      </c>
      <c r="IQ63" s="1960">
        <v>690.67626392267948</v>
      </c>
      <c r="IR63" s="1960">
        <v>714.94681827552085</v>
      </c>
      <c r="IS63" s="2274">
        <v>734.91822685500347</v>
      </c>
      <c r="IT63" s="1960">
        <v>768.34609390301387</v>
      </c>
      <c r="IU63" s="1960">
        <v>775.53532918262169</v>
      </c>
      <c r="IV63" s="1960">
        <v>779.41933435878229</v>
      </c>
      <c r="IW63" s="1960">
        <v>807.34679818488758</v>
      </c>
      <c r="IX63" s="1960">
        <v>818.84309499316839</v>
      </c>
      <c r="IY63" s="1960">
        <v>1061.3012393614963</v>
      </c>
      <c r="IZ63" s="1960">
        <v>1091.2315126866092</v>
      </c>
      <c r="JA63" s="1960">
        <v>1127.252741688194</v>
      </c>
      <c r="JB63" s="1960">
        <v>1144.0731887654374</v>
      </c>
      <c r="JC63" s="1960">
        <v>1218.2883701332992</v>
      </c>
      <c r="JD63" s="1960">
        <v>1220.0967564781779</v>
      </c>
      <c r="JE63" s="2274">
        <v>1282.5338996008882</v>
      </c>
      <c r="JF63" s="2117">
        <v>1401.1789991060532</v>
      </c>
      <c r="JG63" s="2103">
        <f t="shared" si="12"/>
        <v>1.0925083536131763</v>
      </c>
      <c r="JI63" s="2155"/>
      <c r="JJ63" s="2104"/>
    </row>
    <row r="64" spans="1:270">
      <c r="B64" s="2105">
        <v>39</v>
      </c>
      <c r="C64" s="2106" t="s">
        <v>45</v>
      </c>
      <c r="D64" s="2425" t="s">
        <v>1185</v>
      </c>
      <c r="E64" s="2107" t="s">
        <v>46</v>
      </c>
      <c r="F64" s="2106" t="s">
        <v>918</v>
      </c>
      <c r="G64" s="2425" t="s">
        <v>1112</v>
      </c>
      <c r="H64" s="2106" t="s">
        <v>929</v>
      </c>
      <c r="I64" s="2106" t="s">
        <v>930</v>
      </c>
      <c r="J64" s="2359" t="s">
        <v>47</v>
      </c>
      <c r="K64" s="2425"/>
      <c r="L64" s="2110">
        <v>104.6</v>
      </c>
      <c r="M64" s="2110">
        <v>122.9</v>
      </c>
      <c r="N64" s="2110">
        <v>132.80000000000001</v>
      </c>
      <c r="O64" s="2110">
        <v>145.30000000000001</v>
      </c>
      <c r="P64" s="2110">
        <v>195.4</v>
      </c>
      <c r="Q64" s="2110">
        <v>201.9</v>
      </c>
      <c r="R64" s="2110">
        <v>213.2</v>
      </c>
      <c r="S64" s="2110">
        <v>206</v>
      </c>
      <c r="T64" s="2110">
        <v>205.4</v>
      </c>
      <c r="U64" s="2110">
        <v>201.2</v>
      </c>
      <c r="V64" s="2110">
        <v>197.3</v>
      </c>
      <c r="W64" s="2110">
        <v>189.4</v>
      </c>
      <c r="X64" s="2110">
        <v>190.7</v>
      </c>
      <c r="Y64" s="2110">
        <v>190.8</v>
      </c>
      <c r="Z64" s="2110">
        <v>190.8</v>
      </c>
      <c r="AA64" s="2110">
        <v>193.2</v>
      </c>
      <c r="AB64" s="2110">
        <v>194.7</v>
      </c>
      <c r="AC64" s="2110">
        <v>194.9</v>
      </c>
      <c r="AD64" s="2110">
        <v>193.5</v>
      </c>
      <c r="AE64" s="2110">
        <v>196.5</v>
      </c>
      <c r="AF64" s="2110">
        <v>196.5</v>
      </c>
      <c r="AG64" s="2110">
        <v>196.5</v>
      </c>
      <c r="AH64" s="2110">
        <v>199.4</v>
      </c>
      <c r="AI64" s="2110">
        <v>209</v>
      </c>
      <c r="AJ64" s="2110">
        <v>211.2</v>
      </c>
      <c r="AK64" s="2110">
        <v>216.4</v>
      </c>
      <c r="AL64" s="2110">
        <v>225.1</v>
      </c>
      <c r="AM64" s="2110">
        <v>231.5</v>
      </c>
      <c r="AN64" s="2110">
        <v>236.3</v>
      </c>
      <c r="AO64" s="2110">
        <v>246.2</v>
      </c>
      <c r="AP64" s="2110">
        <v>255.8</v>
      </c>
      <c r="AQ64" s="2110">
        <v>263.5</v>
      </c>
      <c r="AR64" s="2110">
        <v>264.8</v>
      </c>
      <c r="AS64" s="2110">
        <v>268.2</v>
      </c>
      <c r="AT64" s="2110">
        <v>280.89999999999998</v>
      </c>
      <c r="AU64" s="2110">
        <v>282.2</v>
      </c>
      <c r="AV64" s="2110">
        <v>296</v>
      </c>
      <c r="AW64" s="2111">
        <v>297.7</v>
      </c>
      <c r="AX64" s="2111">
        <v>300.7</v>
      </c>
      <c r="AY64" s="2111">
        <v>300.7</v>
      </c>
      <c r="AZ64" s="2111">
        <v>300.7</v>
      </c>
      <c r="BA64" s="2111">
        <v>300.39999999999998</v>
      </c>
      <c r="BB64" s="2111">
        <v>305.3</v>
      </c>
      <c r="BC64" s="2111">
        <v>311.5</v>
      </c>
      <c r="BD64" s="2112">
        <v>311.5</v>
      </c>
      <c r="BE64" s="2111">
        <v>297.5</v>
      </c>
      <c r="BF64" s="2112">
        <v>297.5</v>
      </c>
      <c r="BG64" s="2112">
        <v>292.5</v>
      </c>
      <c r="BH64" s="2112">
        <v>298.5</v>
      </c>
      <c r="BI64" s="2108">
        <v>298.2</v>
      </c>
      <c r="BJ64" s="2108">
        <v>302.39999999999998</v>
      </c>
      <c r="BK64" s="2108">
        <v>302.39999999999998</v>
      </c>
      <c r="BL64" s="2108">
        <v>305.89999999999998</v>
      </c>
      <c r="BM64" s="2108">
        <v>305.3</v>
      </c>
      <c r="BN64" s="2108">
        <v>311.7</v>
      </c>
      <c r="BO64" s="2108">
        <v>314.5</v>
      </c>
      <c r="BP64" s="2108">
        <v>321.7</v>
      </c>
      <c r="BQ64" s="2108">
        <v>327.5</v>
      </c>
      <c r="BR64" s="2108">
        <v>326.7</v>
      </c>
      <c r="BS64" s="2108">
        <v>327.39999999999998</v>
      </c>
      <c r="BT64" s="2108">
        <v>333.6</v>
      </c>
      <c r="BU64" s="2108">
        <v>334.6</v>
      </c>
      <c r="BV64" s="2108">
        <v>331.8</v>
      </c>
      <c r="BW64" s="2108">
        <v>332.8</v>
      </c>
      <c r="BX64" s="2108">
        <v>339.7</v>
      </c>
      <c r="BY64" s="2108">
        <v>342</v>
      </c>
      <c r="BZ64" s="2108">
        <v>338.8</v>
      </c>
      <c r="CA64" s="2108">
        <v>344.9</v>
      </c>
      <c r="CB64" s="2108">
        <v>349.9</v>
      </c>
      <c r="CC64" s="2108">
        <v>355.8</v>
      </c>
      <c r="CD64" s="2108">
        <v>360.3</v>
      </c>
      <c r="CE64" s="2108">
        <v>366.2</v>
      </c>
      <c r="CF64" s="2108">
        <v>370.3</v>
      </c>
      <c r="CG64" s="2108">
        <v>375.1</v>
      </c>
      <c r="CH64" s="2108">
        <v>396.6</v>
      </c>
      <c r="CI64" s="2108">
        <v>414.5</v>
      </c>
      <c r="CJ64" s="2108">
        <v>430.6</v>
      </c>
      <c r="CK64" s="2108">
        <v>434.6</v>
      </c>
      <c r="CL64" s="2108">
        <v>456.3</v>
      </c>
      <c r="CM64" s="2108">
        <v>456.3</v>
      </c>
      <c r="CN64" s="2108">
        <v>487.9</v>
      </c>
      <c r="CO64" s="2108">
        <v>487.9</v>
      </c>
      <c r="CP64" s="2108">
        <v>494.1</v>
      </c>
      <c r="CQ64" s="2108">
        <v>491.8</v>
      </c>
      <c r="CR64" s="2108">
        <v>483.4</v>
      </c>
      <c r="CS64" s="2108">
        <v>481.6</v>
      </c>
      <c r="CT64" s="2108">
        <v>482.3</v>
      </c>
      <c r="CU64" s="2108">
        <v>475</v>
      </c>
      <c r="CV64" s="2108">
        <v>452.8</v>
      </c>
      <c r="CW64" s="2108">
        <v>460</v>
      </c>
      <c r="CX64" s="2108">
        <v>443.5</v>
      </c>
      <c r="CY64" s="2108">
        <v>441.8</v>
      </c>
      <c r="CZ64" s="2108">
        <v>447.6</v>
      </c>
      <c r="DA64" s="2108">
        <v>449.1</v>
      </c>
      <c r="DB64" s="2108">
        <v>451.4</v>
      </c>
      <c r="DC64" s="2108">
        <v>458.6</v>
      </c>
      <c r="DD64" s="2108">
        <v>458.6</v>
      </c>
      <c r="DE64" s="2108">
        <v>460.1</v>
      </c>
      <c r="DF64" s="2108">
        <v>470.1</v>
      </c>
      <c r="DG64" s="2108">
        <v>474.8</v>
      </c>
      <c r="DH64" s="2108">
        <v>485</v>
      </c>
      <c r="DI64" s="2108">
        <v>493.6</v>
      </c>
      <c r="DJ64" s="2108">
        <v>506.7</v>
      </c>
      <c r="DK64" s="2108">
        <v>526.9</v>
      </c>
      <c r="DL64" s="2108">
        <v>533.20000000000005</v>
      </c>
      <c r="DM64" s="2108">
        <v>534.79999999999995</v>
      </c>
      <c r="DN64" s="2108">
        <v>550.70000000000005</v>
      </c>
      <c r="DO64" s="2108">
        <v>548.6</v>
      </c>
      <c r="DP64" s="2108">
        <v>548.6</v>
      </c>
      <c r="DQ64" s="2108">
        <v>556</v>
      </c>
      <c r="DR64" s="2108">
        <v>571.29999999999995</v>
      </c>
      <c r="DS64" s="2108">
        <v>568.5</v>
      </c>
      <c r="DT64" s="2108">
        <v>590.1</v>
      </c>
      <c r="DU64" s="2108">
        <v>590.4</v>
      </c>
      <c r="DV64" s="2108">
        <v>590.5</v>
      </c>
      <c r="DW64" s="2108">
        <v>595.79999999999995</v>
      </c>
      <c r="DX64" s="2108">
        <v>610.6</v>
      </c>
      <c r="DY64" s="2108">
        <v>615</v>
      </c>
      <c r="DZ64" s="2108">
        <v>616.4</v>
      </c>
      <c r="EA64" s="2108">
        <v>619.6</v>
      </c>
      <c r="EB64" s="2108">
        <v>617.6</v>
      </c>
      <c r="EC64" s="2108">
        <v>614.6</v>
      </c>
      <c r="ED64" s="2108">
        <v>614</v>
      </c>
      <c r="EE64" s="2108">
        <v>618.20000000000005</v>
      </c>
      <c r="EF64" s="2108">
        <v>618.20000000000005</v>
      </c>
      <c r="EG64" s="2108">
        <v>625.5</v>
      </c>
      <c r="EH64" s="2108">
        <v>633.1</v>
      </c>
      <c r="EI64" s="2108">
        <v>648.29999999999995</v>
      </c>
      <c r="EJ64" s="2108">
        <v>659.9</v>
      </c>
      <c r="EK64" s="2108">
        <v>667.4</v>
      </c>
      <c r="EL64" s="2108">
        <v>667.4</v>
      </c>
      <c r="EM64" s="2108">
        <v>675.2</v>
      </c>
      <c r="EN64" s="2108">
        <v>682.8</v>
      </c>
      <c r="EO64" s="2108">
        <v>685.8</v>
      </c>
      <c r="EP64" s="2108">
        <v>709.9</v>
      </c>
      <c r="EQ64" s="2108">
        <v>709.7</v>
      </c>
      <c r="ER64" s="2108">
        <v>717.3</v>
      </c>
      <c r="ES64" s="2108">
        <v>744.2</v>
      </c>
      <c r="ET64" s="2108">
        <v>738.9</v>
      </c>
      <c r="EU64" s="2108">
        <v>760.7</v>
      </c>
      <c r="EV64" s="2108">
        <v>765.5</v>
      </c>
      <c r="EW64" s="2108">
        <v>774.7</v>
      </c>
      <c r="EX64" s="2108">
        <v>783.4</v>
      </c>
      <c r="EY64" s="2108">
        <v>802.5</v>
      </c>
      <c r="EZ64" s="2108">
        <v>825.5</v>
      </c>
      <c r="FA64" s="2108">
        <v>897.2</v>
      </c>
      <c r="FB64" s="2108">
        <v>1013.8</v>
      </c>
      <c r="FC64" s="2108">
        <v>1052</v>
      </c>
      <c r="FD64" s="2108">
        <v>1081.5999999999999</v>
      </c>
      <c r="FE64" s="2108">
        <v>1107.3</v>
      </c>
      <c r="FF64" s="2108">
        <v>1129.3</v>
      </c>
      <c r="FG64" s="2108">
        <v>1145.5</v>
      </c>
      <c r="FH64" s="2108">
        <v>1158.2</v>
      </c>
      <c r="FI64" s="2108">
        <v>1208.7</v>
      </c>
      <c r="FJ64" s="2108">
        <v>1242</v>
      </c>
      <c r="FK64" s="2108">
        <v>1262.0999999999999</v>
      </c>
      <c r="FL64" s="2108">
        <v>1262.0999999999999</v>
      </c>
      <c r="FM64" s="2108">
        <v>1279.9000000000001</v>
      </c>
      <c r="FN64" s="2108">
        <v>1344.8</v>
      </c>
      <c r="FO64" s="2108">
        <v>1344</v>
      </c>
      <c r="FP64" s="2108">
        <v>1358.4</v>
      </c>
      <c r="FQ64" s="2108">
        <v>1361.9</v>
      </c>
      <c r="FR64" s="2108">
        <v>1382.6</v>
      </c>
      <c r="FS64" s="2108">
        <v>1387.8</v>
      </c>
      <c r="FT64" s="2108">
        <v>1391.5</v>
      </c>
      <c r="FU64" s="2108">
        <v>1445.5</v>
      </c>
      <c r="FV64" s="2108">
        <v>1446.8</v>
      </c>
      <c r="FW64" s="2113">
        <v>1376.8249025899136</v>
      </c>
      <c r="FX64" s="2113">
        <v>1556.5871567252218</v>
      </c>
      <c r="FY64" s="2113">
        <v>100</v>
      </c>
      <c r="FZ64" s="2113">
        <v>103.06098461151123</v>
      </c>
      <c r="GA64" s="2113">
        <v>104.63605217327654</v>
      </c>
      <c r="GB64" s="2113">
        <v>104.21574834026818</v>
      </c>
      <c r="GC64" s="2113">
        <v>106.30877018252497</v>
      </c>
      <c r="GD64" s="2113">
        <v>107.93690760790705</v>
      </c>
      <c r="GE64" s="2113">
        <v>107.93690760790705</v>
      </c>
      <c r="GF64" s="2114">
        <v>112.16540392222748</v>
      </c>
      <c r="GG64" s="1960">
        <v>112.16540392222748</v>
      </c>
      <c r="GH64" s="2114">
        <v>116.03940282020663</v>
      </c>
      <c r="GI64" s="2114">
        <v>116.03940282020663</v>
      </c>
      <c r="GJ64" s="2113">
        <v>128.49562311035726</v>
      </c>
      <c r="GK64" s="2113">
        <v>131.36343509522067</v>
      </c>
      <c r="GL64" s="2113">
        <v>125.48769640622923</v>
      </c>
      <c r="GM64" s="2114">
        <v>125.48769640622923</v>
      </c>
      <c r="GN64" s="2114">
        <v>125.48769640622923</v>
      </c>
      <c r="GO64" s="2115">
        <v>131.66062127608103</v>
      </c>
      <c r="GP64" s="2116">
        <v>139.05835090071309</v>
      </c>
      <c r="GQ64" s="2116">
        <v>140.19401125145376</v>
      </c>
      <c r="GR64" s="2116">
        <v>140.19401125145376</v>
      </c>
      <c r="GS64" s="2116">
        <v>134.72796083045941</v>
      </c>
      <c r="GT64" s="1960">
        <v>134.73008085929251</v>
      </c>
      <c r="GU64" s="1960">
        <v>134.73008085929251</v>
      </c>
      <c r="GV64" s="1960">
        <v>134.73008085929251</v>
      </c>
      <c r="GW64" s="1960">
        <v>141.4909913152012</v>
      </c>
      <c r="GX64" s="1960">
        <v>144.80246365279652</v>
      </c>
      <c r="GY64" s="1960">
        <v>150.77159368380251</v>
      </c>
      <c r="GZ64" s="1960">
        <v>168.97407485689939</v>
      </c>
      <c r="HA64" s="1960">
        <v>174.62974370514232</v>
      </c>
      <c r="HB64" s="1960">
        <v>182.52431792363168</v>
      </c>
      <c r="HC64" s="1960">
        <v>199.77017973840125</v>
      </c>
      <c r="HD64" s="1960">
        <v>196.78176363715389</v>
      </c>
      <c r="HE64" s="1960">
        <v>239.47455000266672</v>
      </c>
      <c r="HF64" s="1960">
        <v>239.47455000266672</v>
      </c>
      <c r="HG64" s="1960">
        <v>239.47455000266672</v>
      </c>
      <c r="HH64" s="2117">
        <v>239.47455000266672</v>
      </c>
      <c r="HI64" s="1960">
        <v>272.34307562300745</v>
      </c>
      <c r="HJ64" s="1960">
        <v>275.15394593303137</v>
      </c>
      <c r="HK64" s="1960">
        <v>280.83143471894147</v>
      </c>
      <c r="HL64" s="1960">
        <v>291.25011215226027</v>
      </c>
      <c r="HM64" s="1960">
        <v>291.25011215226027</v>
      </c>
      <c r="HN64" s="1960">
        <v>291.25011215226016</v>
      </c>
      <c r="HO64" s="1960">
        <v>291.25011215226016</v>
      </c>
      <c r="HP64" s="1960">
        <v>325.22843169273602</v>
      </c>
      <c r="HQ64" s="1960">
        <v>356.2569622021926</v>
      </c>
      <c r="HR64" s="1960">
        <v>356.60369798716414</v>
      </c>
      <c r="HS64" s="1960">
        <v>400.22686408192584</v>
      </c>
      <c r="HT64" s="1962">
        <v>404.37122510052563</v>
      </c>
      <c r="HU64" s="1961">
        <v>395.64056956806786</v>
      </c>
      <c r="HV64" s="1960">
        <v>393.75701303358954</v>
      </c>
      <c r="HW64" s="1960">
        <v>393.75701303358954</v>
      </c>
      <c r="HX64" s="1960">
        <v>393.75701303358954</v>
      </c>
      <c r="HY64" s="1960">
        <v>427.93587697271238</v>
      </c>
      <c r="HZ64" s="1960">
        <v>482.82517981355653</v>
      </c>
      <c r="IA64" s="1960">
        <v>496.80574679540575</v>
      </c>
      <c r="IB64" s="1960">
        <v>525.11884185023621</v>
      </c>
      <c r="IC64" s="1960">
        <v>542.62902460700298</v>
      </c>
      <c r="ID64" s="1960">
        <v>592.89527896193067</v>
      </c>
      <c r="IE64" s="1960">
        <v>598.54081649095372</v>
      </c>
      <c r="IF64" s="1960">
        <v>615.78033306352268</v>
      </c>
      <c r="IG64" s="1961">
        <v>637.08602562476858</v>
      </c>
      <c r="IH64" s="1960">
        <v>796.49893070313135</v>
      </c>
      <c r="II64" s="1960">
        <v>820.90748441281141</v>
      </c>
      <c r="IJ64" s="1961">
        <v>864.00631379192441</v>
      </c>
      <c r="IK64" s="1960">
        <v>871.04306593071578</v>
      </c>
      <c r="IL64" s="1960">
        <v>873.20357817762147</v>
      </c>
      <c r="IM64" s="1960">
        <v>892.03692346313073</v>
      </c>
      <c r="IN64" s="1960">
        <v>914.72032608816733</v>
      </c>
      <c r="IO64" s="1960">
        <v>949.004958630278</v>
      </c>
      <c r="IP64" s="1960">
        <v>971.01121590130197</v>
      </c>
      <c r="IQ64" s="1960">
        <v>1001.6831945187869</v>
      </c>
      <c r="IR64" s="1960">
        <v>1028.7954699086022</v>
      </c>
      <c r="IS64" s="2274">
        <v>1044.9122247030521</v>
      </c>
      <c r="IT64" s="1960">
        <v>1067.6312926246169</v>
      </c>
      <c r="IU64" s="1960">
        <v>1116.5692814942854</v>
      </c>
      <c r="IV64" s="1960">
        <v>1197.0003172175916</v>
      </c>
      <c r="IW64" s="1960">
        <v>1212.7802137689771</v>
      </c>
      <c r="IX64" s="1960">
        <v>1292.0405664881816</v>
      </c>
      <c r="IY64" s="1960">
        <v>1516.4719303123281</v>
      </c>
      <c r="IZ64" s="1960">
        <v>1599.154417367818</v>
      </c>
      <c r="JA64" s="1960">
        <v>1683.0974394733469</v>
      </c>
      <c r="JB64" s="1960">
        <v>1772.2129099912447</v>
      </c>
      <c r="JC64" s="1960">
        <v>1828.2198493472672</v>
      </c>
      <c r="JD64" s="1960">
        <v>1909.152233390153</v>
      </c>
      <c r="JE64" s="2274">
        <v>1953.3241153407585</v>
      </c>
      <c r="JF64" s="2117">
        <v>2040.1515560145385</v>
      </c>
      <c r="JG64" s="2103">
        <f t="shared" si="12"/>
        <v>1.0444511179644311</v>
      </c>
      <c r="JI64" s="2155"/>
      <c r="JJ64" s="2104"/>
    </row>
    <row r="65" spans="2:270" hidden="1">
      <c r="B65" s="2105">
        <v>40</v>
      </c>
      <c r="C65" s="2106" t="s">
        <v>48</v>
      </c>
      <c r="D65" s="2425" t="s">
        <v>481</v>
      </c>
      <c r="E65" s="2107" t="s">
        <v>49</v>
      </c>
      <c r="F65" s="2106" t="s">
        <v>918</v>
      </c>
      <c r="G65" s="2425"/>
      <c r="H65" s="2106" t="s">
        <v>929</v>
      </c>
      <c r="I65" s="2106" t="s">
        <v>930</v>
      </c>
      <c r="J65" s="2359" t="s">
        <v>50</v>
      </c>
      <c r="K65" s="2425"/>
      <c r="L65" s="2110">
        <v>90</v>
      </c>
      <c r="M65" s="2110">
        <v>98.3</v>
      </c>
      <c r="N65" s="2110">
        <v>122.4</v>
      </c>
      <c r="O65" s="2110">
        <v>155.19999999999999</v>
      </c>
      <c r="P65" s="2110">
        <v>174.8</v>
      </c>
      <c r="Q65" s="2110">
        <v>190.3</v>
      </c>
      <c r="R65" s="2110">
        <v>231.4</v>
      </c>
      <c r="S65" s="2110">
        <v>252.4</v>
      </c>
      <c r="T65" s="2110">
        <v>257.60000000000002</v>
      </c>
      <c r="U65" s="2110">
        <v>257.60000000000002</v>
      </c>
      <c r="V65" s="2110">
        <v>257.60000000000002</v>
      </c>
      <c r="W65" s="2110">
        <v>252.9</v>
      </c>
      <c r="X65" s="2110">
        <v>248.1</v>
      </c>
      <c r="Y65" s="2110">
        <v>247.6</v>
      </c>
      <c r="Z65" s="2110">
        <v>231.1</v>
      </c>
      <c r="AA65" s="2110">
        <v>227</v>
      </c>
      <c r="AB65" s="2110">
        <v>223.9</v>
      </c>
      <c r="AC65" s="2110">
        <v>223.9</v>
      </c>
      <c r="AD65" s="2110">
        <v>208.6</v>
      </c>
      <c r="AE65" s="2110">
        <v>207.8</v>
      </c>
      <c r="AF65" s="2110">
        <v>203.2</v>
      </c>
      <c r="AG65" s="2110">
        <v>204.2</v>
      </c>
      <c r="AH65" s="2110">
        <v>206.1</v>
      </c>
      <c r="AI65" s="2110">
        <v>208.3</v>
      </c>
      <c r="AJ65" s="2110">
        <v>217.4</v>
      </c>
      <c r="AK65" s="2110">
        <v>225.5</v>
      </c>
      <c r="AL65" s="2110">
        <v>240.3</v>
      </c>
      <c r="AM65" s="2110">
        <v>272.39999999999998</v>
      </c>
      <c r="AN65" s="2110">
        <v>280.8</v>
      </c>
      <c r="AO65" s="2110">
        <v>283.10000000000002</v>
      </c>
      <c r="AP65" s="2110">
        <v>283.10000000000002</v>
      </c>
      <c r="AQ65" s="2110">
        <v>270.3</v>
      </c>
      <c r="AR65" s="2110">
        <v>270.39999999999998</v>
      </c>
      <c r="AS65" s="2110">
        <v>268.3</v>
      </c>
      <c r="AT65" s="2110">
        <v>283</v>
      </c>
      <c r="AU65" s="2110">
        <v>281.8</v>
      </c>
      <c r="AV65" s="2110">
        <v>281.8</v>
      </c>
      <c r="AW65" s="2111">
        <v>281.8</v>
      </c>
      <c r="AX65" s="2111">
        <v>279.2</v>
      </c>
      <c r="AY65" s="2111">
        <v>281.2</v>
      </c>
      <c r="AZ65" s="2111">
        <v>291.2</v>
      </c>
      <c r="BA65" s="2111">
        <v>291.2</v>
      </c>
      <c r="BB65" s="2111">
        <v>291.2</v>
      </c>
      <c r="BC65" s="2111">
        <v>297.2</v>
      </c>
      <c r="BD65" s="2112">
        <v>315.3</v>
      </c>
      <c r="BE65" s="2111">
        <v>324.3</v>
      </c>
      <c r="BF65" s="2112">
        <v>337.2</v>
      </c>
      <c r="BG65" s="2112">
        <v>349.9</v>
      </c>
      <c r="BH65" s="2112">
        <v>371</v>
      </c>
      <c r="BI65" s="2108">
        <v>388.3</v>
      </c>
      <c r="BJ65" s="2108">
        <v>406.7</v>
      </c>
      <c r="BK65" s="2108">
        <v>416.9</v>
      </c>
      <c r="BL65" s="2108">
        <v>434.3</v>
      </c>
      <c r="BM65" s="2108">
        <v>617.6</v>
      </c>
      <c r="BN65" s="2108">
        <v>636.70000000000005</v>
      </c>
      <c r="BO65" s="2108">
        <v>619</v>
      </c>
      <c r="BP65" s="2108">
        <v>619</v>
      </c>
      <c r="BQ65" s="2108">
        <v>619</v>
      </c>
      <c r="BR65" s="2108">
        <v>619</v>
      </c>
      <c r="BS65" s="2108">
        <v>611.29999999999995</v>
      </c>
      <c r="BT65" s="2108">
        <v>611.6</v>
      </c>
      <c r="BU65" s="2108">
        <v>611.6</v>
      </c>
      <c r="BV65" s="2108">
        <v>611.6</v>
      </c>
      <c r="BW65" s="2108">
        <v>611.6</v>
      </c>
      <c r="BX65" s="2108">
        <v>642.20000000000005</v>
      </c>
      <c r="BY65" s="2108">
        <v>658.9</v>
      </c>
      <c r="BZ65" s="2108">
        <v>680.5</v>
      </c>
      <c r="CA65" s="2108">
        <v>680.5</v>
      </c>
      <c r="CB65" s="2108">
        <v>683.3</v>
      </c>
      <c r="CC65" s="2108">
        <v>683.3</v>
      </c>
      <c r="CD65" s="2108">
        <v>672.6</v>
      </c>
      <c r="CE65" s="2108">
        <v>672.6</v>
      </c>
      <c r="CF65" s="2108">
        <v>681.9</v>
      </c>
      <c r="CG65" s="2108">
        <v>679.8</v>
      </c>
      <c r="CH65" s="2108">
        <v>686</v>
      </c>
      <c r="CI65" s="2108">
        <v>705</v>
      </c>
      <c r="CJ65" s="2108">
        <v>729.2</v>
      </c>
      <c r="CK65" s="2108">
        <v>731.8</v>
      </c>
      <c r="CL65" s="2108">
        <v>750.3</v>
      </c>
      <c r="CM65" s="2108">
        <v>750.3</v>
      </c>
      <c r="CN65" s="2108">
        <v>750.3</v>
      </c>
      <c r="CO65" s="2108">
        <v>750.3</v>
      </c>
      <c r="CP65" s="2108">
        <v>750.3</v>
      </c>
      <c r="CQ65" s="2108">
        <v>747.6</v>
      </c>
      <c r="CR65" s="2108">
        <v>732.3</v>
      </c>
      <c r="CS65" s="2108">
        <v>720.2</v>
      </c>
      <c r="CT65" s="2108">
        <v>692.4</v>
      </c>
      <c r="CU65" s="2108">
        <v>682.8</v>
      </c>
      <c r="CV65" s="2108">
        <v>678.2</v>
      </c>
      <c r="CW65" s="2108">
        <v>669.1</v>
      </c>
      <c r="CX65" s="2108">
        <v>660.6</v>
      </c>
      <c r="CY65" s="2108">
        <v>680.2</v>
      </c>
      <c r="CZ65" s="2108">
        <v>694.5</v>
      </c>
      <c r="DA65" s="2108">
        <v>702.4</v>
      </c>
      <c r="DB65" s="2108">
        <v>749.7</v>
      </c>
      <c r="DC65" s="2108">
        <v>756.6</v>
      </c>
      <c r="DD65" s="2108">
        <v>752.9</v>
      </c>
      <c r="DE65" s="2108">
        <v>774.8</v>
      </c>
      <c r="DF65" s="2108">
        <v>793.8</v>
      </c>
      <c r="DG65" s="2108">
        <v>808.9</v>
      </c>
      <c r="DH65" s="2108">
        <v>819.2</v>
      </c>
      <c r="DI65" s="2108">
        <v>823.9</v>
      </c>
      <c r="DJ65" s="2108">
        <v>845</v>
      </c>
      <c r="DK65" s="2108">
        <v>861</v>
      </c>
      <c r="DL65" s="2108">
        <v>861</v>
      </c>
      <c r="DM65" s="2108">
        <v>875.9</v>
      </c>
      <c r="DN65" s="2108">
        <v>915.3</v>
      </c>
      <c r="DO65" s="2108">
        <v>925.1</v>
      </c>
      <c r="DP65" s="2108">
        <v>945.1</v>
      </c>
      <c r="DQ65" s="2108">
        <v>967.7</v>
      </c>
      <c r="DR65" s="2108">
        <v>978.4</v>
      </c>
      <c r="DS65" s="2108">
        <v>967</v>
      </c>
      <c r="DT65" s="2108">
        <v>1004.2</v>
      </c>
      <c r="DU65" s="2108">
        <v>1029</v>
      </c>
      <c r="DV65" s="2108">
        <v>1052.4000000000001</v>
      </c>
      <c r="DW65" s="2108">
        <v>1056.8</v>
      </c>
      <c r="DX65" s="2108">
        <v>1062.7</v>
      </c>
      <c r="DY65" s="2108">
        <v>1081</v>
      </c>
      <c r="DZ65" s="2108">
        <v>1077.0999999999999</v>
      </c>
      <c r="EA65" s="2108">
        <v>1045.5999999999999</v>
      </c>
      <c r="EB65" s="2108">
        <v>1045.5999999999999</v>
      </c>
      <c r="EC65" s="2108">
        <v>1045.5999999999999</v>
      </c>
      <c r="ED65" s="2108">
        <v>1045.5999999999999</v>
      </c>
      <c r="EE65" s="2108">
        <v>1050.4000000000001</v>
      </c>
      <c r="EF65" s="2108">
        <v>996.2</v>
      </c>
      <c r="EG65" s="2108">
        <v>996.2</v>
      </c>
      <c r="EH65" s="2108">
        <v>996.2</v>
      </c>
      <c r="EI65" s="2108">
        <v>996.2</v>
      </c>
      <c r="EJ65" s="2108">
        <v>996.2</v>
      </c>
      <c r="EK65" s="2108">
        <v>996.2</v>
      </c>
      <c r="EL65" s="2108">
        <v>1017.2</v>
      </c>
      <c r="EM65" s="2108">
        <v>1018.8</v>
      </c>
      <c r="EN65" s="2108">
        <v>1021.5</v>
      </c>
      <c r="EO65" s="2108">
        <v>1021.5</v>
      </c>
      <c r="EP65" s="2108">
        <v>1044.5</v>
      </c>
      <c r="EQ65" s="2108">
        <v>1053.0999999999999</v>
      </c>
      <c r="ER65" s="2108">
        <v>1057.7</v>
      </c>
      <c r="ES65" s="2108">
        <v>1056.5999999999999</v>
      </c>
      <c r="ET65" s="2108">
        <v>1060.5</v>
      </c>
      <c r="EU65" s="2108">
        <v>1082.3</v>
      </c>
      <c r="EV65" s="2108">
        <v>1092.5</v>
      </c>
      <c r="EW65" s="2108">
        <v>1124.5999999999999</v>
      </c>
      <c r="EX65" s="2108">
        <v>1159.0999999999999</v>
      </c>
      <c r="EY65" s="2108">
        <v>1247.0999999999999</v>
      </c>
      <c r="EZ65" s="2108">
        <v>1402</v>
      </c>
      <c r="FA65" s="2108">
        <v>1428.9</v>
      </c>
      <c r="FB65" s="2108">
        <v>1534.8</v>
      </c>
      <c r="FC65" s="2108">
        <v>1716</v>
      </c>
      <c r="FD65" s="2108">
        <v>1770</v>
      </c>
      <c r="FE65" s="2108">
        <v>1770</v>
      </c>
      <c r="FF65" s="2108">
        <v>1763.6</v>
      </c>
      <c r="FG65" s="2108">
        <v>1764.5</v>
      </c>
      <c r="FH65" s="2108">
        <v>1794.3</v>
      </c>
      <c r="FI65" s="2108">
        <v>1817.6</v>
      </c>
      <c r="FJ65" s="2108">
        <v>1885.7</v>
      </c>
      <c r="FK65" s="2108">
        <v>1885.7</v>
      </c>
      <c r="FL65" s="2108">
        <v>1897.6</v>
      </c>
      <c r="FM65" s="2108">
        <v>1890.8</v>
      </c>
      <c r="FN65" s="2108">
        <v>1890.8</v>
      </c>
      <c r="FO65" s="2108">
        <v>1890.8</v>
      </c>
      <c r="FP65" s="2108">
        <v>1890.8</v>
      </c>
      <c r="FQ65" s="2108">
        <v>1890.8</v>
      </c>
      <c r="FR65" s="2108">
        <v>1920.3</v>
      </c>
      <c r="FS65" s="2108">
        <v>2028.5</v>
      </c>
      <c r="FT65" s="2108">
        <v>2028.5</v>
      </c>
      <c r="FU65" s="2108">
        <v>2020.3</v>
      </c>
      <c r="FV65" s="2108">
        <v>2026.3</v>
      </c>
      <c r="FW65" s="2113" t="s">
        <v>521</v>
      </c>
      <c r="FX65" s="2113" t="s">
        <v>521</v>
      </c>
      <c r="FY65" s="2113" t="s">
        <v>521</v>
      </c>
      <c r="FZ65" s="2113" t="s">
        <v>521</v>
      </c>
      <c r="GA65" s="2113" t="s">
        <v>521</v>
      </c>
      <c r="GB65" s="2113" t="s">
        <v>521</v>
      </c>
      <c r="GC65" s="2113" t="s">
        <v>521</v>
      </c>
      <c r="GD65" s="2113" t="s">
        <v>521</v>
      </c>
      <c r="GE65" s="2113" t="s">
        <v>521</v>
      </c>
      <c r="GF65" s="2114" t="s">
        <v>521</v>
      </c>
      <c r="GG65" s="1960" t="s">
        <v>521</v>
      </c>
      <c r="GH65" s="2114" t="s">
        <v>521</v>
      </c>
      <c r="GI65" s="2114" t="s">
        <v>521</v>
      </c>
      <c r="GJ65" s="2113" t="s">
        <v>521</v>
      </c>
      <c r="GK65" s="2113" t="s">
        <v>521</v>
      </c>
      <c r="GL65" s="2113" t="s">
        <v>521</v>
      </c>
      <c r="GM65" s="2114" t="s">
        <v>521</v>
      </c>
      <c r="GN65" s="2114" t="s">
        <v>521</v>
      </c>
      <c r="GO65" s="2115" t="s">
        <v>521</v>
      </c>
      <c r="GP65" s="2116" t="s">
        <v>521</v>
      </c>
      <c r="GQ65" s="2116" t="s">
        <v>521</v>
      </c>
      <c r="GR65" s="2116" t="s">
        <v>521</v>
      </c>
      <c r="GS65" s="2116" t="s">
        <v>521</v>
      </c>
      <c r="GT65" s="1960" t="s">
        <v>521</v>
      </c>
      <c r="GU65" s="1960" t="s">
        <v>521</v>
      </c>
      <c r="GV65" s="1960" t="s">
        <v>521</v>
      </c>
      <c r="GW65" s="1960" t="s">
        <v>521</v>
      </c>
      <c r="GX65" s="1960" t="s">
        <v>521</v>
      </c>
      <c r="GY65" s="1960" t="s">
        <v>521</v>
      </c>
      <c r="GZ65" s="1960" t="s">
        <v>521</v>
      </c>
      <c r="HA65" s="1960" t="s">
        <v>521</v>
      </c>
      <c r="HB65" s="1960" t="s">
        <v>521</v>
      </c>
      <c r="HC65" s="1960" t="s">
        <v>521</v>
      </c>
      <c r="HD65" s="1960" t="s">
        <v>521</v>
      </c>
      <c r="HE65" s="1960" t="s">
        <v>521</v>
      </c>
      <c r="HF65" s="1960" t="s">
        <v>521</v>
      </c>
      <c r="HG65" s="1960" t="s">
        <v>521</v>
      </c>
      <c r="HH65" s="2117" t="s">
        <v>521</v>
      </c>
      <c r="HI65" s="1960" t="s">
        <v>521</v>
      </c>
      <c r="HJ65" s="1960" t="s">
        <v>521</v>
      </c>
      <c r="HK65" s="1960" t="s">
        <v>521</v>
      </c>
      <c r="HL65" s="1960" t="s">
        <v>521</v>
      </c>
      <c r="HM65" s="1960" t="s">
        <v>521</v>
      </c>
      <c r="HN65" s="1960" t="s">
        <v>521</v>
      </c>
      <c r="HO65" s="1960" t="s">
        <v>521</v>
      </c>
      <c r="HP65" s="1960" t="s">
        <v>481</v>
      </c>
      <c r="HQ65" s="1960" t="s">
        <v>481</v>
      </c>
      <c r="HR65" s="1960" t="s">
        <v>481</v>
      </c>
      <c r="HS65" s="1960"/>
      <c r="HT65" s="1962"/>
      <c r="HU65" s="1961"/>
      <c r="HV65" s="1960">
        <v>0</v>
      </c>
      <c r="HW65" s="1960">
        <v>0</v>
      </c>
      <c r="HX65" s="1960">
        <v>0</v>
      </c>
      <c r="HY65" s="1960">
        <v>0</v>
      </c>
      <c r="HZ65" s="1960">
        <v>0</v>
      </c>
      <c r="IA65" s="1960">
        <v>0</v>
      </c>
      <c r="IB65" s="1960">
        <v>0</v>
      </c>
      <c r="IC65" s="1960">
        <v>0</v>
      </c>
      <c r="ID65" s="1960">
        <v>0</v>
      </c>
      <c r="IE65" s="1960">
        <v>0</v>
      </c>
      <c r="IF65" s="1960">
        <v>0</v>
      </c>
      <c r="IG65" s="1961">
        <v>0</v>
      </c>
      <c r="IH65" s="1960">
        <v>0</v>
      </c>
      <c r="II65" s="1960">
        <v>0</v>
      </c>
      <c r="IJ65" s="1961">
        <v>0</v>
      </c>
      <c r="IK65" s="1960">
        <v>0</v>
      </c>
      <c r="IL65" s="1960">
        <v>0</v>
      </c>
      <c r="IM65" s="1960">
        <v>0</v>
      </c>
      <c r="IN65" s="1960">
        <v>0</v>
      </c>
      <c r="IO65" s="1960">
        <v>0</v>
      </c>
      <c r="IP65" s="1960">
        <v>0</v>
      </c>
      <c r="IQ65" s="1960">
        <v>0</v>
      </c>
      <c r="IR65" s="1960">
        <v>0</v>
      </c>
      <c r="IS65" s="2274">
        <v>0</v>
      </c>
      <c r="IT65" s="1960">
        <v>0</v>
      </c>
      <c r="IU65" s="1960">
        <v>0</v>
      </c>
      <c r="IV65" s="1960">
        <v>0</v>
      </c>
      <c r="IW65" s="1960">
        <v>0</v>
      </c>
      <c r="IX65" s="1960">
        <v>0</v>
      </c>
      <c r="IY65" s="1960">
        <v>0</v>
      </c>
      <c r="IZ65" s="1960">
        <v>0</v>
      </c>
      <c r="JA65" s="1960">
        <v>0</v>
      </c>
      <c r="JB65" s="1960">
        <v>0</v>
      </c>
      <c r="JC65" s="1960">
        <v>0</v>
      </c>
      <c r="JD65" s="1960">
        <v>0</v>
      </c>
      <c r="JE65" s="2274">
        <v>0</v>
      </c>
      <c r="JF65" s="2117">
        <v>0</v>
      </c>
      <c r="JG65" s="2103" t="e">
        <f t="shared" si="12"/>
        <v>#DIV/0!</v>
      </c>
      <c r="JI65" s="2155"/>
      <c r="JJ65" s="2104"/>
    </row>
    <row r="66" spans="2:270">
      <c r="B66" s="2105">
        <v>41</v>
      </c>
      <c r="C66" s="2106" t="s">
        <v>51</v>
      </c>
      <c r="D66" s="2425" t="s">
        <v>1186</v>
      </c>
      <c r="E66" s="2107" t="s">
        <v>52</v>
      </c>
      <c r="F66" s="2106" t="s">
        <v>918</v>
      </c>
      <c r="G66" s="2425"/>
      <c r="H66" s="2106" t="s">
        <v>929</v>
      </c>
      <c r="I66" s="2106" t="s">
        <v>930</v>
      </c>
      <c r="J66" s="2359" t="s">
        <v>921</v>
      </c>
      <c r="K66" s="2425"/>
      <c r="L66" s="2110">
        <v>88.4</v>
      </c>
      <c r="M66" s="2110">
        <v>95</v>
      </c>
      <c r="N66" s="2110">
        <v>109.8</v>
      </c>
      <c r="O66" s="2110">
        <v>124.4</v>
      </c>
      <c r="P66" s="2110">
        <v>160.69999999999999</v>
      </c>
      <c r="Q66" s="2110">
        <v>172.5</v>
      </c>
      <c r="R66" s="2110">
        <v>181.6</v>
      </c>
      <c r="S66" s="2110">
        <v>188.3</v>
      </c>
      <c r="T66" s="2110">
        <v>205.2</v>
      </c>
      <c r="U66" s="2110">
        <v>207.7</v>
      </c>
      <c r="V66" s="2110">
        <v>203</v>
      </c>
      <c r="W66" s="2110">
        <v>201.5</v>
      </c>
      <c r="X66" s="2110">
        <v>201.5</v>
      </c>
      <c r="Y66" s="2110">
        <v>201.5</v>
      </c>
      <c r="Z66" s="2110">
        <v>201.5</v>
      </c>
      <c r="AA66" s="2110">
        <v>201.5</v>
      </c>
      <c r="AB66" s="2110">
        <v>201.5</v>
      </c>
      <c r="AC66" s="2110">
        <v>200</v>
      </c>
      <c r="AD66" s="2110">
        <v>197.7</v>
      </c>
      <c r="AE66" s="2110">
        <v>197.7</v>
      </c>
      <c r="AF66" s="2110">
        <v>191.1</v>
      </c>
      <c r="AG66" s="2110">
        <v>191.1</v>
      </c>
      <c r="AH66" s="2110">
        <v>191.1</v>
      </c>
      <c r="AI66" s="2110">
        <v>191.3</v>
      </c>
      <c r="AJ66" s="2110">
        <v>191.3</v>
      </c>
      <c r="AK66" s="2110">
        <v>189.6</v>
      </c>
      <c r="AL66" s="2110">
        <v>193.3</v>
      </c>
      <c r="AM66" s="2110">
        <v>199.7</v>
      </c>
      <c r="AN66" s="2110">
        <v>202.4</v>
      </c>
      <c r="AO66" s="2110">
        <v>215.3</v>
      </c>
      <c r="AP66" s="2110">
        <v>216.1</v>
      </c>
      <c r="AQ66" s="2110">
        <v>218.3</v>
      </c>
      <c r="AR66" s="2110">
        <v>218.3</v>
      </c>
      <c r="AS66" s="2110">
        <v>221</v>
      </c>
      <c r="AT66" s="2110">
        <v>224</v>
      </c>
      <c r="AU66" s="2110">
        <v>225.7</v>
      </c>
      <c r="AV66" s="2110">
        <v>227.8</v>
      </c>
      <c r="AW66" s="2111">
        <v>229.8</v>
      </c>
      <c r="AX66" s="2111">
        <v>229.8</v>
      </c>
      <c r="AY66" s="2111">
        <v>229.8</v>
      </c>
      <c r="AZ66" s="2111">
        <v>232.6</v>
      </c>
      <c r="BA66" s="2111">
        <v>231.7</v>
      </c>
      <c r="BB66" s="2111">
        <v>230.4</v>
      </c>
      <c r="BC66" s="2111">
        <v>232.1</v>
      </c>
      <c r="BD66" s="2112">
        <v>232.1</v>
      </c>
      <c r="BE66" s="2111">
        <v>232.1</v>
      </c>
      <c r="BF66" s="2112">
        <v>232.8</v>
      </c>
      <c r="BG66" s="2112">
        <v>233.7</v>
      </c>
      <c r="BH66" s="2112">
        <v>234.6</v>
      </c>
      <c r="BI66" s="2108">
        <v>234.4</v>
      </c>
      <c r="BJ66" s="2108">
        <v>234.4</v>
      </c>
      <c r="BK66" s="2108">
        <v>234.4</v>
      </c>
      <c r="BL66" s="2108">
        <v>236.1</v>
      </c>
      <c r="BM66" s="2108">
        <v>238.4</v>
      </c>
      <c r="BN66" s="2108">
        <v>256.10000000000002</v>
      </c>
      <c r="BO66" s="2108">
        <v>251.9</v>
      </c>
      <c r="BP66" s="2108">
        <v>253.4</v>
      </c>
      <c r="BQ66" s="2108">
        <v>253.4</v>
      </c>
      <c r="BR66" s="2108">
        <v>253.4</v>
      </c>
      <c r="BS66" s="2108">
        <v>252.9</v>
      </c>
      <c r="BT66" s="2108">
        <v>253.8</v>
      </c>
      <c r="BU66" s="2108">
        <v>254.3</v>
      </c>
      <c r="BV66" s="2108">
        <v>255.5</v>
      </c>
      <c r="BW66" s="2108">
        <v>265.7</v>
      </c>
      <c r="BX66" s="2108">
        <v>266.10000000000002</v>
      </c>
      <c r="BY66" s="2108">
        <v>270.10000000000002</v>
      </c>
      <c r="BZ66" s="2108">
        <v>270.10000000000002</v>
      </c>
      <c r="CA66" s="2108">
        <v>278</v>
      </c>
      <c r="CB66" s="2108">
        <v>282</v>
      </c>
      <c r="CC66" s="2108">
        <v>283.8</v>
      </c>
      <c r="CD66" s="2108">
        <v>286.2</v>
      </c>
      <c r="CE66" s="2108">
        <v>288.2</v>
      </c>
      <c r="CF66" s="2108">
        <v>292.10000000000002</v>
      </c>
      <c r="CG66" s="2108">
        <v>290.7</v>
      </c>
      <c r="CH66" s="2108">
        <v>295.8</v>
      </c>
      <c r="CI66" s="2108">
        <v>309.3</v>
      </c>
      <c r="CJ66" s="2108">
        <v>320.60000000000002</v>
      </c>
      <c r="CK66" s="2108">
        <v>358.3</v>
      </c>
      <c r="CL66" s="2108">
        <v>350.9</v>
      </c>
      <c r="CM66" s="2108">
        <v>348.9</v>
      </c>
      <c r="CN66" s="2108">
        <v>351.8</v>
      </c>
      <c r="CO66" s="2108">
        <v>351.8</v>
      </c>
      <c r="CP66" s="2108">
        <v>352</v>
      </c>
      <c r="CQ66" s="2108">
        <v>356.8</v>
      </c>
      <c r="CR66" s="2108">
        <v>358.1</v>
      </c>
      <c r="CS66" s="2108">
        <v>358.1</v>
      </c>
      <c r="CT66" s="2108">
        <v>355.3</v>
      </c>
      <c r="CU66" s="2108">
        <v>356.4</v>
      </c>
      <c r="CV66" s="2108">
        <v>354.2</v>
      </c>
      <c r="CW66" s="2108">
        <v>354.3</v>
      </c>
      <c r="CX66" s="2108">
        <v>353.6</v>
      </c>
      <c r="CY66" s="2108">
        <v>354</v>
      </c>
      <c r="CZ66" s="2108">
        <v>353.1</v>
      </c>
      <c r="DA66" s="2108">
        <v>374.1</v>
      </c>
      <c r="DB66" s="2108">
        <v>375.1</v>
      </c>
      <c r="DC66" s="2108">
        <v>375.9</v>
      </c>
      <c r="DD66" s="2108">
        <v>375.9</v>
      </c>
      <c r="DE66" s="2108">
        <v>380.4</v>
      </c>
      <c r="DF66" s="2108">
        <v>389</v>
      </c>
      <c r="DG66" s="2108">
        <v>389</v>
      </c>
      <c r="DH66" s="2108">
        <v>385.8</v>
      </c>
      <c r="DI66" s="2108">
        <v>414.9</v>
      </c>
      <c r="DJ66" s="2108">
        <v>427.3</v>
      </c>
      <c r="DK66" s="2108">
        <v>434.1</v>
      </c>
      <c r="DL66" s="2108">
        <v>434.1</v>
      </c>
      <c r="DM66" s="2108">
        <v>436.3</v>
      </c>
      <c r="DN66" s="2108">
        <v>436.3</v>
      </c>
      <c r="DO66" s="2108">
        <v>445.4</v>
      </c>
      <c r="DP66" s="2108">
        <v>445.4</v>
      </c>
      <c r="DQ66" s="2108">
        <v>445.5</v>
      </c>
      <c r="DR66" s="2108">
        <v>452.1</v>
      </c>
      <c r="DS66" s="2108">
        <v>456.8</v>
      </c>
      <c r="DT66" s="2108">
        <v>465.4</v>
      </c>
      <c r="DU66" s="2108">
        <v>478.5</v>
      </c>
      <c r="DV66" s="2108">
        <v>495</v>
      </c>
      <c r="DW66" s="2108">
        <v>497.5</v>
      </c>
      <c r="DX66" s="2108">
        <v>507.7</v>
      </c>
      <c r="DY66" s="2108">
        <v>512.20000000000005</v>
      </c>
      <c r="DZ66" s="2108">
        <v>516.1</v>
      </c>
      <c r="EA66" s="2108">
        <v>521.6</v>
      </c>
      <c r="EB66" s="2108">
        <v>522.20000000000005</v>
      </c>
      <c r="EC66" s="2108">
        <v>530.5</v>
      </c>
      <c r="ED66" s="2108">
        <v>536</v>
      </c>
      <c r="EE66" s="2108">
        <v>543.5</v>
      </c>
      <c r="EF66" s="2108">
        <v>546.5</v>
      </c>
      <c r="EG66" s="2108">
        <v>551</v>
      </c>
      <c r="EH66" s="2108">
        <v>581.9</v>
      </c>
      <c r="EI66" s="2108">
        <v>594.29999999999995</v>
      </c>
      <c r="EJ66" s="2108">
        <v>595</v>
      </c>
      <c r="EK66" s="2108">
        <v>604.6</v>
      </c>
      <c r="EL66" s="2108">
        <v>608.79999999999995</v>
      </c>
      <c r="EM66" s="2108">
        <v>624.1</v>
      </c>
      <c r="EN66" s="2108">
        <v>623.20000000000005</v>
      </c>
      <c r="EO66" s="2108">
        <v>623.79999999999995</v>
      </c>
      <c r="EP66" s="2108">
        <v>635.9</v>
      </c>
      <c r="EQ66" s="2108">
        <v>663.1</v>
      </c>
      <c r="ER66" s="2108">
        <v>669.5</v>
      </c>
      <c r="ES66" s="2108">
        <v>680.9</v>
      </c>
      <c r="ET66" s="2108">
        <v>704</v>
      </c>
      <c r="EU66" s="2108">
        <v>718.2</v>
      </c>
      <c r="EV66" s="2108">
        <v>733.3</v>
      </c>
      <c r="EW66" s="2108">
        <v>752.8</v>
      </c>
      <c r="EX66" s="2108">
        <v>778.7</v>
      </c>
      <c r="EY66" s="2108">
        <v>790.1</v>
      </c>
      <c r="EZ66" s="2108">
        <v>802.6</v>
      </c>
      <c r="FA66" s="2108">
        <v>826.6</v>
      </c>
      <c r="FB66" s="2108">
        <v>983.7</v>
      </c>
      <c r="FC66" s="2108">
        <v>1021.2</v>
      </c>
      <c r="FD66" s="2108">
        <v>1064.4000000000001</v>
      </c>
      <c r="FE66" s="2108">
        <v>1086.2</v>
      </c>
      <c r="FF66" s="2108">
        <v>1104.4000000000001</v>
      </c>
      <c r="FG66" s="2108">
        <v>1096.0999999999999</v>
      </c>
      <c r="FH66" s="2108">
        <v>1132.5999999999999</v>
      </c>
      <c r="FI66" s="2108">
        <v>1158</v>
      </c>
      <c r="FJ66" s="2108">
        <v>1172.2</v>
      </c>
      <c r="FK66" s="2108">
        <v>1177.5</v>
      </c>
      <c r="FL66" s="2108">
        <v>1182.8</v>
      </c>
      <c r="FM66" s="2108">
        <v>1182.0999999999999</v>
      </c>
      <c r="FN66" s="2108">
        <v>1197.7</v>
      </c>
      <c r="FO66" s="2108">
        <v>1233.2</v>
      </c>
      <c r="FP66" s="2108">
        <v>1233</v>
      </c>
      <c r="FQ66" s="2108">
        <v>1237.3</v>
      </c>
      <c r="FR66" s="2108">
        <v>1244.5999999999999</v>
      </c>
      <c r="FS66" s="2108">
        <v>1252.8</v>
      </c>
      <c r="FT66" s="2108">
        <v>1284.7</v>
      </c>
      <c r="FU66" s="2108">
        <v>1302.4000000000001</v>
      </c>
      <c r="FV66" s="2108">
        <v>1309.5</v>
      </c>
      <c r="FW66" s="2113" t="s">
        <v>521</v>
      </c>
      <c r="FX66" s="2113" t="s">
        <v>521</v>
      </c>
      <c r="FY66" s="2113" t="s">
        <v>521</v>
      </c>
      <c r="FZ66" s="2113" t="s">
        <v>521</v>
      </c>
      <c r="GA66" s="2113" t="s">
        <v>521</v>
      </c>
      <c r="GB66" s="2113" t="s">
        <v>521</v>
      </c>
      <c r="GC66" s="2113" t="s">
        <v>521</v>
      </c>
      <c r="GD66" s="2113" t="s">
        <v>521</v>
      </c>
      <c r="GE66" s="2113" t="s">
        <v>521</v>
      </c>
      <c r="GF66" s="2114" t="s">
        <v>521</v>
      </c>
      <c r="GG66" s="1960" t="s">
        <v>521</v>
      </c>
      <c r="GH66" s="2114" t="s">
        <v>521</v>
      </c>
      <c r="GI66" s="2114" t="s">
        <v>521</v>
      </c>
      <c r="GJ66" s="2113" t="s">
        <v>521</v>
      </c>
      <c r="GK66" s="2113" t="s">
        <v>521</v>
      </c>
      <c r="GL66" s="2113" t="s">
        <v>521</v>
      </c>
      <c r="GM66" s="2114" t="s">
        <v>521</v>
      </c>
      <c r="GN66" s="2114" t="s">
        <v>521</v>
      </c>
      <c r="GO66" s="2115" t="s">
        <v>521</v>
      </c>
      <c r="GP66" s="2116" t="s">
        <v>521</v>
      </c>
      <c r="GQ66" s="2116" t="s">
        <v>521</v>
      </c>
      <c r="GR66" s="2116" t="s">
        <v>521</v>
      </c>
      <c r="GS66" s="2116" t="s">
        <v>521</v>
      </c>
      <c r="GT66" s="1960" t="s">
        <v>521</v>
      </c>
      <c r="GU66" s="1960" t="s">
        <v>521</v>
      </c>
      <c r="GV66" s="1960" t="s">
        <v>521</v>
      </c>
      <c r="GW66" s="1960" t="s">
        <v>521</v>
      </c>
      <c r="GX66" s="1960" t="s">
        <v>521</v>
      </c>
      <c r="GY66" s="1960" t="s">
        <v>521</v>
      </c>
      <c r="GZ66" s="1960">
        <v>100</v>
      </c>
      <c r="HA66" s="1960">
        <v>105.44444444444446</v>
      </c>
      <c r="HB66" s="1960">
        <v>115.00694204815582</v>
      </c>
      <c r="HC66" s="1960">
        <v>125.35756683248985</v>
      </c>
      <c r="HD66" s="1960">
        <v>133.70227610960532</v>
      </c>
      <c r="HE66" s="1960">
        <v>168.26904133208359</v>
      </c>
      <c r="HF66" s="1960">
        <v>179.12807967356434</v>
      </c>
      <c r="HG66" s="1960">
        <v>181.1752577269765</v>
      </c>
      <c r="HH66" s="1960">
        <v>181.8462772000394</v>
      </c>
      <c r="HI66" s="1960">
        <v>184.18079021814799</v>
      </c>
      <c r="HJ66" s="1960">
        <v>185.79641118497386</v>
      </c>
      <c r="HK66" s="1960">
        <v>191.98962489113967</v>
      </c>
      <c r="HL66" s="1960">
        <v>193.97466047504028</v>
      </c>
      <c r="HM66" s="1960">
        <v>196.02522710348646</v>
      </c>
      <c r="HN66" s="1960">
        <v>202.55940134026932</v>
      </c>
      <c r="HO66" s="1960">
        <v>198.72304904215815</v>
      </c>
      <c r="HP66" s="1960">
        <v>235.63021804198448</v>
      </c>
      <c r="HQ66" s="1960">
        <v>247.65927641479337</v>
      </c>
      <c r="HR66" s="1960">
        <v>247.65927641479337</v>
      </c>
      <c r="HS66" s="1960">
        <v>261.92249982000766</v>
      </c>
      <c r="HT66" s="1962">
        <v>263.88246410437506</v>
      </c>
      <c r="HU66" s="1961">
        <v>264.69691615407993</v>
      </c>
      <c r="HV66" s="1960">
        <v>264.69691615407993</v>
      </c>
      <c r="HW66" s="1960">
        <v>291.16660776948788</v>
      </c>
      <c r="HX66" s="1960">
        <v>291.16660776948788</v>
      </c>
      <c r="HY66" s="1960">
        <v>291.16660776948788</v>
      </c>
      <c r="HZ66" s="1960">
        <v>291.16660776948788</v>
      </c>
      <c r="IA66" s="1960">
        <v>342.34677791634061</v>
      </c>
      <c r="IB66" s="1960">
        <v>337.72047010666034</v>
      </c>
      <c r="IC66" s="1960">
        <v>360.40573400776429</v>
      </c>
      <c r="ID66" s="1960">
        <v>416.86026627715097</v>
      </c>
      <c r="IE66" s="1960">
        <v>425.29442763328689</v>
      </c>
      <c r="IF66" s="1960">
        <v>442.07865404485898</v>
      </c>
      <c r="IG66" s="1961">
        <v>478.06739317242489</v>
      </c>
      <c r="IH66" s="1960">
        <v>510.59738052286019</v>
      </c>
      <c r="II66" s="1960">
        <v>510.59738052286019</v>
      </c>
      <c r="IJ66" s="1961">
        <v>522.06765370719063</v>
      </c>
      <c r="IK66" s="1960">
        <v>553.83548628636549</v>
      </c>
      <c r="IL66" s="1960">
        <v>576.30849365639847</v>
      </c>
      <c r="IM66" s="1960">
        <v>629.21464178690803</v>
      </c>
      <c r="IN66" s="1960">
        <v>653.68643214039344</v>
      </c>
      <c r="IO66" s="1960">
        <v>712.47702878780399</v>
      </c>
      <c r="IP66" s="1960">
        <v>724.3504331248356</v>
      </c>
      <c r="IQ66" s="1960">
        <v>744.69164198784722</v>
      </c>
      <c r="IR66" s="1960">
        <v>751.10395320512941</v>
      </c>
      <c r="IS66" s="2274">
        <v>761.11798070573752</v>
      </c>
      <c r="IT66" s="1960">
        <v>769.90011125234219</v>
      </c>
      <c r="IU66" s="1960">
        <v>795.56286936088247</v>
      </c>
      <c r="IV66" s="1960">
        <v>819.31351667178342</v>
      </c>
      <c r="IW66" s="1960">
        <v>880.27075849879895</v>
      </c>
      <c r="IX66" s="1960">
        <v>897.75070621764974</v>
      </c>
      <c r="IY66" s="1960">
        <v>1001.663459752741</v>
      </c>
      <c r="IZ66" s="1960">
        <v>1027.681761354638</v>
      </c>
      <c r="JA66" s="1960">
        <v>1082.9651127350849</v>
      </c>
      <c r="JB66" s="1960">
        <v>1160.448897907977</v>
      </c>
      <c r="JC66" s="1960">
        <v>1269.2842089886312</v>
      </c>
      <c r="JD66" s="1960">
        <v>1269.2842089886312</v>
      </c>
      <c r="JE66" s="2274">
        <v>1371.6405760932189</v>
      </c>
      <c r="JF66" s="2117">
        <v>1474.5300413104019</v>
      </c>
      <c r="JG66" s="2103">
        <f t="shared" si="12"/>
        <v>1.0750119725316367</v>
      </c>
      <c r="JI66" s="2155"/>
      <c r="JJ66" s="2104"/>
    </row>
    <row r="67" spans="2:270">
      <c r="B67" s="2105">
        <v>42</v>
      </c>
      <c r="C67" s="2106" t="s">
        <v>53</v>
      </c>
      <c r="D67" s="2425" t="s">
        <v>1168</v>
      </c>
      <c r="E67" s="2107" t="s">
        <v>54</v>
      </c>
      <c r="F67" s="2106" t="s">
        <v>918</v>
      </c>
      <c r="G67" s="2425" t="s">
        <v>1112</v>
      </c>
      <c r="H67" s="2106" t="s">
        <v>929</v>
      </c>
      <c r="I67" s="2106" t="s">
        <v>930</v>
      </c>
      <c r="J67" s="2359" t="s">
        <v>925</v>
      </c>
      <c r="K67" s="2425"/>
      <c r="L67" s="2110">
        <v>104.4</v>
      </c>
      <c r="M67" s="2110">
        <v>113.5</v>
      </c>
      <c r="N67" s="2110">
        <v>129.80000000000001</v>
      </c>
      <c r="O67" s="2110">
        <v>125.6</v>
      </c>
      <c r="P67" s="2110">
        <v>143.4</v>
      </c>
      <c r="Q67" s="2110">
        <v>141.69999999999999</v>
      </c>
      <c r="R67" s="2110">
        <v>152.19999999999999</v>
      </c>
      <c r="S67" s="2110">
        <v>166</v>
      </c>
      <c r="T67" s="2110">
        <v>166.4</v>
      </c>
      <c r="U67" s="2110">
        <v>166.4</v>
      </c>
      <c r="V67" s="2110">
        <v>166.4</v>
      </c>
      <c r="W67" s="2110">
        <v>161</v>
      </c>
      <c r="X67" s="2110">
        <v>153.30000000000001</v>
      </c>
      <c r="Y67" s="2110">
        <v>153.30000000000001</v>
      </c>
      <c r="Z67" s="2110">
        <v>153.19999999999999</v>
      </c>
      <c r="AA67" s="2110">
        <v>154.6</v>
      </c>
      <c r="AB67" s="2110">
        <v>156.9</v>
      </c>
      <c r="AC67" s="2110">
        <v>156.9</v>
      </c>
      <c r="AD67" s="2110">
        <v>152.80000000000001</v>
      </c>
      <c r="AE67" s="2110">
        <v>155.19999999999999</v>
      </c>
      <c r="AF67" s="2110">
        <v>154.9</v>
      </c>
      <c r="AG67" s="2110">
        <v>155.19999999999999</v>
      </c>
      <c r="AH67" s="2110">
        <v>155.5</v>
      </c>
      <c r="AI67" s="2110">
        <v>155.5</v>
      </c>
      <c r="AJ67" s="2110">
        <v>155.5</v>
      </c>
      <c r="AK67" s="2110">
        <v>155.5</v>
      </c>
      <c r="AL67" s="2110">
        <v>158.1</v>
      </c>
      <c r="AM67" s="2110">
        <v>162.6</v>
      </c>
      <c r="AN67" s="2110">
        <v>168.5</v>
      </c>
      <c r="AO67" s="2110">
        <v>176.9</v>
      </c>
      <c r="AP67" s="2110">
        <v>180</v>
      </c>
      <c r="AQ67" s="2110">
        <v>180.9</v>
      </c>
      <c r="AR67" s="2110">
        <v>180.8</v>
      </c>
      <c r="AS67" s="2110">
        <v>180.8</v>
      </c>
      <c r="AT67" s="2110">
        <v>182.2</v>
      </c>
      <c r="AU67" s="2110">
        <v>183.6</v>
      </c>
      <c r="AV67" s="2110">
        <v>187.7</v>
      </c>
      <c r="AW67" s="2111">
        <v>192.1</v>
      </c>
      <c r="AX67" s="2111">
        <v>194.7</v>
      </c>
      <c r="AY67" s="2111">
        <v>194.8</v>
      </c>
      <c r="AZ67" s="2111">
        <v>194.7</v>
      </c>
      <c r="BA67" s="2111">
        <v>197</v>
      </c>
      <c r="BB67" s="2111">
        <v>197</v>
      </c>
      <c r="BC67" s="2111">
        <v>197</v>
      </c>
      <c r="BD67" s="2112">
        <v>197.4</v>
      </c>
      <c r="BE67" s="2111">
        <v>198.9</v>
      </c>
      <c r="BF67" s="2112">
        <v>206.1</v>
      </c>
      <c r="BG67" s="2112">
        <v>216.6</v>
      </c>
      <c r="BH67" s="2112">
        <v>216.6</v>
      </c>
      <c r="BI67" s="2108">
        <v>219.7</v>
      </c>
      <c r="BJ67" s="2108">
        <v>218.3</v>
      </c>
      <c r="BK67" s="2108">
        <v>220.3</v>
      </c>
      <c r="BL67" s="2108">
        <v>223.8</v>
      </c>
      <c r="BM67" s="2108">
        <v>230.9</v>
      </c>
      <c r="BN67" s="2108">
        <v>230.6</v>
      </c>
      <c r="BO67" s="2108">
        <v>242.4</v>
      </c>
      <c r="BP67" s="2108">
        <v>243.2</v>
      </c>
      <c r="BQ67" s="2108">
        <v>243.2</v>
      </c>
      <c r="BR67" s="2108">
        <v>243.2</v>
      </c>
      <c r="BS67" s="2108">
        <v>243.6</v>
      </c>
      <c r="BT67" s="2108">
        <v>243.6</v>
      </c>
      <c r="BU67" s="2108">
        <v>243.6</v>
      </c>
      <c r="BV67" s="2108">
        <v>244.8</v>
      </c>
      <c r="BW67" s="2108">
        <v>258.10000000000002</v>
      </c>
      <c r="BX67" s="2108">
        <v>262.60000000000002</v>
      </c>
      <c r="BY67" s="2108">
        <v>262.60000000000002</v>
      </c>
      <c r="BZ67" s="2108">
        <v>262.60000000000002</v>
      </c>
      <c r="CA67" s="2108">
        <v>273.39999999999998</v>
      </c>
      <c r="CB67" s="2108">
        <v>280.89999999999998</v>
      </c>
      <c r="CC67" s="2108">
        <v>286.7</v>
      </c>
      <c r="CD67" s="2108">
        <v>287.8</v>
      </c>
      <c r="CE67" s="2108">
        <v>291.3</v>
      </c>
      <c r="CF67" s="2108">
        <v>309.89999999999998</v>
      </c>
      <c r="CG67" s="2108">
        <v>308</v>
      </c>
      <c r="CH67" s="2108">
        <v>313.2</v>
      </c>
      <c r="CI67" s="2108">
        <v>313.2</v>
      </c>
      <c r="CJ67" s="2108">
        <v>326.5</v>
      </c>
      <c r="CK67" s="2108">
        <v>355.5</v>
      </c>
      <c r="CL67" s="2108">
        <v>353.9</v>
      </c>
      <c r="CM67" s="2108">
        <v>371.3</v>
      </c>
      <c r="CN67" s="2108">
        <v>390.3</v>
      </c>
      <c r="CO67" s="2108">
        <v>390.3</v>
      </c>
      <c r="CP67" s="2108">
        <v>390.3</v>
      </c>
      <c r="CQ67" s="2108">
        <v>390.3</v>
      </c>
      <c r="CR67" s="2108">
        <v>390.3</v>
      </c>
      <c r="CS67" s="2108">
        <v>390.3</v>
      </c>
      <c r="CT67" s="2108">
        <v>390.3</v>
      </c>
      <c r="CU67" s="2108">
        <v>390.3</v>
      </c>
      <c r="CV67" s="2108">
        <v>390.3</v>
      </c>
      <c r="CW67" s="2108">
        <v>390.3</v>
      </c>
      <c r="CX67" s="2108">
        <v>390.3</v>
      </c>
      <c r="CY67" s="2108">
        <v>390.1</v>
      </c>
      <c r="CZ67" s="2108">
        <v>393.7</v>
      </c>
      <c r="DA67" s="2108">
        <v>410.2</v>
      </c>
      <c r="DB67" s="2108">
        <v>416.8</v>
      </c>
      <c r="DC67" s="2108">
        <v>417.2</v>
      </c>
      <c r="DD67" s="2108">
        <v>417.2</v>
      </c>
      <c r="DE67" s="2108">
        <v>422.8</v>
      </c>
      <c r="DF67" s="2108">
        <v>433.1</v>
      </c>
      <c r="DG67" s="2108">
        <v>433.1</v>
      </c>
      <c r="DH67" s="2108">
        <v>433.1</v>
      </c>
      <c r="DI67" s="2108">
        <v>450.2</v>
      </c>
      <c r="DJ67" s="2108">
        <v>483.6</v>
      </c>
      <c r="DK67" s="2108">
        <v>483.6</v>
      </c>
      <c r="DL67" s="2108">
        <v>515</v>
      </c>
      <c r="DM67" s="2108">
        <v>515</v>
      </c>
      <c r="DN67" s="2108">
        <v>523.1</v>
      </c>
      <c r="DO67" s="2108">
        <v>523.1</v>
      </c>
      <c r="DP67" s="2108">
        <v>529.5</v>
      </c>
      <c r="DQ67" s="2108">
        <v>553.4</v>
      </c>
      <c r="DR67" s="2108">
        <v>555.1</v>
      </c>
      <c r="DS67" s="2108">
        <v>555.1</v>
      </c>
      <c r="DT67" s="2108">
        <v>557.29999999999995</v>
      </c>
      <c r="DU67" s="2108">
        <v>558.70000000000005</v>
      </c>
      <c r="DV67" s="2108">
        <v>584.4</v>
      </c>
      <c r="DW67" s="2108">
        <v>584.4</v>
      </c>
      <c r="DX67" s="2108">
        <v>584.4</v>
      </c>
      <c r="DY67" s="2108">
        <v>584.4</v>
      </c>
      <c r="DZ67" s="2108">
        <v>584.4</v>
      </c>
      <c r="EA67" s="2108">
        <v>607.5</v>
      </c>
      <c r="EB67" s="2108">
        <v>619.4</v>
      </c>
      <c r="EC67" s="2108">
        <v>619.4</v>
      </c>
      <c r="ED67" s="2108">
        <v>620.5</v>
      </c>
      <c r="EE67" s="2108">
        <v>647.70000000000005</v>
      </c>
      <c r="EF67" s="2108">
        <v>647.70000000000005</v>
      </c>
      <c r="EG67" s="2108">
        <v>647.70000000000005</v>
      </c>
      <c r="EH67" s="2108">
        <v>652.5</v>
      </c>
      <c r="EI67" s="2108">
        <v>662.2</v>
      </c>
      <c r="EJ67" s="2108">
        <v>662.2</v>
      </c>
      <c r="EK67" s="2108">
        <v>702.1</v>
      </c>
      <c r="EL67" s="2108">
        <v>718</v>
      </c>
      <c r="EM67" s="2108">
        <v>718</v>
      </c>
      <c r="EN67" s="2108">
        <v>722.9</v>
      </c>
      <c r="EO67" s="2108">
        <v>722.9</v>
      </c>
      <c r="EP67" s="2108">
        <v>779.8</v>
      </c>
      <c r="EQ67" s="2108">
        <v>804.6</v>
      </c>
      <c r="ER67" s="2108">
        <v>807.9</v>
      </c>
      <c r="ES67" s="2108">
        <v>841</v>
      </c>
      <c r="ET67" s="2108">
        <v>855.8</v>
      </c>
      <c r="EU67" s="2108">
        <v>858.7</v>
      </c>
      <c r="EV67" s="2108">
        <v>858.7</v>
      </c>
      <c r="EW67" s="2108">
        <v>858.7</v>
      </c>
      <c r="EX67" s="2108">
        <v>871.5</v>
      </c>
      <c r="EY67" s="2108">
        <v>871.5</v>
      </c>
      <c r="EZ67" s="2108">
        <v>897.3</v>
      </c>
      <c r="FA67" s="2108">
        <v>908.2</v>
      </c>
      <c r="FB67" s="2108">
        <v>908.2</v>
      </c>
      <c r="FC67" s="2108">
        <v>999.5</v>
      </c>
      <c r="FD67" s="2108">
        <v>999.5</v>
      </c>
      <c r="FE67" s="2108">
        <v>1034.5</v>
      </c>
      <c r="FF67" s="2108">
        <v>1094.9000000000001</v>
      </c>
      <c r="FG67" s="2108">
        <v>1128</v>
      </c>
      <c r="FH67" s="2108">
        <v>1131.9000000000001</v>
      </c>
      <c r="FI67" s="2108">
        <v>1159.9000000000001</v>
      </c>
      <c r="FJ67" s="2108">
        <v>1159.9000000000001</v>
      </c>
      <c r="FK67" s="2108">
        <v>1239.9000000000001</v>
      </c>
      <c r="FL67" s="2108">
        <v>1239.9000000000001</v>
      </c>
      <c r="FM67" s="2108">
        <v>1317</v>
      </c>
      <c r="FN67" s="2108">
        <v>1317</v>
      </c>
      <c r="FO67" s="2108">
        <v>1390.5</v>
      </c>
      <c r="FP67" s="2108">
        <v>1464.7</v>
      </c>
      <c r="FQ67" s="2108">
        <v>1464.7</v>
      </c>
      <c r="FR67" s="2108">
        <v>1472.5</v>
      </c>
      <c r="FS67" s="2108">
        <v>1554.6</v>
      </c>
      <c r="FT67" s="2108">
        <v>1580.2</v>
      </c>
      <c r="FU67" s="2108">
        <v>1678.8</v>
      </c>
      <c r="FV67" s="2108">
        <v>1678.4</v>
      </c>
      <c r="FW67" s="2113">
        <v>2038.9622335075949</v>
      </c>
      <c r="FX67" s="2113">
        <v>2266.70519681326</v>
      </c>
      <c r="FY67" s="2113">
        <v>100</v>
      </c>
      <c r="FZ67" s="2113">
        <v>108.8801383972168</v>
      </c>
      <c r="GA67" s="2113">
        <v>115.09024354656958</v>
      </c>
      <c r="GB67" s="2113">
        <v>119.71814671023049</v>
      </c>
      <c r="GC67" s="2113">
        <v>129.12908354525806</v>
      </c>
      <c r="GD67" s="2113">
        <v>136.17318948092836</v>
      </c>
      <c r="GE67" s="2113">
        <v>136.17318948092836</v>
      </c>
      <c r="GF67" s="2114">
        <v>138.20835061116753</v>
      </c>
      <c r="GG67" s="1960">
        <v>141.32208032337414</v>
      </c>
      <c r="GH67" s="2114">
        <v>142.39110066702588</v>
      </c>
      <c r="GI67" s="2114">
        <v>144.55059342410306</v>
      </c>
      <c r="GJ67" s="2113">
        <v>144.55693471676807</v>
      </c>
      <c r="GK67" s="2113">
        <v>144.55693471676807</v>
      </c>
      <c r="GL67" s="2113">
        <v>153.50029010257737</v>
      </c>
      <c r="GM67" s="2114">
        <v>153.50029010257737</v>
      </c>
      <c r="GN67" s="2114">
        <v>156.72380044002074</v>
      </c>
      <c r="GO67" s="2115">
        <v>157.93662171255659</v>
      </c>
      <c r="GP67" s="2116">
        <v>157.93662171255659</v>
      </c>
      <c r="GQ67" s="2116">
        <v>157.93662171255659</v>
      </c>
      <c r="GR67" s="2116">
        <v>157.93662171255659</v>
      </c>
      <c r="GS67" s="2116">
        <v>158.60394406448671</v>
      </c>
      <c r="GT67" s="1960">
        <v>159.10668288273578</v>
      </c>
      <c r="GU67" s="1960">
        <v>159.54954324033372</v>
      </c>
      <c r="GV67" s="1960">
        <v>159.57126383788463</v>
      </c>
      <c r="GW67" s="1960">
        <v>159.57126383788463</v>
      </c>
      <c r="GX67" s="1960">
        <v>160.27201016162033</v>
      </c>
      <c r="GY67" s="1960">
        <v>160.27201016162033</v>
      </c>
      <c r="GZ67" s="1960">
        <v>168.28537375638678</v>
      </c>
      <c r="HA67" s="1960">
        <v>168.28537375638678</v>
      </c>
      <c r="HB67" s="1960">
        <v>168.28537375638678</v>
      </c>
      <c r="HC67" s="1960">
        <v>168.28537375638678</v>
      </c>
      <c r="HD67" s="1960">
        <v>168.26700211604521</v>
      </c>
      <c r="HE67" s="1960">
        <v>225.74187454024153</v>
      </c>
      <c r="HF67" s="1960">
        <v>248.31606199426565</v>
      </c>
      <c r="HG67" s="1960">
        <v>248.31606199426565</v>
      </c>
      <c r="HH67" s="2117">
        <v>248.31606199426565</v>
      </c>
      <c r="HI67" s="1960">
        <v>248.31606199426565</v>
      </c>
      <c r="HJ67" s="1960">
        <v>305.63265091184275</v>
      </c>
      <c r="HK67" s="1960">
        <v>336.19591600302704</v>
      </c>
      <c r="HL67" s="1960">
        <v>309.47985423955362</v>
      </c>
      <c r="HM67" s="1960">
        <v>309.47985423955362</v>
      </c>
      <c r="HN67" s="1960">
        <v>340.42788153099548</v>
      </c>
      <c r="HO67" s="1960">
        <v>340.42788153099548</v>
      </c>
      <c r="HP67" s="1960">
        <v>409.65264667683408</v>
      </c>
      <c r="HQ67" s="1960">
        <v>417.1629227684341</v>
      </c>
      <c r="HR67" s="1960">
        <v>432.45828771412619</v>
      </c>
      <c r="HS67" s="1960">
        <v>438.22000681708084</v>
      </c>
      <c r="HT67" s="1962">
        <v>452.82590617700606</v>
      </c>
      <c r="HU67" s="1961">
        <v>475.46662635026132</v>
      </c>
      <c r="HV67" s="1960">
        <v>475.46662635026132</v>
      </c>
      <c r="HW67" s="1960">
        <v>475.46662635026132</v>
      </c>
      <c r="HX67" s="1960">
        <v>475.46662635026132</v>
      </c>
      <c r="HY67" s="1960">
        <v>475.46662635026132</v>
      </c>
      <c r="HZ67" s="1960">
        <v>475.46662635026132</v>
      </c>
      <c r="IA67" s="1960">
        <v>475.46662635026132</v>
      </c>
      <c r="IB67" s="1960">
        <v>475.46662635026132</v>
      </c>
      <c r="IC67" s="1960">
        <v>475.46662635026132</v>
      </c>
      <c r="ID67" s="1960">
        <v>475.46662635026132</v>
      </c>
      <c r="IE67" s="1960">
        <v>475.46662635026132</v>
      </c>
      <c r="IF67" s="1960">
        <v>474.72643918675442</v>
      </c>
      <c r="IG67" s="1961">
        <v>475.46662635026127</v>
      </c>
      <c r="IH67" s="1960">
        <v>475.46662635026127</v>
      </c>
      <c r="II67" s="1960">
        <v>475.46662635026127</v>
      </c>
      <c r="IJ67" s="1961">
        <v>510.14832544824679</v>
      </c>
      <c r="IK67" s="1960">
        <v>526.34770215992137</v>
      </c>
      <c r="IL67" s="1960">
        <v>544.88311362221123</v>
      </c>
      <c r="IM67" s="1960">
        <v>595.75965804149064</v>
      </c>
      <c r="IN67" s="1960">
        <v>631.06976104851765</v>
      </c>
      <c r="IO67" s="1960">
        <v>640.26002997866726</v>
      </c>
      <c r="IP67" s="1960">
        <v>720.26370737408365</v>
      </c>
      <c r="IQ67" s="1960">
        <v>736.80456341392937</v>
      </c>
      <c r="IR67" s="1960">
        <v>749.69803394141775</v>
      </c>
      <c r="IS67" s="2274">
        <v>826.58852874591992</v>
      </c>
      <c r="IT67" s="1960">
        <v>837.60942776296326</v>
      </c>
      <c r="IU67" s="1960">
        <v>848.7436851632641</v>
      </c>
      <c r="IV67" s="1960">
        <v>928.55835054768863</v>
      </c>
      <c r="IW67" s="1960">
        <v>1004.9072832309412</v>
      </c>
      <c r="IX67" s="1960">
        <v>1001.5132343212069</v>
      </c>
      <c r="IY67" s="1960">
        <v>1175.2948498861792</v>
      </c>
      <c r="IZ67" s="1960">
        <v>1299.7215259841523</v>
      </c>
      <c r="JA67" s="1960">
        <v>1325.462368990316</v>
      </c>
      <c r="JB67" s="1960">
        <v>1356.3904592527181</v>
      </c>
      <c r="JC67" s="1960">
        <v>1406.1251514524342</v>
      </c>
      <c r="JD67" s="1960">
        <v>1460.0050125112734</v>
      </c>
      <c r="JE67" s="2274">
        <v>1494.3762032305351</v>
      </c>
      <c r="JF67" s="2117">
        <v>1566.6175619007875</v>
      </c>
      <c r="JG67" s="2103">
        <f t="shared" si="12"/>
        <v>1.0483421500650782</v>
      </c>
      <c r="JI67" s="2155"/>
      <c r="JJ67" s="2104"/>
    </row>
    <row r="68" spans="2:270" ht="31.5">
      <c r="B68" s="2105">
        <v>43</v>
      </c>
      <c r="C68" s="2106" t="s">
        <v>55</v>
      </c>
      <c r="D68" s="2425" t="s">
        <v>1187</v>
      </c>
      <c r="E68" s="2107" t="s">
        <v>56</v>
      </c>
      <c r="F68" s="2106" t="s">
        <v>918</v>
      </c>
      <c r="G68" s="2425" t="s">
        <v>1112</v>
      </c>
      <c r="H68" s="2106" t="s">
        <v>929</v>
      </c>
      <c r="I68" s="2106" t="s">
        <v>930</v>
      </c>
      <c r="J68" s="2359" t="s">
        <v>135</v>
      </c>
      <c r="K68" s="2425"/>
      <c r="L68" s="2110">
        <v>98.7</v>
      </c>
      <c r="M68" s="2110">
        <v>105.2</v>
      </c>
      <c r="N68" s="2110">
        <v>121.2</v>
      </c>
      <c r="O68" s="2110">
        <v>125.9</v>
      </c>
      <c r="P68" s="2110">
        <v>169.8</v>
      </c>
      <c r="Q68" s="2110">
        <v>193.2</v>
      </c>
      <c r="R68" s="2110">
        <v>210.7</v>
      </c>
      <c r="S68" s="2110">
        <v>241.5</v>
      </c>
      <c r="T68" s="2110">
        <v>236</v>
      </c>
      <c r="U68" s="2110">
        <v>234.1</v>
      </c>
      <c r="V68" s="2110">
        <v>234.1</v>
      </c>
      <c r="W68" s="2110">
        <v>233</v>
      </c>
      <c r="X68" s="2110">
        <v>235</v>
      </c>
      <c r="Y68" s="2110">
        <v>234.2</v>
      </c>
      <c r="Z68" s="2110">
        <v>233.1</v>
      </c>
      <c r="AA68" s="2110">
        <v>237.3</v>
      </c>
      <c r="AB68" s="2110">
        <v>235.3</v>
      </c>
      <c r="AC68" s="2110">
        <v>235.3</v>
      </c>
      <c r="AD68" s="2110">
        <v>234.3</v>
      </c>
      <c r="AE68" s="2110">
        <v>233.9</v>
      </c>
      <c r="AF68" s="2110">
        <v>228.3</v>
      </c>
      <c r="AG68" s="2110">
        <v>233.1</v>
      </c>
      <c r="AH68" s="2110">
        <v>229.9</v>
      </c>
      <c r="AI68" s="2110">
        <v>226</v>
      </c>
      <c r="AJ68" s="2110">
        <v>230.7</v>
      </c>
      <c r="AK68" s="2110">
        <v>235.2</v>
      </c>
      <c r="AL68" s="2110">
        <v>244.2</v>
      </c>
      <c r="AM68" s="2110">
        <v>256.39999999999998</v>
      </c>
      <c r="AN68" s="2110">
        <v>259</v>
      </c>
      <c r="AO68" s="2110">
        <v>265.89999999999998</v>
      </c>
      <c r="AP68" s="2110">
        <v>267.89999999999998</v>
      </c>
      <c r="AQ68" s="2110">
        <v>276.2</v>
      </c>
      <c r="AR68" s="2110">
        <v>284.39999999999998</v>
      </c>
      <c r="AS68" s="2110">
        <v>284.39999999999998</v>
      </c>
      <c r="AT68" s="2110">
        <v>308.3</v>
      </c>
      <c r="AU68" s="2110">
        <v>312</v>
      </c>
      <c r="AV68" s="2110">
        <v>313.2</v>
      </c>
      <c r="AW68" s="2111">
        <v>328.4</v>
      </c>
      <c r="AX68" s="2111">
        <v>327.2</v>
      </c>
      <c r="AY68" s="2111">
        <v>330.2</v>
      </c>
      <c r="AZ68" s="2111">
        <v>334.3</v>
      </c>
      <c r="BA68" s="2111">
        <v>334.3</v>
      </c>
      <c r="BB68" s="2111">
        <v>334.3</v>
      </c>
      <c r="BC68" s="2111">
        <v>343.4</v>
      </c>
      <c r="BD68" s="2112">
        <v>354.7</v>
      </c>
      <c r="BE68" s="2111">
        <v>351.4</v>
      </c>
      <c r="BF68" s="2112">
        <v>350.6</v>
      </c>
      <c r="BG68" s="2112">
        <v>357.5</v>
      </c>
      <c r="BH68" s="2112">
        <v>357.5</v>
      </c>
      <c r="BI68" s="2108">
        <v>369.4</v>
      </c>
      <c r="BJ68" s="2108">
        <v>370.4</v>
      </c>
      <c r="BK68" s="2108">
        <v>376.4</v>
      </c>
      <c r="BL68" s="2108">
        <v>376.8</v>
      </c>
      <c r="BM68" s="2108">
        <v>401.9</v>
      </c>
      <c r="BN68" s="2108">
        <v>420.5</v>
      </c>
      <c r="BO68" s="2108">
        <v>438.1</v>
      </c>
      <c r="BP68" s="2108">
        <v>462.6</v>
      </c>
      <c r="BQ68" s="2108">
        <v>452</v>
      </c>
      <c r="BR68" s="2108">
        <v>459</v>
      </c>
      <c r="BS68" s="2108">
        <v>464.5</v>
      </c>
      <c r="BT68" s="2108">
        <v>467.9</v>
      </c>
      <c r="BU68" s="2108">
        <v>469</v>
      </c>
      <c r="BV68" s="2108">
        <v>470.1</v>
      </c>
      <c r="BW68" s="2108">
        <v>492.9</v>
      </c>
      <c r="BX68" s="2108">
        <v>496</v>
      </c>
      <c r="BY68" s="2108">
        <v>502.5</v>
      </c>
      <c r="BZ68" s="2108">
        <v>503.1</v>
      </c>
      <c r="CA68" s="2108">
        <v>510.5</v>
      </c>
      <c r="CB68" s="2108">
        <v>530.70000000000005</v>
      </c>
      <c r="CC68" s="2108">
        <v>538.20000000000005</v>
      </c>
      <c r="CD68" s="2108">
        <v>541.4</v>
      </c>
      <c r="CE68" s="2108">
        <v>547.4</v>
      </c>
      <c r="CF68" s="2108">
        <v>549.29999999999995</v>
      </c>
      <c r="CG68" s="2108">
        <v>559.20000000000005</v>
      </c>
      <c r="CH68" s="2108">
        <v>566.70000000000005</v>
      </c>
      <c r="CI68" s="2108">
        <v>581.9</v>
      </c>
      <c r="CJ68" s="2108">
        <v>595.1</v>
      </c>
      <c r="CK68" s="2108">
        <v>605.1</v>
      </c>
      <c r="CL68" s="2108">
        <v>669.9</v>
      </c>
      <c r="CM68" s="2108">
        <v>708.6</v>
      </c>
      <c r="CN68" s="2108">
        <v>726.4</v>
      </c>
      <c r="CO68" s="2108">
        <v>726.4</v>
      </c>
      <c r="CP68" s="2108">
        <v>725.4</v>
      </c>
      <c r="CQ68" s="2108">
        <v>725.4</v>
      </c>
      <c r="CR68" s="2108">
        <v>723.9</v>
      </c>
      <c r="CS68" s="2108">
        <v>736.5</v>
      </c>
      <c r="CT68" s="2108">
        <v>740.9</v>
      </c>
      <c r="CU68" s="2108">
        <v>730.7</v>
      </c>
      <c r="CV68" s="2108">
        <v>734.9</v>
      </c>
      <c r="CW68" s="2108">
        <v>725</v>
      </c>
      <c r="CX68" s="2108">
        <v>726.8</v>
      </c>
      <c r="CY68" s="2108">
        <v>726.8</v>
      </c>
      <c r="CZ68" s="2108">
        <v>733.6</v>
      </c>
      <c r="DA68" s="2108">
        <v>729.8</v>
      </c>
      <c r="DB68" s="2108">
        <v>728.5</v>
      </c>
      <c r="DC68" s="2108">
        <v>729.6</v>
      </c>
      <c r="DD68" s="2108">
        <v>726.2</v>
      </c>
      <c r="DE68" s="2108">
        <v>729.3</v>
      </c>
      <c r="DF68" s="2108">
        <v>744.1</v>
      </c>
      <c r="DG68" s="2108">
        <v>744.1</v>
      </c>
      <c r="DH68" s="2108">
        <v>746.6</v>
      </c>
      <c r="DI68" s="2108">
        <v>792.9</v>
      </c>
      <c r="DJ68" s="2108">
        <v>811.5</v>
      </c>
      <c r="DK68" s="2108">
        <v>808.7</v>
      </c>
      <c r="DL68" s="2108">
        <v>808.7</v>
      </c>
      <c r="DM68" s="2108">
        <v>808.7</v>
      </c>
      <c r="DN68" s="2108">
        <v>808.7</v>
      </c>
      <c r="DO68" s="2108">
        <v>805.4</v>
      </c>
      <c r="DP68" s="2108">
        <v>804.9</v>
      </c>
      <c r="DQ68" s="2108">
        <v>810.2</v>
      </c>
      <c r="DR68" s="2108">
        <v>825</v>
      </c>
      <c r="DS68" s="2108">
        <v>825</v>
      </c>
      <c r="DT68" s="2108">
        <v>831.4</v>
      </c>
      <c r="DU68" s="2108">
        <v>867.1</v>
      </c>
      <c r="DV68" s="2108">
        <v>903.9</v>
      </c>
      <c r="DW68" s="2108">
        <v>916.7</v>
      </c>
      <c r="DX68" s="2108">
        <v>924.2</v>
      </c>
      <c r="DY68" s="2108">
        <v>930.4</v>
      </c>
      <c r="DZ68" s="2108">
        <v>944.1</v>
      </c>
      <c r="EA68" s="2108">
        <v>958.7</v>
      </c>
      <c r="EB68" s="2108">
        <v>958.7</v>
      </c>
      <c r="EC68" s="2108">
        <v>963.2</v>
      </c>
      <c r="ED68" s="2108">
        <v>980</v>
      </c>
      <c r="EE68" s="2108">
        <v>985.5</v>
      </c>
      <c r="EF68" s="2108">
        <v>1011.4</v>
      </c>
      <c r="EG68" s="2108">
        <v>1010.2</v>
      </c>
      <c r="EH68" s="2108">
        <v>1029.5999999999999</v>
      </c>
      <c r="EI68" s="2108">
        <v>1034</v>
      </c>
      <c r="EJ68" s="2108">
        <v>1055.0999999999999</v>
      </c>
      <c r="EK68" s="2108">
        <v>1069.9000000000001</v>
      </c>
      <c r="EL68" s="2108">
        <v>1091.4000000000001</v>
      </c>
      <c r="EM68" s="2108">
        <v>1137.2</v>
      </c>
      <c r="EN68" s="2108">
        <v>1139.5</v>
      </c>
      <c r="EO68" s="2108">
        <v>1163.7</v>
      </c>
      <c r="EP68" s="2108">
        <v>1166.2</v>
      </c>
      <c r="EQ68" s="2108">
        <v>1186.9000000000001</v>
      </c>
      <c r="ER68" s="2108">
        <v>1217.4000000000001</v>
      </c>
      <c r="ES68" s="2108">
        <v>1257.8</v>
      </c>
      <c r="ET68" s="2108">
        <v>1278.7</v>
      </c>
      <c r="EU68" s="2108">
        <v>1301.5</v>
      </c>
      <c r="EV68" s="2108">
        <v>1313.9</v>
      </c>
      <c r="EW68" s="2108">
        <v>1360.9</v>
      </c>
      <c r="EX68" s="2108">
        <v>1363.2</v>
      </c>
      <c r="EY68" s="2108">
        <v>1391.1</v>
      </c>
      <c r="EZ68" s="2108">
        <v>1448.8</v>
      </c>
      <c r="FA68" s="2108">
        <v>1639</v>
      </c>
      <c r="FB68" s="2108">
        <v>1782.1</v>
      </c>
      <c r="FC68" s="2108">
        <v>1797.4</v>
      </c>
      <c r="FD68" s="2108">
        <v>1808.8</v>
      </c>
      <c r="FE68" s="2108">
        <v>1856.6</v>
      </c>
      <c r="FF68" s="2108">
        <v>1865.2</v>
      </c>
      <c r="FG68" s="2108">
        <v>1845.2</v>
      </c>
      <c r="FH68" s="2108">
        <v>1874</v>
      </c>
      <c r="FI68" s="2108">
        <v>1912.7</v>
      </c>
      <c r="FJ68" s="2108">
        <v>1943</v>
      </c>
      <c r="FK68" s="2108">
        <v>1965</v>
      </c>
      <c r="FL68" s="2108">
        <v>1965</v>
      </c>
      <c r="FM68" s="2108">
        <v>1978.2</v>
      </c>
      <c r="FN68" s="2108">
        <v>1984</v>
      </c>
      <c r="FO68" s="2108">
        <v>2024.2</v>
      </c>
      <c r="FP68" s="2108">
        <v>2028.4</v>
      </c>
      <c r="FQ68" s="2108">
        <v>2021.6</v>
      </c>
      <c r="FR68" s="2108">
        <v>2053.4</v>
      </c>
      <c r="FS68" s="2108">
        <v>2083.8000000000002</v>
      </c>
      <c r="FT68" s="2108">
        <v>2106.6</v>
      </c>
      <c r="FU68" s="2108">
        <v>2187.4</v>
      </c>
      <c r="FV68" s="2108">
        <v>2210.4</v>
      </c>
      <c r="FW68" s="2113">
        <v>2443.3737071528471</v>
      </c>
      <c r="FX68" s="2113">
        <v>2569.6183481766043</v>
      </c>
      <c r="FY68" s="2113">
        <v>100</v>
      </c>
      <c r="FZ68" s="2113">
        <v>103.74512672424316</v>
      </c>
      <c r="GA68" s="2113">
        <v>111.44426777486842</v>
      </c>
      <c r="GB68" s="2113">
        <v>111.28273312551129</v>
      </c>
      <c r="GC68" s="2113">
        <v>114.33253191183623</v>
      </c>
      <c r="GD68" s="2113">
        <v>116.97272959680441</v>
      </c>
      <c r="GE68" s="2113">
        <v>118.68435667635666</v>
      </c>
      <c r="GF68" s="2114">
        <v>119.44078020280404</v>
      </c>
      <c r="GG68" s="1960">
        <v>120.4947245510668</v>
      </c>
      <c r="GH68" s="2114">
        <v>120.66041433508062</v>
      </c>
      <c r="GI68" s="2114">
        <v>123.75544321163996</v>
      </c>
      <c r="GJ68" s="2113">
        <v>125.58375752519693</v>
      </c>
      <c r="GK68" s="2113">
        <v>126.36349409495229</v>
      </c>
      <c r="GL68" s="2113">
        <v>134.21109553814767</v>
      </c>
      <c r="GM68" s="2114">
        <v>134.24213400428459</v>
      </c>
      <c r="GN68" s="2114">
        <v>134.99371064530908</v>
      </c>
      <c r="GO68" s="2115">
        <v>135.93166226075729</v>
      </c>
      <c r="GP68" s="2116">
        <v>136.84124297617763</v>
      </c>
      <c r="GQ68" s="2116">
        <v>140.37282227686717</v>
      </c>
      <c r="GR68" s="2116">
        <v>141.01081301646639</v>
      </c>
      <c r="GS68" s="2116">
        <v>143.01341478151377</v>
      </c>
      <c r="GT68" s="1960">
        <v>145.676258400092</v>
      </c>
      <c r="GU68" s="1960">
        <v>146.10186342787128</v>
      </c>
      <c r="GV68" s="1960">
        <v>147.49429370680807</v>
      </c>
      <c r="GW68" s="1960">
        <v>152.85824493460842</v>
      </c>
      <c r="GX68" s="1960">
        <v>160.40271398522876</v>
      </c>
      <c r="GY68" s="1960">
        <v>163.64631206205252</v>
      </c>
      <c r="GZ68" s="1960">
        <v>165.72147313755977</v>
      </c>
      <c r="HA68" s="1960">
        <v>183.36802939507385</v>
      </c>
      <c r="HB68" s="1960">
        <v>201.89035550351247</v>
      </c>
      <c r="HC68" s="1960">
        <v>205.35675516161675</v>
      </c>
      <c r="HD68" s="1960">
        <v>205.97479159393563</v>
      </c>
      <c r="HE68" s="1960">
        <v>240.01269223401411</v>
      </c>
      <c r="HF68" s="1960">
        <v>249.9015586755294</v>
      </c>
      <c r="HG68" s="1960">
        <v>247.82019030704936</v>
      </c>
      <c r="HH68" s="2117">
        <v>252.17711958766864</v>
      </c>
      <c r="HI68" s="1960">
        <v>249.56427535265166</v>
      </c>
      <c r="HJ68" s="1960">
        <v>257.77717360685944</v>
      </c>
      <c r="HK68" s="1960">
        <v>275.18644564331191</v>
      </c>
      <c r="HL68" s="1960">
        <v>276.57969339039107</v>
      </c>
      <c r="HM68" s="1960">
        <v>277.10208644020867</v>
      </c>
      <c r="HN68" s="1960">
        <v>279.4821871864998</v>
      </c>
      <c r="HO68" s="1960">
        <v>281.30138752305521</v>
      </c>
      <c r="HP68" s="1960">
        <v>349.15896791617308</v>
      </c>
      <c r="HQ68" s="1960">
        <v>364.1350761600284</v>
      </c>
      <c r="HR68" s="1960">
        <v>376.77123553381699</v>
      </c>
      <c r="HS68" s="1960">
        <v>384.77757832918041</v>
      </c>
      <c r="HT68" s="1962">
        <v>380.98711171358985</v>
      </c>
      <c r="HU68" s="1961">
        <v>396.15022206884447</v>
      </c>
      <c r="HV68" s="1960">
        <v>396.15022206884447</v>
      </c>
      <c r="HW68" s="1960">
        <v>397.21078004830758</v>
      </c>
      <c r="HX68" s="1960">
        <v>397.21086243823788</v>
      </c>
      <c r="HY68" s="1960">
        <v>410.87762838566704</v>
      </c>
      <c r="HZ68" s="1960">
        <v>430.81974404618251</v>
      </c>
      <c r="IA68" s="1960">
        <v>441.59022144655745</v>
      </c>
      <c r="IB68" s="1960">
        <v>454.2450800894116</v>
      </c>
      <c r="IC68" s="1960">
        <v>454.2450800894116</v>
      </c>
      <c r="ID68" s="1960">
        <v>454.2450800894116</v>
      </c>
      <c r="IE68" s="1960">
        <v>489.6629834388134</v>
      </c>
      <c r="IF68" s="1960">
        <v>501.07791218243773</v>
      </c>
      <c r="IG68" s="1961">
        <v>555.39744149984199</v>
      </c>
      <c r="IH68" s="1960">
        <v>561.72294940846211</v>
      </c>
      <c r="II68" s="1960">
        <v>609.9384332195574</v>
      </c>
      <c r="IJ68" s="1961">
        <v>614.00464214098349</v>
      </c>
      <c r="IK68" s="1960">
        <v>623.91770012371887</v>
      </c>
      <c r="IL68" s="1960">
        <v>638.59500228307718</v>
      </c>
      <c r="IM68" s="1960">
        <v>664.80025883422775</v>
      </c>
      <c r="IN68" s="1960">
        <v>674.95432052176602</v>
      </c>
      <c r="IO68" s="1960">
        <v>701.5613573138944</v>
      </c>
      <c r="IP68" s="1960">
        <v>724.67767254467844</v>
      </c>
      <c r="IQ68" s="1960">
        <v>745.35961098026723</v>
      </c>
      <c r="IR68" s="1960">
        <v>752.88176671653434</v>
      </c>
      <c r="IS68" s="2274">
        <v>796.46817333690456</v>
      </c>
      <c r="IT68" s="1960">
        <v>821.83487257346576</v>
      </c>
      <c r="IU68" s="1960">
        <v>838.26402229599807</v>
      </c>
      <c r="IV68" s="1960">
        <v>872.47050896200494</v>
      </c>
      <c r="IW68" s="1960">
        <v>1002.9513698656007</v>
      </c>
      <c r="IX68" s="1960">
        <v>1044.5298793716104</v>
      </c>
      <c r="IY68" s="1960">
        <v>1284.2328740805281</v>
      </c>
      <c r="IZ68" s="1960">
        <v>1360.0916576097893</v>
      </c>
      <c r="JA68" s="1960">
        <v>1363.660599950173</v>
      </c>
      <c r="JB68" s="1960">
        <v>1468.2768014047911</v>
      </c>
      <c r="JC68" s="1960">
        <v>1568.7938139584896</v>
      </c>
      <c r="JD68" s="1960">
        <v>1662.918074931401</v>
      </c>
      <c r="JE68" s="2274">
        <v>1737.3153076087322</v>
      </c>
      <c r="JF68" s="2117">
        <v>2012.9814051607118</v>
      </c>
      <c r="JG68" s="2103">
        <f t="shared" si="12"/>
        <v>1.1586736134452247</v>
      </c>
      <c r="JI68" s="2155"/>
      <c r="JJ68" s="2104"/>
    </row>
    <row r="69" spans="2:270" ht="31.5">
      <c r="B69" s="2105">
        <v>44</v>
      </c>
      <c r="C69" s="2106" t="s">
        <v>57</v>
      </c>
      <c r="D69" s="2425" t="s">
        <v>1188</v>
      </c>
      <c r="E69" s="2107" t="s">
        <v>58</v>
      </c>
      <c r="F69" s="2106" t="s">
        <v>918</v>
      </c>
      <c r="G69" s="2425" t="s">
        <v>1112</v>
      </c>
      <c r="H69" s="2106" t="s">
        <v>929</v>
      </c>
      <c r="I69" s="2106" t="s">
        <v>930</v>
      </c>
      <c r="J69" s="2359" t="s">
        <v>925</v>
      </c>
      <c r="K69" s="2425"/>
      <c r="L69" s="2110">
        <v>102.8</v>
      </c>
      <c r="M69" s="2110">
        <v>107.2</v>
      </c>
      <c r="N69" s="2110">
        <v>119.7</v>
      </c>
      <c r="O69" s="2110">
        <v>130</v>
      </c>
      <c r="P69" s="2110">
        <v>165.3</v>
      </c>
      <c r="Q69" s="2110">
        <v>190.7</v>
      </c>
      <c r="R69" s="2110">
        <v>202.9</v>
      </c>
      <c r="S69" s="2110">
        <v>247.6</v>
      </c>
      <c r="T69" s="2110">
        <v>245.7</v>
      </c>
      <c r="U69" s="2110">
        <v>245.7</v>
      </c>
      <c r="V69" s="2110">
        <v>245.7</v>
      </c>
      <c r="W69" s="2110">
        <v>244.7</v>
      </c>
      <c r="X69" s="2110">
        <v>239.9</v>
      </c>
      <c r="Y69" s="2110">
        <v>239.9</v>
      </c>
      <c r="Z69" s="2110">
        <v>239.4</v>
      </c>
      <c r="AA69" s="2110">
        <v>240.3</v>
      </c>
      <c r="AB69" s="2110">
        <v>235.1</v>
      </c>
      <c r="AC69" s="2110">
        <v>235.1</v>
      </c>
      <c r="AD69" s="2110">
        <v>228.9</v>
      </c>
      <c r="AE69" s="2110">
        <v>228</v>
      </c>
      <c r="AF69" s="2110">
        <v>228.9</v>
      </c>
      <c r="AG69" s="2110">
        <v>226.8</v>
      </c>
      <c r="AH69" s="2110">
        <v>215.3</v>
      </c>
      <c r="AI69" s="2110">
        <v>213.2</v>
      </c>
      <c r="AJ69" s="2110">
        <v>213.2</v>
      </c>
      <c r="AK69" s="2110">
        <v>213.2</v>
      </c>
      <c r="AL69" s="2110">
        <v>223.9</v>
      </c>
      <c r="AM69" s="2110">
        <v>236.9</v>
      </c>
      <c r="AN69" s="2110">
        <v>232.2</v>
      </c>
      <c r="AO69" s="2110">
        <v>234.5</v>
      </c>
      <c r="AP69" s="2110">
        <v>252.1</v>
      </c>
      <c r="AQ69" s="2110">
        <v>245.6</v>
      </c>
      <c r="AR69" s="2110">
        <v>250.1</v>
      </c>
      <c r="AS69" s="2110">
        <v>250.2</v>
      </c>
      <c r="AT69" s="2110">
        <v>269.2</v>
      </c>
      <c r="AU69" s="2110">
        <v>269.2</v>
      </c>
      <c r="AV69" s="2110">
        <v>271.2</v>
      </c>
      <c r="AW69" s="2111">
        <v>275.89999999999998</v>
      </c>
      <c r="AX69" s="2111">
        <v>276</v>
      </c>
      <c r="AY69" s="2111">
        <v>281.3</v>
      </c>
      <c r="AZ69" s="2111">
        <v>297.3</v>
      </c>
      <c r="BA69" s="2111">
        <v>305.7</v>
      </c>
      <c r="BB69" s="2111">
        <v>305.7</v>
      </c>
      <c r="BC69" s="2111">
        <v>307.10000000000002</v>
      </c>
      <c r="BD69" s="2112">
        <v>316.8</v>
      </c>
      <c r="BE69" s="2111">
        <v>316.8</v>
      </c>
      <c r="BF69" s="2112">
        <v>318.89999999999998</v>
      </c>
      <c r="BG69" s="2112">
        <v>318.89999999999998</v>
      </c>
      <c r="BH69" s="2112">
        <v>318.89999999999998</v>
      </c>
      <c r="BI69" s="2108">
        <v>332.5</v>
      </c>
      <c r="BJ69" s="2108">
        <v>332.5</v>
      </c>
      <c r="BK69" s="2108">
        <v>336.5</v>
      </c>
      <c r="BL69" s="2108">
        <v>336.5</v>
      </c>
      <c r="BM69" s="2108">
        <v>377.8</v>
      </c>
      <c r="BN69" s="2108">
        <v>377.8</v>
      </c>
      <c r="BO69" s="2108">
        <v>377.9</v>
      </c>
      <c r="BP69" s="2108">
        <v>377.9</v>
      </c>
      <c r="BQ69" s="2108">
        <v>385.7</v>
      </c>
      <c r="BR69" s="2108">
        <v>385.7</v>
      </c>
      <c r="BS69" s="2108">
        <v>385.7</v>
      </c>
      <c r="BT69" s="2108">
        <v>385.7</v>
      </c>
      <c r="BU69" s="2108">
        <v>385.7</v>
      </c>
      <c r="BV69" s="2108">
        <v>385.7</v>
      </c>
      <c r="BW69" s="2108">
        <v>395</v>
      </c>
      <c r="BX69" s="2108">
        <v>404.6</v>
      </c>
      <c r="BY69" s="2108">
        <v>404.6</v>
      </c>
      <c r="BZ69" s="2108">
        <v>419.7</v>
      </c>
      <c r="CA69" s="2108">
        <v>419.7</v>
      </c>
      <c r="CB69" s="2108">
        <v>424.3</v>
      </c>
      <c r="CC69" s="2108">
        <v>424.3</v>
      </c>
      <c r="CD69" s="2108">
        <v>432.9</v>
      </c>
      <c r="CE69" s="2108">
        <v>432.9</v>
      </c>
      <c r="CF69" s="2108">
        <v>439.5</v>
      </c>
      <c r="CG69" s="2108">
        <v>445.9</v>
      </c>
      <c r="CH69" s="2108">
        <v>448.4</v>
      </c>
      <c r="CI69" s="2108">
        <v>462.9</v>
      </c>
      <c r="CJ69" s="2108">
        <v>470.7</v>
      </c>
      <c r="CK69" s="2108">
        <v>472.7</v>
      </c>
      <c r="CL69" s="2108">
        <v>489.9</v>
      </c>
      <c r="CM69" s="2108">
        <v>489.7</v>
      </c>
      <c r="CN69" s="2108">
        <v>489.6</v>
      </c>
      <c r="CO69" s="2108">
        <v>489.6</v>
      </c>
      <c r="CP69" s="2108">
        <v>489.6</v>
      </c>
      <c r="CQ69" s="2108">
        <v>489.6</v>
      </c>
      <c r="CR69" s="2108">
        <v>489.6</v>
      </c>
      <c r="CS69" s="2108">
        <v>489.7</v>
      </c>
      <c r="CT69" s="2108">
        <v>480.1</v>
      </c>
      <c r="CU69" s="2108">
        <v>480.1</v>
      </c>
      <c r="CV69" s="2108">
        <v>480.1</v>
      </c>
      <c r="CW69" s="2108">
        <v>467.4</v>
      </c>
      <c r="CX69" s="2108">
        <v>467.4</v>
      </c>
      <c r="CY69" s="2108">
        <v>467.4</v>
      </c>
      <c r="CZ69" s="2108">
        <v>467.4</v>
      </c>
      <c r="DA69" s="2108">
        <v>467.4</v>
      </c>
      <c r="DB69" s="2108">
        <v>472.6</v>
      </c>
      <c r="DC69" s="2108">
        <v>472.6</v>
      </c>
      <c r="DD69" s="2108">
        <v>472.6</v>
      </c>
      <c r="DE69" s="2108">
        <v>472.6</v>
      </c>
      <c r="DF69" s="2108">
        <v>472.6</v>
      </c>
      <c r="DG69" s="2108">
        <v>472.6</v>
      </c>
      <c r="DH69" s="2108">
        <v>472.6</v>
      </c>
      <c r="DI69" s="2108">
        <v>472.6</v>
      </c>
      <c r="DJ69" s="2108">
        <v>484.9</v>
      </c>
      <c r="DK69" s="2108">
        <v>486.5</v>
      </c>
      <c r="DL69" s="2108">
        <v>486.4</v>
      </c>
      <c r="DM69" s="2108">
        <v>486.4</v>
      </c>
      <c r="DN69" s="2108">
        <v>474.9</v>
      </c>
      <c r="DO69" s="2108">
        <v>474.9</v>
      </c>
      <c r="DP69" s="2108">
        <v>476.2</v>
      </c>
      <c r="DQ69" s="2108">
        <v>479.1</v>
      </c>
      <c r="DR69" s="2108">
        <v>479.1</v>
      </c>
      <c r="DS69" s="2108">
        <v>479.1</v>
      </c>
      <c r="DT69" s="2108">
        <v>484.6</v>
      </c>
      <c r="DU69" s="2108">
        <v>499</v>
      </c>
      <c r="DV69" s="2108">
        <v>505</v>
      </c>
      <c r="DW69" s="2108">
        <v>510.4</v>
      </c>
      <c r="DX69" s="2108">
        <v>516</v>
      </c>
      <c r="DY69" s="2108">
        <v>518.1</v>
      </c>
      <c r="DZ69" s="2108">
        <v>518.1</v>
      </c>
      <c r="EA69" s="2108">
        <v>521.29999999999995</v>
      </c>
      <c r="EB69" s="2108">
        <v>521.29999999999995</v>
      </c>
      <c r="EC69" s="2108">
        <v>525.6</v>
      </c>
      <c r="ED69" s="2108">
        <v>525.6</v>
      </c>
      <c r="EE69" s="2108">
        <v>525.6</v>
      </c>
      <c r="EF69" s="2108">
        <v>517.5</v>
      </c>
      <c r="EG69" s="2108">
        <v>517.5</v>
      </c>
      <c r="EH69" s="2108">
        <v>522.29999999999995</v>
      </c>
      <c r="EI69" s="2108">
        <v>529.1</v>
      </c>
      <c r="EJ69" s="2108">
        <v>539.29999999999995</v>
      </c>
      <c r="EK69" s="2108">
        <v>546.9</v>
      </c>
      <c r="EL69" s="2108">
        <v>554</v>
      </c>
      <c r="EM69" s="2108">
        <v>571.5</v>
      </c>
      <c r="EN69" s="2108">
        <v>574.1</v>
      </c>
      <c r="EO69" s="2108">
        <v>582.1</v>
      </c>
      <c r="EP69" s="2108">
        <v>587.29999999999995</v>
      </c>
      <c r="EQ69" s="2108">
        <v>595</v>
      </c>
      <c r="ER69" s="2108">
        <v>598</v>
      </c>
      <c r="ES69" s="2108">
        <v>603.70000000000005</v>
      </c>
      <c r="ET69" s="2108">
        <v>614.9</v>
      </c>
      <c r="EU69" s="2108">
        <v>624.5</v>
      </c>
      <c r="EV69" s="2108">
        <v>645.4</v>
      </c>
      <c r="EW69" s="2108">
        <v>650.6</v>
      </c>
      <c r="EX69" s="2108">
        <v>679.7</v>
      </c>
      <c r="EY69" s="2108">
        <v>687.2</v>
      </c>
      <c r="EZ69" s="2108">
        <v>724.6</v>
      </c>
      <c r="FA69" s="2108">
        <v>746.9</v>
      </c>
      <c r="FB69" s="2108">
        <v>928.9</v>
      </c>
      <c r="FC69" s="2108">
        <v>943.9</v>
      </c>
      <c r="FD69" s="2108">
        <v>959.8</v>
      </c>
      <c r="FE69" s="2108">
        <v>964.4</v>
      </c>
      <c r="FF69" s="2108">
        <v>984.9</v>
      </c>
      <c r="FG69" s="2108">
        <v>994.7</v>
      </c>
      <c r="FH69" s="2108">
        <v>995.8</v>
      </c>
      <c r="FI69" s="2108">
        <v>1019.9</v>
      </c>
      <c r="FJ69" s="2108">
        <v>1019.9</v>
      </c>
      <c r="FK69" s="2108">
        <v>1007.8</v>
      </c>
      <c r="FL69" s="2108">
        <v>1014.1</v>
      </c>
      <c r="FM69" s="2108">
        <v>1014.1</v>
      </c>
      <c r="FN69" s="2108">
        <v>1020</v>
      </c>
      <c r="FO69" s="2108">
        <v>1028.8</v>
      </c>
      <c r="FP69" s="2108">
        <v>1028.8</v>
      </c>
      <c r="FQ69" s="2108">
        <v>1033.3</v>
      </c>
      <c r="FR69" s="2108">
        <v>1021.1</v>
      </c>
      <c r="FS69" s="2108">
        <v>1024.0999999999999</v>
      </c>
      <c r="FT69" s="2108">
        <v>1042</v>
      </c>
      <c r="FU69" s="2108">
        <v>1102.5</v>
      </c>
      <c r="FV69" s="2108">
        <v>1105.5</v>
      </c>
      <c r="FW69" s="2113">
        <v>1175.9358490448915</v>
      </c>
      <c r="FX69" s="2113">
        <v>1227.0231099123473</v>
      </c>
      <c r="FY69" s="2113">
        <v>100</v>
      </c>
      <c r="FZ69" s="2113">
        <v>100.7864236831665</v>
      </c>
      <c r="GA69" s="2113">
        <v>116.85965986291649</v>
      </c>
      <c r="GB69" s="2113">
        <v>117.00342527545993</v>
      </c>
      <c r="GC69" s="2113">
        <v>120.45230737418689</v>
      </c>
      <c r="GD69" s="2113">
        <v>120.81335092475172</v>
      </c>
      <c r="GE69" s="2113">
        <v>123.11102896380575</v>
      </c>
      <c r="GF69" s="2114">
        <v>122.73641727974378</v>
      </c>
      <c r="GG69" s="1960">
        <v>123.08382336808289</v>
      </c>
      <c r="GH69" s="2114">
        <v>123.13737885133989</v>
      </c>
      <c r="GI69" s="2114">
        <v>123.30006753220439</v>
      </c>
      <c r="GJ69" s="2113">
        <v>126.70947591849446</v>
      </c>
      <c r="GK69" s="2113">
        <v>128.47267633553216</v>
      </c>
      <c r="GL69" s="2113">
        <v>134.36027424971155</v>
      </c>
      <c r="GM69" s="2114">
        <v>134.26975421469237</v>
      </c>
      <c r="GN69" s="2114">
        <v>136.44482099936991</v>
      </c>
      <c r="GO69" s="2115">
        <v>137.0867060381151</v>
      </c>
      <c r="GP69" s="2116">
        <v>137.90632314915851</v>
      </c>
      <c r="GQ69" s="2116">
        <v>140.52758635601759</v>
      </c>
      <c r="GR69" s="2116">
        <v>144.74553745477556</v>
      </c>
      <c r="GS69" s="2116">
        <v>147.63725326572219</v>
      </c>
      <c r="GT69" s="1960">
        <v>157.27164579794706</v>
      </c>
      <c r="GU69" s="1960">
        <v>159.29741200374829</v>
      </c>
      <c r="GV69" s="1960">
        <v>160.94272030410383</v>
      </c>
      <c r="GW69" s="1960">
        <v>168.27377451801397</v>
      </c>
      <c r="GX69" s="1960">
        <v>179.88135605610398</v>
      </c>
      <c r="GY69" s="1960">
        <v>181.67101151444538</v>
      </c>
      <c r="GZ69" s="1960">
        <v>189.44953196463865</v>
      </c>
      <c r="HA69" s="1960">
        <v>206.50749410086141</v>
      </c>
      <c r="HB69" s="1960">
        <v>225.02075044937038</v>
      </c>
      <c r="HC69" s="1960">
        <v>230.51882034310063</v>
      </c>
      <c r="HD69" s="1960">
        <v>247.23490935424545</v>
      </c>
      <c r="HE69" s="1960">
        <v>283.12945387123449</v>
      </c>
      <c r="HF69" s="1960">
        <v>308.16061467100525</v>
      </c>
      <c r="HG69" s="1960">
        <v>311.25536804586972</v>
      </c>
      <c r="HH69" s="2117">
        <v>314.78926253248306</v>
      </c>
      <c r="HI69" s="1960">
        <v>312.733094957682</v>
      </c>
      <c r="HJ69" s="1960">
        <v>324.59928881577997</v>
      </c>
      <c r="HK69" s="1960">
        <v>329.57964926863104</v>
      </c>
      <c r="HL69" s="1960">
        <v>339.02442924643435</v>
      </c>
      <c r="HM69" s="1960">
        <v>342.52834837842624</v>
      </c>
      <c r="HN69" s="1960">
        <v>345.09532935991092</v>
      </c>
      <c r="HO69" s="1960">
        <v>423.55531548706858</v>
      </c>
      <c r="HP69" s="1960">
        <v>529.89936761851391</v>
      </c>
      <c r="HQ69" s="1960">
        <v>531.74825180588437</v>
      </c>
      <c r="HR69" s="1960">
        <v>548.54160123847885</v>
      </c>
      <c r="HS69" s="1960">
        <v>565.05979913197609</v>
      </c>
      <c r="HT69" s="1962">
        <v>605.21287726813568</v>
      </c>
      <c r="HU69" s="1961">
        <v>615.9317647151662</v>
      </c>
      <c r="HV69" s="1960">
        <v>606.78241260247262</v>
      </c>
      <c r="HW69" s="1960">
        <v>606.78241260247262</v>
      </c>
      <c r="HX69" s="1960">
        <v>606.7595703192095</v>
      </c>
      <c r="HY69" s="1960">
        <v>626.76661519042284</v>
      </c>
      <c r="HZ69" s="1960">
        <v>647.65673141305001</v>
      </c>
      <c r="IA69" s="1960">
        <v>655.75381250650298</v>
      </c>
      <c r="IB69" s="1960">
        <v>685.12937957918462</v>
      </c>
      <c r="IC69" s="1960">
        <v>756.61277605060275</v>
      </c>
      <c r="ID69" s="1960">
        <v>840.10674820918587</v>
      </c>
      <c r="IE69" s="1960">
        <v>874.87686666210732</v>
      </c>
      <c r="IF69" s="1960">
        <v>895.27344707464079</v>
      </c>
      <c r="IG69" s="1961">
        <v>944.21634484427466</v>
      </c>
      <c r="IH69" s="1960">
        <v>1012.5768907692262</v>
      </c>
      <c r="II69" s="1960">
        <v>1057.6675138605249</v>
      </c>
      <c r="IJ69" s="1961">
        <v>1072.0645977619251</v>
      </c>
      <c r="IK69" s="1960">
        <v>1088.2045701127299</v>
      </c>
      <c r="IL69" s="1960">
        <v>1123.6816299674733</v>
      </c>
      <c r="IM69" s="1960">
        <v>1162.2646589450349</v>
      </c>
      <c r="IN69" s="1960">
        <v>1194.7166437332721</v>
      </c>
      <c r="IO69" s="1960">
        <v>1234.0837518609271</v>
      </c>
      <c r="IP69" s="1960">
        <v>1268.4788354580551</v>
      </c>
      <c r="IQ69" s="1960">
        <v>1285.9673531625153</v>
      </c>
      <c r="IR69" s="1960">
        <v>1298.6157835245481</v>
      </c>
      <c r="IS69" s="2274">
        <v>1367.1179505612788</v>
      </c>
      <c r="IT69" s="1960">
        <v>1392.8721756822022</v>
      </c>
      <c r="IU69" s="1960">
        <v>1418.6378731589768</v>
      </c>
      <c r="IV69" s="1960">
        <v>1474.8689149418954</v>
      </c>
      <c r="IW69" s="1960">
        <v>1540.774297923728</v>
      </c>
      <c r="IX69" s="1960">
        <v>1717.6540457173553</v>
      </c>
      <c r="IY69" s="1960">
        <v>1957.23786312376</v>
      </c>
      <c r="IZ69" s="1960">
        <v>2100.6605095886625</v>
      </c>
      <c r="JA69" s="1960">
        <v>2137.0519432340438</v>
      </c>
      <c r="JB69" s="1960">
        <v>2223.3034303658364</v>
      </c>
      <c r="JC69" s="1960">
        <v>2337.1887679347187</v>
      </c>
      <c r="JD69" s="1960">
        <v>2398.6250500611923</v>
      </c>
      <c r="JE69" s="2274">
        <v>2479.6693108060304</v>
      </c>
      <c r="JF69" s="2117">
        <v>2736.0992343835874</v>
      </c>
      <c r="JG69" s="2103">
        <f t="shared" si="12"/>
        <v>1.1034129520658555</v>
      </c>
      <c r="JI69" s="2155"/>
      <c r="JJ69" s="2104"/>
    </row>
    <row r="70" spans="2:270" ht="31.5" hidden="1">
      <c r="B70" s="2105">
        <v>45</v>
      </c>
      <c r="C70" s="2106" t="s">
        <v>59</v>
      </c>
      <c r="D70" s="2425" t="s">
        <v>481</v>
      </c>
      <c r="E70" s="2107" t="s">
        <v>60</v>
      </c>
      <c r="F70" s="2106" t="s">
        <v>918</v>
      </c>
      <c r="G70" s="2425"/>
      <c r="H70" s="2106" t="s">
        <v>929</v>
      </c>
      <c r="I70" s="2106" t="s">
        <v>930</v>
      </c>
      <c r="J70" s="2359" t="s">
        <v>61</v>
      </c>
      <c r="K70" s="2425"/>
      <c r="L70" s="2110">
        <v>97.3</v>
      </c>
      <c r="M70" s="2110">
        <v>106.3</v>
      </c>
      <c r="N70" s="2110">
        <v>118.1</v>
      </c>
      <c r="O70" s="2110">
        <v>123.9</v>
      </c>
      <c r="P70" s="2110">
        <v>158.19999999999999</v>
      </c>
      <c r="Q70" s="2110">
        <v>163.6</v>
      </c>
      <c r="R70" s="2110">
        <v>170.2</v>
      </c>
      <c r="S70" s="2110">
        <v>168.7</v>
      </c>
      <c r="T70" s="2110">
        <v>169.4</v>
      </c>
      <c r="U70" s="2110">
        <v>168.1</v>
      </c>
      <c r="V70" s="2110">
        <v>168.1</v>
      </c>
      <c r="W70" s="2110">
        <v>168.1</v>
      </c>
      <c r="X70" s="2110">
        <v>168.1</v>
      </c>
      <c r="Y70" s="2110">
        <v>168.1</v>
      </c>
      <c r="Z70" s="2110">
        <v>168.1</v>
      </c>
      <c r="AA70" s="2110">
        <v>169.3</v>
      </c>
      <c r="AB70" s="2110">
        <v>175.5</v>
      </c>
      <c r="AC70" s="2110">
        <v>173.7</v>
      </c>
      <c r="AD70" s="2110">
        <v>173.7</v>
      </c>
      <c r="AE70" s="2110">
        <v>174</v>
      </c>
      <c r="AF70" s="2110">
        <v>176.7</v>
      </c>
      <c r="AG70" s="2110">
        <v>176.7</v>
      </c>
      <c r="AH70" s="2110">
        <v>178.7</v>
      </c>
      <c r="AI70" s="2110">
        <v>178.7</v>
      </c>
      <c r="AJ70" s="2110">
        <v>179.3</v>
      </c>
      <c r="AK70" s="2110">
        <v>185.8</v>
      </c>
      <c r="AL70" s="2110">
        <v>194.3</v>
      </c>
      <c r="AM70" s="2110">
        <v>226.5</v>
      </c>
      <c r="AN70" s="2110">
        <v>245.1</v>
      </c>
      <c r="AO70" s="2110">
        <v>245.1</v>
      </c>
      <c r="AP70" s="2110">
        <v>245.1</v>
      </c>
      <c r="AQ70" s="2110">
        <v>245.1</v>
      </c>
      <c r="AR70" s="2110">
        <v>248.4</v>
      </c>
      <c r="AS70" s="2110">
        <v>258.60000000000002</v>
      </c>
      <c r="AT70" s="2110">
        <v>258.60000000000002</v>
      </c>
      <c r="AU70" s="2110">
        <v>258.60000000000002</v>
      </c>
      <c r="AV70" s="2110">
        <v>260.5</v>
      </c>
      <c r="AW70" s="2111">
        <v>267.8</v>
      </c>
      <c r="AX70" s="2111">
        <v>273.5</v>
      </c>
      <c r="AY70" s="2111">
        <v>282.7</v>
      </c>
      <c r="AZ70" s="2111">
        <v>288.8</v>
      </c>
      <c r="BA70" s="2111">
        <v>288.8</v>
      </c>
      <c r="BB70" s="2111">
        <v>288.8</v>
      </c>
      <c r="BC70" s="2111">
        <v>293.5</v>
      </c>
      <c r="BD70" s="2112">
        <v>306.3</v>
      </c>
      <c r="BE70" s="2111">
        <v>306.3</v>
      </c>
      <c r="BF70" s="2112">
        <v>312.89999999999998</v>
      </c>
      <c r="BG70" s="2112">
        <v>316.7</v>
      </c>
      <c r="BH70" s="2112">
        <v>316.7</v>
      </c>
      <c r="BI70" s="2108">
        <v>319</v>
      </c>
      <c r="BJ70" s="2108">
        <v>334</v>
      </c>
      <c r="BK70" s="2108">
        <v>336.4</v>
      </c>
      <c r="BL70" s="2108">
        <v>350.9</v>
      </c>
      <c r="BM70" s="2108">
        <v>373.2</v>
      </c>
      <c r="BN70" s="2108">
        <v>383.1</v>
      </c>
      <c r="BO70" s="2108">
        <v>383.4</v>
      </c>
      <c r="BP70" s="2108">
        <v>383.4</v>
      </c>
      <c r="BQ70" s="2108">
        <v>390.6</v>
      </c>
      <c r="BR70" s="2108">
        <v>390.6</v>
      </c>
      <c r="BS70" s="2108">
        <v>403.5</v>
      </c>
      <c r="BT70" s="2108">
        <v>403.5</v>
      </c>
      <c r="BU70" s="2108">
        <v>403.5</v>
      </c>
      <c r="BV70" s="2108">
        <v>415.3</v>
      </c>
      <c r="BW70" s="2108">
        <v>440.4</v>
      </c>
      <c r="BX70" s="2108">
        <v>467.2</v>
      </c>
      <c r="BY70" s="2108">
        <v>484.5</v>
      </c>
      <c r="BZ70" s="2108">
        <v>516.70000000000005</v>
      </c>
      <c r="CA70" s="2108">
        <v>631.5</v>
      </c>
      <c r="CB70" s="2108">
        <v>749.2</v>
      </c>
      <c r="CC70" s="2108">
        <v>749.2</v>
      </c>
      <c r="CD70" s="2108">
        <v>754.7</v>
      </c>
      <c r="CE70" s="2108">
        <v>754.7</v>
      </c>
      <c r="CF70" s="2108">
        <v>750</v>
      </c>
      <c r="CG70" s="2108">
        <v>756.9</v>
      </c>
      <c r="CH70" s="2108">
        <v>756.9</v>
      </c>
      <c r="CI70" s="2108">
        <v>767.7</v>
      </c>
      <c r="CJ70" s="2108">
        <v>782.3</v>
      </c>
      <c r="CK70" s="2108">
        <v>777.1</v>
      </c>
      <c r="CL70" s="2108">
        <v>787.2</v>
      </c>
      <c r="CM70" s="2108">
        <v>795.1</v>
      </c>
      <c r="CN70" s="2108">
        <v>805.6</v>
      </c>
      <c r="CO70" s="2108">
        <v>805.6</v>
      </c>
      <c r="CP70" s="2108">
        <v>805.6</v>
      </c>
      <c r="CQ70" s="2108">
        <v>805.6</v>
      </c>
      <c r="CR70" s="2108">
        <v>798.5</v>
      </c>
      <c r="CS70" s="2108">
        <v>799.7</v>
      </c>
      <c r="CT70" s="2108">
        <v>797.6</v>
      </c>
      <c r="CU70" s="2108">
        <v>793</v>
      </c>
      <c r="CV70" s="2108">
        <v>789.3</v>
      </c>
      <c r="CW70" s="2108">
        <v>755.8</v>
      </c>
      <c r="CX70" s="2108">
        <v>764.9</v>
      </c>
      <c r="CY70" s="2108">
        <v>780.7</v>
      </c>
      <c r="CZ70" s="2108">
        <v>780.7</v>
      </c>
      <c r="DA70" s="2108">
        <v>780.7</v>
      </c>
      <c r="DB70" s="2108">
        <v>790.6</v>
      </c>
      <c r="DC70" s="2108">
        <v>790.6</v>
      </c>
      <c r="DD70" s="2108">
        <v>801.6</v>
      </c>
      <c r="DE70" s="2108">
        <v>811.6</v>
      </c>
      <c r="DF70" s="2108">
        <v>845.4</v>
      </c>
      <c r="DG70" s="2108">
        <v>845.4</v>
      </c>
      <c r="DH70" s="2108">
        <v>866</v>
      </c>
      <c r="DI70" s="2108">
        <v>881.7</v>
      </c>
      <c r="DJ70" s="2108">
        <v>881.8</v>
      </c>
      <c r="DK70" s="2108">
        <v>881.8</v>
      </c>
      <c r="DL70" s="2108">
        <v>907.4</v>
      </c>
      <c r="DM70" s="2108">
        <v>914.3</v>
      </c>
      <c r="DN70" s="2108">
        <v>925.2</v>
      </c>
      <c r="DO70" s="2108">
        <v>926.4</v>
      </c>
      <c r="DP70" s="2108">
        <v>936.5</v>
      </c>
      <c r="DQ70" s="2108">
        <v>958.7</v>
      </c>
      <c r="DR70" s="2108">
        <v>980.8</v>
      </c>
      <c r="DS70" s="2108">
        <v>1018.3</v>
      </c>
      <c r="DT70" s="2108">
        <v>1050.7</v>
      </c>
      <c r="DU70" s="2108">
        <v>1066</v>
      </c>
      <c r="DV70" s="2108">
        <v>1080.9000000000001</v>
      </c>
      <c r="DW70" s="2108">
        <v>1087.5999999999999</v>
      </c>
      <c r="DX70" s="2108">
        <v>1127.0999999999999</v>
      </c>
      <c r="DY70" s="2108">
        <v>1133.9000000000001</v>
      </c>
      <c r="DZ70" s="2108">
        <v>1157</v>
      </c>
      <c r="EA70" s="2108">
        <v>1157</v>
      </c>
      <c r="EB70" s="2108">
        <v>1157</v>
      </c>
      <c r="EC70" s="2108">
        <v>1152.9000000000001</v>
      </c>
      <c r="ED70" s="2108">
        <v>1152.9000000000001</v>
      </c>
      <c r="EE70" s="2108">
        <v>1159.0999999999999</v>
      </c>
      <c r="EF70" s="2108">
        <v>1159.0999999999999</v>
      </c>
      <c r="EG70" s="2108">
        <v>1159.0999999999999</v>
      </c>
      <c r="EH70" s="2108">
        <v>1168.2</v>
      </c>
      <c r="EI70" s="2108">
        <v>1200.5999999999999</v>
      </c>
      <c r="EJ70" s="2108">
        <v>1254.8</v>
      </c>
      <c r="EK70" s="2108">
        <v>1282.9000000000001</v>
      </c>
      <c r="EL70" s="2108">
        <v>1282.9000000000001</v>
      </c>
      <c r="EM70" s="2108">
        <v>1299.0999999999999</v>
      </c>
      <c r="EN70" s="2108">
        <v>1301.3</v>
      </c>
      <c r="EO70" s="2108">
        <v>1345.5</v>
      </c>
      <c r="EP70" s="2108">
        <v>1363.9</v>
      </c>
      <c r="EQ70" s="2108">
        <v>1421.6</v>
      </c>
      <c r="ER70" s="2108">
        <v>1425.5</v>
      </c>
      <c r="ES70" s="2108">
        <v>1456.5</v>
      </c>
      <c r="ET70" s="2108">
        <v>1502.3</v>
      </c>
      <c r="EU70" s="2108">
        <v>1504.9</v>
      </c>
      <c r="EV70" s="2108">
        <v>1526.9</v>
      </c>
      <c r="EW70" s="2108">
        <v>1526.9</v>
      </c>
      <c r="EX70" s="2108">
        <v>1590</v>
      </c>
      <c r="EY70" s="2108">
        <v>1602.3</v>
      </c>
      <c r="EZ70" s="2108">
        <v>1602.3</v>
      </c>
      <c r="FA70" s="2108">
        <v>1643.5</v>
      </c>
      <c r="FB70" s="2108">
        <v>1924.4</v>
      </c>
      <c r="FC70" s="2108">
        <v>2036.2</v>
      </c>
      <c r="FD70" s="2108">
        <v>2278.8000000000002</v>
      </c>
      <c r="FE70" s="2108">
        <v>2306.1</v>
      </c>
      <c r="FF70" s="2108">
        <v>2383.6999999999998</v>
      </c>
      <c r="FG70" s="2108">
        <v>2403.6999999999998</v>
      </c>
      <c r="FH70" s="2108">
        <v>2407.1</v>
      </c>
      <c r="FI70" s="2108">
        <v>2455.9</v>
      </c>
      <c r="FJ70" s="2108">
        <v>2508.8000000000002</v>
      </c>
      <c r="FK70" s="2108">
        <v>2513.8000000000002</v>
      </c>
      <c r="FL70" s="2108">
        <v>2513.8000000000002</v>
      </c>
      <c r="FM70" s="2108">
        <v>2513.6</v>
      </c>
      <c r="FN70" s="2108">
        <v>2573.3000000000002</v>
      </c>
      <c r="FO70" s="2108">
        <v>2727.2</v>
      </c>
      <c r="FP70" s="2108">
        <v>2825.4</v>
      </c>
      <c r="FQ70" s="2108">
        <v>2825.4</v>
      </c>
      <c r="FR70" s="2108">
        <v>2826.9</v>
      </c>
      <c r="FS70" s="2108">
        <v>2827.6</v>
      </c>
      <c r="FT70" s="2108">
        <v>2850.8</v>
      </c>
      <c r="FU70" s="2108">
        <v>2861.9</v>
      </c>
      <c r="FV70" s="2108">
        <v>2989.4</v>
      </c>
      <c r="FW70" s="2113" t="s">
        <v>521</v>
      </c>
      <c r="FX70" s="2113" t="s">
        <v>521</v>
      </c>
      <c r="FY70" s="2113">
        <v>100</v>
      </c>
      <c r="FZ70" s="2113" t="e">
        <v>#VALUE!</v>
      </c>
      <c r="GA70" s="2113" t="e">
        <v>#VALUE!</v>
      </c>
      <c r="GB70" s="2113" t="e">
        <v>#VALUE!</v>
      </c>
      <c r="GC70" s="2113" t="e">
        <v>#VALUE!</v>
      </c>
      <c r="GD70" s="2113" t="e">
        <v>#VALUE!</v>
      </c>
      <c r="GE70" s="2113" t="e">
        <v>#VALUE!</v>
      </c>
      <c r="GF70" s="2114" t="e">
        <v>#VALUE!</v>
      </c>
      <c r="GG70" s="1960" t="e">
        <v>#VALUE!</v>
      </c>
      <c r="GH70" s="2114" t="e">
        <v>#VALUE!</v>
      </c>
      <c r="GI70" s="2114" t="e">
        <v>#VALUE!</v>
      </c>
      <c r="GJ70" s="2113" t="e">
        <v>#VALUE!</v>
      </c>
      <c r="GK70" s="2113" t="e">
        <v>#VALUE!</v>
      </c>
      <c r="GL70" s="2113" t="e">
        <v>#VALUE!</v>
      </c>
      <c r="GM70" s="2114" t="e">
        <v>#VALUE!</v>
      </c>
      <c r="GN70" s="2114" t="e">
        <v>#VALUE!</v>
      </c>
      <c r="GO70" s="2115" t="e">
        <v>#VALUE!</v>
      </c>
      <c r="GP70" s="2116" t="e">
        <v>#VALUE!</v>
      </c>
      <c r="GQ70" s="2116" t="e">
        <v>#VALUE!</v>
      </c>
      <c r="GR70" s="2116" t="e">
        <v>#VALUE!</v>
      </c>
      <c r="GS70" s="2116" t="e">
        <v>#VALUE!</v>
      </c>
      <c r="GT70" s="1960" t="e">
        <v>#VALUE!</v>
      </c>
      <c r="GU70" s="1960" t="e">
        <v>#VALUE!</v>
      </c>
      <c r="GV70" s="1960" t="e">
        <v>#VALUE!</v>
      </c>
      <c r="GW70" s="1960" t="e">
        <v>#VALUE!</v>
      </c>
      <c r="GX70" s="1960" t="e">
        <v>#VALUE!</v>
      </c>
      <c r="GY70" s="1960" t="e">
        <v>#VALUE!</v>
      </c>
      <c r="GZ70" s="1960" t="e">
        <v>#VALUE!</v>
      </c>
      <c r="HA70" s="1960" t="e">
        <v>#VALUE!</v>
      </c>
      <c r="HB70" s="1960" t="e">
        <v>#VALUE!</v>
      </c>
      <c r="HC70" s="1960" t="e">
        <v>#VALUE!</v>
      </c>
      <c r="HD70" s="1960" t="e">
        <v>#VALUE!</v>
      </c>
      <c r="HE70" s="1960" t="e">
        <v>#VALUE!</v>
      </c>
      <c r="HF70" s="1960" t="e">
        <v>#VALUE!</v>
      </c>
      <c r="HG70" s="1960" t="e">
        <v>#VALUE!</v>
      </c>
      <c r="HH70" s="2117" t="e">
        <v>#VALUE!</v>
      </c>
      <c r="HI70" s="1960" t="e">
        <v>#VALUE!</v>
      </c>
      <c r="HJ70" s="1960" t="e">
        <v>#VALUE!</v>
      </c>
      <c r="HK70" s="1960" t="e">
        <v>#VALUE!</v>
      </c>
      <c r="HL70" s="1960" t="e">
        <v>#VALUE!</v>
      </c>
      <c r="HM70" s="1960" t="e">
        <v>#VALUE!</v>
      </c>
      <c r="HN70" s="1960" t="e">
        <v>#VALUE!</v>
      </c>
      <c r="HO70" s="1960" t="e">
        <v>#VALUE!</v>
      </c>
      <c r="HP70" s="1960" t="e">
        <v>#VALUE!</v>
      </c>
      <c r="HQ70" s="1960" t="e">
        <v>#VALUE!</v>
      </c>
      <c r="HR70" s="1960" t="e">
        <v>#VALUE!</v>
      </c>
      <c r="HS70" s="1960" t="e">
        <v>#VALUE!</v>
      </c>
      <c r="HT70" s="1962" t="e">
        <v>#VALUE!</v>
      </c>
      <c r="HU70" s="1961" t="e">
        <v>#VALUE!</v>
      </c>
      <c r="HV70" s="1960" t="e">
        <v>#VALUE!</v>
      </c>
      <c r="HW70" s="1960" t="e">
        <v>#VALUE!</v>
      </c>
      <c r="HX70" s="1960" t="e">
        <v>#VALUE!</v>
      </c>
      <c r="HY70" s="1960" t="e">
        <v>#VALUE!</v>
      </c>
      <c r="HZ70" s="1960" t="e">
        <v>#VALUE!</v>
      </c>
      <c r="IA70" s="1960" t="e">
        <v>#VALUE!</v>
      </c>
      <c r="IB70" s="1960" t="e">
        <v>#VALUE!</v>
      </c>
      <c r="IC70" s="1960" t="e">
        <v>#VALUE!</v>
      </c>
      <c r="ID70" s="1960" t="e">
        <v>#VALUE!</v>
      </c>
      <c r="IE70" s="1960" t="e">
        <v>#VALUE!</v>
      </c>
      <c r="IF70" s="1960" t="e">
        <v>#VALUE!</v>
      </c>
      <c r="IG70" s="1961" t="e">
        <v>#VALUE!</v>
      </c>
      <c r="IH70" s="1960" t="e">
        <v>#VALUE!</v>
      </c>
      <c r="II70" s="1960" t="e">
        <v>#VALUE!</v>
      </c>
      <c r="IJ70" s="1961" t="e">
        <v>#VALUE!</v>
      </c>
      <c r="IK70" s="1960" t="e">
        <v>#VALUE!</v>
      </c>
      <c r="IL70" s="1960" t="e">
        <v>#VALUE!</v>
      </c>
      <c r="IM70" s="1960" t="e">
        <v>#VALUE!</v>
      </c>
      <c r="IN70" s="1960" t="e">
        <v>#VALUE!</v>
      </c>
      <c r="IO70" s="1960" t="e">
        <v>#VALUE!</v>
      </c>
      <c r="IP70" s="1960" t="e">
        <v>#VALUE!</v>
      </c>
      <c r="IQ70" s="1960" t="e">
        <v>#VALUE!</v>
      </c>
      <c r="IR70" s="1960" t="e">
        <v>#VALUE!</v>
      </c>
      <c r="IS70" s="2274" t="e">
        <v>#VALUE!</v>
      </c>
      <c r="IT70" s="1960" t="e">
        <v>#VALUE!</v>
      </c>
      <c r="IU70" s="1960" t="e">
        <v>#VALUE!</v>
      </c>
      <c r="IV70" s="1960" t="e">
        <v>#VALUE!</v>
      </c>
      <c r="IW70" s="1960" t="e">
        <v>#VALUE!</v>
      </c>
      <c r="IX70" s="1960" t="e">
        <v>#VALUE!</v>
      </c>
      <c r="IY70" s="1960" t="e">
        <v>#VALUE!</v>
      </c>
      <c r="IZ70" s="1960" t="e">
        <v>#VALUE!</v>
      </c>
      <c r="JA70" s="1960" t="e">
        <v>#VALUE!</v>
      </c>
      <c r="JB70" s="1960" t="e">
        <v>#VALUE!</v>
      </c>
      <c r="JC70" s="1960" t="e">
        <v>#VALUE!</v>
      </c>
      <c r="JD70" s="1960" t="e">
        <v>#VALUE!</v>
      </c>
      <c r="JE70" s="2274">
        <v>0</v>
      </c>
      <c r="JF70" s="2117">
        <v>0</v>
      </c>
      <c r="JG70" s="2103" t="e">
        <f t="shared" ref="JG70:JG133" si="13">+JF70/JE70</f>
        <v>#DIV/0!</v>
      </c>
      <c r="JI70" s="2155"/>
      <c r="JJ70" s="2104"/>
    </row>
    <row r="71" spans="2:270" ht="47.25">
      <c r="B71" s="2105">
        <v>46</v>
      </c>
      <c r="C71" s="2106" t="s">
        <v>62</v>
      </c>
      <c r="D71" s="2425" t="s">
        <v>1189</v>
      </c>
      <c r="E71" s="2107" t="s">
        <v>63</v>
      </c>
      <c r="F71" s="2106" t="s">
        <v>918</v>
      </c>
      <c r="G71" s="2425" t="s">
        <v>1112</v>
      </c>
      <c r="H71" s="2106" t="s">
        <v>929</v>
      </c>
      <c r="I71" s="2106" t="s">
        <v>930</v>
      </c>
      <c r="J71" s="2359" t="s">
        <v>425</v>
      </c>
      <c r="K71" s="2425"/>
      <c r="L71" s="2110">
        <v>125.3</v>
      </c>
      <c r="M71" s="2110">
        <v>143.9</v>
      </c>
      <c r="N71" s="2110">
        <v>159.69999999999999</v>
      </c>
      <c r="O71" s="2110">
        <v>163.4</v>
      </c>
      <c r="P71" s="2110">
        <v>198.2</v>
      </c>
      <c r="Q71" s="2110">
        <v>218.9</v>
      </c>
      <c r="R71" s="2110">
        <v>245.4</v>
      </c>
      <c r="S71" s="2110">
        <v>253.5</v>
      </c>
      <c r="T71" s="2110">
        <v>258.2</v>
      </c>
      <c r="U71" s="2110">
        <v>260.8</v>
      </c>
      <c r="V71" s="2110">
        <v>263.5</v>
      </c>
      <c r="W71" s="2110">
        <v>264</v>
      </c>
      <c r="X71" s="2110">
        <v>264</v>
      </c>
      <c r="Y71" s="2110">
        <v>272</v>
      </c>
      <c r="Z71" s="2110">
        <v>274.3</v>
      </c>
      <c r="AA71" s="2110">
        <v>285.3</v>
      </c>
      <c r="AB71" s="2110">
        <v>290.8</v>
      </c>
      <c r="AC71" s="2110">
        <v>298.2</v>
      </c>
      <c r="AD71" s="2110">
        <v>297.10000000000002</v>
      </c>
      <c r="AE71" s="2110">
        <v>297.10000000000002</v>
      </c>
      <c r="AF71" s="2110">
        <v>295.89999999999998</v>
      </c>
      <c r="AG71" s="2110">
        <v>295.89999999999998</v>
      </c>
      <c r="AH71" s="2110">
        <v>294.89999999999998</v>
      </c>
      <c r="AI71" s="2110">
        <v>294.89999999999998</v>
      </c>
      <c r="AJ71" s="2110">
        <v>299.5</v>
      </c>
      <c r="AK71" s="2110">
        <v>295.10000000000002</v>
      </c>
      <c r="AL71" s="2110">
        <v>300.2</v>
      </c>
      <c r="AM71" s="2110">
        <v>300.3</v>
      </c>
      <c r="AN71" s="2110">
        <v>304.7</v>
      </c>
      <c r="AO71" s="2110">
        <v>304.7</v>
      </c>
      <c r="AP71" s="2110">
        <v>304.7</v>
      </c>
      <c r="AQ71" s="2110">
        <v>304.7</v>
      </c>
      <c r="AR71" s="2110">
        <v>302.10000000000002</v>
      </c>
      <c r="AS71" s="2110">
        <v>304</v>
      </c>
      <c r="AT71" s="2110">
        <v>303.89999999999998</v>
      </c>
      <c r="AU71" s="2110">
        <v>307.39999999999998</v>
      </c>
      <c r="AV71" s="2110">
        <v>307.39999999999998</v>
      </c>
      <c r="AW71" s="2111">
        <v>319.89999999999998</v>
      </c>
      <c r="AX71" s="2111">
        <v>324.2</v>
      </c>
      <c r="AY71" s="2111">
        <v>326.60000000000002</v>
      </c>
      <c r="AZ71" s="2111">
        <v>326</v>
      </c>
      <c r="BA71" s="2111">
        <v>328.6</v>
      </c>
      <c r="BB71" s="2111">
        <v>326.60000000000002</v>
      </c>
      <c r="BC71" s="2111">
        <v>326.60000000000002</v>
      </c>
      <c r="BD71" s="2112">
        <v>326.60000000000002</v>
      </c>
      <c r="BE71" s="2111">
        <v>326.7</v>
      </c>
      <c r="BF71" s="2112">
        <v>329.4</v>
      </c>
      <c r="BG71" s="2112">
        <v>342.2</v>
      </c>
      <c r="BH71" s="2112">
        <v>342.2</v>
      </c>
      <c r="BI71" s="2108">
        <v>351.6</v>
      </c>
      <c r="BJ71" s="2108">
        <v>351.6</v>
      </c>
      <c r="BK71" s="2108">
        <v>355.8</v>
      </c>
      <c r="BL71" s="2108">
        <v>355</v>
      </c>
      <c r="BM71" s="2108">
        <v>368.5</v>
      </c>
      <c r="BN71" s="2108">
        <v>368.5</v>
      </c>
      <c r="BO71" s="2108">
        <v>372.5</v>
      </c>
      <c r="BP71" s="2108">
        <v>372.9</v>
      </c>
      <c r="BQ71" s="2108">
        <v>372.5</v>
      </c>
      <c r="BR71" s="2108">
        <v>372.5</v>
      </c>
      <c r="BS71" s="2108">
        <v>372.5</v>
      </c>
      <c r="BT71" s="2108">
        <v>372.5</v>
      </c>
      <c r="BU71" s="2108">
        <v>372.5</v>
      </c>
      <c r="BV71" s="2108">
        <v>381.7</v>
      </c>
      <c r="BW71" s="2108">
        <v>384.3</v>
      </c>
      <c r="BX71" s="2108">
        <v>387</v>
      </c>
      <c r="BY71" s="2108">
        <v>391.5</v>
      </c>
      <c r="BZ71" s="2108">
        <v>394.5</v>
      </c>
      <c r="CA71" s="2108">
        <v>403.9</v>
      </c>
      <c r="CB71" s="2108">
        <v>415.1</v>
      </c>
      <c r="CC71" s="2108">
        <v>417.9</v>
      </c>
      <c r="CD71" s="2108">
        <v>429.9</v>
      </c>
      <c r="CE71" s="2108">
        <v>431.5</v>
      </c>
      <c r="CF71" s="2108">
        <v>439.2</v>
      </c>
      <c r="CG71" s="2108">
        <v>446.6</v>
      </c>
      <c r="CH71" s="2108">
        <v>457.6</v>
      </c>
      <c r="CI71" s="2108">
        <v>463.5</v>
      </c>
      <c r="CJ71" s="2108">
        <v>470.1</v>
      </c>
      <c r="CK71" s="2108">
        <v>474.1</v>
      </c>
      <c r="CL71" s="2108">
        <v>484.2</v>
      </c>
      <c r="CM71" s="2108">
        <v>520.4</v>
      </c>
      <c r="CN71" s="2108">
        <v>517.20000000000005</v>
      </c>
      <c r="CO71" s="2108">
        <v>517.20000000000005</v>
      </c>
      <c r="CP71" s="2108">
        <v>517.20000000000005</v>
      </c>
      <c r="CQ71" s="2108">
        <v>517</v>
      </c>
      <c r="CR71" s="2108">
        <v>517</v>
      </c>
      <c r="CS71" s="2108">
        <v>517</v>
      </c>
      <c r="CT71" s="2108">
        <v>517</v>
      </c>
      <c r="CU71" s="2108">
        <v>517</v>
      </c>
      <c r="CV71" s="2108">
        <v>517</v>
      </c>
      <c r="CW71" s="2108">
        <v>517</v>
      </c>
      <c r="CX71" s="2108">
        <v>517</v>
      </c>
      <c r="CY71" s="2108">
        <v>517</v>
      </c>
      <c r="CZ71" s="2108">
        <v>517</v>
      </c>
      <c r="DA71" s="2108">
        <v>521.29999999999995</v>
      </c>
      <c r="DB71" s="2108">
        <v>534.70000000000005</v>
      </c>
      <c r="DC71" s="2108">
        <v>534.70000000000005</v>
      </c>
      <c r="DD71" s="2108">
        <v>534.70000000000005</v>
      </c>
      <c r="DE71" s="2108">
        <v>538.70000000000005</v>
      </c>
      <c r="DF71" s="2108">
        <v>560</v>
      </c>
      <c r="DG71" s="2108">
        <v>563.29999999999995</v>
      </c>
      <c r="DH71" s="2108">
        <v>563.29999999999995</v>
      </c>
      <c r="DI71" s="2108">
        <v>569.9</v>
      </c>
      <c r="DJ71" s="2108">
        <v>569.9</v>
      </c>
      <c r="DK71" s="2108">
        <v>569.9</v>
      </c>
      <c r="DL71" s="2108">
        <v>574.20000000000005</v>
      </c>
      <c r="DM71" s="2108">
        <v>574.20000000000005</v>
      </c>
      <c r="DN71" s="2108">
        <v>574.20000000000005</v>
      </c>
      <c r="DO71" s="2108">
        <v>581.9</v>
      </c>
      <c r="DP71" s="2108">
        <v>581.9</v>
      </c>
      <c r="DQ71" s="2108">
        <v>592.6</v>
      </c>
      <c r="DR71" s="2108">
        <v>601.6</v>
      </c>
      <c r="DS71" s="2108">
        <v>601.6</v>
      </c>
      <c r="DT71" s="2108">
        <v>601.6</v>
      </c>
      <c r="DU71" s="2108">
        <v>635.1</v>
      </c>
      <c r="DV71" s="2108">
        <v>646.6</v>
      </c>
      <c r="DW71" s="2108">
        <v>651.79999999999995</v>
      </c>
      <c r="DX71" s="2108">
        <v>669.1</v>
      </c>
      <c r="DY71" s="2108">
        <v>682.6</v>
      </c>
      <c r="DZ71" s="2108">
        <v>682.6</v>
      </c>
      <c r="EA71" s="2108">
        <v>693.9</v>
      </c>
      <c r="EB71" s="2108">
        <v>680.7</v>
      </c>
      <c r="EC71" s="2108">
        <v>693.2</v>
      </c>
      <c r="ED71" s="2108">
        <v>715.3</v>
      </c>
      <c r="EE71" s="2108">
        <v>732.5</v>
      </c>
      <c r="EF71" s="2108">
        <v>756.6</v>
      </c>
      <c r="EG71" s="2108">
        <v>756.6</v>
      </c>
      <c r="EH71" s="2108">
        <v>770</v>
      </c>
      <c r="EI71" s="2108">
        <v>793.2</v>
      </c>
      <c r="EJ71" s="2108">
        <v>818.2</v>
      </c>
      <c r="EK71" s="2108">
        <v>818.2</v>
      </c>
      <c r="EL71" s="2108">
        <v>829.2</v>
      </c>
      <c r="EM71" s="2108">
        <v>829.2</v>
      </c>
      <c r="EN71" s="2108">
        <v>832.7</v>
      </c>
      <c r="EO71" s="2108">
        <v>835.1</v>
      </c>
      <c r="EP71" s="2108">
        <v>840</v>
      </c>
      <c r="EQ71" s="2108">
        <v>863.3</v>
      </c>
      <c r="ER71" s="2108">
        <v>875</v>
      </c>
      <c r="ES71" s="2108">
        <v>891.8</v>
      </c>
      <c r="ET71" s="2108">
        <v>898.2</v>
      </c>
      <c r="EU71" s="2108">
        <v>921.3</v>
      </c>
      <c r="EV71" s="2108">
        <v>931.5</v>
      </c>
      <c r="EW71" s="2108">
        <v>964.2</v>
      </c>
      <c r="EX71" s="2108">
        <v>970.2</v>
      </c>
      <c r="EY71" s="2108">
        <v>1031.5</v>
      </c>
      <c r="EZ71" s="2108">
        <v>995.8</v>
      </c>
      <c r="FA71" s="2108">
        <v>1019.9</v>
      </c>
      <c r="FB71" s="2108">
        <v>1111.8</v>
      </c>
      <c r="FC71" s="2108">
        <v>1180.9000000000001</v>
      </c>
      <c r="FD71" s="2108">
        <v>1209.5999999999999</v>
      </c>
      <c r="FE71" s="2108">
        <v>1229.2</v>
      </c>
      <c r="FF71" s="2108">
        <v>1253.8</v>
      </c>
      <c r="FG71" s="2108">
        <v>1253.8</v>
      </c>
      <c r="FH71" s="2108">
        <v>1259.2</v>
      </c>
      <c r="FI71" s="2108">
        <v>1269.4000000000001</v>
      </c>
      <c r="FJ71" s="2108">
        <v>1269.4000000000001</v>
      </c>
      <c r="FK71" s="2108">
        <v>1289.0999999999999</v>
      </c>
      <c r="FL71" s="2108">
        <v>1323.7</v>
      </c>
      <c r="FM71" s="2108">
        <v>1322</v>
      </c>
      <c r="FN71" s="2108">
        <v>1322</v>
      </c>
      <c r="FO71" s="2108">
        <v>1344.2</v>
      </c>
      <c r="FP71" s="2108">
        <v>1348.1</v>
      </c>
      <c r="FQ71" s="2108">
        <v>1348.1</v>
      </c>
      <c r="FR71" s="2108">
        <v>1358.6</v>
      </c>
      <c r="FS71" s="2108">
        <v>1388.4</v>
      </c>
      <c r="FT71" s="2108">
        <v>1421.4</v>
      </c>
      <c r="FU71" s="2108">
        <v>1471.7</v>
      </c>
      <c r="FV71" s="2108">
        <v>1495.7</v>
      </c>
      <c r="FW71" s="2113">
        <v>1537.7015844878674</v>
      </c>
      <c r="FX71" s="2113">
        <v>1550.1773649914576</v>
      </c>
      <c r="FY71" s="2113">
        <v>100</v>
      </c>
      <c r="FZ71" s="2113">
        <v>90.744197368621826</v>
      </c>
      <c r="GA71" s="2113">
        <v>104.18210575409148</v>
      </c>
      <c r="GB71" s="2113">
        <v>106.09372373645226</v>
      </c>
      <c r="GC71" s="2113">
        <v>106.25999854461628</v>
      </c>
      <c r="GD71" s="2113">
        <v>106.57690602719137</v>
      </c>
      <c r="GE71" s="2113">
        <v>106.89515250134717</v>
      </c>
      <c r="GF71" s="2114">
        <v>106.94274721486728</v>
      </c>
      <c r="GG71" s="1960">
        <v>97.194592237354129</v>
      </c>
      <c r="GH71" s="2114">
        <v>98.858123729167559</v>
      </c>
      <c r="GI71" s="2114">
        <v>98.858123729167559</v>
      </c>
      <c r="GJ71" s="2113">
        <v>98.858123729167559</v>
      </c>
      <c r="GK71" s="2113">
        <v>98.858123729167559</v>
      </c>
      <c r="GL71" s="2113">
        <v>98.959095952939549</v>
      </c>
      <c r="GM71" s="2114">
        <v>99.790384125484479</v>
      </c>
      <c r="GN71" s="2114">
        <v>100.06443091359269</v>
      </c>
      <c r="GO71" s="2115">
        <v>100.82115805691569</v>
      </c>
      <c r="GP71" s="2116">
        <v>100.62433788313477</v>
      </c>
      <c r="GQ71" s="2116">
        <v>100.37777334403748</v>
      </c>
      <c r="GR71" s="2116">
        <v>100.37777334403748</v>
      </c>
      <c r="GS71" s="2116">
        <v>100.37777334403748</v>
      </c>
      <c r="GT71" s="1960">
        <v>105.34894893018561</v>
      </c>
      <c r="GU71" s="1960">
        <v>106.57795603603748</v>
      </c>
      <c r="GV71" s="1960">
        <v>108.55245289505874</v>
      </c>
      <c r="GW71" s="1960">
        <v>113.39826724657125</v>
      </c>
      <c r="GX71" s="1960">
        <v>113.95620089707295</v>
      </c>
      <c r="GY71" s="1960">
        <v>113.95620089707295</v>
      </c>
      <c r="GZ71" s="1960">
        <v>117.47274739401476</v>
      </c>
      <c r="HA71" s="1960">
        <v>129.73060504115674</v>
      </c>
      <c r="HB71" s="1960">
        <v>134.6561908491708</v>
      </c>
      <c r="HC71" s="1960">
        <v>138.21799667859338</v>
      </c>
      <c r="HD71" s="1960">
        <v>144.74018907471188</v>
      </c>
      <c r="HE71" s="1960">
        <v>168.35310146495328</v>
      </c>
      <c r="HF71" s="1960">
        <v>177.77986030037709</v>
      </c>
      <c r="HG71" s="1960">
        <v>186.65682083988793</v>
      </c>
      <c r="HH71" s="2117">
        <v>180.68061053492332</v>
      </c>
      <c r="HI71" s="1960">
        <v>187.19623999311079</v>
      </c>
      <c r="HJ71" s="1960">
        <v>181.20275905057889</v>
      </c>
      <c r="HK71" s="1960">
        <v>188.3840597010099</v>
      </c>
      <c r="HL71" s="1960">
        <v>196.71494293584604</v>
      </c>
      <c r="HM71" s="1960">
        <v>204.61761759498151</v>
      </c>
      <c r="HN71" s="1960">
        <v>209.22205949238176</v>
      </c>
      <c r="HO71" s="1960">
        <v>210.29002001666225</v>
      </c>
      <c r="HP71" s="1960">
        <v>252.72500774207262</v>
      </c>
      <c r="HQ71" s="1960">
        <v>258.56342837986165</v>
      </c>
      <c r="HR71" s="1960">
        <v>258.22635318741857</v>
      </c>
      <c r="HS71" s="1960">
        <v>268.90917866008652</v>
      </c>
      <c r="HT71" s="1962">
        <v>274.02742255710791</v>
      </c>
      <c r="HU71" s="1961">
        <v>280.69480415095552</v>
      </c>
      <c r="HV71" s="1960">
        <v>282.61141967254258</v>
      </c>
      <c r="HW71" s="1960">
        <v>282.61141967254258</v>
      </c>
      <c r="HX71" s="1960">
        <v>282.61141967254258</v>
      </c>
      <c r="HY71" s="1960">
        <v>282.61141967254258</v>
      </c>
      <c r="HZ71" s="1960">
        <v>282.61141967254258</v>
      </c>
      <c r="IA71" s="1960">
        <v>290.14834378905158</v>
      </c>
      <c r="IB71" s="1960">
        <v>299.468376263572</v>
      </c>
      <c r="IC71" s="1960">
        <v>312.01654329125608</v>
      </c>
      <c r="ID71" s="1960">
        <v>326.18785140760292</v>
      </c>
      <c r="IE71" s="1960">
        <v>365.14029627155332</v>
      </c>
      <c r="IF71" s="1960">
        <v>365.14029627155332</v>
      </c>
      <c r="IG71" s="1961">
        <v>382.79476665565261</v>
      </c>
      <c r="IH71" s="1960">
        <v>461.52242409073614</v>
      </c>
      <c r="II71" s="1960">
        <v>495.23937209992897</v>
      </c>
      <c r="IJ71" s="1961">
        <v>511.2841898103859</v>
      </c>
      <c r="IK71" s="1960">
        <v>516.15296573850264</v>
      </c>
      <c r="IL71" s="1960">
        <v>532.43442031796224</v>
      </c>
      <c r="IM71" s="1960">
        <v>589.70901690896062</v>
      </c>
      <c r="IN71" s="1960">
        <v>603.01845858173749</v>
      </c>
      <c r="IO71" s="1960">
        <v>641.16992891005759</v>
      </c>
      <c r="IP71" s="1960">
        <v>664.33919364481494</v>
      </c>
      <c r="IQ71" s="1960">
        <v>673.7336141821462</v>
      </c>
      <c r="IR71" s="1960">
        <v>682.9338847122491</v>
      </c>
      <c r="IS71" s="2274">
        <v>710.6637705897017</v>
      </c>
      <c r="IT71" s="1960">
        <v>730.36006942737902</v>
      </c>
      <c r="IU71" s="1960">
        <v>745.83857792264325</v>
      </c>
      <c r="IV71" s="1960">
        <v>788.7323387510279</v>
      </c>
      <c r="IW71" s="1960">
        <v>816.58421911210132</v>
      </c>
      <c r="IX71" s="1960">
        <v>830.19750447410775</v>
      </c>
      <c r="IY71" s="1960">
        <v>982.54930979067353</v>
      </c>
      <c r="IZ71" s="1960">
        <v>1052.0662454845137</v>
      </c>
      <c r="JA71" s="1960">
        <v>1092.3576038509027</v>
      </c>
      <c r="JB71" s="1960">
        <v>1147.8535285452051</v>
      </c>
      <c r="JC71" s="1960">
        <v>1226.5693159888178</v>
      </c>
      <c r="JD71" s="1960">
        <v>1275.1387193706316</v>
      </c>
      <c r="JE71" s="2274">
        <v>1352.5683098877082</v>
      </c>
      <c r="JF71" s="2117">
        <v>1429.1388291407179</v>
      </c>
      <c r="JG71" s="2103">
        <f t="shared" si="13"/>
        <v>1.0566112030669761</v>
      </c>
      <c r="JI71" s="2155"/>
      <c r="JJ71" s="2104"/>
    </row>
    <row r="72" spans="2:270" ht="47.25">
      <c r="B72" s="2105">
        <v>47</v>
      </c>
      <c r="C72" s="2106" t="s">
        <v>65</v>
      </c>
      <c r="D72" s="2425" t="s">
        <v>1190</v>
      </c>
      <c r="E72" s="2107" t="s">
        <v>66</v>
      </c>
      <c r="F72" s="2106" t="s">
        <v>918</v>
      </c>
      <c r="G72" s="2425" t="s">
        <v>1112</v>
      </c>
      <c r="H72" s="2106" t="s">
        <v>929</v>
      </c>
      <c r="I72" s="2106" t="s">
        <v>930</v>
      </c>
      <c r="J72" s="2359" t="s">
        <v>50</v>
      </c>
      <c r="K72" s="2425"/>
      <c r="L72" s="2110">
        <v>95.2</v>
      </c>
      <c r="M72" s="2110">
        <v>105.2</v>
      </c>
      <c r="N72" s="2110">
        <v>133.19999999999999</v>
      </c>
      <c r="O72" s="2110">
        <v>140.4</v>
      </c>
      <c r="P72" s="2110">
        <v>173.8</v>
      </c>
      <c r="Q72" s="2110">
        <v>184.4</v>
      </c>
      <c r="R72" s="2110">
        <v>200</v>
      </c>
      <c r="S72" s="2110">
        <v>213.6</v>
      </c>
      <c r="T72" s="2110">
        <v>228.8</v>
      </c>
      <c r="U72" s="2110">
        <v>231.3</v>
      </c>
      <c r="V72" s="2110">
        <v>232.2</v>
      </c>
      <c r="W72" s="2110">
        <v>224.2</v>
      </c>
      <c r="X72" s="2110">
        <v>217.6</v>
      </c>
      <c r="Y72" s="2110">
        <v>217.6</v>
      </c>
      <c r="Z72" s="2110">
        <v>215.9</v>
      </c>
      <c r="AA72" s="2110">
        <v>221.5</v>
      </c>
      <c r="AB72" s="2110">
        <v>222.2</v>
      </c>
      <c r="AC72" s="2110">
        <v>223.1</v>
      </c>
      <c r="AD72" s="2110">
        <v>221.3</v>
      </c>
      <c r="AE72" s="2110">
        <v>221.8</v>
      </c>
      <c r="AF72" s="2110">
        <v>222.3</v>
      </c>
      <c r="AG72" s="2110">
        <v>221.1</v>
      </c>
      <c r="AH72" s="2110">
        <v>221.3</v>
      </c>
      <c r="AI72" s="2110">
        <v>221.2</v>
      </c>
      <c r="AJ72" s="2110">
        <v>218.8</v>
      </c>
      <c r="AK72" s="2110">
        <v>218.5</v>
      </c>
      <c r="AL72" s="2110">
        <v>226</v>
      </c>
      <c r="AM72" s="2110">
        <v>221.9</v>
      </c>
      <c r="AN72" s="2110">
        <v>220.2</v>
      </c>
      <c r="AO72" s="2110">
        <v>224.1</v>
      </c>
      <c r="AP72" s="2110">
        <v>224.1</v>
      </c>
      <c r="AQ72" s="2110">
        <v>225.7</v>
      </c>
      <c r="AR72" s="2110">
        <v>228.6</v>
      </c>
      <c r="AS72" s="2110">
        <v>231.3</v>
      </c>
      <c r="AT72" s="2110">
        <v>247.2</v>
      </c>
      <c r="AU72" s="2110">
        <v>246.8</v>
      </c>
      <c r="AV72" s="2110">
        <v>246.8</v>
      </c>
      <c r="AW72" s="2111">
        <v>248.2</v>
      </c>
      <c r="AX72" s="2111">
        <v>260</v>
      </c>
      <c r="AY72" s="2111">
        <v>267.89999999999998</v>
      </c>
      <c r="AZ72" s="2111">
        <v>267.89999999999998</v>
      </c>
      <c r="BA72" s="2111">
        <v>270</v>
      </c>
      <c r="BB72" s="2111">
        <v>270</v>
      </c>
      <c r="BC72" s="2111">
        <v>275.89999999999998</v>
      </c>
      <c r="BD72" s="2112">
        <v>275.89999999999998</v>
      </c>
      <c r="BE72" s="2111">
        <v>274</v>
      </c>
      <c r="BF72" s="2112">
        <v>280.5</v>
      </c>
      <c r="BG72" s="2112">
        <v>307</v>
      </c>
      <c r="BH72" s="2112">
        <v>307</v>
      </c>
      <c r="BI72" s="2108">
        <v>318.2</v>
      </c>
      <c r="BJ72" s="2108">
        <v>318.2</v>
      </c>
      <c r="BK72" s="2108">
        <v>318.2</v>
      </c>
      <c r="BL72" s="2108">
        <v>315.7</v>
      </c>
      <c r="BM72" s="2108">
        <v>341.5</v>
      </c>
      <c r="BN72" s="2108">
        <v>341.5</v>
      </c>
      <c r="BO72" s="2108">
        <v>353.5</v>
      </c>
      <c r="BP72" s="2108">
        <v>359</v>
      </c>
      <c r="BQ72" s="2108">
        <v>359</v>
      </c>
      <c r="BR72" s="2108">
        <v>359</v>
      </c>
      <c r="BS72" s="2108">
        <v>359</v>
      </c>
      <c r="BT72" s="2108">
        <v>359</v>
      </c>
      <c r="BU72" s="2108">
        <v>359</v>
      </c>
      <c r="BV72" s="2108">
        <v>361.5</v>
      </c>
      <c r="BW72" s="2108">
        <v>358.1</v>
      </c>
      <c r="BX72" s="2108">
        <v>370.2</v>
      </c>
      <c r="BY72" s="2108">
        <v>372.7</v>
      </c>
      <c r="BZ72" s="2108">
        <v>382.1</v>
      </c>
      <c r="CA72" s="2108">
        <v>384.8</v>
      </c>
      <c r="CB72" s="2108">
        <v>393.9</v>
      </c>
      <c r="CC72" s="2108">
        <v>408.3</v>
      </c>
      <c r="CD72" s="2108">
        <v>441.1</v>
      </c>
      <c r="CE72" s="2108">
        <v>441.1</v>
      </c>
      <c r="CF72" s="2108">
        <v>442.6</v>
      </c>
      <c r="CG72" s="2108">
        <v>424.5</v>
      </c>
      <c r="CH72" s="2108">
        <v>427.7</v>
      </c>
      <c r="CI72" s="2108">
        <v>427.6</v>
      </c>
      <c r="CJ72" s="2108">
        <v>431.5</v>
      </c>
      <c r="CK72" s="2108">
        <v>435.6</v>
      </c>
      <c r="CL72" s="2108">
        <v>449.1</v>
      </c>
      <c r="CM72" s="2108">
        <v>452.4</v>
      </c>
      <c r="CN72" s="2108">
        <v>473</v>
      </c>
      <c r="CO72" s="2108">
        <v>473</v>
      </c>
      <c r="CP72" s="2108">
        <v>478.5</v>
      </c>
      <c r="CQ72" s="2108">
        <v>478.5</v>
      </c>
      <c r="CR72" s="2108">
        <v>473.8</v>
      </c>
      <c r="CS72" s="2108">
        <v>473.8</v>
      </c>
      <c r="CT72" s="2108">
        <v>473.8</v>
      </c>
      <c r="CU72" s="2108">
        <v>464.8</v>
      </c>
      <c r="CV72" s="2108">
        <v>464.7</v>
      </c>
      <c r="CW72" s="2108">
        <v>464.7</v>
      </c>
      <c r="CX72" s="2108">
        <v>444.4</v>
      </c>
      <c r="CY72" s="2108">
        <v>460</v>
      </c>
      <c r="CZ72" s="2108">
        <v>469</v>
      </c>
      <c r="DA72" s="2108">
        <v>477.3</v>
      </c>
      <c r="DB72" s="2108">
        <v>485.6</v>
      </c>
      <c r="DC72" s="2108">
        <v>497.4</v>
      </c>
      <c r="DD72" s="2108">
        <v>476.2</v>
      </c>
      <c r="DE72" s="2108">
        <v>470.6</v>
      </c>
      <c r="DF72" s="2108">
        <v>489.4</v>
      </c>
      <c r="DG72" s="2108">
        <v>500.5</v>
      </c>
      <c r="DH72" s="2108">
        <v>500.5</v>
      </c>
      <c r="DI72" s="2108">
        <v>508.4</v>
      </c>
      <c r="DJ72" s="2108">
        <v>523.20000000000005</v>
      </c>
      <c r="DK72" s="2108">
        <v>537.79999999999995</v>
      </c>
      <c r="DL72" s="2108">
        <v>539.20000000000005</v>
      </c>
      <c r="DM72" s="2108">
        <v>542.6</v>
      </c>
      <c r="DN72" s="2108">
        <v>542.6</v>
      </c>
      <c r="DO72" s="2108">
        <v>543.9</v>
      </c>
      <c r="DP72" s="2108">
        <v>543.9</v>
      </c>
      <c r="DQ72" s="2108">
        <v>551.70000000000005</v>
      </c>
      <c r="DR72" s="2108">
        <v>556.6</v>
      </c>
      <c r="DS72" s="2108">
        <v>566.1</v>
      </c>
      <c r="DT72" s="2108">
        <v>567.79999999999995</v>
      </c>
      <c r="DU72" s="2108">
        <v>568.20000000000005</v>
      </c>
      <c r="DV72" s="2108">
        <v>587.29999999999995</v>
      </c>
      <c r="DW72" s="2108">
        <v>592.79999999999995</v>
      </c>
      <c r="DX72" s="2108">
        <v>602.1</v>
      </c>
      <c r="DY72" s="2108">
        <v>619.5</v>
      </c>
      <c r="DZ72" s="2108">
        <v>629.9</v>
      </c>
      <c r="EA72" s="2108">
        <v>634</v>
      </c>
      <c r="EB72" s="2108">
        <v>634</v>
      </c>
      <c r="EC72" s="2108">
        <v>655.5</v>
      </c>
      <c r="ED72" s="2108">
        <v>670.3</v>
      </c>
      <c r="EE72" s="2108">
        <v>686.8</v>
      </c>
      <c r="EF72" s="2108">
        <v>692.5</v>
      </c>
      <c r="EG72" s="2108">
        <v>699.1</v>
      </c>
      <c r="EH72" s="2108">
        <v>708.6</v>
      </c>
      <c r="EI72" s="2108">
        <v>712.8</v>
      </c>
      <c r="EJ72" s="2108">
        <v>718.4</v>
      </c>
      <c r="EK72" s="2108">
        <v>715.2</v>
      </c>
      <c r="EL72" s="2108">
        <v>735.6</v>
      </c>
      <c r="EM72" s="2108">
        <v>751.8</v>
      </c>
      <c r="EN72" s="2108">
        <v>756</v>
      </c>
      <c r="EO72" s="2108">
        <v>759.8</v>
      </c>
      <c r="EP72" s="2108">
        <v>771.4</v>
      </c>
      <c r="EQ72" s="2108">
        <v>785.4</v>
      </c>
      <c r="ER72" s="2108">
        <v>806.2</v>
      </c>
      <c r="ES72" s="2108">
        <v>820.1</v>
      </c>
      <c r="ET72" s="2108">
        <v>834.8</v>
      </c>
      <c r="EU72" s="2108">
        <v>858.1</v>
      </c>
      <c r="EV72" s="2108">
        <v>869.6</v>
      </c>
      <c r="EW72" s="2108">
        <v>888.2</v>
      </c>
      <c r="EX72" s="2108">
        <v>901</v>
      </c>
      <c r="EY72" s="2108">
        <v>913.7</v>
      </c>
      <c r="EZ72" s="2108">
        <v>938.8</v>
      </c>
      <c r="FA72" s="2108">
        <v>970</v>
      </c>
      <c r="FB72" s="2108">
        <v>1102.8</v>
      </c>
      <c r="FC72" s="2108">
        <v>1139.2</v>
      </c>
      <c r="FD72" s="2108">
        <v>1139.8</v>
      </c>
      <c r="FE72" s="2108">
        <v>1151.3</v>
      </c>
      <c r="FF72" s="2108">
        <v>1160.5</v>
      </c>
      <c r="FG72" s="2108">
        <v>1162.0999999999999</v>
      </c>
      <c r="FH72" s="2108">
        <v>1203.5999999999999</v>
      </c>
      <c r="FI72" s="2108">
        <v>1215.7</v>
      </c>
      <c r="FJ72" s="2108">
        <v>1255</v>
      </c>
      <c r="FK72" s="2108">
        <v>1266.5999999999999</v>
      </c>
      <c r="FL72" s="2108">
        <v>1274.5999999999999</v>
      </c>
      <c r="FM72" s="2108">
        <v>1276.4000000000001</v>
      </c>
      <c r="FN72" s="2108">
        <v>1277.2</v>
      </c>
      <c r="FO72" s="2108">
        <v>1295.7</v>
      </c>
      <c r="FP72" s="2108">
        <v>1305.9000000000001</v>
      </c>
      <c r="FQ72" s="2108">
        <v>1310.4000000000001</v>
      </c>
      <c r="FR72" s="2108">
        <v>1375.7</v>
      </c>
      <c r="FS72" s="2108">
        <v>1428.5</v>
      </c>
      <c r="FT72" s="2108">
        <v>1466.8</v>
      </c>
      <c r="FU72" s="2108">
        <v>1489.2</v>
      </c>
      <c r="FV72" s="2108">
        <v>1505.8</v>
      </c>
      <c r="FW72" s="2113">
        <v>1675.4281930800341</v>
      </c>
      <c r="FX72" s="2113">
        <v>1774.3204246237256</v>
      </c>
      <c r="FY72" s="2113">
        <v>100</v>
      </c>
      <c r="FZ72" s="2113">
        <v>112.24932670593262</v>
      </c>
      <c r="GA72" s="2113">
        <v>115.68812489169886</v>
      </c>
      <c r="GB72" s="2113">
        <v>120.79651352034666</v>
      </c>
      <c r="GC72" s="2113">
        <v>125.37066586203566</v>
      </c>
      <c r="GD72" s="2113">
        <v>130.391645197385</v>
      </c>
      <c r="GE72" s="2113">
        <v>130.391645197385</v>
      </c>
      <c r="GF72" s="2114">
        <v>131.76718667579206</v>
      </c>
      <c r="GG72" s="1960">
        <v>133.04081241084208</v>
      </c>
      <c r="GH72" s="2114">
        <v>137.45261638046503</v>
      </c>
      <c r="GI72" s="2114">
        <v>138.37088340099783</v>
      </c>
      <c r="GJ72" s="2113">
        <v>138.59571154182353</v>
      </c>
      <c r="GK72" s="2113">
        <v>139.53866572979209</v>
      </c>
      <c r="GL72" s="2113">
        <v>142.64510559280308</v>
      </c>
      <c r="GM72" s="2114">
        <v>142.9481619606623</v>
      </c>
      <c r="GN72" s="2114">
        <v>146.4891784452733</v>
      </c>
      <c r="GO72" s="2115">
        <v>146.74284410781183</v>
      </c>
      <c r="GP72" s="2116">
        <v>146.93897685929298</v>
      </c>
      <c r="GQ72" s="2116">
        <v>147.09010914397501</v>
      </c>
      <c r="GR72" s="2116">
        <v>147.18400643116092</v>
      </c>
      <c r="GS72" s="2116">
        <v>146.55220328961707</v>
      </c>
      <c r="GT72" s="1960">
        <v>149.64842704121077</v>
      </c>
      <c r="GU72" s="1960">
        <v>150.3465930349829</v>
      </c>
      <c r="GV72" s="1960">
        <v>151.1951796110188</v>
      </c>
      <c r="GW72" s="1960">
        <v>152.68586179868439</v>
      </c>
      <c r="GX72" s="1960">
        <v>155.61074538793756</v>
      </c>
      <c r="GY72" s="1960">
        <v>155.83162317187194</v>
      </c>
      <c r="GZ72" s="1960">
        <v>155.40103669155235</v>
      </c>
      <c r="HA72" s="1960">
        <v>158.21418810198847</v>
      </c>
      <c r="HB72" s="1960">
        <v>161.81405442551466</v>
      </c>
      <c r="HC72" s="1960">
        <v>162.7141136224034</v>
      </c>
      <c r="HD72" s="1960">
        <v>160.80656266992713</v>
      </c>
      <c r="HE72" s="1960">
        <v>194.57991504651656</v>
      </c>
      <c r="HF72" s="1960">
        <v>230.33356766573127</v>
      </c>
      <c r="HG72" s="1960">
        <v>233.41510782734409</v>
      </c>
      <c r="HH72" s="2117">
        <v>240.34825182585391</v>
      </c>
      <c r="HI72" s="1960">
        <v>233.41451289665176</v>
      </c>
      <c r="HJ72" s="1960">
        <v>263.72741307368705</v>
      </c>
      <c r="HK72" s="1960">
        <v>275.45585981685946</v>
      </c>
      <c r="HL72" s="1960">
        <v>289.10481801164462</v>
      </c>
      <c r="HM72" s="1960">
        <v>295.72335358226707</v>
      </c>
      <c r="HN72" s="1960">
        <v>306.98462673962337</v>
      </c>
      <c r="HO72" s="1960">
        <v>310.05415908361272</v>
      </c>
      <c r="HP72" s="1960">
        <v>381.75416782369558</v>
      </c>
      <c r="HQ72" s="1960">
        <v>384.0801517171779</v>
      </c>
      <c r="HR72" s="1960">
        <v>358.76255225838457</v>
      </c>
      <c r="HS72" s="1960">
        <v>367.28261297571629</v>
      </c>
      <c r="HT72" s="1962">
        <v>383.78383047314634</v>
      </c>
      <c r="HU72" s="1961">
        <v>399.59726372865026</v>
      </c>
      <c r="HV72" s="1960">
        <v>401.98718782109989</v>
      </c>
      <c r="HW72" s="1960">
        <v>401.98718782109989</v>
      </c>
      <c r="HX72" s="1960">
        <v>401.98718782109989</v>
      </c>
      <c r="HY72" s="1960">
        <v>401.98718782109989</v>
      </c>
      <c r="HZ72" s="1960">
        <v>401.98718782109989</v>
      </c>
      <c r="IA72" s="1960">
        <v>401.75675664436091</v>
      </c>
      <c r="IB72" s="1960">
        <v>412.73693069760498</v>
      </c>
      <c r="IC72" s="1960">
        <v>422.1040294521178</v>
      </c>
      <c r="ID72" s="1960">
        <v>507.85152483279199</v>
      </c>
      <c r="IE72" s="1960">
        <v>517.85499637855662</v>
      </c>
      <c r="IF72" s="1960">
        <v>521.24681994122068</v>
      </c>
      <c r="IG72" s="1961">
        <v>537.54483070974425</v>
      </c>
      <c r="IH72" s="1960">
        <v>610.32318052890707</v>
      </c>
      <c r="II72" s="1960">
        <v>622.40050050411503</v>
      </c>
      <c r="IJ72" s="1961">
        <v>716.73847444896171</v>
      </c>
      <c r="IK72" s="1960">
        <v>762.07728806785758</v>
      </c>
      <c r="IL72" s="1960">
        <v>773.29119290916628</v>
      </c>
      <c r="IM72" s="1960">
        <v>784.55089557829115</v>
      </c>
      <c r="IN72" s="1960">
        <v>796.99139147847916</v>
      </c>
      <c r="IO72" s="1960">
        <v>812.02238345796616</v>
      </c>
      <c r="IP72" s="1960">
        <v>845.21154203096103</v>
      </c>
      <c r="IQ72" s="1960">
        <v>912.6230789887245</v>
      </c>
      <c r="IR72" s="1960">
        <v>911.99976960018421</v>
      </c>
      <c r="IS72" s="2274">
        <v>952.59591220819118</v>
      </c>
      <c r="IT72" s="1960">
        <v>983.90726822296995</v>
      </c>
      <c r="IU72" s="1960">
        <v>1004.2698069254609</v>
      </c>
      <c r="IV72" s="1960">
        <v>1025.4596765531076</v>
      </c>
      <c r="IW72" s="1960">
        <v>1066.1721616286095</v>
      </c>
      <c r="IX72" s="1960">
        <v>1113.967765587742</v>
      </c>
      <c r="IY72" s="1960">
        <v>1217.9376793785702</v>
      </c>
      <c r="IZ72" s="1960">
        <v>1243.3198481001593</v>
      </c>
      <c r="JA72" s="1960">
        <v>1262.0364585846623</v>
      </c>
      <c r="JB72" s="1960">
        <v>1314.4569145222376</v>
      </c>
      <c r="JC72" s="1960">
        <v>1388.7198759159407</v>
      </c>
      <c r="JD72" s="1960">
        <v>1461.9424313814241</v>
      </c>
      <c r="JE72" s="2274">
        <v>1548.5985534464585</v>
      </c>
      <c r="JF72" s="2117">
        <v>1713.8436166055687</v>
      </c>
      <c r="JG72" s="2103">
        <f t="shared" si="13"/>
        <v>1.1067061975431605</v>
      </c>
      <c r="JI72" s="2155"/>
      <c r="JJ72" s="2104"/>
    </row>
    <row r="73" spans="2:270" ht="34.9" customHeight="1">
      <c r="B73" s="2105">
        <v>48</v>
      </c>
      <c r="C73" s="2106" t="s">
        <v>67</v>
      </c>
      <c r="D73" s="2425"/>
      <c r="E73" s="2107" t="s">
        <v>68</v>
      </c>
      <c r="F73" s="2106" t="s">
        <v>918</v>
      </c>
      <c r="G73" s="2425" t="s">
        <v>1340</v>
      </c>
      <c r="H73" s="2106" t="s">
        <v>919</v>
      </c>
      <c r="I73" s="2106" t="s">
        <v>920</v>
      </c>
      <c r="J73" s="2359" t="s">
        <v>69</v>
      </c>
      <c r="K73" s="2425"/>
      <c r="L73" s="2409">
        <v>193.96</v>
      </c>
      <c r="M73" s="2409">
        <v>228.37</v>
      </c>
      <c r="N73" s="2409">
        <v>228.37</v>
      </c>
      <c r="O73" s="2409">
        <v>247.77</v>
      </c>
      <c r="P73" s="2409">
        <v>247.77</v>
      </c>
      <c r="Q73" s="2409">
        <v>275.08</v>
      </c>
      <c r="R73" s="2409">
        <v>287.57</v>
      </c>
      <c r="S73" s="2409">
        <v>287.83999999999997</v>
      </c>
      <c r="T73" s="2409">
        <v>287.83999999999997</v>
      </c>
      <c r="U73" s="2409">
        <v>287.83999999999997</v>
      </c>
      <c r="V73" s="2409">
        <v>287.89</v>
      </c>
      <c r="W73" s="2409">
        <v>287.89</v>
      </c>
      <c r="X73" s="2409">
        <v>287.89</v>
      </c>
      <c r="Y73" s="2409">
        <v>287.89</v>
      </c>
      <c r="Z73" s="2409">
        <v>287.89</v>
      </c>
      <c r="AA73" s="2409">
        <v>227.05</v>
      </c>
      <c r="AB73" s="2409">
        <v>217.37</v>
      </c>
      <c r="AC73" s="2409">
        <v>217.37</v>
      </c>
      <c r="AD73" s="2409">
        <v>217.37</v>
      </c>
      <c r="AE73" s="2409">
        <v>287.89</v>
      </c>
      <c r="AF73" s="2409">
        <v>287.89</v>
      </c>
      <c r="AG73" s="2409">
        <v>287.89</v>
      </c>
      <c r="AH73" s="2409">
        <v>287.89</v>
      </c>
      <c r="AI73" s="2409">
        <v>287.89</v>
      </c>
      <c r="AJ73" s="2409">
        <v>287.89</v>
      </c>
      <c r="AK73" s="2409">
        <v>287.89</v>
      </c>
      <c r="AL73" s="2409">
        <v>287.89</v>
      </c>
      <c r="AM73" s="2409">
        <v>287.89</v>
      </c>
      <c r="AN73" s="2409">
        <v>287.89</v>
      </c>
      <c r="AO73" s="2409">
        <v>287.89</v>
      </c>
      <c r="AP73" s="2409">
        <v>287.89</v>
      </c>
      <c r="AQ73" s="2409">
        <v>287.89</v>
      </c>
      <c r="AR73" s="2409">
        <v>287.89</v>
      </c>
      <c r="AS73" s="2409">
        <v>287.89</v>
      </c>
      <c r="AT73" s="2409">
        <v>287.89</v>
      </c>
      <c r="AU73" s="2409">
        <v>287.89</v>
      </c>
      <c r="AV73" s="2409">
        <v>287.89</v>
      </c>
      <c r="AW73" s="2410">
        <v>287.89</v>
      </c>
      <c r="AX73" s="2410">
        <v>287.89</v>
      </c>
      <c r="AY73" s="2410">
        <v>287.89</v>
      </c>
      <c r="AZ73" s="2410">
        <v>287.89</v>
      </c>
      <c r="BA73" s="2410">
        <v>287.89</v>
      </c>
      <c r="BB73" s="2410">
        <v>238.49</v>
      </c>
      <c r="BC73" s="2410">
        <v>238.49</v>
      </c>
      <c r="BD73" s="2411">
        <v>238.49</v>
      </c>
      <c r="BE73" s="2410">
        <v>238.49</v>
      </c>
      <c r="BF73" s="2411">
        <v>238.49</v>
      </c>
      <c r="BG73" s="2411">
        <v>230.06</v>
      </c>
      <c r="BH73" s="2411">
        <v>284.27999999999997</v>
      </c>
      <c r="BI73" s="2412">
        <v>284.27999999999997</v>
      </c>
      <c r="BJ73" s="2412">
        <v>294.20999999999998</v>
      </c>
      <c r="BK73" s="2412">
        <v>294.20999999999998</v>
      </c>
      <c r="BL73" s="2412">
        <v>294.20999999999998</v>
      </c>
      <c r="BM73" s="2412">
        <v>294.20999999999998</v>
      </c>
      <c r="BN73" s="2412">
        <v>296.18</v>
      </c>
      <c r="BO73" s="2412">
        <v>296.18</v>
      </c>
      <c r="BP73" s="2412">
        <v>301.87</v>
      </c>
      <c r="BQ73" s="2412">
        <v>301.87</v>
      </c>
      <c r="BR73" s="2412">
        <v>301.87</v>
      </c>
      <c r="BS73" s="2412">
        <v>301.87</v>
      </c>
      <c r="BT73" s="2412">
        <v>299.54000000000002</v>
      </c>
      <c r="BU73" s="2412">
        <v>300</v>
      </c>
      <c r="BV73" s="2412">
        <v>302.33</v>
      </c>
      <c r="BW73" s="2412">
        <v>303.64999999999998</v>
      </c>
      <c r="BX73" s="2412">
        <v>303.64999999999998</v>
      </c>
      <c r="BY73" s="2412">
        <v>303.64999999999998</v>
      </c>
      <c r="BZ73" s="2412">
        <v>307.77999999999997</v>
      </c>
      <c r="CA73" s="2412">
        <v>321.91000000000003</v>
      </c>
      <c r="CB73" s="2412">
        <v>335.19</v>
      </c>
      <c r="CC73" s="2412">
        <v>352.88</v>
      </c>
      <c r="CD73" s="2412">
        <v>360.94</v>
      </c>
      <c r="CE73" s="2412">
        <v>359.26</v>
      </c>
      <c r="CF73" s="2412">
        <v>371.44</v>
      </c>
      <c r="CG73" s="2412">
        <v>371.44</v>
      </c>
      <c r="CH73" s="2412">
        <v>377.64</v>
      </c>
      <c r="CI73" s="2412">
        <v>385.29</v>
      </c>
      <c r="CJ73" s="2412">
        <v>385.29</v>
      </c>
      <c r="CK73" s="2412">
        <v>385.29</v>
      </c>
      <c r="CL73" s="2412">
        <v>391.65</v>
      </c>
      <c r="CM73" s="2412">
        <v>391.05</v>
      </c>
      <c r="CN73" s="2412">
        <v>391.05</v>
      </c>
      <c r="CO73" s="2412">
        <v>399.53</v>
      </c>
      <c r="CP73" s="2412">
        <v>418.11</v>
      </c>
      <c r="CQ73" s="2412">
        <v>418.1</v>
      </c>
      <c r="CR73" s="2412">
        <v>407.16</v>
      </c>
      <c r="CS73" s="2412">
        <v>407.16</v>
      </c>
      <c r="CT73" s="2412">
        <v>402.09</v>
      </c>
      <c r="CU73" s="2412">
        <v>402.09</v>
      </c>
      <c r="CV73" s="2412">
        <v>402.09</v>
      </c>
      <c r="CW73" s="2412">
        <v>402.09</v>
      </c>
      <c r="CX73" s="2412">
        <v>396.72</v>
      </c>
      <c r="CY73" s="2412">
        <v>407.02</v>
      </c>
      <c r="CZ73" s="2412">
        <v>410.27</v>
      </c>
      <c r="DA73" s="2412">
        <v>415.87</v>
      </c>
      <c r="DB73" s="2412">
        <v>415.87</v>
      </c>
      <c r="DC73" s="2412">
        <v>415.87</v>
      </c>
      <c r="DD73" s="2412">
        <v>415.87</v>
      </c>
      <c r="DE73" s="2412">
        <v>433.94</v>
      </c>
      <c r="DF73" s="2412">
        <v>448.57</v>
      </c>
      <c r="DG73" s="2412">
        <v>470.59</v>
      </c>
      <c r="DH73" s="2412">
        <v>470.59</v>
      </c>
      <c r="DI73" s="2412">
        <v>470.59</v>
      </c>
      <c r="DJ73" s="2412">
        <v>470.59</v>
      </c>
      <c r="DK73" s="2412">
        <v>470.59</v>
      </c>
      <c r="DL73" s="2412">
        <v>470.59</v>
      </c>
      <c r="DM73" s="2412">
        <v>470.59</v>
      </c>
      <c r="DN73" s="2412">
        <v>479.39</v>
      </c>
      <c r="DO73" s="2412">
        <v>479.39</v>
      </c>
      <c r="DP73" s="2412">
        <v>479.39</v>
      </c>
      <c r="DQ73" s="2412">
        <v>479.39</v>
      </c>
      <c r="DR73" s="2412">
        <v>479.39</v>
      </c>
      <c r="DS73" s="2412">
        <v>483.92</v>
      </c>
      <c r="DT73" s="2412">
        <v>488.66</v>
      </c>
      <c r="DU73" s="2412">
        <v>503.52</v>
      </c>
      <c r="DV73" s="2412">
        <v>503.52</v>
      </c>
      <c r="DW73" s="2412">
        <v>527.09</v>
      </c>
      <c r="DX73" s="2412">
        <v>527.09</v>
      </c>
      <c r="DY73" s="2412">
        <v>527.09</v>
      </c>
      <c r="DZ73" s="2412">
        <v>527.09</v>
      </c>
      <c r="EA73" s="2412">
        <v>527.09</v>
      </c>
      <c r="EB73" s="2412">
        <v>527.09</v>
      </c>
      <c r="EC73" s="2412">
        <v>527.09</v>
      </c>
      <c r="ED73" s="2412">
        <v>532.76</v>
      </c>
      <c r="EE73" s="2412">
        <v>549.82000000000005</v>
      </c>
      <c r="EF73" s="2412">
        <v>561.85</v>
      </c>
      <c r="EG73" s="2412">
        <v>581.66999999999996</v>
      </c>
      <c r="EH73" s="2412">
        <v>594.04999999999995</v>
      </c>
      <c r="EI73" s="2412">
        <v>593.66999999999996</v>
      </c>
      <c r="EJ73" s="2412">
        <v>594.04999999999995</v>
      </c>
      <c r="EK73" s="2412">
        <v>594.04999999999995</v>
      </c>
      <c r="EL73" s="2412">
        <v>594.04999999999995</v>
      </c>
      <c r="EM73" s="2412">
        <v>604.01</v>
      </c>
      <c r="EN73" s="2412">
        <v>604.01</v>
      </c>
      <c r="EO73" s="2412">
        <v>604.01</v>
      </c>
      <c r="EP73" s="2412">
        <v>623.6</v>
      </c>
      <c r="EQ73" s="2412">
        <v>626.13</v>
      </c>
      <c r="ER73" s="2412">
        <v>626.16999999999996</v>
      </c>
      <c r="ES73" s="2412">
        <v>626.13</v>
      </c>
      <c r="ET73" s="2412">
        <v>626.13</v>
      </c>
      <c r="EU73" s="2412">
        <v>644.69000000000005</v>
      </c>
      <c r="EV73" s="2412">
        <v>644.69000000000005</v>
      </c>
      <c r="EW73" s="2412">
        <v>644.69000000000005</v>
      </c>
      <c r="EX73" s="2412">
        <v>633.76</v>
      </c>
      <c r="EY73" s="2412">
        <v>633.76</v>
      </c>
      <c r="EZ73" s="2412">
        <v>629.12</v>
      </c>
      <c r="FA73" s="2412">
        <v>712.34</v>
      </c>
      <c r="FB73" s="2412">
        <v>763.05</v>
      </c>
      <c r="FC73" s="2412">
        <v>763.07</v>
      </c>
      <c r="FD73" s="2412">
        <v>763.05</v>
      </c>
      <c r="FE73" s="2412">
        <v>763.05</v>
      </c>
      <c r="FF73" s="2412">
        <v>763.05</v>
      </c>
      <c r="FG73" s="2412">
        <v>784.79</v>
      </c>
      <c r="FH73" s="2412">
        <v>784.79</v>
      </c>
      <c r="FI73" s="2412">
        <v>784.79</v>
      </c>
      <c r="FJ73" s="2412">
        <v>880.24</v>
      </c>
      <c r="FK73" s="2412">
        <v>880.24</v>
      </c>
      <c r="FL73" s="2412">
        <v>881.27</v>
      </c>
      <c r="FM73" s="2412">
        <v>902.69</v>
      </c>
      <c r="FN73" s="2412">
        <v>901.66</v>
      </c>
      <c r="FO73" s="2412">
        <v>901.66</v>
      </c>
      <c r="FP73" s="2412">
        <v>919.99</v>
      </c>
      <c r="FQ73" s="2412">
        <v>919.99</v>
      </c>
      <c r="FR73" s="2412">
        <v>930.84</v>
      </c>
      <c r="FS73" s="2412">
        <v>930.84</v>
      </c>
      <c r="FT73" s="2412">
        <v>940.49</v>
      </c>
      <c r="FU73" s="2412">
        <v>940.49</v>
      </c>
      <c r="FV73" s="2412">
        <v>967.69</v>
      </c>
      <c r="FW73" s="2413">
        <v>985.16750562309858</v>
      </c>
      <c r="FX73" s="2413">
        <v>1004.5780562367261</v>
      </c>
      <c r="FY73" s="2413">
        <v>100</v>
      </c>
      <c r="FZ73" s="2413">
        <v>111.10079288482666</v>
      </c>
      <c r="GA73" s="2413">
        <v>112.34438790673096</v>
      </c>
      <c r="GB73" s="2413">
        <v>116.9672360010061</v>
      </c>
      <c r="GC73" s="2413">
        <v>117.56686576281966</v>
      </c>
      <c r="GD73" s="2413">
        <v>120.41827228223778</v>
      </c>
      <c r="GE73" s="2413">
        <v>120.41827228223778</v>
      </c>
      <c r="GF73" s="2414">
        <v>120.41827228223778</v>
      </c>
      <c r="GG73" s="2415">
        <v>120.41827228223778</v>
      </c>
      <c r="GH73" s="2414">
        <v>125.28648988131353</v>
      </c>
      <c r="GI73" s="2414">
        <v>125.28648988131353</v>
      </c>
      <c r="GJ73" s="2413">
        <v>125.39348646686261</v>
      </c>
      <c r="GK73" s="2413">
        <v>125.39348646686261</v>
      </c>
      <c r="GL73" s="2413">
        <v>125.71318080650356</v>
      </c>
      <c r="GM73" s="2414">
        <v>125.71318080650356</v>
      </c>
      <c r="GN73" s="2414">
        <v>126.44859756715294</v>
      </c>
      <c r="GO73" s="2416">
        <v>126.45422011226323</v>
      </c>
      <c r="GP73" s="2417">
        <v>127.0158966432661</v>
      </c>
      <c r="GQ73" s="2417">
        <v>128.1318536190125</v>
      </c>
      <c r="GR73" s="2417">
        <v>128.1318536190125</v>
      </c>
      <c r="GS73" s="2417">
        <v>128.68619603572111</v>
      </c>
      <c r="GT73" s="2415">
        <v>128.76852898227477</v>
      </c>
      <c r="GU73" s="2415">
        <v>129.92031590987074</v>
      </c>
      <c r="GV73" s="2415">
        <v>130.15063362383421</v>
      </c>
      <c r="GW73" s="2415">
        <v>131.18352467467835</v>
      </c>
      <c r="GX73" s="2415">
        <v>131.18352467467835</v>
      </c>
      <c r="GY73" s="2415">
        <v>135.87690534151713</v>
      </c>
      <c r="GZ73" s="2415">
        <v>149.64813626637559</v>
      </c>
      <c r="HA73" s="2415">
        <v>157.85735073461282</v>
      </c>
      <c r="HB73" s="2415">
        <v>166.27801976480509</v>
      </c>
      <c r="HC73" s="2415">
        <v>168.48923027992788</v>
      </c>
      <c r="HD73" s="2415">
        <v>166.72538217455673</v>
      </c>
      <c r="HE73" s="2415">
        <v>192.4297601292653</v>
      </c>
      <c r="HF73" s="2415">
        <v>198.04986801969955</v>
      </c>
      <c r="HG73" s="2415">
        <v>201.78295084943593</v>
      </c>
      <c r="HH73" s="2418">
        <v>203.8479751747891</v>
      </c>
      <c r="HI73" s="2415">
        <v>195.06702812827467</v>
      </c>
      <c r="HJ73" s="2415">
        <v>207.63787213073729</v>
      </c>
      <c r="HK73" s="2415">
        <v>211.58699774961408</v>
      </c>
      <c r="HL73" s="2415">
        <v>213.4268962841378</v>
      </c>
      <c r="HM73" s="2415">
        <v>213.4268962841378</v>
      </c>
      <c r="HN73" s="2415">
        <v>216.49543809456031</v>
      </c>
      <c r="HO73" s="2415">
        <v>242.84874440202287</v>
      </c>
      <c r="HP73" s="2415">
        <v>275.11836181508369</v>
      </c>
      <c r="HQ73" s="2415">
        <v>277.01019482257516</v>
      </c>
      <c r="HR73" s="2415">
        <v>269.62685551981929</v>
      </c>
      <c r="HS73" s="2415">
        <v>277.65955150271282</v>
      </c>
      <c r="HT73" s="2419">
        <v>280.54621487984735</v>
      </c>
      <c r="HU73" s="2420">
        <f>+Polietileno!C14</f>
        <v>280.54621487984735</v>
      </c>
      <c r="HV73" s="2417">
        <f>+Polietileno!D14</f>
        <v>285.30857346577068</v>
      </c>
      <c r="HW73" s="2417">
        <f>+Polietileno!E14</f>
        <v>288.77210698280584</v>
      </c>
      <c r="HX73" s="2417">
        <f>+Polietileno!F14</f>
        <v>291.9882452486242</v>
      </c>
      <c r="HY73" s="2417">
        <f>+Polietileno!G14</f>
        <v>298.97716109549867</v>
      </c>
      <c r="HZ73" s="2417">
        <f>+Polietileno!H14</f>
        <v>313.82087616850652</v>
      </c>
      <c r="IA73" s="2417">
        <f>+Polietileno!I14</f>
        <v>322.91265165072383</v>
      </c>
      <c r="IB73" s="2417">
        <f>+Polietileno!J14</f>
        <v>333.4887986402419</v>
      </c>
      <c r="IC73" s="2417">
        <f>+Polietileno!K14</f>
        <v>342.88981818648011</v>
      </c>
      <c r="ID73" s="2417">
        <f>+Polietileno!L14</f>
        <v>357.91907969790054</v>
      </c>
      <c r="IE73" s="2417">
        <f>+Polietileno!M14</f>
        <v>380.49389637143321</v>
      </c>
      <c r="IF73" s="2419">
        <f>+Polietileno!N14</f>
        <v>391.13189217375543</v>
      </c>
      <c r="IG73" s="2420">
        <f>+Polietileno!C21</f>
        <v>407.39812994125987</v>
      </c>
      <c r="IH73" s="2417">
        <f>+Polietileno!D21</f>
        <v>439.43581497383502</v>
      </c>
      <c r="II73" s="2417">
        <f>+Polietileno!E21</f>
        <v>483.84326256724995</v>
      </c>
      <c r="IJ73" s="2417">
        <f>+Polietileno!F21</f>
        <v>510.12900800903452</v>
      </c>
      <c r="IK73" s="2417">
        <f>+Polietileno!G21</f>
        <v>521.26179431379035</v>
      </c>
      <c r="IL73" s="2417">
        <f>+Polietileno!H21</f>
        <v>532.02348774172106</v>
      </c>
      <c r="IM73" s="2417">
        <f>+Polietileno!I21</f>
        <v>540.06383340626701</v>
      </c>
      <c r="IN73" s="2417">
        <f>+Polietileno!J21</f>
        <v>548.90821363726741</v>
      </c>
      <c r="IO73" s="2417">
        <f>+Polietileno!K21</f>
        <v>559.48436062678547</v>
      </c>
      <c r="IP73" s="2417">
        <f>+Polietileno!L21</f>
        <v>566.9062181632894</v>
      </c>
      <c r="IQ73" s="2417">
        <f>+Polietileno!M21</f>
        <v>575.62690076868148</v>
      </c>
      <c r="IR73" s="2419">
        <f>+Polietileno!N21</f>
        <v>588.61515145756334</v>
      </c>
      <c r="IS73" s="2420">
        <f>+Polietileno!C28</f>
        <v>597.02658999893436</v>
      </c>
      <c r="IT73" s="2417">
        <f>+Polietileno!D28</f>
        <v>610.38593356464139</v>
      </c>
      <c r="IU73" s="2417">
        <f>+Polietileno!E28</f>
        <v>635.18730749912527</v>
      </c>
      <c r="IV73" s="2417">
        <f>+Polietileno!F28</f>
        <v>669.32785216704326</v>
      </c>
      <c r="IW73" s="2417">
        <f>+Polietileno!G28</f>
        <v>700.87074669718481</v>
      </c>
      <c r="IX73" s="2417">
        <f>+Polietileno!H28</f>
        <v>724.3114467499762</v>
      </c>
      <c r="IY73" s="2417">
        <f>+Polietileno!I28</f>
        <v>775.0893220622238</v>
      </c>
      <c r="IZ73" s="2417">
        <f>+Polietileno!J28</f>
        <v>834.46418235425494</v>
      </c>
      <c r="JA73" s="2417">
        <f>+Polietileno!K28</f>
        <v>919.87739283685391</v>
      </c>
      <c r="JB73" s="2417">
        <f>+Polietileno!L28</f>
        <v>941.58632613112786</v>
      </c>
      <c r="JC73" s="2417">
        <f>+Polietileno!M28</f>
        <v>1009.0748654339642</v>
      </c>
      <c r="JD73" s="2415">
        <f>+Polietileno!N28</f>
        <v>1076.0456451674568</v>
      </c>
      <c r="JE73" s="2422">
        <f>+Polietileno!C35</f>
        <v>1144.8833738185306</v>
      </c>
      <c r="JF73" s="2418">
        <f>+Polietileno!D35</f>
        <v>1198.8155385837924</v>
      </c>
      <c r="JG73" s="2103">
        <f t="shared" si="13"/>
        <v>1.0471071254929503</v>
      </c>
      <c r="JI73" s="2155"/>
      <c r="JJ73" s="2104"/>
    </row>
    <row r="74" spans="2:270" ht="24" customHeight="1">
      <c r="B74" s="2105">
        <v>49</v>
      </c>
      <c r="C74" s="2106" t="s">
        <v>70</v>
      </c>
      <c r="D74" s="2425" t="s">
        <v>1191</v>
      </c>
      <c r="E74" s="2107" t="s">
        <v>71</v>
      </c>
      <c r="F74" s="2106" t="s">
        <v>918</v>
      </c>
      <c r="G74" s="2425" t="s">
        <v>1112</v>
      </c>
      <c r="H74" s="2106" t="s">
        <v>929</v>
      </c>
      <c r="I74" s="2106" t="s">
        <v>930</v>
      </c>
      <c r="J74" s="2359" t="s">
        <v>72</v>
      </c>
      <c r="K74" s="2425"/>
      <c r="L74" s="2110">
        <v>99.3</v>
      </c>
      <c r="M74" s="2110">
        <v>101.4</v>
      </c>
      <c r="N74" s="2110">
        <v>105.4</v>
      </c>
      <c r="O74" s="2110">
        <v>104.7</v>
      </c>
      <c r="P74" s="2110">
        <v>113.1</v>
      </c>
      <c r="Q74" s="2110">
        <v>124.6</v>
      </c>
      <c r="R74" s="2110">
        <v>136.6</v>
      </c>
      <c r="S74" s="2110">
        <v>146.19999999999999</v>
      </c>
      <c r="T74" s="2110">
        <v>163</v>
      </c>
      <c r="U74" s="2110">
        <v>177.9</v>
      </c>
      <c r="V74" s="2110">
        <v>191.8</v>
      </c>
      <c r="W74" s="2110">
        <v>197.2</v>
      </c>
      <c r="X74" s="2110">
        <v>201.8</v>
      </c>
      <c r="Y74" s="2110">
        <v>201</v>
      </c>
      <c r="Z74" s="2110">
        <v>202</v>
      </c>
      <c r="AA74" s="2110">
        <v>200.6</v>
      </c>
      <c r="AB74" s="2110">
        <v>202.6</v>
      </c>
      <c r="AC74" s="2110">
        <v>202</v>
      </c>
      <c r="AD74" s="2110">
        <v>204.7</v>
      </c>
      <c r="AE74" s="2110">
        <v>204.9</v>
      </c>
      <c r="AF74" s="2110">
        <v>205.2</v>
      </c>
      <c r="AG74" s="2110">
        <v>207.7</v>
      </c>
      <c r="AH74" s="2110">
        <v>208.2</v>
      </c>
      <c r="AI74" s="2110">
        <v>209.6</v>
      </c>
      <c r="AJ74" s="2110">
        <v>208.9</v>
      </c>
      <c r="AK74" s="2110">
        <v>210.1</v>
      </c>
      <c r="AL74" s="2110">
        <v>211.4</v>
      </c>
      <c r="AM74" s="2110">
        <v>212.3</v>
      </c>
      <c r="AN74" s="2110">
        <v>214.9</v>
      </c>
      <c r="AO74" s="2110">
        <v>219.4</v>
      </c>
      <c r="AP74" s="2110">
        <v>220.9</v>
      </c>
      <c r="AQ74" s="2110">
        <v>220.3</v>
      </c>
      <c r="AR74" s="2110">
        <v>220.3</v>
      </c>
      <c r="AS74" s="2110">
        <v>220.3</v>
      </c>
      <c r="AT74" s="2110">
        <v>219.4</v>
      </c>
      <c r="AU74" s="2110">
        <v>217.8</v>
      </c>
      <c r="AV74" s="2110">
        <v>218.6</v>
      </c>
      <c r="AW74" s="2111">
        <v>219.5</v>
      </c>
      <c r="AX74" s="2111">
        <v>219.3</v>
      </c>
      <c r="AY74" s="2111">
        <v>220.7</v>
      </c>
      <c r="AZ74" s="2111">
        <v>220.7</v>
      </c>
      <c r="BA74" s="2111">
        <v>220.8</v>
      </c>
      <c r="BB74" s="2111">
        <v>220.8</v>
      </c>
      <c r="BC74" s="2111">
        <v>220.8</v>
      </c>
      <c r="BD74" s="2112">
        <v>220.8</v>
      </c>
      <c r="BE74" s="2111">
        <v>220.8</v>
      </c>
      <c r="BF74" s="2112">
        <v>220.8</v>
      </c>
      <c r="BG74" s="2112">
        <v>219.9</v>
      </c>
      <c r="BH74" s="2112">
        <v>220.3</v>
      </c>
      <c r="BI74" s="2108">
        <v>221</v>
      </c>
      <c r="BJ74" s="2108">
        <v>223.5</v>
      </c>
      <c r="BK74" s="2108">
        <v>223.5</v>
      </c>
      <c r="BL74" s="2108">
        <v>228.1</v>
      </c>
      <c r="BM74" s="2108">
        <v>234.6</v>
      </c>
      <c r="BN74" s="2108">
        <v>235.2</v>
      </c>
      <c r="BO74" s="2108">
        <v>236.4</v>
      </c>
      <c r="BP74" s="2108">
        <v>236</v>
      </c>
      <c r="BQ74" s="2108">
        <v>236</v>
      </c>
      <c r="BR74" s="2108">
        <v>236.5</v>
      </c>
      <c r="BS74" s="2108">
        <v>239.5</v>
      </c>
      <c r="BT74" s="2108">
        <v>240.9</v>
      </c>
      <c r="BU74" s="2108">
        <v>247.7</v>
      </c>
      <c r="BV74" s="2108">
        <v>248.7</v>
      </c>
      <c r="BW74" s="2108">
        <v>260.7</v>
      </c>
      <c r="BX74" s="2108">
        <v>261.3</v>
      </c>
      <c r="BY74" s="2108">
        <v>262.89999999999998</v>
      </c>
      <c r="BZ74" s="2108">
        <v>267</v>
      </c>
      <c r="CA74" s="2108">
        <v>272.2</v>
      </c>
      <c r="CB74" s="2108">
        <v>278</v>
      </c>
      <c r="CC74" s="2108">
        <v>278.60000000000002</v>
      </c>
      <c r="CD74" s="2108">
        <v>283.5</v>
      </c>
      <c r="CE74" s="2108">
        <v>287.60000000000002</v>
      </c>
      <c r="CF74" s="2108">
        <v>292.3</v>
      </c>
      <c r="CG74" s="2108">
        <v>299.8</v>
      </c>
      <c r="CH74" s="2108">
        <v>300.7</v>
      </c>
      <c r="CI74" s="2108">
        <v>300.10000000000002</v>
      </c>
      <c r="CJ74" s="2108">
        <v>308.7</v>
      </c>
      <c r="CK74" s="2108">
        <v>311.5</v>
      </c>
      <c r="CL74" s="2108">
        <v>312.89999999999998</v>
      </c>
      <c r="CM74" s="2108">
        <v>317.60000000000002</v>
      </c>
      <c r="CN74" s="2108">
        <v>317.5</v>
      </c>
      <c r="CO74" s="2108">
        <v>321.2</v>
      </c>
      <c r="CP74" s="2108">
        <v>323.8</v>
      </c>
      <c r="CQ74" s="2108">
        <v>326.39999999999998</v>
      </c>
      <c r="CR74" s="2108">
        <v>327</v>
      </c>
      <c r="CS74" s="2108">
        <v>333.9</v>
      </c>
      <c r="CT74" s="2108">
        <v>334.9</v>
      </c>
      <c r="CU74" s="2108">
        <v>334.9</v>
      </c>
      <c r="CV74" s="2108">
        <v>339.5</v>
      </c>
      <c r="CW74" s="2108">
        <v>341.5</v>
      </c>
      <c r="CX74" s="2108">
        <v>343</v>
      </c>
      <c r="CY74" s="2108">
        <v>343.6</v>
      </c>
      <c r="CZ74" s="2108">
        <v>351.8</v>
      </c>
      <c r="DA74" s="2108">
        <v>354.7</v>
      </c>
      <c r="DB74" s="2108">
        <v>356.2</v>
      </c>
      <c r="DC74" s="2108">
        <v>357.5</v>
      </c>
      <c r="DD74" s="2108">
        <v>357.5</v>
      </c>
      <c r="DE74" s="2108">
        <v>365</v>
      </c>
      <c r="DF74" s="2108">
        <v>368</v>
      </c>
      <c r="DG74" s="2108">
        <v>369.7</v>
      </c>
      <c r="DH74" s="2108">
        <v>369.7</v>
      </c>
      <c r="DI74" s="2108">
        <v>376.4</v>
      </c>
      <c r="DJ74" s="2108">
        <v>377.2</v>
      </c>
      <c r="DK74" s="2108">
        <v>381.8</v>
      </c>
      <c r="DL74" s="2108">
        <v>386.6</v>
      </c>
      <c r="DM74" s="2108">
        <v>390.3</v>
      </c>
      <c r="DN74" s="2108">
        <v>392</v>
      </c>
      <c r="DO74" s="2108">
        <v>405.6</v>
      </c>
      <c r="DP74" s="2108">
        <v>407.3</v>
      </c>
      <c r="DQ74" s="2108">
        <v>408.7</v>
      </c>
      <c r="DR74" s="2108">
        <v>416.8</v>
      </c>
      <c r="DS74" s="2108">
        <v>418.4</v>
      </c>
      <c r="DT74" s="2108">
        <v>423</v>
      </c>
      <c r="DU74" s="2108">
        <v>427.5</v>
      </c>
      <c r="DV74" s="2108">
        <v>438.6</v>
      </c>
      <c r="DW74" s="2108">
        <v>439.9</v>
      </c>
      <c r="DX74" s="2108">
        <v>442.9</v>
      </c>
      <c r="DY74" s="2108">
        <v>444.3</v>
      </c>
      <c r="DZ74" s="2108">
        <v>445.4</v>
      </c>
      <c r="EA74" s="2108">
        <v>459.8</v>
      </c>
      <c r="EB74" s="2108">
        <v>466.2</v>
      </c>
      <c r="EC74" s="2108">
        <v>467.4</v>
      </c>
      <c r="ED74" s="2108">
        <v>468.4</v>
      </c>
      <c r="EE74" s="2108">
        <v>470.1</v>
      </c>
      <c r="EF74" s="2108">
        <v>489.8</v>
      </c>
      <c r="EG74" s="2108">
        <v>493.6</v>
      </c>
      <c r="EH74" s="2108">
        <v>495.8</v>
      </c>
      <c r="EI74" s="2108">
        <v>505.7</v>
      </c>
      <c r="EJ74" s="2108">
        <v>515.20000000000005</v>
      </c>
      <c r="EK74" s="2108">
        <v>517.20000000000005</v>
      </c>
      <c r="EL74" s="2108">
        <v>525.29999999999995</v>
      </c>
      <c r="EM74" s="2108">
        <v>541.1</v>
      </c>
      <c r="EN74" s="2108">
        <v>544.6</v>
      </c>
      <c r="EO74" s="2108">
        <v>552.1</v>
      </c>
      <c r="EP74" s="2108">
        <v>556.9</v>
      </c>
      <c r="EQ74" s="2108">
        <v>557.79999999999995</v>
      </c>
      <c r="ER74" s="2108">
        <v>557.9</v>
      </c>
      <c r="ES74" s="2108">
        <v>587</v>
      </c>
      <c r="ET74" s="2108">
        <v>588.9</v>
      </c>
      <c r="EU74" s="2108">
        <v>590.5</v>
      </c>
      <c r="EV74" s="2108">
        <v>595.9</v>
      </c>
      <c r="EW74" s="2108">
        <v>622.29999999999995</v>
      </c>
      <c r="EX74" s="2108">
        <v>631.5</v>
      </c>
      <c r="EY74" s="2108">
        <v>641.4</v>
      </c>
      <c r="EZ74" s="2108">
        <v>649.5</v>
      </c>
      <c r="FA74" s="2108">
        <v>680.4</v>
      </c>
      <c r="FB74" s="2108">
        <v>749.8</v>
      </c>
      <c r="FC74" s="2108">
        <v>774.8</v>
      </c>
      <c r="FD74" s="2108">
        <v>784.5</v>
      </c>
      <c r="FE74" s="2108">
        <v>790.8</v>
      </c>
      <c r="FF74" s="2108">
        <v>819.6</v>
      </c>
      <c r="FG74" s="2108">
        <v>823.8</v>
      </c>
      <c r="FH74" s="2108">
        <v>854.7</v>
      </c>
      <c r="FI74" s="2108">
        <v>859.2</v>
      </c>
      <c r="FJ74" s="2108">
        <v>869.4</v>
      </c>
      <c r="FK74" s="2108">
        <v>900.3</v>
      </c>
      <c r="FL74" s="2108">
        <v>917.5</v>
      </c>
      <c r="FM74" s="2108">
        <v>913.5</v>
      </c>
      <c r="FN74" s="2108">
        <v>941.8</v>
      </c>
      <c r="FO74" s="2108">
        <v>960</v>
      </c>
      <c r="FP74" s="2108">
        <v>957.5</v>
      </c>
      <c r="FQ74" s="2108">
        <v>991.4</v>
      </c>
      <c r="FR74" s="2108">
        <v>1000.2</v>
      </c>
      <c r="FS74" s="2108">
        <v>1011.3</v>
      </c>
      <c r="FT74" s="2108">
        <v>1051.9000000000001</v>
      </c>
      <c r="FU74" s="2108">
        <v>1079.8</v>
      </c>
      <c r="FV74" s="2108">
        <v>1078.8</v>
      </c>
      <c r="FW74" s="2113">
        <v>1463.8014193411768</v>
      </c>
      <c r="FX74" s="2113">
        <v>1550.4908165469972</v>
      </c>
      <c r="FY74" s="2113">
        <v>100</v>
      </c>
      <c r="FZ74" s="2113">
        <v>99.222129583358765</v>
      </c>
      <c r="GA74" s="2113">
        <v>101.07059330019581</v>
      </c>
      <c r="GB74" s="2113">
        <v>101.30967274971303</v>
      </c>
      <c r="GC74" s="2113">
        <v>99.540517169736859</v>
      </c>
      <c r="GD74" s="2113">
        <v>98.702001306849851</v>
      </c>
      <c r="GE74" s="2113">
        <v>102.06772151618904</v>
      </c>
      <c r="GF74" s="2114">
        <v>103.41121159304721</v>
      </c>
      <c r="GG74" s="1960">
        <v>108.93676447842662</v>
      </c>
      <c r="GH74" s="2114">
        <v>110.102983855613</v>
      </c>
      <c r="GI74" s="2114">
        <v>111.14674696686458</v>
      </c>
      <c r="GJ74" s="2113">
        <v>110.99863491883836</v>
      </c>
      <c r="GK74" s="2113">
        <v>113.73926092787225</v>
      </c>
      <c r="GL74" s="2113">
        <v>110.47500582625183</v>
      </c>
      <c r="GM74" s="2114">
        <v>110.53565205049188</v>
      </c>
      <c r="GN74" s="2114">
        <v>110.48038164179883</v>
      </c>
      <c r="GO74" s="2115">
        <v>110.83026350762162</v>
      </c>
      <c r="GP74" s="2116">
        <v>111.94753603168307</v>
      </c>
      <c r="GQ74" s="2116">
        <v>111.8950560868049</v>
      </c>
      <c r="GR74" s="2116">
        <v>112.82806089440201</v>
      </c>
      <c r="GS74" s="2116">
        <v>115.66905600757921</v>
      </c>
      <c r="GT74" s="1960">
        <v>117.47674351717338</v>
      </c>
      <c r="GU74" s="1960">
        <v>122.01230835059549</v>
      </c>
      <c r="GV74" s="1960">
        <v>126.32744640209496</v>
      </c>
      <c r="GW74" s="1960">
        <v>128.44419638806147</v>
      </c>
      <c r="GX74" s="1960">
        <v>132.82114953722586</v>
      </c>
      <c r="GY74" s="1960">
        <v>136.44469691660547</v>
      </c>
      <c r="GZ74" s="1960">
        <v>143.8083866662503</v>
      </c>
      <c r="HA74" s="1960">
        <v>151.38356326882402</v>
      </c>
      <c r="HB74" s="1960">
        <v>159.1660598455199</v>
      </c>
      <c r="HC74" s="1960">
        <v>170.21697734069281</v>
      </c>
      <c r="HD74" s="1960">
        <v>171.07068175460111</v>
      </c>
      <c r="HE74" s="1960">
        <v>182.05503709305222</v>
      </c>
      <c r="HF74" s="1960">
        <v>201.07679167314421</v>
      </c>
      <c r="HG74" s="1960">
        <v>208.23071776792199</v>
      </c>
      <c r="HH74" s="2117">
        <v>217.40966369600781</v>
      </c>
      <c r="HI74" s="1960">
        <v>217.2942547591758</v>
      </c>
      <c r="HJ74" s="1960">
        <v>233.4804635291226</v>
      </c>
      <c r="HK74" s="1960">
        <v>233.57128509473236</v>
      </c>
      <c r="HL74" s="1960">
        <v>245.44080252746272</v>
      </c>
      <c r="HM74" s="1960">
        <v>255.54764769985337</v>
      </c>
      <c r="HN74" s="1960">
        <v>263.71540679872845</v>
      </c>
      <c r="HO74" s="1960">
        <v>267.46530054620462</v>
      </c>
      <c r="HP74" s="1960">
        <v>300.11675510186308</v>
      </c>
      <c r="HQ74" s="1960">
        <v>325.05046339032981</v>
      </c>
      <c r="HR74" s="1960">
        <v>336.90934490030486</v>
      </c>
      <c r="HS74" s="1960">
        <v>369.85195234396122</v>
      </c>
      <c r="HT74" s="1962">
        <v>387.49441043016566</v>
      </c>
      <c r="HU74" s="1961">
        <v>407.94205012742867</v>
      </c>
      <c r="HV74" s="1960">
        <v>414.02196655452531</v>
      </c>
      <c r="HW74" s="1960">
        <v>449.50956368777037</v>
      </c>
      <c r="HX74" s="1960">
        <v>449.50956368777037</v>
      </c>
      <c r="HY74" s="1960">
        <v>449.50956368777037</v>
      </c>
      <c r="HZ74" s="1960">
        <v>449.50956368777037</v>
      </c>
      <c r="IA74" s="1960">
        <v>458.87434626459896</v>
      </c>
      <c r="IB74" s="1960">
        <v>514.78456266473302</v>
      </c>
      <c r="IC74" s="1960">
        <v>527.50946096524785</v>
      </c>
      <c r="ID74" s="1960">
        <v>562.37176372257579</v>
      </c>
      <c r="IE74" s="1960">
        <v>580.90871994990061</v>
      </c>
      <c r="IF74" s="1960">
        <v>603.22708511348173</v>
      </c>
      <c r="IG74" s="1961">
        <v>633.05529885388614</v>
      </c>
      <c r="IH74" s="1960">
        <v>677.51180263178583</v>
      </c>
      <c r="II74" s="1960">
        <v>688.92806008552895</v>
      </c>
      <c r="IJ74" s="1961">
        <v>713.55881377959645</v>
      </c>
      <c r="IK74" s="1960">
        <v>720.00913245470588</v>
      </c>
      <c r="IL74" s="1960">
        <v>740.17446640947253</v>
      </c>
      <c r="IM74" s="1960">
        <v>759.07379866943222</v>
      </c>
      <c r="IN74" s="1960">
        <v>777.02095811281663</v>
      </c>
      <c r="IO74" s="1960">
        <v>798.45352720044241</v>
      </c>
      <c r="IP74" s="1960">
        <v>812.07469108487203</v>
      </c>
      <c r="IQ74" s="1960">
        <v>847.43973180692717</v>
      </c>
      <c r="IR74" s="1960">
        <v>864.04520194896782</v>
      </c>
      <c r="IS74" s="2274">
        <v>919.80096845011064</v>
      </c>
      <c r="IT74" s="1960">
        <v>953.37854137624993</v>
      </c>
      <c r="IU74" s="1960">
        <v>944.79917907433776</v>
      </c>
      <c r="IV74" s="1960">
        <v>1112.9013201996406</v>
      </c>
      <c r="IW74" s="1960">
        <v>1156.0722329601854</v>
      </c>
      <c r="IX74" s="1960">
        <v>1216.499059531116</v>
      </c>
      <c r="IY74" s="1960">
        <v>1292.6828781213103</v>
      </c>
      <c r="IZ74" s="1960">
        <v>1394.4173959488448</v>
      </c>
      <c r="JA74" s="1960">
        <v>1496.7472510453279</v>
      </c>
      <c r="JB74" s="1960">
        <v>1636.3732260834186</v>
      </c>
      <c r="JC74" s="1960">
        <v>1711.0227828387228</v>
      </c>
      <c r="JD74" s="1960">
        <v>1817.3807874318532</v>
      </c>
      <c r="JE74" s="2274">
        <v>1901.5033100530907</v>
      </c>
      <c r="JF74" s="2117">
        <v>1975.1768186790525</v>
      </c>
      <c r="JG74" s="2103">
        <f t="shared" si="13"/>
        <v>1.0387448752975901</v>
      </c>
      <c r="JI74" s="2155"/>
      <c r="JJ74" s="2104"/>
    </row>
    <row r="75" spans="2:270" ht="21.75" customHeight="1">
      <c r="B75" s="2105">
        <v>50</v>
      </c>
      <c r="C75" s="2106" t="s">
        <v>73</v>
      </c>
      <c r="D75" s="2425" t="s">
        <v>1192</v>
      </c>
      <c r="E75" s="2107" t="s">
        <v>74</v>
      </c>
      <c r="F75" s="2106" t="s">
        <v>918</v>
      </c>
      <c r="G75" s="2425" t="s">
        <v>1112</v>
      </c>
      <c r="H75" s="2106" t="s">
        <v>919</v>
      </c>
      <c r="I75" s="2106" t="s">
        <v>920</v>
      </c>
      <c r="J75" s="2359" t="s">
        <v>1120</v>
      </c>
      <c r="K75" s="2425"/>
      <c r="L75" s="2110">
        <v>111.68</v>
      </c>
      <c r="M75" s="2110">
        <v>111.68</v>
      </c>
      <c r="N75" s="2110">
        <v>121.73</v>
      </c>
      <c r="O75" s="2110">
        <v>121.73</v>
      </c>
      <c r="P75" s="2110">
        <v>133.53</v>
      </c>
      <c r="Q75" s="2110">
        <v>140.55000000000001</v>
      </c>
      <c r="R75" s="2110">
        <v>163</v>
      </c>
      <c r="S75" s="2110">
        <v>178.53</v>
      </c>
      <c r="T75" s="2110">
        <v>204.58</v>
      </c>
      <c r="U75" s="2110">
        <v>227.23</v>
      </c>
      <c r="V75" s="2110">
        <v>243.62</v>
      </c>
      <c r="W75" s="2110">
        <v>255.83</v>
      </c>
      <c r="X75" s="2110">
        <v>260.43</v>
      </c>
      <c r="Y75" s="2110">
        <v>263.58</v>
      </c>
      <c r="Z75" s="2110">
        <v>263.48</v>
      </c>
      <c r="AA75" s="2110">
        <v>263.48</v>
      </c>
      <c r="AB75" s="2110">
        <v>263.48</v>
      </c>
      <c r="AC75" s="2110">
        <v>263.92</v>
      </c>
      <c r="AD75" s="2110">
        <v>264.07</v>
      </c>
      <c r="AE75" s="2110">
        <v>267.77999999999997</v>
      </c>
      <c r="AF75" s="2110">
        <v>268</v>
      </c>
      <c r="AG75" s="2110">
        <v>268</v>
      </c>
      <c r="AH75" s="2110">
        <v>268</v>
      </c>
      <c r="AI75" s="2110">
        <v>268</v>
      </c>
      <c r="AJ75" s="2110">
        <v>268</v>
      </c>
      <c r="AK75" s="2110">
        <v>270.37</v>
      </c>
      <c r="AL75" s="2110">
        <v>272.98</v>
      </c>
      <c r="AM75" s="2110">
        <v>272.98</v>
      </c>
      <c r="AN75" s="2110">
        <v>272.98</v>
      </c>
      <c r="AO75" s="2110">
        <v>278.16000000000003</v>
      </c>
      <c r="AP75" s="2110">
        <v>281.66000000000003</v>
      </c>
      <c r="AQ75" s="2110">
        <v>281.66000000000003</v>
      </c>
      <c r="AR75" s="2110">
        <v>281.66000000000003</v>
      </c>
      <c r="AS75" s="2110">
        <v>281.66000000000003</v>
      </c>
      <c r="AT75" s="2110">
        <v>281.66000000000003</v>
      </c>
      <c r="AU75" s="2110">
        <v>281.89999999999998</v>
      </c>
      <c r="AV75" s="2110">
        <v>281.89999999999998</v>
      </c>
      <c r="AW75" s="2111">
        <v>281.89999999999998</v>
      </c>
      <c r="AX75" s="2111">
        <v>281.89999999999998</v>
      </c>
      <c r="AY75" s="2111">
        <v>281.89999999999998</v>
      </c>
      <c r="AZ75" s="2111">
        <v>282.2</v>
      </c>
      <c r="BA75" s="2111">
        <v>282.2</v>
      </c>
      <c r="BB75" s="2111">
        <v>282.2</v>
      </c>
      <c r="BC75" s="2111">
        <v>282.2</v>
      </c>
      <c r="BD75" s="2112">
        <v>282.2</v>
      </c>
      <c r="BE75" s="2111">
        <v>282.2</v>
      </c>
      <c r="BF75" s="2112">
        <v>282.39999999999998</v>
      </c>
      <c r="BG75" s="2112">
        <v>282.39999999999998</v>
      </c>
      <c r="BH75" s="2112">
        <v>282.39999999999998</v>
      </c>
      <c r="BI75" s="2108">
        <v>282.39999999999998</v>
      </c>
      <c r="BJ75" s="2108">
        <v>282.70999999999998</v>
      </c>
      <c r="BK75" s="2108">
        <v>277.11</v>
      </c>
      <c r="BL75" s="2108">
        <v>290.88</v>
      </c>
      <c r="BM75" s="2108">
        <v>290.88</v>
      </c>
      <c r="BN75" s="2108">
        <v>291.08999999999997</v>
      </c>
      <c r="BO75" s="2108">
        <v>291.08999999999997</v>
      </c>
      <c r="BP75" s="2108">
        <v>291.08999999999997</v>
      </c>
      <c r="BQ75" s="2108">
        <v>291.08999999999997</v>
      </c>
      <c r="BR75" s="2108">
        <v>291.08999999999997</v>
      </c>
      <c r="BS75" s="2108">
        <v>291.08999999999997</v>
      </c>
      <c r="BT75" s="2108">
        <v>301.73</v>
      </c>
      <c r="BU75" s="2108">
        <v>311.7</v>
      </c>
      <c r="BV75" s="2108">
        <v>311.7</v>
      </c>
      <c r="BW75" s="2108">
        <v>329.62</v>
      </c>
      <c r="BX75" s="2108">
        <v>329.95</v>
      </c>
      <c r="BY75" s="2108">
        <v>329.95</v>
      </c>
      <c r="BZ75" s="2108">
        <v>340.67</v>
      </c>
      <c r="CA75" s="2108">
        <v>340.75</v>
      </c>
      <c r="CB75" s="2108">
        <v>347.52</v>
      </c>
      <c r="CC75" s="2108">
        <v>347.98</v>
      </c>
      <c r="CD75" s="2108">
        <v>347.98</v>
      </c>
      <c r="CE75" s="2108">
        <v>364.08</v>
      </c>
      <c r="CF75" s="2108">
        <v>365.3</v>
      </c>
      <c r="CG75" s="2108">
        <v>381.68</v>
      </c>
      <c r="CH75" s="2108">
        <v>381.68</v>
      </c>
      <c r="CI75" s="2108">
        <v>381.68</v>
      </c>
      <c r="CJ75" s="2108">
        <v>393.83</v>
      </c>
      <c r="CK75" s="2108">
        <v>397.34</v>
      </c>
      <c r="CL75" s="2108">
        <v>397.34</v>
      </c>
      <c r="CM75" s="2108">
        <v>397.84</v>
      </c>
      <c r="CN75" s="2108">
        <v>397.84</v>
      </c>
      <c r="CO75" s="2108">
        <v>414.59</v>
      </c>
      <c r="CP75" s="2108">
        <v>414.64</v>
      </c>
      <c r="CQ75" s="2108">
        <v>415.08</v>
      </c>
      <c r="CR75" s="2108">
        <v>414.9</v>
      </c>
      <c r="CS75" s="2108">
        <v>431.23</v>
      </c>
      <c r="CT75" s="2108">
        <v>431.69</v>
      </c>
      <c r="CU75" s="2108">
        <v>431.69</v>
      </c>
      <c r="CV75" s="2108">
        <v>438.31</v>
      </c>
      <c r="CW75" s="2108">
        <v>440.51</v>
      </c>
      <c r="CX75" s="2108">
        <v>440.51</v>
      </c>
      <c r="CY75" s="2108">
        <v>440.51</v>
      </c>
      <c r="CZ75" s="2108">
        <v>449.06</v>
      </c>
      <c r="DA75" s="2108">
        <v>449.06</v>
      </c>
      <c r="DB75" s="2108">
        <v>452.53</v>
      </c>
      <c r="DC75" s="2108">
        <v>454.76</v>
      </c>
      <c r="DD75" s="2108">
        <v>454.76</v>
      </c>
      <c r="DE75" s="2108">
        <v>469.05</v>
      </c>
      <c r="DF75" s="2108">
        <v>473.32</v>
      </c>
      <c r="DG75" s="2108">
        <v>473.32</v>
      </c>
      <c r="DH75" s="2108">
        <v>473.11</v>
      </c>
      <c r="DI75" s="2108">
        <v>492.39</v>
      </c>
      <c r="DJ75" s="2108">
        <v>492.39</v>
      </c>
      <c r="DK75" s="2108">
        <v>492.39</v>
      </c>
      <c r="DL75" s="2108">
        <v>493.11</v>
      </c>
      <c r="DM75" s="2108">
        <v>493.11</v>
      </c>
      <c r="DN75" s="2108">
        <v>493.11</v>
      </c>
      <c r="DO75" s="2108">
        <v>509.85</v>
      </c>
      <c r="DP75" s="2108">
        <v>509.85</v>
      </c>
      <c r="DQ75" s="2108">
        <v>509.85</v>
      </c>
      <c r="DR75" s="2108">
        <v>525.39</v>
      </c>
      <c r="DS75" s="2108">
        <v>529.62</v>
      </c>
      <c r="DT75" s="2108">
        <v>529.62</v>
      </c>
      <c r="DU75" s="2108">
        <v>538.66999999999996</v>
      </c>
      <c r="DV75" s="2108">
        <v>550.15</v>
      </c>
      <c r="DW75" s="2108">
        <v>551.14</v>
      </c>
      <c r="DX75" s="2108">
        <v>551.53</v>
      </c>
      <c r="DY75" s="2108">
        <v>551.53</v>
      </c>
      <c r="DZ75" s="2108">
        <v>552.36</v>
      </c>
      <c r="EA75" s="2108">
        <v>553.51</v>
      </c>
      <c r="EB75" s="2108">
        <v>575.30999999999995</v>
      </c>
      <c r="EC75" s="2108">
        <v>580.54</v>
      </c>
      <c r="ED75" s="2108">
        <v>580.54</v>
      </c>
      <c r="EE75" s="2108">
        <v>581.49</v>
      </c>
      <c r="EF75" s="2108">
        <v>598.91999999999996</v>
      </c>
      <c r="EG75" s="2108">
        <v>602.66999999999996</v>
      </c>
      <c r="EH75" s="2108">
        <v>602.66999999999996</v>
      </c>
      <c r="EI75" s="2108">
        <v>614.08000000000004</v>
      </c>
      <c r="EJ75" s="2108">
        <v>626.52</v>
      </c>
      <c r="EK75" s="2108">
        <v>626.49</v>
      </c>
      <c r="EL75" s="2108">
        <v>638.71</v>
      </c>
      <c r="EM75" s="2108">
        <v>651.96</v>
      </c>
      <c r="EN75" s="2108">
        <v>651.96</v>
      </c>
      <c r="EO75" s="2108">
        <v>651.96</v>
      </c>
      <c r="EP75" s="2108">
        <v>653.26</v>
      </c>
      <c r="EQ75" s="2108">
        <v>653.26</v>
      </c>
      <c r="ER75" s="2108">
        <v>653.26</v>
      </c>
      <c r="ES75" s="2108">
        <v>668.92</v>
      </c>
      <c r="ET75" s="2108">
        <v>684.84</v>
      </c>
      <c r="EU75" s="2108">
        <v>684.84</v>
      </c>
      <c r="EV75" s="2108">
        <v>686.29</v>
      </c>
      <c r="EW75" s="2108">
        <v>695.16</v>
      </c>
      <c r="EX75" s="2108">
        <v>706.2</v>
      </c>
      <c r="EY75" s="2108">
        <v>710.02</v>
      </c>
      <c r="EZ75" s="2108">
        <v>731.41</v>
      </c>
      <c r="FA75" s="2108">
        <v>764.21</v>
      </c>
      <c r="FB75" s="2108">
        <v>819.21</v>
      </c>
      <c r="FC75" s="2108">
        <v>868.31</v>
      </c>
      <c r="FD75" s="2108">
        <v>874.43</v>
      </c>
      <c r="FE75" s="2108">
        <v>874.26</v>
      </c>
      <c r="FF75" s="2108">
        <v>908.02</v>
      </c>
      <c r="FG75" s="2108">
        <v>915.39</v>
      </c>
      <c r="FH75" s="2108">
        <v>916.47</v>
      </c>
      <c r="FI75" s="2108">
        <v>951.64</v>
      </c>
      <c r="FJ75" s="2108">
        <v>958.99</v>
      </c>
      <c r="FK75" s="2108">
        <v>999.26</v>
      </c>
      <c r="FL75" s="2108">
        <v>1009.04</v>
      </c>
      <c r="FM75" s="2108">
        <v>1016.92</v>
      </c>
      <c r="FN75" s="2108">
        <v>1017.8</v>
      </c>
      <c r="FO75" s="2108">
        <v>1057.18</v>
      </c>
      <c r="FP75" s="2108">
        <v>1076.45</v>
      </c>
      <c r="FQ75" s="2108">
        <v>1095.1500000000001</v>
      </c>
      <c r="FR75" s="2108">
        <v>1118.81</v>
      </c>
      <c r="FS75" s="2108">
        <v>1123.6199999999999</v>
      </c>
      <c r="FT75" s="2108">
        <v>1169.5899999999999</v>
      </c>
      <c r="FU75" s="2108">
        <v>1174.96</v>
      </c>
      <c r="FV75" s="2108">
        <v>1179.99</v>
      </c>
      <c r="FW75" s="2113">
        <v>1555.7625463977276</v>
      </c>
      <c r="FX75" s="2113">
        <v>1626.4125631764164</v>
      </c>
      <c r="FY75" s="2113">
        <v>100</v>
      </c>
      <c r="FZ75" s="2113">
        <v>99.783813953399658</v>
      </c>
      <c r="GA75" s="2113">
        <v>100.87615816821511</v>
      </c>
      <c r="GB75" s="2113">
        <v>100.22949963232732</v>
      </c>
      <c r="GC75" s="2113">
        <v>100.78803427714715</v>
      </c>
      <c r="GD75" s="2113">
        <v>100.58199127217912</v>
      </c>
      <c r="GE75" s="2113">
        <v>103.43743509474234</v>
      </c>
      <c r="GF75" s="2114">
        <v>103.18511191617162</v>
      </c>
      <c r="GG75" s="1960">
        <v>106.65424456948024</v>
      </c>
      <c r="GH75" s="2114">
        <v>106.76391705789028</v>
      </c>
      <c r="GI75" s="2114">
        <v>107.22291262721188</v>
      </c>
      <c r="GJ75" s="2113">
        <v>108.0749841272218</v>
      </c>
      <c r="GK75" s="2113">
        <v>109.25101961500488</v>
      </c>
      <c r="GL75" s="2113">
        <v>109.3556262660187</v>
      </c>
      <c r="GM75" s="2114">
        <v>110.20579551013699</v>
      </c>
      <c r="GN75" s="2114">
        <v>110.20579551013699</v>
      </c>
      <c r="GO75" s="2115">
        <v>110.46446082240324</v>
      </c>
      <c r="GP75" s="2116">
        <v>113.69523310447326</v>
      </c>
      <c r="GQ75" s="2116">
        <v>114.35457157932312</v>
      </c>
      <c r="GR75" s="2116">
        <v>115.53948971070396</v>
      </c>
      <c r="GS75" s="2116">
        <v>117.35838856397091</v>
      </c>
      <c r="GT75" s="1960">
        <v>118.57944011334295</v>
      </c>
      <c r="GU75" s="1960">
        <v>121.44757387517295</v>
      </c>
      <c r="GV75" s="1960">
        <v>123.90615884515938</v>
      </c>
      <c r="GW75" s="1960">
        <v>127.73921671826484</v>
      </c>
      <c r="GX75" s="1960">
        <v>133.1927286027788</v>
      </c>
      <c r="GY75" s="1960">
        <v>137.03339631892402</v>
      </c>
      <c r="GZ75" s="1960">
        <v>140.09371770554588</v>
      </c>
      <c r="HA75" s="1960">
        <v>148.07834723940456</v>
      </c>
      <c r="HB75" s="1960">
        <v>158.54179200674278</v>
      </c>
      <c r="HC75" s="1960">
        <v>169.58576724978144</v>
      </c>
      <c r="HD75" s="1960">
        <v>172.47860256697547</v>
      </c>
      <c r="HE75" s="1960">
        <v>187.17270632224012</v>
      </c>
      <c r="HF75" s="1960">
        <v>203.17186957876319</v>
      </c>
      <c r="HG75" s="1960">
        <v>212.14065674893763</v>
      </c>
      <c r="HH75" s="2117">
        <v>217.35588404274085</v>
      </c>
      <c r="HI75" s="1960">
        <v>214.13294786619213</v>
      </c>
      <c r="HJ75" s="1960">
        <v>234.37771339335092</v>
      </c>
      <c r="HK75" s="1960">
        <v>239.26924079457214</v>
      </c>
      <c r="HL75" s="1960">
        <v>253.34581269110419</v>
      </c>
      <c r="HM75" s="1960">
        <v>261.3572268648827</v>
      </c>
      <c r="HN75" s="1960">
        <v>268.31581373329334</v>
      </c>
      <c r="HO75" s="1960">
        <v>273.16371225302595</v>
      </c>
      <c r="HP75" s="1960">
        <v>308.00253931698285</v>
      </c>
      <c r="HQ75" s="1960">
        <v>326.70365320186619</v>
      </c>
      <c r="HR75" s="1960">
        <v>340.1475946791212</v>
      </c>
      <c r="HS75" s="1960">
        <v>368.83878698745303</v>
      </c>
      <c r="HT75" s="1962">
        <v>385.10225027203234</v>
      </c>
      <c r="HU75" s="1961">
        <v>404.75485999174668</v>
      </c>
      <c r="HV75" s="1960">
        <v>408.15319941680934</v>
      </c>
      <c r="HW75" s="1960">
        <v>447.11327754295934</v>
      </c>
      <c r="HX75" s="1960">
        <v>447.11327754295934</v>
      </c>
      <c r="HY75" s="1960">
        <v>447.11327754295934</v>
      </c>
      <c r="HZ75" s="1960">
        <v>447.11327754295934</v>
      </c>
      <c r="IA75" s="1960">
        <v>472.35354321070702</v>
      </c>
      <c r="IB75" s="1960">
        <v>496.34406672393203</v>
      </c>
      <c r="IC75" s="1960">
        <v>509.0815293796835</v>
      </c>
      <c r="ID75" s="1960">
        <v>543.15721598732057</v>
      </c>
      <c r="IE75" s="1960">
        <v>542.83203745146807</v>
      </c>
      <c r="IF75" s="1960">
        <v>562.28365082768755</v>
      </c>
      <c r="IG75" s="1961">
        <v>576.50942719362808</v>
      </c>
      <c r="IH75" s="1960">
        <v>591.65564555509172</v>
      </c>
      <c r="II75" s="1960">
        <v>602.94375741579597</v>
      </c>
      <c r="IJ75" s="1961">
        <v>613.39548878088442</v>
      </c>
      <c r="IK75" s="1960">
        <v>629.27436729895692</v>
      </c>
      <c r="IL75" s="1960">
        <v>652.94748718091034</v>
      </c>
      <c r="IM75" s="1960">
        <v>663.52426452772045</v>
      </c>
      <c r="IN75" s="1960">
        <v>683.20377533737008</v>
      </c>
      <c r="IO75" s="1960">
        <v>693.40537411070761</v>
      </c>
      <c r="IP75" s="1960">
        <v>714.31302898642161</v>
      </c>
      <c r="IQ75" s="1960">
        <v>725.89347181234939</v>
      </c>
      <c r="IR75" s="1960">
        <v>757.58199578072902</v>
      </c>
      <c r="IS75" s="2274">
        <v>798.32741289596663</v>
      </c>
      <c r="IT75" s="1960">
        <v>832.88924168413575</v>
      </c>
      <c r="IU75" s="1960">
        <v>865.2571133126479</v>
      </c>
      <c r="IV75" s="1960">
        <v>918.4992962170121</v>
      </c>
      <c r="IW75" s="1960">
        <v>963.55408642597183</v>
      </c>
      <c r="IX75" s="1960">
        <v>1026.4489256342499</v>
      </c>
      <c r="IY75" s="1960">
        <v>1109.3379449952058</v>
      </c>
      <c r="IZ75" s="1960">
        <v>1175.4280635488747</v>
      </c>
      <c r="JA75" s="1960">
        <v>1255.1287498840568</v>
      </c>
      <c r="JB75" s="1960">
        <v>1325.9229848741511</v>
      </c>
      <c r="JC75" s="1960">
        <v>1422.6772704828236</v>
      </c>
      <c r="JD75" s="1960">
        <v>1504.767594493399</v>
      </c>
      <c r="JE75" s="2274">
        <v>1551.4960473333108</v>
      </c>
      <c r="JF75" s="2117">
        <v>1609.4896930293332</v>
      </c>
      <c r="JG75" s="2103">
        <f t="shared" si="13"/>
        <v>1.0373791772113767</v>
      </c>
      <c r="JI75" s="2155"/>
      <c r="JJ75" s="2104"/>
    </row>
    <row r="76" spans="2:270" ht="31.5">
      <c r="B76" s="2105">
        <v>51</v>
      </c>
      <c r="C76" s="2106" t="s">
        <v>75</v>
      </c>
      <c r="D76" s="2425" t="s">
        <v>1193</v>
      </c>
      <c r="E76" s="2128" t="s">
        <v>77</v>
      </c>
      <c r="F76" s="2106" t="s">
        <v>918</v>
      </c>
      <c r="G76" s="2425" t="s">
        <v>1112</v>
      </c>
      <c r="H76" s="2106" t="s">
        <v>919</v>
      </c>
      <c r="I76" s="2106" t="s">
        <v>920</v>
      </c>
      <c r="J76" s="2359" t="s">
        <v>78</v>
      </c>
      <c r="K76" s="2425"/>
      <c r="L76" s="2110">
        <v>102.52</v>
      </c>
      <c r="M76" s="2110">
        <v>110.58</v>
      </c>
      <c r="N76" s="2110">
        <v>125.39</v>
      </c>
      <c r="O76" s="2110">
        <v>130.07</v>
      </c>
      <c r="P76" s="2110">
        <v>167.15</v>
      </c>
      <c r="Q76" s="2110">
        <v>193.81</v>
      </c>
      <c r="R76" s="2110">
        <v>222.23</v>
      </c>
      <c r="S76" s="2110">
        <v>233.28</v>
      </c>
      <c r="T76" s="2110">
        <v>244.94</v>
      </c>
      <c r="U76" s="2110">
        <v>269.44</v>
      </c>
      <c r="V76" s="2110">
        <v>269.44</v>
      </c>
      <c r="W76" s="2110">
        <v>269.44</v>
      </c>
      <c r="X76" s="2110">
        <v>253.25</v>
      </c>
      <c r="Y76" s="2110">
        <v>253.25</v>
      </c>
      <c r="Z76" s="2110">
        <v>253.25</v>
      </c>
      <c r="AA76" s="2110">
        <v>268.45</v>
      </c>
      <c r="AB76" s="2110">
        <v>284.56</v>
      </c>
      <c r="AC76" s="2110">
        <v>284.56</v>
      </c>
      <c r="AD76" s="2110">
        <v>284.56</v>
      </c>
      <c r="AE76" s="2110">
        <v>284.56</v>
      </c>
      <c r="AF76" s="2110">
        <v>284.56</v>
      </c>
      <c r="AG76" s="2110">
        <v>284.56</v>
      </c>
      <c r="AH76" s="2110">
        <v>284.56</v>
      </c>
      <c r="AI76" s="2110">
        <v>298.79000000000002</v>
      </c>
      <c r="AJ76" s="2110">
        <v>298.79000000000002</v>
      </c>
      <c r="AK76" s="2110">
        <v>329.38</v>
      </c>
      <c r="AL76" s="2110">
        <v>349.14</v>
      </c>
      <c r="AM76" s="2110">
        <v>367.87</v>
      </c>
      <c r="AN76" s="2110">
        <v>367.87</v>
      </c>
      <c r="AO76" s="2110">
        <v>389.97</v>
      </c>
      <c r="AP76" s="2110">
        <v>405.54</v>
      </c>
      <c r="AQ76" s="2110">
        <v>405.54</v>
      </c>
      <c r="AR76" s="2110">
        <v>410.04</v>
      </c>
      <c r="AS76" s="2110">
        <v>410.04</v>
      </c>
      <c r="AT76" s="2110">
        <v>410.04</v>
      </c>
      <c r="AU76" s="2110">
        <v>410.04</v>
      </c>
      <c r="AV76" s="2110">
        <v>410.04</v>
      </c>
      <c r="AW76" s="2111">
        <v>410.04</v>
      </c>
      <c r="AX76" s="2111">
        <v>410.04</v>
      </c>
      <c r="AY76" s="2111">
        <v>410.04</v>
      </c>
      <c r="AZ76" s="2111">
        <v>410.04</v>
      </c>
      <c r="BA76" s="2111">
        <v>410.04</v>
      </c>
      <c r="BB76" s="2111">
        <v>410.1</v>
      </c>
      <c r="BC76" s="2111">
        <v>410.04</v>
      </c>
      <c r="BD76" s="2112">
        <v>410.04</v>
      </c>
      <c r="BE76" s="2111">
        <v>410.04</v>
      </c>
      <c r="BF76" s="2112">
        <v>410.04</v>
      </c>
      <c r="BG76" s="2112">
        <v>410.04</v>
      </c>
      <c r="BH76" s="2112">
        <v>410.04</v>
      </c>
      <c r="BI76" s="2108">
        <v>410.04</v>
      </c>
      <c r="BJ76" s="2108">
        <v>410.04</v>
      </c>
      <c r="BK76" s="2108">
        <v>410.04</v>
      </c>
      <c r="BL76" s="2108">
        <v>410.04</v>
      </c>
      <c r="BM76" s="2108">
        <v>410.04</v>
      </c>
      <c r="BN76" s="2108">
        <v>410.04</v>
      </c>
      <c r="BO76" s="2108">
        <v>410.04</v>
      </c>
      <c r="BP76" s="2108">
        <v>410.04</v>
      </c>
      <c r="BQ76" s="2108">
        <v>410.04</v>
      </c>
      <c r="BR76" s="2108">
        <v>410.04</v>
      </c>
      <c r="BS76" s="2108">
        <v>410.04</v>
      </c>
      <c r="BT76" s="2108">
        <v>410.04</v>
      </c>
      <c r="BU76" s="2108">
        <v>413.65</v>
      </c>
      <c r="BV76" s="2108">
        <v>413.65</v>
      </c>
      <c r="BW76" s="2108">
        <v>419.02</v>
      </c>
      <c r="BX76" s="2108">
        <v>431.7</v>
      </c>
      <c r="BY76" s="2108">
        <v>444.97</v>
      </c>
      <c r="BZ76" s="2108">
        <v>444.97</v>
      </c>
      <c r="CA76" s="2108">
        <v>477.74</v>
      </c>
      <c r="CB76" s="2108">
        <v>477.74</v>
      </c>
      <c r="CC76" s="2108">
        <v>486.35</v>
      </c>
      <c r="CD76" s="2108">
        <v>486.2</v>
      </c>
      <c r="CE76" s="2108">
        <v>509.76</v>
      </c>
      <c r="CF76" s="2108">
        <v>509.76</v>
      </c>
      <c r="CG76" s="2108">
        <v>541.09</v>
      </c>
      <c r="CH76" s="2108">
        <v>538.76</v>
      </c>
      <c r="CI76" s="2108">
        <v>541.09</v>
      </c>
      <c r="CJ76" s="2108">
        <v>546.23</v>
      </c>
      <c r="CK76" s="2108">
        <v>546.23</v>
      </c>
      <c r="CL76" s="2108">
        <v>551.5</v>
      </c>
      <c r="CM76" s="2108">
        <v>583.35</v>
      </c>
      <c r="CN76" s="2108">
        <v>588.64</v>
      </c>
      <c r="CO76" s="2108">
        <v>608.64</v>
      </c>
      <c r="CP76" s="2108">
        <v>608.64</v>
      </c>
      <c r="CQ76" s="2108">
        <v>574.54</v>
      </c>
      <c r="CR76" s="2108">
        <v>614.07000000000005</v>
      </c>
      <c r="CS76" s="2108">
        <v>614.07000000000005</v>
      </c>
      <c r="CT76" s="2108">
        <v>581.99</v>
      </c>
      <c r="CU76" s="2108">
        <v>578.9</v>
      </c>
      <c r="CV76" s="2108">
        <v>580.87</v>
      </c>
      <c r="CW76" s="2108">
        <v>580.87</v>
      </c>
      <c r="CX76" s="2108">
        <v>584.52</v>
      </c>
      <c r="CY76" s="2108">
        <v>584.52</v>
      </c>
      <c r="CZ76" s="2108">
        <v>584.52</v>
      </c>
      <c r="DA76" s="2108">
        <v>610.64</v>
      </c>
      <c r="DB76" s="2108">
        <v>639.76</v>
      </c>
      <c r="DC76" s="2108">
        <v>639.76</v>
      </c>
      <c r="DD76" s="2108">
        <v>648.42999999999995</v>
      </c>
      <c r="DE76" s="2108">
        <v>653.44000000000005</v>
      </c>
      <c r="DF76" s="2108">
        <v>662.37</v>
      </c>
      <c r="DG76" s="2108">
        <v>675.76</v>
      </c>
      <c r="DH76" s="2108">
        <v>682.04</v>
      </c>
      <c r="DI76" s="2108">
        <v>687.16</v>
      </c>
      <c r="DJ76" s="2108">
        <v>686.92</v>
      </c>
      <c r="DK76" s="2108">
        <v>686.92</v>
      </c>
      <c r="DL76" s="2108">
        <v>699.31</v>
      </c>
      <c r="DM76" s="2108">
        <v>701.16</v>
      </c>
      <c r="DN76" s="2108">
        <v>701.16</v>
      </c>
      <c r="DO76" s="2108">
        <v>712.5</v>
      </c>
      <c r="DP76" s="2108">
        <v>714.34</v>
      </c>
      <c r="DQ76" s="2108">
        <v>713.9</v>
      </c>
      <c r="DR76" s="2108">
        <v>713.9</v>
      </c>
      <c r="DS76" s="2108">
        <v>713.9</v>
      </c>
      <c r="DT76" s="2108">
        <v>720.11</v>
      </c>
      <c r="DU76" s="2108">
        <v>720.08</v>
      </c>
      <c r="DV76" s="2108">
        <v>720.08</v>
      </c>
      <c r="DW76" s="2108">
        <v>719.85</v>
      </c>
      <c r="DX76" s="2108">
        <v>717.38</v>
      </c>
      <c r="DY76" s="2108">
        <v>717.38</v>
      </c>
      <c r="DZ76" s="2108">
        <v>710.95</v>
      </c>
      <c r="EA76" s="2108">
        <v>710.95</v>
      </c>
      <c r="EB76" s="2108">
        <v>710.95</v>
      </c>
      <c r="EC76" s="2108">
        <v>710.95</v>
      </c>
      <c r="ED76" s="2108">
        <v>710.95</v>
      </c>
      <c r="EE76" s="2108">
        <v>710.95</v>
      </c>
      <c r="EF76" s="2108">
        <v>710.95</v>
      </c>
      <c r="EG76" s="2108">
        <v>724.34</v>
      </c>
      <c r="EH76" s="2108">
        <v>739.32</v>
      </c>
      <c r="EI76" s="2108">
        <v>739.32</v>
      </c>
      <c r="EJ76" s="2108">
        <v>739.32</v>
      </c>
      <c r="EK76" s="2108">
        <v>739.32</v>
      </c>
      <c r="EL76" s="2108">
        <v>751.65</v>
      </c>
      <c r="EM76" s="2108">
        <v>762.22</v>
      </c>
      <c r="EN76" s="2108">
        <v>762.22</v>
      </c>
      <c r="EO76" s="2108">
        <v>762.22</v>
      </c>
      <c r="EP76" s="2108">
        <v>762.22</v>
      </c>
      <c r="EQ76" s="2108">
        <v>762.22</v>
      </c>
      <c r="ER76" s="2108">
        <v>762.22</v>
      </c>
      <c r="ES76" s="2108">
        <v>762.22</v>
      </c>
      <c r="ET76" s="2108">
        <v>776.71</v>
      </c>
      <c r="EU76" s="2108">
        <v>776.71</v>
      </c>
      <c r="EV76" s="2108">
        <v>783.81</v>
      </c>
      <c r="EW76" s="2108">
        <v>783.81</v>
      </c>
      <c r="EX76" s="2108">
        <v>783.81</v>
      </c>
      <c r="EY76" s="2108">
        <v>790.83</v>
      </c>
      <c r="EZ76" s="2108">
        <v>802</v>
      </c>
      <c r="FA76" s="2108">
        <v>866.28</v>
      </c>
      <c r="FB76" s="2108">
        <v>909.46</v>
      </c>
      <c r="FC76" s="2108">
        <v>940.32</v>
      </c>
      <c r="FD76" s="2108">
        <v>981.71</v>
      </c>
      <c r="FE76" s="2108">
        <v>1017.57</v>
      </c>
      <c r="FF76" s="2108">
        <v>1006.1</v>
      </c>
      <c r="FG76" s="2108">
        <v>1016.28</v>
      </c>
      <c r="FH76" s="2108">
        <v>1058.9100000000001</v>
      </c>
      <c r="FI76" s="2108">
        <v>1070.75</v>
      </c>
      <c r="FJ76" s="2108">
        <v>1089.99</v>
      </c>
      <c r="FK76" s="2108">
        <v>1093.22</v>
      </c>
      <c r="FL76" s="2108">
        <v>1096.6600000000001</v>
      </c>
      <c r="FM76" s="2108">
        <v>1064.6099999999999</v>
      </c>
      <c r="FN76" s="2108">
        <v>1092.8599999999999</v>
      </c>
      <c r="FO76" s="2108">
        <v>1111.79</v>
      </c>
      <c r="FP76" s="2108">
        <v>1127.3800000000001</v>
      </c>
      <c r="FQ76" s="2108">
        <v>1135.4000000000001</v>
      </c>
      <c r="FR76" s="2108">
        <v>1143.0899999999999</v>
      </c>
      <c r="FS76" s="2108">
        <v>1152.9100000000001</v>
      </c>
      <c r="FT76" s="2108">
        <v>1162.82</v>
      </c>
      <c r="FU76" s="2108">
        <v>1174.6600000000001</v>
      </c>
      <c r="FV76" s="2108">
        <v>1203.02</v>
      </c>
      <c r="FW76" s="2113">
        <v>1413.3459972582814</v>
      </c>
      <c r="FX76" s="2113">
        <v>1541.424480230402</v>
      </c>
      <c r="FY76" s="2113">
        <v>100</v>
      </c>
      <c r="FZ76" s="2113">
        <v>108.55122804641724</v>
      </c>
      <c r="GA76" s="2113">
        <v>117.27579531294623</v>
      </c>
      <c r="GB76" s="2113">
        <v>117.9198007916968</v>
      </c>
      <c r="GC76" s="2113">
        <v>117.94635472098942</v>
      </c>
      <c r="GD76" s="2113">
        <v>120.34300335375021</v>
      </c>
      <c r="GE76" s="2113">
        <v>121.41315786307719</v>
      </c>
      <c r="GF76" s="2114">
        <v>121.55624363828976</v>
      </c>
      <c r="GG76" s="1960">
        <v>121.6019905680743</v>
      </c>
      <c r="GH76" s="2114">
        <v>122.15368264345078</v>
      </c>
      <c r="GI76" s="2114">
        <v>123.27325620516199</v>
      </c>
      <c r="GJ76" s="2113">
        <v>123.48482468822684</v>
      </c>
      <c r="GK76" s="2113">
        <v>125.52470855171723</v>
      </c>
      <c r="GL76" s="2113">
        <v>127.91474245237123</v>
      </c>
      <c r="GM76" s="2114">
        <v>129.9540326417102</v>
      </c>
      <c r="GN76" s="2114">
        <v>130.74675985036137</v>
      </c>
      <c r="GO76" s="2115">
        <v>131.69536888037121</v>
      </c>
      <c r="GP76" s="2116">
        <v>131.91531623254383</v>
      </c>
      <c r="GQ76" s="2116">
        <v>136.95149620424513</v>
      </c>
      <c r="GR76" s="2116">
        <v>141.98711919380696</v>
      </c>
      <c r="GS76" s="2116">
        <v>145.21780293220584</v>
      </c>
      <c r="GT76" s="1960">
        <v>148.74550191176536</v>
      </c>
      <c r="GU76" s="1960">
        <v>150.47442778580844</v>
      </c>
      <c r="GV76" s="1960">
        <v>152.21894720136027</v>
      </c>
      <c r="GW76" s="1960">
        <v>158.06038864055088</v>
      </c>
      <c r="GX76" s="1960">
        <v>164.3614687108157</v>
      </c>
      <c r="GY76" s="1960">
        <v>167.70586853188843</v>
      </c>
      <c r="GZ76" s="1960">
        <v>181.11780700547544</v>
      </c>
      <c r="HA76" s="1960">
        <v>211.49984430301919</v>
      </c>
      <c r="HB76" s="1960">
        <v>224.68843012752725</v>
      </c>
      <c r="HC76" s="1960">
        <v>237.0451570313428</v>
      </c>
      <c r="HD76" s="1960">
        <v>249.63776695779515</v>
      </c>
      <c r="HE76" s="1960">
        <v>293.61092295883105</v>
      </c>
      <c r="HF76" s="1960">
        <v>297.09166599554118</v>
      </c>
      <c r="HG76" s="1960">
        <v>296.32221062078622</v>
      </c>
      <c r="HH76" s="2117">
        <v>296.32221062078622</v>
      </c>
      <c r="HI76" s="1960">
        <v>288.06057573869185</v>
      </c>
      <c r="HJ76" s="1960">
        <v>307.05879758963397</v>
      </c>
      <c r="HK76" s="1960">
        <v>315.80921201733048</v>
      </c>
      <c r="HL76" s="1960">
        <v>328.98224061874959</v>
      </c>
      <c r="HM76" s="1960">
        <v>337.40726697971377</v>
      </c>
      <c r="HN76" s="1960">
        <v>398.84191221683528</v>
      </c>
      <c r="HO76" s="1960">
        <v>410.04045968500162</v>
      </c>
      <c r="HP76" s="1960">
        <v>477.18854419456119</v>
      </c>
      <c r="HQ76" s="1960">
        <v>498.38410845911102</v>
      </c>
      <c r="HR76" s="1960">
        <v>505.16216919336665</v>
      </c>
      <c r="HS76" s="1960">
        <v>531.72008103416238</v>
      </c>
      <c r="HT76" s="1962">
        <v>523.22592870928986</v>
      </c>
      <c r="HU76" s="1961">
        <v>520.12881922975782</v>
      </c>
      <c r="HV76" s="1960">
        <v>520.70375863760626</v>
      </c>
      <c r="HW76" s="1960">
        <v>534.98689672640739</v>
      </c>
      <c r="HX76" s="1960">
        <v>536.3170510442352</v>
      </c>
      <c r="HY76" s="1960">
        <v>543.84393576243656</v>
      </c>
      <c r="HZ76" s="1960">
        <v>548.8795277602369</v>
      </c>
      <c r="IA76" s="1960">
        <v>612.04423531994667</v>
      </c>
      <c r="IB76" s="1960">
        <v>632.74563281900305</v>
      </c>
      <c r="IC76" s="1960">
        <v>660.47990449385236</v>
      </c>
      <c r="ID76" s="1960">
        <v>796.25310705868765</v>
      </c>
      <c r="IE76" s="1960">
        <v>825.35546884799703</v>
      </c>
      <c r="IF76" s="1960">
        <v>848.85242239579804</v>
      </c>
      <c r="IG76" s="1961">
        <v>867.95378308566444</v>
      </c>
      <c r="IH76" s="1960">
        <v>938.2083872525069</v>
      </c>
      <c r="II76" s="1960">
        <v>999.35612323653504</v>
      </c>
      <c r="IJ76" s="1961">
        <v>1146.0967103677228</v>
      </c>
      <c r="IK76" s="1960">
        <v>1172.6083377930297</v>
      </c>
      <c r="IL76" s="1960">
        <v>1202.5366144137774</v>
      </c>
      <c r="IM76" s="1960">
        <v>1272.0016696943503</v>
      </c>
      <c r="IN76" s="1960">
        <v>1305.5989787650042</v>
      </c>
      <c r="IO76" s="1960">
        <v>1314.6813780607829</v>
      </c>
      <c r="IP76" s="1960">
        <v>1397.1917430647902</v>
      </c>
      <c r="IQ76" s="1960">
        <v>1397.5529171303724</v>
      </c>
      <c r="IR76" s="1960">
        <v>1454.445505690845</v>
      </c>
      <c r="IS76" s="2274">
        <v>1537.4262523981477</v>
      </c>
      <c r="IT76" s="1960">
        <v>1599.4956577491914</v>
      </c>
      <c r="IU76" s="1960">
        <v>1712.8413746881251</v>
      </c>
      <c r="IV76" s="1960">
        <v>1773.86007656064</v>
      </c>
      <c r="IW76" s="1960">
        <v>1863.3400743689251</v>
      </c>
      <c r="IX76" s="1960">
        <v>1954.453902166191</v>
      </c>
      <c r="IY76" s="1960">
        <v>2165.3046830934372</v>
      </c>
      <c r="IZ76" s="1960">
        <v>2363.5654695371036</v>
      </c>
      <c r="JA76" s="1960">
        <v>2450.102111402512</v>
      </c>
      <c r="JB76" s="1960">
        <v>2518.4828939416534</v>
      </c>
      <c r="JC76" s="1960">
        <v>2757.5101010454437</v>
      </c>
      <c r="JD76" s="1960">
        <v>2823.9332275115398</v>
      </c>
      <c r="JE76" s="2274">
        <v>3041.5102150904922</v>
      </c>
      <c r="JF76" s="2117">
        <v>3162.6244051697449</v>
      </c>
      <c r="JG76" s="2103">
        <f t="shared" si="13"/>
        <v>1.0398204120697485</v>
      </c>
      <c r="JI76" s="2155"/>
      <c r="JJ76" s="2104"/>
    </row>
    <row r="77" spans="2:270">
      <c r="B77" s="2105">
        <v>52</v>
      </c>
      <c r="C77" s="2106" t="s">
        <v>79</v>
      </c>
      <c r="D77" s="2425" t="s">
        <v>1194</v>
      </c>
      <c r="E77" s="2128" t="s">
        <v>80</v>
      </c>
      <c r="F77" s="2106" t="s">
        <v>918</v>
      </c>
      <c r="G77" s="2425" t="s">
        <v>1112</v>
      </c>
      <c r="H77" s="2106" t="s">
        <v>919</v>
      </c>
      <c r="I77" s="2106" t="s">
        <v>920</v>
      </c>
      <c r="J77" s="2359" t="s">
        <v>686</v>
      </c>
      <c r="K77" s="2425"/>
      <c r="L77" s="2110">
        <v>86.93</v>
      </c>
      <c r="M77" s="2110">
        <v>93.44</v>
      </c>
      <c r="N77" s="2110">
        <v>123.93</v>
      </c>
      <c r="O77" s="2110">
        <v>166.39</v>
      </c>
      <c r="P77" s="2110">
        <v>190.33</v>
      </c>
      <c r="Q77" s="2110">
        <v>214.93</v>
      </c>
      <c r="R77" s="2110">
        <v>227.32</v>
      </c>
      <c r="S77" s="2110">
        <v>226.54</v>
      </c>
      <c r="T77" s="2110">
        <v>232.68</v>
      </c>
      <c r="U77" s="2110">
        <v>236.66</v>
      </c>
      <c r="V77" s="2110">
        <v>236.25</v>
      </c>
      <c r="W77" s="2110">
        <v>232.88</v>
      </c>
      <c r="X77" s="2110">
        <v>231.12</v>
      </c>
      <c r="Y77" s="2110">
        <v>222.43</v>
      </c>
      <c r="Z77" s="2110">
        <v>216.17</v>
      </c>
      <c r="AA77" s="2110">
        <v>223.44</v>
      </c>
      <c r="AB77" s="2110">
        <v>213.4</v>
      </c>
      <c r="AC77" s="2110">
        <v>214.26</v>
      </c>
      <c r="AD77" s="2110">
        <v>217.36</v>
      </c>
      <c r="AE77" s="2110">
        <v>220.4</v>
      </c>
      <c r="AF77" s="2110">
        <v>228.19</v>
      </c>
      <c r="AG77" s="2110">
        <v>230.74</v>
      </c>
      <c r="AH77" s="2110">
        <v>230.2</v>
      </c>
      <c r="AI77" s="2110">
        <v>240.05</v>
      </c>
      <c r="AJ77" s="2110">
        <v>249.76</v>
      </c>
      <c r="AK77" s="2110">
        <v>264.72000000000003</v>
      </c>
      <c r="AL77" s="2110">
        <v>290.31</v>
      </c>
      <c r="AM77" s="2110">
        <v>298.33</v>
      </c>
      <c r="AN77" s="2110">
        <v>300.47000000000003</v>
      </c>
      <c r="AO77" s="2110">
        <v>306.38</v>
      </c>
      <c r="AP77" s="2110">
        <v>327.43</v>
      </c>
      <c r="AQ77" s="2110">
        <v>326.04000000000002</v>
      </c>
      <c r="AR77" s="2110">
        <v>333.18</v>
      </c>
      <c r="AS77" s="2110">
        <v>330.57</v>
      </c>
      <c r="AT77" s="2110">
        <v>346.59</v>
      </c>
      <c r="AU77" s="2110">
        <v>359.88</v>
      </c>
      <c r="AV77" s="2110">
        <v>370.77</v>
      </c>
      <c r="AW77" s="2111">
        <v>374.2</v>
      </c>
      <c r="AX77" s="2111">
        <v>370.3</v>
      </c>
      <c r="AY77" s="2111">
        <v>386.9</v>
      </c>
      <c r="AZ77" s="2111">
        <v>396.55</v>
      </c>
      <c r="BA77" s="2111">
        <v>394.8</v>
      </c>
      <c r="BB77" s="2111">
        <v>390.28</v>
      </c>
      <c r="BC77" s="2111">
        <v>391.02</v>
      </c>
      <c r="BD77" s="2112">
        <v>401.14</v>
      </c>
      <c r="BE77" s="2111">
        <v>411.94</v>
      </c>
      <c r="BF77" s="2112">
        <v>420.95</v>
      </c>
      <c r="BG77" s="2112">
        <v>443.25</v>
      </c>
      <c r="BH77" s="2112">
        <v>459.03</v>
      </c>
      <c r="BI77" s="2108">
        <v>474.97</v>
      </c>
      <c r="BJ77" s="2108">
        <v>496.8</v>
      </c>
      <c r="BK77" s="2108">
        <v>508.55</v>
      </c>
      <c r="BL77" s="2108">
        <v>560.79999999999995</v>
      </c>
      <c r="BM77" s="2108">
        <v>687.66</v>
      </c>
      <c r="BN77" s="2108">
        <v>709.96</v>
      </c>
      <c r="BO77" s="2108">
        <v>695.35</v>
      </c>
      <c r="BP77" s="2108">
        <v>762.65</v>
      </c>
      <c r="BQ77" s="2108">
        <v>759.74</v>
      </c>
      <c r="BR77" s="2108">
        <v>759.93</v>
      </c>
      <c r="BS77" s="2108">
        <v>733.59</v>
      </c>
      <c r="BT77" s="2108">
        <v>723.45</v>
      </c>
      <c r="BU77" s="2108">
        <v>687.56</v>
      </c>
      <c r="BV77" s="2108">
        <v>662.98</v>
      </c>
      <c r="BW77" s="2108">
        <v>642.83000000000004</v>
      </c>
      <c r="BX77" s="2108">
        <v>718.13</v>
      </c>
      <c r="BY77" s="2108">
        <v>732.15</v>
      </c>
      <c r="BZ77" s="2108">
        <v>730.25</v>
      </c>
      <c r="CA77" s="2108">
        <v>730.63</v>
      </c>
      <c r="CB77" s="2108">
        <v>754.75</v>
      </c>
      <c r="CC77" s="2108">
        <v>750.46</v>
      </c>
      <c r="CD77" s="2108">
        <v>758.71</v>
      </c>
      <c r="CE77" s="2108">
        <v>756.09</v>
      </c>
      <c r="CF77" s="2108">
        <v>740.69</v>
      </c>
      <c r="CG77" s="2108">
        <v>736.16</v>
      </c>
      <c r="CH77" s="2108">
        <v>739.78</v>
      </c>
      <c r="CI77" s="2108">
        <v>755.17</v>
      </c>
      <c r="CJ77" s="2108">
        <v>775.32</v>
      </c>
      <c r="CK77" s="2108">
        <v>819.09</v>
      </c>
      <c r="CL77" s="2108">
        <v>806.21</v>
      </c>
      <c r="CM77" s="2108">
        <v>795.56</v>
      </c>
      <c r="CN77" s="2108">
        <v>785.66</v>
      </c>
      <c r="CO77" s="2108">
        <v>778.81</v>
      </c>
      <c r="CP77" s="2108">
        <v>783.12</v>
      </c>
      <c r="CQ77" s="2108">
        <v>676.5</v>
      </c>
      <c r="CR77" s="2108">
        <v>665.01</v>
      </c>
      <c r="CS77" s="2108">
        <v>654.33000000000004</v>
      </c>
      <c r="CT77" s="2108">
        <v>620.82000000000005</v>
      </c>
      <c r="CU77" s="2108">
        <v>621.47</v>
      </c>
      <c r="CV77" s="2108">
        <v>640.94000000000005</v>
      </c>
      <c r="CW77" s="2108">
        <v>644.36</v>
      </c>
      <c r="CX77" s="2108">
        <v>654.97</v>
      </c>
      <c r="CY77" s="2108">
        <v>672.36</v>
      </c>
      <c r="CZ77" s="2108">
        <v>693.96</v>
      </c>
      <c r="DA77" s="2108">
        <v>698.67</v>
      </c>
      <c r="DB77" s="2108">
        <v>729.14</v>
      </c>
      <c r="DC77" s="2108">
        <v>741.52</v>
      </c>
      <c r="DD77" s="2108">
        <v>758.48</v>
      </c>
      <c r="DE77" s="2108">
        <v>806.37</v>
      </c>
      <c r="DF77" s="2108">
        <v>825.95</v>
      </c>
      <c r="DG77" s="2108">
        <v>830.92</v>
      </c>
      <c r="DH77" s="2108">
        <v>843.26</v>
      </c>
      <c r="DI77" s="2108">
        <v>805.84</v>
      </c>
      <c r="DJ77" s="2108">
        <v>792.03</v>
      </c>
      <c r="DK77" s="2108">
        <v>784.55</v>
      </c>
      <c r="DL77" s="2108">
        <v>790.67</v>
      </c>
      <c r="DM77" s="2108">
        <v>805.92</v>
      </c>
      <c r="DN77" s="2108">
        <v>817.2</v>
      </c>
      <c r="DO77" s="2108">
        <v>844.05</v>
      </c>
      <c r="DP77" s="2108">
        <v>868.71</v>
      </c>
      <c r="DQ77" s="2108">
        <v>880.14</v>
      </c>
      <c r="DR77" s="2108">
        <v>901.38</v>
      </c>
      <c r="DS77" s="2108">
        <v>905.52</v>
      </c>
      <c r="DT77" s="2108">
        <v>909.91</v>
      </c>
      <c r="DU77" s="2108">
        <v>907.74</v>
      </c>
      <c r="DV77" s="2108">
        <v>914.54</v>
      </c>
      <c r="DW77" s="2108">
        <v>931.05</v>
      </c>
      <c r="DX77" s="2108">
        <v>934.44</v>
      </c>
      <c r="DY77" s="2108">
        <v>935.98</v>
      </c>
      <c r="DZ77" s="2108">
        <v>901.02</v>
      </c>
      <c r="EA77" s="2108">
        <v>879.18</v>
      </c>
      <c r="EB77" s="2108">
        <v>891.49</v>
      </c>
      <c r="EC77" s="2108">
        <v>881.42</v>
      </c>
      <c r="ED77" s="2108">
        <v>896.43</v>
      </c>
      <c r="EE77" s="2108">
        <v>913.34</v>
      </c>
      <c r="EF77" s="2108">
        <v>905.01</v>
      </c>
      <c r="EG77" s="2108">
        <v>910.17</v>
      </c>
      <c r="EH77" s="2108">
        <v>901.43</v>
      </c>
      <c r="EI77" s="2108">
        <v>903.84</v>
      </c>
      <c r="EJ77" s="2108">
        <v>906.65</v>
      </c>
      <c r="EK77" s="2108">
        <v>925.72</v>
      </c>
      <c r="EL77" s="2108">
        <v>947.56</v>
      </c>
      <c r="EM77" s="2108">
        <v>959.69</v>
      </c>
      <c r="EN77" s="2108">
        <v>976.75</v>
      </c>
      <c r="EO77" s="2108">
        <v>984.91</v>
      </c>
      <c r="EP77" s="2108">
        <v>995.57</v>
      </c>
      <c r="EQ77" s="2108">
        <v>1004.8</v>
      </c>
      <c r="ER77" s="2108">
        <v>1001.22</v>
      </c>
      <c r="ES77" s="2108">
        <v>1003.64</v>
      </c>
      <c r="ET77" s="2108">
        <v>1018.03</v>
      </c>
      <c r="EU77" s="2108">
        <v>1024.97</v>
      </c>
      <c r="EV77" s="2108">
        <v>1042.8599999999999</v>
      </c>
      <c r="EW77" s="2108">
        <v>1061.9000000000001</v>
      </c>
      <c r="EX77" s="2108">
        <v>1077.74</v>
      </c>
      <c r="EY77" s="2108">
        <v>1095.3900000000001</v>
      </c>
      <c r="EZ77" s="2108">
        <v>1126.67</v>
      </c>
      <c r="FA77" s="2108">
        <v>1199.6199999999999</v>
      </c>
      <c r="FB77" s="2108">
        <v>1246.6600000000001</v>
      </c>
      <c r="FC77" s="2108">
        <v>1269.8900000000001</v>
      </c>
      <c r="FD77" s="2108">
        <v>1266.08</v>
      </c>
      <c r="FE77" s="2108">
        <v>1269.76</v>
      </c>
      <c r="FF77" s="2108">
        <v>1272.44</v>
      </c>
      <c r="FG77" s="2108">
        <v>1279.5899999999999</v>
      </c>
      <c r="FH77" s="2108">
        <v>1303.8900000000001</v>
      </c>
      <c r="FI77" s="2108">
        <v>1293.79</v>
      </c>
      <c r="FJ77" s="2108">
        <v>1305.02</v>
      </c>
      <c r="FK77" s="2108">
        <v>1305.3699999999999</v>
      </c>
      <c r="FL77" s="2108">
        <v>1312.29</v>
      </c>
      <c r="FM77" s="2108">
        <v>1302.29</v>
      </c>
      <c r="FN77" s="2108">
        <v>1281.93</v>
      </c>
      <c r="FO77" s="2108">
        <v>1275.79</v>
      </c>
      <c r="FP77" s="2108">
        <v>1259.75</v>
      </c>
      <c r="FQ77" s="2108">
        <v>1270.96</v>
      </c>
      <c r="FR77" s="2108">
        <v>1249.18</v>
      </c>
      <c r="FS77" s="2108">
        <v>1243.8399999999999</v>
      </c>
      <c r="FT77" s="2108">
        <v>1240.6199999999999</v>
      </c>
      <c r="FU77" s="2108">
        <v>1243.67</v>
      </c>
      <c r="FV77" s="2108">
        <v>1255.9000000000001</v>
      </c>
      <c r="FW77" s="2113">
        <v>1510.8659760996363</v>
      </c>
      <c r="FX77" s="2113">
        <v>1926.1667698751824</v>
      </c>
      <c r="FY77" s="2113">
        <v>100</v>
      </c>
      <c r="FZ77" s="2113">
        <v>115.5002236366272</v>
      </c>
      <c r="GA77" s="2113">
        <v>109.24995687374022</v>
      </c>
      <c r="GB77" s="2113">
        <v>106.18663455540765</v>
      </c>
      <c r="GC77" s="2113">
        <v>110.79487389341503</v>
      </c>
      <c r="GD77" s="2113">
        <v>111.6622286879865</v>
      </c>
      <c r="GE77" s="2113">
        <v>111.00777811590596</v>
      </c>
      <c r="GF77" s="2114">
        <v>108.80171136797145</v>
      </c>
      <c r="GG77" s="1960">
        <v>108.80171136797145</v>
      </c>
      <c r="GH77" s="2114">
        <v>109.06523937781223</v>
      </c>
      <c r="GI77" s="2114">
        <v>110.08293881165135</v>
      </c>
      <c r="GJ77" s="2113">
        <v>117.03371061450004</v>
      </c>
      <c r="GK77" s="2113">
        <v>117.64194044809695</v>
      </c>
      <c r="GL77" s="2113">
        <v>113.82818747809436</v>
      </c>
      <c r="GM77" s="2114">
        <v>113.9847102459433</v>
      </c>
      <c r="GN77" s="2114">
        <v>113.41475326814424</v>
      </c>
      <c r="GO77" s="2115">
        <v>112.52461744040404</v>
      </c>
      <c r="GP77" s="2116">
        <v>112.52461744040404</v>
      </c>
      <c r="GQ77" s="2116">
        <v>112.49902356713255</v>
      </c>
      <c r="GR77" s="2116">
        <v>113.54900540585258</v>
      </c>
      <c r="GS77" s="2116">
        <v>115.1775872917149</v>
      </c>
      <c r="GT77" s="1960">
        <v>119.38234921524287</v>
      </c>
      <c r="GU77" s="1960">
        <v>121.12281714055021</v>
      </c>
      <c r="GV77" s="1960">
        <v>124.60138038863805</v>
      </c>
      <c r="GW77" s="1960">
        <v>129.47505343706959</v>
      </c>
      <c r="GX77" s="1960">
        <v>133.91061085393599</v>
      </c>
      <c r="GY77" s="1960">
        <v>135.6420319281404</v>
      </c>
      <c r="GZ77" s="1960">
        <v>156.80974265878956</v>
      </c>
      <c r="HA77" s="1960">
        <v>174.84684620692221</v>
      </c>
      <c r="HB77" s="1960">
        <v>194.82204654632434</v>
      </c>
      <c r="HC77" s="1960">
        <v>204.92862507871308</v>
      </c>
      <c r="HD77" s="1960">
        <v>190.51733649990535</v>
      </c>
      <c r="HE77" s="1960">
        <v>263.03602974634396</v>
      </c>
      <c r="HF77" s="1960">
        <v>272.62293413506245</v>
      </c>
      <c r="HG77" s="1960">
        <v>258.9349809080291</v>
      </c>
      <c r="HH77" s="2117">
        <v>259.2710344176873</v>
      </c>
      <c r="HI77" s="1960">
        <v>278.34987578059906</v>
      </c>
      <c r="HJ77" s="1960">
        <v>283.4025338884216</v>
      </c>
      <c r="HK77" s="1960">
        <v>306.95945641185887</v>
      </c>
      <c r="HL77" s="1960">
        <v>316.5071659733299</v>
      </c>
      <c r="HM77" s="1960">
        <v>328.10678004186678</v>
      </c>
      <c r="HN77" s="1960">
        <v>322.36939711456876</v>
      </c>
      <c r="HO77" s="1960">
        <v>320.78348413428398</v>
      </c>
      <c r="HP77" s="1960">
        <v>385.08965740079913</v>
      </c>
      <c r="HQ77" s="1960">
        <v>380.64158273592665</v>
      </c>
      <c r="HR77" s="1960">
        <v>383.92438303709719</v>
      </c>
      <c r="HS77" s="1960">
        <v>409.46254700395934</v>
      </c>
      <c r="HT77" s="1962">
        <v>398.62891575939472</v>
      </c>
      <c r="HU77" s="1961">
        <v>392.74561179212395</v>
      </c>
      <c r="HV77" s="1960">
        <v>392.74561179212395</v>
      </c>
      <c r="HW77" s="1960">
        <v>392.74561179212395</v>
      </c>
      <c r="HX77" s="1960">
        <v>392.74561179212395</v>
      </c>
      <c r="HY77" s="1960">
        <v>398.83226881024069</v>
      </c>
      <c r="HZ77" s="1960">
        <v>404.54297162679967</v>
      </c>
      <c r="IA77" s="1960">
        <v>415.29450488862722</v>
      </c>
      <c r="IB77" s="1960">
        <v>438.49641583852627</v>
      </c>
      <c r="IC77" s="1960">
        <v>446.45085214874695</v>
      </c>
      <c r="ID77" s="1960">
        <v>540.58630989948324</v>
      </c>
      <c r="IE77" s="1960">
        <v>565.42897470920252</v>
      </c>
      <c r="IF77" s="1960">
        <v>602.5763408305595</v>
      </c>
      <c r="IG77" s="1961">
        <v>620.9488781763713</v>
      </c>
      <c r="IH77" s="1960">
        <v>639.26793511600522</v>
      </c>
      <c r="II77" s="1960">
        <v>660.17844697082955</v>
      </c>
      <c r="IJ77" s="1961">
        <v>684.78901332622956</v>
      </c>
      <c r="IK77" s="1960">
        <v>732.73410729761031</v>
      </c>
      <c r="IL77" s="1960">
        <v>742.28542300355628</v>
      </c>
      <c r="IM77" s="1960">
        <v>734.82416740554061</v>
      </c>
      <c r="IN77" s="1960">
        <v>749.92905846810379</v>
      </c>
      <c r="IO77" s="1960">
        <v>758.93008199236715</v>
      </c>
      <c r="IP77" s="1960">
        <v>773.67705438210635</v>
      </c>
      <c r="IQ77" s="1960">
        <v>832.10243765935263</v>
      </c>
      <c r="IR77" s="1960">
        <v>875.24454376913809</v>
      </c>
      <c r="IS77" s="2274">
        <v>907.85950635864651</v>
      </c>
      <c r="IT77" s="1960">
        <v>930.41921455677732</v>
      </c>
      <c r="IU77" s="1960">
        <v>963.95301576228678</v>
      </c>
      <c r="IV77" s="1960">
        <v>1076.9986914612875</v>
      </c>
      <c r="IW77" s="1960">
        <v>1107.3564257289543</v>
      </c>
      <c r="IX77" s="1960">
        <v>1181.87666413791</v>
      </c>
      <c r="IY77" s="1960">
        <v>1249.8813250486105</v>
      </c>
      <c r="IZ77" s="1960">
        <v>1365.6240632643467</v>
      </c>
      <c r="JA77" s="1960">
        <v>1453.9666235908462</v>
      </c>
      <c r="JB77" s="1960">
        <v>1495.5022233059078</v>
      </c>
      <c r="JC77" s="1960">
        <v>1604.5225275617181</v>
      </c>
      <c r="JD77" s="1960">
        <v>1743.0037408518754</v>
      </c>
      <c r="JE77" s="2274">
        <v>1775.7782835345554</v>
      </c>
      <c r="JF77" s="2117">
        <v>1822.8012465878533</v>
      </c>
      <c r="JG77" s="2103">
        <f t="shared" si="13"/>
        <v>1.0264801994085107</v>
      </c>
      <c r="JI77" s="2155"/>
      <c r="JJ77" s="2104"/>
    </row>
    <row r="78" spans="2:270" hidden="1">
      <c r="B78" s="2105">
        <v>54</v>
      </c>
      <c r="C78" s="2106" t="s">
        <v>84</v>
      </c>
      <c r="D78" s="2425" t="s">
        <v>481</v>
      </c>
      <c r="E78" s="2128" t="s">
        <v>85</v>
      </c>
      <c r="F78" s="2106" t="s">
        <v>918</v>
      </c>
      <c r="G78" s="2425"/>
      <c r="H78" s="2106" t="s">
        <v>929</v>
      </c>
      <c r="I78" s="2106" t="s">
        <v>930</v>
      </c>
      <c r="J78" s="2359" t="s">
        <v>921</v>
      </c>
      <c r="K78" s="2425"/>
      <c r="L78" s="2110">
        <v>105</v>
      </c>
      <c r="M78" s="2110">
        <v>119</v>
      </c>
      <c r="N78" s="2110">
        <v>144.5</v>
      </c>
      <c r="O78" s="2110">
        <v>162.80000000000001</v>
      </c>
      <c r="P78" s="2110">
        <v>173.1</v>
      </c>
      <c r="Q78" s="2110">
        <v>196.2</v>
      </c>
      <c r="R78" s="2110">
        <v>223.8</v>
      </c>
      <c r="S78" s="2110">
        <v>227.4</v>
      </c>
      <c r="T78" s="2110">
        <v>221.7</v>
      </c>
      <c r="U78" s="2110">
        <v>221.7</v>
      </c>
      <c r="V78" s="2110">
        <v>223.8</v>
      </c>
      <c r="W78" s="2110">
        <v>223.8</v>
      </c>
      <c r="X78" s="2110">
        <v>223.8</v>
      </c>
      <c r="Y78" s="2110">
        <v>222.6</v>
      </c>
      <c r="Z78" s="2110">
        <v>222.6</v>
      </c>
      <c r="AA78" s="2110">
        <v>212.7</v>
      </c>
      <c r="AB78" s="2110">
        <v>212.7</v>
      </c>
      <c r="AC78" s="2110">
        <v>212.7</v>
      </c>
      <c r="AD78" s="2110">
        <v>212.7</v>
      </c>
      <c r="AE78" s="2110">
        <v>212.7</v>
      </c>
      <c r="AF78" s="2110">
        <v>213.9</v>
      </c>
      <c r="AG78" s="2110">
        <v>213.9</v>
      </c>
      <c r="AH78" s="2110">
        <v>213.9</v>
      </c>
      <c r="AI78" s="2110">
        <v>211.4</v>
      </c>
      <c r="AJ78" s="2110">
        <v>212.6</v>
      </c>
      <c r="AK78" s="2110">
        <v>212.6</v>
      </c>
      <c r="AL78" s="2110">
        <v>212.6</v>
      </c>
      <c r="AM78" s="2110">
        <v>217.1</v>
      </c>
      <c r="AN78" s="2110">
        <v>217.1</v>
      </c>
      <c r="AO78" s="2110">
        <v>219.9</v>
      </c>
      <c r="AP78" s="2110">
        <v>219.9</v>
      </c>
      <c r="AQ78" s="2110">
        <v>221.8</v>
      </c>
      <c r="AR78" s="2110">
        <v>228.2</v>
      </c>
      <c r="AS78" s="2110">
        <v>227.8</v>
      </c>
      <c r="AT78" s="2110">
        <v>227.8</v>
      </c>
      <c r="AU78" s="2110">
        <v>230.6</v>
      </c>
      <c r="AV78" s="2110">
        <v>230.6</v>
      </c>
      <c r="AW78" s="2111">
        <v>237.4</v>
      </c>
      <c r="AX78" s="2111">
        <v>243.1</v>
      </c>
      <c r="AY78" s="2111">
        <v>250.9</v>
      </c>
      <c r="AZ78" s="2111">
        <v>250.9</v>
      </c>
      <c r="BA78" s="2111">
        <v>250.9</v>
      </c>
      <c r="BB78" s="2111">
        <v>250.9</v>
      </c>
      <c r="BC78" s="2111">
        <v>250.9</v>
      </c>
      <c r="BD78" s="2112">
        <v>250.9</v>
      </c>
      <c r="BE78" s="2111">
        <v>250.9</v>
      </c>
      <c r="BF78" s="2112">
        <v>305.88</v>
      </c>
      <c r="BG78" s="2112">
        <v>271.60000000000002</v>
      </c>
      <c r="BH78" s="2112">
        <v>274.10000000000002</v>
      </c>
      <c r="BI78" s="2108">
        <v>274.39999999999998</v>
      </c>
      <c r="BJ78" s="2108">
        <v>277.10000000000002</v>
      </c>
      <c r="BK78" s="2108">
        <v>298.8</v>
      </c>
      <c r="BL78" s="2108">
        <v>300.3</v>
      </c>
      <c r="BM78" s="2108">
        <v>303</v>
      </c>
      <c r="BN78" s="2108">
        <v>303</v>
      </c>
      <c r="BO78" s="2108">
        <v>303</v>
      </c>
      <c r="BP78" s="2108">
        <v>303</v>
      </c>
      <c r="BQ78" s="2108">
        <v>315.89999999999998</v>
      </c>
      <c r="BR78" s="2108">
        <v>315.89999999999998</v>
      </c>
      <c r="BS78" s="2108">
        <v>316.8</v>
      </c>
      <c r="BT78" s="2108">
        <v>316.8</v>
      </c>
      <c r="BU78" s="2108">
        <v>320.2</v>
      </c>
      <c r="BV78" s="2108">
        <v>322.8</v>
      </c>
      <c r="BW78" s="2108">
        <v>327.7</v>
      </c>
      <c r="BX78" s="2108">
        <v>332.2</v>
      </c>
      <c r="BY78" s="2108">
        <v>332.2</v>
      </c>
      <c r="BZ78" s="2108">
        <v>342.7</v>
      </c>
      <c r="CA78" s="2108">
        <v>345.7</v>
      </c>
      <c r="CB78" s="2108">
        <v>352.9</v>
      </c>
      <c r="CC78" s="2108">
        <v>364</v>
      </c>
      <c r="CD78" s="2108">
        <v>364</v>
      </c>
      <c r="CE78" s="2108">
        <v>373.9</v>
      </c>
      <c r="CF78" s="2108">
        <v>381.5</v>
      </c>
      <c r="CG78" s="2108">
        <v>381.5</v>
      </c>
      <c r="CH78" s="2108">
        <v>391.5</v>
      </c>
      <c r="CI78" s="2108">
        <v>377.4</v>
      </c>
      <c r="CJ78" s="2108">
        <v>377.4</v>
      </c>
      <c r="CK78" s="2108">
        <v>377.4</v>
      </c>
      <c r="CL78" s="2108">
        <v>377.4</v>
      </c>
      <c r="CM78" s="2108">
        <v>377.4</v>
      </c>
      <c r="CN78" s="2108">
        <v>377.4</v>
      </c>
      <c r="CO78" s="2108">
        <v>379.8</v>
      </c>
      <c r="CP78" s="2108">
        <v>379.8</v>
      </c>
      <c r="CQ78" s="2108">
        <v>379.8</v>
      </c>
      <c r="CR78" s="2108">
        <v>379.8</v>
      </c>
      <c r="CS78" s="2108">
        <v>379.8</v>
      </c>
      <c r="CT78" s="2108">
        <v>379.8</v>
      </c>
      <c r="CU78" s="2108">
        <v>379.8</v>
      </c>
      <c r="CV78" s="2108">
        <v>379.8</v>
      </c>
      <c r="CW78" s="2108">
        <v>379.8</v>
      </c>
      <c r="CX78" s="2108">
        <v>379.8</v>
      </c>
      <c r="CY78" s="2108">
        <v>379.8</v>
      </c>
      <c r="CZ78" s="2108">
        <v>379.8</v>
      </c>
      <c r="DA78" s="2108">
        <v>379.8</v>
      </c>
      <c r="DB78" s="2108">
        <v>385.1</v>
      </c>
      <c r="DC78" s="2108">
        <v>385.1</v>
      </c>
      <c r="DD78" s="2108">
        <v>385.1</v>
      </c>
      <c r="DE78" s="2108">
        <v>388.6</v>
      </c>
      <c r="DF78" s="2108">
        <v>388.6</v>
      </c>
      <c r="DG78" s="2108">
        <v>388.6</v>
      </c>
      <c r="DH78" s="2108">
        <v>402.7</v>
      </c>
      <c r="DI78" s="2108">
        <v>402.7</v>
      </c>
      <c r="DJ78" s="2108">
        <v>402.7</v>
      </c>
      <c r="DK78" s="2108">
        <v>402.7</v>
      </c>
      <c r="DL78" s="2108">
        <v>402.7</v>
      </c>
      <c r="DM78" s="2108">
        <v>402.7</v>
      </c>
      <c r="DN78" s="2108">
        <v>402.7</v>
      </c>
      <c r="DO78" s="2108">
        <v>402.7</v>
      </c>
      <c r="DP78" s="2108">
        <v>402.7</v>
      </c>
      <c r="DQ78" s="2108">
        <v>404.1</v>
      </c>
      <c r="DR78" s="2108">
        <v>404.1</v>
      </c>
      <c r="DS78" s="2108">
        <v>404.1</v>
      </c>
      <c r="DT78" s="2108">
        <v>404.1</v>
      </c>
      <c r="DU78" s="2108">
        <v>415.2</v>
      </c>
      <c r="DV78" s="2108">
        <v>415.1</v>
      </c>
      <c r="DW78" s="2108">
        <v>415.1</v>
      </c>
      <c r="DX78" s="2108">
        <v>416.4</v>
      </c>
      <c r="DY78" s="2108">
        <v>416.4</v>
      </c>
      <c r="DZ78" s="2108">
        <v>426.4</v>
      </c>
      <c r="EA78" s="2108">
        <v>426.4</v>
      </c>
      <c r="EB78" s="2108">
        <v>426.4</v>
      </c>
      <c r="EC78" s="2108">
        <v>428.8</v>
      </c>
      <c r="ED78" s="2108">
        <v>444.6</v>
      </c>
      <c r="EE78" s="2108">
        <v>444.6</v>
      </c>
      <c r="EF78" s="2108">
        <v>446.6</v>
      </c>
      <c r="EG78" s="2108">
        <v>446.6</v>
      </c>
      <c r="EH78" s="2108">
        <v>449.5</v>
      </c>
      <c r="EI78" s="2108">
        <v>461</v>
      </c>
      <c r="EJ78" s="2108">
        <v>464.1</v>
      </c>
      <c r="EK78" s="2108">
        <v>464.1</v>
      </c>
      <c r="EL78" s="2108">
        <v>475.8</v>
      </c>
      <c r="EM78" s="2108">
        <v>479.7</v>
      </c>
      <c r="EN78" s="2108">
        <v>486.6</v>
      </c>
      <c r="EO78" s="2108">
        <v>490.5</v>
      </c>
      <c r="EP78" s="2108">
        <v>512.5</v>
      </c>
      <c r="EQ78" s="2108">
        <v>512.5</v>
      </c>
      <c r="ER78" s="2108">
        <v>542.20000000000005</v>
      </c>
      <c r="ES78" s="2108">
        <v>542.20000000000005</v>
      </c>
      <c r="ET78" s="2108">
        <v>544.70000000000005</v>
      </c>
      <c r="EU78" s="2108">
        <v>544.70000000000005</v>
      </c>
      <c r="EV78" s="2108">
        <v>555.4</v>
      </c>
      <c r="EW78" s="2108">
        <v>555.4</v>
      </c>
      <c r="EX78" s="2108">
        <v>585</v>
      </c>
      <c r="EY78" s="2108">
        <v>585</v>
      </c>
      <c r="EZ78" s="2108">
        <v>591.29999999999995</v>
      </c>
      <c r="FA78" s="2108">
        <v>617.4</v>
      </c>
      <c r="FB78" s="2108">
        <v>637</v>
      </c>
      <c r="FC78" s="2108">
        <v>704.4</v>
      </c>
      <c r="FD78" s="2108">
        <v>704.4</v>
      </c>
      <c r="FE78" s="2108">
        <v>704.4</v>
      </c>
      <c r="FF78" s="2108">
        <v>715</v>
      </c>
      <c r="FG78" s="2108">
        <v>715</v>
      </c>
      <c r="FH78" s="2108">
        <v>722.8</v>
      </c>
      <c r="FI78" s="2108">
        <v>751.8</v>
      </c>
      <c r="FJ78" s="2108">
        <v>751.8</v>
      </c>
      <c r="FK78" s="2108">
        <v>751.8</v>
      </c>
      <c r="FL78" s="2108">
        <v>775.2</v>
      </c>
      <c r="FM78" s="2108">
        <v>775.4</v>
      </c>
      <c r="FN78" s="2108">
        <v>775.4</v>
      </c>
      <c r="FO78" s="2108">
        <v>847.9</v>
      </c>
      <c r="FP78" s="2108">
        <v>847.9</v>
      </c>
      <c r="FQ78" s="2108">
        <v>847.9</v>
      </c>
      <c r="FR78" s="2108">
        <v>856.7</v>
      </c>
      <c r="FS78" s="2108">
        <v>881.2</v>
      </c>
      <c r="FT78" s="2108">
        <v>881</v>
      </c>
      <c r="FU78" s="2108">
        <v>908.7</v>
      </c>
      <c r="FV78" s="2108">
        <v>939.8</v>
      </c>
      <c r="FW78" s="2113" t="s">
        <v>521</v>
      </c>
      <c r="FX78" s="2113" t="s">
        <v>521</v>
      </c>
      <c r="FY78" s="2113">
        <v>100</v>
      </c>
      <c r="FZ78" s="2113" t="e">
        <v>#VALUE!</v>
      </c>
      <c r="GA78" s="2113" t="e">
        <v>#VALUE!</v>
      </c>
      <c r="GB78" s="2113" t="e">
        <v>#VALUE!</v>
      </c>
      <c r="GC78" s="2113" t="e">
        <v>#VALUE!</v>
      </c>
      <c r="GD78" s="2113" t="e">
        <v>#VALUE!</v>
      </c>
      <c r="GE78" s="2113" t="e">
        <v>#VALUE!</v>
      </c>
      <c r="GF78" s="2114" t="e">
        <v>#VALUE!</v>
      </c>
      <c r="GG78" s="1960" t="e">
        <v>#VALUE!</v>
      </c>
      <c r="GH78" s="2114" t="e">
        <v>#VALUE!</v>
      </c>
      <c r="GI78" s="2114" t="e">
        <v>#VALUE!</v>
      </c>
      <c r="GJ78" s="2113" t="e">
        <v>#VALUE!</v>
      </c>
      <c r="GK78" s="2113" t="e">
        <v>#VALUE!</v>
      </c>
      <c r="GL78" s="2113" t="e">
        <v>#VALUE!</v>
      </c>
      <c r="GM78" s="2114" t="e">
        <v>#VALUE!</v>
      </c>
      <c r="GN78" s="2114" t="e">
        <v>#VALUE!</v>
      </c>
      <c r="GO78" s="2115" t="e">
        <v>#VALUE!</v>
      </c>
      <c r="GP78" s="2116" t="e">
        <v>#VALUE!</v>
      </c>
      <c r="GQ78" s="2116" t="e">
        <v>#VALUE!</v>
      </c>
      <c r="GR78" s="2116" t="e">
        <v>#VALUE!</v>
      </c>
      <c r="GS78" s="2116" t="e">
        <v>#VALUE!</v>
      </c>
      <c r="GT78" s="1960" t="e">
        <v>#VALUE!</v>
      </c>
      <c r="GU78" s="1960" t="e">
        <v>#VALUE!</v>
      </c>
      <c r="GV78" s="1960" t="e">
        <v>#VALUE!</v>
      </c>
      <c r="GW78" s="1960" t="e">
        <v>#VALUE!</v>
      </c>
      <c r="GX78" s="1960" t="e">
        <v>#VALUE!</v>
      </c>
      <c r="GY78" s="1960" t="e">
        <v>#VALUE!</v>
      </c>
      <c r="GZ78" s="1960" t="e">
        <v>#VALUE!</v>
      </c>
      <c r="HA78" s="1960" t="e">
        <v>#VALUE!</v>
      </c>
      <c r="HB78" s="1960" t="e">
        <v>#VALUE!</v>
      </c>
      <c r="HC78" s="1960" t="e">
        <v>#VALUE!</v>
      </c>
      <c r="HD78" s="1960" t="e">
        <v>#VALUE!</v>
      </c>
      <c r="HE78" s="1960" t="e">
        <v>#VALUE!</v>
      </c>
      <c r="HF78" s="1960" t="e">
        <v>#VALUE!</v>
      </c>
      <c r="HG78" s="1960" t="e">
        <v>#VALUE!</v>
      </c>
      <c r="HH78" s="2117" t="e">
        <v>#VALUE!</v>
      </c>
      <c r="HI78" s="1960" t="e">
        <v>#VALUE!</v>
      </c>
      <c r="HJ78" s="1960" t="e">
        <v>#VALUE!</v>
      </c>
      <c r="HK78" s="1960" t="e">
        <v>#VALUE!</v>
      </c>
      <c r="HL78" s="1960" t="e">
        <v>#VALUE!</v>
      </c>
      <c r="HM78" s="1960" t="e">
        <v>#VALUE!</v>
      </c>
      <c r="HN78" s="1960" t="e">
        <v>#VALUE!</v>
      </c>
      <c r="HO78" s="1960" t="e">
        <v>#VALUE!</v>
      </c>
      <c r="HP78" s="1960" t="e">
        <v>#VALUE!</v>
      </c>
      <c r="HQ78" s="1960" t="e">
        <v>#VALUE!</v>
      </c>
      <c r="HR78" s="1960" t="e">
        <v>#VALUE!</v>
      </c>
      <c r="HS78" s="1960" t="e">
        <v>#VALUE!</v>
      </c>
      <c r="HT78" s="1962" t="e">
        <v>#VALUE!</v>
      </c>
      <c r="HU78" s="1961" t="e">
        <v>#VALUE!</v>
      </c>
      <c r="HV78" s="1960" t="e">
        <v>#VALUE!</v>
      </c>
      <c r="HW78" s="1960" t="e">
        <v>#VALUE!</v>
      </c>
      <c r="HX78" s="1960" t="e">
        <v>#VALUE!</v>
      </c>
      <c r="HY78" s="1960" t="e">
        <v>#VALUE!</v>
      </c>
      <c r="HZ78" s="1960" t="e">
        <v>#VALUE!</v>
      </c>
      <c r="IA78" s="1960" t="e">
        <v>#VALUE!</v>
      </c>
      <c r="IB78" s="1960" t="e">
        <v>#VALUE!</v>
      </c>
      <c r="IC78" s="1960" t="e">
        <v>#VALUE!</v>
      </c>
      <c r="ID78" s="1960" t="e">
        <v>#VALUE!</v>
      </c>
      <c r="IE78" s="1960" t="e">
        <v>#VALUE!</v>
      </c>
      <c r="IF78" s="1960" t="e">
        <v>#VALUE!</v>
      </c>
      <c r="IG78" s="1961" t="e">
        <v>#VALUE!</v>
      </c>
      <c r="IH78" s="1960" t="e">
        <v>#VALUE!</v>
      </c>
      <c r="II78" s="1960" t="e">
        <v>#VALUE!</v>
      </c>
      <c r="IJ78" s="1961" t="e">
        <v>#VALUE!</v>
      </c>
      <c r="IK78" s="1960" t="e">
        <v>#VALUE!</v>
      </c>
      <c r="IL78" s="1960" t="e">
        <v>#VALUE!</v>
      </c>
      <c r="IM78" s="1960" t="e">
        <v>#VALUE!</v>
      </c>
      <c r="IN78" s="1960" t="e">
        <v>#VALUE!</v>
      </c>
      <c r="IO78" s="1960" t="e">
        <v>#VALUE!</v>
      </c>
      <c r="IP78" s="1960" t="e">
        <v>#VALUE!</v>
      </c>
      <c r="IQ78" s="1960" t="e">
        <v>#VALUE!</v>
      </c>
      <c r="IR78" s="1960" t="e">
        <v>#VALUE!</v>
      </c>
      <c r="IS78" s="2274" t="e">
        <v>#VALUE!</v>
      </c>
      <c r="IT78" s="1960" t="e">
        <v>#VALUE!</v>
      </c>
      <c r="IU78" s="1960" t="e">
        <v>#VALUE!</v>
      </c>
      <c r="IV78" s="1960" t="e">
        <v>#VALUE!</v>
      </c>
      <c r="IW78" s="1960" t="e">
        <v>#VALUE!</v>
      </c>
      <c r="IX78" s="1960" t="e">
        <v>#VALUE!</v>
      </c>
      <c r="IY78" s="1960" t="e">
        <v>#VALUE!</v>
      </c>
      <c r="IZ78" s="1960" t="e">
        <v>#VALUE!</v>
      </c>
      <c r="JA78" s="1960" t="e">
        <v>#VALUE!</v>
      </c>
      <c r="JB78" s="1960" t="e">
        <v>#VALUE!</v>
      </c>
      <c r="JC78" s="1960" t="e">
        <v>#VALUE!</v>
      </c>
      <c r="JD78" s="1960" t="e">
        <v>#VALUE!</v>
      </c>
      <c r="JE78" s="2274">
        <v>0</v>
      </c>
      <c r="JF78" s="2117">
        <v>0</v>
      </c>
      <c r="JG78" s="2103" t="e">
        <f t="shared" si="13"/>
        <v>#DIV/0!</v>
      </c>
      <c r="JI78" s="2155"/>
      <c r="JJ78" s="2104"/>
    </row>
    <row r="79" spans="2:270" hidden="1">
      <c r="B79" s="2105">
        <v>55</v>
      </c>
      <c r="C79" s="2106" t="s">
        <v>86</v>
      </c>
      <c r="D79" s="2425" t="s">
        <v>481</v>
      </c>
      <c r="E79" s="2128" t="s">
        <v>97</v>
      </c>
      <c r="F79" s="2106" t="s">
        <v>918</v>
      </c>
      <c r="G79" s="2425"/>
      <c r="H79" s="2106" t="s">
        <v>929</v>
      </c>
      <c r="I79" s="2106" t="s">
        <v>930</v>
      </c>
      <c r="J79" s="2359" t="s">
        <v>921</v>
      </c>
      <c r="K79" s="2425"/>
      <c r="L79" s="2110">
        <v>98.4</v>
      </c>
      <c r="M79" s="2110">
        <v>105</v>
      </c>
      <c r="N79" s="2110">
        <v>126</v>
      </c>
      <c r="O79" s="2110">
        <v>129.80000000000001</v>
      </c>
      <c r="P79" s="2110">
        <v>140.4</v>
      </c>
      <c r="Q79" s="2110">
        <v>162.6</v>
      </c>
      <c r="R79" s="2110">
        <v>165.8</v>
      </c>
      <c r="S79" s="2110">
        <v>166.4</v>
      </c>
      <c r="T79" s="2110">
        <v>162.9</v>
      </c>
      <c r="U79" s="2110">
        <v>161.5</v>
      </c>
      <c r="V79" s="2110">
        <v>163.9</v>
      </c>
      <c r="W79" s="2110">
        <v>162.9</v>
      </c>
      <c r="X79" s="2110">
        <v>164.8</v>
      </c>
      <c r="Y79" s="2110">
        <v>163</v>
      </c>
      <c r="Z79" s="2110">
        <v>161.9</v>
      </c>
      <c r="AA79" s="2110">
        <v>163</v>
      </c>
      <c r="AB79" s="2110">
        <v>162.19999999999999</v>
      </c>
      <c r="AC79" s="2110">
        <v>161.1</v>
      </c>
      <c r="AD79" s="2110">
        <v>162.6</v>
      </c>
      <c r="AE79" s="2110">
        <v>163.5</v>
      </c>
      <c r="AF79" s="2110">
        <v>165.4</v>
      </c>
      <c r="AG79" s="2110">
        <v>165.3</v>
      </c>
      <c r="AH79" s="2110">
        <v>165.1</v>
      </c>
      <c r="AI79" s="2110">
        <v>165.1</v>
      </c>
      <c r="AJ79" s="2110">
        <v>167.1</v>
      </c>
      <c r="AK79" s="2110">
        <v>170</v>
      </c>
      <c r="AL79" s="2110">
        <v>171.6</v>
      </c>
      <c r="AM79" s="2110">
        <v>177.3</v>
      </c>
      <c r="AN79" s="2110">
        <v>179.8</v>
      </c>
      <c r="AO79" s="2110">
        <v>179.8</v>
      </c>
      <c r="AP79" s="2110">
        <v>179.8</v>
      </c>
      <c r="AQ79" s="2110">
        <v>182.3</v>
      </c>
      <c r="AR79" s="2110">
        <v>184.1</v>
      </c>
      <c r="AS79" s="2110">
        <v>190.9</v>
      </c>
      <c r="AT79" s="2110">
        <v>190.9</v>
      </c>
      <c r="AU79" s="2110">
        <v>194.5</v>
      </c>
      <c r="AV79" s="2110">
        <v>199.1</v>
      </c>
      <c r="AW79" s="2111">
        <v>206.4</v>
      </c>
      <c r="AX79" s="2111">
        <v>212.9</v>
      </c>
      <c r="AY79" s="2111">
        <v>215.2</v>
      </c>
      <c r="AZ79" s="2111">
        <v>215</v>
      </c>
      <c r="BA79" s="2111">
        <v>215</v>
      </c>
      <c r="BB79" s="2111">
        <v>218.1</v>
      </c>
      <c r="BC79" s="2111">
        <v>218.1</v>
      </c>
      <c r="BD79" s="2112">
        <v>216.2</v>
      </c>
      <c r="BE79" s="2111">
        <v>216.4</v>
      </c>
      <c r="BF79" s="2112">
        <v>216.2</v>
      </c>
      <c r="BG79" s="2112">
        <v>223.6</v>
      </c>
      <c r="BH79" s="2112">
        <v>228.4</v>
      </c>
      <c r="BI79" s="2108">
        <v>229.1</v>
      </c>
      <c r="BJ79" s="2108">
        <v>230.8</v>
      </c>
      <c r="BK79" s="2108">
        <v>230.8</v>
      </c>
      <c r="BL79" s="2108">
        <v>232.4</v>
      </c>
      <c r="BM79" s="2108">
        <v>232.4</v>
      </c>
      <c r="BN79" s="2108">
        <v>233.4</v>
      </c>
      <c r="BO79" s="2108">
        <v>238.5</v>
      </c>
      <c r="BP79" s="2108">
        <v>243.3</v>
      </c>
      <c r="BQ79" s="2108">
        <v>245.4</v>
      </c>
      <c r="BR79" s="2108">
        <v>247.7</v>
      </c>
      <c r="BS79" s="2108">
        <v>249</v>
      </c>
      <c r="BT79" s="2108">
        <v>249</v>
      </c>
      <c r="BU79" s="2108">
        <v>249</v>
      </c>
      <c r="BV79" s="2108">
        <v>252.9</v>
      </c>
      <c r="BW79" s="2108">
        <v>255.1</v>
      </c>
      <c r="BX79" s="2108">
        <v>260.7</v>
      </c>
      <c r="BY79" s="2108">
        <v>263.89999999999998</v>
      </c>
      <c r="BZ79" s="2108">
        <v>272.60000000000002</v>
      </c>
      <c r="CA79" s="2108">
        <v>282.5</v>
      </c>
      <c r="CB79" s="2108">
        <v>290.5</v>
      </c>
      <c r="CC79" s="2108">
        <v>299.60000000000002</v>
      </c>
      <c r="CD79" s="2108">
        <v>299.60000000000002</v>
      </c>
      <c r="CE79" s="2108">
        <v>299.8</v>
      </c>
      <c r="CF79" s="2108">
        <v>303.89999999999998</v>
      </c>
      <c r="CG79" s="2108">
        <v>310.2</v>
      </c>
      <c r="CH79" s="2108">
        <v>313.3</v>
      </c>
      <c r="CI79" s="2108">
        <v>333.5</v>
      </c>
      <c r="CJ79" s="2108">
        <v>335.2</v>
      </c>
      <c r="CK79" s="2108">
        <v>346.8</v>
      </c>
      <c r="CL79" s="2108">
        <v>354.3</v>
      </c>
      <c r="CM79" s="2108">
        <v>357.1</v>
      </c>
      <c r="CN79" s="2108">
        <v>371.1</v>
      </c>
      <c r="CO79" s="2108">
        <v>371.1</v>
      </c>
      <c r="CP79" s="2108">
        <v>371.1</v>
      </c>
      <c r="CQ79" s="2108">
        <v>371.1</v>
      </c>
      <c r="CR79" s="2108">
        <v>371.1</v>
      </c>
      <c r="CS79" s="2108">
        <v>371.1</v>
      </c>
      <c r="CT79" s="2108">
        <v>350.4</v>
      </c>
      <c r="CU79" s="2108">
        <v>336.9</v>
      </c>
      <c r="CV79" s="2108">
        <v>336.9</v>
      </c>
      <c r="CW79" s="2108">
        <v>336.9</v>
      </c>
      <c r="CX79" s="2108">
        <v>336.9</v>
      </c>
      <c r="CY79" s="2108">
        <v>336.9</v>
      </c>
      <c r="CZ79" s="2108">
        <v>355.9</v>
      </c>
      <c r="DA79" s="2108">
        <v>366.4</v>
      </c>
      <c r="DB79" s="2108">
        <v>366.4</v>
      </c>
      <c r="DC79" s="2108">
        <v>366.4</v>
      </c>
      <c r="DD79" s="2108">
        <v>366.4</v>
      </c>
      <c r="DE79" s="2108">
        <v>368.8</v>
      </c>
      <c r="DF79" s="2108">
        <v>383.6</v>
      </c>
      <c r="DG79" s="2108">
        <v>393.9</v>
      </c>
      <c r="DH79" s="2108">
        <v>402.2</v>
      </c>
      <c r="DI79" s="2108">
        <v>404.6</v>
      </c>
      <c r="DJ79" s="2108">
        <v>404.6</v>
      </c>
      <c r="DK79" s="2108">
        <v>419.5</v>
      </c>
      <c r="DL79" s="2108">
        <v>419.5</v>
      </c>
      <c r="DM79" s="2108">
        <v>419.6</v>
      </c>
      <c r="DN79" s="2108">
        <v>422.9</v>
      </c>
      <c r="DO79" s="2108">
        <v>429.1</v>
      </c>
      <c r="DP79" s="2108">
        <v>427.8</v>
      </c>
      <c r="DQ79" s="2108">
        <v>426.2</v>
      </c>
      <c r="DR79" s="2108">
        <v>416</v>
      </c>
      <c r="DS79" s="2108">
        <v>442.5</v>
      </c>
      <c r="DT79" s="2108">
        <v>456.4</v>
      </c>
      <c r="DU79" s="2108">
        <v>454.8</v>
      </c>
      <c r="DV79" s="2108">
        <v>461.6</v>
      </c>
      <c r="DW79" s="2108">
        <v>471</v>
      </c>
      <c r="DX79" s="2108">
        <v>475.5</v>
      </c>
      <c r="DY79" s="2108">
        <v>475.5</v>
      </c>
      <c r="DZ79" s="2108">
        <v>475.5</v>
      </c>
      <c r="EA79" s="2108">
        <v>480.8</v>
      </c>
      <c r="EB79" s="2108">
        <v>484.2</v>
      </c>
      <c r="EC79" s="2108">
        <v>486.8</v>
      </c>
      <c r="ED79" s="2108">
        <v>511.7</v>
      </c>
      <c r="EE79" s="2108">
        <v>511.7</v>
      </c>
      <c r="EF79" s="2108">
        <v>516.5</v>
      </c>
      <c r="EG79" s="2108">
        <v>529.1</v>
      </c>
      <c r="EH79" s="2108">
        <v>563.9</v>
      </c>
      <c r="EI79" s="2108">
        <v>575.29999999999995</v>
      </c>
      <c r="EJ79" s="2108">
        <v>583.9</v>
      </c>
      <c r="EK79" s="2108">
        <v>583.9</v>
      </c>
      <c r="EL79" s="2108">
        <v>594.20000000000005</v>
      </c>
      <c r="EM79" s="2108">
        <v>598.9</v>
      </c>
      <c r="EN79" s="2108">
        <v>624.29999999999995</v>
      </c>
      <c r="EO79" s="2108">
        <v>624.29999999999995</v>
      </c>
      <c r="EP79" s="2108">
        <v>633.20000000000005</v>
      </c>
      <c r="EQ79" s="2108">
        <v>643</v>
      </c>
      <c r="ER79" s="2108">
        <v>657.9</v>
      </c>
      <c r="ES79" s="2108">
        <v>678.4</v>
      </c>
      <c r="ET79" s="2108">
        <v>704.1</v>
      </c>
      <c r="EU79" s="2108">
        <v>711.3</v>
      </c>
      <c r="EV79" s="2108">
        <v>716.5</v>
      </c>
      <c r="EW79" s="2108">
        <v>721.5</v>
      </c>
      <c r="EX79" s="2108">
        <v>734.7</v>
      </c>
      <c r="EY79" s="2108">
        <v>755.4</v>
      </c>
      <c r="EZ79" s="2108">
        <v>786</v>
      </c>
      <c r="FA79" s="2108">
        <v>796.8</v>
      </c>
      <c r="FB79" s="2108">
        <v>831.2</v>
      </c>
      <c r="FC79" s="2108">
        <v>888.6</v>
      </c>
      <c r="FD79" s="2108">
        <v>909.3</v>
      </c>
      <c r="FE79" s="2108">
        <v>921.5</v>
      </c>
      <c r="FF79" s="2108">
        <v>928.1</v>
      </c>
      <c r="FG79" s="2108">
        <v>941.5</v>
      </c>
      <c r="FH79" s="2108">
        <v>956.8</v>
      </c>
      <c r="FI79" s="2108">
        <v>985.9</v>
      </c>
      <c r="FJ79" s="2108">
        <v>1009.2</v>
      </c>
      <c r="FK79" s="2108">
        <v>1009.1</v>
      </c>
      <c r="FL79" s="2108">
        <v>1014.6</v>
      </c>
      <c r="FM79" s="2108">
        <v>1023.7</v>
      </c>
      <c r="FN79" s="2108">
        <v>1030.2</v>
      </c>
      <c r="FO79" s="2108">
        <v>1059.5999999999999</v>
      </c>
      <c r="FP79" s="2108">
        <v>1067.4000000000001</v>
      </c>
      <c r="FQ79" s="2108">
        <v>1085.7</v>
      </c>
      <c r="FR79" s="2108">
        <v>1099.9000000000001</v>
      </c>
      <c r="FS79" s="2108">
        <v>1107.9000000000001</v>
      </c>
      <c r="FT79" s="2108">
        <v>1141</v>
      </c>
      <c r="FU79" s="2108">
        <v>1189.2</v>
      </c>
      <c r="FV79" s="2108">
        <v>1212</v>
      </c>
      <c r="FW79" s="2113" t="s">
        <v>521</v>
      </c>
      <c r="FX79" s="2113" t="s">
        <v>521</v>
      </c>
      <c r="FY79" s="2113">
        <v>100</v>
      </c>
      <c r="FZ79" s="2113" t="e">
        <v>#VALUE!</v>
      </c>
      <c r="GA79" s="2113" t="e">
        <v>#VALUE!</v>
      </c>
      <c r="GB79" s="2113" t="e">
        <v>#VALUE!</v>
      </c>
      <c r="GC79" s="2113" t="e">
        <v>#VALUE!</v>
      </c>
      <c r="GD79" s="2113" t="e">
        <v>#VALUE!</v>
      </c>
      <c r="GE79" s="2113" t="e">
        <v>#VALUE!</v>
      </c>
      <c r="GF79" s="2114" t="e">
        <v>#VALUE!</v>
      </c>
      <c r="GG79" s="1960" t="e">
        <v>#VALUE!</v>
      </c>
      <c r="GH79" s="2114" t="e">
        <v>#VALUE!</v>
      </c>
      <c r="GI79" s="2114" t="e">
        <v>#VALUE!</v>
      </c>
      <c r="GJ79" s="2113" t="e">
        <v>#VALUE!</v>
      </c>
      <c r="GK79" s="2113" t="e">
        <v>#VALUE!</v>
      </c>
      <c r="GL79" s="2113" t="e">
        <v>#VALUE!</v>
      </c>
      <c r="GM79" s="2114" t="e">
        <v>#VALUE!</v>
      </c>
      <c r="GN79" s="2114" t="e">
        <v>#VALUE!</v>
      </c>
      <c r="GO79" s="2115" t="e">
        <v>#VALUE!</v>
      </c>
      <c r="GP79" s="2116" t="e">
        <v>#VALUE!</v>
      </c>
      <c r="GQ79" s="2116" t="e">
        <v>#VALUE!</v>
      </c>
      <c r="GR79" s="2116" t="e">
        <v>#VALUE!</v>
      </c>
      <c r="GS79" s="2116" t="e">
        <v>#VALUE!</v>
      </c>
      <c r="GT79" s="1960" t="e">
        <v>#VALUE!</v>
      </c>
      <c r="GU79" s="1960" t="e">
        <v>#VALUE!</v>
      </c>
      <c r="GV79" s="1960" t="e">
        <v>#VALUE!</v>
      </c>
      <c r="GW79" s="1960" t="e">
        <v>#VALUE!</v>
      </c>
      <c r="GX79" s="1960" t="e">
        <v>#VALUE!</v>
      </c>
      <c r="GY79" s="1960" t="e">
        <v>#VALUE!</v>
      </c>
      <c r="GZ79" s="1960" t="e">
        <v>#VALUE!</v>
      </c>
      <c r="HA79" s="1960" t="e">
        <v>#VALUE!</v>
      </c>
      <c r="HB79" s="1960" t="e">
        <v>#VALUE!</v>
      </c>
      <c r="HC79" s="1960" t="e">
        <v>#VALUE!</v>
      </c>
      <c r="HD79" s="1960" t="e">
        <v>#VALUE!</v>
      </c>
      <c r="HE79" s="1960" t="e">
        <v>#VALUE!</v>
      </c>
      <c r="HF79" s="1960" t="e">
        <v>#VALUE!</v>
      </c>
      <c r="HG79" s="1960" t="e">
        <v>#VALUE!</v>
      </c>
      <c r="HH79" s="2117" t="e">
        <v>#VALUE!</v>
      </c>
      <c r="HI79" s="1960" t="e">
        <v>#VALUE!</v>
      </c>
      <c r="HJ79" s="1960" t="e">
        <v>#VALUE!</v>
      </c>
      <c r="HK79" s="1960" t="e">
        <v>#VALUE!</v>
      </c>
      <c r="HL79" s="1960" t="e">
        <v>#VALUE!</v>
      </c>
      <c r="HM79" s="1960" t="e">
        <v>#VALUE!</v>
      </c>
      <c r="HN79" s="1960" t="e">
        <v>#VALUE!</v>
      </c>
      <c r="HO79" s="1960" t="e">
        <v>#VALUE!</v>
      </c>
      <c r="HP79" s="1960" t="e">
        <v>#VALUE!</v>
      </c>
      <c r="HQ79" s="1960" t="e">
        <v>#VALUE!</v>
      </c>
      <c r="HR79" s="1960" t="e">
        <v>#VALUE!</v>
      </c>
      <c r="HS79" s="1960" t="e">
        <v>#VALUE!</v>
      </c>
      <c r="HT79" s="1962" t="e">
        <v>#VALUE!</v>
      </c>
      <c r="HU79" s="1961" t="e">
        <v>#VALUE!</v>
      </c>
      <c r="HV79" s="1960" t="e">
        <v>#VALUE!</v>
      </c>
      <c r="HW79" s="1960" t="e">
        <v>#VALUE!</v>
      </c>
      <c r="HX79" s="1960" t="e">
        <v>#VALUE!</v>
      </c>
      <c r="HY79" s="1960" t="e">
        <v>#VALUE!</v>
      </c>
      <c r="HZ79" s="1960" t="e">
        <v>#VALUE!</v>
      </c>
      <c r="IA79" s="1960" t="e">
        <v>#VALUE!</v>
      </c>
      <c r="IB79" s="1960" t="e">
        <v>#VALUE!</v>
      </c>
      <c r="IC79" s="1960" t="e">
        <v>#VALUE!</v>
      </c>
      <c r="ID79" s="1960" t="e">
        <v>#VALUE!</v>
      </c>
      <c r="IE79" s="1960" t="e">
        <v>#VALUE!</v>
      </c>
      <c r="IF79" s="1960" t="e">
        <v>#VALUE!</v>
      </c>
      <c r="IG79" s="1961" t="e">
        <v>#VALUE!</v>
      </c>
      <c r="IH79" s="1960" t="e">
        <v>#VALUE!</v>
      </c>
      <c r="II79" s="1960" t="e">
        <v>#VALUE!</v>
      </c>
      <c r="IJ79" s="1961" t="e">
        <v>#VALUE!</v>
      </c>
      <c r="IK79" s="1960" t="e">
        <v>#VALUE!</v>
      </c>
      <c r="IL79" s="1960" t="e">
        <v>#VALUE!</v>
      </c>
      <c r="IM79" s="1960" t="e">
        <v>#VALUE!</v>
      </c>
      <c r="IN79" s="1960" t="e">
        <v>#VALUE!</v>
      </c>
      <c r="IO79" s="1960" t="e">
        <v>#VALUE!</v>
      </c>
      <c r="IP79" s="1960" t="e">
        <v>#VALUE!</v>
      </c>
      <c r="IQ79" s="1960" t="e">
        <v>#VALUE!</v>
      </c>
      <c r="IR79" s="1960" t="e">
        <v>#VALUE!</v>
      </c>
      <c r="IS79" s="2274" t="e">
        <v>#VALUE!</v>
      </c>
      <c r="IT79" s="1960" t="e">
        <v>#VALUE!</v>
      </c>
      <c r="IU79" s="1960" t="e">
        <v>#VALUE!</v>
      </c>
      <c r="IV79" s="1960" t="e">
        <v>#VALUE!</v>
      </c>
      <c r="IW79" s="1960" t="e">
        <v>#VALUE!</v>
      </c>
      <c r="IX79" s="1960" t="e">
        <v>#VALUE!</v>
      </c>
      <c r="IY79" s="1960" t="e">
        <v>#VALUE!</v>
      </c>
      <c r="IZ79" s="1960" t="e">
        <v>#VALUE!</v>
      </c>
      <c r="JA79" s="1960" t="e">
        <v>#VALUE!</v>
      </c>
      <c r="JB79" s="1960" t="e">
        <v>#VALUE!</v>
      </c>
      <c r="JC79" s="1960" t="e">
        <v>#VALUE!</v>
      </c>
      <c r="JD79" s="1960" t="e">
        <v>#VALUE!</v>
      </c>
      <c r="JE79" s="2274">
        <v>0</v>
      </c>
      <c r="JF79" s="2117">
        <v>0</v>
      </c>
      <c r="JG79" s="2103" t="e">
        <f t="shared" si="13"/>
        <v>#DIV/0!</v>
      </c>
      <c r="JI79" s="2155"/>
      <c r="JJ79" s="2104"/>
    </row>
    <row r="80" spans="2:270" ht="31.5">
      <c r="B80" s="2105">
        <v>56</v>
      </c>
      <c r="C80" s="2106" t="s">
        <v>98</v>
      </c>
      <c r="D80" s="2425" t="s">
        <v>1195</v>
      </c>
      <c r="E80" s="2128" t="s">
        <v>99</v>
      </c>
      <c r="F80" s="2106" t="s">
        <v>918</v>
      </c>
      <c r="G80" s="2425" t="s">
        <v>1112</v>
      </c>
      <c r="H80" s="2106" t="s">
        <v>919</v>
      </c>
      <c r="I80" s="2106" t="s">
        <v>920</v>
      </c>
      <c r="J80" s="2359" t="s">
        <v>921</v>
      </c>
      <c r="K80" s="2425"/>
      <c r="L80" s="2110">
        <v>86.02</v>
      </c>
      <c r="M80" s="2110">
        <v>96.02</v>
      </c>
      <c r="N80" s="2110">
        <v>116.56</v>
      </c>
      <c r="O80" s="2110">
        <v>120.9</v>
      </c>
      <c r="P80" s="2110">
        <v>178.75</v>
      </c>
      <c r="Q80" s="2110">
        <v>184.92</v>
      </c>
      <c r="R80" s="2110">
        <v>187.96</v>
      </c>
      <c r="S80" s="2110">
        <v>187.96</v>
      </c>
      <c r="T80" s="2110">
        <v>187.96</v>
      </c>
      <c r="U80" s="2110">
        <v>187.96</v>
      </c>
      <c r="V80" s="2110">
        <v>187.96</v>
      </c>
      <c r="W80" s="2110">
        <v>187.96</v>
      </c>
      <c r="X80" s="2110">
        <v>187.96</v>
      </c>
      <c r="Y80" s="2110">
        <v>187.96</v>
      </c>
      <c r="Z80" s="2110">
        <v>187.96</v>
      </c>
      <c r="AA80" s="2110">
        <v>187.96</v>
      </c>
      <c r="AB80" s="2110">
        <v>187.96</v>
      </c>
      <c r="AC80" s="2110">
        <v>191.3</v>
      </c>
      <c r="AD80" s="2110">
        <v>191.3</v>
      </c>
      <c r="AE80" s="2110">
        <v>187.96</v>
      </c>
      <c r="AF80" s="2110">
        <v>191.3</v>
      </c>
      <c r="AG80" s="2110">
        <v>191.3</v>
      </c>
      <c r="AH80" s="2110">
        <v>191.3</v>
      </c>
      <c r="AI80" s="2110">
        <v>191.3</v>
      </c>
      <c r="AJ80" s="2110">
        <v>191.49</v>
      </c>
      <c r="AK80" s="2110">
        <v>191.49</v>
      </c>
      <c r="AL80" s="2110">
        <v>191.49</v>
      </c>
      <c r="AM80" s="2110">
        <v>199.28</v>
      </c>
      <c r="AN80" s="2110">
        <v>199.28</v>
      </c>
      <c r="AO80" s="2110">
        <v>193.04</v>
      </c>
      <c r="AP80" s="2110">
        <v>193.04</v>
      </c>
      <c r="AQ80" s="2110">
        <v>198.38</v>
      </c>
      <c r="AR80" s="2110">
        <v>198.91</v>
      </c>
      <c r="AS80" s="2110">
        <v>202.43</v>
      </c>
      <c r="AT80" s="2110">
        <v>198.91</v>
      </c>
      <c r="AU80" s="2110">
        <v>198.75</v>
      </c>
      <c r="AV80" s="2110">
        <v>211.54</v>
      </c>
      <c r="AW80" s="2111">
        <v>211.54</v>
      </c>
      <c r="AX80" s="2111">
        <v>215.07</v>
      </c>
      <c r="AY80" s="2111">
        <v>211.52</v>
      </c>
      <c r="AZ80" s="2111">
        <v>217.42</v>
      </c>
      <c r="BA80" s="2111">
        <v>217.42</v>
      </c>
      <c r="BB80" s="2111">
        <v>221.92</v>
      </c>
      <c r="BC80" s="2111">
        <v>221.92</v>
      </c>
      <c r="BD80" s="2112">
        <v>221.92</v>
      </c>
      <c r="BE80" s="2111">
        <v>221.92</v>
      </c>
      <c r="BF80" s="2112">
        <v>221.92</v>
      </c>
      <c r="BG80" s="2112">
        <v>234.64</v>
      </c>
      <c r="BH80" s="2112">
        <v>234.65</v>
      </c>
      <c r="BI80" s="2108">
        <v>234.65</v>
      </c>
      <c r="BJ80" s="2108">
        <v>234.64</v>
      </c>
      <c r="BK80" s="2108">
        <v>234.64</v>
      </c>
      <c r="BL80" s="2108">
        <v>234.64</v>
      </c>
      <c r="BM80" s="2108">
        <v>234.65</v>
      </c>
      <c r="BN80" s="2108">
        <v>238.11</v>
      </c>
      <c r="BO80" s="2108">
        <v>242.29</v>
      </c>
      <c r="BP80" s="2108">
        <v>242.28</v>
      </c>
      <c r="BQ80" s="2108">
        <v>246.02</v>
      </c>
      <c r="BR80" s="2108">
        <v>262.95</v>
      </c>
      <c r="BS80" s="2108">
        <v>262.94</v>
      </c>
      <c r="BT80" s="2108">
        <v>262.95</v>
      </c>
      <c r="BU80" s="2108">
        <v>262.95</v>
      </c>
      <c r="BV80" s="2108">
        <v>262.95</v>
      </c>
      <c r="BW80" s="2108">
        <v>262.95</v>
      </c>
      <c r="BX80" s="2108">
        <v>265.2</v>
      </c>
      <c r="BY80" s="2108">
        <v>286.58999999999997</v>
      </c>
      <c r="BZ80" s="2108">
        <v>286.58999999999997</v>
      </c>
      <c r="CA80" s="2108">
        <v>286.58999999999997</v>
      </c>
      <c r="CB80" s="2108">
        <v>286.58999999999997</v>
      </c>
      <c r="CC80" s="2108">
        <v>319.58999999999997</v>
      </c>
      <c r="CD80" s="2108">
        <v>319.58999999999997</v>
      </c>
      <c r="CE80" s="2108">
        <v>322.98</v>
      </c>
      <c r="CF80" s="2108">
        <v>322.94</v>
      </c>
      <c r="CG80" s="2108">
        <v>322.98</v>
      </c>
      <c r="CH80" s="2108">
        <v>328.11</v>
      </c>
      <c r="CI80" s="2108">
        <v>328.11</v>
      </c>
      <c r="CJ80" s="2108">
        <v>354.48</v>
      </c>
      <c r="CK80" s="2108">
        <v>356.74</v>
      </c>
      <c r="CL80" s="2108">
        <v>356.74</v>
      </c>
      <c r="CM80" s="2108">
        <v>356.74</v>
      </c>
      <c r="CN80" s="2108">
        <v>360.08</v>
      </c>
      <c r="CO80" s="2108">
        <v>362.95</v>
      </c>
      <c r="CP80" s="2108">
        <v>373.11</v>
      </c>
      <c r="CQ80" s="2108">
        <v>373.11</v>
      </c>
      <c r="CR80" s="2108">
        <v>380.29</v>
      </c>
      <c r="CS80" s="2108">
        <v>380.29</v>
      </c>
      <c r="CT80" s="2108">
        <v>380.29</v>
      </c>
      <c r="CU80" s="2108">
        <v>380.29</v>
      </c>
      <c r="CV80" s="2108">
        <v>384.54</v>
      </c>
      <c r="CW80" s="2108">
        <v>392.84</v>
      </c>
      <c r="CX80" s="2108">
        <v>392.84</v>
      </c>
      <c r="CY80" s="2108">
        <v>393.09</v>
      </c>
      <c r="CZ80" s="2108">
        <v>401.36</v>
      </c>
      <c r="DA80" s="2108">
        <v>401.36</v>
      </c>
      <c r="DB80" s="2108">
        <v>409.31</v>
      </c>
      <c r="DC80" s="2108">
        <v>409.31</v>
      </c>
      <c r="DD80" s="2108">
        <v>409.31</v>
      </c>
      <c r="DE80" s="2108">
        <v>419.17</v>
      </c>
      <c r="DF80" s="2108">
        <v>419.17</v>
      </c>
      <c r="DG80" s="2108">
        <v>416.25</v>
      </c>
      <c r="DH80" s="2108">
        <v>416.25</v>
      </c>
      <c r="DI80" s="2108">
        <v>420.72</v>
      </c>
      <c r="DJ80" s="2108">
        <v>416.71</v>
      </c>
      <c r="DK80" s="2108">
        <v>422.66</v>
      </c>
      <c r="DL80" s="2108">
        <v>429</v>
      </c>
      <c r="DM80" s="2108">
        <v>429.23</v>
      </c>
      <c r="DN80" s="2108">
        <v>452.07</v>
      </c>
      <c r="DO80" s="2108">
        <v>452.07</v>
      </c>
      <c r="DP80" s="2108">
        <v>452.07</v>
      </c>
      <c r="DQ80" s="2108">
        <v>459.92</v>
      </c>
      <c r="DR80" s="2108">
        <v>459.92</v>
      </c>
      <c r="DS80" s="2108">
        <v>466.85</v>
      </c>
      <c r="DT80" s="2108">
        <v>479.29</v>
      </c>
      <c r="DU80" s="2108">
        <v>479.29</v>
      </c>
      <c r="DV80" s="2108">
        <v>479.29</v>
      </c>
      <c r="DW80" s="2108">
        <v>486.75</v>
      </c>
      <c r="DX80" s="2108">
        <v>494.87</v>
      </c>
      <c r="DY80" s="2108">
        <v>495.7</v>
      </c>
      <c r="DZ80" s="2108">
        <v>502.99</v>
      </c>
      <c r="EA80" s="2108">
        <v>512.07000000000005</v>
      </c>
      <c r="EB80" s="2108">
        <v>529.16999999999996</v>
      </c>
      <c r="EC80" s="2108">
        <v>538.04</v>
      </c>
      <c r="ED80" s="2108">
        <v>537.71</v>
      </c>
      <c r="EE80" s="2108">
        <v>543.26</v>
      </c>
      <c r="EF80" s="2108">
        <v>543.26</v>
      </c>
      <c r="EG80" s="2108">
        <v>562.9</v>
      </c>
      <c r="EH80" s="2108">
        <v>572.38</v>
      </c>
      <c r="EI80" s="2108">
        <v>593.51</v>
      </c>
      <c r="EJ80" s="2108">
        <v>601.72</v>
      </c>
      <c r="EK80" s="2108">
        <v>623.57000000000005</v>
      </c>
      <c r="EL80" s="2108">
        <v>623.57000000000005</v>
      </c>
      <c r="EM80" s="2108">
        <v>623.57000000000005</v>
      </c>
      <c r="EN80" s="2108">
        <v>623.57000000000005</v>
      </c>
      <c r="EO80" s="2108">
        <v>631.28</v>
      </c>
      <c r="EP80" s="2108">
        <v>634.75</v>
      </c>
      <c r="EQ80" s="2108">
        <v>631.16999999999996</v>
      </c>
      <c r="ER80" s="2108">
        <v>638.72</v>
      </c>
      <c r="ES80" s="2108">
        <v>649.78</v>
      </c>
      <c r="ET80" s="2108">
        <v>657.74</v>
      </c>
      <c r="EU80" s="2108">
        <v>657.57</v>
      </c>
      <c r="EV80" s="2108">
        <v>665.77</v>
      </c>
      <c r="EW80" s="2108">
        <v>665.77</v>
      </c>
      <c r="EX80" s="2108">
        <v>669.75</v>
      </c>
      <c r="EY80" s="2108">
        <v>675.22</v>
      </c>
      <c r="EZ80" s="2108">
        <v>683.62</v>
      </c>
      <c r="FA80" s="2108">
        <v>720.04</v>
      </c>
      <c r="FB80" s="2108">
        <v>744.59</v>
      </c>
      <c r="FC80" s="2108">
        <v>757.39</v>
      </c>
      <c r="FD80" s="2108">
        <v>779.55</v>
      </c>
      <c r="FE80" s="2108">
        <v>789.74</v>
      </c>
      <c r="FF80" s="2108">
        <v>809.89</v>
      </c>
      <c r="FG80" s="2108">
        <v>816.49</v>
      </c>
      <c r="FH80" s="2108">
        <v>824.49</v>
      </c>
      <c r="FI80" s="2108">
        <v>835.82</v>
      </c>
      <c r="FJ80" s="2108">
        <v>856.84</v>
      </c>
      <c r="FK80" s="2108">
        <v>881.76</v>
      </c>
      <c r="FL80" s="2108">
        <v>901.62</v>
      </c>
      <c r="FM80" s="2108">
        <v>920.32</v>
      </c>
      <c r="FN80" s="2108">
        <v>964.31</v>
      </c>
      <c r="FO80" s="2108">
        <v>973.45</v>
      </c>
      <c r="FP80" s="2108">
        <v>999.9</v>
      </c>
      <c r="FQ80" s="2108">
        <v>1009.77</v>
      </c>
      <c r="FR80" s="2108">
        <v>1018.17</v>
      </c>
      <c r="FS80" s="2108">
        <v>1039.02</v>
      </c>
      <c r="FT80" s="2108">
        <v>1055.82</v>
      </c>
      <c r="FU80" s="2108">
        <v>1061.29</v>
      </c>
      <c r="FV80" s="2108">
        <v>1107.3</v>
      </c>
      <c r="FW80" s="2113">
        <v>1006.7864585103631</v>
      </c>
      <c r="FX80" s="2113">
        <v>1006.7864585103631</v>
      </c>
      <c r="FY80" s="2113">
        <v>100</v>
      </c>
      <c r="FZ80" s="2113">
        <v>101.46691799163818</v>
      </c>
      <c r="GA80" s="2113">
        <v>110.57907059961281</v>
      </c>
      <c r="GB80" s="2113">
        <v>110.57907059961281</v>
      </c>
      <c r="GC80" s="2113">
        <v>107.4004757024356</v>
      </c>
      <c r="GD80" s="2113">
        <v>107.54932494303863</v>
      </c>
      <c r="GE80" s="2113">
        <v>106.99308471375193</v>
      </c>
      <c r="GF80" s="2114">
        <v>106.99308471375193</v>
      </c>
      <c r="GG80" s="1960">
        <v>106.83682210410673</v>
      </c>
      <c r="GH80" s="2114">
        <v>106.83682210410673</v>
      </c>
      <c r="GI80" s="2114">
        <v>106.99309210828589</v>
      </c>
      <c r="GJ80" s="2113">
        <v>108.70312288396907</v>
      </c>
      <c r="GK80" s="2113">
        <v>108.70312288396907</v>
      </c>
      <c r="GL80" s="2113">
        <v>110.48977828266575</v>
      </c>
      <c r="GM80" s="2114">
        <v>111.57303438848227</v>
      </c>
      <c r="GN80" s="2114">
        <v>111.95174072547445</v>
      </c>
      <c r="GO80" s="2115">
        <v>111.97001097162889</v>
      </c>
      <c r="GP80" s="2116">
        <v>109.98336806818492</v>
      </c>
      <c r="GQ80" s="2116">
        <v>110.44410309565123</v>
      </c>
      <c r="GR80" s="2116">
        <v>113.05125343372961</v>
      </c>
      <c r="GS80" s="2116">
        <v>113.29553317832368</v>
      </c>
      <c r="GT80" s="1960">
        <v>115.39702109759239</v>
      </c>
      <c r="GU80" s="1960">
        <v>115.46965487323136</v>
      </c>
      <c r="GV80" s="1960">
        <v>115.46965487323136</v>
      </c>
      <c r="GW80" s="1960">
        <v>117.81360982270313</v>
      </c>
      <c r="GX80" s="1960">
        <v>122.36615504251181</v>
      </c>
      <c r="GY80" s="1960">
        <v>124.03628531791415</v>
      </c>
      <c r="GZ80" s="1960">
        <v>127.72831529355325</v>
      </c>
      <c r="HA80" s="1960">
        <v>130.00589568948126</v>
      </c>
      <c r="HB80" s="1960">
        <v>146.9970608209255</v>
      </c>
      <c r="HC80" s="1960">
        <v>164.74798250680755</v>
      </c>
      <c r="HD80" s="1960">
        <v>155.83161107643483</v>
      </c>
      <c r="HE80" s="1960">
        <v>168.43372743992447</v>
      </c>
      <c r="HF80" s="1960">
        <v>174.40533917459098</v>
      </c>
      <c r="HG80" s="1960">
        <v>180.7217916579763</v>
      </c>
      <c r="HH80" s="2117">
        <v>177.33790625861914</v>
      </c>
      <c r="HI80" s="1960">
        <v>180.72444667304504</v>
      </c>
      <c r="HJ80" s="1960">
        <v>177.34051156044276</v>
      </c>
      <c r="HK80" s="1960">
        <v>178.43171330279759</v>
      </c>
      <c r="HL80" s="1960">
        <v>194.97623641742547</v>
      </c>
      <c r="HM80" s="1960">
        <v>204.58721204472693</v>
      </c>
      <c r="HN80" s="1960">
        <v>205.62164176854856</v>
      </c>
      <c r="HO80" s="1960">
        <v>207.5273069770553</v>
      </c>
      <c r="HP80" s="1960">
        <v>215.34836187955253</v>
      </c>
      <c r="HQ80" s="1960">
        <v>229.03031396301884</v>
      </c>
      <c r="HR80" s="1960">
        <v>229.42262562513048</v>
      </c>
      <c r="HS80" s="1960">
        <v>237.8726572246658</v>
      </c>
      <c r="HT80" s="1962">
        <v>239.85680282657475</v>
      </c>
      <c r="HU80" s="1961">
        <v>241.356716335822</v>
      </c>
      <c r="HV80" s="1960">
        <v>241.356716335822</v>
      </c>
      <c r="HW80" s="1960">
        <v>241.356716335822</v>
      </c>
      <c r="HX80" s="1960">
        <v>241.356716335822</v>
      </c>
      <c r="HY80" s="1960">
        <v>241.356716335822</v>
      </c>
      <c r="HZ80" s="1960">
        <v>241.356716335822</v>
      </c>
      <c r="IA80" s="1960">
        <v>241.356716335822</v>
      </c>
      <c r="IB80" s="1960">
        <v>249.12753681179157</v>
      </c>
      <c r="IC80" s="1960">
        <v>249.12753681179157</v>
      </c>
      <c r="ID80" s="1960">
        <v>249.12753681179157</v>
      </c>
      <c r="IE80" s="1960">
        <v>249.12753681179157</v>
      </c>
      <c r="IF80" s="1960">
        <v>249.12753681179157</v>
      </c>
      <c r="IG80" s="1961">
        <v>249.12753681179157</v>
      </c>
      <c r="IH80" s="1960">
        <v>249.12753681179157</v>
      </c>
      <c r="II80" s="1960">
        <v>253.29816180412905</v>
      </c>
      <c r="IJ80" s="1961">
        <v>258.0906770095454</v>
      </c>
      <c r="IK80" s="1960">
        <v>261.8010525741941</v>
      </c>
      <c r="IL80" s="1960">
        <v>261.80098005424105</v>
      </c>
      <c r="IM80" s="1960">
        <v>264.77396269602633</v>
      </c>
      <c r="IN80" s="1960">
        <v>266.36707837586516</v>
      </c>
      <c r="IO80" s="1960">
        <v>268.43262188513086</v>
      </c>
      <c r="IP80" s="1960">
        <v>270.42159239819023</v>
      </c>
      <c r="IQ80" s="1960">
        <v>275.70157398976488</v>
      </c>
      <c r="IR80" s="1960">
        <v>275.70157398976488</v>
      </c>
      <c r="IS80" s="2274">
        <v>276.95098840116952</v>
      </c>
      <c r="IT80" s="1960">
        <v>283.39179569336574</v>
      </c>
      <c r="IU80" s="1960">
        <v>289.42309439621653</v>
      </c>
      <c r="IV80" s="1960">
        <v>306.36309784669021</v>
      </c>
      <c r="IW80" s="1960">
        <v>308.59995501957297</v>
      </c>
      <c r="IX80" s="1960">
        <v>308.59995501957297</v>
      </c>
      <c r="IY80" s="1960">
        <v>333.90345374134711</v>
      </c>
      <c r="IZ80" s="1960">
        <v>341.1357302703729</v>
      </c>
      <c r="JA80" s="1960">
        <v>346.5099658827171</v>
      </c>
      <c r="JB80" s="1960">
        <v>350.35115011544104</v>
      </c>
      <c r="JC80" s="1960">
        <v>356.70034592673335</v>
      </c>
      <c r="JD80" s="1960">
        <v>359.90742746559079</v>
      </c>
      <c r="JE80" s="2274">
        <v>378.48276681462346</v>
      </c>
      <c r="JF80" s="2117">
        <v>382.9587307403313</v>
      </c>
      <c r="JG80" s="2103">
        <f t="shared" si="13"/>
        <v>1.0118260706118229</v>
      </c>
      <c r="JI80" s="2155"/>
      <c r="JJ80" s="2104"/>
    </row>
    <row r="81" spans="2:270" ht="38.25" customHeight="1">
      <c r="B81" s="2105">
        <v>57</v>
      </c>
      <c r="C81" s="2106" t="s">
        <v>100</v>
      </c>
      <c r="D81" s="2425"/>
      <c r="E81" s="2128" t="s">
        <v>101</v>
      </c>
      <c r="F81" s="2106" t="s">
        <v>918</v>
      </c>
      <c r="G81" s="2425" t="s">
        <v>1340</v>
      </c>
      <c r="H81" s="2106" t="s">
        <v>919</v>
      </c>
      <c r="I81" s="2106" t="s">
        <v>920</v>
      </c>
      <c r="J81" s="2359" t="s">
        <v>186</v>
      </c>
      <c r="K81" s="2425"/>
      <c r="L81" s="2409">
        <v>108.83</v>
      </c>
      <c r="M81" s="2409">
        <v>129.03</v>
      </c>
      <c r="N81" s="2409">
        <v>178.56</v>
      </c>
      <c r="O81" s="2409">
        <v>181.56</v>
      </c>
      <c r="P81" s="2409">
        <v>235.24</v>
      </c>
      <c r="Q81" s="2409">
        <v>250.09</v>
      </c>
      <c r="R81" s="2409">
        <v>285.36</v>
      </c>
      <c r="S81" s="2409">
        <v>285.36</v>
      </c>
      <c r="T81" s="2409">
        <v>265.57</v>
      </c>
      <c r="U81" s="2409">
        <v>274.86</v>
      </c>
      <c r="V81" s="2409">
        <v>272.95</v>
      </c>
      <c r="W81" s="2409">
        <v>277.8</v>
      </c>
      <c r="X81" s="2409">
        <v>280.02</v>
      </c>
      <c r="Y81" s="2409">
        <v>280.02</v>
      </c>
      <c r="Z81" s="2409">
        <v>287.77999999999997</v>
      </c>
      <c r="AA81" s="2409">
        <v>299.05</v>
      </c>
      <c r="AB81" s="2409">
        <v>302.61</v>
      </c>
      <c r="AC81" s="2409">
        <v>302.61</v>
      </c>
      <c r="AD81" s="2409">
        <v>316.14999999999998</v>
      </c>
      <c r="AE81" s="2409">
        <v>326.3</v>
      </c>
      <c r="AF81" s="2409">
        <v>326.3</v>
      </c>
      <c r="AG81" s="2409">
        <v>326.3</v>
      </c>
      <c r="AH81" s="2409">
        <v>326.3</v>
      </c>
      <c r="AI81" s="2409">
        <v>326.3</v>
      </c>
      <c r="AJ81" s="2409">
        <v>326.3</v>
      </c>
      <c r="AK81" s="2409">
        <v>330.9</v>
      </c>
      <c r="AL81" s="2409">
        <v>334.05</v>
      </c>
      <c r="AM81" s="2409">
        <v>334.06</v>
      </c>
      <c r="AN81" s="2409">
        <v>354.41</v>
      </c>
      <c r="AO81" s="2409">
        <v>354.41</v>
      </c>
      <c r="AP81" s="2409">
        <v>364.34</v>
      </c>
      <c r="AQ81" s="2409">
        <v>364.34</v>
      </c>
      <c r="AR81" s="2409">
        <v>355.8</v>
      </c>
      <c r="AS81" s="2409">
        <v>354.35</v>
      </c>
      <c r="AT81" s="2409">
        <v>354.35</v>
      </c>
      <c r="AU81" s="2409">
        <v>354.35</v>
      </c>
      <c r="AV81" s="2409">
        <v>354.35</v>
      </c>
      <c r="AW81" s="2410">
        <v>353.29</v>
      </c>
      <c r="AX81" s="2410">
        <v>352.85</v>
      </c>
      <c r="AY81" s="2410">
        <v>355.1</v>
      </c>
      <c r="AZ81" s="2410">
        <v>355.1</v>
      </c>
      <c r="BA81" s="2410">
        <v>355.1</v>
      </c>
      <c r="BB81" s="2410">
        <v>352.34</v>
      </c>
      <c r="BC81" s="2410">
        <v>340.55</v>
      </c>
      <c r="BD81" s="2411">
        <v>340.59</v>
      </c>
      <c r="BE81" s="2410">
        <v>340.59</v>
      </c>
      <c r="BF81" s="2411">
        <v>340.59</v>
      </c>
      <c r="BG81" s="2411">
        <v>356.34</v>
      </c>
      <c r="BH81" s="2411">
        <v>364.32</v>
      </c>
      <c r="BI81" s="2412">
        <v>364.32</v>
      </c>
      <c r="BJ81" s="2412">
        <v>364.32</v>
      </c>
      <c r="BK81" s="2412">
        <v>362.64</v>
      </c>
      <c r="BL81" s="2412">
        <v>362.66</v>
      </c>
      <c r="BM81" s="2412">
        <v>369.95</v>
      </c>
      <c r="BN81" s="2412">
        <v>373.72</v>
      </c>
      <c r="BO81" s="2412">
        <v>373.72</v>
      </c>
      <c r="BP81" s="2412">
        <v>373.72</v>
      </c>
      <c r="BQ81" s="2412">
        <v>373.72</v>
      </c>
      <c r="BR81" s="2412">
        <v>373.72</v>
      </c>
      <c r="BS81" s="2412">
        <v>376.83</v>
      </c>
      <c r="BT81" s="2412">
        <v>379.58</v>
      </c>
      <c r="BU81" s="2412">
        <v>388.2</v>
      </c>
      <c r="BV81" s="2412">
        <v>388.2</v>
      </c>
      <c r="BW81" s="2412">
        <v>389.65</v>
      </c>
      <c r="BX81" s="2412">
        <v>389.65</v>
      </c>
      <c r="BY81" s="2412">
        <v>398.89</v>
      </c>
      <c r="BZ81" s="2412">
        <v>398.89</v>
      </c>
      <c r="CA81" s="2412">
        <v>402.75</v>
      </c>
      <c r="CB81" s="2412">
        <v>407.83</v>
      </c>
      <c r="CC81" s="2412">
        <v>418.12</v>
      </c>
      <c r="CD81" s="2412">
        <v>421.51</v>
      </c>
      <c r="CE81" s="2412">
        <v>432.17</v>
      </c>
      <c r="CF81" s="2412">
        <v>443.93</v>
      </c>
      <c r="CG81" s="2412">
        <v>450.8</v>
      </c>
      <c r="CH81" s="2412">
        <v>472.7</v>
      </c>
      <c r="CI81" s="2412">
        <v>494.79</v>
      </c>
      <c r="CJ81" s="2412">
        <v>511.84</v>
      </c>
      <c r="CK81" s="2412">
        <v>516.33000000000004</v>
      </c>
      <c r="CL81" s="2412">
        <v>542.24</v>
      </c>
      <c r="CM81" s="2412">
        <v>573.32000000000005</v>
      </c>
      <c r="CN81" s="2412">
        <v>594.30999999999995</v>
      </c>
      <c r="CO81" s="2412">
        <v>597.74</v>
      </c>
      <c r="CP81" s="2412">
        <v>601.69000000000005</v>
      </c>
      <c r="CQ81" s="2412">
        <v>601.69000000000005</v>
      </c>
      <c r="CR81" s="2412">
        <v>601.69000000000005</v>
      </c>
      <c r="CS81" s="2412">
        <v>606.72</v>
      </c>
      <c r="CT81" s="2412">
        <v>606.72</v>
      </c>
      <c r="CU81" s="2412">
        <v>606.72</v>
      </c>
      <c r="CV81" s="2412">
        <v>606.72</v>
      </c>
      <c r="CW81" s="2412">
        <v>606.72</v>
      </c>
      <c r="CX81" s="2412">
        <v>597.44000000000005</v>
      </c>
      <c r="CY81" s="2412">
        <v>601.76</v>
      </c>
      <c r="CZ81" s="2412">
        <v>607.69000000000005</v>
      </c>
      <c r="DA81" s="2412">
        <v>618.11</v>
      </c>
      <c r="DB81" s="2412">
        <v>623.05999999999995</v>
      </c>
      <c r="DC81" s="2412">
        <v>627.63</v>
      </c>
      <c r="DD81" s="2412">
        <v>632.29</v>
      </c>
      <c r="DE81" s="2412">
        <v>635.08000000000004</v>
      </c>
      <c r="DF81" s="2412">
        <v>653.88</v>
      </c>
      <c r="DG81" s="2412">
        <v>677.44</v>
      </c>
      <c r="DH81" s="2412">
        <v>683.99</v>
      </c>
      <c r="DI81" s="2412">
        <v>690.68</v>
      </c>
      <c r="DJ81" s="2412">
        <v>694.84</v>
      </c>
      <c r="DK81" s="2412">
        <v>700.45</v>
      </c>
      <c r="DL81" s="2412">
        <v>706.13</v>
      </c>
      <c r="DM81" s="2412">
        <v>709.07</v>
      </c>
      <c r="DN81" s="2412">
        <v>768.17</v>
      </c>
      <c r="DO81" s="2412">
        <v>779.66</v>
      </c>
      <c r="DP81" s="2412">
        <v>815.07</v>
      </c>
      <c r="DQ81" s="2412">
        <v>815.07</v>
      </c>
      <c r="DR81" s="2412">
        <v>817.97</v>
      </c>
      <c r="DS81" s="2412">
        <v>826.52</v>
      </c>
      <c r="DT81" s="2412">
        <v>829.12</v>
      </c>
      <c r="DU81" s="2412">
        <v>832.09</v>
      </c>
      <c r="DV81" s="2412">
        <v>838.7</v>
      </c>
      <c r="DW81" s="2412">
        <v>867.95</v>
      </c>
      <c r="DX81" s="2412">
        <v>872.71</v>
      </c>
      <c r="DY81" s="2412">
        <v>886.11</v>
      </c>
      <c r="DZ81" s="2412">
        <v>891.27</v>
      </c>
      <c r="EA81" s="2412">
        <v>920.2</v>
      </c>
      <c r="EB81" s="2412">
        <v>922.43</v>
      </c>
      <c r="EC81" s="2412">
        <v>923.87</v>
      </c>
      <c r="ED81" s="2412">
        <v>926.64</v>
      </c>
      <c r="EE81" s="2412">
        <v>927.7</v>
      </c>
      <c r="EF81" s="2412">
        <v>963</v>
      </c>
      <c r="EG81" s="2412">
        <v>965.8</v>
      </c>
      <c r="EH81" s="2412">
        <v>968.82</v>
      </c>
      <c r="EI81" s="2412">
        <v>971.8</v>
      </c>
      <c r="EJ81" s="2412">
        <v>983.19</v>
      </c>
      <c r="EK81" s="2412">
        <v>997.65</v>
      </c>
      <c r="EL81" s="2412">
        <v>1008.23</v>
      </c>
      <c r="EM81" s="2412">
        <v>1011.33</v>
      </c>
      <c r="EN81" s="2412">
        <v>1014.32</v>
      </c>
      <c r="EO81" s="2412">
        <v>1038.02</v>
      </c>
      <c r="EP81" s="2412">
        <v>1041.07</v>
      </c>
      <c r="EQ81" s="2412">
        <v>1044.21</v>
      </c>
      <c r="ER81" s="2412">
        <v>1047.4100000000001</v>
      </c>
      <c r="ES81" s="2412">
        <v>1050.6500000000001</v>
      </c>
      <c r="ET81" s="2412">
        <v>1062.6600000000001</v>
      </c>
      <c r="EU81" s="2412">
        <v>1090.79</v>
      </c>
      <c r="EV81" s="2412">
        <v>1098.76</v>
      </c>
      <c r="EW81" s="2412">
        <v>1102.1400000000001</v>
      </c>
      <c r="EX81" s="2412">
        <v>1105.53</v>
      </c>
      <c r="EY81" s="2412">
        <v>1108.92</v>
      </c>
      <c r="EZ81" s="2412">
        <v>1151.75</v>
      </c>
      <c r="FA81" s="2412">
        <v>1168.03</v>
      </c>
      <c r="FB81" s="2412">
        <v>1259.2</v>
      </c>
      <c r="FC81" s="2412">
        <v>1292.57</v>
      </c>
      <c r="FD81" s="2412">
        <v>1301.28</v>
      </c>
      <c r="FE81" s="2412">
        <v>1306.1199999999999</v>
      </c>
      <c r="FF81" s="2412">
        <v>1309.99</v>
      </c>
      <c r="FG81" s="2412">
        <v>1320.46</v>
      </c>
      <c r="FH81" s="2412">
        <v>1324.33</v>
      </c>
      <c r="FI81" s="2412">
        <v>1339.2</v>
      </c>
      <c r="FJ81" s="2412">
        <v>1380.74</v>
      </c>
      <c r="FK81" s="2412">
        <v>1424.91</v>
      </c>
      <c r="FL81" s="2412">
        <v>1449.17</v>
      </c>
      <c r="FM81" s="2412">
        <v>1449.17</v>
      </c>
      <c r="FN81" s="2412">
        <v>1476.58</v>
      </c>
      <c r="FO81" s="2412">
        <v>1481.42</v>
      </c>
      <c r="FP81" s="2412">
        <v>1486.26</v>
      </c>
      <c r="FQ81" s="2412">
        <v>1503.19</v>
      </c>
      <c r="FR81" s="2412">
        <v>1506.58</v>
      </c>
      <c r="FS81" s="2412">
        <v>1537.5</v>
      </c>
      <c r="FT81" s="2412">
        <v>1556.82</v>
      </c>
      <c r="FU81" s="2412">
        <v>1578.91</v>
      </c>
      <c r="FV81" s="2412">
        <v>1592.22</v>
      </c>
      <c r="FW81" s="2413">
        <v>1790.6241401026687</v>
      </c>
      <c r="FX81" s="2413">
        <v>1790.6241401026687</v>
      </c>
      <c r="FY81" s="2413">
        <v>100</v>
      </c>
      <c r="FZ81" s="2413">
        <v>86.23695969581604</v>
      </c>
      <c r="GA81" s="2413">
        <v>86.23695969581604</v>
      </c>
      <c r="GB81" s="2413">
        <v>87.503208522392839</v>
      </c>
      <c r="GC81" s="2413">
        <v>87.503208522392839</v>
      </c>
      <c r="GD81" s="2413">
        <v>87.503208522392839</v>
      </c>
      <c r="GE81" s="2413">
        <v>87.503208522392839</v>
      </c>
      <c r="GF81" s="2414">
        <v>87.503208522392839</v>
      </c>
      <c r="GG81" s="2415">
        <v>87.503208522392839</v>
      </c>
      <c r="GH81" s="2414">
        <v>87.503208522392839</v>
      </c>
      <c r="GI81" s="2414">
        <v>87.503208522392839</v>
      </c>
      <c r="GJ81" s="2413">
        <v>87.885783041999346</v>
      </c>
      <c r="GK81" s="2413">
        <v>87.885783041999346</v>
      </c>
      <c r="GL81" s="2413">
        <v>90.207526125997475</v>
      </c>
      <c r="GM81" s="2414">
        <v>90.200821271921626</v>
      </c>
      <c r="GN81" s="2414">
        <v>90.200821271921626</v>
      </c>
      <c r="GO81" s="2416">
        <v>91.129957877814462</v>
      </c>
      <c r="GP81" s="2417">
        <v>93.36249088610333</v>
      </c>
      <c r="GQ81" s="2417">
        <v>95.026978481897572</v>
      </c>
      <c r="GR81" s="2417">
        <v>95.026978481897572</v>
      </c>
      <c r="GS81" s="2417">
        <v>95.026978481897572</v>
      </c>
      <c r="GT81" s="2415">
        <v>102.19482153850986</v>
      </c>
      <c r="GU81" s="2415">
        <v>102.19482153850986</v>
      </c>
      <c r="GV81" s="2415">
        <v>103.56784614124206</v>
      </c>
      <c r="GW81" s="2415">
        <v>105.75837943372751</v>
      </c>
      <c r="GX81" s="2415">
        <v>106.90416345888353</v>
      </c>
      <c r="GY81" s="2415">
        <v>106.90416345888353</v>
      </c>
      <c r="GZ81" s="2415">
        <v>106.90416345888353</v>
      </c>
      <c r="HA81" s="2415">
        <v>144.7216759345479</v>
      </c>
      <c r="HB81" s="2415">
        <v>182.36192163228972</v>
      </c>
      <c r="HC81" s="2415">
        <v>264.42251244282664</v>
      </c>
      <c r="HD81" s="2415">
        <v>238.91520228596039</v>
      </c>
      <c r="HE81" s="2415">
        <v>238.91520228596039</v>
      </c>
      <c r="HF81" s="2415">
        <v>248.55513467552416</v>
      </c>
      <c r="HG81" s="2415">
        <v>254.76803368571009</v>
      </c>
      <c r="HH81" s="2418">
        <v>263.17170767164555</v>
      </c>
      <c r="HI81" s="2415">
        <v>264.78308557821094</v>
      </c>
      <c r="HJ81" s="2415">
        <v>273.29182548962143</v>
      </c>
      <c r="HK81" s="2415">
        <v>284.45897436002468</v>
      </c>
      <c r="HL81" s="2415">
        <v>298.54439678984539</v>
      </c>
      <c r="HM81" s="2415">
        <v>302.69178072482919</v>
      </c>
      <c r="HN81" s="2415">
        <v>301.05132284898372</v>
      </c>
      <c r="HO81" s="2415">
        <v>298.3232018713482</v>
      </c>
      <c r="HP81" s="2415">
        <v>394.34570372827085</v>
      </c>
      <c r="HQ81" s="2415">
        <v>402.55113733799317</v>
      </c>
      <c r="HR81" s="2415">
        <v>405.62162166337356</v>
      </c>
      <c r="HS81" s="2415">
        <v>405.62162166337356</v>
      </c>
      <c r="HT81" s="2419">
        <v>405.62162166337356</v>
      </c>
      <c r="HU81" s="2420">
        <f>+Cubiertas!C14</f>
        <v>410.69981629509948</v>
      </c>
      <c r="HV81" s="2417">
        <f>+Cubiertas!D14</f>
        <v>416.06936489968018</v>
      </c>
      <c r="HW81" s="2417">
        <f>+Cubiertas!E14</f>
        <v>426.38455037690102</v>
      </c>
      <c r="HX81" s="2417">
        <f>+Cubiertas!F14</f>
        <v>441.64537272676193</v>
      </c>
      <c r="HY81" s="2417">
        <f>+Cubiertas!G14</f>
        <v>446.4497056887551</v>
      </c>
      <c r="HZ81" s="2417">
        <f>+Cubiertas!H14</f>
        <v>471.9550615605134</v>
      </c>
      <c r="IA81" s="2417">
        <f>+Cubiertas!I14</f>
        <v>489.75935430201781</v>
      </c>
      <c r="IB81" s="2417">
        <f>+Cubiertas!J14</f>
        <v>509.04733810531422</v>
      </c>
      <c r="IC81" s="2417">
        <f>+Cubiertas!K14</f>
        <v>535.25921353030685</v>
      </c>
      <c r="ID81" s="2417">
        <f>+Cubiertas!L14</f>
        <v>565.99281409599894</v>
      </c>
      <c r="IE81" s="2417">
        <f>+Cubiertas!M14</f>
        <v>603.36769846209347</v>
      </c>
      <c r="IF81" s="2419">
        <f>+Cubiertas!N14</f>
        <v>659.88926272083768</v>
      </c>
      <c r="IG81" s="2420">
        <f>+Cubiertas!C21</f>
        <v>710.12280295579649</v>
      </c>
      <c r="IH81" s="2417">
        <f>+Cubiertas!D21</f>
        <v>757.74222084378835</v>
      </c>
      <c r="II81" s="2417">
        <f>+Cubiertas!E21</f>
        <v>813.06270186203415</v>
      </c>
      <c r="IJ81" s="2417">
        <f>+Cubiertas!F21</f>
        <v>845.42129740016503</v>
      </c>
      <c r="IK81" s="2417">
        <f>+Cubiertas!G21</f>
        <v>890.14398511989657</v>
      </c>
      <c r="IL81" s="2417">
        <f>+Cubiertas!H21</f>
        <v>940.66013317614909</v>
      </c>
      <c r="IM81" s="2417">
        <f>+Cubiertas!I21</f>
        <v>987.85563933220044</v>
      </c>
      <c r="IN81" s="2417">
        <f>+Cubiertas!J21</f>
        <v>1035.4044052648687</v>
      </c>
      <c r="IO81" s="2417">
        <f>+Cubiertas!K21</f>
        <v>1073.1325494075807</v>
      </c>
      <c r="IP81" s="2417">
        <f>+Cubiertas!L21</f>
        <v>1118.7737125465164</v>
      </c>
      <c r="IQ81" s="2417">
        <f>+Cubiertas!M21</f>
        <v>1156.643160599875</v>
      </c>
      <c r="IR81" s="2419">
        <f>+Cubiertas!N21</f>
        <v>1211.9636416181211</v>
      </c>
      <c r="IS81" s="2420">
        <f>+Cubiertas!C28</f>
        <v>1266.4362991724856</v>
      </c>
      <c r="IT81" s="2417">
        <f>+Cubiertas!D28</f>
        <v>1343.3762785197011</v>
      </c>
      <c r="IU81" s="2417">
        <f>+Cubiertas!E28</f>
        <v>1411.6967193174578</v>
      </c>
      <c r="IV81" s="2417">
        <f>+Cubiertas!F28</f>
        <v>1490.4736495030825</v>
      </c>
      <c r="IW81" s="2417">
        <f>+Cubiertas!G28</f>
        <v>1575.4679517571692</v>
      </c>
      <c r="IX81" s="2417">
        <f>+Cubiertas!H28</f>
        <v>1673.038302058826</v>
      </c>
      <c r="IY81" s="2417">
        <f>+Cubiertas!I28</f>
        <v>1793.7824937065682</v>
      </c>
      <c r="IZ81" s="2417">
        <f>+Cubiertas!J28</f>
        <v>1913.3256021138118</v>
      </c>
      <c r="JA81" s="2417">
        <f>+Cubiertas!K28</f>
        <v>2082.4663831581038</v>
      </c>
      <c r="JB81" s="2417">
        <f>+Cubiertas!L28</f>
        <v>2264.2538642052896</v>
      </c>
      <c r="JC81" s="2417">
        <f>+Cubiertas!M28</f>
        <v>2420.4252601312451</v>
      </c>
      <c r="JD81" s="2415">
        <f>+Cubiertas!N28</f>
        <v>2585.3670011502795</v>
      </c>
      <c r="JE81" s="2422">
        <f>+Cubiertas!C35</f>
        <v>2717.6274615157404</v>
      </c>
      <c r="JF81" s="2418">
        <f>+Cubiertas!D35</f>
        <v>2868.4693861312639</v>
      </c>
      <c r="JG81" s="2103">
        <f t="shared" si="13"/>
        <v>1.0555050045495906</v>
      </c>
      <c r="JI81" s="2155"/>
      <c r="JJ81" s="2104"/>
    </row>
    <row r="82" spans="2:270" ht="84" customHeight="1">
      <c r="B82" s="2105">
        <v>58</v>
      </c>
      <c r="C82" s="2106" t="s">
        <v>102</v>
      </c>
      <c r="D82" s="2425" t="s">
        <v>1294</v>
      </c>
      <c r="E82" s="2128" t="s">
        <v>103</v>
      </c>
      <c r="F82" s="2106" t="s">
        <v>918</v>
      </c>
      <c r="G82" s="2425" t="s">
        <v>1112</v>
      </c>
      <c r="H82" s="2106" t="s">
        <v>919</v>
      </c>
      <c r="I82" s="2106" t="s">
        <v>920</v>
      </c>
      <c r="J82" s="2359" t="s">
        <v>129</v>
      </c>
      <c r="K82" s="2425" t="s">
        <v>104</v>
      </c>
      <c r="L82" s="2110">
        <v>85.46</v>
      </c>
      <c r="M82" s="2110">
        <v>99.61</v>
      </c>
      <c r="N82" s="2110">
        <v>114.83</v>
      </c>
      <c r="O82" s="2110">
        <v>141.13999999999999</v>
      </c>
      <c r="P82" s="2110">
        <v>181.19</v>
      </c>
      <c r="Q82" s="2110">
        <v>211.93</v>
      </c>
      <c r="R82" s="2110">
        <v>239.63</v>
      </c>
      <c r="S82" s="2110">
        <v>253.18</v>
      </c>
      <c r="T82" s="2110">
        <v>255.05</v>
      </c>
      <c r="U82" s="2110">
        <v>255.17</v>
      </c>
      <c r="V82" s="2110">
        <v>259.27</v>
      </c>
      <c r="W82" s="2110">
        <v>249.1</v>
      </c>
      <c r="X82" s="2110">
        <v>248.32</v>
      </c>
      <c r="Y82" s="2110">
        <v>237.61</v>
      </c>
      <c r="Z82" s="2110">
        <v>234.6</v>
      </c>
      <c r="AA82" s="2110">
        <v>236.09</v>
      </c>
      <c r="AB82" s="2110">
        <v>232.22</v>
      </c>
      <c r="AC82" s="2110">
        <v>224.6</v>
      </c>
      <c r="AD82" s="2110">
        <v>225</v>
      </c>
      <c r="AE82" s="2110">
        <v>222.45</v>
      </c>
      <c r="AF82" s="2110">
        <v>228.52</v>
      </c>
      <c r="AG82" s="2110">
        <v>228.87</v>
      </c>
      <c r="AH82" s="2110">
        <v>225.91</v>
      </c>
      <c r="AI82" s="2110">
        <v>228.07</v>
      </c>
      <c r="AJ82" s="2110">
        <v>232.46</v>
      </c>
      <c r="AK82" s="2110">
        <v>229.05</v>
      </c>
      <c r="AL82" s="2110">
        <v>240.63</v>
      </c>
      <c r="AM82" s="2110">
        <v>242.79</v>
      </c>
      <c r="AN82" s="2110">
        <v>238.66</v>
      </c>
      <c r="AO82" s="2110">
        <v>267.77</v>
      </c>
      <c r="AP82" s="2110">
        <v>270.92</v>
      </c>
      <c r="AQ82" s="2110">
        <v>280.63</v>
      </c>
      <c r="AR82" s="2110">
        <v>286.05</v>
      </c>
      <c r="AS82" s="2110">
        <v>282.83999999999997</v>
      </c>
      <c r="AT82" s="2110">
        <v>295.39</v>
      </c>
      <c r="AU82" s="2110">
        <v>297.23</v>
      </c>
      <c r="AV82" s="2110">
        <v>298.72000000000003</v>
      </c>
      <c r="AW82" s="2111">
        <v>296.95</v>
      </c>
      <c r="AX82" s="2111">
        <v>294.83</v>
      </c>
      <c r="AY82" s="2111">
        <v>295.88</v>
      </c>
      <c r="AZ82" s="2111">
        <v>295.26</v>
      </c>
      <c r="BA82" s="2111">
        <v>295.47000000000003</v>
      </c>
      <c r="BB82" s="2111">
        <v>293.89</v>
      </c>
      <c r="BC82" s="2111">
        <v>293.12</v>
      </c>
      <c r="BD82" s="2112">
        <v>289.22000000000003</v>
      </c>
      <c r="BE82" s="2111">
        <v>291.52999999999997</v>
      </c>
      <c r="BF82" s="2112">
        <v>295.52999999999997</v>
      </c>
      <c r="BG82" s="2112">
        <v>295.83</v>
      </c>
      <c r="BH82" s="2112">
        <v>300.95</v>
      </c>
      <c r="BI82" s="2108">
        <v>304</v>
      </c>
      <c r="BJ82" s="2108">
        <v>306.85000000000002</v>
      </c>
      <c r="BK82" s="2108">
        <v>308.5</v>
      </c>
      <c r="BL82" s="2108">
        <v>316.7</v>
      </c>
      <c r="BM82" s="2108">
        <v>316.41000000000003</v>
      </c>
      <c r="BN82" s="2108">
        <v>317.72000000000003</v>
      </c>
      <c r="BO82" s="2108">
        <v>318.88</v>
      </c>
      <c r="BP82" s="2108">
        <v>334.13</v>
      </c>
      <c r="BQ82" s="2108">
        <v>336.9</v>
      </c>
      <c r="BR82" s="2108">
        <v>337.35</v>
      </c>
      <c r="BS82" s="2108">
        <v>339.21</v>
      </c>
      <c r="BT82" s="2108">
        <v>343.56</v>
      </c>
      <c r="BU82" s="2108">
        <v>352.16</v>
      </c>
      <c r="BV82" s="2108">
        <v>354.75</v>
      </c>
      <c r="BW82" s="2108">
        <v>358.46</v>
      </c>
      <c r="BX82" s="2108">
        <v>365.4</v>
      </c>
      <c r="BY82" s="2108">
        <v>367.07</v>
      </c>
      <c r="BZ82" s="2108">
        <v>369.36</v>
      </c>
      <c r="CA82" s="2108">
        <v>377.73</v>
      </c>
      <c r="CB82" s="2108">
        <v>382.07</v>
      </c>
      <c r="CC82" s="2108">
        <v>385.52</v>
      </c>
      <c r="CD82" s="2108">
        <v>388.96</v>
      </c>
      <c r="CE82" s="2108">
        <v>397.05</v>
      </c>
      <c r="CF82" s="2108">
        <v>398.47</v>
      </c>
      <c r="CG82" s="2108">
        <v>419.8</v>
      </c>
      <c r="CH82" s="2108">
        <v>430.29</v>
      </c>
      <c r="CI82" s="2108">
        <v>443.98</v>
      </c>
      <c r="CJ82" s="2108">
        <v>451.32</v>
      </c>
      <c r="CK82" s="2108">
        <v>467.68</v>
      </c>
      <c r="CL82" s="2108">
        <v>481.9</v>
      </c>
      <c r="CM82" s="2108">
        <v>483.92</v>
      </c>
      <c r="CN82" s="2108">
        <v>498.56</v>
      </c>
      <c r="CO82" s="2108">
        <v>507.68</v>
      </c>
      <c r="CP82" s="2108">
        <v>521.17999999999995</v>
      </c>
      <c r="CQ82" s="2108">
        <v>525.36</v>
      </c>
      <c r="CR82" s="2108">
        <v>516.92999999999995</v>
      </c>
      <c r="CS82" s="2108">
        <v>509.23</v>
      </c>
      <c r="CT82" s="2108">
        <v>505.33</v>
      </c>
      <c r="CU82" s="2108">
        <v>504.35</v>
      </c>
      <c r="CV82" s="2108">
        <v>495.54</v>
      </c>
      <c r="CW82" s="2108">
        <v>493.62</v>
      </c>
      <c r="CX82" s="2108">
        <v>489.22</v>
      </c>
      <c r="CY82" s="2108">
        <v>497.27</v>
      </c>
      <c r="CZ82" s="2108">
        <v>496.83</v>
      </c>
      <c r="DA82" s="2108">
        <v>508.33</v>
      </c>
      <c r="DB82" s="2108">
        <v>511.32</v>
      </c>
      <c r="DC82" s="2108">
        <v>519.62</v>
      </c>
      <c r="DD82" s="2108">
        <v>521.03</v>
      </c>
      <c r="DE82" s="2108">
        <v>533.16</v>
      </c>
      <c r="DF82" s="2108">
        <v>541.41999999999996</v>
      </c>
      <c r="DG82" s="2108">
        <v>541.29</v>
      </c>
      <c r="DH82" s="2108">
        <v>546.76</v>
      </c>
      <c r="DI82" s="2108">
        <v>562.14</v>
      </c>
      <c r="DJ82" s="2108">
        <v>577.71</v>
      </c>
      <c r="DK82" s="2108">
        <v>579.42999999999995</v>
      </c>
      <c r="DL82" s="2108">
        <v>554</v>
      </c>
      <c r="DM82" s="2108">
        <v>556.15</v>
      </c>
      <c r="DN82" s="2108">
        <v>557.89</v>
      </c>
      <c r="DO82" s="2108">
        <v>557.91999999999996</v>
      </c>
      <c r="DP82" s="2108">
        <v>560.63</v>
      </c>
      <c r="DQ82" s="2108">
        <v>562.08000000000004</v>
      </c>
      <c r="DR82" s="2108">
        <v>562.24</v>
      </c>
      <c r="DS82" s="2108">
        <v>568.03</v>
      </c>
      <c r="DT82" s="2108">
        <v>572.91999999999996</v>
      </c>
      <c r="DU82" s="2108">
        <v>578.1</v>
      </c>
      <c r="DV82" s="2108">
        <v>583.58000000000004</v>
      </c>
      <c r="DW82" s="2108">
        <v>586.09</v>
      </c>
      <c r="DX82" s="2108">
        <v>599.38</v>
      </c>
      <c r="DY82" s="2108">
        <v>603.35</v>
      </c>
      <c r="DZ82" s="2108">
        <v>605.51</v>
      </c>
      <c r="EA82" s="2108">
        <v>603.41999999999996</v>
      </c>
      <c r="EB82" s="2108">
        <v>603.75</v>
      </c>
      <c r="EC82" s="2108">
        <v>606.04</v>
      </c>
      <c r="ED82" s="2108">
        <v>606.41</v>
      </c>
      <c r="EE82" s="2108">
        <v>607.54999999999995</v>
      </c>
      <c r="EF82" s="2108">
        <v>609.28</v>
      </c>
      <c r="EG82" s="2108">
        <v>611.51</v>
      </c>
      <c r="EH82" s="2108">
        <v>624.03</v>
      </c>
      <c r="EI82" s="2108">
        <v>641.24</v>
      </c>
      <c r="EJ82" s="2108">
        <v>646.97</v>
      </c>
      <c r="EK82" s="2108">
        <v>660.66</v>
      </c>
      <c r="EL82" s="2108">
        <v>668.25</v>
      </c>
      <c r="EM82" s="2108">
        <v>670.69</v>
      </c>
      <c r="EN82" s="2108">
        <v>673.15</v>
      </c>
      <c r="EO82" s="2108">
        <v>680.74</v>
      </c>
      <c r="EP82" s="2108">
        <v>687.67</v>
      </c>
      <c r="EQ82" s="2108">
        <v>695.23</v>
      </c>
      <c r="ER82" s="2108">
        <v>700.9</v>
      </c>
      <c r="ES82" s="2108">
        <v>712.25</v>
      </c>
      <c r="ET82" s="2108">
        <v>721.46</v>
      </c>
      <c r="EU82" s="2108">
        <v>730.87</v>
      </c>
      <c r="EV82" s="2108">
        <v>747.23</v>
      </c>
      <c r="EW82" s="2108">
        <v>761.82</v>
      </c>
      <c r="EX82" s="2108">
        <v>773.76</v>
      </c>
      <c r="EY82" s="2108">
        <v>785.74</v>
      </c>
      <c r="EZ82" s="2108">
        <v>817.01</v>
      </c>
      <c r="FA82" s="2108">
        <v>852.8</v>
      </c>
      <c r="FB82" s="2108">
        <v>880.8</v>
      </c>
      <c r="FC82" s="2108">
        <v>907.89</v>
      </c>
      <c r="FD82" s="2108">
        <v>921.86</v>
      </c>
      <c r="FE82" s="2108">
        <v>941.01</v>
      </c>
      <c r="FF82" s="2108">
        <v>959.07</v>
      </c>
      <c r="FG82" s="2108">
        <v>960.63</v>
      </c>
      <c r="FH82" s="2108">
        <v>972.31</v>
      </c>
      <c r="FI82" s="2108">
        <v>991.36</v>
      </c>
      <c r="FJ82" s="2108">
        <v>987.92</v>
      </c>
      <c r="FK82" s="2108">
        <v>996.74</v>
      </c>
      <c r="FL82" s="2108">
        <v>1000.35</v>
      </c>
      <c r="FM82" s="2108">
        <v>995.35</v>
      </c>
      <c r="FN82" s="2108">
        <v>1002.75</v>
      </c>
      <c r="FO82" s="2108">
        <v>1007.14</v>
      </c>
      <c r="FP82" s="2108">
        <v>1009.82</v>
      </c>
      <c r="FQ82" s="2108">
        <v>1021.22</v>
      </c>
      <c r="FR82" s="2108">
        <v>1030.7</v>
      </c>
      <c r="FS82" s="2108">
        <v>1040.3800000000001</v>
      </c>
      <c r="FT82" s="2108">
        <v>1064.8699999999999</v>
      </c>
      <c r="FU82" s="2108">
        <v>1087.4100000000001</v>
      </c>
      <c r="FV82" s="2108">
        <v>1100.8599999999999</v>
      </c>
      <c r="FW82" s="2113">
        <v>1099.3427128151782</v>
      </c>
      <c r="FX82" s="2113">
        <v>1187.5525428503261</v>
      </c>
      <c r="FY82" s="2113">
        <v>100</v>
      </c>
      <c r="FZ82" s="2113">
        <v>100.93601942062378</v>
      </c>
      <c r="GA82" s="2113">
        <v>103.20070647707382</v>
      </c>
      <c r="GB82" s="2113">
        <v>99.00613802477784</v>
      </c>
      <c r="GC82" s="2113">
        <v>98.635446631988685</v>
      </c>
      <c r="GD82" s="2113">
        <v>98.927192616761474</v>
      </c>
      <c r="GE82" s="2113">
        <v>105.40164252665805</v>
      </c>
      <c r="GF82" s="2114">
        <v>104.72021274961419</v>
      </c>
      <c r="GG82" s="1960">
        <v>105.72041304097503</v>
      </c>
      <c r="GH82" s="2114">
        <v>107.05709708294623</v>
      </c>
      <c r="GI82" s="2114">
        <v>110.95358832391013</v>
      </c>
      <c r="GJ82" s="2113">
        <v>117.62858718392752</v>
      </c>
      <c r="GK82" s="2113">
        <v>121.7040914673928</v>
      </c>
      <c r="GL82" s="2113">
        <v>122.11193311588083</v>
      </c>
      <c r="GM82" s="2114">
        <v>121.50649805320742</v>
      </c>
      <c r="GN82" s="2114">
        <v>121.72520258846588</v>
      </c>
      <c r="GO82" s="2115">
        <v>125.1179378511941</v>
      </c>
      <c r="GP82" s="2116">
        <v>126.83330752830742</v>
      </c>
      <c r="GQ82" s="2116">
        <v>131.69442988259058</v>
      </c>
      <c r="GR82" s="2116">
        <v>133.75515389659606</v>
      </c>
      <c r="GS82" s="2116">
        <v>138.32791561884952</v>
      </c>
      <c r="GT82" s="1960">
        <v>138.32791561884952</v>
      </c>
      <c r="GU82" s="1960">
        <v>139.28797831044807</v>
      </c>
      <c r="GV82" s="1960">
        <v>142.88421361032283</v>
      </c>
      <c r="GW82" s="1960">
        <v>150.9577959092928</v>
      </c>
      <c r="GX82" s="1960">
        <v>156.63502084287745</v>
      </c>
      <c r="GY82" s="1960">
        <v>161.37665861613129</v>
      </c>
      <c r="GZ82" s="1960">
        <v>164.68450567717741</v>
      </c>
      <c r="HA82" s="1960">
        <v>193.9879383710157</v>
      </c>
      <c r="HB82" s="1960">
        <v>207.51222821714049</v>
      </c>
      <c r="HC82" s="1960">
        <v>213.1430755457946</v>
      </c>
      <c r="HD82" s="1960">
        <v>237.11339548762376</v>
      </c>
      <c r="HE82" s="1960">
        <v>310.62557971192581</v>
      </c>
      <c r="HF82" s="1960">
        <v>309.57436431562417</v>
      </c>
      <c r="HG82" s="1960">
        <v>294.46115022797625</v>
      </c>
      <c r="HH82" s="2117">
        <v>302.7747062429948</v>
      </c>
      <c r="HI82" s="1960">
        <v>305.51753574100286</v>
      </c>
      <c r="HJ82" s="1960">
        <v>309.78105638803027</v>
      </c>
      <c r="HK82" s="1960">
        <v>333.08973448149669</v>
      </c>
      <c r="HL82" s="1960">
        <v>345.62523573426114</v>
      </c>
      <c r="HM82" s="1960">
        <v>358.76706934870441</v>
      </c>
      <c r="HN82" s="1960">
        <v>349.91397984929699</v>
      </c>
      <c r="HO82" s="1960">
        <v>336.74566632123395</v>
      </c>
      <c r="HP82" s="1960">
        <v>435.05922841728949</v>
      </c>
      <c r="HQ82" s="1960">
        <v>448.04902475488137</v>
      </c>
      <c r="HR82" s="1960">
        <v>468.12765250214107</v>
      </c>
      <c r="HS82" s="1960">
        <v>470.08864182824522</v>
      </c>
      <c r="HT82" s="1962">
        <v>482.06962403546515</v>
      </c>
      <c r="HU82" s="1961">
        <v>484.73144356782296</v>
      </c>
      <c r="HV82" s="1960">
        <v>492.53148998251385</v>
      </c>
      <c r="HW82" s="1960">
        <v>501.09875450045513</v>
      </c>
      <c r="HX82" s="1960">
        <v>501.09875450045513</v>
      </c>
      <c r="HY82" s="1960">
        <v>509.66364651787268</v>
      </c>
      <c r="HZ82" s="1960">
        <v>509.66364651787268</v>
      </c>
      <c r="IA82" s="1960">
        <v>550.7866516828534</v>
      </c>
      <c r="IB82" s="1960">
        <v>621.29821166978707</v>
      </c>
      <c r="IC82" s="1960">
        <v>678.98968983828627</v>
      </c>
      <c r="ID82" s="1960">
        <v>755.54546838543786</v>
      </c>
      <c r="IE82" s="1960">
        <v>755.54648814431198</v>
      </c>
      <c r="IF82" s="1960">
        <v>764.84460028265585</v>
      </c>
      <c r="IG82" s="1961">
        <v>770.15746055683996</v>
      </c>
      <c r="IH82" s="1960">
        <v>801.70201364731849</v>
      </c>
      <c r="II82" s="1960">
        <v>814.61232346350789</v>
      </c>
      <c r="IJ82" s="1961">
        <v>812.63716770064968</v>
      </c>
      <c r="IK82" s="1960">
        <v>848.39218309864088</v>
      </c>
      <c r="IL82" s="1960">
        <v>918.29204920776124</v>
      </c>
      <c r="IM82" s="1960">
        <v>945.42159134808583</v>
      </c>
      <c r="IN82" s="1960">
        <v>967.14813806893142</v>
      </c>
      <c r="IO82" s="1960">
        <v>973.34497857225188</v>
      </c>
      <c r="IP82" s="1960">
        <v>977.85992622993319</v>
      </c>
      <c r="IQ82" s="1960">
        <v>980.26220211537145</v>
      </c>
      <c r="IR82" s="1960">
        <v>986.47512040391791</v>
      </c>
      <c r="IS82" s="2274">
        <v>1003.1731100060656</v>
      </c>
      <c r="IT82" s="1960">
        <v>1021.9976543200917</v>
      </c>
      <c r="IU82" s="1960">
        <v>1075.9071971378146</v>
      </c>
      <c r="IV82" s="1960">
        <v>1150.8601092419526</v>
      </c>
      <c r="IW82" s="1960">
        <v>1235.5705210775436</v>
      </c>
      <c r="IX82" s="1960">
        <v>1312.7409085069517</v>
      </c>
      <c r="IY82" s="1960">
        <v>1423.4857048422709</v>
      </c>
      <c r="IZ82" s="1960">
        <v>1580.0984794682724</v>
      </c>
      <c r="JA82" s="1960">
        <v>1605.7125903866604</v>
      </c>
      <c r="JB82" s="1960">
        <v>1626.0501353583875</v>
      </c>
      <c r="JC82" s="1960">
        <v>1690.7879527515029</v>
      </c>
      <c r="JD82" s="1960">
        <v>1811.9217251320977</v>
      </c>
      <c r="JE82" s="2274">
        <v>1912.51147231189</v>
      </c>
      <c r="JF82" s="2117">
        <v>2044.7753897199582</v>
      </c>
      <c r="JG82" s="2103">
        <f t="shared" si="13"/>
        <v>1.0691571890275693</v>
      </c>
      <c r="JI82" s="2155"/>
      <c r="JJ82" s="2104"/>
    </row>
    <row r="83" spans="2:270" ht="31.5">
      <c r="B83" s="2105">
        <v>59</v>
      </c>
      <c r="C83" s="2106" t="s">
        <v>148</v>
      </c>
      <c r="D83" s="2425" t="s">
        <v>1196</v>
      </c>
      <c r="E83" s="2128" t="s">
        <v>149</v>
      </c>
      <c r="F83" s="2106" t="s">
        <v>918</v>
      </c>
      <c r="G83" s="2425" t="s">
        <v>1112</v>
      </c>
      <c r="H83" s="2106" t="s">
        <v>919</v>
      </c>
      <c r="I83" s="2106" t="s">
        <v>510</v>
      </c>
      <c r="J83" s="2359" t="s">
        <v>1121</v>
      </c>
      <c r="K83" s="2425"/>
      <c r="L83" s="2110">
        <v>89.99</v>
      </c>
      <c r="M83" s="2110">
        <v>108.11</v>
      </c>
      <c r="N83" s="2110">
        <v>119.74</v>
      </c>
      <c r="O83" s="2110">
        <v>119.74</v>
      </c>
      <c r="P83" s="2110">
        <v>138.38</v>
      </c>
      <c r="Q83" s="2110">
        <v>200.07</v>
      </c>
      <c r="R83" s="2110">
        <v>201.97</v>
      </c>
      <c r="S83" s="2110">
        <v>203.76</v>
      </c>
      <c r="T83" s="2110">
        <v>203.76</v>
      </c>
      <c r="U83" s="2110">
        <v>204.43</v>
      </c>
      <c r="V83" s="2110">
        <v>205.12</v>
      </c>
      <c r="W83" s="2110">
        <v>202.68</v>
      </c>
      <c r="X83" s="2110">
        <v>200.95</v>
      </c>
      <c r="Y83" s="2110">
        <v>197.81</v>
      </c>
      <c r="Z83" s="2110">
        <v>183</v>
      </c>
      <c r="AA83" s="2110">
        <v>194.26</v>
      </c>
      <c r="AB83" s="2110">
        <v>190.04</v>
      </c>
      <c r="AC83" s="2110">
        <v>186.93</v>
      </c>
      <c r="AD83" s="2110">
        <v>187.37</v>
      </c>
      <c r="AE83" s="2110">
        <v>186.26</v>
      </c>
      <c r="AF83" s="2110">
        <v>189.15</v>
      </c>
      <c r="AG83" s="2110">
        <v>189.15</v>
      </c>
      <c r="AH83" s="2110">
        <v>187.81</v>
      </c>
      <c r="AI83" s="2110">
        <v>188.26</v>
      </c>
      <c r="AJ83" s="2110">
        <v>190.26</v>
      </c>
      <c r="AK83" s="2110">
        <v>195.92</v>
      </c>
      <c r="AL83" s="2110">
        <v>195.92</v>
      </c>
      <c r="AM83" s="2110">
        <v>195.92</v>
      </c>
      <c r="AN83" s="2110">
        <v>202.37</v>
      </c>
      <c r="AO83" s="2110">
        <v>202.37</v>
      </c>
      <c r="AP83" s="2110">
        <v>202.37</v>
      </c>
      <c r="AQ83" s="2110">
        <v>202.37</v>
      </c>
      <c r="AR83" s="2110">
        <v>200.87</v>
      </c>
      <c r="AS83" s="2110">
        <v>200.87</v>
      </c>
      <c r="AT83" s="2110">
        <v>200.87</v>
      </c>
      <c r="AU83" s="2110">
        <v>204.77</v>
      </c>
      <c r="AV83" s="2110">
        <v>204.77</v>
      </c>
      <c r="AW83" s="2111">
        <v>204.77</v>
      </c>
      <c r="AX83" s="2111">
        <v>209.69</v>
      </c>
      <c r="AY83" s="2111">
        <v>210.53</v>
      </c>
      <c r="AZ83" s="2111">
        <v>210.53</v>
      </c>
      <c r="BA83" s="2111">
        <v>210.53</v>
      </c>
      <c r="BB83" s="2111">
        <v>210.53</v>
      </c>
      <c r="BC83" s="2111">
        <v>212.25</v>
      </c>
      <c r="BD83" s="2112">
        <v>214.42</v>
      </c>
      <c r="BE83" s="2111">
        <v>217.39</v>
      </c>
      <c r="BF83" s="2112">
        <v>217.39</v>
      </c>
      <c r="BG83" s="2112">
        <v>221.38</v>
      </c>
      <c r="BH83" s="2112">
        <v>222.27</v>
      </c>
      <c r="BI83" s="2108">
        <v>222.27</v>
      </c>
      <c r="BJ83" s="2108">
        <v>230.6</v>
      </c>
      <c r="BK83" s="2108">
        <v>230.6</v>
      </c>
      <c r="BL83" s="2108">
        <v>230.6</v>
      </c>
      <c r="BM83" s="2108">
        <v>240.58</v>
      </c>
      <c r="BN83" s="2108">
        <v>240.58</v>
      </c>
      <c r="BO83" s="2108">
        <v>242.62</v>
      </c>
      <c r="BP83" s="2108">
        <v>246.77</v>
      </c>
      <c r="BQ83" s="2108">
        <v>246.77</v>
      </c>
      <c r="BR83" s="2108">
        <v>246.77</v>
      </c>
      <c r="BS83" s="2108">
        <v>246.77</v>
      </c>
      <c r="BT83" s="2108">
        <v>246.77</v>
      </c>
      <c r="BU83" s="2108">
        <v>246.77</v>
      </c>
      <c r="BV83" s="2108">
        <v>246.77</v>
      </c>
      <c r="BW83" s="2108">
        <v>249.82</v>
      </c>
      <c r="BX83" s="2108">
        <v>249.82</v>
      </c>
      <c r="BY83" s="2108">
        <v>256.10000000000002</v>
      </c>
      <c r="BZ83" s="2108">
        <v>261.83999999999997</v>
      </c>
      <c r="CA83" s="2108">
        <v>261.83999999999997</v>
      </c>
      <c r="CB83" s="2108">
        <v>261.83999999999997</v>
      </c>
      <c r="CC83" s="2108">
        <v>262.39999999999998</v>
      </c>
      <c r="CD83" s="2108">
        <v>267.87</v>
      </c>
      <c r="CE83" s="2108">
        <v>274.64</v>
      </c>
      <c r="CF83" s="2108">
        <v>274.64</v>
      </c>
      <c r="CG83" s="2108">
        <v>274.64</v>
      </c>
      <c r="CH83" s="2108">
        <v>283.23</v>
      </c>
      <c r="CI83" s="2108">
        <v>283.23</v>
      </c>
      <c r="CJ83" s="2108">
        <v>283.23</v>
      </c>
      <c r="CK83" s="2108">
        <v>284.26</v>
      </c>
      <c r="CL83" s="2108">
        <v>296.55</v>
      </c>
      <c r="CM83" s="2108">
        <v>302.12</v>
      </c>
      <c r="CN83" s="2108">
        <v>302.12</v>
      </c>
      <c r="CO83" s="2108">
        <v>302.12</v>
      </c>
      <c r="CP83" s="2108">
        <v>302.12</v>
      </c>
      <c r="CQ83" s="2108">
        <v>302.12</v>
      </c>
      <c r="CR83" s="2108">
        <v>302.12</v>
      </c>
      <c r="CS83" s="2108">
        <v>302.12</v>
      </c>
      <c r="CT83" s="2108">
        <v>302.12</v>
      </c>
      <c r="CU83" s="2108">
        <v>302.12</v>
      </c>
      <c r="CV83" s="2108">
        <v>302.12</v>
      </c>
      <c r="CW83" s="2108">
        <v>302.12</v>
      </c>
      <c r="CX83" s="2108">
        <v>302.12</v>
      </c>
      <c r="CY83" s="2108">
        <v>302.12</v>
      </c>
      <c r="CZ83" s="2108">
        <v>295.89999999999998</v>
      </c>
      <c r="DA83" s="2108">
        <v>295.89999999999998</v>
      </c>
      <c r="DB83" s="2108">
        <v>308.31</v>
      </c>
      <c r="DC83" s="2108">
        <v>308.31</v>
      </c>
      <c r="DD83" s="2108">
        <v>308.31</v>
      </c>
      <c r="DE83" s="2108">
        <v>308.31</v>
      </c>
      <c r="DF83" s="2108">
        <v>312.5</v>
      </c>
      <c r="DG83" s="2108">
        <v>317.86</v>
      </c>
      <c r="DH83" s="2108">
        <v>317.86</v>
      </c>
      <c r="DI83" s="2108">
        <v>334.74</v>
      </c>
      <c r="DJ83" s="2108">
        <v>342.11</v>
      </c>
      <c r="DK83" s="2108">
        <v>342.17</v>
      </c>
      <c r="DL83" s="2108">
        <v>360.94</v>
      </c>
      <c r="DM83" s="2108">
        <v>362.43</v>
      </c>
      <c r="DN83" s="2108">
        <v>373.21</v>
      </c>
      <c r="DO83" s="2108">
        <v>373.21</v>
      </c>
      <c r="DP83" s="2108">
        <v>373.21</v>
      </c>
      <c r="DQ83" s="2108">
        <v>380.01</v>
      </c>
      <c r="DR83" s="2108">
        <v>396.19</v>
      </c>
      <c r="DS83" s="2108">
        <v>396.19</v>
      </c>
      <c r="DT83" s="2108">
        <v>396.19</v>
      </c>
      <c r="DU83" s="2108">
        <v>400.75</v>
      </c>
      <c r="DV83" s="2108">
        <v>409.59</v>
      </c>
      <c r="DW83" s="2108">
        <v>416.24</v>
      </c>
      <c r="DX83" s="2108">
        <v>416.24</v>
      </c>
      <c r="DY83" s="2108">
        <v>426.29</v>
      </c>
      <c r="DZ83" s="2108">
        <v>426.29</v>
      </c>
      <c r="EA83" s="2108">
        <v>432.13</v>
      </c>
      <c r="EB83" s="2108">
        <v>432.13</v>
      </c>
      <c r="EC83" s="2108">
        <v>439.02</v>
      </c>
      <c r="ED83" s="2108">
        <v>435.37</v>
      </c>
      <c r="EE83" s="2108">
        <v>443.22</v>
      </c>
      <c r="EF83" s="2108">
        <v>445.4</v>
      </c>
      <c r="EG83" s="2108">
        <v>443.22</v>
      </c>
      <c r="EH83" s="2108">
        <v>443.22</v>
      </c>
      <c r="EI83" s="2108">
        <v>447.95</v>
      </c>
      <c r="EJ83" s="2108">
        <v>447.95</v>
      </c>
      <c r="EK83" s="2108">
        <v>447.95</v>
      </c>
      <c r="EL83" s="2108">
        <v>464.51</v>
      </c>
      <c r="EM83" s="2108">
        <v>464.51</v>
      </c>
      <c r="EN83" s="2108">
        <v>464.51</v>
      </c>
      <c r="EO83" s="2108">
        <v>468.02</v>
      </c>
      <c r="EP83" s="2108">
        <v>468.02</v>
      </c>
      <c r="EQ83" s="2108">
        <v>468.02</v>
      </c>
      <c r="ER83" s="2108">
        <v>479.52</v>
      </c>
      <c r="ES83" s="2108">
        <v>479.52</v>
      </c>
      <c r="ET83" s="2108">
        <v>495.95</v>
      </c>
      <c r="EU83" s="2108">
        <v>495.95</v>
      </c>
      <c r="EV83" s="2108">
        <v>503.18</v>
      </c>
      <c r="EW83" s="2108">
        <v>503.18</v>
      </c>
      <c r="EX83" s="2108">
        <v>503.08</v>
      </c>
      <c r="EY83" s="2108">
        <v>503.08</v>
      </c>
      <c r="EZ83" s="2108">
        <v>513.24</v>
      </c>
      <c r="FA83" s="2108">
        <v>524.08000000000004</v>
      </c>
      <c r="FB83" s="2108">
        <v>562.32000000000005</v>
      </c>
      <c r="FC83" s="2108">
        <v>562.32000000000005</v>
      </c>
      <c r="FD83" s="2108">
        <v>575.08000000000004</v>
      </c>
      <c r="FE83" s="2108">
        <v>575.07000000000005</v>
      </c>
      <c r="FF83" s="2108">
        <v>575.07000000000005</v>
      </c>
      <c r="FG83" s="2108">
        <v>575.07000000000005</v>
      </c>
      <c r="FH83" s="2108">
        <v>602.55999999999995</v>
      </c>
      <c r="FI83" s="2108">
        <v>602.55999999999995</v>
      </c>
      <c r="FJ83" s="2108">
        <v>602.55999999999995</v>
      </c>
      <c r="FK83" s="2108">
        <v>602.55999999999995</v>
      </c>
      <c r="FL83" s="2108">
        <v>602.55999999999995</v>
      </c>
      <c r="FM83" s="2108">
        <v>610.26</v>
      </c>
      <c r="FN83" s="2108">
        <v>611.73</v>
      </c>
      <c r="FO83" s="2108">
        <v>612.26</v>
      </c>
      <c r="FP83" s="2108">
        <v>613.41</v>
      </c>
      <c r="FQ83" s="2108">
        <v>614.39</v>
      </c>
      <c r="FR83" s="2108">
        <v>615.42999999999995</v>
      </c>
      <c r="FS83" s="2108">
        <v>646.11</v>
      </c>
      <c r="FT83" s="2108">
        <v>652.32000000000005</v>
      </c>
      <c r="FU83" s="2108">
        <v>661.5</v>
      </c>
      <c r="FV83" s="2108">
        <v>677.89</v>
      </c>
      <c r="FW83" s="2113">
        <v>1079.2133599598496</v>
      </c>
      <c r="FX83" s="2113">
        <v>1260.5672434155126</v>
      </c>
      <c r="FY83" s="2113">
        <v>100</v>
      </c>
      <c r="FZ83" s="2113">
        <v>108.13792943954468</v>
      </c>
      <c r="GA83" s="2113">
        <v>114.02055190716567</v>
      </c>
      <c r="GB83" s="2113">
        <v>116.94663622435097</v>
      </c>
      <c r="GC83" s="2113">
        <v>125.40732400691128</v>
      </c>
      <c r="GD83" s="2113">
        <v>130.69632493902174</v>
      </c>
      <c r="GE83" s="2113">
        <v>132.13866343919125</v>
      </c>
      <c r="GF83" s="2114">
        <v>133.95296528493242</v>
      </c>
      <c r="GG83" s="1960">
        <v>137.39199192864066</v>
      </c>
      <c r="GH83" s="2114">
        <v>138.56894387823613</v>
      </c>
      <c r="GI83" s="2114">
        <v>146.40578110946691</v>
      </c>
      <c r="GJ83" s="2113">
        <v>146.45899509045194</v>
      </c>
      <c r="GK83" s="2113">
        <v>149.46520251016381</v>
      </c>
      <c r="GL83" s="2113">
        <v>154.87969840740902</v>
      </c>
      <c r="GM83" s="2114">
        <v>154.51618768642953</v>
      </c>
      <c r="GN83" s="2114">
        <v>156.84936405438916</v>
      </c>
      <c r="GO83" s="2115">
        <v>157.34261468950703</v>
      </c>
      <c r="GP83" s="2116">
        <v>157.63782641147546</v>
      </c>
      <c r="GQ83" s="2116">
        <v>158.6885375411581</v>
      </c>
      <c r="GR83" s="2116">
        <v>158.6885375411581</v>
      </c>
      <c r="GS83" s="2116">
        <v>158.6885375411581</v>
      </c>
      <c r="GT83" s="1960">
        <v>160.11941168512521</v>
      </c>
      <c r="GU83" s="1960">
        <v>160.19895021982512</v>
      </c>
      <c r="GV83" s="1960">
        <v>160.67819453017631</v>
      </c>
      <c r="GW83" s="1960">
        <v>163.64340026901147</v>
      </c>
      <c r="GX83" s="1960">
        <v>163.75539462623311</v>
      </c>
      <c r="GY83" s="1960">
        <v>164.79401817034065</v>
      </c>
      <c r="GZ83" s="1960">
        <v>181.92677658898404</v>
      </c>
      <c r="HA83" s="1960">
        <v>217.29652142921992</v>
      </c>
      <c r="HB83" s="1960">
        <v>222.55402707006508</v>
      </c>
      <c r="HC83" s="1960">
        <v>226.37290790447125</v>
      </c>
      <c r="HD83" s="1960">
        <v>232.2620474540968</v>
      </c>
      <c r="HE83" s="1960">
        <v>259.3533940158066</v>
      </c>
      <c r="HF83" s="1960">
        <v>266.39682996328071</v>
      </c>
      <c r="HG83" s="1960">
        <v>265.12595080593883</v>
      </c>
      <c r="HH83" s="2117">
        <v>268.27268941218068</v>
      </c>
      <c r="HI83" s="1960">
        <v>272.72985761781206</v>
      </c>
      <c r="HJ83" s="1960">
        <v>278.7192867466585</v>
      </c>
      <c r="HK83" s="1960">
        <v>291.08827204640841</v>
      </c>
      <c r="HL83" s="1960">
        <v>309.60359856583949</v>
      </c>
      <c r="HM83" s="1960">
        <v>313.55527014693473</v>
      </c>
      <c r="HN83" s="1960">
        <v>316.21136519637099</v>
      </c>
      <c r="HO83" s="1960">
        <v>325.76641910488149</v>
      </c>
      <c r="HP83" s="1960">
        <v>378.31735657587262</v>
      </c>
      <c r="HQ83" s="1960">
        <v>380.94732612642963</v>
      </c>
      <c r="HR83" s="1960">
        <v>440.67760040639752</v>
      </c>
      <c r="HS83" s="1960">
        <v>446.10343431562188</v>
      </c>
      <c r="HT83" s="1962">
        <v>456.70413478027729</v>
      </c>
      <c r="HU83" s="1961">
        <v>477.50083533706538</v>
      </c>
      <c r="HV83" s="1960">
        <v>486.24166821541007</v>
      </c>
      <c r="HW83" s="1960">
        <v>486.24166821541007</v>
      </c>
      <c r="HX83" s="1960">
        <v>486.24166821541007</v>
      </c>
      <c r="HY83" s="1960">
        <v>486.24166821541007</v>
      </c>
      <c r="HZ83" s="1960">
        <v>486.24166821541007</v>
      </c>
      <c r="IA83" s="1960">
        <v>486.24166821541007</v>
      </c>
      <c r="IB83" s="1960">
        <v>486.24166821541007</v>
      </c>
      <c r="IC83" s="1960">
        <v>486.24166821541007</v>
      </c>
      <c r="ID83" s="1960">
        <v>486.24166821541007</v>
      </c>
      <c r="IE83" s="1960">
        <v>486.24166821541007</v>
      </c>
      <c r="IF83" s="1960">
        <v>486.24511626960611</v>
      </c>
      <c r="IG83" s="1961">
        <v>489.17586496655576</v>
      </c>
      <c r="IH83" s="1960">
        <v>489.17586496655576</v>
      </c>
      <c r="II83" s="1960">
        <v>491.12106995007179</v>
      </c>
      <c r="IJ83" s="1961">
        <v>492.60615555852871</v>
      </c>
      <c r="IK83" s="1960">
        <v>506.18009537562062</v>
      </c>
      <c r="IL83" s="1960">
        <v>518.23695198185919</v>
      </c>
      <c r="IM83" s="1960">
        <v>519.28256990258853</v>
      </c>
      <c r="IN83" s="1960">
        <v>537.70523864561301</v>
      </c>
      <c r="IO83" s="1960">
        <v>559.22124491739794</v>
      </c>
      <c r="IP83" s="1960">
        <v>562.64732045395442</v>
      </c>
      <c r="IQ83" s="1960">
        <v>575.73224653843158</v>
      </c>
      <c r="IR83" s="1960">
        <v>586.68860259443807</v>
      </c>
      <c r="IS83" s="2274">
        <v>591.00713516162728</v>
      </c>
      <c r="IT83" s="1960">
        <v>599.03106824724023</v>
      </c>
      <c r="IU83" s="1960">
        <v>606.69605249511017</v>
      </c>
      <c r="IV83" s="1960">
        <v>648.86279671232262</v>
      </c>
      <c r="IW83" s="1960">
        <v>676.12263584247444</v>
      </c>
      <c r="IX83" s="1960">
        <v>692.46252936357143</v>
      </c>
      <c r="IY83" s="1960">
        <v>755.71090991146514</v>
      </c>
      <c r="IZ83" s="1960">
        <v>799.30490282519145</v>
      </c>
      <c r="JA83" s="1960">
        <v>812.35297820213964</v>
      </c>
      <c r="JB83" s="1960">
        <v>858.84550910417602</v>
      </c>
      <c r="JC83" s="1960">
        <v>876.30888978958228</v>
      </c>
      <c r="JD83" s="1960">
        <v>935.96939377397109</v>
      </c>
      <c r="JE83" s="2274">
        <v>982.9830123324075</v>
      </c>
      <c r="JF83" s="2117">
        <v>1253.675311270556</v>
      </c>
      <c r="JG83" s="2103">
        <f t="shared" si="13"/>
        <v>1.2753784099440884</v>
      </c>
      <c r="JI83" s="2155"/>
      <c r="JJ83" s="2104"/>
    </row>
    <row r="84" spans="2:270" ht="31.5">
      <c r="B84" s="2105">
        <v>60</v>
      </c>
      <c r="C84" s="2106"/>
      <c r="D84" s="2425" t="s">
        <v>1197</v>
      </c>
      <c r="E84" s="2128" t="s">
        <v>150</v>
      </c>
      <c r="F84" s="2106" t="s">
        <v>918</v>
      </c>
      <c r="G84" s="2425"/>
      <c r="H84" s="2138" t="s">
        <v>64</v>
      </c>
      <c r="I84" s="2106" t="s">
        <v>920</v>
      </c>
      <c r="J84" s="2359" t="s">
        <v>921</v>
      </c>
      <c r="K84" s="2425"/>
      <c r="L84" s="2110">
        <v>93.4</v>
      </c>
      <c r="M84" s="2110">
        <v>107.2</v>
      </c>
      <c r="N84" s="2110">
        <v>126.1</v>
      </c>
      <c r="O84" s="2110">
        <v>135.1</v>
      </c>
      <c r="P84" s="2110">
        <v>156.30000000000001</v>
      </c>
      <c r="Q84" s="2110">
        <v>171.4</v>
      </c>
      <c r="R84" s="2110">
        <v>188.6</v>
      </c>
      <c r="S84" s="2110">
        <v>190.5</v>
      </c>
      <c r="T84" s="2110">
        <v>190.2</v>
      </c>
      <c r="U84" s="2110">
        <v>188.6</v>
      </c>
      <c r="V84" s="2110">
        <v>188.9</v>
      </c>
      <c r="W84" s="2110">
        <v>188.1</v>
      </c>
      <c r="X84" s="2110">
        <v>188.3</v>
      </c>
      <c r="Y84" s="2110">
        <v>190.2</v>
      </c>
      <c r="Z84" s="2110">
        <v>188.2</v>
      </c>
      <c r="AA84" s="2110">
        <v>190.2</v>
      </c>
      <c r="AB84" s="2110">
        <v>190.1</v>
      </c>
      <c r="AC84" s="2110">
        <v>191.9</v>
      </c>
      <c r="AD84" s="2110">
        <v>192.4</v>
      </c>
      <c r="AE84" s="2110">
        <v>192.3</v>
      </c>
      <c r="AF84" s="2110">
        <v>191.6</v>
      </c>
      <c r="AG84" s="2110">
        <v>192.1</v>
      </c>
      <c r="AH84" s="2110">
        <v>193</v>
      </c>
      <c r="AI84" s="2110">
        <v>193.1</v>
      </c>
      <c r="AJ84" s="2110">
        <v>193</v>
      </c>
      <c r="AK84" s="2110">
        <v>193.4</v>
      </c>
      <c r="AL84" s="2110">
        <v>194.5</v>
      </c>
      <c r="AM84" s="2110">
        <v>195.3</v>
      </c>
      <c r="AN84" s="2110">
        <v>197.2</v>
      </c>
      <c r="AO84" s="2110">
        <v>197.3</v>
      </c>
      <c r="AP84" s="2110">
        <v>200.2</v>
      </c>
      <c r="AQ84" s="2110">
        <v>205.8</v>
      </c>
      <c r="AR84" s="2110">
        <v>201.9</v>
      </c>
      <c r="AS84" s="2110">
        <v>202.9</v>
      </c>
      <c r="AT84" s="2110">
        <v>207.7</v>
      </c>
      <c r="AU84" s="2110">
        <v>211.2</v>
      </c>
      <c r="AV84" s="2110">
        <v>212.4</v>
      </c>
      <c r="AW84" s="2111">
        <v>216</v>
      </c>
      <c r="AX84" s="2111">
        <v>221.7</v>
      </c>
      <c r="AY84" s="2111">
        <v>221.7</v>
      </c>
      <c r="AZ84" s="2111">
        <v>228.1</v>
      </c>
      <c r="BA84" s="2111">
        <v>239.7</v>
      </c>
      <c r="BB84" s="2111">
        <v>240.3</v>
      </c>
      <c r="BC84" s="2111">
        <v>243.4</v>
      </c>
      <c r="BD84" s="2112">
        <v>245.6</v>
      </c>
      <c r="BE84" s="2111">
        <v>245.4</v>
      </c>
      <c r="BF84" s="2112">
        <v>245.1</v>
      </c>
      <c r="BG84" s="2112">
        <v>243.9</v>
      </c>
      <c r="BH84" s="2112">
        <v>247.7</v>
      </c>
      <c r="BI84" s="2108">
        <v>251.3</v>
      </c>
      <c r="BJ84" s="2108">
        <v>254.3</v>
      </c>
      <c r="BK84" s="2108">
        <v>253.1</v>
      </c>
      <c r="BL84" s="2108">
        <v>261</v>
      </c>
      <c r="BM84" s="2108">
        <v>262.3</v>
      </c>
      <c r="BN84" s="2108">
        <v>262.60000000000002</v>
      </c>
      <c r="BO84" s="2108">
        <v>263.8</v>
      </c>
      <c r="BP84" s="2108">
        <v>266.10000000000002</v>
      </c>
      <c r="BQ84" s="2108">
        <v>262.39999999999998</v>
      </c>
      <c r="BR84" s="2108">
        <v>266.5</v>
      </c>
      <c r="BS84" s="2108">
        <v>268.5</v>
      </c>
      <c r="BT84" s="2108">
        <v>267.5</v>
      </c>
      <c r="BU84" s="2108">
        <v>267.7</v>
      </c>
      <c r="BV84" s="2108">
        <v>268.89999999999998</v>
      </c>
      <c r="BW84" s="2108">
        <v>268.89999999999998</v>
      </c>
      <c r="BX84" s="2108">
        <v>272.89999999999998</v>
      </c>
      <c r="BY84" s="2108">
        <v>276.3</v>
      </c>
      <c r="BZ84" s="2108">
        <v>271.5</v>
      </c>
      <c r="CA84" s="2108">
        <v>270.7</v>
      </c>
      <c r="CB84" s="2108">
        <v>273.3</v>
      </c>
      <c r="CC84" s="2108">
        <v>279.8</v>
      </c>
      <c r="CD84" s="2108">
        <v>285.60000000000002</v>
      </c>
      <c r="CE84" s="2108">
        <v>285.89999999999998</v>
      </c>
      <c r="CF84" s="2108">
        <v>289.5</v>
      </c>
      <c r="CG84" s="2108">
        <v>296</v>
      </c>
      <c r="CH84" s="2108">
        <v>297.10000000000002</v>
      </c>
      <c r="CI84" s="2108">
        <v>309</v>
      </c>
      <c r="CJ84" s="2108">
        <v>326.8</v>
      </c>
      <c r="CK84" s="2108">
        <v>332.7</v>
      </c>
      <c r="CL84" s="2108">
        <v>339.5</v>
      </c>
      <c r="CM84" s="2108">
        <v>350.5</v>
      </c>
      <c r="CN84" s="2108">
        <v>356.3</v>
      </c>
      <c r="CO84" s="2108">
        <v>356.3</v>
      </c>
      <c r="CP84" s="2108">
        <v>356.3</v>
      </c>
      <c r="CQ84" s="2108">
        <v>369.7</v>
      </c>
      <c r="CR84" s="2108">
        <v>378.6</v>
      </c>
      <c r="CS84" s="2108">
        <v>382.2</v>
      </c>
      <c r="CT84" s="2108">
        <v>381.2</v>
      </c>
      <c r="CU84" s="2108">
        <v>386.4</v>
      </c>
      <c r="CV84" s="2108">
        <v>381.6</v>
      </c>
      <c r="CW84" s="2108">
        <v>388.8</v>
      </c>
      <c r="CX84" s="2108">
        <v>388.4</v>
      </c>
      <c r="CY84" s="2108">
        <v>391.4</v>
      </c>
      <c r="CZ84" s="2108">
        <v>393.9</v>
      </c>
      <c r="DA84" s="2108">
        <v>392.5</v>
      </c>
      <c r="DB84" s="2108">
        <v>399.1</v>
      </c>
      <c r="DC84" s="2108">
        <v>408.7</v>
      </c>
      <c r="DD84" s="2108">
        <v>407.3</v>
      </c>
      <c r="DE84" s="2108">
        <v>413.8</v>
      </c>
      <c r="DF84" s="2108">
        <v>421.7</v>
      </c>
      <c r="DG84" s="2108">
        <v>422.5</v>
      </c>
      <c r="DH84" s="2108">
        <v>433.1</v>
      </c>
      <c r="DI84" s="2108">
        <v>442.7</v>
      </c>
      <c r="DJ84" s="2108">
        <v>446.3</v>
      </c>
      <c r="DK84" s="2108">
        <v>455</v>
      </c>
      <c r="DL84" s="2108">
        <v>469.3</v>
      </c>
      <c r="DM84" s="2108">
        <v>474.8</v>
      </c>
      <c r="DN84" s="2108">
        <v>486.2</v>
      </c>
      <c r="DO84" s="2108">
        <v>493.1</v>
      </c>
      <c r="DP84" s="2108">
        <v>496.7</v>
      </c>
      <c r="DQ84" s="2108">
        <v>499.3</v>
      </c>
      <c r="DR84" s="2108">
        <v>506.8</v>
      </c>
      <c r="DS84" s="2108">
        <v>510.7</v>
      </c>
      <c r="DT84" s="2108">
        <v>525.70000000000005</v>
      </c>
      <c r="DU84" s="2108">
        <v>539.9</v>
      </c>
      <c r="DV84" s="2108">
        <v>545.9</v>
      </c>
      <c r="DW84" s="2108">
        <v>559.20000000000005</v>
      </c>
      <c r="DX84" s="2108">
        <v>567</v>
      </c>
      <c r="DY84" s="2108">
        <v>576.9</v>
      </c>
      <c r="DZ84" s="2108">
        <v>595.5</v>
      </c>
      <c r="EA84" s="2108">
        <v>599.1</v>
      </c>
      <c r="EB84" s="2108">
        <v>615.20000000000005</v>
      </c>
      <c r="EC84" s="2108">
        <v>625.6</v>
      </c>
      <c r="ED84" s="2108">
        <v>626.4</v>
      </c>
      <c r="EE84" s="2108">
        <v>627.70000000000005</v>
      </c>
      <c r="EF84" s="2108">
        <v>637.9</v>
      </c>
      <c r="EG84" s="2108">
        <v>659.6</v>
      </c>
      <c r="EH84" s="2108">
        <v>653.1</v>
      </c>
      <c r="EI84" s="2108">
        <v>641.79999999999995</v>
      </c>
      <c r="EJ84" s="2108">
        <v>659.5</v>
      </c>
      <c r="EK84" s="2108">
        <v>680.7</v>
      </c>
      <c r="EL84" s="2108">
        <v>675.7</v>
      </c>
      <c r="EM84" s="2108">
        <v>689.1</v>
      </c>
      <c r="EN84" s="2108">
        <v>699.6</v>
      </c>
      <c r="EO84" s="2108">
        <v>712.2</v>
      </c>
      <c r="EP84" s="2108">
        <v>719.4</v>
      </c>
      <c r="EQ84" s="2108">
        <v>726</v>
      </c>
      <c r="ER84" s="2108">
        <v>741.1</v>
      </c>
      <c r="ES84" s="2108">
        <v>757.4</v>
      </c>
      <c r="ET84" s="2108">
        <v>782.9</v>
      </c>
      <c r="EU84" s="2108">
        <v>795.2</v>
      </c>
      <c r="EV84" s="2108">
        <v>794.9</v>
      </c>
      <c r="EW84" s="2108">
        <v>821.5</v>
      </c>
      <c r="EX84" s="2108">
        <v>933.3</v>
      </c>
      <c r="EY84" s="2108">
        <v>862.7</v>
      </c>
      <c r="EZ84" s="2108">
        <v>873.9</v>
      </c>
      <c r="FA84" s="2108">
        <v>898.8</v>
      </c>
      <c r="FB84" s="2108">
        <v>1044</v>
      </c>
      <c r="FC84" s="2108">
        <v>1076.7</v>
      </c>
      <c r="FD84" s="2108">
        <v>1079.9000000000001</v>
      </c>
      <c r="FE84" s="2108">
        <v>1122.3</v>
      </c>
      <c r="FF84" s="2108">
        <v>1151.3</v>
      </c>
      <c r="FG84" s="2108">
        <v>1183.5999999999999</v>
      </c>
      <c r="FH84" s="2108">
        <v>1194.9000000000001</v>
      </c>
      <c r="FI84" s="2108">
        <v>1249.8</v>
      </c>
      <c r="FJ84" s="2108">
        <v>1297.3</v>
      </c>
      <c r="FK84" s="2108">
        <v>1322.5</v>
      </c>
      <c r="FL84" s="2108">
        <v>1329.7</v>
      </c>
      <c r="FM84" s="2108">
        <v>1380.6</v>
      </c>
      <c r="FN84" s="2108">
        <v>1389</v>
      </c>
      <c r="FO84" s="2108">
        <v>1414.9</v>
      </c>
      <c r="FP84" s="2108">
        <v>1402.3</v>
      </c>
      <c r="FQ84" s="2108">
        <v>1422.5</v>
      </c>
      <c r="FR84" s="2108">
        <v>1435.4</v>
      </c>
      <c r="FS84" s="2108">
        <v>1462.2</v>
      </c>
      <c r="FT84" s="2108">
        <v>1473.2</v>
      </c>
      <c r="FU84" s="2108">
        <v>1486.1</v>
      </c>
      <c r="FV84" s="2108">
        <v>1524.7</v>
      </c>
      <c r="FW84" s="2113" t="s">
        <v>521</v>
      </c>
      <c r="FX84" s="2113" t="s">
        <v>521</v>
      </c>
      <c r="FY84" s="2113" t="s">
        <v>521</v>
      </c>
      <c r="FZ84" s="2113" t="s">
        <v>521</v>
      </c>
      <c r="GA84" s="2113" t="s">
        <v>521</v>
      </c>
      <c r="GB84" s="2113" t="s">
        <v>521</v>
      </c>
      <c r="GC84" s="2113" t="s">
        <v>521</v>
      </c>
      <c r="GD84" s="2113" t="s">
        <v>521</v>
      </c>
      <c r="GE84" s="2113" t="s">
        <v>521</v>
      </c>
      <c r="GF84" s="2114" t="s">
        <v>521</v>
      </c>
      <c r="GG84" s="1960" t="s">
        <v>521</v>
      </c>
      <c r="GH84" s="2114" t="s">
        <v>521</v>
      </c>
      <c r="GI84" s="2114" t="s">
        <v>521</v>
      </c>
      <c r="GJ84" s="2113" t="s">
        <v>521</v>
      </c>
      <c r="GK84" s="2113" t="s">
        <v>521</v>
      </c>
      <c r="GL84" s="2113" t="s">
        <v>521</v>
      </c>
      <c r="GM84" s="2114" t="s">
        <v>521</v>
      </c>
      <c r="GN84" s="2114" t="s">
        <v>521</v>
      </c>
      <c r="GO84" s="2115" t="s">
        <v>521</v>
      </c>
      <c r="GP84" s="2116" t="s">
        <v>521</v>
      </c>
      <c r="GQ84" s="2116" t="s">
        <v>521</v>
      </c>
      <c r="GR84" s="2116" t="s">
        <v>521</v>
      </c>
      <c r="GS84" s="2116" t="s">
        <v>521</v>
      </c>
      <c r="GT84" s="1960" t="s">
        <v>521</v>
      </c>
      <c r="GU84" s="1960" t="s">
        <v>521</v>
      </c>
      <c r="GV84" s="1960" t="s">
        <v>521</v>
      </c>
      <c r="GW84" s="1960" t="s">
        <v>521</v>
      </c>
      <c r="GX84" s="1960" t="s">
        <v>521</v>
      </c>
      <c r="GY84" s="1960" t="s">
        <v>521</v>
      </c>
      <c r="GZ84" s="1960">
        <v>100</v>
      </c>
      <c r="HA84" s="1960">
        <v>109.03864651200263</v>
      </c>
      <c r="HB84" s="1960">
        <v>127.24835594635528</v>
      </c>
      <c r="HC84" s="1960">
        <v>119.46012494320453</v>
      </c>
      <c r="HD84" s="1960">
        <v>124.5511605406487</v>
      </c>
      <c r="HE84" s="1960">
        <v>143.96526886780111</v>
      </c>
      <c r="HF84" s="1960">
        <v>160.64714274392671</v>
      </c>
      <c r="HG84" s="1960">
        <v>159.26425733712534</v>
      </c>
      <c r="HH84" s="1960">
        <v>159.78286190616149</v>
      </c>
      <c r="HI84" s="1960">
        <v>165.13179681147818</v>
      </c>
      <c r="HJ84" s="1960">
        <v>167.1149528212643</v>
      </c>
      <c r="HK84" s="1960">
        <v>166.86236018939493</v>
      </c>
      <c r="HL84" s="1960">
        <v>177.48861713203411</v>
      </c>
      <c r="HM84" s="1960">
        <v>177.31298681902075</v>
      </c>
      <c r="HN84" s="1960">
        <v>182.19745018593653</v>
      </c>
      <c r="HO84" s="1960">
        <v>183.05216391300763</v>
      </c>
      <c r="HP84" s="1960">
        <v>212.50898772624845</v>
      </c>
      <c r="HQ84" s="1960">
        <v>225.34379945142223</v>
      </c>
      <c r="HR84" s="1960">
        <v>230.86165200864252</v>
      </c>
      <c r="HS84" s="1960">
        <v>230.86165200864252</v>
      </c>
      <c r="HT84" s="1962">
        <v>230.86165200864252</v>
      </c>
      <c r="HU84" s="1961">
        <v>232.92339041909233</v>
      </c>
      <c r="HV84" s="1960">
        <v>236.30395887060592</v>
      </c>
      <c r="HW84" s="1960">
        <v>236.30395887060592</v>
      </c>
      <c r="HX84" s="1960">
        <v>283.77089362866684</v>
      </c>
      <c r="HY84" s="1960">
        <v>292.30074563754431</v>
      </c>
      <c r="HZ84" s="1960">
        <v>298.3966911356261</v>
      </c>
      <c r="IA84" s="1960">
        <v>311.47945580685979</v>
      </c>
      <c r="IB84" s="1960">
        <v>313.66029889898255</v>
      </c>
      <c r="IC84" s="1960">
        <v>332.49555754858852</v>
      </c>
      <c r="ID84" s="1960">
        <v>347.28516782524321</v>
      </c>
      <c r="IE84" s="1960">
        <v>352.56197653533087</v>
      </c>
      <c r="IF84" s="1960">
        <v>371.61916343009324</v>
      </c>
      <c r="IG84" s="1961">
        <v>392.2901759414429</v>
      </c>
      <c r="IH84" s="1960">
        <v>389.11614030646325</v>
      </c>
      <c r="II84" s="1960">
        <v>423.02305386233246</v>
      </c>
      <c r="IJ84" s="1961">
        <v>432.47464287101349</v>
      </c>
      <c r="IK84" s="1960">
        <v>441.70251747399328</v>
      </c>
      <c r="IL84" s="1960">
        <v>454.53741417287131</v>
      </c>
      <c r="IM84" s="1960">
        <v>465.84505021599375</v>
      </c>
      <c r="IN84" s="1960">
        <v>483.50100538548088</v>
      </c>
      <c r="IO84" s="1960">
        <v>490.62539269983591</v>
      </c>
      <c r="IP84" s="1960">
        <v>506.62000494146594</v>
      </c>
      <c r="IQ84" s="1960">
        <v>526.81362502843024</v>
      </c>
      <c r="IR84" s="1960">
        <v>532.72119920238117</v>
      </c>
      <c r="IS84" s="2274">
        <v>555.40339419264387</v>
      </c>
      <c r="IT84" s="1960">
        <v>566.87200988835195</v>
      </c>
      <c r="IU84" s="1960">
        <v>597.46588609462879</v>
      </c>
      <c r="IV84" s="1960">
        <v>629.74444440182242</v>
      </c>
      <c r="IW84" s="1960">
        <v>646.89902694937234</v>
      </c>
      <c r="IX84" s="1960">
        <v>674.11258495480092</v>
      </c>
      <c r="IY84" s="1960">
        <v>741.00741155219703</v>
      </c>
      <c r="IZ84" s="1960">
        <v>780.666201115891</v>
      </c>
      <c r="JA84" s="1960">
        <v>806.37483932169141</v>
      </c>
      <c r="JB84" s="1960">
        <v>859.78826154389253</v>
      </c>
      <c r="JC84" s="1960">
        <v>902.4341732722321</v>
      </c>
      <c r="JD84" s="1960">
        <v>903.43417327223199</v>
      </c>
      <c r="JE84" s="2274">
        <v>1116.4781036516131</v>
      </c>
      <c r="JF84" s="2117">
        <v>1155.091041097138</v>
      </c>
      <c r="JG84" s="2103">
        <f t="shared" si="13"/>
        <v>1.0345845899881381</v>
      </c>
      <c r="JI84" s="2155"/>
      <c r="JJ84" s="2104"/>
    </row>
    <row r="85" spans="2:270" ht="31.5">
      <c r="B85" s="2105">
        <v>61</v>
      </c>
      <c r="C85" s="2106" t="s">
        <v>151</v>
      </c>
      <c r="D85" s="2425" t="s">
        <v>1198</v>
      </c>
      <c r="E85" s="2128" t="s">
        <v>152</v>
      </c>
      <c r="F85" s="2106" t="s">
        <v>918</v>
      </c>
      <c r="G85" s="2425" t="s">
        <v>1112</v>
      </c>
      <c r="H85" s="2106" t="s">
        <v>919</v>
      </c>
      <c r="I85" s="2106" t="s">
        <v>920</v>
      </c>
      <c r="J85" s="2359" t="s">
        <v>427</v>
      </c>
      <c r="K85" s="2425"/>
      <c r="L85" s="2110">
        <v>100.37</v>
      </c>
      <c r="M85" s="2110">
        <v>115.6</v>
      </c>
      <c r="N85" s="2110">
        <v>149.74</v>
      </c>
      <c r="O85" s="2110">
        <v>158.51</v>
      </c>
      <c r="P85" s="2110">
        <v>179.99</v>
      </c>
      <c r="Q85" s="2110">
        <v>204.59</v>
      </c>
      <c r="R85" s="2110">
        <v>219.77</v>
      </c>
      <c r="S85" s="2110">
        <v>218.96</v>
      </c>
      <c r="T85" s="2110">
        <v>215.52</v>
      </c>
      <c r="U85" s="2110">
        <v>222.02</v>
      </c>
      <c r="V85" s="2110">
        <v>226.19</v>
      </c>
      <c r="W85" s="2110">
        <v>226.19</v>
      </c>
      <c r="X85" s="2110">
        <v>226.19</v>
      </c>
      <c r="Y85" s="2110">
        <v>226.19</v>
      </c>
      <c r="Z85" s="2110">
        <v>226.19</v>
      </c>
      <c r="AA85" s="2110">
        <v>226.19</v>
      </c>
      <c r="AB85" s="2110">
        <v>230.16</v>
      </c>
      <c r="AC85" s="2110">
        <v>232.25</v>
      </c>
      <c r="AD85" s="2110">
        <v>233.4</v>
      </c>
      <c r="AE85" s="2110">
        <v>233.41</v>
      </c>
      <c r="AF85" s="2110">
        <v>233.41</v>
      </c>
      <c r="AG85" s="2110">
        <v>233.4</v>
      </c>
      <c r="AH85" s="2110">
        <v>233.41</v>
      </c>
      <c r="AI85" s="2110">
        <v>233.4</v>
      </c>
      <c r="AJ85" s="2110">
        <v>233.41</v>
      </c>
      <c r="AK85" s="2110">
        <v>233.36</v>
      </c>
      <c r="AL85" s="2110">
        <v>234.89</v>
      </c>
      <c r="AM85" s="2110">
        <v>238.19</v>
      </c>
      <c r="AN85" s="2110">
        <v>238.19</v>
      </c>
      <c r="AO85" s="2110">
        <v>238.19</v>
      </c>
      <c r="AP85" s="2110">
        <v>239.16</v>
      </c>
      <c r="AQ85" s="2110">
        <v>240.32</v>
      </c>
      <c r="AR85" s="2110">
        <v>241.89</v>
      </c>
      <c r="AS85" s="2110">
        <v>245.64</v>
      </c>
      <c r="AT85" s="2110">
        <v>249.92</v>
      </c>
      <c r="AU85" s="2110">
        <v>249.92</v>
      </c>
      <c r="AV85" s="2110">
        <v>252.76</v>
      </c>
      <c r="AW85" s="2111">
        <v>259.43</v>
      </c>
      <c r="AX85" s="2111">
        <v>260.31</v>
      </c>
      <c r="AY85" s="2111">
        <v>260.32</v>
      </c>
      <c r="AZ85" s="2111">
        <v>262.7</v>
      </c>
      <c r="BA85" s="2111">
        <v>268</v>
      </c>
      <c r="BB85" s="2111">
        <v>269.2</v>
      </c>
      <c r="BC85" s="2111">
        <v>275.91000000000003</v>
      </c>
      <c r="BD85" s="2112">
        <v>276.63</v>
      </c>
      <c r="BE85" s="2111">
        <v>276.63</v>
      </c>
      <c r="BF85" s="2112">
        <v>276.63</v>
      </c>
      <c r="BG85" s="2112">
        <v>277.37</v>
      </c>
      <c r="BH85" s="2112">
        <v>283.86</v>
      </c>
      <c r="BI85" s="2108">
        <v>283.86</v>
      </c>
      <c r="BJ85" s="2108">
        <v>285.36</v>
      </c>
      <c r="BK85" s="2108">
        <v>285.36</v>
      </c>
      <c r="BL85" s="2108">
        <v>290.23</v>
      </c>
      <c r="BM85" s="2108">
        <v>291.89</v>
      </c>
      <c r="BN85" s="2108">
        <v>296.74</v>
      </c>
      <c r="BO85" s="2108">
        <v>301.72000000000003</v>
      </c>
      <c r="BP85" s="2108">
        <v>302.76</v>
      </c>
      <c r="BQ85" s="2108">
        <v>305.16000000000003</v>
      </c>
      <c r="BR85" s="2108">
        <v>306</v>
      </c>
      <c r="BS85" s="2108">
        <v>310.02999999999997</v>
      </c>
      <c r="BT85" s="2108">
        <v>313.83999999999997</v>
      </c>
      <c r="BU85" s="2108">
        <v>313.83999999999997</v>
      </c>
      <c r="BV85" s="2108">
        <v>314.8</v>
      </c>
      <c r="BW85" s="2108">
        <v>314.8</v>
      </c>
      <c r="BX85" s="2108">
        <v>321.95</v>
      </c>
      <c r="BY85" s="2108">
        <v>323.38</v>
      </c>
      <c r="BZ85" s="2108">
        <v>327.61</v>
      </c>
      <c r="CA85" s="2108">
        <v>327.61</v>
      </c>
      <c r="CB85" s="2108">
        <v>328.56</v>
      </c>
      <c r="CC85" s="2108">
        <v>340.48</v>
      </c>
      <c r="CD85" s="2108">
        <v>340.48</v>
      </c>
      <c r="CE85" s="2108">
        <v>347.96</v>
      </c>
      <c r="CF85" s="2108">
        <v>361.86</v>
      </c>
      <c r="CG85" s="2108">
        <v>361.18</v>
      </c>
      <c r="CH85" s="2108">
        <v>367.62</v>
      </c>
      <c r="CI85" s="2108">
        <v>382.08</v>
      </c>
      <c r="CJ85" s="2108">
        <v>396.67</v>
      </c>
      <c r="CK85" s="2108">
        <v>402.97</v>
      </c>
      <c r="CL85" s="2108">
        <v>408.42</v>
      </c>
      <c r="CM85" s="2108">
        <v>408.42</v>
      </c>
      <c r="CN85" s="2108">
        <v>413.03</v>
      </c>
      <c r="CO85" s="2108">
        <v>433.1</v>
      </c>
      <c r="CP85" s="2108">
        <v>436.24</v>
      </c>
      <c r="CQ85" s="2108">
        <v>446.9</v>
      </c>
      <c r="CR85" s="2108">
        <v>454.69</v>
      </c>
      <c r="CS85" s="2108">
        <v>465.12</v>
      </c>
      <c r="CT85" s="2108">
        <v>466.81</v>
      </c>
      <c r="CU85" s="2108">
        <v>470.34</v>
      </c>
      <c r="CV85" s="2108">
        <v>484.8</v>
      </c>
      <c r="CW85" s="2108">
        <v>490.49</v>
      </c>
      <c r="CX85" s="2108">
        <v>494.48</v>
      </c>
      <c r="CY85" s="2108">
        <v>494.48</v>
      </c>
      <c r="CZ85" s="2108">
        <v>512.84</v>
      </c>
      <c r="DA85" s="2108">
        <v>512.84</v>
      </c>
      <c r="DB85" s="2108">
        <v>521.09</v>
      </c>
      <c r="DC85" s="2108">
        <v>519.66</v>
      </c>
      <c r="DD85" s="2108">
        <v>527.70000000000005</v>
      </c>
      <c r="DE85" s="2108">
        <v>528.86</v>
      </c>
      <c r="DF85" s="2108">
        <v>536.04</v>
      </c>
      <c r="DG85" s="2108">
        <v>519.16</v>
      </c>
      <c r="DH85" s="2108">
        <v>534.52</v>
      </c>
      <c r="DI85" s="2108">
        <v>534.52</v>
      </c>
      <c r="DJ85" s="2108">
        <v>537.49</v>
      </c>
      <c r="DK85" s="2108">
        <v>547.82000000000005</v>
      </c>
      <c r="DL85" s="2108">
        <v>557.09</v>
      </c>
      <c r="DM85" s="2108">
        <v>564.29999999999995</v>
      </c>
      <c r="DN85" s="2108">
        <v>573.74</v>
      </c>
      <c r="DO85" s="2108">
        <v>584.22</v>
      </c>
      <c r="DP85" s="2108">
        <v>598.44000000000005</v>
      </c>
      <c r="DQ85" s="2108">
        <v>608.44000000000005</v>
      </c>
      <c r="DR85" s="2108">
        <v>610.29</v>
      </c>
      <c r="DS85" s="2108">
        <v>612.22</v>
      </c>
      <c r="DT85" s="2108">
        <v>627.54999999999995</v>
      </c>
      <c r="DU85" s="2108">
        <v>627.54999999999995</v>
      </c>
      <c r="DV85" s="2108">
        <v>638.16999999999996</v>
      </c>
      <c r="DW85" s="2108">
        <v>668.04</v>
      </c>
      <c r="DX85" s="2108">
        <v>668.04</v>
      </c>
      <c r="DY85" s="2108">
        <v>669.22</v>
      </c>
      <c r="DZ85" s="2108">
        <v>688.37</v>
      </c>
      <c r="EA85" s="2108">
        <v>693.17</v>
      </c>
      <c r="EB85" s="2108">
        <v>702.43</v>
      </c>
      <c r="EC85" s="2108">
        <v>716.24</v>
      </c>
      <c r="ED85" s="2108">
        <v>723.2</v>
      </c>
      <c r="EE85" s="2108">
        <v>727.2</v>
      </c>
      <c r="EF85" s="2108">
        <v>730.8</v>
      </c>
      <c r="EG85" s="2108">
        <v>759.73</v>
      </c>
      <c r="EH85" s="2108">
        <v>766.97</v>
      </c>
      <c r="EI85" s="2108">
        <v>770.75</v>
      </c>
      <c r="EJ85" s="2108">
        <v>781.72</v>
      </c>
      <c r="EK85" s="2108">
        <v>783.61</v>
      </c>
      <c r="EL85" s="2108">
        <v>793.23</v>
      </c>
      <c r="EM85" s="2108">
        <v>801.57</v>
      </c>
      <c r="EN85" s="2108">
        <v>801.57</v>
      </c>
      <c r="EO85" s="2108">
        <v>801.57</v>
      </c>
      <c r="EP85" s="2108">
        <v>814.63</v>
      </c>
      <c r="EQ85" s="2108">
        <v>819.3</v>
      </c>
      <c r="ER85" s="2108">
        <v>823.81</v>
      </c>
      <c r="ES85" s="2108">
        <v>823.81</v>
      </c>
      <c r="ET85" s="2108">
        <v>834.68</v>
      </c>
      <c r="EU85" s="2108">
        <v>858.37</v>
      </c>
      <c r="EV85" s="2108">
        <v>865.53</v>
      </c>
      <c r="EW85" s="2108">
        <v>871.04</v>
      </c>
      <c r="EX85" s="2108">
        <v>871.04</v>
      </c>
      <c r="EY85" s="2108">
        <v>901.92</v>
      </c>
      <c r="EZ85" s="2108">
        <v>932.43</v>
      </c>
      <c r="FA85" s="2108">
        <v>997.82</v>
      </c>
      <c r="FB85" s="2108">
        <v>1056.9100000000001</v>
      </c>
      <c r="FC85" s="2108">
        <v>1091.5899999999999</v>
      </c>
      <c r="FD85" s="2108">
        <v>1096.6600000000001</v>
      </c>
      <c r="FE85" s="2108">
        <v>1121</v>
      </c>
      <c r="FF85" s="2108">
        <v>1138.71</v>
      </c>
      <c r="FG85" s="2108">
        <v>1138.71</v>
      </c>
      <c r="FH85" s="2108">
        <v>1145.05</v>
      </c>
      <c r="FI85" s="2108">
        <v>1198.7</v>
      </c>
      <c r="FJ85" s="2108">
        <v>1222.03</v>
      </c>
      <c r="FK85" s="2108">
        <v>1261.79</v>
      </c>
      <c r="FL85" s="2108">
        <v>1280.8</v>
      </c>
      <c r="FM85" s="2108">
        <v>1280.71</v>
      </c>
      <c r="FN85" s="2108">
        <v>1310.92</v>
      </c>
      <c r="FO85" s="2108">
        <v>1350.49</v>
      </c>
      <c r="FP85" s="2108">
        <v>1353.85</v>
      </c>
      <c r="FQ85" s="2108">
        <v>1353.85</v>
      </c>
      <c r="FR85" s="2108">
        <v>1353.85</v>
      </c>
      <c r="FS85" s="2108">
        <v>1402.39</v>
      </c>
      <c r="FT85" s="2108">
        <v>1416.99</v>
      </c>
      <c r="FU85" s="2108">
        <v>1416.99</v>
      </c>
      <c r="FV85" s="2108">
        <v>1472.22</v>
      </c>
      <c r="FW85" s="2113">
        <v>1458.7739903876138</v>
      </c>
      <c r="FX85" s="2113">
        <v>1556.7875242194782</v>
      </c>
      <c r="FY85" s="2113">
        <v>100</v>
      </c>
      <c r="FZ85" s="2113">
        <v>101.84884071350098</v>
      </c>
      <c r="GA85" s="2113">
        <v>101.31087061367339</v>
      </c>
      <c r="GB85" s="2113">
        <v>102.3951492750228</v>
      </c>
      <c r="GC85" s="2113">
        <v>103.78497601343447</v>
      </c>
      <c r="GD85" s="2113">
        <v>107.28803419584327</v>
      </c>
      <c r="GE85" s="2113">
        <v>107.28803419584327</v>
      </c>
      <c r="GF85" s="2114">
        <v>104.02185041698739</v>
      </c>
      <c r="GG85" s="1960">
        <v>105.16172970993811</v>
      </c>
      <c r="GH85" s="2114">
        <v>105.30074424259401</v>
      </c>
      <c r="GI85" s="2114">
        <v>105.46755875940536</v>
      </c>
      <c r="GJ85" s="2113">
        <v>104.522291923982</v>
      </c>
      <c r="GK85" s="2113">
        <v>106.21821389714862</v>
      </c>
      <c r="GL85" s="2113">
        <v>114.0439333109734</v>
      </c>
      <c r="GM85" s="2114">
        <v>116.54611077902109</v>
      </c>
      <c r="GN85" s="2114">
        <v>116.54611077902109</v>
      </c>
      <c r="GO85" s="2115">
        <v>118.15807619176003</v>
      </c>
      <c r="GP85" s="2116">
        <v>118.15807619176003</v>
      </c>
      <c r="GQ85" s="2116">
        <v>119.35355825512778</v>
      </c>
      <c r="GR85" s="2116">
        <v>121.38033016053625</v>
      </c>
      <c r="GS85" s="2116">
        <v>122.68757738773097</v>
      </c>
      <c r="GT85" s="1960">
        <v>122.68757738773097</v>
      </c>
      <c r="GU85" s="1960">
        <v>125.24535776934533</v>
      </c>
      <c r="GV85" s="1960">
        <v>125.24535776934533</v>
      </c>
      <c r="GW85" s="1960">
        <v>128.88019597368896</v>
      </c>
      <c r="GX85" s="1960">
        <v>133.84452008121889</v>
      </c>
      <c r="GY85" s="1960">
        <v>133.84452008121889</v>
      </c>
      <c r="GZ85" s="1960">
        <v>144.10964113526418</v>
      </c>
      <c r="HA85" s="1960">
        <v>152.04354909529536</v>
      </c>
      <c r="HB85" s="1960">
        <v>163.95651574997962</v>
      </c>
      <c r="HC85" s="1960">
        <v>167.04171606106036</v>
      </c>
      <c r="HD85" s="1960">
        <v>177.6353499292656</v>
      </c>
      <c r="HE85" s="1960">
        <v>208.65503628110326</v>
      </c>
      <c r="HF85" s="1960">
        <v>223.49744450838207</v>
      </c>
      <c r="HG85" s="1960">
        <v>232.51505998564716</v>
      </c>
      <c r="HH85" s="2117">
        <v>230.75631134520708</v>
      </c>
      <c r="HI85" s="1960">
        <v>243.73580918499448</v>
      </c>
      <c r="HJ85" s="1960">
        <v>231.87691318163309</v>
      </c>
      <c r="HK85" s="1960">
        <v>246.86330923357289</v>
      </c>
      <c r="HL85" s="1960">
        <v>252.78122233865346</v>
      </c>
      <c r="HM85" s="1960">
        <v>259.79400336769885</v>
      </c>
      <c r="HN85" s="1960">
        <v>263.63708572339078</v>
      </c>
      <c r="HO85" s="1960">
        <v>267.51621450515188</v>
      </c>
      <c r="HP85" s="1960">
        <v>298.94176170893377</v>
      </c>
      <c r="HQ85" s="1960">
        <v>331.45698387276303</v>
      </c>
      <c r="HR85" s="1960">
        <v>341.91325952052648</v>
      </c>
      <c r="HS85" s="1960">
        <v>371.37095262119186</v>
      </c>
      <c r="HT85" s="1962">
        <v>376.98033704226413</v>
      </c>
      <c r="HU85" s="1961">
        <v>376.1850307468153</v>
      </c>
      <c r="HV85" s="1960">
        <v>377.8898676900692</v>
      </c>
      <c r="HW85" s="1960">
        <v>383.28460651051506</v>
      </c>
      <c r="HX85" s="1960">
        <v>410.10413609270609</v>
      </c>
      <c r="HY85" s="1960">
        <v>440.78104223423827</v>
      </c>
      <c r="HZ85" s="1960">
        <v>447.57464634328153</v>
      </c>
      <c r="IA85" s="1960">
        <v>459.42068433986339</v>
      </c>
      <c r="IB85" s="1960">
        <v>465.77889415047713</v>
      </c>
      <c r="IC85" s="1960">
        <v>484.9140198378077</v>
      </c>
      <c r="ID85" s="1960">
        <v>514.71870131867411</v>
      </c>
      <c r="IE85" s="1960">
        <v>523.54835853510201</v>
      </c>
      <c r="IF85" s="1960">
        <v>544.19090856368325</v>
      </c>
      <c r="IG85" s="1961">
        <v>573.32909283351376</v>
      </c>
      <c r="IH85" s="1960">
        <v>578.27400655740053</v>
      </c>
      <c r="II85" s="1960">
        <v>625.81417185919508</v>
      </c>
      <c r="IJ85" s="1961">
        <v>657.30332008208882</v>
      </c>
      <c r="IK85" s="1960">
        <v>677.39294499970538</v>
      </c>
      <c r="IL85" s="1960">
        <v>696.17683727759822</v>
      </c>
      <c r="IM85" s="1960">
        <v>727.60192353190439</v>
      </c>
      <c r="IN85" s="1960">
        <v>750.71759299803875</v>
      </c>
      <c r="IO85" s="1960">
        <v>758.7446408611703</v>
      </c>
      <c r="IP85" s="1960">
        <v>790.39418083010912</v>
      </c>
      <c r="IQ85" s="1960">
        <v>813.08758335301275</v>
      </c>
      <c r="IR85" s="1960">
        <v>817.30577469001457</v>
      </c>
      <c r="IS85" s="2274">
        <v>857.91526689213265</v>
      </c>
      <c r="IT85" s="1960">
        <v>882.34605206553044</v>
      </c>
      <c r="IU85" s="1960">
        <v>937.98145911730705</v>
      </c>
      <c r="IV85" s="1960">
        <v>1023.9179961089325</v>
      </c>
      <c r="IW85" s="1960">
        <v>1047.8421808250537</v>
      </c>
      <c r="IX85" s="1960">
        <v>1106.2176268695857</v>
      </c>
      <c r="IY85" s="1960">
        <v>1249.1353778037344</v>
      </c>
      <c r="IZ85" s="1960">
        <v>1315.7944980454163</v>
      </c>
      <c r="JA85" s="1960">
        <v>1394.4098702939718</v>
      </c>
      <c r="JB85" s="1960">
        <v>1451.9039872174642</v>
      </c>
      <c r="JC85" s="1960">
        <v>1554.9774235394775</v>
      </c>
      <c r="JD85" s="1960">
        <v>1734.1955775920665</v>
      </c>
      <c r="JE85" s="2274">
        <v>1858.5043787950833</v>
      </c>
      <c r="JF85" s="2117">
        <v>1939.2356402009104</v>
      </c>
      <c r="JG85" s="2103">
        <f t="shared" si="13"/>
        <v>1.0434388330352857</v>
      </c>
      <c r="JI85" s="2155"/>
      <c r="JJ85" s="2104"/>
    </row>
    <row r="86" spans="2:270">
      <c r="B86" s="2105">
        <v>62</v>
      </c>
      <c r="C86" s="2106" t="s">
        <v>153</v>
      </c>
      <c r="D86" s="2425" t="s">
        <v>1199</v>
      </c>
      <c r="E86" s="2128" t="s">
        <v>154</v>
      </c>
      <c r="F86" s="2106" t="s">
        <v>918</v>
      </c>
      <c r="G86" s="2425"/>
      <c r="H86" s="2106" t="s">
        <v>929</v>
      </c>
      <c r="I86" s="2106" t="s">
        <v>930</v>
      </c>
      <c r="J86" s="2359"/>
      <c r="K86" s="2425"/>
      <c r="L86" s="2110">
        <v>98.9</v>
      </c>
      <c r="M86" s="2110">
        <v>111.4</v>
      </c>
      <c r="N86" s="2110">
        <v>145.5</v>
      </c>
      <c r="O86" s="2110">
        <v>165.4</v>
      </c>
      <c r="P86" s="2110">
        <v>188.2</v>
      </c>
      <c r="Q86" s="2110">
        <v>195.1</v>
      </c>
      <c r="R86" s="2110">
        <v>205.5</v>
      </c>
      <c r="S86" s="2110">
        <v>216.1</v>
      </c>
      <c r="T86" s="2110">
        <v>218.5</v>
      </c>
      <c r="U86" s="2110">
        <v>216.9</v>
      </c>
      <c r="V86" s="2110">
        <v>217.6</v>
      </c>
      <c r="W86" s="2110">
        <v>218.6</v>
      </c>
      <c r="X86" s="2110">
        <v>218.6</v>
      </c>
      <c r="Y86" s="2110">
        <v>216.7</v>
      </c>
      <c r="Z86" s="2110">
        <v>219.1</v>
      </c>
      <c r="AA86" s="2110">
        <v>211.8</v>
      </c>
      <c r="AB86" s="2110">
        <v>210.9</v>
      </c>
      <c r="AC86" s="2110">
        <v>210.9</v>
      </c>
      <c r="AD86" s="2110">
        <v>207.7</v>
      </c>
      <c r="AE86" s="2110">
        <v>207.7</v>
      </c>
      <c r="AF86" s="2110">
        <v>206.2</v>
      </c>
      <c r="AG86" s="2110">
        <v>206.2</v>
      </c>
      <c r="AH86" s="2110">
        <v>208.3</v>
      </c>
      <c r="AI86" s="2110">
        <v>210</v>
      </c>
      <c r="AJ86" s="2110">
        <v>216.6</v>
      </c>
      <c r="AK86" s="2110">
        <v>229.8</v>
      </c>
      <c r="AL86" s="2110">
        <v>241.5</v>
      </c>
      <c r="AM86" s="2110">
        <v>253.7</v>
      </c>
      <c r="AN86" s="2110">
        <v>281.89999999999998</v>
      </c>
      <c r="AO86" s="2110">
        <v>285.10000000000002</v>
      </c>
      <c r="AP86" s="2110">
        <v>297.7</v>
      </c>
      <c r="AQ86" s="2110">
        <v>306</v>
      </c>
      <c r="AR86" s="2110">
        <v>313.39999999999998</v>
      </c>
      <c r="AS86" s="2110">
        <v>315.39999999999998</v>
      </c>
      <c r="AT86" s="2110">
        <v>317.39999999999998</v>
      </c>
      <c r="AU86" s="2110">
        <v>314.7</v>
      </c>
      <c r="AV86" s="2110">
        <v>315.60000000000002</v>
      </c>
      <c r="AW86" s="2111">
        <v>319</v>
      </c>
      <c r="AX86" s="2111">
        <v>319</v>
      </c>
      <c r="AY86" s="2111">
        <v>323.5</v>
      </c>
      <c r="AZ86" s="2111">
        <v>323.5</v>
      </c>
      <c r="BA86" s="2111">
        <v>323.5</v>
      </c>
      <c r="BB86" s="2111">
        <v>319.39999999999998</v>
      </c>
      <c r="BC86" s="2111">
        <v>319.39999999999998</v>
      </c>
      <c r="BD86" s="2112">
        <v>319.39999999999998</v>
      </c>
      <c r="BE86" s="2111">
        <v>317.60000000000002</v>
      </c>
      <c r="BF86" s="2112">
        <v>317.60000000000002</v>
      </c>
      <c r="BG86" s="2112">
        <v>320.60000000000002</v>
      </c>
      <c r="BH86" s="2112">
        <v>320.60000000000002</v>
      </c>
      <c r="BI86" s="2108">
        <v>321.10000000000002</v>
      </c>
      <c r="BJ86" s="2108">
        <v>324.10000000000002</v>
      </c>
      <c r="BK86" s="2108">
        <v>324.10000000000002</v>
      </c>
      <c r="BL86" s="2108">
        <v>328.1</v>
      </c>
      <c r="BM86" s="2108">
        <v>368.2</v>
      </c>
      <c r="BN86" s="2108">
        <v>368.3</v>
      </c>
      <c r="BO86" s="2108">
        <v>367.5</v>
      </c>
      <c r="BP86" s="2108">
        <v>367.5</v>
      </c>
      <c r="BQ86" s="2108">
        <v>367.5</v>
      </c>
      <c r="BR86" s="2108">
        <v>368.4</v>
      </c>
      <c r="BS86" s="2108">
        <v>375.3</v>
      </c>
      <c r="BT86" s="2108">
        <v>379.7</v>
      </c>
      <c r="BU86" s="2108">
        <v>397.9</v>
      </c>
      <c r="BV86" s="2108">
        <v>403.7</v>
      </c>
      <c r="BW86" s="2108">
        <v>454.3</v>
      </c>
      <c r="BX86" s="2108">
        <v>461.5</v>
      </c>
      <c r="BY86" s="2108">
        <v>502.2</v>
      </c>
      <c r="BZ86" s="2108">
        <v>502.2</v>
      </c>
      <c r="CA86" s="2108">
        <v>539.20000000000005</v>
      </c>
      <c r="CB86" s="2108">
        <v>545</v>
      </c>
      <c r="CC86" s="2108">
        <v>564.6</v>
      </c>
      <c r="CD86" s="2108">
        <v>585.5</v>
      </c>
      <c r="CE86" s="2108">
        <v>591.70000000000005</v>
      </c>
      <c r="CF86" s="2108">
        <v>596.20000000000005</v>
      </c>
      <c r="CG86" s="2108">
        <v>593.70000000000005</v>
      </c>
      <c r="CH86" s="2108">
        <v>603</v>
      </c>
      <c r="CI86" s="2108">
        <v>622.79999999999995</v>
      </c>
      <c r="CJ86" s="2108">
        <v>648.6</v>
      </c>
      <c r="CK86" s="2108">
        <v>667.8</v>
      </c>
      <c r="CL86" s="2108">
        <v>705</v>
      </c>
      <c r="CM86" s="2108">
        <v>711.7</v>
      </c>
      <c r="CN86" s="2108">
        <v>716.7</v>
      </c>
      <c r="CO86" s="2108">
        <v>718.1</v>
      </c>
      <c r="CP86" s="2108">
        <v>718.1</v>
      </c>
      <c r="CQ86" s="2108">
        <v>718.1</v>
      </c>
      <c r="CR86" s="2108">
        <v>712.5</v>
      </c>
      <c r="CS86" s="2108">
        <v>702.9</v>
      </c>
      <c r="CT86" s="2108">
        <v>702.9</v>
      </c>
      <c r="CU86" s="2108">
        <v>702.9</v>
      </c>
      <c r="CV86" s="2108">
        <v>684.8</v>
      </c>
      <c r="CW86" s="2108">
        <v>663.9</v>
      </c>
      <c r="CX86" s="2108">
        <v>648.79999999999995</v>
      </c>
      <c r="CY86" s="2108">
        <v>644.5</v>
      </c>
      <c r="CZ86" s="2108">
        <v>649.29999999999995</v>
      </c>
      <c r="DA86" s="2108">
        <v>662.3</v>
      </c>
      <c r="DB86" s="2108">
        <v>645.6</v>
      </c>
      <c r="DC86" s="2108">
        <v>646.5</v>
      </c>
      <c r="DD86" s="2108">
        <v>660.2</v>
      </c>
      <c r="DE86" s="2108">
        <v>674.3</v>
      </c>
      <c r="DF86" s="2108">
        <v>674.3</v>
      </c>
      <c r="DG86" s="2108">
        <v>682.3</v>
      </c>
      <c r="DH86" s="2108">
        <v>687.3</v>
      </c>
      <c r="DI86" s="2108">
        <v>700.8</v>
      </c>
      <c r="DJ86" s="2108">
        <v>700.1</v>
      </c>
      <c r="DK86" s="2108">
        <v>700.1</v>
      </c>
      <c r="DL86" s="2108">
        <v>724.7</v>
      </c>
      <c r="DM86" s="2108">
        <v>755.3</v>
      </c>
      <c r="DN86" s="2108">
        <v>788.7</v>
      </c>
      <c r="DO86" s="2108">
        <v>837.6</v>
      </c>
      <c r="DP86" s="2108">
        <v>875.9</v>
      </c>
      <c r="DQ86" s="2108">
        <v>882.7</v>
      </c>
      <c r="DR86" s="2108">
        <v>915.5</v>
      </c>
      <c r="DS86" s="2108">
        <v>945.4</v>
      </c>
      <c r="DT86" s="2108">
        <v>942.1</v>
      </c>
      <c r="DU86" s="2108">
        <v>946.9</v>
      </c>
      <c r="DV86" s="2108">
        <v>946.9</v>
      </c>
      <c r="DW86" s="2108">
        <v>946.9</v>
      </c>
      <c r="DX86" s="2108">
        <v>946.9</v>
      </c>
      <c r="DY86" s="2108">
        <v>946.9</v>
      </c>
      <c r="DZ86" s="2108">
        <v>942.5</v>
      </c>
      <c r="EA86" s="2108">
        <v>939.2</v>
      </c>
      <c r="EB86" s="2108">
        <v>939.2</v>
      </c>
      <c r="EC86" s="2108">
        <v>939.5</v>
      </c>
      <c r="ED86" s="2108">
        <v>946.8</v>
      </c>
      <c r="EE86" s="2108">
        <v>958.4</v>
      </c>
      <c r="EF86" s="2108">
        <v>960.3</v>
      </c>
      <c r="EG86" s="2108">
        <v>960.3</v>
      </c>
      <c r="EH86" s="2108">
        <v>970.7</v>
      </c>
      <c r="EI86" s="2108">
        <v>977.2</v>
      </c>
      <c r="EJ86" s="2108">
        <v>1004.6</v>
      </c>
      <c r="EK86" s="2108">
        <v>1004.6</v>
      </c>
      <c r="EL86" s="2108">
        <v>1025</v>
      </c>
      <c r="EM86" s="2108">
        <v>1036.4000000000001</v>
      </c>
      <c r="EN86" s="2108">
        <v>1037.9000000000001</v>
      </c>
      <c r="EO86" s="2108">
        <v>1053.9000000000001</v>
      </c>
      <c r="EP86" s="2108">
        <v>1080.4000000000001</v>
      </c>
      <c r="EQ86" s="2108">
        <v>1093.9000000000001</v>
      </c>
      <c r="ER86" s="2108">
        <v>1113.7</v>
      </c>
      <c r="ES86" s="2108">
        <v>1113.4000000000001</v>
      </c>
      <c r="ET86" s="2108">
        <v>1128.7</v>
      </c>
      <c r="EU86" s="2108">
        <v>1141.7</v>
      </c>
      <c r="EV86" s="2108">
        <v>1171.8</v>
      </c>
      <c r="EW86" s="2108">
        <v>1211.3</v>
      </c>
      <c r="EX86" s="2108">
        <v>1231.5999999999999</v>
      </c>
      <c r="EY86" s="2108">
        <v>1248.4000000000001</v>
      </c>
      <c r="EZ86" s="2108">
        <v>1248.4000000000001</v>
      </c>
      <c r="FA86" s="2108">
        <v>1326.6</v>
      </c>
      <c r="FB86" s="2108">
        <v>1499.5</v>
      </c>
      <c r="FC86" s="2108">
        <v>1557</v>
      </c>
      <c r="FD86" s="2108">
        <v>1632.1</v>
      </c>
      <c r="FE86" s="2108">
        <v>1688.6</v>
      </c>
      <c r="FF86" s="2108">
        <v>1806.7</v>
      </c>
      <c r="FG86" s="2108">
        <v>1806.8</v>
      </c>
      <c r="FH86" s="2108">
        <v>1890.5</v>
      </c>
      <c r="FI86" s="2108">
        <v>1934.5</v>
      </c>
      <c r="FJ86" s="2108">
        <v>1964</v>
      </c>
      <c r="FK86" s="2108">
        <v>1968.2</v>
      </c>
      <c r="FL86" s="2108">
        <v>1980.1</v>
      </c>
      <c r="FM86" s="2108">
        <v>1980.1</v>
      </c>
      <c r="FN86" s="2108">
        <v>1998.5</v>
      </c>
      <c r="FO86" s="2108">
        <v>2015.1</v>
      </c>
      <c r="FP86" s="2108">
        <v>2036.7</v>
      </c>
      <c r="FQ86" s="2108">
        <v>2036.7</v>
      </c>
      <c r="FR86" s="2108">
        <v>2050.4</v>
      </c>
      <c r="FS86" s="2108">
        <v>2050.4</v>
      </c>
      <c r="FT86" s="2108">
        <v>2083.5</v>
      </c>
      <c r="FU86" s="2108">
        <v>2105.3000000000002</v>
      </c>
      <c r="FV86" s="2108">
        <v>2135.1999999999998</v>
      </c>
      <c r="FW86" s="2113" t="s">
        <v>521</v>
      </c>
      <c r="FX86" s="2113" t="s">
        <v>521</v>
      </c>
      <c r="FY86" s="2113" t="s">
        <v>521</v>
      </c>
      <c r="FZ86" s="2113" t="s">
        <v>521</v>
      </c>
      <c r="GA86" s="2113" t="s">
        <v>521</v>
      </c>
      <c r="GB86" s="2113" t="s">
        <v>521</v>
      </c>
      <c r="GC86" s="2113" t="s">
        <v>521</v>
      </c>
      <c r="GD86" s="2113" t="s">
        <v>521</v>
      </c>
      <c r="GE86" s="2113" t="s">
        <v>521</v>
      </c>
      <c r="GF86" s="2114" t="s">
        <v>521</v>
      </c>
      <c r="GG86" s="1960" t="s">
        <v>521</v>
      </c>
      <c r="GH86" s="2114" t="s">
        <v>521</v>
      </c>
      <c r="GI86" s="2114" t="s">
        <v>521</v>
      </c>
      <c r="GJ86" s="2113" t="s">
        <v>521</v>
      </c>
      <c r="GK86" s="2113" t="s">
        <v>521</v>
      </c>
      <c r="GL86" s="2113" t="s">
        <v>521</v>
      </c>
      <c r="GM86" s="2114" t="s">
        <v>521</v>
      </c>
      <c r="GN86" s="2114" t="s">
        <v>521</v>
      </c>
      <c r="GO86" s="2115" t="s">
        <v>521</v>
      </c>
      <c r="GP86" s="2116" t="s">
        <v>521</v>
      </c>
      <c r="GQ86" s="2116" t="s">
        <v>521</v>
      </c>
      <c r="GR86" s="2116" t="s">
        <v>521</v>
      </c>
      <c r="GS86" s="2116" t="s">
        <v>521</v>
      </c>
      <c r="GT86" s="1960" t="s">
        <v>521</v>
      </c>
      <c r="GU86" s="1960" t="s">
        <v>521</v>
      </c>
      <c r="GV86" s="1960" t="s">
        <v>521</v>
      </c>
      <c r="GW86" s="1960" t="s">
        <v>521</v>
      </c>
      <c r="GX86" s="1960" t="s">
        <v>521</v>
      </c>
      <c r="GY86" s="1960" t="s">
        <v>521</v>
      </c>
      <c r="GZ86" s="1960">
        <v>100</v>
      </c>
      <c r="HA86" s="1960">
        <v>104.54545454545455</v>
      </c>
      <c r="HB86" s="1960">
        <v>104.54545454545455</v>
      </c>
      <c r="HC86" s="1960">
        <v>134.25837320574163</v>
      </c>
      <c r="HD86" s="1960">
        <v>134.25837320574163</v>
      </c>
      <c r="HE86" s="1960">
        <v>164.55661346777561</v>
      </c>
      <c r="HF86" s="1960">
        <v>176.50765243470903</v>
      </c>
      <c r="HG86" s="1960">
        <v>176.50765243470903</v>
      </c>
      <c r="HH86" s="1960">
        <v>132.42378997296706</v>
      </c>
      <c r="HI86" s="1960">
        <v>132.42378997296706</v>
      </c>
      <c r="HJ86" s="1960">
        <v>172.04767254772426</v>
      </c>
      <c r="HK86" s="1960">
        <v>172.04767254772426</v>
      </c>
      <c r="HL86" s="1960">
        <v>180.65005617511048</v>
      </c>
      <c r="HM86" s="1960">
        <v>180.65005617511048</v>
      </c>
      <c r="HN86" s="1960">
        <v>182.90803717773792</v>
      </c>
      <c r="HO86" s="1960">
        <v>182.90803717773792</v>
      </c>
      <c r="HP86" s="1960">
        <v>211.67922222135439</v>
      </c>
      <c r="HQ86" s="1960">
        <v>214.35741693908645</v>
      </c>
      <c r="HR86" s="1960">
        <v>212.75773472312312</v>
      </c>
      <c r="HS86" s="1960">
        <v>228.48006698418251</v>
      </c>
      <c r="HT86" s="1962">
        <v>240.47690090420073</v>
      </c>
      <c r="HU86" s="1961">
        <v>247.04602600207159</v>
      </c>
      <c r="HV86" s="1960">
        <v>247.04602600207159</v>
      </c>
      <c r="HW86" s="1960">
        <v>247.04602600207159</v>
      </c>
      <c r="HX86" s="1960">
        <v>247.04602600207159</v>
      </c>
      <c r="HY86" s="1960">
        <v>247.04602600207159</v>
      </c>
      <c r="HZ86" s="1960">
        <v>247.04602600207159</v>
      </c>
      <c r="IA86" s="1960">
        <v>247.04602600207159</v>
      </c>
      <c r="IB86" s="1960">
        <v>253.61838515217707</v>
      </c>
      <c r="IC86" s="1960">
        <v>259.95847914695645</v>
      </c>
      <c r="ID86" s="1960">
        <v>259.95847914695645</v>
      </c>
      <c r="IE86" s="1960">
        <v>279.67799716242257</v>
      </c>
      <c r="IF86" s="1960">
        <v>286.87107164974145</v>
      </c>
      <c r="IG86" s="1961">
        <v>292.17313728900086</v>
      </c>
      <c r="IH86" s="1960">
        <v>336.41649807847813</v>
      </c>
      <c r="II86" s="1960">
        <v>336.41649807847813</v>
      </c>
      <c r="IJ86" s="1961">
        <v>468.30956607846963</v>
      </c>
      <c r="IK86" s="1960">
        <v>517.45580029528298</v>
      </c>
      <c r="IL86" s="1960">
        <v>535.03760752583401</v>
      </c>
      <c r="IM86" s="1960">
        <v>530.43355964092189</v>
      </c>
      <c r="IN86" s="1960">
        <v>572.37658597659913</v>
      </c>
      <c r="IO86" s="1960">
        <v>625.2098067451692</v>
      </c>
      <c r="IP86" s="1960">
        <v>719.77333254335792</v>
      </c>
      <c r="IQ86" s="1960">
        <v>750.36369917645061</v>
      </c>
      <c r="IR86" s="1960">
        <v>774.99280207558274</v>
      </c>
      <c r="IS86" s="2274">
        <v>858.11779071536967</v>
      </c>
      <c r="IT86" s="1960">
        <v>869.06567556497043</v>
      </c>
      <c r="IU86" s="1960">
        <v>1017.8517173134611</v>
      </c>
      <c r="IV86" s="1960">
        <v>1116.2705565422341</v>
      </c>
      <c r="IW86" s="1960">
        <v>1374.4018630002208</v>
      </c>
      <c r="IX86" s="1960">
        <v>1409.973151363105</v>
      </c>
      <c r="IY86" s="1960">
        <v>1714.4422136199478</v>
      </c>
      <c r="IZ86" s="1960">
        <v>2012.6549123820744</v>
      </c>
      <c r="JA86" s="1960">
        <v>2057.3178498094489</v>
      </c>
      <c r="JB86" s="1960">
        <v>2108.8260020498628</v>
      </c>
      <c r="JC86" s="1960">
        <v>2200.0163493781888</v>
      </c>
      <c r="JD86" s="1960">
        <v>2201.0163493781902</v>
      </c>
      <c r="JE86" s="2274">
        <v>2329.3288999233259</v>
      </c>
      <c r="JF86" s="2117">
        <v>2514.5520511870718</v>
      </c>
      <c r="JG86" s="2103">
        <f t="shared" si="13"/>
        <v>1.0795178178873077</v>
      </c>
      <c r="JI86" s="2155"/>
      <c r="JJ86" s="2104"/>
    </row>
    <row r="87" spans="2:270" ht="31.5">
      <c r="B87" s="2105">
        <v>63</v>
      </c>
      <c r="C87" s="2106" t="s">
        <v>155</v>
      </c>
      <c r="D87" s="2425" t="s">
        <v>1200</v>
      </c>
      <c r="E87" s="2128" t="s">
        <v>156</v>
      </c>
      <c r="F87" s="2106"/>
      <c r="G87" s="2425" t="s">
        <v>1112</v>
      </c>
      <c r="H87" s="2106" t="s">
        <v>919</v>
      </c>
      <c r="I87" s="2106" t="s">
        <v>920</v>
      </c>
      <c r="J87" s="2359" t="s">
        <v>157</v>
      </c>
      <c r="K87" s="2425"/>
      <c r="L87" s="2110">
        <v>96.5</v>
      </c>
      <c r="M87" s="2110">
        <v>99.76</v>
      </c>
      <c r="N87" s="2110">
        <v>114.75</v>
      </c>
      <c r="O87" s="2110">
        <v>127.79</v>
      </c>
      <c r="P87" s="2110">
        <v>135.65</v>
      </c>
      <c r="Q87" s="2110">
        <v>145.57</v>
      </c>
      <c r="R87" s="2110">
        <v>156.99</v>
      </c>
      <c r="S87" s="2110">
        <v>168.19</v>
      </c>
      <c r="T87" s="2110">
        <v>175.83</v>
      </c>
      <c r="U87" s="2110">
        <v>175.83</v>
      </c>
      <c r="V87" s="2110">
        <v>175.83</v>
      </c>
      <c r="W87" s="2110">
        <v>175.83</v>
      </c>
      <c r="X87" s="2110">
        <v>175.83</v>
      </c>
      <c r="Y87" s="2110">
        <v>178.91</v>
      </c>
      <c r="Z87" s="2110">
        <v>178.91</v>
      </c>
      <c r="AA87" s="2110">
        <v>178.91</v>
      </c>
      <c r="AB87" s="2110">
        <v>173.96</v>
      </c>
      <c r="AC87" s="2110">
        <v>173.96</v>
      </c>
      <c r="AD87" s="2110">
        <v>173.96</v>
      </c>
      <c r="AE87" s="2110">
        <v>173.96</v>
      </c>
      <c r="AF87" s="2110">
        <v>173.96</v>
      </c>
      <c r="AG87" s="2110">
        <v>173.96</v>
      </c>
      <c r="AH87" s="2110">
        <v>173.96</v>
      </c>
      <c r="AI87" s="2110">
        <v>174.62</v>
      </c>
      <c r="AJ87" s="2110">
        <v>174.62</v>
      </c>
      <c r="AK87" s="2110">
        <v>174.62</v>
      </c>
      <c r="AL87" s="2110">
        <v>174.62</v>
      </c>
      <c r="AM87" s="2110">
        <v>174.62</v>
      </c>
      <c r="AN87" s="2110">
        <v>180.94</v>
      </c>
      <c r="AO87" s="2110">
        <v>180.94</v>
      </c>
      <c r="AP87" s="2110">
        <v>184.9</v>
      </c>
      <c r="AQ87" s="2110">
        <v>185.6</v>
      </c>
      <c r="AR87" s="2110">
        <v>185.6</v>
      </c>
      <c r="AS87" s="2110">
        <v>192.45</v>
      </c>
      <c r="AT87" s="2110">
        <v>193.66</v>
      </c>
      <c r="AU87" s="2110">
        <v>193.66</v>
      </c>
      <c r="AV87" s="2110">
        <v>196.66</v>
      </c>
      <c r="AW87" s="2111">
        <v>199.98</v>
      </c>
      <c r="AX87" s="2111">
        <v>201.15</v>
      </c>
      <c r="AY87" s="2111">
        <v>201.15</v>
      </c>
      <c r="AZ87" s="2111">
        <v>201.15</v>
      </c>
      <c r="BA87" s="2111">
        <v>201.15</v>
      </c>
      <c r="BB87" s="2111">
        <v>201.15</v>
      </c>
      <c r="BC87" s="2111">
        <v>202.79</v>
      </c>
      <c r="BD87" s="2112">
        <v>202.79</v>
      </c>
      <c r="BE87" s="2111">
        <v>202.79</v>
      </c>
      <c r="BF87" s="2112">
        <v>202.79</v>
      </c>
      <c r="BG87" s="2112">
        <v>202.79</v>
      </c>
      <c r="BH87" s="2112">
        <v>202.79</v>
      </c>
      <c r="BI87" s="2108">
        <v>215.31</v>
      </c>
      <c r="BJ87" s="2108">
        <v>215.31</v>
      </c>
      <c r="BK87" s="2108">
        <v>215.31</v>
      </c>
      <c r="BL87" s="2108">
        <v>226.06</v>
      </c>
      <c r="BM87" s="2108">
        <v>226.06</v>
      </c>
      <c r="BN87" s="2108">
        <v>226.06</v>
      </c>
      <c r="BO87" s="2108">
        <v>226.06</v>
      </c>
      <c r="BP87" s="2108">
        <v>226.06</v>
      </c>
      <c r="BQ87" s="2108">
        <v>226.06</v>
      </c>
      <c r="BR87" s="2108">
        <v>233.32</v>
      </c>
      <c r="BS87" s="2108">
        <v>233.32</v>
      </c>
      <c r="BT87" s="2108">
        <v>233.33</v>
      </c>
      <c r="BU87" s="2108">
        <v>234.48</v>
      </c>
      <c r="BV87" s="2108">
        <v>235.04</v>
      </c>
      <c r="BW87" s="2108">
        <v>235.04</v>
      </c>
      <c r="BX87" s="2108">
        <v>235.04</v>
      </c>
      <c r="BY87" s="2108">
        <v>235.04</v>
      </c>
      <c r="BZ87" s="2108">
        <v>235.02</v>
      </c>
      <c r="CA87" s="2108">
        <v>235.02</v>
      </c>
      <c r="CB87" s="2108">
        <v>235.02</v>
      </c>
      <c r="CC87" s="2108">
        <v>239.58</v>
      </c>
      <c r="CD87" s="2108">
        <v>239.58</v>
      </c>
      <c r="CE87" s="2108">
        <v>239.58</v>
      </c>
      <c r="CF87" s="2108">
        <v>244.69</v>
      </c>
      <c r="CG87" s="2108">
        <v>244.69</v>
      </c>
      <c r="CH87" s="2108">
        <v>244.63</v>
      </c>
      <c r="CI87" s="2108">
        <v>252.8</v>
      </c>
      <c r="CJ87" s="2108">
        <v>254.98</v>
      </c>
      <c r="CK87" s="2108">
        <v>257.3</v>
      </c>
      <c r="CL87" s="2108">
        <v>257.3</v>
      </c>
      <c r="CM87" s="2108">
        <v>262.39999999999998</v>
      </c>
      <c r="CN87" s="2108">
        <v>266.04000000000002</v>
      </c>
      <c r="CO87" s="2108">
        <v>290.39</v>
      </c>
      <c r="CP87" s="2108">
        <v>290.39</v>
      </c>
      <c r="CQ87" s="2108">
        <v>290.39</v>
      </c>
      <c r="CR87" s="2108">
        <v>290.39</v>
      </c>
      <c r="CS87" s="2108">
        <v>290.39</v>
      </c>
      <c r="CT87" s="2108">
        <v>290.39</v>
      </c>
      <c r="CU87" s="2108">
        <v>290.39</v>
      </c>
      <c r="CV87" s="2108">
        <v>292.86</v>
      </c>
      <c r="CW87" s="2108">
        <v>292.86</v>
      </c>
      <c r="CX87" s="2108">
        <v>292.86</v>
      </c>
      <c r="CY87" s="2108">
        <v>292.86</v>
      </c>
      <c r="CZ87" s="2108">
        <v>292.86</v>
      </c>
      <c r="DA87" s="2108">
        <v>293.17</v>
      </c>
      <c r="DB87" s="2108">
        <v>296.17</v>
      </c>
      <c r="DC87" s="2108">
        <v>326.7</v>
      </c>
      <c r="DD87" s="2108">
        <v>326.7</v>
      </c>
      <c r="DE87" s="2108">
        <v>339.91</v>
      </c>
      <c r="DF87" s="2108">
        <v>339.91</v>
      </c>
      <c r="DG87" s="2108">
        <v>339.91</v>
      </c>
      <c r="DH87" s="2108">
        <v>365.95</v>
      </c>
      <c r="DI87" s="2108">
        <v>374</v>
      </c>
      <c r="DJ87" s="2108">
        <v>374.01</v>
      </c>
      <c r="DK87" s="2108">
        <v>374.01</v>
      </c>
      <c r="DL87" s="2108">
        <v>376.72</v>
      </c>
      <c r="DM87" s="2108">
        <v>390.6</v>
      </c>
      <c r="DN87" s="2108">
        <v>390.6</v>
      </c>
      <c r="DO87" s="2108">
        <v>390.6</v>
      </c>
      <c r="DP87" s="2108">
        <v>390.6</v>
      </c>
      <c r="DQ87" s="2108">
        <v>390.95</v>
      </c>
      <c r="DR87" s="2108">
        <v>406.94</v>
      </c>
      <c r="DS87" s="2108">
        <v>410.34</v>
      </c>
      <c r="DT87" s="2108">
        <v>410.34</v>
      </c>
      <c r="DU87" s="2108">
        <v>433.94</v>
      </c>
      <c r="DV87" s="2108">
        <v>433.94</v>
      </c>
      <c r="DW87" s="2108">
        <v>445.48</v>
      </c>
      <c r="DX87" s="2108">
        <v>468.47</v>
      </c>
      <c r="DY87" s="2108">
        <v>468.47</v>
      </c>
      <c r="DZ87" s="2108">
        <v>476.78</v>
      </c>
      <c r="EA87" s="2108">
        <v>476.78</v>
      </c>
      <c r="EB87" s="2108">
        <v>511.06</v>
      </c>
      <c r="EC87" s="2108">
        <v>520.77</v>
      </c>
      <c r="ED87" s="2108">
        <v>520.77</v>
      </c>
      <c r="EE87" s="2108">
        <v>520.77</v>
      </c>
      <c r="EF87" s="2108">
        <v>520.77</v>
      </c>
      <c r="EG87" s="2108">
        <v>543.16999999999996</v>
      </c>
      <c r="EH87" s="2108">
        <v>561.13</v>
      </c>
      <c r="EI87" s="2108">
        <v>561.13</v>
      </c>
      <c r="EJ87" s="2108">
        <v>595.89</v>
      </c>
      <c r="EK87" s="2108">
        <v>595.89</v>
      </c>
      <c r="EL87" s="2108">
        <v>595.89</v>
      </c>
      <c r="EM87" s="2108">
        <v>603.94000000000005</v>
      </c>
      <c r="EN87" s="2108">
        <v>603.94000000000005</v>
      </c>
      <c r="EO87" s="2108">
        <v>622.44000000000005</v>
      </c>
      <c r="EP87" s="2108">
        <v>622.44000000000005</v>
      </c>
      <c r="EQ87" s="2108">
        <v>622.44000000000005</v>
      </c>
      <c r="ER87" s="2108">
        <v>622.44000000000005</v>
      </c>
      <c r="ES87" s="2108">
        <v>619.39</v>
      </c>
      <c r="ET87" s="2108">
        <v>619.37</v>
      </c>
      <c r="EU87" s="2108">
        <v>619.37</v>
      </c>
      <c r="EV87" s="2108">
        <v>633.29</v>
      </c>
      <c r="EW87" s="2108">
        <v>633.29</v>
      </c>
      <c r="EX87" s="2108">
        <v>633.29</v>
      </c>
      <c r="EY87" s="2108">
        <v>641.32000000000005</v>
      </c>
      <c r="EZ87" s="2108">
        <v>660.35</v>
      </c>
      <c r="FA87" s="2108">
        <v>676.45</v>
      </c>
      <c r="FB87" s="2108">
        <v>689.7</v>
      </c>
      <c r="FC87" s="2108">
        <v>744.94</v>
      </c>
      <c r="FD87" s="2108">
        <v>744.94</v>
      </c>
      <c r="FE87" s="2108">
        <v>768.76</v>
      </c>
      <c r="FF87" s="2108">
        <v>762.9</v>
      </c>
      <c r="FG87" s="2108">
        <v>762.9</v>
      </c>
      <c r="FH87" s="2108">
        <v>762.9</v>
      </c>
      <c r="FI87" s="2108">
        <v>807.65</v>
      </c>
      <c r="FJ87" s="2108">
        <v>807.65</v>
      </c>
      <c r="FK87" s="2108">
        <v>807.65</v>
      </c>
      <c r="FL87" s="2108">
        <v>819.68</v>
      </c>
      <c r="FM87" s="2108">
        <v>870.56</v>
      </c>
      <c r="FN87" s="2108">
        <v>870.56</v>
      </c>
      <c r="FO87" s="2108">
        <v>870.56</v>
      </c>
      <c r="FP87" s="2108">
        <v>883.05</v>
      </c>
      <c r="FQ87" s="2108">
        <v>932.51</v>
      </c>
      <c r="FR87" s="2108">
        <v>932.51</v>
      </c>
      <c r="FS87" s="2108">
        <v>932.51</v>
      </c>
      <c r="FT87" s="2108">
        <v>964.15</v>
      </c>
      <c r="FU87" s="2108">
        <v>1021.15</v>
      </c>
      <c r="FV87" s="2108">
        <v>1046.79</v>
      </c>
      <c r="FW87" s="2113">
        <v>1060.4660801505722</v>
      </c>
      <c r="FX87" s="2113">
        <v>1098.7255501795794</v>
      </c>
      <c r="FY87" s="2113">
        <v>100</v>
      </c>
      <c r="FZ87" s="2113">
        <v>100.93439817428589</v>
      </c>
      <c r="GA87" s="2113">
        <v>102.79926306059792</v>
      </c>
      <c r="GB87" s="2113">
        <v>104.81927903048468</v>
      </c>
      <c r="GC87" s="2113">
        <v>105.75512439398101</v>
      </c>
      <c r="GD87" s="2113">
        <v>106.65131772281399</v>
      </c>
      <c r="GE87" s="2113">
        <v>106.65131772281399</v>
      </c>
      <c r="GF87" s="2114">
        <v>108.96372143970517</v>
      </c>
      <c r="GG87" s="1960">
        <v>108.96372143970517</v>
      </c>
      <c r="GH87" s="2114">
        <v>111.34838357158532</v>
      </c>
      <c r="GI87" s="2114">
        <v>113.02135540097922</v>
      </c>
      <c r="GJ87" s="2113">
        <v>113.76172096587857</v>
      </c>
      <c r="GK87" s="2113">
        <v>114.12747337848978</v>
      </c>
      <c r="GL87" s="2113">
        <v>117.72580635536865</v>
      </c>
      <c r="GM87" s="2114">
        <v>117.72580635536865</v>
      </c>
      <c r="GN87" s="2114">
        <v>118.62051657815815</v>
      </c>
      <c r="GO87" s="2115">
        <v>119.95358558541848</v>
      </c>
      <c r="GP87" s="2116">
        <v>120.03692354766345</v>
      </c>
      <c r="GQ87" s="2116">
        <v>121.87991770930759</v>
      </c>
      <c r="GR87" s="2116">
        <v>121.87991770930759</v>
      </c>
      <c r="GS87" s="2116">
        <v>123.61761223002344</v>
      </c>
      <c r="GT87" s="1960">
        <v>129.23487982677958</v>
      </c>
      <c r="GU87" s="1960">
        <v>133.41791646057712</v>
      </c>
      <c r="GV87" s="1960">
        <v>140.3217614040359</v>
      </c>
      <c r="GW87" s="1960">
        <v>144.34506412713083</v>
      </c>
      <c r="GX87" s="1960">
        <v>146.95026239767961</v>
      </c>
      <c r="GY87" s="1960">
        <v>152.41630032973708</v>
      </c>
      <c r="GZ87" s="1960">
        <v>153.44274644028698</v>
      </c>
      <c r="HA87" s="1960">
        <v>165.5717834588369</v>
      </c>
      <c r="HB87" s="1960">
        <v>170.733881435868</v>
      </c>
      <c r="HC87" s="1960">
        <v>176.92282099927797</v>
      </c>
      <c r="HD87" s="1960">
        <v>179.05380982035965</v>
      </c>
      <c r="HE87" s="1960">
        <v>198.64188547718061</v>
      </c>
      <c r="HF87" s="1960">
        <v>214.35571151507918</v>
      </c>
      <c r="HG87" s="1960">
        <v>241.88562979888385</v>
      </c>
      <c r="HH87" s="2117">
        <v>245.01674565146547</v>
      </c>
      <c r="HI87" s="1960">
        <v>253.35478424991663</v>
      </c>
      <c r="HJ87" s="1960">
        <v>256.63436386757263</v>
      </c>
      <c r="HK87" s="1960">
        <v>268.91970181309358</v>
      </c>
      <c r="HL87" s="1960">
        <v>268.90403778986695</v>
      </c>
      <c r="HM87" s="1960">
        <v>286.47120753629986</v>
      </c>
      <c r="HN87" s="1960">
        <v>286.48379967729045</v>
      </c>
      <c r="HO87" s="1960">
        <v>309.24093174889236</v>
      </c>
      <c r="HP87" s="1960">
        <v>319.50062839606403</v>
      </c>
      <c r="HQ87" s="1960">
        <v>365.60797085321838</v>
      </c>
      <c r="HR87" s="1960">
        <v>367.61665015623407</v>
      </c>
      <c r="HS87" s="1960">
        <v>396.09639879571</v>
      </c>
      <c r="HT87" s="1962">
        <v>399.89870287714388</v>
      </c>
      <c r="HU87" s="1961">
        <v>407.75283555111042</v>
      </c>
      <c r="HV87" s="1960">
        <v>410.80811686934595</v>
      </c>
      <c r="HW87" s="1960">
        <v>421.07228204685748</v>
      </c>
      <c r="HX87" s="1960">
        <v>421.07228204685748</v>
      </c>
      <c r="HY87" s="1960">
        <v>436.9073953510254</v>
      </c>
      <c r="HZ87" s="1960">
        <v>428.45003191023892</v>
      </c>
      <c r="IA87" s="1960">
        <v>437.80215219831723</v>
      </c>
      <c r="IB87" s="1960">
        <v>476.47147077906851</v>
      </c>
      <c r="IC87" s="1960">
        <v>476.43664785400495</v>
      </c>
      <c r="ID87" s="1960">
        <v>498.04668920063523</v>
      </c>
      <c r="IE87" s="1960">
        <v>498.04668920063523</v>
      </c>
      <c r="IF87" s="1960">
        <v>498.04668920063523</v>
      </c>
      <c r="IG87" s="1961">
        <v>561.15402728875949</v>
      </c>
      <c r="IH87" s="1960">
        <v>580.12842699718067</v>
      </c>
      <c r="II87" s="1960">
        <v>599.69310451749311</v>
      </c>
      <c r="IJ87" s="1961">
        <v>650.54470663620725</v>
      </c>
      <c r="IK87" s="1960">
        <v>692.33800728260394</v>
      </c>
      <c r="IL87" s="1960">
        <v>748.12963322324742</v>
      </c>
      <c r="IM87" s="1960">
        <v>787.84540837843804</v>
      </c>
      <c r="IN87" s="1960">
        <v>794.21321676839489</v>
      </c>
      <c r="IO87" s="1960">
        <v>801.17727535962854</v>
      </c>
      <c r="IP87" s="1960">
        <v>822.28755238719259</v>
      </c>
      <c r="IQ87" s="1960">
        <v>900.53109100326719</v>
      </c>
      <c r="IR87" s="1960">
        <v>919.50792492285677</v>
      </c>
      <c r="IS87" s="2274">
        <v>928.81604838820363</v>
      </c>
      <c r="IT87" s="1960">
        <v>1002.5352358478485</v>
      </c>
      <c r="IU87" s="1960">
        <v>1089.7285570897825</v>
      </c>
      <c r="IV87" s="1960">
        <v>1156.5896418267039</v>
      </c>
      <c r="IW87" s="1960">
        <v>1216.0482127870325</v>
      </c>
      <c r="IX87" s="1960">
        <v>1295.8703013925383</v>
      </c>
      <c r="IY87" s="1960">
        <v>1427.9150880693587</v>
      </c>
      <c r="IZ87" s="1960">
        <v>1537.3589231324672</v>
      </c>
      <c r="JA87" s="1960">
        <v>1624.4541908865242</v>
      </c>
      <c r="JB87" s="1960">
        <v>1737.0091482618438</v>
      </c>
      <c r="JC87" s="1960">
        <v>1791.288288285617</v>
      </c>
      <c r="JD87" s="1960">
        <v>1802.9022384586726</v>
      </c>
      <c r="JE87" s="2274">
        <v>2004.5303143395815</v>
      </c>
      <c r="JF87" s="2117">
        <v>2187.9536229756491</v>
      </c>
      <c r="JG87" s="2103">
        <f t="shared" si="13"/>
        <v>1.0915043825099242</v>
      </c>
      <c r="JI87" s="2155"/>
      <c r="JJ87" s="2104"/>
    </row>
    <row r="88" spans="2:270">
      <c r="B88" s="2105">
        <v>64</v>
      </c>
      <c r="C88" s="2106"/>
      <c r="D88" s="2425" t="s">
        <v>1201</v>
      </c>
      <c r="E88" s="2128" t="s">
        <v>158</v>
      </c>
      <c r="F88" s="2106" t="s">
        <v>918</v>
      </c>
      <c r="G88" s="2425" t="s">
        <v>1112</v>
      </c>
      <c r="H88" s="2138" t="s">
        <v>64</v>
      </c>
      <c r="I88" s="2106" t="s">
        <v>920</v>
      </c>
      <c r="J88" s="2359" t="s">
        <v>921</v>
      </c>
      <c r="K88" s="2425"/>
      <c r="L88" s="2110">
        <v>95.4</v>
      </c>
      <c r="M88" s="2110">
        <v>104.5</v>
      </c>
      <c r="N88" s="2110">
        <v>116.3</v>
      </c>
      <c r="O88" s="2110">
        <v>121.6</v>
      </c>
      <c r="P88" s="2110">
        <v>133</v>
      </c>
      <c r="Q88" s="2110">
        <v>137.19999999999999</v>
      </c>
      <c r="R88" s="2110">
        <v>140.5</v>
      </c>
      <c r="S88" s="2110">
        <v>141.80000000000001</v>
      </c>
      <c r="T88" s="2110">
        <v>151.30000000000001</v>
      </c>
      <c r="U88" s="2110">
        <v>154.19999999999999</v>
      </c>
      <c r="V88" s="2110">
        <v>160.5</v>
      </c>
      <c r="W88" s="2110">
        <v>160.5</v>
      </c>
      <c r="X88" s="2110">
        <v>160.5</v>
      </c>
      <c r="Y88" s="2110">
        <v>160.5</v>
      </c>
      <c r="Z88" s="2110">
        <v>160.5</v>
      </c>
      <c r="AA88" s="2110">
        <v>163.1</v>
      </c>
      <c r="AB88" s="2110">
        <v>163.5</v>
      </c>
      <c r="AC88" s="2110">
        <v>163.5</v>
      </c>
      <c r="AD88" s="2110">
        <v>162.1</v>
      </c>
      <c r="AE88" s="2110">
        <v>162.1</v>
      </c>
      <c r="AF88" s="2110">
        <v>163.5</v>
      </c>
      <c r="AG88" s="2110">
        <v>163.30000000000001</v>
      </c>
      <c r="AH88" s="2110">
        <v>163.69999999999999</v>
      </c>
      <c r="AI88" s="2110">
        <v>165.6</v>
      </c>
      <c r="AJ88" s="2110">
        <v>168.2</v>
      </c>
      <c r="AK88" s="2110">
        <v>170.1</v>
      </c>
      <c r="AL88" s="2110">
        <v>174.1</v>
      </c>
      <c r="AM88" s="2110">
        <v>178.3</v>
      </c>
      <c r="AN88" s="2110">
        <v>179.3</v>
      </c>
      <c r="AO88" s="2110">
        <v>182.2</v>
      </c>
      <c r="AP88" s="2110">
        <v>185.4</v>
      </c>
      <c r="AQ88" s="2110">
        <v>185.4</v>
      </c>
      <c r="AR88" s="2110">
        <v>191.2</v>
      </c>
      <c r="AS88" s="2110">
        <v>184.2</v>
      </c>
      <c r="AT88" s="2110">
        <v>185.5</v>
      </c>
      <c r="AU88" s="2110">
        <v>186.6</v>
      </c>
      <c r="AV88" s="2110">
        <v>187</v>
      </c>
      <c r="AW88" s="2111">
        <v>192.3</v>
      </c>
      <c r="AX88" s="2111">
        <v>192.3</v>
      </c>
      <c r="AY88" s="2111">
        <v>193.4</v>
      </c>
      <c r="AZ88" s="2111">
        <v>194</v>
      </c>
      <c r="BA88" s="2111">
        <v>194</v>
      </c>
      <c r="BB88" s="2111">
        <v>194</v>
      </c>
      <c r="BC88" s="2111">
        <v>195.1</v>
      </c>
      <c r="BD88" s="2112">
        <v>195.1</v>
      </c>
      <c r="BE88" s="2111">
        <v>196.2</v>
      </c>
      <c r="BF88" s="2112">
        <v>198.1</v>
      </c>
      <c r="BG88" s="2112">
        <v>200.8</v>
      </c>
      <c r="BH88" s="2112">
        <v>202.1</v>
      </c>
      <c r="BI88" s="2108">
        <v>202.1</v>
      </c>
      <c r="BJ88" s="2108">
        <v>204.8</v>
      </c>
      <c r="BK88" s="2108">
        <v>209.3</v>
      </c>
      <c r="BL88" s="2108">
        <v>209.3</v>
      </c>
      <c r="BM88" s="2108">
        <v>212.8</v>
      </c>
      <c r="BN88" s="2108">
        <v>212.8</v>
      </c>
      <c r="BO88" s="2108">
        <v>216.2</v>
      </c>
      <c r="BP88" s="2108">
        <v>223.4</v>
      </c>
      <c r="BQ88" s="2108">
        <v>229.8</v>
      </c>
      <c r="BR88" s="2108">
        <v>233.8</v>
      </c>
      <c r="BS88" s="2108">
        <v>233.8</v>
      </c>
      <c r="BT88" s="2108">
        <v>234</v>
      </c>
      <c r="BU88" s="2108">
        <v>240.9</v>
      </c>
      <c r="BV88" s="2108">
        <v>245.1</v>
      </c>
      <c r="BW88" s="2108">
        <v>244.8</v>
      </c>
      <c r="BX88" s="2108">
        <v>250.6</v>
      </c>
      <c r="BY88" s="2108">
        <v>250.6</v>
      </c>
      <c r="BZ88" s="2108">
        <v>248</v>
      </c>
      <c r="CA88" s="2108">
        <v>254.4</v>
      </c>
      <c r="CB88" s="2108">
        <v>259.60000000000002</v>
      </c>
      <c r="CC88" s="2108">
        <v>265.7</v>
      </c>
      <c r="CD88" s="2108">
        <v>269.5</v>
      </c>
      <c r="CE88" s="2108">
        <v>274.5</v>
      </c>
      <c r="CF88" s="2108">
        <v>279.2</v>
      </c>
      <c r="CG88" s="2108">
        <v>284.3</v>
      </c>
      <c r="CH88" s="2108">
        <v>291.7</v>
      </c>
      <c r="CI88" s="2108">
        <v>298.39999999999998</v>
      </c>
      <c r="CJ88" s="2108">
        <v>307.8</v>
      </c>
      <c r="CK88" s="2108">
        <v>317.7</v>
      </c>
      <c r="CL88" s="2108">
        <v>320.8</v>
      </c>
      <c r="CM88" s="2108">
        <v>325.5</v>
      </c>
      <c r="CN88" s="2108">
        <v>331.4</v>
      </c>
      <c r="CO88" s="2108">
        <v>336.2</v>
      </c>
      <c r="CP88" s="2108">
        <v>342.4</v>
      </c>
      <c r="CQ88" s="2108">
        <v>349.2</v>
      </c>
      <c r="CR88" s="2108">
        <v>349.2</v>
      </c>
      <c r="CS88" s="2108">
        <v>349.2</v>
      </c>
      <c r="CT88" s="2108">
        <v>349.2</v>
      </c>
      <c r="CU88" s="2108">
        <v>349.2</v>
      </c>
      <c r="CV88" s="2108">
        <v>347.6</v>
      </c>
      <c r="CW88" s="2108">
        <v>347.2</v>
      </c>
      <c r="CX88" s="2108">
        <v>344.8</v>
      </c>
      <c r="CY88" s="2108">
        <v>344.8</v>
      </c>
      <c r="CZ88" s="2108">
        <v>347.9</v>
      </c>
      <c r="DA88" s="2108">
        <v>350.8</v>
      </c>
      <c r="DB88" s="2108">
        <v>350.8</v>
      </c>
      <c r="DC88" s="2108">
        <v>350.8</v>
      </c>
      <c r="DD88" s="2108">
        <v>353.1</v>
      </c>
      <c r="DE88" s="2108">
        <v>358.5</v>
      </c>
      <c r="DF88" s="2108">
        <v>374.2</v>
      </c>
      <c r="DG88" s="2108">
        <v>389.8</v>
      </c>
      <c r="DH88" s="2108">
        <v>391</v>
      </c>
      <c r="DI88" s="2108">
        <v>393.5</v>
      </c>
      <c r="DJ88" s="2108">
        <v>403.5</v>
      </c>
      <c r="DK88" s="2108">
        <v>418.6</v>
      </c>
      <c r="DL88" s="2108">
        <v>424.3</v>
      </c>
      <c r="DM88" s="2108">
        <v>422.9</v>
      </c>
      <c r="DN88" s="2108">
        <v>423.8</v>
      </c>
      <c r="DO88" s="2108">
        <v>427.4</v>
      </c>
      <c r="DP88" s="2108">
        <v>434.9</v>
      </c>
      <c r="DQ88" s="2108">
        <v>438.5</v>
      </c>
      <c r="DR88" s="2108">
        <v>438.5</v>
      </c>
      <c r="DS88" s="2108">
        <v>439.9</v>
      </c>
      <c r="DT88" s="2108">
        <v>445.7</v>
      </c>
      <c r="DU88" s="2108">
        <v>450.3</v>
      </c>
      <c r="DV88" s="2108">
        <v>455.7</v>
      </c>
      <c r="DW88" s="2108">
        <v>462</v>
      </c>
      <c r="DX88" s="2108">
        <v>461.8</v>
      </c>
      <c r="DY88" s="2108">
        <v>467.7</v>
      </c>
      <c r="DZ88" s="2108">
        <v>478.9</v>
      </c>
      <c r="EA88" s="2108">
        <v>487.1</v>
      </c>
      <c r="EB88" s="2108">
        <v>488.8</v>
      </c>
      <c r="EC88" s="2108">
        <v>493.9</v>
      </c>
      <c r="ED88" s="2108">
        <v>499.2</v>
      </c>
      <c r="EE88" s="2108">
        <v>504.2</v>
      </c>
      <c r="EF88" s="2108">
        <v>513.20000000000005</v>
      </c>
      <c r="EG88" s="2108">
        <v>516.5</v>
      </c>
      <c r="EH88" s="2108">
        <v>528.29999999999995</v>
      </c>
      <c r="EI88" s="2108">
        <v>527.20000000000005</v>
      </c>
      <c r="EJ88" s="2108">
        <v>533.29999999999995</v>
      </c>
      <c r="EK88" s="2108">
        <v>536.20000000000005</v>
      </c>
      <c r="EL88" s="2108">
        <v>552.5</v>
      </c>
      <c r="EM88" s="2108">
        <v>554.70000000000005</v>
      </c>
      <c r="EN88" s="2108">
        <v>557.9</v>
      </c>
      <c r="EO88" s="2108">
        <v>567.20000000000005</v>
      </c>
      <c r="EP88" s="2108">
        <v>579.9</v>
      </c>
      <c r="EQ88" s="2108">
        <v>586</v>
      </c>
      <c r="ER88" s="2108">
        <v>588.20000000000005</v>
      </c>
      <c r="ES88" s="2108">
        <v>598.79999999999995</v>
      </c>
      <c r="ET88" s="2108">
        <v>611</v>
      </c>
      <c r="EU88" s="2108">
        <v>622.79999999999995</v>
      </c>
      <c r="EV88" s="2108">
        <v>639.79999999999995</v>
      </c>
      <c r="EW88" s="2108">
        <v>643.6</v>
      </c>
      <c r="EX88" s="2108">
        <v>632.79999999999995</v>
      </c>
      <c r="EY88" s="2108">
        <v>648.1</v>
      </c>
      <c r="EZ88" s="2108">
        <v>666.3</v>
      </c>
      <c r="FA88" s="2108">
        <v>698</v>
      </c>
      <c r="FB88" s="2108">
        <v>741.2</v>
      </c>
      <c r="FC88" s="2108">
        <v>782.7</v>
      </c>
      <c r="FD88" s="2108">
        <v>799.1</v>
      </c>
      <c r="FE88" s="2108">
        <v>838.8</v>
      </c>
      <c r="FF88" s="2108">
        <v>853.1</v>
      </c>
      <c r="FG88" s="2108">
        <v>883.7</v>
      </c>
      <c r="FH88" s="2108">
        <v>894.1</v>
      </c>
      <c r="FI88" s="2108">
        <v>898.4</v>
      </c>
      <c r="FJ88" s="2108">
        <v>928</v>
      </c>
      <c r="FK88" s="2108">
        <v>917.7</v>
      </c>
      <c r="FL88" s="2108">
        <v>928.9</v>
      </c>
      <c r="FM88" s="2108">
        <v>940.8</v>
      </c>
      <c r="FN88" s="2108">
        <v>943.4</v>
      </c>
      <c r="FO88" s="2108">
        <v>982.8</v>
      </c>
      <c r="FP88" s="2108">
        <v>980.3</v>
      </c>
      <c r="FQ88" s="2108">
        <v>1017</v>
      </c>
      <c r="FR88" s="2108">
        <v>1048</v>
      </c>
      <c r="FS88" s="2108">
        <v>1071.2</v>
      </c>
      <c r="FT88" s="2108">
        <v>1087.0999999999999</v>
      </c>
      <c r="FU88" s="2108">
        <v>1133.5999999999999</v>
      </c>
      <c r="FV88" s="2108">
        <v>1167.5</v>
      </c>
      <c r="FW88" s="2113">
        <v>1175.3333414340275</v>
      </c>
      <c r="FX88" s="2113">
        <v>1187.4369402710597</v>
      </c>
      <c r="FY88" s="2113">
        <v>100</v>
      </c>
      <c r="FZ88" s="2113">
        <v>100.60058832168579</v>
      </c>
      <c r="GA88" s="2113">
        <v>102.41707204722275</v>
      </c>
      <c r="GB88" s="2113">
        <v>102.34367114004625</v>
      </c>
      <c r="GC88" s="2113">
        <v>102.67960685009984</v>
      </c>
      <c r="GD88" s="2113">
        <v>105.33685500992343</v>
      </c>
      <c r="GE88" s="2113">
        <v>118.95851749473493</v>
      </c>
      <c r="GF88" s="2114">
        <v>118.95851749473493</v>
      </c>
      <c r="GG88" s="1960">
        <v>119.08335248875375</v>
      </c>
      <c r="GH88" s="2114">
        <v>117.50443417510634</v>
      </c>
      <c r="GI88" s="2114">
        <v>117.50443417510634</v>
      </c>
      <c r="GJ88" s="2113">
        <v>118.53756619684165</v>
      </c>
      <c r="GK88" s="2113">
        <v>121.57992292660897</v>
      </c>
      <c r="GL88" s="2113">
        <v>122.06427974055049</v>
      </c>
      <c r="GM88" s="2114">
        <v>124.10508498900317</v>
      </c>
      <c r="GN88" s="2114">
        <v>124.10508498900317</v>
      </c>
      <c r="GO88" s="2115">
        <v>124.10508498900317</v>
      </c>
      <c r="GP88" s="2116">
        <v>122.75686411671448</v>
      </c>
      <c r="GQ88" s="2116">
        <v>127.40060935394825</v>
      </c>
      <c r="GR88" s="2116">
        <v>129.31271015997845</v>
      </c>
      <c r="GS88" s="2116">
        <v>128.74832606378786</v>
      </c>
      <c r="GT88" s="1960">
        <v>130.205526241672</v>
      </c>
      <c r="GU88" s="1960">
        <v>133.5898174279605</v>
      </c>
      <c r="GV88" s="1960">
        <v>135.78541747612022</v>
      </c>
      <c r="GW88" s="1960">
        <v>138.51719681070796</v>
      </c>
      <c r="GX88" s="1960">
        <v>142.63127879763488</v>
      </c>
      <c r="GY88" s="1960">
        <v>141.22063560989665</v>
      </c>
      <c r="GZ88" s="1960">
        <v>142.51349863948786</v>
      </c>
      <c r="HA88" s="1960">
        <v>148.13923087694354</v>
      </c>
      <c r="HB88" s="1960">
        <v>157.07455071572875</v>
      </c>
      <c r="HC88" s="1960">
        <v>163.18840485020422</v>
      </c>
      <c r="HD88" s="1960">
        <v>176.64211106388635</v>
      </c>
      <c r="HE88" s="1960">
        <v>222.84317584193585</v>
      </c>
      <c r="HF88" s="1960">
        <v>228.45349066433565</v>
      </c>
      <c r="HG88" s="1960">
        <v>223.72972953427174</v>
      </c>
      <c r="HH88" s="2117">
        <v>223.72972953427174</v>
      </c>
      <c r="HI88" s="1960">
        <v>225.33352687860346</v>
      </c>
      <c r="HJ88" s="1960">
        <v>225.33365700614004</v>
      </c>
      <c r="HK88" s="1960">
        <v>227.58866969146746</v>
      </c>
      <c r="HL88" s="1960">
        <v>232.55990348909265</v>
      </c>
      <c r="HM88" s="1960">
        <v>237.60285721518812</v>
      </c>
      <c r="HN88" s="1960">
        <v>241.96509104150536</v>
      </c>
      <c r="HO88" s="1960">
        <v>241.96509104150536</v>
      </c>
      <c r="HP88" s="1960">
        <v>277.23933528305054</v>
      </c>
      <c r="HQ88" s="1960">
        <v>290.48837621941374</v>
      </c>
      <c r="HR88" s="1960">
        <v>298.63061490846468</v>
      </c>
      <c r="HS88" s="1960">
        <v>335.87596371828528</v>
      </c>
      <c r="HT88" s="1962">
        <v>335.901378061787</v>
      </c>
      <c r="HU88" s="1961">
        <v>346.80505362273311</v>
      </c>
      <c r="HV88" s="1960">
        <v>360.50240062953463</v>
      </c>
      <c r="HW88" s="1960">
        <v>360.50240062953463</v>
      </c>
      <c r="HX88" s="1960">
        <v>360.50240062953463</v>
      </c>
      <c r="HY88" s="1960">
        <v>360.50240062953463</v>
      </c>
      <c r="HZ88" s="1960">
        <v>360.50240062953463</v>
      </c>
      <c r="IA88" s="1960">
        <v>360.50240062953463</v>
      </c>
      <c r="IB88" s="1960">
        <v>394.72155145925097</v>
      </c>
      <c r="IC88" s="1960">
        <v>414.42219663210119</v>
      </c>
      <c r="ID88" s="1960">
        <v>466.02834589296288</v>
      </c>
      <c r="IE88" s="1960">
        <v>485.31405477096411</v>
      </c>
      <c r="IF88" s="1960">
        <v>492.59377787021413</v>
      </c>
      <c r="IG88" s="1961">
        <v>525.84583001744545</v>
      </c>
      <c r="IH88" s="1960">
        <v>597.82947266044721</v>
      </c>
      <c r="II88" s="1960">
        <v>603.86434430875454</v>
      </c>
      <c r="IJ88" s="1961">
        <v>601.855412712825</v>
      </c>
      <c r="IK88" s="1960">
        <v>599.26693951758659</v>
      </c>
      <c r="IL88" s="1960">
        <v>616.10102070205664</v>
      </c>
      <c r="IM88" s="1960">
        <v>614.97102936843362</v>
      </c>
      <c r="IN88" s="1960">
        <v>651.79303236330998</v>
      </c>
      <c r="IO88" s="1960">
        <v>672.21435986028484</v>
      </c>
      <c r="IP88" s="1960">
        <v>694.2101918775445</v>
      </c>
      <c r="IQ88" s="1960">
        <v>700.24496107553603</v>
      </c>
      <c r="IR88" s="1960">
        <v>739.03849572210618</v>
      </c>
      <c r="IS88" s="2274">
        <v>746.51329759601253</v>
      </c>
      <c r="IT88" s="1960">
        <v>780.31000622869226</v>
      </c>
      <c r="IU88" s="1960">
        <v>810.63376725415026</v>
      </c>
      <c r="IV88" s="1960">
        <v>846.44271109711394</v>
      </c>
      <c r="IW88" s="1960">
        <v>900.65645716250356</v>
      </c>
      <c r="IX88" s="1960">
        <v>933.36649832831381</v>
      </c>
      <c r="IY88" s="1960">
        <v>1036.7532021357706</v>
      </c>
      <c r="IZ88" s="1960">
        <v>1153.661579650319</v>
      </c>
      <c r="JA88" s="1960">
        <v>1172.887803872587</v>
      </c>
      <c r="JB88" s="1960">
        <v>1265.8250812910994</v>
      </c>
      <c r="JC88" s="1960">
        <v>1297.9710457412684</v>
      </c>
      <c r="JD88" s="1960">
        <v>1438.5164280218244</v>
      </c>
      <c r="JE88" s="2274">
        <v>1493.9073955267927</v>
      </c>
      <c r="JF88" s="2117">
        <v>1579.4802256842288</v>
      </c>
      <c r="JG88" s="2103">
        <f t="shared" si="13"/>
        <v>1.0572812146279393</v>
      </c>
      <c r="JI88" s="2155"/>
      <c r="JJ88" s="2104"/>
    </row>
    <row r="89" spans="2:270" ht="39" customHeight="1">
      <c r="B89" s="2105">
        <v>65</v>
      </c>
      <c r="C89" s="2106"/>
      <c r="D89" s="2425" t="s">
        <v>1054</v>
      </c>
      <c r="E89" s="2128" t="s">
        <v>160</v>
      </c>
      <c r="F89" s="2106" t="s">
        <v>918</v>
      </c>
      <c r="G89" s="2425" t="s">
        <v>1098</v>
      </c>
      <c r="H89" s="2425" t="s">
        <v>1038</v>
      </c>
      <c r="I89" s="2106" t="s">
        <v>920</v>
      </c>
      <c r="J89" s="2359" t="s">
        <v>1053</v>
      </c>
      <c r="K89" s="2425" t="s">
        <v>1039</v>
      </c>
      <c r="L89" s="2409">
        <v>144.27000000000001</v>
      </c>
      <c r="M89" s="2409">
        <v>144.27000000000001</v>
      </c>
      <c r="N89" s="2409">
        <v>135</v>
      </c>
      <c r="O89" s="2409">
        <v>138.71</v>
      </c>
      <c r="P89" s="2409">
        <v>250.45</v>
      </c>
      <c r="Q89" s="2409">
        <v>323.64999999999998</v>
      </c>
      <c r="R89" s="2409">
        <v>373.5</v>
      </c>
      <c r="S89" s="2409">
        <v>479.77</v>
      </c>
      <c r="T89" s="2409">
        <v>518.75</v>
      </c>
      <c r="U89" s="2409">
        <v>528.48</v>
      </c>
      <c r="V89" s="2409">
        <v>544.33000000000004</v>
      </c>
      <c r="W89" s="2409">
        <v>539.70000000000005</v>
      </c>
      <c r="X89" s="2409">
        <v>495.82</v>
      </c>
      <c r="Y89" s="2409">
        <v>487.32</v>
      </c>
      <c r="Z89" s="2409">
        <v>549.21</v>
      </c>
      <c r="AA89" s="2409">
        <v>593.36</v>
      </c>
      <c r="AB89" s="2409">
        <v>541.62</v>
      </c>
      <c r="AC89" s="2409">
        <v>565.61</v>
      </c>
      <c r="AD89" s="2409">
        <v>470.33</v>
      </c>
      <c r="AE89" s="2409">
        <v>484.41</v>
      </c>
      <c r="AF89" s="2409">
        <v>478.48</v>
      </c>
      <c r="AG89" s="2409">
        <v>470.51</v>
      </c>
      <c r="AH89" s="2409">
        <v>510.81</v>
      </c>
      <c r="AI89" s="2409">
        <v>495.43</v>
      </c>
      <c r="AJ89" s="2409">
        <v>499.12</v>
      </c>
      <c r="AK89" s="2409">
        <v>516.15</v>
      </c>
      <c r="AL89" s="2409">
        <v>558.69000000000005</v>
      </c>
      <c r="AM89" s="2409">
        <v>532.24</v>
      </c>
      <c r="AN89" s="2409">
        <v>532.74</v>
      </c>
      <c r="AO89" s="2409">
        <v>578.74</v>
      </c>
      <c r="AP89" s="2409">
        <v>590.67999999999995</v>
      </c>
      <c r="AQ89" s="2409">
        <v>607.45000000000005</v>
      </c>
      <c r="AR89" s="2409">
        <v>603.08000000000004</v>
      </c>
      <c r="AS89" s="2409">
        <v>579.45000000000005</v>
      </c>
      <c r="AT89" s="2409">
        <v>537.44000000000005</v>
      </c>
      <c r="AU89" s="2409">
        <v>545.94000000000005</v>
      </c>
      <c r="AV89" s="2409">
        <v>537.84</v>
      </c>
      <c r="AW89" s="2410">
        <v>543.97</v>
      </c>
      <c r="AX89" s="2410">
        <v>550.14</v>
      </c>
      <c r="AY89" s="2410">
        <v>564.12</v>
      </c>
      <c r="AZ89" s="2410">
        <v>580.55999999999995</v>
      </c>
      <c r="BA89" s="2410">
        <v>631.61</v>
      </c>
      <c r="BB89" s="2410">
        <v>626.85</v>
      </c>
      <c r="BC89" s="2410">
        <v>650.79999999999995</v>
      </c>
      <c r="BD89" s="2411">
        <v>682.31</v>
      </c>
      <c r="BE89" s="2410">
        <v>688.77</v>
      </c>
      <c r="BF89" s="2411">
        <v>761.62</v>
      </c>
      <c r="BG89" s="2411">
        <v>781.43</v>
      </c>
      <c r="BH89" s="2411">
        <v>740.99</v>
      </c>
      <c r="BI89" s="2412">
        <v>752.41</v>
      </c>
      <c r="BJ89" s="2412">
        <v>741.36</v>
      </c>
      <c r="BK89" s="2412">
        <v>779.69</v>
      </c>
      <c r="BL89" s="2412">
        <v>775.34</v>
      </c>
      <c r="BM89" s="2412">
        <v>796.27</v>
      </c>
      <c r="BN89" s="2412">
        <v>781.32</v>
      </c>
      <c r="BO89" s="2412">
        <v>814.42</v>
      </c>
      <c r="BP89" s="2412">
        <v>823.29</v>
      </c>
      <c r="BQ89" s="2412">
        <v>857.76</v>
      </c>
      <c r="BR89" s="2412">
        <v>844.59</v>
      </c>
      <c r="BS89" s="2412">
        <v>810.27</v>
      </c>
      <c r="BT89" s="2412">
        <v>799.03</v>
      </c>
      <c r="BU89" s="2412">
        <v>776.75</v>
      </c>
      <c r="BV89" s="2412">
        <v>762.36</v>
      </c>
      <c r="BW89" s="2412">
        <v>730.05</v>
      </c>
      <c r="BX89" s="2412">
        <v>765.72</v>
      </c>
      <c r="BY89" s="2412">
        <v>794.14</v>
      </c>
      <c r="BZ89" s="2412">
        <v>879.12</v>
      </c>
      <c r="CA89" s="2412">
        <v>1111.18</v>
      </c>
      <c r="CB89" s="2412">
        <v>1111.18</v>
      </c>
      <c r="CC89" s="2412">
        <v>1001.03</v>
      </c>
      <c r="CD89" s="2412">
        <v>935.32</v>
      </c>
      <c r="CE89" s="2412">
        <v>950.08</v>
      </c>
      <c r="CF89" s="2412">
        <v>967.21</v>
      </c>
      <c r="CG89" s="2412">
        <v>965.31</v>
      </c>
      <c r="CH89" s="2412">
        <v>966.42</v>
      </c>
      <c r="CI89" s="2412">
        <v>945.95</v>
      </c>
      <c r="CJ89" s="2412">
        <v>987.27</v>
      </c>
      <c r="CK89" s="2412">
        <v>1001.52</v>
      </c>
      <c r="CL89" s="2412">
        <v>969.11</v>
      </c>
      <c r="CM89" s="2412">
        <v>954.03</v>
      </c>
      <c r="CN89" s="2412">
        <v>928.17</v>
      </c>
      <c r="CO89" s="2412">
        <v>924.51</v>
      </c>
      <c r="CP89" s="2412">
        <v>931.5</v>
      </c>
      <c r="CQ89" s="2412">
        <v>943.22</v>
      </c>
      <c r="CR89" s="2412">
        <v>931.55</v>
      </c>
      <c r="CS89" s="2412">
        <v>926.71</v>
      </c>
      <c r="CT89" s="2412">
        <v>932.07</v>
      </c>
      <c r="CU89" s="2412">
        <v>844.97</v>
      </c>
      <c r="CV89" s="2412">
        <v>868.32</v>
      </c>
      <c r="CW89" s="2412">
        <v>960.52</v>
      </c>
      <c r="CX89" s="2412">
        <v>1054.1400000000001</v>
      </c>
      <c r="CY89" s="2412">
        <v>1078.0999999999999</v>
      </c>
      <c r="CZ89" s="2412">
        <v>1083.6199999999999</v>
      </c>
      <c r="DA89" s="2412">
        <v>1085.25</v>
      </c>
      <c r="DB89" s="2412">
        <v>1116.3599999999999</v>
      </c>
      <c r="DC89" s="2412">
        <v>1126.6199999999999</v>
      </c>
      <c r="DD89" s="2412">
        <v>1183.76</v>
      </c>
      <c r="DE89" s="2412">
        <v>1145.0999999999999</v>
      </c>
      <c r="DF89" s="2412">
        <v>1133.5899999999999</v>
      </c>
      <c r="DG89" s="2412">
        <v>1090.07</v>
      </c>
      <c r="DH89" s="2412">
        <v>1236.8699999999999</v>
      </c>
      <c r="DI89" s="2412">
        <v>1383.37</v>
      </c>
      <c r="DJ89" s="2412">
        <v>1426.71</v>
      </c>
      <c r="DK89" s="2412">
        <v>1600.79</v>
      </c>
      <c r="DL89" s="2412">
        <v>1608.47</v>
      </c>
      <c r="DM89" s="2412">
        <v>1587.37</v>
      </c>
      <c r="DN89" s="2412">
        <v>1541.19</v>
      </c>
      <c r="DO89" s="2412">
        <v>1484.34</v>
      </c>
      <c r="DP89" s="2412">
        <v>1511.83</v>
      </c>
      <c r="DQ89" s="2412">
        <v>1629.29</v>
      </c>
      <c r="DR89" s="2412">
        <v>1659.34</v>
      </c>
      <c r="DS89" s="2412">
        <v>1650.68</v>
      </c>
      <c r="DT89" s="2412">
        <v>1692.52</v>
      </c>
      <c r="DU89" s="2412">
        <v>1764.92</v>
      </c>
      <c r="DV89" s="2412">
        <v>1797.27</v>
      </c>
      <c r="DW89" s="2412">
        <v>1872.18</v>
      </c>
      <c r="DX89" s="2412">
        <v>1925.6</v>
      </c>
      <c r="DY89" s="2412">
        <v>1888.43</v>
      </c>
      <c r="DZ89" s="2412">
        <v>1891.12</v>
      </c>
      <c r="EA89" s="2412">
        <v>1851.88</v>
      </c>
      <c r="EB89" s="2412">
        <v>1865.28</v>
      </c>
      <c r="EC89" s="2412">
        <v>1885.18</v>
      </c>
      <c r="ED89" s="2412">
        <v>1891.98</v>
      </c>
      <c r="EE89" s="2412">
        <v>1862.15</v>
      </c>
      <c r="EF89" s="2412">
        <v>1885.79</v>
      </c>
      <c r="EG89" s="2412">
        <v>1947.39</v>
      </c>
      <c r="EH89" s="2412">
        <v>1933.24</v>
      </c>
      <c r="EI89" s="2412">
        <v>1952.19</v>
      </c>
      <c r="EJ89" s="2412">
        <v>1950.67</v>
      </c>
      <c r="EK89" s="2412">
        <v>1903.47</v>
      </c>
      <c r="EL89" s="2412">
        <v>1936.48</v>
      </c>
      <c r="EM89" s="2412">
        <v>1957.96</v>
      </c>
      <c r="EN89" s="2412">
        <v>1959.46</v>
      </c>
      <c r="EO89" s="2412">
        <v>1944.22</v>
      </c>
      <c r="EP89" s="2412">
        <v>1921.11</v>
      </c>
      <c r="EQ89" s="2412">
        <v>1938.93</v>
      </c>
      <c r="ER89" s="2412">
        <v>1933.94</v>
      </c>
      <c r="ES89" s="2412">
        <v>1995.77</v>
      </c>
      <c r="ET89" s="2412">
        <v>2000.67</v>
      </c>
      <c r="EU89" s="2412">
        <v>1992.11</v>
      </c>
      <c r="EV89" s="2412">
        <v>2025.03</v>
      </c>
      <c r="EW89" s="2412">
        <v>2044.35</v>
      </c>
      <c r="EX89" s="2412">
        <v>2038.96</v>
      </c>
      <c r="EY89" s="2412">
        <v>2049.59</v>
      </c>
      <c r="EZ89" s="2412">
        <v>2053.0500000000002</v>
      </c>
      <c r="FA89" s="2412">
        <v>2278.9699999999998</v>
      </c>
      <c r="FB89" s="2412">
        <v>2387.9</v>
      </c>
      <c r="FC89" s="2412">
        <v>2363.56</v>
      </c>
      <c r="FD89" s="2412">
        <v>2386.9</v>
      </c>
      <c r="FE89" s="2412">
        <v>2405.46</v>
      </c>
      <c r="FF89" s="2412">
        <v>2468.4</v>
      </c>
      <c r="FG89" s="2412">
        <v>2550.85</v>
      </c>
      <c r="FH89" s="2412">
        <v>2547.36</v>
      </c>
      <c r="FI89" s="2412">
        <v>2610.7600000000002</v>
      </c>
      <c r="FJ89" s="2412">
        <v>2592.17</v>
      </c>
      <c r="FK89" s="2412">
        <v>2591.5</v>
      </c>
      <c r="FL89" s="2412">
        <v>2625.19</v>
      </c>
      <c r="FM89" s="2412">
        <v>2357.6</v>
      </c>
      <c r="FN89" s="2412">
        <v>2274.58</v>
      </c>
      <c r="FO89" s="2412">
        <v>2241.65</v>
      </c>
      <c r="FP89" s="2412">
        <v>2177.87</v>
      </c>
      <c r="FQ89" s="2412">
        <v>2184.11</v>
      </c>
      <c r="FR89" s="2412">
        <v>2207.6799999999998</v>
      </c>
      <c r="FS89" s="2412">
        <v>2302.36</v>
      </c>
      <c r="FT89" s="2412">
        <v>2362.59</v>
      </c>
      <c r="FU89" s="2412">
        <v>2387.5100000000002</v>
      </c>
      <c r="FV89" s="2412">
        <v>2343.37</v>
      </c>
      <c r="FW89" s="2413">
        <f>+D.P.V.!M13</f>
        <v>2452.7656511056507</v>
      </c>
      <c r="FX89" s="2413">
        <f>+D.P.V.!N13</f>
        <v>2452.7656511056507</v>
      </c>
      <c r="FY89" s="2413">
        <f>+D.P.V.!C20</f>
        <v>100</v>
      </c>
      <c r="FZ89" s="2413">
        <f>+D.P.V.!D20</f>
        <v>100.22075055187638</v>
      </c>
      <c r="GA89" s="2413">
        <f>+D.P.V.!E20</f>
        <v>105.73951434878587</v>
      </c>
      <c r="GB89" s="2413">
        <f>+D.P.V.!F20</f>
        <v>113.02428256070641</v>
      </c>
      <c r="GC89" s="2413">
        <f>+D.P.V.!G20</f>
        <v>123.23979288911782</v>
      </c>
      <c r="GD89" s="2413">
        <f>+D.P.V.!H20</f>
        <v>123.27820956761585</v>
      </c>
      <c r="GE89" s="2413">
        <f>+D.P.V.!I20</f>
        <v>123.41230321444007</v>
      </c>
      <c r="GF89" s="2413">
        <f>+D.P.V.!J20</f>
        <v>123.58655863830801</v>
      </c>
      <c r="GG89" s="2413">
        <f>+D.P.V.!K20</f>
        <v>123.5952738172153</v>
      </c>
      <c r="GH89" s="2413">
        <f>+D.P.V.!L20</f>
        <v>124.37989772404065</v>
      </c>
      <c r="GI89" s="2413">
        <f>+D.P.V.!M20</f>
        <v>124.40091634691869</v>
      </c>
      <c r="GJ89" s="2413">
        <f>+D.P.V.!N20</f>
        <v>124.49397469671376</v>
      </c>
      <c r="GK89" s="2413">
        <f>+D.P.V.!C27</f>
        <v>133.44918532838622</v>
      </c>
      <c r="GL89" s="2413">
        <f>+D.P.V.!D27</f>
        <v>133.49168681743504</v>
      </c>
      <c r="GM89" s="2413">
        <f>+D.P.V.!E27</f>
        <v>133.82564692165354</v>
      </c>
      <c r="GN89" s="2413">
        <f>+D.P.V.!F27</f>
        <v>134.79560290851833</v>
      </c>
      <c r="GO89" s="2413">
        <f>+D.P.V.!G27</f>
        <v>134.80164377426004</v>
      </c>
      <c r="GP89" s="2413">
        <f>+D.P.V.!H27</f>
        <v>135.9580034343345</v>
      </c>
      <c r="GQ89" s="2413">
        <f>+D.P.V.!I27</f>
        <v>144.30979119487128</v>
      </c>
      <c r="GR89" s="2413">
        <f>+D.P.V.!J27</f>
        <v>144.31597001266613</v>
      </c>
      <c r="GS89" s="2413">
        <f>+D.P.V.!K27</f>
        <v>144.72430145775311</v>
      </c>
      <c r="GT89" s="2413">
        <f>+D.P.V.!L27</f>
        <v>154.76893945810235</v>
      </c>
      <c r="GU89" s="2413">
        <f>+D.P.V.!M27</f>
        <v>154.76893945810235</v>
      </c>
      <c r="GV89" s="2413">
        <f>+D.P.V.!N27</f>
        <v>154.76893945810235</v>
      </c>
      <c r="GW89" s="2415">
        <f>+D.P.V.!C34</f>
        <v>159.51209630763998</v>
      </c>
      <c r="GX89" s="2415">
        <f>+D.P.V.!D34</f>
        <v>164.58760292699111</v>
      </c>
      <c r="GY89" s="2415">
        <f>+D.P.V.!E34</f>
        <v>164.77221393861339</v>
      </c>
      <c r="GZ89" s="2415">
        <f>+D.P.V.!F34</f>
        <v>181.94730264497892</v>
      </c>
      <c r="HA89" s="2415">
        <f>+D.P.V.!G34</f>
        <v>182.10526873224947</v>
      </c>
      <c r="HB89" s="2415">
        <f>+D.P.V.!H34</f>
        <v>186.93095692936288</v>
      </c>
      <c r="HC89" s="2415">
        <f>+D.P.V.!I34</f>
        <v>205.57710502585215</v>
      </c>
      <c r="HD89" s="2415">
        <f>+D.P.V.!J34</f>
        <v>217.93463988451958</v>
      </c>
      <c r="HE89" s="2415">
        <f>+D.P.V.!K34</f>
        <v>262.4462222497915</v>
      </c>
      <c r="HF89" s="2415">
        <f>+D.P.V.!L34</f>
        <v>262.8844815199883</v>
      </c>
      <c r="HG89" s="2415">
        <f>+D.P.V.!M34</f>
        <v>274.29680434073589</v>
      </c>
      <c r="HH89" s="2415">
        <f>+D.P.V.!N34</f>
        <v>283.79796384412049</v>
      </c>
      <c r="HI89" s="2415">
        <f>+D.P.V.!C41</f>
        <v>281.384554889345</v>
      </c>
      <c r="HJ89" s="2415">
        <f>+D.P.V.!D41</f>
        <v>295.18816762405794</v>
      </c>
      <c r="HK89" s="2415">
        <f>+D.P.V.!E41</f>
        <v>308.00816609595887</v>
      </c>
      <c r="HL89" s="2415">
        <f>+D.P.V.!F41</f>
        <v>322.49039798826112</v>
      </c>
      <c r="HM89" s="2415">
        <f>+D.P.V.!G41</f>
        <v>325.28196461839428</v>
      </c>
      <c r="HN89" s="2415">
        <f>+D.P.V.!H41</f>
        <v>337.09038962370283</v>
      </c>
      <c r="HO89" s="2415">
        <f>+D.P.V.!I41</f>
        <v>344.17847600321801</v>
      </c>
      <c r="HP89" s="2415">
        <f>+D.P.V.!J41</f>
        <v>347.32878536238405</v>
      </c>
      <c r="HQ89" s="2415">
        <f>+D.P.V.!K41</f>
        <v>361.77357642267731</v>
      </c>
      <c r="HR89" s="2415">
        <f>+D.P.V.!L41</f>
        <v>364.21965540214114</v>
      </c>
      <c r="HS89" s="2415">
        <f>+D.P.V.!M41</f>
        <v>398.9260260126394</v>
      </c>
      <c r="HT89" s="2415">
        <f>+D.P.V.!N41</f>
        <v>422.12399162559853</v>
      </c>
      <c r="HU89" s="2420">
        <f>+D.P.V.!C48</f>
        <v>422.85420967635224</v>
      </c>
      <c r="HV89" s="2417">
        <f>+D.P.V.!D48</f>
        <v>428.17499596996629</v>
      </c>
      <c r="HW89" s="2417">
        <f>+D.P.V.!E48</f>
        <v>432.92048827892506</v>
      </c>
      <c r="HX89" s="2417">
        <f>+D.P.V.!F48</f>
        <v>433.14620941502159</v>
      </c>
      <c r="HY89" s="2417">
        <f>+D.P.V.!G48</f>
        <v>433.14620941502159</v>
      </c>
      <c r="HZ89" s="2417">
        <f>+D.P.V.!H48</f>
        <v>433.22438428012003</v>
      </c>
      <c r="IA89" s="2417">
        <f>+D.P.V.!I48</f>
        <v>433.42098018926623</v>
      </c>
      <c r="IB89" s="2417">
        <f>+D.P.V.!J48</f>
        <v>445.92056512036726</v>
      </c>
      <c r="IC89" s="2417">
        <f>+D.P.V.!K48</f>
        <v>460.97023425539487</v>
      </c>
      <c r="ID89" s="2417">
        <f>+D.P.V.!L48</f>
        <v>475.56877524494132</v>
      </c>
      <c r="IE89" s="2417">
        <f>+D.P.V.!M48</f>
        <v>499.58846451134747</v>
      </c>
      <c r="IF89" s="2419">
        <f>+D.P.V.!N48</f>
        <v>536.79710821606568</v>
      </c>
      <c r="IG89" s="2420">
        <f>+D.P.V.!C55</f>
        <v>564.81253200698325</v>
      </c>
      <c r="IH89" s="2417">
        <f>+D.P.V.!D55</f>
        <v>589.46394992236594</v>
      </c>
      <c r="II89" s="2417">
        <f>+D.P.V.!E55</f>
        <v>623.82940790490454</v>
      </c>
      <c r="IJ89" s="2417">
        <f>+D.P.V.!F55</f>
        <v>660.8776570597737</v>
      </c>
      <c r="IK89" s="2417">
        <f>+D.P.V.!G55</f>
        <v>690.06295121017172</v>
      </c>
      <c r="IL89" s="2417">
        <f>+D.P.V.!H55</f>
        <v>691.16962966537028</v>
      </c>
      <c r="IM89" s="2417">
        <f>+D.P.V.!I55</f>
        <v>696.36148806864276</v>
      </c>
      <c r="IN89" s="2417">
        <f>+D.P.V.!J55</f>
        <v>696.92227365143037</v>
      </c>
      <c r="IO89" s="2417">
        <f>+D.P.V.!K55</f>
        <v>700.42551026129729</v>
      </c>
      <c r="IP89" s="2417">
        <f>+D.P.V.!L55</f>
        <v>704.29963982905781</v>
      </c>
      <c r="IQ89" s="2417">
        <f>+D.P.V.!M55</f>
        <v>705.47468219081077</v>
      </c>
      <c r="IR89" s="2419">
        <f>+D.P.V.!N55</f>
        <v>706.22514996696759</v>
      </c>
      <c r="IS89" s="2420">
        <f>+D.P.V.!C62</f>
        <v>763.10202345573589</v>
      </c>
      <c r="IT89" s="2417">
        <f>+D.P.V.!D62</f>
        <v>767.45455820539553</v>
      </c>
      <c r="IU89" s="2417">
        <f>+D.P.V.!E62</f>
        <v>844.23340117934458</v>
      </c>
      <c r="IV89" s="2417">
        <f>+D.P.V.!F62</f>
        <v>846.17371336039207</v>
      </c>
      <c r="IW89" s="2417">
        <f>+D.P.V.!G62</f>
        <v>961.1462995706313</v>
      </c>
      <c r="IX89" s="2417">
        <f>+D.P.V.!H62</f>
        <v>1421.4600129516621</v>
      </c>
      <c r="IY89" s="2417">
        <f>+D.P.V.!I62</f>
        <v>1427.1586126625371</v>
      </c>
      <c r="IZ89" s="2417">
        <f>+D.P.V.!J62</f>
        <v>1549.5813442761116</v>
      </c>
      <c r="JA89" s="2417">
        <f>+D.P.V.!K62</f>
        <v>1563.0780936511605</v>
      </c>
      <c r="JB89" s="2417">
        <f>+D.P.V.!L62</f>
        <v>1694.488080629691</v>
      </c>
      <c r="JC89" s="2417">
        <f>+D.P.V.!M62</f>
        <v>1814.2114640497252</v>
      </c>
      <c r="JD89" s="2415">
        <f>+D.P.V.!N62</f>
        <v>1919.0136756490738</v>
      </c>
      <c r="JE89" s="2422">
        <f>+D.P.V.!C69</f>
        <v>2044.3337992431393</v>
      </c>
      <c r="JF89" s="2418">
        <f>+D.P.V.!D69</f>
        <v>2055.9941456026136</v>
      </c>
      <c r="JG89" s="2103">
        <f t="shared" si="13"/>
        <v>1.0057037389705101</v>
      </c>
      <c r="JI89" s="2155"/>
      <c r="JJ89" s="2104"/>
    </row>
    <row r="90" spans="2:270" ht="23.25" customHeight="1">
      <c r="B90" s="2105">
        <v>66</v>
      </c>
      <c r="C90" s="2106" t="s">
        <v>162</v>
      </c>
      <c r="D90" s="2425" t="s">
        <v>1202</v>
      </c>
      <c r="E90" s="2128" t="s">
        <v>163</v>
      </c>
      <c r="F90" s="2106" t="s">
        <v>918</v>
      </c>
      <c r="G90" s="2425" t="s">
        <v>1112</v>
      </c>
      <c r="H90" s="2106" t="s">
        <v>929</v>
      </c>
      <c r="I90" s="2106" t="s">
        <v>930</v>
      </c>
      <c r="J90" s="2359" t="s">
        <v>164</v>
      </c>
      <c r="K90" s="2425"/>
      <c r="L90" s="2110">
        <v>109</v>
      </c>
      <c r="M90" s="2110">
        <v>141.4</v>
      </c>
      <c r="N90" s="2110">
        <v>162.6</v>
      </c>
      <c r="O90" s="2110">
        <v>168.4</v>
      </c>
      <c r="P90" s="2110">
        <v>199</v>
      </c>
      <c r="Q90" s="2110">
        <v>198.2</v>
      </c>
      <c r="R90" s="2110">
        <v>244.7</v>
      </c>
      <c r="S90" s="2110">
        <v>227.3</v>
      </c>
      <c r="T90" s="2110">
        <v>230.2</v>
      </c>
      <c r="U90" s="2110">
        <v>233.9</v>
      </c>
      <c r="V90" s="2110">
        <v>223.5</v>
      </c>
      <c r="W90" s="2110">
        <v>218.5</v>
      </c>
      <c r="X90" s="2110">
        <v>218.5</v>
      </c>
      <c r="Y90" s="2110">
        <v>217.4</v>
      </c>
      <c r="Z90" s="2110">
        <v>217.6</v>
      </c>
      <c r="AA90" s="2110">
        <v>215.4</v>
      </c>
      <c r="AB90" s="2110">
        <v>213.1</v>
      </c>
      <c r="AC90" s="2110">
        <v>208.9</v>
      </c>
      <c r="AD90" s="2110">
        <v>207.3</v>
      </c>
      <c r="AE90" s="2110">
        <v>207.1</v>
      </c>
      <c r="AF90" s="2110">
        <v>207.1</v>
      </c>
      <c r="AG90" s="2110">
        <v>207.1</v>
      </c>
      <c r="AH90" s="2110">
        <v>205.5</v>
      </c>
      <c r="AI90" s="2110">
        <v>203.2</v>
      </c>
      <c r="AJ90" s="2110">
        <v>203.1</v>
      </c>
      <c r="AK90" s="2110">
        <v>200.7</v>
      </c>
      <c r="AL90" s="2110">
        <v>200.7</v>
      </c>
      <c r="AM90" s="2110">
        <v>200.6</v>
      </c>
      <c r="AN90" s="2110">
        <v>203.1</v>
      </c>
      <c r="AO90" s="2110">
        <v>201.4</v>
      </c>
      <c r="AP90" s="2110">
        <v>206.2</v>
      </c>
      <c r="AQ90" s="2110">
        <v>206.2</v>
      </c>
      <c r="AR90" s="2110">
        <v>208.5</v>
      </c>
      <c r="AS90" s="2110">
        <v>208.9</v>
      </c>
      <c r="AT90" s="2110">
        <v>212.9</v>
      </c>
      <c r="AU90" s="2110">
        <v>214.3</v>
      </c>
      <c r="AV90" s="2110">
        <v>214.16</v>
      </c>
      <c r="AW90" s="2111">
        <v>218.9</v>
      </c>
      <c r="AX90" s="2111">
        <v>222.5</v>
      </c>
      <c r="AY90" s="2111">
        <v>222.6</v>
      </c>
      <c r="AZ90" s="2111">
        <v>219.4</v>
      </c>
      <c r="BA90" s="2111">
        <v>219.5</v>
      </c>
      <c r="BB90" s="2111">
        <v>218.8</v>
      </c>
      <c r="BC90" s="2111">
        <v>218.8</v>
      </c>
      <c r="BD90" s="2112">
        <v>218.8</v>
      </c>
      <c r="BE90" s="2111">
        <v>217.4</v>
      </c>
      <c r="BF90" s="2112">
        <v>216.9</v>
      </c>
      <c r="BG90" s="2112">
        <v>219</v>
      </c>
      <c r="BH90" s="2112">
        <v>225.1</v>
      </c>
      <c r="BI90" s="2108">
        <v>223.6</v>
      </c>
      <c r="BJ90" s="2108">
        <v>226.6</v>
      </c>
      <c r="BK90" s="2108">
        <v>227.3</v>
      </c>
      <c r="BL90" s="2108">
        <v>233.6</v>
      </c>
      <c r="BM90" s="2108">
        <v>236</v>
      </c>
      <c r="BN90" s="2108">
        <v>250</v>
      </c>
      <c r="BO90" s="2108">
        <v>253.1</v>
      </c>
      <c r="BP90" s="2108">
        <v>254.2</v>
      </c>
      <c r="BQ90" s="2108">
        <v>253.4</v>
      </c>
      <c r="BR90" s="2108">
        <v>255.5</v>
      </c>
      <c r="BS90" s="2108">
        <v>255.5</v>
      </c>
      <c r="BT90" s="2108">
        <v>255.5</v>
      </c>
      <c r="BU90" s="2108">
        <v>255.5</v>
      </c>
      <c r="BV90" s="2108">
        <v>255.5</v>
      </c>
      <c r="BW90" s="2108">
        <v>255.5</v>
      </c>
      <c r="BX90" s="2108">
        <v>259.3</v>
      </c>
      <c r="BY90" s="2108">
        <v>260.8</v>
      </c>
      <c r="BZ90" s="2108">
        <v>261.10000000000002</v>
      </c>
      <c r="CA90" s="2108">
        <v>262.89999999999998</v>
      </c>
      <c r="CB90" s="2108">
        <v>263.60000000000002</v>
      </c>
      <c r="CC90" s="2108">
        <v>263.60000000000002</v>
      </c>
      <c r="CD90" s="2108">
        <v>263.60000000000002</v>
      </c>
      <c r="CE90" s="2108">
        <v>263.60000000000002</v>
      </c>
      <c r="CF90" s="2108">
        <v>263.39999999999998</v>
      </c>
      <c r="CG90" s="2108">
        <v>257.39999999999998</v>
      </c>
      <c r="CH90" s="2108">
        <v>239.2</v>
      </c>
      <c r="CI90" s="2108">
        <v>240.9</v>
      </c>
      <c r="CJ90" s="2108">
        <v>240.9</v>
      </c>
      <c r="CK90" s="2108">
        <v>245.9</v>
      </c>
      <c r="CL90" s="2108">
        <v>246.6</v>
      </c>
      <c r="CM90" s="2108">
        <v>242.8</v>
      </c>
      <c r="CN90" s="2108">
        <v>248.1</v>
      </c>
      <c r="CO90" s="2108">
        <v>248.1</v>
      </c>
      <c r="CP90" s="2108">
        <v>248.1</v>
      </c>
      <c r="CQ90" s="2108">
        <v>250.7</v>
      </c>
      <c r="CR90" s="2108">
        <v>246.5</v>
      </c>
      <c r="CS90" s="2108">
        <v>244.6</v>
      </c>
      <c r="CT90" s="2108">
        <v>243.5</v>
      </c>
      <c r="CU90" s="2108">
        <v>241.9</v>
      </c>
      <c r="CV90" s="2108">
        <v>241.9</v>
      </c>
      <c r="CW90" s="2108">
        <v>241.9</v>
      </c>
      <c r="CX90" s="2108">
        <v>236.8</v>
      </c>
      <c r="CY90" s="2108">
        <v>236.4</v>
      </c>
      <c r="CZ90" s="2108">
        <v>236.4</v>
      </c>
      <c r="DA90" s="2108">
        <v>236.4</v>
      </c>
      <c r="DB90" s="2108">
        <v>238.1</v>
      </c>
      <c r="DC90" s="2108">
        <v>238.1</v>
      </c>
      <c r="DD90" s="2108">
        <v>238.9</v>
      </c>
      <c r="DE90" s="2108">
        <v>244.5</v>
      </c>
      <c r="DF90" s="2108">
        <v>244.7</v>
      </c>
      <c r="DG90" s="2108">
        <v>247</v>
      </c>
      <c r="DH90" s="2108">
        <v>244.9</v>
      </c>
      <c r="DI90" s="2108">
        <v>253.7</v>
      </c>
      <c r="DJ90" s="2108">
        <v>252.3</v>
      </c>
      <c r="DK90" s="2108">
        <v>253.8</v>
      </c>
      <c r="DL90" s="2108">
        <v>266.60000000000002</v>
      </c>
      <c r="DM90" s="2108">
        <v>270</v>
      </c>
      <c r="DN90" s="2108">
        <v>278.3</v>
      </c>
      <c r="DO90" s="2108">
        <v>278.3</v>
      </c>
      <c r="DP90" s="2108">
        <v>285.3</v>
      </c>
      <c r="DQ90" s="2108">
        <v>291.10000000000002</v>
      </c>
      <c r="DR90" s="2108">
        <v>294.60000000000002</v>
      </c>
      <c r="DS90" s="2108">
        <v>298.10000000000002</v>
      </c>
      <c r="DT90" s="2108">
        <v>301.39999999999998</v>
      </c>
      <c r="DU90" s="2108">
        <v>302.89999999999998</v>
      </c>
      <c r="DV90" s="2108">
        <v>302.89999999999998</v>
      </c>
      <c r="DW90" s="2108">
        <v>306.60000000000002</v>
      </c>
      <c r="DX90" s="2108">
        <v>308.5</v>
      </c>
      <c r="DY90" s="2108">
        <v>309</v>
      </c>
      <c r="DZ90" s="2108">
        <v>317</v>
      </c>
      <c r="EA90" s="2108">
        <v>319</v>
      </c>
      <c r="EB90" s="2108">
        <v>319</v>
      </c>
      <c r="EC90" s="2108">
        <v>319</v>
      </c>
      <c r="ED90" s="2108">
        <v>321.3</v>
      </c>
      <c r="EE90" s="2108">
        <v>323.60000000000002</v>
      </c>
      <c r="EF90" s="2108">
        <v>349.8</v>
      </c>
      <c r="EG90" s="2108">
        <v>351.8</v>
      </c>
      <c r="EH90" s="2108">
        <v>354.8</v>
      </c>
      <c r="EI90" s="2108">
        <v>368.6</v>
      </c>
      <c r="EJ90" s="2108">
        <v>370.5</v>
      </c>
      <c r="EK90" s="2108">
        <v>370.5</v>
      </c>
      <c r="EL90" s="2108">
        <v>370.5</v>
      </c>
      <c r="EM90" s="2108">
        <v>381.2</v>
      </c>
      <c r="EN90" s="2108">
        <v>389.3</v>
      </c>
      <c r="EO90" s="2108">
        <v>389.3</v>
      </c>
      <c r="EP90" s="2108">
        <v>389.3</v>
      </c>
      <c r="EQ90" s="2108">
        <v>392.3</v>
      </c>
      <c r="ER90" s="2108">
        <v>406.5</v>
      </c>
      <c r="ES90" s="2108">
        <v>411</v>
      </c>
      <c r="ET90" s="2108">
        <v>416.6</v>
      </c>
      <c r="EU90" s="2108">
        <v>425.8</v>
      </c>
      <c r="EV90" s="2108">
        <v>429</v>
      </c>
      <c r="EW90" s="2108">
        <v>435.1</v>
      </c>
      <c r="EX90" s="2108">
        <v>441.8</v>
      </c>
      <c r="EY90" s="2108">
        <v>463.1</v>
      </c>
      <c r="EZ90" s="2108">
        <v>463.9</v>
      </c>
      <c r="FA90" s="2108">
        <v>488.5</v>
      </c>
      <c r="FB90" s="2108">
        <v>576.79999999999995</v>
      </c>
      <c r="FC90" s="2108">
        <v>598.1</v>
      </c>
      <c r="FD90" s="2108">
        <v>598.1</v>
      </c>
      <c r="FE90" s="2108">
        <v>610.79999999999995</v>
      </c>
      <c r="FF90" s="2108">
        <v>610.9</v>
      </c>
      <c r="FG90" s="2108">
        <v>633.20000000000005</v>
      </c>
      <c r="FH90" s="2108">
        <v>643.5</v>
      </c>
      <c r="FI90" s="2108">
        <v>656.3</v>
      </c>
      <c r="FJ90" s="2108">
        <v>672.6</v>
      </c>
      <c r="FK90" s="2108">
        <v>696.3</v>
      </c>
      <c r="FL90" s="2108">
        <v>702.9</v>
      </c>
      <c r="FM90" s="2108">
        <v>722.9</v>
      </c>
      <c r="FN90" s="2108">
        <v>751.9</v>
      </c>
      <c r="FO90" s="2108">
        <v>751.9</v>
      </c>
      <c r="FP90" s="2108">
        <v>751.9</v>
      </c>
      <c r="FQ90" s="2108">
        <v>776</v>
      </c>
      <c r="FR90" s="2108">
        <v>779.4</v>
      </c>
      <c r="FS90" s="2108">
        <v>792.4</v>
      </c>
      <c r="FT90" s="2108">
        <v>797.3</v>
      </c>
      <c r="FU90" s="2108">
        <v>833.9</v>
      </c>
      <c r="FV90" s="2108">
        <v>843.8</v>
      </c>
      <c r="FW90" s="2113">
        <v>946.355067320378</v>
      </c>
      <c r="FX90" s="2113">
        <v>1093.8606870086426</v>
      </c>
      <c r="FY90" s="2113">
        <v>100</v>
      </c>
      <c r="FZ90" s="2113">
        <v>101.92215442657471</v>
      </c>
      <c r="GA90" s="2113">
        <v>101.08455914011215</v>
      </c>
      <c r="GB90" s="2113">
        <v>102.70761511735424</v>
      </c>
      <c r="GC90" s="2113">
        <v>114.35967678713943</v>
      </c>
      <c r="GD90" s="2113">
        <v>119.90685062627506</v>
      </c>
      <c r="GE90" s="2113">
        <v>121.00423039849477</v>
      </c>
      <c r="GF90" s="2114">
        <v>121.00423039849477</v>
      </c>
      <c r="GG90" s="1960">
        <v>121.00423039849477</v>
      </c>
      <c r="GH90" s="2114">
        <v>121.00423039849477</v>
      </c>
      <c r="GI90" s="2114">
        <v>123.30499051847653</v>
      </c>
      <c r="GJ90" s="2113">
        <v>126.75556022077288</v>
      </c>
      <c r="GK90" s="2113">
        <v>131.10954292496581</v>
      </c>
      <c r="GL90" s="2113">
        <v>139.27842894224301</v>
      </c>
      <c r="GM90" s="2114">
        <v>139.27842894224301</v>
      </c>
      <c r="GN90" s="2114">
        <v>139.27842894224301</v>
      </c>
      <c r="GO90" s="2115">
        <v>139.27842894224301</v>
      </c>
      <c r="GP90" s="2116">
        <v>139.27842894224301</v>
      </c>
      <c r="GQ90" s="2116">
        <v>141.81713725940179</v>
      </c>
      <c r="GR90" s="2116">
        <v>144.35089514028209</v>
      </c>
      <c r="GS90" s="2116">
        <v>149.24453139814318</v>
      </c>
      <c r="GT90" s="1960">
        <v>149.24453139814318</v>
      </c>
      <c r="GU90" s="1960">
        <v>149.24453139814318</v>
      </c>
      <c r="GV90" s="1960">
        <v>149.24453139814318</v>
      </c>
      <c r="GW90" s="1960">
        <v>151.07931614836966</v>
      </c>
      <c r="GX90" s="1960">
        <v>153.99518054959728</v>
      </c>
      <c r="GY90" s="1960">
        <v>152.57656514049233</v>
      </c>
      <c r="GZ90" s="1960">
        <v>164.68095018484914</v>
      </c>
      <c r="HA90" s="1960">
        <v>178.33960492864085</v>
      </c>
      <c r="HB90" s="1960">
        <v>180.03523908032591</v>
      </c>
      <c r="HC90" s="1960">
        <v>192.63986144646731</v>
      </c>
      <c r="HD90" s="1960">
        <v>194.2718548425274</v>
      </c>
      <c r="HE90" s="1960">
        <v>227.60869094972907</v>
      </c>
      <c r="HF90" s="1960">
        <v>227.60869094972907</v>
      </c>
      <c r="HG90" s="1960">
        <v>239.44519137376901</v>
      </c>
      <c r="HH90" s="2117">
        <v>238.41922756825014</v>
      </c>
      <c r="HI90" s="1960">
        <v>260.46454577689275</v>
      </c>
      <c r="HJ90" s="1960">
        <v>260.95281176975772</v>
      </c>
      <c r="HK90" s="1960">
        <v>271.9633491358216</v>
      </c>
      <c r="HL90" s="1960">
        <v>291.10517506091605</v>
      </c>
      <c r="HM90" s="1960">
        <v>291.10517506091605</v>
      </c>
      <c r="HN90" s="1960">
        <v>305.17048973237024</v>
      </c>
      <c r="HO90" s="1960">
        <v>305.16924446891062</v>
      </c>
      <c r="HP90" s="1960">
        <v>323.52543709073035</v>
      </c>
      <c r="HQ90" s="1960">
        <v>397.80129039291285</v>
      </c>
      <c r="HR90" s="1960">
        <v>399.0067488486489</v>
      </c>
      <c r="HS90" s="1960">
        <v>428.93775097302552</v>
      </c>
      <c r="HT90" s="1962">
        <v>420.83211974591154</v>
      </c>
      <c r="HU90" s="1961">
        <v>420.83211974591154</v>
      </c>
      <c r="HV90" s="1960">
        <v>420.83211974591154</v>
      </c>
      <c r="HW90" s="1960">
        <v>420.83211974591154</v>
      </c>
      <c r="HX90" s="1960">
        <v>420.83211974591154</v>
      </c>
      <c r="HY90" s="1960">
        <v>420.83211974591154</v>
      </c>
      <c r="HZ90" s="1960">
        <v>431.34626814505998</v>
      </c>
      <c r="IA90" s="1960">
        <v>431.34626814505998</v>
      </c>
      <c r="IB90" s="1960">
        <v>431.34626814505998</v>
      </c>
      <c r="IC90" s="1960">
        <v>435.53297983023378</v>
      </c>
      <c r="ID90" s="1960">
        <v>468.75187786093522</v>
      </c>
      <c r="IE90" s="1960">
        <v>468.75187786093522</v>
      </c>
      <c r="IF90" s="1960">
        <v>468.75187786093522</v>
      </c>
      <c r="IG90" s="1961">
        <v>512.88906158635223</v>
      </c>
      <c r="IH90" s="1960">
        <v>512.88906158635223</v>
      </c>
      <c r="II90" s="1960">
        <v>512.88906158635223</v>
      </c>
      <c r="IJ90" s="1961">
        <v>512.88906158635223</v>
      </c>
      <c r="IK90" s="1960">
        <v>512.88906158635223</v>
      </c>
      <c r="IL90" s="1960">
        <v>512.88906158635223</v>
      </c>
      <c r="IM90" s="1960">
        <v>512.88906158635223</v>
      </c>
      <c r="IN90" s="1960">
        <v>512.88906158635223</v>
      </c>
      <c r="IO90" s="1960">
        <v>512.88906158635223</v>
      </c>
      <c r="IP90" s="1960">
        <v>512.88906158635223</v>
      </c>
      <c r="IQ90" s="1960">
        <v>512.88906158635223</v>
      </c>
      <c r="IR90" s="1960">
        <v>512.88906158635223</v>
      </c>
      <c r="IS90" s="2274">
        <v>512.88906158635223</v>
      </c>
      <c r="IT90" s="1960">
        <v>512.88906158635223</v>
      </c>
      <c r="IU90" s="1960">
        <v>512.88906158635223</v>
      </c>
      <c r="IV90" s="1960">
        <v>512.88906158635223</v>
      </c>
      <c r="IW90" s="1960">
        <v>512.88906158635223</v>
      </c>
      <c r="IX90" s="1960">
        <v>512.88906158635223</v>
      </c>
      <c r="IY90" s="1960">
        <v>512.88906158635223</v>
      </c>
      <c r="IZ90" s="1960">
        <v>512.88906158635223</v>
      </c>
      <c r="JA90" s="1960">
        <v>512.88906158635223</v>
      </c>
      <c r="JB90" s="1960">
        <v>512.88906158635223</v>
      </c>
      <c r="JC90" s="1960">
        <v>512.88906158635223</v>
      </c>
      <c r="JD90" s="1960">
        <v>512.88906158635223</v>
      </c>
      <c r="JE90" s="2274">
        <v>512.88906158635223</v>
      </c>
      <c r="JF90" s="2117">
        <v>512.88906158635223</v>
      </c>
      <c r="JG90" s="2103">
        <f t="shared" si="13"/>
        <v>1</v>
      </c>
      <c r="JH90" s="2155"/>
      <c r="JI90" s="2155"/>
      <c r="JJ90" s="2104"/>
    </row>
    <row r="91" spans="2:270" ht="21.75" customHeight="1">
      <c r="B91" s="2105">
        <v>67</v>
      </c>
      <c r="C91" s="2106" t="s">
        <v>165</v>
      </c>
      <c r="D91" s="2425" t="s">
        <v>1203</v>
      </c>
      <c r="E91" s="2128" t="s">
        <v>166</v>
      </c>
      <c r="F91" s="2106" t="s">
        <v>918</v>
      </c>
      <c r="G91" s="2425" t="s">
        <v>1112</v>
      </c>
      <c r="H91" s="2106" t="s">
        <v>919</v>
      </c>
      <c r="I91" s="2106" t="s">
        <v>920</v>
      </c>
      <c r="J91" s="2359"/>
      <c r="K91" s="2425"/>
      <c r="L91" s="2110">
        <v>126.2</v>
      </c>
      <c r="M91" s="2110">
        <v>125.09</v>
      </c>
      <c r="N91" s="2110">
        <v>125.15</v>
      </c>
      <c r="O91" s="2110">
        <v>140.52000000000001</v>
      </c>
      <c r="P91" s="2110">
        <v>188.01</v>
      </c>
      <c r="Q91" s="2110">
        <v>244.81</v>
      </c>
      <c r="R91" s="2110">
        <v>297</v>
      </c>
      <c r="S91" s="2110">
        <v>323.32</v>
      </c>
      <c r="T91" s="2110">
        <v>343.33</v>
      </c>
      <c r="U91" s="2110">
        <v>370.81</v>
      </c>
      <c r="V91" s="2110">
        <v>382.18</v>
      </c>
      <c r="W91" s="2110">
        <v>384.52</v>
      </c>
      <c r="X91" s="2110">
        <v>383.54</v>
      </c>
      <c r="Y91" s="2110">
        <v>406.07</v>
      </c>
      <c r="Z91" s="2110">
        <v>406.51</v>
      </c>
      <c r="AA91" s="2110">
        <v>406.9</v>
      </c>
      <c r="AB91" s="2110">
        <v>406.68</v>
      </c>
      <c r="AC91" s="2110">
        <v>406.68</v>
      </c>
      <c r="AD91" s="2110">
        <v>402.3</v>
      </c>
      <c r="AE91" s="2110">
        <v>399.57</v>
      </c>
      <c r="AF91" s="2110">
        <v>399.57</v>
      </c>
      <c r="AG91" s="2110">
        <v>399.57</v>
      </c>
      <c r="AH91" s="2110">
        <v>399.57</v>
      </c>
      <c r="AI91" s="2110">
        <v>399.57</v>
      </c>
      <c r="AJ91" s="2110">
        <v>399.57</v>
      </c>
      <c r="AK91" s="2110">
        <v>399.95</v>
      </c>
      <c r="AL91" s="2110">
        <v>399.95</v>
      </c>
      <c r="AM91" s="2110">
        <v>400.47</v>
      </c>
      <c r="AN91" s="2110">
        <v>400.73</v>
      </c>
      <c r="AO91" s="2110">
        <v>405.2</v>
      </c>
      <c r="AP91" s="2110">
        <v>407.47</v>
      </c>
      <c r="AQ91" s="2110">
        <v>409.3</v>
      </c>
      <c r="AR91" s="2110">
        <v>425.51</v>
      </c>
      <c r="AS91" s="2110">
        <v>430.59</v>
      </c>
      <c r="AT91" s="2110">
        <v>430.82</v>
      </c>
      <c r="AU91" s="2110">
        <v>430.93</v>
      </c>
      <c r="AV91" s="2110">
        <v>431.16</v>
      </c>
      <c r="AW91" s="2111">
        <v>431.16</v>
      </c>
      <c r="AX91" s="2111">
        <v>431.16</v>
      </c>
      <c r="AY91" s="2111">
        <v>434.92</v>
      </c>
      <c r="AZ91" s="2111">
        <v>434.58</v>
      </c>
      <c r="BA91" s="2111">
        <v>433.74</v>
      </c>
      <c r="BB91" s="2111">
        <v>430.24</v>
      </c>
      <c r="BC91" s="2111">
        <v>430.24</v>
      </c>
      <c r="BD91" s="2112">
        <v>430.08</v>
      </c>
      <c r="BE91" s="2111">
        <v>430.42</v>
      </c>
      <c r="BF91" s="2112">
        <v>431.1</v>
      </c>
      <c r="BG91" s="2112">
        <v>431.1</v>
      </c>
      <c r="BH91" s="2112">
        <v>431.1</v>
      </c>
      <c r="BI91" s="2108">
        <v>431.1</v>
      </c>
      <c r="BJ91" s="2108">
        <v>431.1</v>
      </c>
      <c r="BK91" s="2108">
        <v>441.23</v>
      </c>
      <c r="BL91" s="2108">
        <v>431.2</v>
      </c>
      <c r="BM91" s="2108">
        <v>431.2</v>
      </c>
      <c r="BN91" s="2108">
        <v>431.25</v>
      </c>
      <c r="BO91" s="2108">
        <v>431.25</v>
      </c>
      <c r="BP91" s="2108">
        <v>431.25</v>
      </c>
      <c r="BQ91" s="2108">
        <v>432.07</v>
      </c>
      <c r="BR91" s="2108">
        <v>431.25</v>
      </c>
      <c r="BS91" s="2108">
        <v>431.2</v>
      </c>
      <c r="BT91" s="2108">
        <v>431.2</v>
      </c>
      <c r="BU91" s="2108">
        <v>431.2</v>
      </c>
      <c r="BV91" s="2108">
        <v>431.25</v>
      </c>
      <c r="BW91" s="2108">
        <v>431.25</v>
      </c>
      <c r="BX91" s="2108">
        <v>431.25</v>
      </c>
      <c r="BY91" s="2108">
        <v>435.57</v>
      </c>
      <c r="BZ91" s="2108">
        <v>437.96</v>
      </c>
      <c r="CA91" s="2108">
        <v>444.17</v>
      </c>
      <c r="CB91" s="2108">
        <v>440.98</v>
      </c>
      <c r="CC91" s="2108">
        <v>443.35</v>
      </c>
      <c r="CD91" s="2108">
        <v>445.21</v>
      </c>
      <c r="CE91" s="2108">
        <v>448.22</v>
      </c>
      <c r="CF91" s="2108">
        <v>456.08</v>
      </c>
      <c r="CG91" s="2108">
        <v>448.6</v>
      </c>
      <c r="CH91" s="2108">
        <v>420.39</v>
      </c>
      <c r="CI91" s="2108">
        <v>418.16</v>
      </c>
      <c r="CJ91" s="2108">
        <v>423.22</v>
      </c>
      <c r="CK91" s="2108">
        <v>438.77</v>
      </c>
      <c r="CL91" s="2108">
        <v>448.78</v>
      </c>
      <c r="CM91" s="2108">
        <v>454.18</v>
      </c>
      <c r="CN91" s="2108">
        <v>450.71</v>
      </c>
      <c r="CO91" s="2108">
        <v>453.07</v>
      </c>
      <c r="CP91" s="2108">
        <v>454.67</v>
      </c>
      <c r="CQ91" s="2108">
        <v>458.77</v>
      </c>
      <c r="CR91" s="2108">
        <v>463.22</v>
      </c>
      <c r="CS91" s="2108">
        <v>471.3</v>
      </c>
      <c r="CT91" s="2108">
        <v>482.05</v>
      </c>
      <c r="CU91" s="2108">
        <v>495.91</v>
      </c>
      <c r="CV91" s="2108">
        <v>519.02</v>
      </c>
      <c r="CW91" s="2108">
        <v>534.95000000000005</v>
      </c>
      <c r="CX91" s="2108">
        <v>555.30999999999995</v>
      </c>
      <c r="CY91" s="2108">
        <v>582.22</v>
      </c>
      <c r="CZ91" s="2108">
        <v>584.62</v>
      </c>
      <c r="DA91" s="2108">
        <v>586.39</v>
      </c>
      <c r="DB91" s="2108">
        <v>604.54</v>
      </c>
      <c r="DC91" s="2108">
        <v>606.80999999999995</v>
      </c>
      <c r="DD91" s="2108">
        <v>609.45000000000005</v>
      </c>
      <c r="DE91" s="2108">
        <v>609.84</v>
      </c>
      <c r="DF91" s="2108">
        <v>610.65</v>
      </c>
      <c r="DG91" s="2108">
        <v>615.25</v>
      </c>
      <c r="DH91" s="2108">
        <v>635.57000000000005</v>
      </c>
      <c r="DI91" s="2108">
        <v>655.53</v>
      </c>
      <c r="DJ91" s="2108">
        <v>679.52</v>
      </c>
      <c r="DK91" s="2108">
        <v>693.53</v>
      </c>
      <c r="DL91" s="2108">
        <v>709.66</v>
      </c>
      <c r="DM91" s="2108">
        <v>721.1</v>
      </c>
      <c r="DN91" s="2108">
        <v>721.1</v>
      </c>
      <c r="DO91" s="2108">
        <v>726.54</v>
      </c>
      <c r="DP91" s="2108">
        <v>745.61</v>
      </c>
      <c r="DQ91" s="2108">
        <v>775.48</v>
      </c>
      <c r="DR91" s="2108">
        <v>777.44</v>
      </c>
      <c r="DS91" s="2108">
        <v>784.16</v>
      </c>
      <c r="DT91" s="2108">
        <v>822.74</v>
      </c>
      <c r="DU91" s="2108">
        <v>835.98</v>
      </c>
      <c r="DV91" s="2108">
        <v>842.63</v>
      </c>
      <c r="DW91" s="2108">
        <v>858.52</v>
      </c>
      <c r="DX91" s="2108">
        <v>868.83</v>
      </c>
      <c r="DY91" s="2108">
        <v>878.37</v>
      </c>
      <c r="DZ91" s="2108">
        <v>885.52</v>
      </c>
      <c r="EA91" s="2108">
        <v>885.52</v>
      </c>
      <c r="EB91" s="2108">
        <v>893.21</v>
      </c>
      <c r="EC91" s="2108">
        <v>928.95</v>
      </c>
      <c r="ED91" s="2108">
        <v>933.84</v>
      </c>
      <c r="EE91" s="2108">
        <v>946.21</v>
      </c>
      <c r="EF91" s="2108">
        <v>951.2</v>
      </c>
      <c r="EG91" s="2108">
        <v>972.32</v>
      </c>
      <c r="EH91" s="2108">
        <v>972.59</v>
      </c>
      <c r="EI91" s="2108">
        <v>998.56</v>
      </c>
      <c r="EJ91" s="2108">
        <v>1003.73</v>
      </c>
      <c r="EK91" s="2108">
        <v>1004.43</v>
      </c>
      <c r="EL91" s="2108">
        <v>1004.6</v>
      </c>
      <c r="EM91" s="2108">
        <v>1016.06</v>
      </c>
      <c r="EN91" s="2108">
        <v>1016.77</v>
      </c>
      <c r="EO91" s="2108">
        <v>1024.6099999999999</v>
      </c>
      <c r="EP91" s="2108">
        <v>1032.78</v>
      </c>
      <c r="EQ91" s="2108">
        <v>1055.3499999999999</v>
      </c>
      <c r="ER91" s="2108">
        <v>1077.53</v>
      </c>
      <c r="ES91" s="2108">
        <v>1093.44</v>
      </c>
      <c r="ET91" s="2108">
        <v>1109.21</v>
      </c>
      <c r="EU91" s="2108">
        <v>1118.96</v>
      </c>
      <c r="EV91" s="2108">
        <v>1126.55</v>
      </c>
      <c r="EW91" s="2108">
        <v>1130.51</v>
      </c>
      <c r="EX91" s="2108">
        <v>1130.51</v>
      </c>
      <c r="EY91" s="2108">
        <v>1132.25</v>
      </c>
      <c r="EZ91" s="2108">
        <v>1141.83</v>
      </c>
      <c r="FA91" s="2108">
        <v>1188</v>
      </c>
      <c r="FB91" s="2108">
        <v>1212.73</v>
      </c>
      <c r="FC91" s="2108">
        <v>1274.3499999999999</v>
      </c>
      <c r="FD91" s="2108">
        <v>1373.92</v>
      </c>
      <c r="FE91" s="2108">
        <v>1386.78</v>
      </c>
      <c r="FF91" s="2108">
        <v>1396.59</v>
      </c>
      <c r="FG91" s="2108">
        <v>1469.17</v>
      </c>
      <c r="FH91" s="2108">
        <v>1477.54</v>
      </c>
      <c r="FI91" s="2108">
        <v>1505.35</v>
      </c>
      <c r="FJ91" s="2108">
        <v>1511.76</v>
      </c>
      <c r="FK91" s="2108">
        <v>1511.91</v>
      </c>
      <c r="FL91" s="2108">
        <v>1511.84</v>
      </c>
      <c r="FM91" s="2108">
        <v>1445.03</v>
      </c>
      <c r="FN91" s="2108">
        <v>1462.41</v>
      </c>
      <c r="FO91" s="2108">
        <v>1480.48</v>
      </c>
      <c r="FP91" s="2108">
        <v>1483.26</v>
      </c>
      <c r="FQ91" s="2108">
        <v>1505.43</v>
      </c>
      <c r="FR91" s="2108">
        <v>1535.69</v>
      </c>
      <c r="FS91" s="2108">
        <v>1553.18</v>
      </c>
      <c r="FT91" s="2108">
        <v>1574.35</v>
      </c>
      <c r="FU91" s="2108">
        <v>1577.45</v>
      </c>
      <c r="FV91" s="2108">
        <v>1577.54</v>
      </c>
      <c r="FW91" s="2113">
        <v>1653.4688178419296</v>
      </c>
      <c r="FX91" s="2113">
        <v>1709.4733534232116</v>
      </c>
      <c r="FY91" s="2113">
        <v>100</v>
      </c>
      <c r="FZ91" s="2113">
        <v>100</v>
      </c>
      <c r="GA91" s="2113">
        <v>106.23167753219604</v>
      </c>
      <c r="GB91" s="2113">
        <v>112.68328986332534</v>
      </c>
      <c r="GC91" s="2113">
        <v>123.90029444471372</v>
      </c>
      <c r="GD91" s="2113">
        <v>123.90029444471372</v>
      </c>
      <c r="GE91" s="2113">
        <v>123.90029444471372</v>
      </c>
      <c r="GF91" s="2114">
        <v>123.90029444471372</v>
      </c>
      <c r="GG91" s="1960">
        <v>123.90029444471372</v>
      </c>
      <c r="GH91" s="2114">
        <v>123.90029444471372</v>
      </c>
      <c r="GI91" s="2114">
        <v>123.90029444471372</v>
      </c>
      <c r="GJ91" s="2113">
        <v>123.90029444471372</v>
      </c>
      <c r="GK91" s="2113">
        <v>127.19941025375421</v>
      </c>
      <c r="GL91" s="2113">
        <v>133.79765160386373</v>
      </c>
      <c r="GM91" s="2114">
        <v>133.79765160386373</v>
      </c>
      <c r="GN91" s="2114">
        <v>133.79765160386373</v>
      </c>
      <c r="GO91" s="2115">
        <v>130.35190201548548</v>
      </c>
      <c r="GP91" s="2116">
        <v>130.35190201548548</v>
      </c>
      <c r="GQ91" s="2116">
        <v>138.19647280564155</v>
      </c>
      <c r="GR91" s="2116">
        <v>138.19647280564155</v>
      </c>
      <c r="GS91" s="2116">
        <v>138.19647280564155</v>
      </c>
      <c r="GT91" s="1960">
        <v>142.52198236531129</v>
      </c>
      <c r="GU91" s="1960">
        <v>151.17300713493708</v>
      </c>
      <c r="GV91" s="1960">
        <v>160.28835989488687</v>
      </c>
      <c r="GW91" s="1960">
        <v>160.28835989488687</v>
      </c>
      <c r="GX91" s="1960">
        <v>179.44769798011433</v>
      </c>
      <c r="GY91" s="1960">
        <v>179.44769798011433</v>
      </c>
      <c r="GZ91" s="1960">
        <v>183.85092862447544</v>
      </c>
      <c r="HA91" s="1960">
        <v>183.85092862447544</v>
      </c>
      <c r="HB91" s="1960">
        <v>181.94259436243931</v>
      </c>
      <c r="HC91" s="1960">
        <v>200.49050131560125</v>
      </c>
      <c r="HD91" s="1960">
        <v>213.26472286434279</v>
      </c>
      <c r="HE91" s="1960">
        <v>240.25660318625958</v>
      </c>
      <c r="HF91" s="1960">
        <v>261.83567328319305</v>
      </c>
      <c r="HG91" s="1960">
        <v>270.3518280371668</v>
      </c>
      <c r="HH91" s="2117">
        <v>278.47076528530908</v>
      </c>
      <c r="HI91" s="1960">
        <v>268.00926123095763</v>
      </c>
      <c r="HJ91" s="1960">
        <v>291.23060375396875</v>
      </c>
      <c r="HK91" s="1960">
        <v>290.02776608919987</v>
      </c>
      <c r="HL91" s="1960">
        <v>304.13238791928524</v>
      </c>
      <c r="HM91" s="1960">
        <v>317.75751889806918</v>
      </c>
      <c r="HN91" s="1960">
        <v>322.33322717020138</v>
      </c>
      <c r="HO91" s="1960">
        <v>328.0959875135074</v>
      </c>
      <c r="HP91" s="1960">
        <v>328.00943768167269</v>
      </c>
      <c r="HQ91" s="1960">
        <v>341.56467053487893</v>
      </c>
      <c r="HR91" s="1960">
        <v>341.42142680640973</v>
      </c>
      <c r="HS91" s="1960">
        <v>377.84777040392208</v>
      </c>
      <c r="HT91" s="1962">
        <v>402.68392811643059</v>
      </c>
      <c r="HU91" s="1961">
        <v>402.68392811643059</v>
      </c>
      <c r="HV91" s="1960">
        <v>402.68392811643059</v>
      </c>
      <c r="HW91" s="1960">
        <v>402.39469563080206</v>
      </c>
      <c r="HX91" s="1960">
        <v>402.39469563080206</v>
      </c>
      <c r="HY91" s="1960">
        <v>402.68413615993768</v>
      </c>
      <c r="HZ91" s="1960">
        <v>402.2020817681738</v>
      </c>
      <c r="IA91" s="1960">
        <v>402.2020817681738</v>
      </c>
      <c r="IB91" s="1960">
        <v>413.77922959636226</v>
      </c>
      <c r="IC91" s="1960">
        <v>431.99998986525816</v>
      </c>
      <c r="ID91" s="1960">
        <v>448.1910950205471</v>
      </c>
      <c r="IE91" s="1960">
        <v>453.48758729160573</v>
      </c>
      <c r="IF91" s="1960">
        <v>484.92436468607491</v>
      </c>
      <c r="IG91" s="1961">
        <v>502.18767206889919</v>
      </c>
      <c r="IH91" s="1960">
        <v>551.98291365290049</v>
      </c>
      <c r="II91" s="1960">
        <v>623.06823285988332</v>
      </c>
      <c r="IJ91" s="1961">
        <v>662.09916262581726</v>
      </c>
      <c r="IK91" s="1960">
        <v>720.40269483344252</v>
      </c>
      <c r="IL91" s="1960">
        <v>720.86183262547115</v>
      </c>
      <c r="IM91" s="1960">
        <v>720.86183262547115</v>
      </c>
      <c r="IN91" s="1960">
        <v>736.56229420270438</v>
      </c>
      <c r="IO91" s="1960">
        <v>721.35964845036062</v>
      </c>
      <c r="IP91" s="1960">
        <v>721.51995059446062</v>
      </c>
      <c r="IQ91" s="1960">
        <v>721.51995059446062</v>
      </c>
      <c r="IR91" s="1960">
        <v>720.19703172648394</v>
      </c>
      <c r="IS91" s="2274">
        <v>722.47873196716534</v>
      </c>
      <c r="IT91" s="1960">
        <v>787.80211540954565</v>
      </c>
      <c r="IU91" s="1960">
        <v>876.54486341404106</v>
      </c>
      <c r="IV91" s="1960">
        <v>904.00465949773832</v>
      </c>
      <c r="IW91" s="1960">
        <v>1015.7322678977031</v>
      </c>
      <c r="IX91" s="1960">
        <v>1152.2249070713278</v>
      </c>
      <c r="IY91" s="1960">
        <v>1190.6598575097328</v>
      </c>
      <c r="IZ91" s="1960">
        <v>1228.9559347980576</v>
      </c>
      <c r="JA91" s="1960">
        <v>1228.9559347980576</v>
      </c>
      <c r="JB91" s="1960">
        <v>1317.4690357507548</v>
      </c>
      <c r="JC91" s="1960">
        <v>1579.1508115437905</v>
      </c>
      <c r="JD91" s="1960">
        <v>1745.1440670231789</v>
      </c>
      <c r="JE91" s="2274">
        <v>1775.2633047281477</v>
      </c>
      <c r="JF91" s="2117">
        <v>1934.1216942843548</v>
      </c>
      <c r="JG91" s="2103">
        <f t="shared" si="13"/>
        <v>1.0894844100777117</v>
      </c>
      <c r="JH91" s="2155"/>
      <c r="JI91" s="2155"/>
      <c r="JJ91" s="2104"/>
    </row>
    <row r="92" spans="2:270" ht="63">
      <c r="B92" s="2105">
        <v>68</v>
      </c>
      <c r="C92" s="2106" t="s">
        <v>167</v>
      </c>
      <c r="D92" s="2425" t="s">
        <v>1204</v>
      </c>
      <c r="E92" s="2128" t="s">
        <v>168</v>
      </c>
      <c r="F92" s="2106" t="s">
        <v>918</v>
      </c>
      <c r="G92" s="2425" t="s">
        <v>1112</v>
      </c>
      <c r="H92" s="2106" t="s">
        <v>919</v>
      </c>
      <c r="I92" s="2106" t="s">
        <v>920</v>
      </c>
      <c r="J92" s="2359" t="s">
        <v>921</v>
      </c>
      <c r="K92" s="2425"/>
      <c r="L92" s="2110">
        <v>95.09</v>
      </c>
      <c r="M92" s="2110">
        <v>100.98</v>
      </c>
      <c r="N92" s="2110">
        <v>104.1</v>
      </c>
      <c r="O92" s="2110">
        <v>126.62</v>
      </c>
      <c r="P92" s="2110">
        <v>173.61</v>
      </c>
      <c r="Q92" s="2110">
        <v>185.65</v>
      </c>
      <c r="R92" s="2110">
        <v>189.96</v>
      </c>
      <c r="S92" s="2110">
        <v>189.96</v>
      </c>
      <c r="T92" s="2110">
        <v>189.96</v>
      </c>
      <c r="U92" s="2110">
        <v>191.42</v>
      </c>
      <c r="V92" s="2110">
        <v>192.88</v>
      </c>
      <c r="W92" s="2110">
        <v>192.88</v>
      </c>
      <c r="X92" s="2110">
        <v>192.83</v>
      </c>
      <c r="Y92" s="2110">
        <v>192.88</v>
      </c>
      <c r="Z92" s="2110">
        <v>192.88</v>
      </c>
      <c r="AA92" s="2110">
        <v>192.88</v>
      </c>
      <c r="AB92" s="2110">
        <v>192.88</v>
      </c>
      <c r="AC92" s="2110">
        <v>192.88</v>
      </c>
      <c r="AD92" s="2110">
        <v>192.88</v>
      </c>
      <c r="AE92" s="2110">
        <v>192.88</v>
      </c>
      <c r="AF92" s="2110">
        <v>192.88</v>
      </c>
      <c r="AG92" s="2110">
        <v>193.61</v>
      </c>
      <c r="AH92" s="2110">
        <v>193.61</v>
      </c>
      <c r="AI92" s="2110">
        <v>174.6</v>
      </c>
      <c r="AJ92" s="2110">
        <v>181.88</v>
      </c>
      <c r="AK92" s="2110">
        <v>181.88</v>
      </c>
      <c r="AL92" s="2110">
        <v>184.81</v>
      </c>
      <c r="AM92" s="2110">
        <v>200.62</v>
      </c>
      <c r="AN92" s="2110">
        <v>200.62</v>
      </c>
      <c r="AO92" s="2110">
        <v>205.68</v>
      </c>
      <c r="AP92" s="2110">
        <v>205.68</v>
      </c>
      <c r="AQ92" s="2110">
        <v>205.68</v>
      </c>
      <c r="AR92" s="2110">
        <v>205.68</v>
      </c>
      <c r="AS92" s="2110">
        <v>205.68</v>
      </c>
      <c r="AT92" s="2110">
        <v>213.66</v>
      </c>
      <c r="AU92" s="2110">
        <v>213.66</v>
      </c>
      <c r="AV92" s="2110">
        <v>213.66</v>
      </c>
      <c r="AW92" s="2111">
        <v>213.66</v>
      </c>
      <c r="AX92" s="2111">
        <v>221.64</v>
      </c>
      <c r="AY92" s="2111">
        <v>221.64</v>
      </c>
      <c r="AZ92" s="2111">
        <v>224.57</v>
      </c>
      <c r="BA92" s="2111">
        <v>224.57</v>
      </c>
      <c r="BB92" s="2111">
        <v>224.57</v>
      </c>
      <c r="BC92" s="2111">
        <v>226.52</v>
      </c>
      <c r="BD92" s="2112">
        <v>234.49</v>
      </c>
      <c r="BE92" s="2111">
        <v>227.83</v>
      </c>
      <c r="BF92" s="2112">
        <v>232.26</v>
      </c>
      <c r="BG92" s="2112">
        <v>243.8</v>
      </c>
      <c r="BH92" s="2112">
        <v>243.8</v>
      </c>
      <c r="BI92" s="2108">
        <v>243.8</v>
      </c>
      <c r="BJ92" s="2108">
        <v>262.49</v>
      </c>
      <c r="BK92" s="2108">
        <v>262.49</v>
      </c>
      <c r="BL92" s="2108">
        <v>284.85000000000002</v>
      </c>
      <c r="BM92" s="2108">
        <v>337.07</v>
      </c>
      <c r="BN92" s="2108">
        <v>328.4</v>
      </c>
      <c r="BO92" s="2108">
        <v>328.4</v>
      </c>
      <c r="BP92" s="2108">
        <v>328.4</v>
      </c>
      <c r="BQ92" s="2108">
        <v>328.4</v>
      </c>
      <c r="BR92" s="2108">
        <v>328.4</v>
      </c>
      <c r="BS92" s="2108">
        <v>328.4</v>
      </c>
      <c r="BT92" s="2108">
        <v>328.4</v>
      </c>
      <c r="BU92" s="2108">
        <v>328.4</v>
      </c>
      <c r="BV92" s="2108">
        <v>328.4</v>
      </c>
      <c r="BW92" s="2108">
        <v>328.4</v>
      </c>
      <c r="BX92" s="2108">
        <v>328.4</v>
      </c>
      <c r="BY92" s="2108">
        <v>353.16</v>
      </c>
      <c r="BZ92" s="2108">
        <v>353.16</v>
      </c>
      <c r="CA92" s="2108">
        <v>353.16</v>
      </c>
      <c r="CB92" s="2108">
        <v>359.69</v>
      </c>
      <c r="CC92" s="2108">
        <v>364.97</v>
      </c>
      <c r="CD92" s="2108">
        <v>376.47</v>
      </c>
      <c r="CE92" s="2108">
        <v>381.67</v>
      </c>
      <c r="CF92" s="2108">
        <v>385.76</v>
      </c>
      <c r="CG92" s="2108">
        <v>385.76</v>
      </c>
      <c r="CH92" s="2108">
        <v>385.76</v>
      </c>
      <c r="CI92" s="2108">
        <v>385.76</v>
      </c>
      <c r="CJ92" s="2108">
        <v>388.64</v>
      </c>
      <c r="CK92" s="2108">
        <v>400.96</v>
      </c>
      <c r="CL92" s="2108">
        <v>404.21</v>
      </c>
      <c r="CM92" s="2108">
        <v>418.36</v>
      </c>
      <c r="CN92" s="2108">
        <v>418.36</v>
      </c>
      <c r="CO92" s="2108">
        <v>445.08</v>
      </c>
      <c r="CP92" s="2108">
        <v>445.08</v>
      </c>
      <c r="CQ92" s="2108">
        <v>444.27</v>
      </c>
      <c r="CR92" s="2108">
        <v>444.27</v>
      </c>
      <c r="CS92" s="2108">
        <v>444.27</v>
      </c>
      <c r="CT92" s="2108">
        <v>444.27</v>
      </c>
      <c r="CU92" s="2108">
        <v>444.27</v>
      </c>
      <c r="CV92" s="2108">
        <v>454.45</v>
      </c>
      <c r="CW92" s="2108">
        <v>454.45</v>
      </c>
      <c r="CX92" s="2108">
        <v>468.67</v>
      </c>
      <c r="CY92" s="2108">
        <v>468.67</v>
      </c>
      <c r="CZ92" s="2108">
        <v>468.67</v>
      </c>
      <c r="DA92" s="2108">
        <v>508.31</v>
      </c>
      <c r="DB92" s="2108">
        <v>508.31</v>
      </c>
      <c r="DC92" s="2108">
        <v>508.31</v>
      </c>
      <c r="DD92" s="2108">
        <v>508.31</v>
      </c>
      <c r="DE92" s="2108">
        <v>542.88</v>
      </c>
      <c r="DF92" s="2108">
        <v>557.08000000000004</v>
      </c>
      <c r="DG92" s="2108">
        <v>557.08000000000004</v>
      </c>
      <c r="DH92" s="2108">
        <v>570.27</v>
      </c>
      <c r="DI92" s="2108">
        <v>570.27</v>
      </c>
      <c r="DJ92" s="2108">
        <v>569.89</v>
      </c>
      <c r="DK92" s="2108">
        <v>569.9</v>
      </c>
      <c r="DL92" s="2108">
        <v>569.9</v>
      </c>
      <c r="DM92" s="2108">
        <v>569.9</v>
      </c>
      <c r="DN92" s="2108">
        <v>582.27</v>
      </c>
      <c r="DO92" s="2108">
        <v>586.91999999999996</v>
      </c>
      <c r="DP92" s="2108">
        <v>613.04</v>
      </c>
      <c r="DQ92" s="2108">
        <v>613.04</v>
      </c>
      <c r="DR92" s="2108">
        <v>625.94000000000005</v>
      </c>
      <c r="DS92" s="2108">
        <v>625.94000000000005</v>
      </c>
      <c r="DT92" s="2108">
        <v>625.94000000000005</v>
      </c>
      <c r="DU92" s="2108">
        <v>625.94000000000005</v>
      </c>
      <c r="DV92" s="2108">
        <v>652.94000000000005</v>
      </c>
      <c r="DW92" s="2108">
        <v>652.94000000000005</v>
      </c>
      <c r="DX92" s="2108">
        <v>652.94000000000005</v>
      </c>
      <c r="DY92" s="2108">
        <v>672.06</v>
      </c>
      <c r="DZ92" s="2108">
        <v>687.8</v>
      </c>
      <c r="EA92" s="2108">
        <v>687.8</v>
      </c>
      <c r="EB92" s="2108">
        <v>664.38</v>
      </c>
      <c r="EC92" s="2108">
        <v>684.29</v>
      </c>
      <c r="ED92" s="2108">
        <v>684.29</v>
      </c>
      <c r="EE92" s="2108">
        <v>705.8</v>
      </c>
      <c r="EF92" s="2108">
        <v>705.8</v>
      </c>
      <c r="EG92" s="2108">
        <v>705.81</v>
      </c>
      <c r="EH92" s="2108">
        <v>705.8</v>
      </c>
      <c r="EI92" s="2108">
        <v>727.05</v>
      </c>
      <c r="EJ92" s="2108">
        <v>749.83</v>
      </c>
      <c r="EK92" s="2108">
        <v>749.83</v>
      </c>
      <c r="EL92" s="2108">
        <v>749.83</v>
      </c>
      <c r="EM92" s="2108">
        <v>756.8</v>
      </c>
      <c r="EN92" s="2108">
        <v>756.8</v>
      </c>
      <c r="EO92" s="2108">
        <v>756.8</v>
      </c>
      <c r="EP92" s="2108">
        <v>756.8</v>
      </c>
      <c r="EQ92" s="2108">
        <v>756.8</v>
      </c>
      <c r="ER92" s="2108">
        <v>756.8</v>
      </c>
      <c r="ES92" s="2108">
        <v>781.15</v>
      </c>
      <c r="ET92" s="2108">
        <v>781.15</v>
      </c>
      <c r="EU92" s="2108">
        <v>781.15</v>
      </c>
      <c r="EV92" s="2108">
        <v>781.15</v>
      </c>
      <c r="EW92" s="2108">
        <v>781.15</v>
      </c>
      <c r="EX92" s="2108">
        <v>781.15</v>
      </c>
      <c r="EY92" s="2108">
        <v>786.37</v>
      </c>
      <c r="EZ92" s="2108">
        <v>786.37</v>
      </c>
      <c r="FA92" s="2108">
        <v>830.37</v>
      </c>
      <c r="FB92" s="2108">
        <v>860.45</v>
      </c>
      <c r="FC92" s="2108">
        <v>860.45</v>
      </c>
      <c r="FD92" s="2108">
        <v>911.05</v>
      </c>
      <c r="FE92" s="2108">
        <v>911.05</v>
      </c>
      <c r="FF92" s="2108">
        <v>911.05</v>
      </c>
      <c r="FG92" s="2108">
        <v>911.05</v>
      </c>
      <c r="FH92" s="2108">
        <v>911.05</v>
      </c>
      <c r="FI92" s="2108">
        <v>944.44</v>
      </c>
      <c r="FJ92" s="2108">
        <v>979.1</v>
      </c>
      <c r="FK92" s="2108">
        <v>994.02</v>
      </c>
      <c r="FL92" s="2108">
        <v>1035.54</v>
      </c>
      <c r="FM92" s="2108">
        <v>1035.54</v>
      </c>
      <c r="FN92" s="2108">
        <v>1035.54</v>
      </c>
      <c r="FO92" s="2108">
        <v>1035.54</v>
      </c>
      <c r="FP92" s="2108">
        <v>1035.54</v>
      </c>
      <c r="FQ92" s="2108">
        <v>1078.6500000000001</v>
      </c>
      <c r="FR92" s="2108">
        <v>1078.6500000000001</v>
      </c>
      <c r="FS92" s="2108">
        <v>1078.6500000000001</v>
      </c>
      <c r="FT92" s="2108">
        <v>1078.6500000000001</v>
      </c>
      <c r="FU92" s="2108">
        <v>1130.8699999999999</v>
      </c>
      <c r="FV92" s="2108">
        <v>1130.8699999999999</v>
      </c>
      <c r="FW92" s="2113">
        <v>1274.0570309977397</v>
      </c>
      <c r="FX92" s="2113">
        <v>1337.5482537449705</v>
      </c>
      <c r="FY92" s="2113">
        <v>100</v>
      </c>
      <c r="FZ92" s="2113">
        <v>101.8372654914856</v>
      </c>
      <c r="GA92" s="2113">
        <v>103.64280354794886</v>
      </c>
      <c r="GB92" s="2113">
        <v>104.79552995121148</v>
      </c>
      <c r="GC92" s="2113">
        <v>104.35362918758487</v>
      </c>
      <c r="GD92" s="2113">
        <v>106.52468169435416</v>
      </c>
      <c r="GE92" s="2113">
        <v>106.01504349807185</v>
      </c>
      <c r="GF92" s="2114">
        <v>105.25497022416739</v>
      </c>
      <c r="GG92" s="1960">
        <v>106.38703160771698</v>
      </c>
      <c r="GH92" s="2114">
        <v>110.63875484623568</v>
      </c>
      <c r="GI92" s="2114">
        <v>110.18576629860402</v>
      </c>
      <c r="GJ92" s="2113">
        <v>110.12988273094686</v>
      </c>
      <c r="GK92" s="2113">
        <v>108.76140018280931</v>
      </c>
      <c r="GL92" s="2113">
        <v>109.91945399852324</v>
      </c>
      <c r="GM92" s="2114">
        <v>111.8701863435879</v>
      </c>
      <c r="GN92" s="2114">
        <v>112.82286770643462</v>
      </c>
      <c r="GO92" s="2115">
        <v>116.40598493296454</v>
      </c>
      <c r="GP92" s="2116">
        <v>120.41720429339867</v>
      </c>
      <c r="GQ92" s="2116">
        <v>121.57948773747282</v>
      </c>
      <c r="GR92" s="2116">
        <v>123.25604127329278</v>
      </c>
      <c r="GS92" s="2116">
        <v>126.11673183120924</v>
      </c>
      <c r="GT92" s="1960">
        <v>129.11522996860506</v>
      </c>
      <c r="GU92" s="1960">
        <v>134.08692962931028</v>
      </c>
      <c r="GV92" s="1960">
        <v>139.03368819284086</v>
      </c>
      <c r="GW92" s="1960">
        <v>140.31915937263</v>
      </c>
      <c r="GX92" s="1960">
        <v>146.01475421860957</v>
      </c>
      <c r="GY92" s="1960">
        <v>148.30554713186152</v>
      </c>
      <c r="GZ92" s="1960">
        <v>149.87761696234023</v>
      </c>
      <c r="HA92" s="1960">
        <v>159.16226258567045</v>
      </c>
      <c r="HB92" s="1960">
        <v>168.89870863031516</v>
      </c>
      <c r="HC92" s="1960">
        <v>181.77924134453664</v>
      </c>
      <c r="HD92" s="1960">
        <v>175.21093055807805</v>
      </c>
      <c r="HE92" s="1960">
        <v>192.44826797909118</v>
      </c>
      <c r="HF92" s="1960">
        <v>212.26874353699324</v>
      </c>
      <c r="HG92" s="1960">
        <v>214.64807353105553</v>
      </c>
      <c r="HH92" s="2117">
        <v>226.21913294747753</v>
      </c>
      <c r="HI92" s="1960">
        <v>219.05602435061604</v>
      </c>
      <c r="HJ92" s="1960">
        <v>231.16303829718896</v>
      </c>
      <c r="HK92" s="1960">
        <v>229.83233786457072</v>
      </c>
      <c r="HL92" s="1960">
        <v>243.39856834932561</v>
      </c>
      <c r="HM92" s="1960">
        <v>251.44072639471256</v>
      </c>
      <c r="HN92" s="1960">
        <v>272.77113041029781</v>
      </c>
      <c r="HO92" s="1960">
        <v>285.54275980899007</v>
      </c>
      <c r="HP92" s="1960">
        <v>333.53054418295483</v>
      </c>
      <c r="HQ92" s="1960">
        <v>358.08511843637393</v>
      </c>
      <c r="HR92" s="1960">
        <v>359.18464835834311</v>
      </c>
      <c r="HS92" s="1960">
        <v>386.01916412671545</v>
      </c>
      <c r="HT92" s="1962">
        <v>393.85910949621933</v>
      </c>
      <c r="HU92" s="1961">
        <v>398.71414576482471</v>
      </c>
      <c r="HV92" s="1960">
        <v>392.8839900647551</v>
      </c>
      <c r="HW92" s="1960">
        <v>392.88132983514896</v>
      </c>
      <c r="HX92" s="1960">
        <v>392.88973007447674</v>
      </c>
      <c r="HY92" s="1960">
        <v>399.45451685251675</v>
      </c>
      <c r="HZ92" s="1960">
        <v>439.69037789220528</v>
      </c>
      <c r="IA92" s="1960">
        <v>461.68286005062293</v>
      </c>
      <c r="IB92" s="1960">
        <v>507.12714654156213</v>
      </c>
      <c r="IC92" s="1960">
        <v>526.27170840230281</v>
      </c>
      <c r="ID92" s="1960">
        <v>595.91530903565967</v>
      </c>
      <c r="IE92" s="1960">
        <v>604.77575094810754</v>
      </c>
      <c r="IF92" s="1960">
        <v>609.81437316863639</v>
      </c>
      <c r="IG92" s="1961">
        <v>644.87360180368626</v>
      </c>
      <c r="IH92" s="1960">
        <v>670.13198573805653</v>
      </c>
      <c r="II92" s="1960">
        <v>671.62109030053512</v>
      </c>
      <c r="IJ92" s="1961">
        <v>682.58752736621364</v>
      </c>
      <c r="IK92" s="1960">
        <v>665.06472822062483</v>
      </c>
      <c r="IL92" s="1960">
        <v>669.79294834356278</v>
      </c>
      <c r="IM92" s="1960">
        <v>689.51069637309013</v>
      </c>
      <c r="IN92" s="1960">
        <v>691.13547221994418</v>
      </c>
      <c r="IO92" s="1960">
        <v>699.17306675089969</v>
      </c>
      <c r="IP92" s="1960">
        <v>739.49075173780523</v>
      </c>
      <c r="IQ92" s="1960">
        <v>734.2459135811049</v>
      </c>
      <c r="IR92" s="1960">
        <v>772.81837233240901</v>
      </c>
      <c r="IS92" s="2274">
        <v>813.77488311553361</v>
      </c>
      <c r="IT92" s="1960">
        <v>842.3994628369021</v>
      </c>
      <c r="IU92" s="1960">
        <v>854.9779976446456</v>
      </c>
      <c r="IV92" s="1960">
        <v>900.27560153872435</v>
      </c>
      <c r="IW92" s="1960">
        <v>956.44839755584417</v>
      </c>
      <c r="IX92" s="1960">
        <v>1028.0636246753438</v>
      </c>
      <c r="IY92" s="1960">
        <v>1124.5025887652052</v>
      </c>
      <c r="IZ92" s="1960">
        <v>1235.4477706338453</v>
      </c>
      <c r="JA92" s="1960">
        <v>1310.2387307014742</v>
      </c>
      <c r="JB92" s="1960">
        <v>1467.5088359533679</v>
      </c>
      <c r="JC92" s="1960">
        <v>1553.8661160269357</v>
      </c>
      <c r="JD92" s="1960">
        <v>1635.2100725975406</v>
      </c>
      <c r="JE92" s="2274">
        <v>1716.7220715291437</v>
      </c>
      <c r="JF92" s="2117">
        <v>1731.3097983323335</v>
      </c>
      <c r="JG92" s="2103">
        <f t="shared" si="13"/>
        <v>1.0084974306820649</v>
      </c>
      <c r="JI92" s="2155"/>
      <c r="JJ92" s="2104"/>
    </row>
    <row r="93" spans="2:270" ht="19.5" customHeight="1">
      <c r="B93" s="2105">
        <v>69</v>
      </c>
      <c r="C93" s="2106" t="s">
        <v>169</v>
      </c>
      <c r="D93" s="2425" t="s">
        <v>1205</v>
      </c>
      <c r="E93" s="2128" t="s">
        <v>170</v>
      </c>
      <c r="F93" s="2106" t="s">
        <v>918</v>
      </c>
      <c r="G93" s="2425" t="s">
        <v>1112</v>
      </c>
      <c r="H93" s="2106" t="s">
        <v>919</v>
      </c>
      <c r="I93" s="2106" t="s">
        <v>920</v>
      </c>
      <c r="J93" s="2359" t="s">
        <v>921</v>
      </c>
      <c r="K93" s="2425"/>
      <c r="L93" s="2110">
        <v>125.13</v>
      </c>
      <c r="M93" s="2110">
        <v>135.77000000000001</v>
      </c>
      <c r="N93" s="2110">
        <v>142.72</v>
      </c>
      <c r="O93" s="2110">
        <v>149.36000000000001</v>
      </c>
      <c r="P93" s="2110">
        <v>166.74</v>
      </c>
      <c r="Q93" s="2110">
        <v>185.86</v>
      </c>
      <c r="R93" s="2110">
        <v>192.38</v>
      </c>
      <c r="S93" s="2110">
        <v>202.45</v>
      </c>
      <c r="T93" s="2110">
        <v>202.45</v>
      </c>
      <c r="U93" s="2110">
        <v>207.33</v>
      </c>
      <c r="V93" s="2110">
        <v>208.78</v>
      </c>
      <c r="W93" s="2110">
        <v>213.66</v>
      </c>
      <c r="X93" s="2110">
        <v>213.66</v>
      </c>
      <c r="Y93" s="2110">
        <v>215.14</v>
      </c>
      <c r="Z93" s="2110">
        <v>215.14</v>
      </c>
      <c r="AA93" s="2110">
        <v>215.14</v>
      </c>
      <c r="AB93" s="2110">
        <v>215.14</v>
      </c>
      <c r="AC93" s="2110">
        <v>215.14</v>
      </c>
      <c r="AD93" s="2110">
        <v>215.14</v>
      </c>
      <c r="AE93" s="2110">
        <v>215.14</v>
      </c>
      <c r="AF93" s="2110">
        <v>215.14</v>
      </c>
      <c r="AG93" s="2110">
        <v>215.14</v>
      </c>
      <c r="AH93" s="2110">
        <v>215.14</v>
      </c>
      <c r="AI93" s="2110">
        <v>215.14</v>
      </c>
      <c r="AJ93" s="2110">
        <v>215.14</v>
      </c>
      <c r="AK93" s="2110">
        <v>215.14</v>
      </c>
      <c r="AL93" s="2110">
        <v>217.71</v>
      </c>
      <c r="AM93" s="2110">
        <v>217.71</v>
      </c>
      <c r="AN93" s="2110">
        <v>226.4</v>
      </c>
      <c r="AO93" s="2110">
        <v>226.4</v>
      </c>
      <c r="AP93" s="2110">
        <v>230.35</v>
      </c>
      <c r="AQ93" s="2110">
        <v>235.56</v>
      </c>
      <c r="AR93" s="2110">
        <v>235.56</v>
      </c>
      <c r="AS93" s="2110">
        <v>235.56</v>
      </c>
      <c r="AT93" s="2110">
        <v>236.66</v>
      </c>
      <c r="AU93" s="2110">
        <v>245.44</v>
      </c>
      <c r="AV93" s="2110">
        <v>245.44</v>
      </c>
      <c r="AW93" s="2111">
        <v>247.14</v>
      </c>
      <c r="AX93" s="2111">
        <v>247.14</v>
      </c>
      <c r="AY93" s="2111">
        <v>247.14</v>
      </c>
      <c r="AZ93" s="2111">
        <v>251.05</v>
      </c>
      <c r="BA93" s="2111">
        <v>259.77</v>
      </c>
      <c r="BB93" s="2111">
        <v>259.77</v>
      </c>
      <c r="BC93" s="2111">
        <v>259.77</v>
      </c>
      <c r="BD93" s="2112">
        <v>262.75</v>
      </c>
      <c r="BE93" s="2111">
        <v>262.75</v>
      </c>
      <c r="BF93" s="2112">
        <v>266.23</v>
      </c>
      <c r="BG93" s="2112">
        <v>268.77</v>
      </c>
      <c r="BH93" s="2112">
        <v>268.77</v>
      </c>
      <c r="BI93" s="2108">
        <v>268.77</v>
      </c>
      <c r="BJ93" s="2108">
        <v>289.64999999999998</v>
      </c>
      <c r="BK93" s="2108">
        <v>289.64999999999998</v>
      </c>
      <c r="BL93" s="2108">
        <v>289.64999999999998</v>
      </c>
      <c r="BM93" s="2108">
        <v>298.33999999999997</v>
      </c>
      <c r="BN93" s="2108">
        <v>298.98</v>
      </c>
      <c r="BO93" s="2108">
        <v>300.72000000000003</v>
      </c>
      <c r="BP93" s="2108">
        <v>298.98</v>
      </c>
      <c r="BQ93" s="2108">
        <v>298.98</v>
      </c>
      <c r="BR93" s="2108">
        <v>301.74</v>
      </c>
      <c r="BS93" s="2108">
        <v>301.74</v>
      </c>
      <c r="BT93" s="2108">
        <v>301.74</v>
      </c>
      <c r="BU93" s="2108">
        <v>308.87</v>
      </c>
      <c r="BV93" s="2108">
        <v>308.87</v>
      </c>
      <c r="BW93" s="2108">
        <v>321.51</v>
      </c>
      <c r="BX93" s="2108">
        <v>328.34</v>
      </c>
      <c r="BY93" s="2108">
        <v>328.34</v>
      </c>
      <c r="BZ93" s="2108">
        <v>336.77</v>
      </c>
      <c r="CA93" s="2108">
        <v>335</v>
      </c>
      <c r="CB93" s="2108">
        <v>336.77</v>
      </c>
      <c r="CC93" s="2108">
        <v>345.47</v>
      </c>
      <c r="CD93" s="2108">
        <v>345.47</v>
      </c>
      <c r="CE93" s="2108">
        <v>345.47</v>
      </c>
      <c r="CF93" s="2108">
        <v>365.47</v>
      </c>
      <c r="CG93" s="2108">
        <v>365.47</v>
      </c>
      <c r="CH93" s="2108">
        <v>365.47</v>
      </c>
      <c r="CI93" s="2108">
        <v>365.47</v>
      </c>
      <c r="CJ93" s="2108">
        <v>370.81</v>
      </c>
      <c r="CK93" s="2108">
        <v>379.28</v>
      </c>
      <c r="CL93" s="2108">
        <v>379.28</v>
      </c>
      <c r="CM93" s="2108">
        <v>399.07</v>
      </c>
      <c r="CN93" s="2108">
        <v>404.4</v>
      </c>
      <c r="CO93" s="2108">
        <v>409.91</v>
      </c>
      <c r="CP93" s="2108">
        <v>414.79</v>
      </c>
      <c r="CQ93" s="2108">
        <v>420.56</v>
      </c>
      <c r="CR93" s="2108">
        <v>428.61</v>
      </c>
      <c r="CS93" s="2108">
        <v>428.61</v>
      </c>
      <c r="CT93" s="2108">
        <v>433.48</v>
      </c>
      <c r="CU93" s="2108">
        <v>449.72</v>
      </c>
      <c r="CV93" s="2108">
        <v>449.72</v>
      </c>
      <c r="CW93" s="2108">
        <v>459.98</v>
      </c>
      <c r="CX93" s="2108">
        <v>459.98</v>
      </c>
      <c r="CY93" s="2108">
        <v>459.98</v>
      </c>
      <c r="CZ93" s="2108">
        <v>465.21</v>
      </c>
      <c r="DA93" s="2108">
        <v>465.21</v>
      </c>
      <c r="DB93" s="2108">
        <v>465.21</v>
      </c>
      <c r="DC93" s="2108">
        <v>465.21</v>
      </c>
      <c r="DD93" s="2108">
        <v>465.21</v>
      </c>
      <c r="DE93" s="2373">
        <v>481.6</v>
      </c>
      <c r="DF93" s="2108">
        <v>481.6</v>
      </c>
      <c r="DG93" s="2108">
        <v>491.95</v>
      </c>
      <c r="DH93" s="2108">
        <v>491.95</v>
      </c>
      <c r="DI93" s="2108">
        <v>494.04</v>
      </c>
      <c r="DJ93" s="2108">
        <v>502.1</v>
      </c>
      <c r="DK93" s="2108">
        <v>511.76</v>
      </c>
      <c r="DL93" s="2108">
        <v>525.80999999999995</v>
      </c>
      <c r="DM93" s="2108">
        <v>531.16999999999996</v>
      </c>
      <c r="DN93" s="2108">
        <v>548.89</v>
      </c>
      <c r="DO93" s="2108">
        <v>558.1</v>
      </c>
      <c r="DP93" s="2108">
        <v>572.6</v>
      </c>
      <c r="DQ93" s="2108">
        <v>572.6</v>
      </c>
      <c r="DR93" s="2108">
        <v>572.6</v>
      </c>
      <c r="DS93" s="2108">
        <v>582.4</v>
      </c>
      <c r="DT93" s="2108">
        <v>582.4</v>
      </c>
      <c r="DU93" s="2108">
        <v>593.67999999999995</v>
      </c>
      <c r="DV93" s="2108">
        <v>593.67999999999995</v>
      </c>
      <c r="DW93" s="2108">
        <v>614.47</v>
      </c>
      <c r="DX93" s="2108">
        <v>634.72</v>
      </c>
      <c r="DY93" s="2108">
        <v>642.57000000000005</v>
      </c>
      <c r="DZ93" s="2108">
        <v>638.17999999999995</v>
      </c>
      <c r="EA93" s="2108">
        <v>657.83</v>
      </c>
      <c r="EB93" s="2108">
        <v>673.56</v>
      </c>
      <c r="EC93" s="2108">
        <v>673.56</v>
      </c>
      <c r="ED93" s="2108">
        <v>694.13</v>
      </c>
      <c r="EE93" s="2108">
        <v>704.22</v>
      </c>
      <c r="EF93" s="2108">
        <v>704.22</v>
      </c>
      <c r="EG93" s="2108">
        <v>708.51</v>
      </c>
      <c r="EH93" s="2108">
        <v>739.98</v>
      </c>
      <c r="EI93" s="2108">
        <v>739.98</v>
      </c>
      <c r="EJ93" s="2108">
        <v>760.31</v>
      </c>
      <c r="EK93" s="2108">
        <v>784.51</v>
      </c>
      <c r="EL93" s="2108">
        <v>798.07</v>
      </c>
      <c r="EM93" s="2108">
        <v>806.75</v>
      </c>
      <c r="EN93" s="2108">
        <v>806.75</v>
      </c>
      <c r="EO93" s="2108">
        <v>832.13</v>
      </c>
      <c r="EP93" s="2108">
        <v>845.51</v>
      </c>
      <c r="EQ93" s="2108">
        <v>870.92</v>
      </c>
      <c r="ER93" s="2108">
        <v>879.39</v>
      </c>
      <c r="ES93" s="2108">
        <v>894.31</v>
      </c>
      <c r="ET93" s="2108">
        <v>922.14</v>
      </c>
      <c r="EU93" s="2108">
        <v>921.54</v>
      </c>
      <c r="EV93" s="2108">
        <v>936.44</v>
      </c>
      <c r="EW93" s="2108">
        <v>966.7</v>
      </c>
      <c r="EX93" s="2108">
        <v>966.7</v>
      </c>
      <c r="EY93" s="2108">
        <v>966.7</v>
      </c>
      <c r="EZ93" s="2108">
        <v>1011.26</v>
      </c>
      <c r="FA93" s="2108">
        <v>1049.9000000000001</v>
      </c>
      <c r="FB93" s="2108">
        <v>1150.3599999999999</v>
      </c>
      <c r="FC93" s="2108">
        <v>1187.8399999999999</v>
      </c>
      <c r="FD93" s="2108">
        <v>1187.8399999999999</v>
      </c>
      <c r="FE93" s="2108">
        <v>1195.92</v>
      </c>
      <c r="FF93" s="2108">
        <v>1260.01</v>
      </c>
      <c r="FG93" s="2108">
        <v>1259.4100000000001</v>
      </c>
      <c r="FH93" s="2108">
        <v>1276.1500000000001</v>
      </c>
      <c r="FI93" s="2108">
        <v>1310.03</v>
      </c>
      <c r="FJ93" s="2108">
        <v>1308.6300000000001</v>
      </c>
      <c r="FK93" s="2108">
        <v>1328.57</v>
      </c>
      <c r="FL93" s="2108">
        <v>1350.37</v>
      </c>
      <c r="FM93" s="2108">
        <v>1350.37</v>
      </c>
      <c r="FN93" s="2108">
        <v>1350.46</v>
      </c>
      <c r="FO93" s="2108">
        <v>1438.9</v>
      </c>
      <c r="FP93" s="2108">
        <v>1460.68</v>
      </c>
      <c r="FQ93" s="2108">
        <v>1485.89</v>
      </c>
      <c r="FR93" s="2108">
        <v>1501.86</v>
      </c>
      <c r="FS93" s="2108">
        <v>1559.36</v>
      </c>
      <c r="FT93" s="2108">
        <v>1598.27</v>
      </c>
      <c r="FU93" s="2108">
        <v>1636.67</v>
      </c>
      <c r="FV93" s="2108">
        <v>1636.91</v>
      </c>
      <c r="FW93" s="2113">
        <v>1920.187481562514</v>
      </c>
      <c r="FX93" s="2113">
        <v>1942.2151602355718</v>
      </c>
      <c r="FY93" s="2113">
        <v>100</v>
      </c>
      <c r="FZ93" s="2113">
        <v>104.82017993927002</v>
      </c>
      <c r="GA93" s="2113">
        <v>109.13970040110428</v>
      </c>
      <c r="GB93" s="2113">
        <v>113.49509705880649</v>
      </c>
      <c r="GC93" s="2113">
        <v>114.58445195949882</v>
      </c>
      <c r="GD93" s="2113">
        <v>111.73454787765927</v>
      </c>
      <c r="GE93" s="2113">
        <v>113.91326692095569</v>
      </c>
      <c r="GF93" s="2114">
        <v>114.97938142680664</v>
      </c>
      <c r="GG93" s="1960">
        <v>112.86472557847904</v>
      </c>
      <c r="GH93" s="2114">
        <v>112.86472557847904</v>
      </c>
      <c r="GI93" s="2114">
        <v>113.64107850799122</v>
      </c>
      <c r="GJ93" s="2113">
        <v>115.33495023168187</v>
      </c>
      <c r="GK93" s="2113">
        <v>116.36620753647875</v>
      </c>
      <c r="GL93" s="2113">
        <v>119.37558466590997</v>
      </c>
      <c r="GM93" s="2114">
        <v>121.48894005836367</v>
      </c>
      <c r="GN93" s="2114">
        <v>122.83747382756525</v>
      </c>
      <c r="GO93" s="2115">
        <v>122.83747382756525</v>
      </c>
      <c r="GP93" s="2116">
        <v>122.83747382756525</v>
      </c>
      <c r="GQ93" s="2116">
        <v>124.49399018752264</v>
      </c>
      <c r="GR93" s="2116">
        <v>126.86264763460913</v>
      </c>
      <c r="GS93" s="2116">
        <v>122.15352322790719</v>
      </c>
      <c r="GT93" s="1960">
        <v>122.73449674773596</v>
      </c>
      <c r="GU93" s="1960">
        <v>122.73885681319985</v>
      </c>
      <c r="GV93" s="1960">
        <v>124.14352082083744</v>
      </c>
      <c r="GW93" s="1960">
        <v>126.099971473441</v>
      </c>
      <c r="GX93" s="1960">
        <v>130.38890872750565</v>
      </c>
      <c r="GY93" s="1960">
        <v>131.81434728224139</v>
      </c>
      <c r="GZ93" s="1960">
        <v>145.51126634653932</v>
      </c>
      <c r="HA93" s="1960">
        <v>147.66217219461782</v>
      </c>
      <c r="HB93" s="1960">
        <v>152.83653944400228</v>
      </c>
      <c r="HC93" s="1960">
        <v>158.14203167978377</v>
      </c>
      <c r="HD93" s="1960">
        <v>173.62250954986388</v>
      </c>
      <c r="HE93" s="1960">
        <v>191.09337168768286</v>
      </c>
      <c r="HF93" s="1960">
        <v>207.10285605246548</v>
      </c>
      <c r="HG93" s="1960">
        <v>227.60995206974331</v>
      </c>
      <c r="HH93" s="2117">
        <v>232.23060523206138</v>
      </c>
      <c r="HI93" s="1960">
        <v>234.89334904372811</v>
      </c>
      <c r="HJ93" s="1960">
        <v>252.34130109409529</v>
      </c>
      <c r="HK93" s="1960">
        <v>277.67800411192661</v>
      </c>
      <c r="HL93" s="1960">
        <v>289.00319053976767</v>
      </c>
      <c r="HM93" s="1960">
        <v>300.52156405735712</v>
      </c>
      <c r="HN93" s="1960">
        <v>313.88137545836889</v>
      </c>
      <c r="HO93" s="1960">
        <v>323.00009227228168</v>
      </c>
      <c r="HP93" s="1960">
        <v>366.8051056666078</v>
      </c>
      <c r="HQ93" s="1960">
        <v>389.63374810743062</v>
      </c>
      <c r="HR93" s="1960">
        <v>392.45803124087558</v>
      </c>
      <c r="HS93" s="1960">
        <v>411.16504533948944</v>
      </c>
      <c r="HT93" s="1962">
        <v>428.46101623162764</v>
      </c>
      <c r="HU93" s="1961">
        <v>437.45885914526912</v>
      </c>
      <c r="HV93" s="1960">
        <v>450.50314229917478</v>
      </c>
      <c r="HW93" s="1960">
        <v>467.69605041353344</v>
      </c>
      <c r="HX93" s="1960">
        <v>467.69605041353344</v>
      </c>
      <c r="HY93" s="1960">
        <v>480.22088002388551</v>
      </c>
      <c r="HZ93" s="1960">
        <v>480.22088002388551</v>
      </c>
      <c r="IA93" s="1960">
        <v>480.22088002388551</v>
      </c>
      <c r="IB93" s="1960">
        <v>483.42812736170907</v>
      </c>
      <c r="IC93" s="1960">
        <v>492.46471440215998</v>
      </c>
      <c r="ID93" s="1960">
        <v>507.23465454609209</v>
      </c>
      <c r="IE93" s="1960">
        <v>521.37791012264768</v>
      </c>
      <c r="IF93" s="1960">
        <v>521.37791012264768</v>
      </c>
      <c r="IG93" s="1961">
        <v>534.33629324914534</v>
      </c>
      <c r="IH93" s="1960">
        <v>589.11783656771911</v>
      </c>
      <c r="II93" s="1960">
        <v>598.83334446794947</v>
      </c>
      <c r="IJ93" s="1961">
        <v>632.30722703623678</v>
      </c>
      <c r="IK93" s="1960">
        <v>653.00822596176079</v>
      </c>
      <c r="IL93" s="1960">
        <v>684.02565857492914</v>
      </c>
      <c r="IM93" s="1960">
        <v>719.3672742374597</v>
      </c>
      <c r="IN93" s="1960">
        <v>756.67833563438182</v>
      </c>
      <c r="IO93" s="1960">
        <v>756.67915284698438</v>
      </c>
      <c r="IP93" s="1960">
        <v>793.29902089015513</v>
      </c>
      <c r="IQ93" s="1960">
        <v>812.65234380379138</v>
      </c>
      <c r="IR93" s="1960">
        <v>827.52757808392107</v>
      </c>
      <c r="IS93" s="2274">
        <v>829.22558782010765</v>
      </c>
      <c r="IT93" s="1960">
        <v>887.91174756422151</v>
      </c>
      <c r="IU93" s="1960">
        <v>935.35050969010661</v>
      </c>
      <c r="IV93" s="1960">
        <v>984.52862673999402</v>
      </c>
      <c r="IW93" s="1960">
        <v>1099.5099056466984</v>
      </c>
      <c r="IX93" s="1960">
        <v>1165.4519076049023</v>
      </c>
      <c r="IY93" s="1960">
        <v>1294.2937558572078</v>
      </c>
      <c r="IZ93" s="1960">
        <v>1364.8122092245303</v>
      </c>
      <c r="JA93" s="1960">
        <v>1438.5631563891748</v>
      </c>
      <c r="JB93" s="1960">
        <v>1602.2073568368457</v>
      </c>
      <c r="JC93" s="1960">
        <v>1766.3229010216764</v>
      </c>
      <c r="JD93" s="1960">
        <v>1814.7862579254372</v>
      </c>
      <c r="JE93" s="2274">
        <v>1987.512008763963</v>
      </c>
      <c r="JF93" s="2117">
        <v>2105.5285716736153</v>
      </c>
      <c r="JG93" s="2103">
        <f t="shared" si="13"/>
        <v>1.059379043945021</v>
      </c>
      <c r="JI93" s="2155"/>
      <c r="JJ93" s="2104"/>
    </row>
    <row r="94" spans="2:270" ht="21" customHeight="1">
      <c r="B94" s="2276">
        <v>70</v>
      </c>
      <c r="C94" s="2277" t="s">
        <v>171</v>
      </c>
      <c r="D94" s="2278" t="s">
        <v>1206</v>
      </c>
      <c r="E94" s="2303" t="s">
        <v>172</v>
      </c>
      <c r="F94" s="2277" t="s">
        <v>918</v>
      </c>
      <c r="G94" s="2278" t="s">
        <v>1112</v>
      </c>
      <c r="H94" s="2277" t="s">
        <v>929</v>
      </c>
      <c r="I94" s="2277" t="s">
        <v>930</v>
      </c>
      <c r="J94" s="2280" t="s">
        <v>173</v>
      </c>
      <c r="K94" s="2278"/>
      <c r="L94" s="2281">
        <v>80.599999999999994</v>
      </c>
      <c r="M94" s="2281">
        <v>80.8</v>
      </c>
      <c r="N94" s="2281">
        <v>83.6</v>
      </c>
      <c r="O94" s="2281">
        <v>84.1</v>
      </c>
      <c r="P94" s="2281">
        <v>87.4</v>
      </c>
      <c r="Q94" s="2281">
        <v>92.7</v>
      </c>
      <c r="R94" s="2281">
        <v>95.8</v>
      </c>
      <c r="S94" s="2281">
        <v>100.3</v>
      </c>
      <c r="T94" s="2281">
        <v>108.5</v>
      </c>
      <c r="U94" s="2281">
        <v>117.6</v>
      </c>
      <c r="V94" s="2281">
        <v>126</v>
      </c>
      <c r="W94" s="2281">
        <v>139.30000000000001</v>
      </c>
      <c r="X94" s="2281">
        <v>142.9</v>
      </c>
      <c r="Y94" s="2281">
        <v>145.69999999999999</v>
      </c>
      <c r="Z94" s="2281">
        <v>145.69999999999999</v>
      </c>
      <c r="AA94" s="2281">
        <v>149.5</v>
      </c>
      <c r="AB94" s="2281">
        <v>151</v>
      </c>
      <c r="AC94" s="2281">
        <v>151</v>
      </c>
      <c r="AD94" s="2281">
        <v>151.1</v>
      </c>
      <c r="AE94" s="2281">
        <v>151.6</v>
      </c>
      <c r="AF94" s="2281">
        <v>150.5</v>
      </c>
      <c r="AG94" s="2281">
        <v>151.80000000000001</v>
      </c>
      <c r="AH94" s="2281">
        <v>150.9</v>
      </c>
      <c r="AI94" s="2281">
        <v>153.69999999999999</v>
      </c>
      <c r="AJ94" s="2281">
        <v>155.9</v>
      </c>
      <c r="AK94" s="2281">
        <v>155.4</v>
      </c>
      <c r="AL94" s="2281">
        <v>155.9</v>
      </c>
      <c r="AM94" s="2281">
        <v>156.19999999999999</v>
      </c>
      <c r="AN94" s="2281">
        <v>158.9</v>
      </c>
      <c r="AO94" s="2281">
        <v>163</v>
      </c>
      <c r="AP94" s="2281">
        <v>163.4</v>
      </c>
      <c r="AQ94" s="2281">
        <v>163.80000000000001</v>
      </c>
      <c r="AR94" s="2281">
        <v>167.9</v>
      </c>
      <c r="AS94" s="2281">
        <v>168.7</v>
      </c>
      <c r="AT94" s="2281">
        <v>169.1</v>
      </c>
      <c r="AU94" s="2281">
        <v>171</v>
      </c>
      <c r="AV94" s="2281">
        <v>171.3</v>
      </c>
      <c r="AW94" s="2282">
        <v>173.6</v>
      </c>
      <c r="AX94" s="2282">
        <v>174</v>
      </c>
      <c r="AY94" s="2282">
        <v>175.2</v>
      </c>
      <c r="AZ94" s="2282">
        <v>177.9</v>
      </c>
      <c r="BA94" s="2282">
        <v>179.5</v>
      </c>
      <c r="BB94" s="2282">
        <v>184.9</v>
      </c>
      <c r="BC94" s="2282">
        <v>185.7</v>
      </c>
      <c r="BD94" s="2283">
        <v>188.3</v>
      </c>
      <c r="BE94" s="2282">
        <v>188.4</v>
      </c>
      <c r="BF94" s="2283">
        <v>189.6</v>
      </c>
      <c r="BG94" s="2283">
        <v>193.5</v>
      </c>
      <c r="BH94" s="2283">
        <v>194.5</v>
      </c>
      <c r="BI94" s="2284">
        <v>196.7</v>
      </c>
      <c r="BJ94" s="2284">
        <v>196.7</v>
      </c>
      <c r="BK94" s="2284">
        <v>199.2</v>
      </c>
      <c r="BL94" s="2284">
        <v>201.4</v>
      </c>
      <c r="BM94" s="2284">
        <v>205</v>
      </c>
      <c r="BN94" s="2284">
        <v>207.7</v>
      </c>
      <c r="BO94" s="2284">
        <v>211.9</v>
      </c>
      <c r="BP94" s="2284">
        <v>211.9</v>
      </c>
      <c r="BQ94" s="2284">
        <v>213.2</v>
      </c>
      <c r="BR94" s="2284">
        <v>213.2</v>
      </c>
      <c r="BS94" s="2284">
        <v>214.1</v>
      </c>
      <c r="BT94" s="2284">
        <v>214.4</v>
      </c>
      <c r="BU94" s="2284">
        <v>217.3</v>
      </c>
      <c r="BV94" s="2284">
        <v>217.6</v>
      </c>
      <c r="BW94" s="2284">
        <v>222.2</v>
      </c>
      <c r="BX94" s="2284">
        <v>223.3</v>
      </c>
      <c r="BY94" s="2284">
        <v>223.8</v>
      </c>
      <c r="BZ94" s="2284">
        <v>228.4</v>
      </c>
      <c r="CA94" s="2284">
        <v>230.1</v>
      </c>
      <c r="CB94" s="2284">
        <v>240.2</v>
      </c>
      <c r="CC94" s="2284">
        <v>232.6</v>
      </c>
      <c r="CD94" s="2284">
        <v>243.4</v>
      </c>
      <c r="CE94" s="2284">
        <v>252</v>
      </c>
      <c r="CF94" s="2284">
        <v>259.89999999999998</v>
      </c>
      <c r="CG94" s="2284">
        <v>266.7</v>
      </c>
      <c r="CH94" s="2284">
        <v>270.39999999999998</v>
      </c>
      <c r="CI94" s="2284">
        <v>272.5</v>
      </c>
      <c r="CJ94" s="2284">
        <v>280.2</v>
      </c>
      <c r="CK94" s="2284">
        <v>281.2</v>
      </c>
      <c r="CL94" s="2284">
        <v>287.10000000000002</v>
      </c>
      <c r="CM94" s="2284">
        <v>291.5</v>
      </c>
      <c r="CN94" s="2284">
        <v>293.5</v>
      </c>
      <c r="CO94" s="2284">
        <v>300.60000000000002</v>
      </c>
      <c r="CP94" s="2284">
        <v>300.60000000000002</v>
      </c>
      <c r="CQ94" s="2284">
        <v>300.60000000000002</v>
      </c>
      <c r="CR94" s="2284">
        <v>300.60000000000002</v>
      </c>
      <c r="CS94" s="2284">
        <v>302.89999999999998</v>
      </c>
      <c r="CT94" s="2284">
        <v>301.8</v>
      </c>
      <c r="CU94" s="2284">
        <v>300.60000000000002</v>
      </c>
      <c r="CV94" s="2284">
        <v>301.8</v>
      </c>
      <c r="CW94" s="2284">
        <v>304.3</v>
      </c>
      <c r="CX94" s="2284">
        <v>304.7</v>
      </c>
      <c r="CY94" s="2284">
        <v>305.7</v>
      </c>
      <c r="CZ94" s="2284">
        <v>314.2</v>
      </c>
      <c r="DA94" s="2284">
        <v>318.7</v>
      </c>
      <c r="DB94" s="2284">
        <v>316.3</v>
      </c>
      <c r="DC94" s="2284">
        <v>316.3</v>
      </c>
      <c r="DD94" s="2284">
        <v>316.3</v>
      </c>
      <c r="DE94" s="2284">
        <v>319.7</v>
      </c>
      <c r="DF94" s="2284">
        <v>322.10000000000002</v>
      </c>
      <c r="DG94" s="2284">
        <v>322.10000000000002</v>
      </c>
      <c r="DH94" s="2284">
        <v>331.7</v>
      </c>
      <c r="DI94" s="2284">
        <v>336.3</v>
      </c>
      <c r="DJ94" s="2284">
        <v>338.6</v>
      </c>
      <c r="DK94" s="2284">
        <v>338.6</v>
      </c>
      <c r="DL94" s="2284">
        <v>338.6</v>
      </c>
      <c r="DM94" s="2284">
        <v>351.2</v>
      </c>
      <c r="DN94" s="2284">
        <v>354.1</v>
      </c>
      <c r="DO94" s="2284">
        <v>368.7</v>
      </c>
      <c r="DP94" s="2284">
        <v>373.3</v>
      </c>
      <c r="DQ94" s="2284">
        <v>375.6</v>
      </c>
      <c r="DR94" s="2284">
        <v>380.1</v>
      </c>
      <c r="DS94" s="2284">
        <v>383.4</v>
      </c>
      <c r="DT94" s="2284">
        <v>391.9</v>
      </c>
      <c r="DU94" s="2284">
        <v>398.9</v>
      </c>
      <c r="DV94" s="2284">
        <v>402.8</v>
      </c>
      <c r="DW94" s="2284">
        <v>399.6</v>
      </c>
      <c r="DX94" s="2284">
        <v>397.4</v>
      </c>
      <c r="DY94" s="2284">
        <v>401.7</v>
      </c>
      <c r="DZ94" s="2284">
        <v>406.7</v>
      </c>
      <c r="EA94" s="2284">
        <v>406.7</v>
      </c>
      <c r="EB94" s="2284">
        <v>406.7</v>
      </c>
      <c r="EC94" s="2284">
        <v>411.7</v>
      </c>
      <c r="ED94" s="2284">
        <v>411.7</v>
      </c>
      <c r="EE94" s="2284">
        <v>411.7</v>
      </c>
      <c r="EF94" s="2284">
        <v>424.3</v>
      </c>
      <c r="EG94" s="2284">
        <v>427.6</v>
      </c>
      <c r="EH94" s="2284">
        <v>427.6</v>
      </c>
      <c r="EI94" s="2284">
        <v>432.7</v>
      </c>
      <c r="EJ94" s="2284">
        <v>430.1</v>
      </c>
      <c r="EK94" s="2284">
        <v>430.6</v>
      </c>
      <c r="EL94" s="2284">
        <v>434.5</v>
      </c>
      <c r="EM94" s="2284">
        <v>455.4</v>
      </c>
      <c r="EN94" s="2284">
        <v>463.2</v>
      </c>
      <c r="EO94" s="2284">
        <v>465.8</v>
      </c>
      <c r="EP94" s="2284">
        <v>483.9</v>
      </c>
      <c r="EQ94" s="2284">
        <v>485.8</v>
      </c>
      <c r="ER94" s="2284">
        <v>503.3</v>
      </c>
      <c r="ES94" s="2284">
        <v>507.5</v>
      </c>
      <c r="ET94" s="2284">
        <v>513.5</v>
      </c>
      <c r="EU94" s="2284">
        <v>517.20000000000005</v>
      </c>
      <c r="EV94" s="2284">
        <v>526.70000000000005</v>
      </c>
      <c r="EW94" s="2284">
        <v>536.70000000000005</v>
      </c>
      <c r="EX94" s="2284">
        <v>541.29999999999995</v>
      </c>
      <c r="EY94" s="2284">
        <v>549.29999999999995</v>
      </c>
      <c r="EZ94" s="2284">
        <v>554.6</v>
      </c>
      <c r="FA94" s="2284">
        <v>584.79999999999995</v>
      </c>
      <c r="FB94" s="2284">
        <v>649.79999999999995</v>
      </c>
      <c r="FC94" s="2284">
        <v>670.4</v>
      </c>
      <c r="FD94" s="2284">
        <v>685.2</v>
      </c>
      <c r="FE94" s="2284">
        <v>690.2</v>
      </c>
      <c r="FF94" s="2284">
        <v>719.4</v>
      </c>
      <c r="FG94" s="2284">
        <v>758.4</v>
      </c>
      <c r="FH94" s="2284">
        <v>774.5</v>
      </c>
      <c r="FI94" s="2284">
        <v>794.5</v>
      </c>
      <c r="FJ94" s="2284">
        <v>802.1</v>
      </c>
      <c r="FK94" s="2284">
        <v>827.3</v>
      </c>
      <c r="FL94" s="2284">
        <v>859</v>
      </c>
      <c r="FM94" s="2284">
        <v>878</v>
      </c>
      <c r="FN94" s="2284">
        <v>883.3</v>
      </c>
      <c r="FO94" s="2284">
        <v>904.5</v>
      </c>
      <c r="FP94" s="2284">
        <v>954.8</v>
      </c>
      <c r="FQ94" s="2284">
        <v>980.5</v>
      </c>
      <c r="FR94" s="2284">
        <v>995.5</v>
      </c>
      <c r="FS94" s="2284">
        <v>1032.3</v>
      </c>
      <c r="FT94" s="2284">
        <v>1049.4000000000001</v>
      </c>
      <c r="FU94" s="2284">
        <v>1056.8</v>
      </c>
      <c r="FV94" s="2284">
        <v>1047.8</v>
      </c>
      <c r="FW94" s="2285">
        <v>1213.0213603991085</v>
      </c>
      <c r="FX94" s="2285">
        <v>1313.732288329898</v>
      </c>
      <c r="FY94" s="2285">
        <v>100</v>
      </c>
      <c r="FZ94" s="2285">
        <v>103.8446307182312</v>
      </c>
      <c r="GA94" s="2285">
        <v>106.92529240449034</v>
      </c>
      <c r="GB94" s="2285">
        <v>106.92529240449034</v>
      </c>
      <c r="GC94" s="2285">
        <v>106.92529240449034</v>
      </c>
      <c r="GD94" s="2285">
        <v>104.52240093878589</v>
      </c>
      <c r="GE94" s="2285">
        <v>104.52240093878589</v>
      </c>
      <c r="GF94" s="2286">
        <v>104.52240093878589</v>
      </c>
      <c r="GG94" s="2287">
        <v>104.52240093878589</v>
      </c>
      <c r="GH94" s="2286">
        <v>104.52240093878589</v>
      </c>
      <c r="GI94" s="2286">
        <v>104.52240093878589</v>
      </c>
      <c r="GJ94" s="2285">
        <v>106.91734544977557</v>
      </c>
      <c r="GK94" s="2285">
        <v>106.91734544977557</v>
      </c>
      <c r="GL94" s="2285">
        <v>110.53161119762531</v>
      </c>
      <c r="GM94" s="2286">
        <v>110.53161119762531</v>
      </c>
      <c r="GN94" s="2286">
        <v>110.53161119762531</v>
      </c>
      <c r="GO94" s="2288">
        <v>112.22157607110299</v>
      </c>
      <c r="GP94" s="2289">
        <v>112.22157607110299</v>
      </c>
      <c r="GQ94" s="2289">
        <v>112.22157607110299</v>
      </c>
      <c r="GR94" s="2289">
        <v>112.22157607110299</v>
      </c>
      <c r="GS94" s="2289">
        <v>117.26764922265754</v>
      </c>
      <c r="GT94" s="2287">
        <v>117.26764922265754</v>
      </c>
      <c r="GU94" s="2287">
        <v>119.67053915261781</v>
      </c>
      <c r="GV94" s="2287">
        <v>119.67053915261781</v>
      </c>
      <c r="GW94" s="2287">
        <v>125.67777022991385</v>
      </c>
      <c r="GX94" s="2287">
        <v>128.08066649781611</v>
      </c>
      <c r="GY94" s="2287">
        <v>128.08066649781611</v>
      </c>
      <c r="GZ94" s="2287">
        <v>128.08066649781611</v>
      </c>
      <c r="HA94" s="2287">
        <v>128.08066649781611</v>
      </c>
      <c r="HB94" s="2287">
        <v>148.00433217746973</v>
      </c>
      <c r="HC94" s="2287">
        <v>148.00433217746973</v>
      </c>
      <c r="HD94" s="2287">
        <v>160.55603956886625</v>
      </c>
      <c r="HE94" s="2287">
        <v>166.17550095377661</v>
      </c>
      <c r="HF94" s="2287">
        <v>171.51056319478033</v>
      </c>
      <c r="HG94" s="2287">
        <v>168.24474702743686</v>
      </c>
      <c r="HH94" s="2290">
        <v>168.24474702743686</v>
      </c>
      <c r="HI94" s="2287">
        <v>169.98660877712547</v>
      </c>
      <c r="HJ94" s="2287">
        <v>175.43039480201278</v>
      </c>
      <c r="HK94" s="2287">
        <v>179.82297448500208</v>
      </c>
      <c r="HL94" s="2287">
        <v>198.10110014173065</v>
      </c>
      <c r="HM94" s="2287">
        <v>214.21272394102303</v>
      </c>
      <c r="HN94" s="2287">
        <v>227.39422431097603</v>
      </c>
      <c r="HO94" s="2287">
        <v>232.22684136985373</v>
      </c>
      <c r="HP94" s="2287">
        <v>261.56746778858593</v>
      </c>
      <c r="HQ94" s="2287">
        <v>282.79414711174343</v>
      </c>
      <c r="HR94" s="2287">
        <v>286.61218041849122</v>
      </c>
      <c r="HS94" s="2287">
        <v>297.96294702298877</v>
      </c>
      <c r="HT94" s="2291">
        <v>307.31080418449432</v>
      </c>
      <c r="HU94" s="2292">
        <v>310.61522143378994</v>
      </c>
      <c r="HV94" s="2287">
        <v>316.83825523108175</v>
      </c>
      <c r="HW94" s="2287">
        <v>316.83825523108175</v>
      </c>
      <c r="HX94" s="2287">
        <v>316.83825523108175</v>
      </c>
      <c r="HY94" s="2287">
        <v>316.83825523108175</v>
      </c>
      <c r="HZ94" s="2287">
        <v>316.83825523108175</v>
      </c>
      <c r="IA94" s="2287">
        <v>327.84248347632314</v>
      </c>
      <c r="IB94" s="2287">
        <v>334.08983150060976</v>
      </c>
      <c r="IC94" s="2287">
        <v>338.37096402905388</v>
      </c>
      <c r="ID94" s="2287">
        <v>351.27069534873675</v>
      </c>
      <c r="IE94" s="2287">
        <v>359.01219827653262</v>
      </c>
      <c r="IF94" s="2287">
        <v>363.88084041085642</v>
      </c>
      <c r="IG94" s="2292">
        <v>394.41337069820412</v>
      </c>
      <c r="IH94" s="2287">
        <v>409.84066350758246</v>
      </c>
      <c r="II94" s="2287">
        <v>409.84066350758246</v>
      </c>
      <c r="IJ94" s="2292">
        <v>409.84066350758246</v>
      </c>
      <c r="IK94" s="2287">
        <v>430.65528672615602</v>
      </c>
      <c r="IL94" s="2287">
        <v>430.65528672615602</v>
      </c>
      <c r="IM94" s="2287">
        <v>430.65528672615602</v>
      </c>
      <c r="IN94" s="2287">
        <v>430.65528672615602</v>
      </c>
      <c r="IO94" s="2287">
        <v>434.97260597558574</v>
      </c>
      <c r="IP94" s="2287">
        <v>462.78589695132035</v>
      </c>
      <c r="IQ94" s="2287">
        <v>462.78589695132035</v>
      </c>
      <c r="IR94" s="2287">
        <v>469.39712405062488</v>
      </c>
      <c r="IS94" s="2293">
        <v>501.67173109438511</v>
      </c>
      <c r="IT94" s="2287">
        <v>502.77917420938377</v>
      </c>
      <c r="IU94" s="2287">
        <v>523.93800072061708</v>
      </c>
      <c r="IV94" s="2287">
        <v>567.46723874950555</v>
      </c>
      <c r="IW94" s="2287">
        <v>602.37097764084422</v>
      </c>
      <c r="IX94" s="2287">
        <v>650.19067508535022</v>
      </c>
      <c r="IY94" s="2287">
        <v>726.52584112375246</v>
      </c>
      <c r="IZ94" s="2287">
        <v>792.7377570959361</v>
      </c>
      <c r="JA94" s="2287">
        <v>826.32713767624261</v>
      </c>
      <c r="JB94" s="2287">
        <v>854.39107820109609</v>
      </c>
      <c r="JC94" s="2287">
        <v>892.78015678328234</v>
      </c>
      <c r="JD94" s="2287">
        <v>942.59149955021246</v>
      </c>
      <c r="JE94" s="2293">
        <v>983.29115909243365</v>
      </c>
      <c r="JF94" s="2290">
        <v>1117.6379460234236</v>
      </c>
      <c r="JG94" s="2103">
        <f t="shared" si="13"/>
        <v>1.1366297110359362</v>
      </c>
      <c r="JI94" s="2155"/>
      <c r="JJ94" s="2104"/>
    </row>
    <row r="95" spans="2:270" ht="31.5">
      <c r="B95" s="2105">
        <v>72</v>
      </c>
      <c r="C95" s="2106" t="s">
        <v>176</v>
      </c>
      <c r="D95" s="2425" t="s">
        <v>1207</v>
      </c>
      <c r="E95" s="2128" t="s">
        <v>177</v>
      </c>
      <c r="F95" s="2106" t="s">
        <v>918</v>
      </c>
      <c r="G95" s="2425" t="s">
        <v>1112</v>
      </c>
      <c r="H95" s="2106" t="s">
        <v>919</v>
      </c>
      <c r="I95" s="2106" t="s">
        <v>920</v>
      </c>
      <c r="J95" s="2359" t="s">
        <v>921</v>
      </c>
      <c r="K95" s="2425"/>
      <c r="L95" s="2110">
        <v>98.77</v>
      </c>
      <c r="M95" s="2110">
        <v>107.66</v>
      </c>
      <c r="N95" s="2110">
        <v>134.63</v>
      </c>
      <c r="O95" s="2110">
        <v>133.29</v>
      </c>
      <c r="P95" s="2110">
        <v>161.88</v>
      </c>
      <c r="Q95" s="2110">
        <v>169.85</v>
      </c>
      <c r="R95" s="2110">
        <v>194.69</v>
      </c>
      <c r="S95" s="2110">
        <v>196.84</v>
      </c>
      <c r="T95" s="2110">
        <v>204.35</v>
      </c>
      <c r="U95" s="2110">
        <v>204.04</v>
      </c>
      <c r="V95" s="2110">
        <v>205.25</v>
      </c>
      <c r="W95" s="2110">
        <v>191.68</v>
      </c>
      <c r="X95" s="2110">
        <v>191.68</v>
      </c>
      <c r="Y95" s="2110">
        <v>191.68</v>
      </c>
      <c r="Z95" s="2110">
        <v>191.68</v>
      </c>
      <c r="AA95" s="2110">
        <v>191.68</v>
      </c>
      <c r="AB95" s="2110">
        <v>191.99</v>
      </c>
      <c r="AC95" s="2110">
        <v>191.99</v>
      </c>
      <c r="AD95" s="2110">
        <v>193</v>
      </c>
      <c r="AE95" s="2110">
        <v>193</v>
      </c>
      <c r="AF95" s="2110">
        <v>192.69</v>
      </c>
      <c r="AG95" s="2110">
        <v>192.69</v>
      </c>
      <c r="AH95" s="2110">
        <v>185.17</v>
      </c>
      <c r="AI95" s="2110">
        <v>192.69</v>
      </c>
      <c r="AJ95" s="2110">
        <v>192.68</v>
      </c>
      <c r="AK95" s="2110">
        <v>192.68</v>
      </c>
      <c r="AL95" s="2110">
        <v>193.73</v>
      </c>
      <c r="AM95" s="2110">
        <v>193.73</v>
      </c>
      <c r="AN95" s="2110">
        <v>204.84</v>
      </c>
      <c r="AO95" s="2110">
        <v>204.84</v>
      </c>
      <c r="AP95" s="2110">
        <v>206.79</v>
      </c>
      <c r="AQ95" s="2110">
        <v>211.87</v>
      </c>
      <c r="AR95" s="2110">
        <v>211.87</v>
      </c>
      <c r="AS95" s="2110">
        <v>213.02</v>
      </c>
      <c r="AT95" s="2110">
        <v>205.74</v>
      </c>
      <c r="AU95" s="2110">
        <v>211.58</v>
      </c>
      <c r="AV95" s="2110">
        <v>213.11</v>
      </c>
      <c r="AW95" s="2111">
        <v>217.41</v>
      </c>
      <c r="AX95" s="2111">
        <v>217.41</v>
      </c>
      <c r="AY95" s="2111">
        <v>217.66</v>
      </c>
      <c r="AZ95" s="2111">
        <v>219.1</v>
      </c>
      <c r="BA95" s="2111">
        <v>220.73</v>
      </c>
      <c r="BB95" s="2111">
        <v>220.73</v>
      </c>
      <c r="BC95" s="2111">
        <v>223.24</v>
      </c>
      <c r="BD95" s="2112">
        <v>224.2</v>
      </c>
      <c r="BE95" s="2111">
        <v>232.24</v>
      </c>
      <c r="BF95" s="2112">
        <v>234.59</v>
      </c>
      <c r="BG95" s="2112">
        <v>234.91</v>
      </c>
      <c r="BH95" s="2112">
        <v>268.25</v>
      </c>
      <c r="BI95" s="2108">
        <v>269.20999999999998</v>
      </c>
      <c r="BJ95" s="2108">
        <v>276.67</v>
      </c>
      <c r="BK95" s="2108">
        <v>276.67</v>
      </c>
      <c r="BL95" s="2108">
        <v>277.70999999999998</v>
      </c>
      <c r="BM95" s="2108">
        <v>277.70999999999998</v>
      </c>
      <c r="BN95" s="2108">
        <v>280.14</v>
      </c>
      <c r="BO95" s="2108">
        <v>280.81</v>
      </c>
      <c r="BP95" s="2108">
        <v>280.81</v>
      </c>
      <c r="BQ95" s="2108">
        <v>282.58999999999997</v>
      </c>
      <c r="BR95" s="2108">
        <v>282.58999999999997</v>
      </c>
      <c r="BS95" s="2108">
        <v>284.08999999999997</v>
      </c>
      <c r="BT95" s="2108">
        <v>290.33999999999997</v>
      </c>
      <c r="BU95" s="2108">
        <v>290.33999999999997</v>
      </c>
      <c r="BV95" s="2108">
        <v>290.33999999999997</v>
      </c>
      <c r="BW95" s="2108">
        <v>292.52</v>
      </c>
      <c r="BX95" s="2108">
        <v>293.64999999999998</v>
      </c>
      <c r="BY95" s="2108">
        <v>296.37</v>
      </c>
      <c r="BZ95" s="2108">
        <v>298.55</v>
      </c>
      <c r="CA95" s="2108">
        <v>298.55</v>
      </c>
      <c r="CB95" s="2108">
        <v>357.83</v>
      </c>
      <c r="CC95" s="2108">
        <v>304.11</v>
      </c>
      <c r="CD95" s="2108">
        <v>316.20999999999998</v>
      </c>
      <c r="CE95" s="2108">
        <v>322.8</v>
      </c>
      <c r="CF95" s="2108">
        <v>325.19</v>
      </c>
      <c r="CG95" s="2108">
        <v>327.27999999999997</v>
      </c>
      <c r="CH95" s="2108">
        <v>329.41</v>
      </c>
      <c r="CI95" s="2108">
        <v>332.63</v>
      </c>
      <c r="CJ95" s="2108">
        <v>334.92</v>
      </c>
      <c r="CK95" s="2108">
        <v>338.67</v>
      </c>
      <c r="CL95" s="2108">
        <v>346.75</v>
      </c>
      <c r="CM95" s="2108">
        <v>355.73</v>
      </c>
      <c r="CN95" s="2108">
        <v>355.73</v>
      </c>
      <c r="CO95" s="2108">
        <v>363.6</v>
      </c>
      <c r="CP95" s="2108">
        <v>368.41</v>
      </c>
      <c r="CQ95" s="2108">
        <v>362.02</v>
      </c>
      <c r="CR95" s="2108">
        <v>365.36</v>
      </c>
      <c r="CS95" s="2108">
        <v>373.88</v>
      </c>
      <c r="CT95" s="2108">
        <v>371.77</v>
      </c>
      <c r="CU95" s="2108">
        <v>376.36</v>
      </c>
      <c r="CV95" s="2108">
        <v>389.92</v>
      </c>
      <c r="CW95" s="2108">
        <v>393.19</v>
      </c>
      <c r="CX95" s="2108">
        <v>396.98</v>
      </c>
      <c r="CY95" s="2108">
        <v>411.36</v>
      </c>
      <c r="CZ95" s="2108">
        <v>411.36</v>
      </c>
      <c r="DA95" s="2108">
        <v>409.03</v>
      </c>
      <c r="DB95" s="2108">
        <v>409.03</v>
      </c>
      <c r="DC95" s="2108">
        <v>417.72</v>
      </c>
      <c r="DD95" s="2108">
        <v>417.72</v>
      </c>
      <c r="DE95" s="2108">
        <v>436.06</v>
      </c>
      <c r="DF95" s="2108">
        <v>425.88</v>
      </c>
      <c r="DG95" s="2108">
        <v>418.86</v>
      </c>
      <c r="DH95" s="2108">
        <v>422.71</v>
      </c>
      <c r="DI95" s="2108">
        <v>427.46</v>
      </c>
      <c r="DJ95" s="2108">
        <v>420.47</v>
      </c>
      <c r="DK95" s="2108">
        <v>427.38</v>
      </c>
      <c r="DL95" s="2108">
        <v>411.39</v>
      </c>
      <c r="DM95" s="2108">
        <v>422.84</v>
      </c>
      <c r="DN95" s="2108">
        <v>425.13</v>
      </c>
      <c r="DO95" s="2108">
        <v>432.17</v>
      </c>
      <c r="DP95" s="2108">
        <v>448.14</v>
      </c>
      <c r="DQ95" s="2108">
        <v>454.63</v>
      </c>
      <c r="DR95" s="2108">
        <v>454.63</v>
      </c>
      <c r="DS95" s="2108">
        <v>456.65</v>
      </c>
      <c r="DT95" s="2108">
        <v>447.05</v>
      </c>
      <c r="DU95" s="2108">
        <v>447.05</v>
      </c>
      <c r="DV95" s="2108">
        <v>461.87</v>
      </c>
      <c r="DW95" s="2108">
        <v>467.16</v>
      </c>
      <c r="DX95" s="2108">
        <v>477.57</v>
      </c>
      <c r="DY95" s="2108">
        <v>477.57</v>
      </c>
      <c r="DZ95" s="2108">
        <v>496.75</v>
      </c>
      <c r="EA95" s="2108">
        <v>508.18</v>
      </c>
      <c r="EB95" s="2108">
        <v>510.09</v>
      </c>
      <c r="EC95" s="2108">
        <v>517.78</v>
      </c>
      <c r="ED95" s="2108">
        <v>534.54</v>
      </c>
      <c r="EE95" s="2108">
        <v>534.54</v>
      </c>
      <c r="EF95" s="2108">
        <v>547.14</v>
      </c>
      <c r="EG95" s="2108">
        <v>554.12</v>
      </c>
      <c r="EH95" s="2108">
        <v>558.13</v>
      </c>
      <c r="EI95" s="2108">
        <v>566.91999999999996</v>
      </c>
      <c r="EJ95" s="2108">
        <v>572.80999999999995</v>
      </c>
      <c r="EK95" s="2108">
        <v>594.12</v>
      </c>
      <c r="EL95" s="2108">
        <v>602.15</v>
      </c>
      <c r="EM95" s="2108">
        <v>598.91999999999996</v>
      </c>
      <c r="EN95" s="2108">
        <v>601.37</v>
      </c>
      <c r="EO95" s="2108">
        <v>614.53</v>
      </c>
      <c r="EP95" s="2108">
        <v>626.09</v>
      </c>
      <c r="EQ95" s="2108">
        <v>630.92999999999995</v>
      </c>
      <c r="ER95" s="2108">
        <v>637.26</v>
      </c>
      <c r="ES95" s="2108">
        <v>653.17999999999995</v>
      </c>
      <c r="ET95" s="2108">
        <v>653.17999999999995</v>
      </c>
      <c r="EU95" s="2108">
        <v>668.69</v>
      </c>
      <c r="EV95" s="2108">
        <v>691.83</v>
      </c>
      <c r="EW95" s="2108">
        <v>693.58</v>
      </c>
      <c r="EX95" s="2108">
        <v>709.61</v>
      </c>
      <c r="EY95" s="2108">
        <v>718.27</v>
      </c>
      <c r="EZ95" s="2108">
        <v>724.42</v>
      </c>
      <c r="FA95" s="2108">
        <v>778.98</v>
      </c>
      <c r="FB95" s="2108">
        <v>830.83</v>
      </c>
      <c r="FC95" s="2108">
        <v>855.5</v>
      </c>
      <c r="FD95" s="2108">
        <v>870.6</v>
      </c>
      <c r="FE95" s="2108">
        <v>887.51</v>
      </c>
      <c r="FF95" s="2108">
        <v>904</v>
      </c>
      <c r="FG95" s="2108">
        <v>903.58</v>
      </c>
      <c r="FH95" s="2108">
        <v>933.43</v>
      </c>
      <c r="FI95" s="2108">
        <v>946.29</v>
      </c>
      <c r="FJ95" s="2108">
        <v>986.4</v>
      </c>
      <c r="FK95" s="2108">
        <v>998.14</v>
      </c>
      <c r="FL95" s="2108">
        <v>998.14</v>
      </c>
      <c r="FM95" s="2108">
        <v>1004.56</v>
      </c>
      <c r="FN95" s="2108">
        <v>1008.91</v>
      </c>
      <c r="FO95" s="2108">
        <v>1029.0899999999999</v>
      </c>
      <c r="FP95" s="2108">
        <v>1043.8</v>
      </c>
      <c r="FQ95" s="2108">
        <v>1061.26</v>
      </c>
      <c r="FR95" s="2108">
        <v>1061.27</v>
      </c>
      <c r="FS95" s="2108">
        <v>1066.2</v>
      </c>
      <c r="FT95" s="2108">
        <v>1094.78</v>
      </c>
      <c r="FU95" s="2108">
        <v>1105.2</v>
      </c>
      <c r="FV95" s="2108">
        <v>1120.6300000000001</v>
      </c>
      <c r="FW95" s="2113">
        <v>1194.1060360594679</v>
      </c>
      <c r="FX95" s="2113">
        <v>1209.6016702299198</v>
      </c>
      <c r="FY95" s="2113">
        <v>100</v>
      </c>
      <c r="FZ95" s="2113">
        <v>99.775469303131089</v>
      </c>
      <c r="GA95" s="2113">
        <v>100.08903511729697</v>
      </c>
      <c r="GB95" s="2113">
        <v>101.32088338730972</v>
      </c>
      <c r="GC95" s="2113">
        <v>102.55273428019981</v>
      </c>
      <c r="GD95" s="2113">
        <v>102.55273428019981</v>
      </c>
      <c r="GE95" s="2113">
        <v>102.55273428019981</v>
      </c>
      <c r="GF95" s="2114">
        <v>102.55273428019981</v>
      </c>
      <c r="GG95" s="1960">
        <v>102.55273428019981</v>
      </c>
      <c r="GH95" s="2114">
        <v>102.55273428019981</v>
      </c>
      <c r="GI95" s="2114">
        <v>105.74435286972781</v>
      </c>
      <c r="GJ95" s="2113">
        <v>105.74435286972781</v>
      </c>
      <c r="GK95" s="2113">
        <v>106.80822430164994</v>
      </c>
      <c r="GL95" s="2113">
        <v>108.32004701751711</v>
      </c>
      <c r="GM95" s="2114">
        <v>109.7758698502083</v>
      </c>
      <c r="GN95" s="2114">
        <v>109.7758698502083</v>
      </c>
      <c r="GO95" s="2115">
        <v>109.75290993079709</v>
      </c>
      <c r="GP95" s="2116">
        <v>109.95392584525831</v>
      </c>
      <c r="GQ95" s="2116">
        <v>110.87277676255931</v>
      </c>
      <c r="GR95" s="2116">
        <v>110.87277676255931</v>
      </c>
      <c r="GS95" s="2116">
        <v>112.74350691828907</v>
      </c>
      <c r="GT95" s="1960">
        <v>113.86337415096374</v>
      </c>
      <c r="GU95" s="1960">
        <v>113.86337415096374</v>
      </c>
      <c r="GV95" s="1960">
        <v>115.09523009866049</v>
      </c>
      <c r="GW95" s="1960">
        <v>118.67879815587793</v>
      </c>
      <c r="GX95" s="1960">
        <v>123.5502040592911</v>
      </c>
      <c r="GY95" s="1960">
        <v>123.5502040592911</v>
      </c>
      <c r="GZ95" s="1960">
        <v>130.67768578813249</v>
      </c>
      <c r="HA95" s="1960">
        <v>139.50917777162891</v>
      </c>
      <c r="HB95" s="1960">
        <v>158.28921461952905</v>
      </c>
      <c r="HC95" s="1960">
        <v>159.95541429653375</v>
      </c>
      <c r="HD95" s="1960">
        <v>171.01328809642621</v>
      </c>
      <c r="HE95" s="1960">
        <v>194.66825596725141</v>
      </c>
      <c r="HF95" s="1960">
        <v>219.35746569845426</v>
      </c>
      <c r="HG95" s="1960">
        <v>244.19654112373414</v>
      </c>
      <c r="HH95" s="2117">
        <v>238.33533914498099</v>
      </c>
      <c r="HI95" s="1960">
        <v>261.63197582485731</v>
      </c>
      <c r="HJ95" s="1960">
        <v>255.35228878525774</v>
      </c>
      <c r="HK95" s="1960">
        <v>255.34013262564696</v>
      </c>
      <c r="HL95" s="1960">
        <v>256.06456372230645</v>
      </c>
      <c r="HM95" s="1960">
        <v>268.09754777427599</v>
      </c>
      <c r="HN95" s="1960">
        <v>279.9089978632411</v>
      </c>
      <c r="HO95" s="1960">
        <v>296.26226705658593</v>
      </c>
      <c r="HP95" s="1960">
        <v>325.06529683938936</v>
      </c>
      <c r="HQ95" s="1960">
        <v>368.23276840501717</v>
      </c>
      <c r="HR95" s="1960">
        <v>368.87738154157779</v>
      </c>
      <c r="HS95" s="1960">
        <v>368.87738154157779</v>
      </c>
      <c r="HT95" s="1962">
        <v>368.87738154157779</v>
      </c>
      <c r="HU95" s="1961">
        <v>369.65073899262904</v>
      </c>
      <c r="HV95" s="1960">
        <v>391.93849903085902</v>
      </c>
      <c r="HW95" s="1960">
        <v>391.93849903085902</v>
      </c>
      <c r="HX95" s="1960">
        <v>414.58802190754619</v>
      </c>
      <c r="HY95" s="1960">
        <v>430.38468039429989</v>
      </c>
      <c r="HZ95" s="1960">
        <v>434.91938488121298</v>
      </c>
      <c r="IA95" s="1960">
        <v>484.66017121542035</v>
      </c>
      <c r="IB95" s="1960">
        <v>511.10575896897871</v>
      </c>
      <c r="IC95" s="1960">
        <v>518.96125868484489</v>
      </c>
      <c r="ID95" s="1960">
        <v>530.01041544118118</v>
      </c>
      <c r="IE95" s="1960">
        <v>549.61399339712068</v>
      </c>
      <c r="IF95" s="1960">
        <v>552.09179734110865</v>
      </c>
      <c r="IG95" s="1961">
        <v>576.59905562739709</v>
      </c>
      <c r="IH95" s="1960">
        <v>581.95889108100084</v>
      </c>
      <c r="II95" s="1960">
        <v>595.15482171112876</v>
      </c>
      <c r="IJ95" s="1961">
        <v>599.83753673744604</v>
      </c>
      <c r="IK95" s="1960">
        <v>619.54212669928813</v>
      </c>
      <c r="IL95" s="1960">
        <v>624.73238746934146</v>
      </c>
      <c r="IM95" s="1960">
        <v>639.98610505433101</v>
      </c>
      <c r="IN95" s="1960">
        <v>656.84968421754888</v>
      </c>
      <c r="IO95" s="1960">
        <v>660.26070462769064</v>
      </c>
      <c r="IP95" s="1960">
        <v>678.77338081084997</v>
      </c>
      <c r="IQ95" s="1960">
        <v>688.52871183986349</v>
      </c>
      <c r="IR95" s="1960">
        <v>690.98926169338665</v>
      </c>
      <c r="IS95" s="2274">
        <v>644.54033293398732</v>
      </c>
      <c r="IT95" s="1960">
        <v>652.60613628084946</v>
      </c>
      <c r="IU95" s="1960">
        <v>675.4933667129626</v>
      </c>
      <c r="IV95" s="1960">
        <v>695.21453331633063</v>
      </c>
      <c r="IW95" s="1960">
        <v>720.60997437128367</v>
      </c>
      <c r="IX95" s="1960">
        <v>756.68830594185818</v>
      </c>
      <c r="IY95" s="1960">
        <v>793.39874747031172</v>
      </c>
      <c r="IZ95" s="1960">
        <v>839.96432797955583</v>
      </c>
      <c r="JA95" s="1960">
        <v>860.08403020131868</v>
      </c>
      <c r="JB95" s="1960">
        <v>881.9860573362331</v>
      </c>
      <c r="JC95" s="1960">
        <v>906.99287624513568</v>
      </c>
      <c r="JD95" s="1960">
        <v>954.31146365640302</v>
      </c>
      <c r="JE95" s="2274">
        <v>994.58742110591675</v>
      </c>
      <c r="JF95" s="2117">
        <v>1044.2092391499243</v>
      </c>
      <c r="JG95" s="2103">
        <f t="shared" si="13"/>
        <v>1.0498918616815316</v>
      </c>
      <c r="JI95" s="2155"/>
      <c r="JJ95" s="2104"/>
    </row>
    <row r="96" spans="2:270" hidden="1">
      <c r="B96" s="2105">
        <v>73</v>
      </c>
      <c r="C96" s="2106"/>
      <c r="D96" s="2425"/>
      <c r="E96" s="2128" t="s">
        <v>178</v>
      </c>
      <c r="F96" s="2106" t="s">
        <v>918</v>
      </c>
      <c r="G96" s="2425"/>
      <c r="H96" s="2138" t="s">
        <v>64</v>
      </c>
      <c r="I96" s="2106" t="s">
        <v>920</v>
      </c>
      <c r="J96" s="2359" t="s">
        <v>424</v>
      </c>
      <c r="K96" s="2425"/>
      <c r="L96" s="2110">
        <v>102.1</v>
      </c>
      <c r="M96" s="2110">
        <v>106.4</v>
      </c>
      <c r="N96" s="2110">
        <v>113</v>
      </c>
      <c r="O96" s="2110">
        <v>119.5</v>
      </c>
      <c r="P96" s="2110">
        <v>140.6</v>
      </c>
      <c r="Q96" s="2110">
        <v>147.9</v>
      </c>
      <c r="R96" s="2110">
        <v>149.1</v>
      </c>
      <c r="S96" s="2110">
        <v>153.30000000000001</v>
      </c>
      <c r="T96" s="2110">
        <v>153.30000000000001</v>
      </c>
      <c r="U96" s="2110">
        <v>153.30000000000001</v>
      </c>
      <c r="V96" s="2110">
        <v>153.30000000000001</v>
      </c>
      <c r="W96" s="2110">
        <v>153.30000000000001</v>
      </c>
      <c r="X96" s="2110">
        <v>153.19999999999999</v>
      </c>
      <c r="Y96" s="2110">
        <v>153.19999999999999</v>
      </c>
      <c r="Z96" s="2110">
        <v>153.19999999999999</v>
      </c>
      <c r="AA96" s="2110">
        <v>153.19999999999999</v>
      </c>
      <c r="AB96" s="2110">
        <v>153.19999999999999</v>
      </c>
      <c r="AC96" s="2110">
        <v>153.19999999999999</v>
      </c>
      <c r="AD96" s="2110">
        <v>153.19999999999999</v>
      </c>
      <c r="AE96" s="2110">
        <v>153.1</v>
      </c>
      <c r="AF96" s="2110">
        <v>153.30000000000001</v>
      </c>
      <c r="AG96" s="2110">
        <v>153.30000000000001</v>
      </c>
      <c r="AH96" s="2110">
        <v>153.19999999999999</v>
      </c>
      <c r="AI96" s="2110">
        <v>153.80000000000001</v>
      </c>
      <c r="AJ96" s="2110">
        <v>153.80000000000001</v>
      </c>
      <c r="AK96" s="2110">
        <v>156.69999999999999</v>
      </c>
      <c r="AL96" s="2110">
        <v>161.30000000000001</v>
      </c>
      <c r="AM96" s="2110">
        <v>161.6</v>
      </c>
      <c r="AN96" s="2110">
        <v>161.69999999999999</v>
      </c>
      <c r="AO96" s="2110">
        <v>162.69999999999999</v>
      </c>
      <c r="AP96" s="2110">
        <v>163.5</v>
      </c>
      <c r="AQ96" s="2110">
        <v>167.8</v>
      </c>
      <c r="AR96" s="2110">
        <v>167.8</v>
      </c>
      <c r="AS96" s="2110">
        <v>168.7</v>
      </c>
      <c r="AT96" s="2110">
        <v>169.4</v>
      </c>
      <c r="AU96" s="2110">
        <v>169.3</v>
      </c>
      <c r="AV96" s="2110">
        <v>169.3</v>
      </c>
      <c r="AW96" s="2111">
        <v>174.8</v>
      </c>
      <c r="AX96" s="2111">
        <v>175.4</v>
      </c>
      <c r="AY96" s="2111">
        <v>177.7</v>
      </c>
      <c r="AZ96" s="2111">
        <v>177.6</v>
      </c>
      <c r="BA96" s="2111">
        <v>177.6</v>
      </c>
      <c r="BB96" s="2111">
        <v>177.6</v>
      </c>
      <c r="BC96" s="2111">
        <v>177.6</v>
      </c>
      <c r="BD96" s="2112">
        <v>177.6</v>
      </c>
      <c r="BE96" s="2111">
        <v>177.6</v>
      </c>
      <c r="BF96" s="2112">
        <v>178</v>
      </c>
      <c r="BG96" s="2112">
        <v>178.6</v>
      </c>
      <c r="BH96" s="2112">
        <v>178.6</v>
      </c>
      <c r="BI96" s="2108">
        <v>183</v>
      </c>
      <c r="BJ96" s="2108">
        <v>183.2</v>
      </c>
      <c r="BK96" s="2108">
        <v>183.2</v>
      </c>
      <c r="BL96" s="2108">
        <v>183.2</v>
      </c>
      <c r="BM96" s="2108">
        <v>183.2</v>
      </c>
      <c r="BN96" s="2108">
        <v>187.9</v>
      </c>
      <c r="BO96" s="2108">
        <v>190.2</v>
      </c>
      <c r="BP96" s="2108">
        <v>190.5</v>
      </c>
      <c r="BQ96" s="2108">
        <v>192.9</v>
      </c>
      <c r="BR96" s="2108">
        <v>193.3</v>
      </c>
      <c r="BS96" s="2108">
        <v>200.6</v>
      </c>
      <c r="BT96" s="2108">
        <v>200.6</v>
      </c>
      <c r="BU96" s="2108">
        <v>205.7</v>
      </c>
      <c r="BV96" s="2108">
        <v>206.1</v>
      </c>
      <c r="BW96" s="2108">
        <v>209</v>
      </c>
      <c r="BX96" s="2108">
        <v>214.4</v>
      </c>
      <c r="BY96" s="2108">
        <v>224.1</v>
      </c>
      <c r="BZ96" s="2108">
        <v>232.3</v>
      </c>
      <c r="CA96" s="2108">
        <v>237.7</v>
      </c>
      <c r="CB96" s="2108">
        <v>241.3</v>
      </c>
      <c r="CC96" s="2108">
        <v>241.6</v>
      </c>
      <c r="CD96" s="2108">
        <v>241.6</v>
      </c>
      <c r="CE96" s="2108">
        <v>245.1</v>
      </c>
      <c r="CF96" s="2108">
        <v>245.1</v>
      </c>
      <c r="CG96" s="2108">
        <v>247.1</v>
      </c>
      <c r="CH96" s="2108">
        <v>259.60000000000002</v>
      </c>
      <c r="CI96" s="2108">
        <v>262.3</v>
      </c>
      <c r="CJ96" s="2108">
        <v>262.3</v>
      </c>
      <c r="CK96" s="2108">
        <v>267.8</v>
      </c>
      <c r="CL96" s="2108">
        <v>269.2</v>
      </c>
      <c r="CM96" s="2108">
        <v>264.8</v>
      </c>
      <c r="CN96" s="2108">
        <v>266.8</v>
      </c>
      <c r="CO96" s="2108">
        <v>271.10000000000002</v>
      </c>
      <c r="CP96" s="2108">
        <v>273.7</v>
      </c>
      <c r="CQ96" s="2108">
        <v>273.7</v>
      </c>
      <c r="CR96" s="2108">
        <v>273.7</v>
      </c>
      <c r="CS96" s="2108">
        <v>274.3</v>
      </c>
      <c r="CT96" s="2108">
        <v>274.3</v>
      </c>
      <c r="CU96" s="2108">
        <v>276.3</v>
      </c>
      <c r="CV96" s="2108">
        <v>277.5</v>
      </c>
      <c r="CW96" s="2108">
        <v>277.8</v>
      </c>
      <c r="CX96" s="2108">
        <v>285.7</v>
      </c>
      <c r="CY96" s="2108">
        <v>286.60000000000002</v>
      </c>
      <c r="CZ96" s="2108">
        <v>287.3</v>
      </c>
      <c r="DA96" s="2108">
        <v>287.7</v>
      </c>
      <c r="DB96" s="2108">
        <v>296.2</v>
      </c>
      <c r="DC96" s="2108">
        <v>304.7</v>
      </c>
      <c r="DD96" s="2108">
        <v>304.8</v>
      </c>
      <c r="DE96" s="2108">
        <v>310.60000000000002</v>
      </c>
      <c r="DF96" s="2108">
        <v>316</v>
      </c>
      <c r="DG96" s="2108">
        <v>317.5</v>
      </c>
      <c r="DH96" s="2108">
        <v>317.5</v>
      </c>
      <c r="DI96" s="2108">
        <v>320</v>
      </c>
      <c r="DJ96" s="2108">
        <v>319.89999999999998</v>
      </c>
      <c r="DK96" s="2108">
        <v>325.3</v>
      </c>
      <c r="DL96" s="2108">
        <v>327.60000000000002</v>
      </c>
      <c r="DM96" s="2108">
        <v>329.4</v>
      </c>
      <c r="DN96" s="2108">
        <v>333</v>
      </c>
      <c r="DO96" s="2108">
        <v>336</v>
      </c>
      <c r="DP96" s="2108">
        <v>336</v>
      </c>
      <c r="DQ96" s="2108">
        <v>336.7</v>
      </c>
      <c r="DR96" s="2108">
        <v>336.7</v>
      </c>
      <c r="DS96" s="2108">
        <v>335.7</v>
      </c>
      <c r="DT96" s="2108">
        <v>340.3</v>
      </c>
      <c r="DU96" s="2108">
        <v>348.2</v>
      </c>
      <c r="DV96" s="2108">
        <v>349.4</v>
      </c>
      <c r="DW96" s="2108">
        <v>349.8</v>
      </c>
      <c r="DX96" s="2108">
        <v>356.2</v>
      </c>
      <c r="DY96" s="2108">
        <v>359.5</v>
      </c>
      <c r="DZ96" s="2108">
        <v>367.4</v>
      </c>
      <c r="EA96" s="2108">
        <v>367.6</v>
      </c>
      <c r="EB96" s="2108">
        <v>368.2</v>
      </c>
      <c r="EC96" s="2108">
        <v>368.2</v>
      </c>
      <c r="ED96" s="2108">
        <v>373.7</v>
      </c>
      <c r="EE96" s="2108">
        <v>373.7</v>
      </c>
      <c r="EF96" s="2108">
        <v>381.8</v>
      </c>
      <c r="EG96" s="2108">
        <v>381.8</v>
      </c>
      <c r="EH96" s="2108">
        <v>396.8</v>
      </c>
      <c r="EI96" s="2108">
        <v>404.1</v>
      </c>
      <c r="EJ96" s="2108">
        <v>408.2</v>
      </c>
      <c r="EK96" s="2108">
        <v>420.6</v>
      </c>
      <c r="EL96" s="2108">
        <v>428.9</v>
      </c>
      <c r="EM96" s="2108">
        <v>432.2</v>
      </c>
      <c r="EN96" s="2108">
        <v>431.6</v>
      </c>
      <c r="EO96" s="2108">
        <v>442.4</v>
      </c>
      <c r="EP96" s="2108">
        <v>442.4</v>
      </c>
      <c r="EQ96" s="2108">
        <v>445.7</v>
      </c>
      <c r="ER96" s="2108">
        <v>457.6</v>
      </c>
      <c r="ES96" s="2108">
        <v>462.7</v>
      </c>
      <c r="ET96" s="2108">
        <v>479.8</v>
      </c>
      <c r="EU96" s="2108">
        <v>482.7</v>
      </c>
      <c r="EV96" s="2108">
        <v>493.9</v>
      </c>
      <c r="EW96" s="2108">
        <v>495.5</v>
      </c>
      <c r="EX96" s="2108">
        <v>502.7</v>
      </c>
      <c r="EY96" s="2108">
        <v>508.2</v>
      </c>
      <c r="EZ96" s="2108">
        <v>526.6</v>
      </c>
      <c r="FA96" s="2108">
        <v>548.1</v>
      </c>
      <c r="FB96" s="2108">
        <v>601.79999999999995</v>
      </c>
      <c r="FC96" s="2108">
        <v>622.29999999999995</v>
      </c>
      <c r="FD96" s="2108">
        <v>633</v>
      </c>
      <c r="FE96" s="2108">
        <v>660.5</v>
      </c>
      <c r="FF96" s="2108">
        <v>657.7</v>
      </c>
      <c r="FG96" s="2108">
        <v>677.4</v>
      </c>
      <c r="FH96" s="2108">
        <v>688.2</v>
      </c>
      <c r="FI96" s="2108">
        <v>730.3</v>
      </c>
      <c r="FJ96" s="2108">
        <v>775</v>
      </c>
      <c r="FK96" s="2108">
        <v>780.2</v>
      </c>
      <c r="FL96" s="2108">
        <v>803.9</v>
      </c>
      <c r="FM96" s="2108">
        <v>819.8</v>
      </c>
      <c r="FN96" s="2108">
        <v>833</v>
      </c>
      <c r="FO96" s="2108">
        <v>845.5</v>
      </c>
      <c r="FP96" s="2108">
        <v>851.1</v>
      </c>
      <c r="FQ96" s="2108">
        <v>861</v>
      </c>
      <c r="FR96" s="2108">
        <v>887.4</v>
      </c>
      <c r="FS96" s="2108">
        <v>912.8</v>
      </c>
      <c r="FT96" s="2108">
        <v>938.4</v>
      </c>
      <c r="FU96" s="2108">
        <v>961.6</v>
      </c>
      <c r="FV96" s="2108">
        <v>955.2</v>
      </c>
      <c r="FW96" s="2113" t="s">
        <v>521</v>
      </c>
      <c r="FX96" s="2113" t="s">
        <v>521</v>
      </c>
      <c r="FY96" s="2113">
        <v>100</v>
      </c>
      <c r="FZ96" s="2113" t="e">
        <v>#VALUE!</v>
      </c>
      <c r="GA96" s="2113" t="e">
        <v>#VALUE!</v>
      </c>
      <c r="GB96" s="2113" t="e">
        <v>#VALUE!</v>
      </c>
      <c r="GC96" s="2113" t="e">
        <v>#VALUE!</v>
      </c>
      <c r="GD96" s="2113" t="e">
        <v>#VALUE!</v>
      </c>
      <c r="GE96" s="2113" t="e">
        <v>#VALUE!</v>
      </c>
      <c r="GF96" s="2114" t="e">
        <v>#VALUE!</v>
      </c>
      <c r="GG96" s="1960" t="e">
        <v>#VALUE!</v>
      </c>
      <c r="GH96" s="2114" t="e">
        <v>#VALUE!</v>
      </c>
      <c r="GI96" s="2114" t="e">
        <v>#VALUE!</v>
      </c>
      <c r="GJ96" s="2113" t="e">
        <v>#VALUE!</v>
      </c>
      <c r="GK96" s="2113" t="e">
        <v>#VALUE!</v>
      </c>
      <c r="GL96" s="2113" t="e">
        <v>#VALUE!</v>
      </c>
      <c r="GM96" s="2114" t="e">
        <v>#VALUE!</v>
      </c>
      <c r="GN96" s="2114" t="e">
        <v>#VALUE!</v>
      </c>
      <c r="GO96" s="2115" t="e">
        <v>#VALUE!</v>
      </c>
      <c r="GP96" s="2116" t="e">
        <v>#VALUE!</v>
      </c>
      <c r="GQ96" s="2116" t="e">
        <v>#VALUE!</v>
      </c>
      <c r="GR96" s="2116" t="e">
        <v>#VALUE!</v>
      </c>
      <c r="GS96" s="2116" t="e">
        <v>#VALUE!</v>
      </c>
      <c r="GT96" s="1960" t="e">
        <v>#VALUE!</v>
      </c>
      <c r="GU96" s="1960" t="e">
        <v>#VALUE!</v>
      </c>
      <c r="GV96" s="1960" t="e">
        <v>#VALUE!</v>
      </c>
      <c r="GW96" s="1960" t="e">
        <v>#VALUE!</v>
      </c>
      <c r="GX96" s="1960" t="e">
        <v>#VALUE!</v>
      </c>
      <c r="GY96" s="1960" t="e">
        <v>#VALUE!</v>
      </c>
      <c r="GZ96" s="1960" t="e">
        <v>#VALUE!</v>
      </c>
      <c r="HA96" s="1960" t="e">
        <v>#VALUE!</v>
      </c>
      <c r="HB96" s="1960" t="e">
        <v>#VALUE!</v>
      </c>
      <c r="HC96" s="1960" t="e">
        <v>#VALUE!</v>
      </c>
      <c r="HD96" s="1960" t="e">
        <v>#VALUE!</v>
      </c>
      <c r="HE96" s="1960" t="e">
        <v>#VALUE!</v>
      </c>
      <c r="HF96" s="1960" t="e">
        <v>#VALUE!</v>
      </c>
      <c r="HG96" s="1960" t="e">
        <v>#VALUE!</v>
      </c>
      <c r="HH96" s="2117" t="e">
        <v>#VALUE!</v>
      </c>
      <c r="HI96" s="1960" t="e">
        <v>#VALUE!</v>
      </c>
      <c r="HJ96" s="1960" t="e">
        <v>#VALUE!</v>
      </c>
      <c r="HK96" s="1960" t="e">
        <v>#VALUE!</v>
      </c>
      <c r="HL96" s="1960" t="e">
        <v>#VALUE!</v>
      </c>
      <c r="HM96" s="1960" t="e">
        <v>#VALUE!</v>
      </c>
      <c r="HN96" s="1960" t="e">
        <v>#VALUE!</v>
      </c>
      <c r="HO96" s="1960" t="e">
        <v>#VALUE!</v>
      </c>
      <c r="HP96" s="1960" t="e">
        <v>#VALUE!</v>
      </c>
      <c r="HQ96" s="1960" t="e">
        <v>#VALUE!</v>
      </c>
      <c r="HR96" s="1960" t="e">
        <v>#VALUE!</v>
      </c>
      <c r="HS96" s="1960" t="e">
        <v>#VALUE!</v>
      </c>
      <c r="HT96" s="1962" t="e">
        <v>#VALUE!</v>
      </c>
      <c r="HU96" s="1961" t="e">
        <v>#VALUE!</v>
      </c>
      <c r="HV96" s="1960" t="e">
        <v>#VALUE!</v>
      </c>
      <c r="HW96" s="1960" t="e">
        <v>#VALUE!</v>
      </c>
      <c r="HX96" s="1960" t="e">
        <v>#VALUE!</v>
      </c>
      <c r="HY96" s="1960" t="e">
        <v>#VALUE!</v>
      </c>
      <c r="HZ96" s="1960" t="e">
        <v>#VALUE!</v>
      </c>
      <c r="IA96" s="1960" t="e">
        <v>#VALUE!</v>
      </c>
      <c r="IB96" s="1960" t="e">
        <v>#VALUE!</v>
      </c>
      <c r="IC96" s="1960" t="e">
        <v>#VALUE!</v>
      </c>
      <c r="ID96" s="1960" t="e">
        <v>#VALUE!</v>
      </c>
      <c r="IE96" s="1960" t="e">
        <v>#VALUE!</v>
      </c>
      <c r="IF96" s="1960" t="e">
        <v>#VALUE!</v>
      </c>
      <c r="IG96" s="1961" t="e">
        <v>#VALUE!</v>
      </c>
      <c r="IH96" s="1960" t="e">
        <v>#VALUE!</v>
      </c>
      <c r="II96" s="1960" t="e">
        <v>#VALUE!</v>
      </c>
      <c r="IJ96" s="1961" t="e">
        <v>#VALUE!</v>
      </c>
      <c r="IK96" s="1960" t="e">
        <v>#VALUE!</v>
      </c>
      <c r="IL96" s="1960" t="e">
        <v>#VALUE!</v>
      </c>
      <c r="IM96" s="1960" t="e">
        <v>#VALUE!</v>
      </c>
      <c r="IN96" s="1960" t="e">
        <v>#VALUE!</v>
      </c>
      <c r="IO96" s="1960" t="e">
        <v>#VALUE!</v>
      </c>
      <c r="IP96" s="1960" t="e">
        <v>#VALUE!</v>
      </c>
      <c r="IQ96" s="1960" t="e">
        <v>#VALUE!</v>
      </c>
      <c r="IR96" s="1960" t="e">
        <v>#VALUE!</v>
      </c>
      <c r="IS96" s="2274" t="e">
        <v>#VALUE!</v>
      </c>
      <c r="IT96" s="1960" t="e">
        <v>#VALUE!</v>
      </c>
      <c r="IU96" s="1960" t="e">
        <v>#VALUE!</v>
      </c>
      <c r="IV96" s="1960" t="e">
        <v>#VALUE!</v>
      </c>
      <c r="IW96" s="1960" t="e">
        <v>#VALUE!</v>
      </c>
      <c r="IX96" s="1960" t="e">
        <v>#VALUE!</v>
      </c>
      <c r="IY96" s="1960" t="e">
        <v>#VALUE!</v>
      </c>
      <c r="IZ96" s="1960" t="e">
        <v>#VALUE!</v>
      </c>
      <c r="JA96" s="1960" t="e">
        <v>#VALUE!</v>
      </c>
      <c r="JB96" s="1960" t="e">
        <v>#VALUE!</v>
      </c>
      <c r="JC96" s="1960" t="e">
        <v>#VALUE!</v>
      </c>
      <c r="JD96" s="1960" t="e">
        <v>#VALUE!</v>
      </c>
      <c r="JE96" s="2274">
        <v>0</v>
      </c>
      <c r="JF96" s="2117">
        <v>0</v>
      </c>
      <c r="JG96" s="2103" t="e">
        <f t="shared" si="13"/>
        <v>#DIV/0!</v>
      </c>
      <c r="JI96" s="2155"/>
      <c r="JJ96" s="2104"/>
    </row>
    <row r="97" spans="2:270">
      <c r="B97" s="2105">
        <v>74</v>
      </c>
      <c r="C97" s="2106" t="s">
        <v>179</v>
      </c>
      <c r="D97" s="2425" t="s">
        <v>1208</v>
      </c>
      <c r="E97" s="2128" t="s">
        <v>180</v>
      </c>
      <c r="F97" s="2106" t="s">
        <v>918</v>
      </c>
      <c r="G97" s="2425" t="s">
        <v>1112</v>
      </c>
      <c r="H97" s="2106" t="s">
        <v>929</v>
      </c>
      <c r="I97" s="2106" t="s">
        <v>930</v>
      </c>
      <c r="J97" s="2359" t="s">
        <v>921</v>
      </c>
      <c r="K97" s="2425"/>
      <c r="L97" s="2110">
        <v>92.3</v>
      </c>
      <c r="M97" s="2110">
        <v>117.9</v>
      </c>
      <c r="N97" s="2110">
        <v>142.30000000000001</v>
      </c>
      <c r="O97" s="2110">
        <v>176.5</v>
      </c>
      <c r="P97" s="2110">
        <v>224.9</v>
      </c>
      <c r="Q97" s="2110">
        <v>249</v>
      </c>
      <c r="R97" s="2110">
        <v>270.3</v>
      </c>
      <c r="S97" s="2110">
        <v>259</v>
      </c>
      <c r="T97" s="2110">
        <v>252.3</v>
      </c>
      <c r="U97" s="2110">
        <v>248.1</v>
      </c>
      <c r="V97" s="2110">
        <v>249.3</v>
      </c>
      <c r="W97" s="2110">
        <v>245.9</v>
      </c>
      <c r="X97" s="2110">
        <v>247.1</v>
      </c>
      <c r="Y97" s="2110">
        <v>240.8</v>
      </c>
      <c r="Z97" s="2110">
        <v>235.9</v>
      </c>
      <c r="AA97" s="2110">
        <v>236.3</v>
      </c>
      <c r="AB97" s="2110">
        <v>227.5</v>
      </c>
      <c r="AC97" s="2110">
        <v>226.6</v>
      </c>
      <c r="AD97" s="2110">
        <v>220.3</v>
      </c>
      <c r="AE97" s="2110">
        <v>209.3</v>
      </c>
      <c r="AF97" s="2110">
        <v>209.7</v>
      </c>
      <c r="AG97" s="2110">
        <v>209.7</v>
      </c>
      <c r="AH97" s="2110">
        <v>208.9</v>
      </c>
      <c r="AI97" s="2110">
        <v>206.5</v>
      </c>
      <c r="AJ97" s="2110">
        <v>204.3</v>
      </c>
      <c r="AK97" s="2110">
        <v>200.5</v>
      </c>
      <c r="AL97" s="2110">
        <v>200.5</v>
      </c>
      <c r="AM97" s="2110">
        <v>200</v>
      </c>
      <c r="AN97" s="2110">
        <v>198.3</v>
      </c>
      <c r="AO97" s="2110">
        <v>191</v>
      </c>
      <c r="AP97" s="2110">
        <v>190</v>
      </c>
      <c r="AQ97" s="2110">
        <v>190.4</v>
      </c>
      <c r="AR97" s="2110">
        <v>191.4</v>
      </c>
      <c r="AS97" s="2110">
        <v>191.3</v>
      </c>
      <c r="AT97" s="2110">
        <v>191.7</v>
      </c>
      <c r="AU97" s="2110">
        <v>191.7</v>
      </c>
      <c r="AV97" s="2110">
        <v>191.2</v>
      </c>
      <c r="AW97" s="2111">
        <v>191.1</v>
      </c>
      <c r="AX97" s="2111">
        <v>189.8</v>
      </c>
      <c r="AY97" s="2111">
        <v>190</v>
      </c>
      <c r="AZ97" s="2111">
        <v>190.2</v>
      </c>
      <c r="BA97" s="2111">
        <v>191.3</v>
      </c>
      <c r="BB97" s="2111">
        <v>191</v>
      </c>
      <c r="BC97" s="2111">
        <v>190.9</v>
      </c>
      <c r="BD97" s="2112">
        <v>190.9</v>
      </c>
      <c r="BE97" s="2111">
        <v>191</v>
      </c>
      <c r="BF97" s="2112">
        <v>191.2</v>
      </c>
      <c r="BG97" s="2112">
        <v>192.2</v>
      </c>
      <c r="BH97" s="2112">
        <v>194.7</v>
      </c>
      <c r="BI97" s="2108">
        <v>195.1</v>
      </c>
      <c r="BJ97" s="2108">
        <v>197.3</v>
      </c>
      <c r="BK97" s="2108">
        <v>198.5</v>
      </c>
      <c r="BL97" s="2108">
        <v>202</v>
      </c>
      <c r="BM97" s="2108">
        <v>201.6</v>
      </c>
      <c r="BN97" s="2108">
        <v>205.3</v>
      </c>
      <c r="BO97" s="2108">
        <v>208.2</v>
      </c>
      <c r="BP97" s="2108">
        <v>208.1</v>
      </c>
      <c r="BQ97" s="2108">
        <v>208.6</v>
      </c>
      <c r="BR97" s="2108">
        <v>208.8</v>
      </c>
      <c r="BS97" s="2108">
        <v>207.6</v>
      </c>
      <c r="BT97" s="2108">
        <v>208.6</v>
      </c>
      <c r="BU97" s="2108">
        <v>209.6</v>
      </c>
      <c r="BV97" s="2108">
        <v>211</v>
      </c>
      <c r="BW97" s="2108">
        <v>215.7</v>
      </c>
      <c r="BX97" s="2108">
        <v>215.4</v>
      </c>
      <c r="BY97" s="2108">
        <v>215.4</v>
      </c>
      <c r="BZ97" s="2108">
        <v>215.2</v>
      </c>
      <c r="CA97" s="2108">
        <v>216.5</v>
      </c>
      <c r="CB97" s="2108">
        <v>217.8</v>
      </c>
      <c r="CC97" s="2108">
        <v>217.5</v>
      </c>
      <c r="CD97" s="2108">
        <v>218.1</v>
      </c>
      <c r="CE97" s="2108">
        <v>218.8</v>
      </c>
      <c r="CF97" s="2108">
        <v>223</v>
      </c>
      <c r="CG97" s="2108">
        <v>222.9</v>
      </c>
      <c r="CH97" s="2108">
        <v>222.9</v>
      </c>
      <c r="CI97" s="2108">
        <v>223.7</v>
      </c>
      <c r="CJ97" s="2108">
        <v>223.3</v>
      </c>
      <c r="CK97" s="2108">
        <v>229</v>
      </c>
      <c r="CL97" s="2108">
        <v>229.8</v>
      </c>
      <c r="CM97" s="2108">
        <v>228</v>
      </c>
      <c r="CN97" s="2108">
        <v>227.9</v>
      </c>
      <c r="CO97" s="2108">
        <v>227.9</v>
      </c>
      <c r="CP97" s="2108">
        <v>229.3</v>
      </c>
      <c r="CQ97" s="2108">
        <v>237.7</v>
      </c>
      <c r="CR97" s="2108">
        <v>246.7</v>
      </c>
      <c r="CS97" s="2108">
        <v>247.8</v>
      </c>
      <c r="CT97" s="2108">
        <v>248.8</v>
      </c>
      <c r="CU97" s="2108">
        <v>257.60000000000002</v>
      </c>
      <c r="CV97" s="2108">
        <v>258.8</v>
      </c>
      <c r="CW97" s="2108">
        <v>263.60000000000002</v>
      </c>
      <c r="CX97" s="2108">
        <v>268.39999999999998</v>
      </c>
      <c r="CY97" s="2108">
        <v>269.7</v>
      </c>
      <c r="CZ97" s="2108">
        <v>273.3</v>
      </c>
      <c r="DA97" s="2108">
        <v>274.39999999999998</v>
      </c>
      <c r="DB97" s="2108">
        <v>275</v>
      </c>
      <c r="DC97" s="2108">
        <v>277.10000000000002</v>
      </c>
      <c r="DD97" s="2108">
        <v>276.2</v>
      </c>
      <c r="DE97" s="2108">
        <v>278.60000000000002</v>
      </c>
      <c r="DF97" s="2108">
        <v>282.8</v>
      </c>
      <c r="DG97" s="2108">
        <v>284.5</v>
      </c>
      <c r="DH97" s="2108">
        <v>285.10000000000002</v>
      </c>
      <c r="DI97" s="2108">
        <v>288.39999999999998</v>
      </c>
      <c r="DJ97" s="2108">
        <v>292.8</v>
      </c>
      <c r="DK97" s="2108">
        <v>292.8</v>
      </c>
      <c r="DL97" s="2108">
        <v>293.89999999999998</v>
      </c>
      <c r="DM97" s="2108">
        <v>297.10000000000002</v>
      </c>
      <c r="DN97" s="2108">
        <v>298</v>
      </c>
      <c r="DO97" s="2108">
        <v>299.39999999999998</v>
      </c>
      <c r="DP97" s="2108">
        <v>303.7</v>
      </c>
      <c r="DQ97" s="2108">
        <v>305.3</v>
      </c>
      <c r="DR97" s="2108">
        <v>318.3</v>
      </c>
      <c r="DS97" s="2108">
        <v>320.5</v>
      </c>
      <c r="DT97" s="2108">
        <v>324.7</v>
      </c>
      <c r="DU97" s="2108">
        <v>329.3</v>
      </c>
      <c r="DV97" s="2108">
        <v>332.7</v>
      </c>
      <c r="DW97" s="2108">
        <v>332.9</v>
      </c>
      <c r="DX97" s="2108">
        <v>339.8</v>
      </c>
      <c r="DY97" s="2108">
        <v>345.5</v>
      </c>
      <c r="DZ97" s="2108">
        <v>346.1</v>
      </c>
      <c r="EA97" s="2108">
        <v>356.9</v>
      </c>
      <c r="EB97" s="2108">
        <v>367.1</v>
      </c>
      <c r="EC97" s="2108">
        <v>372.3</v>
      </c>
      <c r="ED97" s="2108">
        <v>382.9</v>
      </c>
      <c r="EE97" s="2108">
        <v>383.5</v>
      </c>
      <c r="EF97" s="2108">
        <v>389.8</v>
      </c>
      <c r="EG97" s="2108">
        <v>396.1</v>
      </c>
      <c r="EH97" s="2108">
        <v>415.3</v>
      </c>
      <c r="EI97" s="2108">
        <v>428.7</v>
      </c>
      <c r="EJ97" s="2108">
        <v>435.4</v>
      </c>
      <c r="EK97" s="2108">
        <v>437.5</v>
      </c>
      <c r="EL97" s="2108">
        <v>442.3</v>
      </c>
      <c r="EM97" s="2108">
        <v>449.6</v>
      </c>
      <c r="EN97" s="2108">
        <v>455.1</v>
      </c>
      <c r="EO97" s="2108">
        <v>458.7</v>
      </c>
      <c r="EP97" s="2108">
        <v>471.8</v>
      </c>
      <c r="EQ97" s="2108">
        <v>488.6</v>
      </c>
      <c r="ER97" s="2108">
        <v>512.6</v>
      </c>
      <c r="ES97" s="2108">
        <v>536</v>
      </c>
      <c r="ET97" s="2108">
        <v>547.6</v>
      </c>
      <c r="EU97" s="2108">
        <v>565.20000000000005</v>
      </c>
      <c r="EV97" s="2108">
        <v>576.1</v>
      </c>
      <c r="EW97" s="2108">
        <v>597.9</v>
      </c>
      <c r="EX97" s="2108">
        <v>610</v>
      </c>
      <c r="EY97" s="2108">
        <v>624.20000000000005</v>
      </c>
      <c r="EZ97" s="2108">
        <v>663.3</v>
      </c>
      <c r="FA97" s="2108">
        <v>715.9</v>
      </c>
      <c r="FB97" s="2108">
        <v>844.6</v>
      </c>
      <c r="FC97" s="2108">
        <v>886.8</v>
      </c>
      <c r="FD97" s="2108">
        <v>890.4</v>
      </c>
      <c r="FE97" s="2108">
        <v>902</v>
      </c>
      <c r="FF97" s="2108">
        <v>889.9</v>
      </c>
      <c r="FG97" s="2108">
        <v>903.3</v>
      </c>
      <c r="FH97" s="2108">
        <v>914.4</v>
      </c>
      <c r="FI97" s="2108">
        <v>934.6</v>
      </c>
      <c r="FJ97" s="2108">
        <v>1025.7</v>
      </c>
      <c r="FK97" s="2108">
        <v>1065</v>
      </c>
      <c r="FL97" s="2108">
        <v>1079.4000000000001</v>
      </c>
      <c r="FM97" s="2108">
        <v>1091.0999999999999</v>
      </c>
      <c r="FN97" s="2108">
        <v>1113.2</v>
      </c>
      <c r="FO97" s="2108">
        <v>1127.3</v>
      </c>
      <c r="FP97" s="2108">
        <v>1185.0999999999999</v>
      </c>
      <c r="FQ97" s="2108">
        <v>1194.3</v>
      </c>
      <c r="FR97" s="2108">
        <v>1190.8</v>
      </c>
      <c r="FS97" s="2108">
        <v>1220.5999999999999</v>
      </c>
      <c r="FT97" s="2108">
        <v>1231.4000000000001</v>
      </c>
      <c r="FU97" s="2108">
        <v>1255.0999999999999</v>
      </c>
      <c r="FV97" s="2108">
        <v>1266.8</v>
      </c>
      <c r="FW97" s="2113">
        <v>1093.6575683626954</v>
      </c>
      <c r="FX97" s="2113">
        <v>1183.8622636628018</v>
      </c>
      <c r="FY97" s="2113">
        <v>100</v>
      </c>
      <c r="FZ97" s="2113">
        <v>109.56184864044189</v>
      </c>
      <c r="GA97" s="2113">
        <v>108.3861946769332</v>
      </c>
      <c r="GB97" s="2113">
        <v>107.70036057829026</v>
      </c>
      <c r="GC97" s="2113">
        <v>110.44477463083558</v>
      </c>
      <c r="GD97" s="2113">
        <v>108.9310351553909</v>
      </c>
      <c r="GE97" s="2113">
        <v>109.19939538542206</v>
      </c>
      <c r="GF97" s="2114">
        <v>109.49318920132735</v>
      </c>
      <c r="GG97" s="1960">
        <v>109.49318920132735</v>
      </c>
      <c r="GH97" s="2114">
        <v>106.98464162112928</v>
      </c>
      <c r="GI97" s="2114">
        <v>106.98464162112928</v>
      </c>
      <c r="GJ97" s="2113">
        <v>107.24518416211798</v>
      </c>
      <c r="GK97" s="2113">
        <v>113.20467188299497</v>
      </c>
      <c r="GL97" s="2113">
        <v>114.34875510549107</v>
      </c>
      <c r="GM97" s="2114">
        <v>114.52239230996334</v>
      </c>
      <c r="GN97" s="2114">
        <v>114.52239230996334</v>
      </c>
      <c r="GO97" s="2115">
        <v>116.23858830039383</v>
      </c>
      <c r="GP97" s="2116">
        <v>116.23858830039383</v>
      </c>
      <c r="GQ97" s="2116">
        <v>116.23919799605314</v>
      </c>
      <c r="GR97" s="2116">
        <v>116.04118443535705</v>
      </c>
      <c r="GS97" s="2116">
        <v>118.47141258796449</v>
      </c>
      <c r="GT97" s="1960">
        <v>114.2308798192434</v>
      </c>
      <c r="GU97" s="1960">
        <v>117.10433807050246</v>
      </c>
      <c r="GV97" s="1960">
        <v>117.30081005417416</v>
      </c>
      <c r="GW97" s="1960">
        <v>122.12970697457241</v>
      </c>
      <c r="GX97" s="1960">
        <v>123.98628465266924</v>
      </c>
      <c r="GY97" s="1960">
        <v>123.23930221648182</v>
      </c>
      <c r="GZ97" s="1960">
        <v>127.87222348692049</v>
      </c>
      <c r="HA97" s="1960">
        <v>140.25897015704899</v>
      </c>
      <c r="HB97" s="1960">
        <v>158.5520758207781</v>
      </c>
      <c r="HC97" s="1960">
        <v>175.77319710078473</v>
      </c>
      <c r="HD97" s="1960">
        <v>174.94495241222214</v>
      </c>
      <c r="HE97" s="1960">
        <v>216.36154924113035</v>
      </c>
      <c r="HF97" s="1960">
        <v>241.56153759147892</v>
      </c>
      <c r="HG97" s="1960">
        <v>236.63171977234438</v>
      </c>
      <c r="HH97" s="2117">
        <v>228.4947104250532</v>
      </c>
      <c r="HI97" s="1960">
        <v>241.87521546660798</v>
      </c>
      <c r="HJ97" s="1960">
        <v>231.48493538230727</v>
      </c>
      <c r="HK97" s="1960">
        <v>254.91911917877076</v>
      </c>
      <c r="HL97" s="1960">
        <v>261.93669870700887</v>
      </c>
      <c r="HM97" s="1960">
        <v>277.76887177587577</v>
      </c>
      <c r="HN97" s="1960">
        <v>271.19025332035739</v>
      </c>
      <c r="HO97" s="1960">
        <v>272.44834793006186</v>
      </c>
      <c r="HP97" s="1960">
        <v>308.41184658583859</v>
      </c>
      <c r="HQ97" s="1960">
        <v>341.66044518061148</v>
      </c>
      <c r="HR97" s="1960">
        <v>330.47714329944637</v>
      </c>
      <c r="HS97" s="1960">
        <v>348.1418874258959</v>
      </c>
      <c r="HT97" s="1962">
        <v>324.08297015563124</v>
      </c>
      <c r="HU97" s="1961">
        <v>311.91522122594546</v>
      </c>
      <c r="HV97" s="1960">
        <v>317.90324745926614</v>
      </c>
      <c r="HW97" s="1960">
        <v>317.90324745926614</v>
      </c>
      <c r="HX97" s="1960">
        <v>317.90324745926614</v>
      </c>
      <c r="HY97" s="1960">
        <v>323.31173133058212</v>
      </c>
      <c r="HZ97" s="1960">
        <v>323.31173133058212</v>
      </c>
      <c r="IA97" s="1960">
        <v>363.06741596879505</v>
      </c>
      <c r="IB97" s="1960">
        <v>380.93198819353069</v>
      </c>
      <c r="IC97" s="1960">
        <v>383.65112869573306</v>
      </c>
      <c r="ID97" s="1960">
        <v>399.9529801877581</v>
      </c>
      <c r="IE97" s="1960">
        <v>419.93301201217713</v>
      </c>
      <c r="IF97" s="1960">
        <v>437.16428497763832</v>
      </c>
      <c r="IG97" s="1961">
        <v>455.07892988526089</v>
      </c>
      <c r="IH97" s="1960">
        <v>465.45897667707385</v>
      </c>
      <c r="II97" s="1960">
        <v>470.1223052294809</v>
      </c>
      <c r="IJ97" s="1961">
        <v>513.31879400128105</v>
      </c>
      <c r="IK97" s="1960">
        <v>519.10383705710512</v>
      </c>
      <c r="IL97" s="1960">
        <v>536.35863119955479</v>
      </c>
      <c r="IM97" s="1960">
        <v>559.18922835703461</v>
      </c>
      <c r="IN97" s="1960">
        <v>568.07894888779242</v>
      </c>
      <c r="IO97" s="1960">
        <v>586.97893551728919</v>
      </c>
      <c r="IP97" s="1960">
        <v>600.7744895819452</v>
      </c>
      <c r="IQ97" s="1960">
        <v>601.6834613846828</v>
      </c>
      <c r="IR97" s="1960">
        <v>625.20647386772168</v>
      </c>
      <c r="IS97" s="2274">
        <v>637.31959461546728</v>
      </c>
      <c r="IT97" s="1960">
        <v>665.41829774688392</v>
      </c>
      <c r="IU97" s="1960">
        <v>690.97623869788924</v>
      </c>
      <c r="IV97" s="1960">
        <v>720.37864322292353</v>
      </c>
      <c r="IW97" s="1960">
        <v>753.26010069933636</v>
      </c>
      <c r="IX97" s="1960">
        <v>816.61016765235911</v>
      </c>
      <c r="IY97" s="1960">
        <v>970.37172864548063</v>
      </c>
      <c r="IZ97" s="1960">
        <v>1114.6213914223354</v>
      </c>
      <c r="JA97" s="1960">
        <v>1229.9231200040886</v>
      </c>
      <c r="JB97" s="1960">
        <v>1308.6358740992328</v>
      </c>
      <c r="JC97" s="1960">
        <v>1418.2098638102245</v>
      </c>
      <c r="JD97" s="1960">
        <v>1516.6274389451087</v>
      </c>
      <c r="JE97" s="2274">
        <v>1612.9370309669496</v>
      </c>
      <c r="JF97" s="2117">
        <v>1752.5480328244671</v>
      </c>
      <c r="JG97" s="2103">
        <f t="shared" si="13"/>
        <v>1.0865570069860826</v>
      </c>
      <c r="JI97" s="2155"/>
      <c r="JJ97" s="2104"/>
    </row>
    <row r="98" spans="2:270" ht="62.25" customHeight="1">
      <c r="B98" s="2105">
        <v>75</v>
      </c>
      <c r="C98" s="2106" t="s">
        <v>181</v>
      </c>
      <c r="D98" s="2425" t="s">
        <v>1209</v>
      </c>
      <c r="E98" s="2128" t="s">
        <v>182</v>
      </c>
      <c r="F98" s="2106" t="s">
        <v>918</v>
      </c>
      <c r="G98" s="2425" t="s">
        <v>1112</v>
      </c>
      <c r="H98" s="2106" t="s">
        <v>929</v>
      </c>
      <c r="I98" s="2106" t="s">
        <v>930</v>
      </c>
      <c r="J98" s="2359" t="s">
        <v>921</v>
      </c>
      <c r="K98" s="2425"/>
      <c r="L98" s="2110">
        <v>93.7</v>
      </c>
      <c r="M98" s="2110">
        <v>116.5</v>
      </c>
      <c r="N98" s="2110">
        <v>137.69999999999999</v>
      </c>
      <c r="O98" s="2110">
        <v>172.6</v>
      </c>
      <c r="P98" s="2110">
        <v>210.5</v>
      </c>
      <c r="Q98" s="2110">
        <v>232.4</v>
      </c>
      <c r="R98" s="2110">
        <v>248.5</v>
      </c>
      <c r="S98" s="2110">
        <v>247.2</v>
      </c>
      <c r="T98" s="2110">
        <v>220.7</v>
      </c>
      <c r="U98" s="2110">
        <v>205.9</v>
      </c>
      <c r="V98" s="2110">
        <v>204.7</v>
      </c>
      <c r="W98" s="2110">
        <v>201.1</v>
      </c>
      <c r="X98" s="2110">
        <v>201.1</v>
      </c>
      <c r="Y98" s="2110">
        <v>194.8</v>
      </c>
      <c r="Z98" s="2110">
        <v>192</v>
      </c>
      <c r="AA98" s="2110">
        <v>192.6</v>
      </c>
      <c r="AB98" s="2110">
        <v>188.6</v>
      </c>
      <c r="AC98" s="2110">
        <v>186.7</v>
      </c>
      <c r="AD98" s="2110">
        <v>182.9</v>
      </c>
      <c r="AE98" s="2110">
        <v>181.7</v>
      </c>
      <c r="AF98" s="2110">
        <v>182.4</v>
      </c>
      <c r="AG98" s="2110">
        <v>182.4</v>
      </c>
      <c r="AH98" s="2110">
        <v>180.6</v>
      </c>
      <c r="AI98" s="2110">
        <v>178.8</v>
      </c>
      <c r="AJ98" s="2110">
        <v>178.8</v>
      </c>
      <c r="AK98" s="2110">
        <v>177.4</v>
      </c>
      <c r="AL98" s="2110">
        <v>177.6</v>
      </c>
      <c r="AM98" s="2110">
        <v>177.6</v>
      </c>
      <c r="AN98" s="2110">
        <v>176.4</v>
      </c>
      <c r="AO98" s="2110">
        <v>175.2</v>
      </c>
      <c r="AP98" s="2110">
        <v>175.3</v>
      </c>
      <c r="AQ98" s="2110">
        <v>175.6</v>
      </c>
      <c r="AR98" s="2110">
        <v>176.5</v>
      </c>
      <c r="AS98" s="2110">
        <v>176.5</v>
      </c>
      <c r="AT98" s="2110">
        <v>176.3</v>
      </c>
      <c r="AU98" s="2110">
        <v>175.8</v>
      </c>
      <c r="AV98" s="2110">
        <v>175.9</v>
      </c>
      <c r="AW98" s="2111">
        <v>175.9</v>
      </c>
      <c r="AX98" s="2111">
        <v>175.9</v>
      </c>
      <c r="AY98" s="2111">
        <v>175.9</v>
      </c>
      <c r="AZ98" s="2111">
        <v>175.5</v>
      </c>
      <c r="BA98" s="2111">
        <v>176</v>
      </c>
      <c r="BB98" s="2111">
        <v>175.7</v>
      </c>
      <c r="BC98" s="2111">
        <v>175.7</v>
      </c>
      <c r="BD98" s="2112">
        <v>176.9</v>
      </c>
      <c r="BE98" s="2111">
        <v>176.9</v>
      </c>
      <c r="BF98" s="2112">
        <v>176.6</v>
      </c>
      <c r="BG98" s="2112">
        <v>177.8</v>
      </c>
      <c r="BH98" s="2112">
        <v>180.2</v>
      </c>
      <c r="BI98" s="2108">
        <v>179.9</v>
      </c>
      <c r="BJ98" s="2108">
        <v>181.2</v>
      </c>
      <c r="BK98" s="2108">
        <v>181.6</v>
      </c>
      <c r="BL98" s="2108">
        <v>186.3</v>
      </c>
      <c r="BM98" s="2108">
        <v>187.1</v>
      </c>
      <c r="BN98" s="2108">
        <v>193.5</v>
      </c>
      <c r="BO98" s="2108">
        <v>193.5</v>
      </c>
      <c r="BP98" s="2108">
        <v>193.5</v>
      </c>
      <c r="BQ98" s="2108">
        <v>193.7</v>
      </c>
      <c r="BR98" s="2108">
        <v>193.7</v>
      </c>
      <c r="BS98" s="2108">
        <v>193.7</v>
      </c>
      <c r="BT98" s="2108">
        <v>194.8</v>
      </c>
      <c r="BU98" s="2108">
        <v>198.4</v>
      </c>
      <c r="BV98" s="2108">
        <v>199.3</v>
      </c>
      <c r="BW98" s="2108">
        <v>199.6</v>
      </c>
      <c r="BX98" s="2108">
        <v>202.2</v>
      </c>
      <c r="BY98" s="2108">
        <v>210.5</v>
      </c>
      <c r="BZ98" s="2108">
        <v>209.3</v>
      </c>
      <c r="CA98" s="2108">
        <v>209.4</v>
      </c>
      <c r="CB98" s="2108">
        <v>211.4</v>
      </c>
      <c r="CC98" s="2108">
        <v>213.5</v>
      </c>
      <c r="CD98" s="2108">
        <v>214.2</v>
      </c>
      <c r="CE98" s="2108">
        <v>214.2</v>
      </c>
      <c r="CF98" s="2108">
        <v>217.6</v>
      </c>
      <c r="CG98" s="2108">
        <v>213.2</v>
      </c>
      <c r="CH98" s="2108">
        <v>218.4</v>
      </c>
      <c r="CI98" s="2108">
        <v>218.3</v>
      </c>
      <c r="CJ98" s="2108">
        <v>218.3</v>
      </c>
      <c r="CK98" s="2108">
        <v>231.4</v>
      </c>
      <c r="CL98" s="2108">
        <v>233.1</v>
      </c>
      <c r="CM98" s="2108">
        <v>232.1</v>
      </c>
      <c r="CN98" s="2108">
        <v>231.6</v>
      </c>
      <c r="CO98" s="2108">
        <v>231.6</v>
      </c>
      <c r="CP98" s="2108">
        <v>231.6</v>
      </c>
      <c r="CQ98" s="2108">
        <v>241.4</v>
      </c>
      <c r="CR98" s="2108">
        <v>246.4</v>
      </c>
      <c r="CS98" s="2108">
        <v>249.1</v>
      </c>
      <c r="CT98" s="2108">
        <v>249.8</v>
      </c>
      <c r="CU98" s="2108">
        <v>257.60000000000002</v>
      </c>
      <c r="CV98" s="2108">
        <v>259</v>
      </c>
      <c r="CW98" s="2108">
        <v>262</v>
      </c>
      <c r="CX98" s="2108">
        <v>263.39999999999998</v>
      </c>
      <c r="CY98" s="2108">
        <v>264.2</v>
      </c>
      <c r="CZ98" s="2108">
        <v>269.39999999999998</v>
      </c>
      <c r="DA98" s="2108">
        <v>269.7</v>
      </c>
      <c r="DB98" s="2108">
        <v>265.89999999999998</v>
      </c>
      <c r="DC98" s="2108">
        <v>269.7</v>
      </c>
      <c r="DD98" s="2108">
        <v>269.2</v>
      </c>
      <c r="DE98" s="2108">
        <v>271.2</v>
      </c>
      <c r="DF98" s="2108">
        <v>275.3</v>
      </c>
      <c r="DG98" s="2108">
        <v>275.7</v>
      </c>
      <c r="DH98" s="2108">
        <v>272.3</v>
      </c>
      <c r="DI98" s="2108">
        <v>276</v>
      </c>
      <c r="DJ98" s="2108">
        <v>278.10000000000002</v>
      </c>
      <c r="DK98" s="2108">
        <v>276.7</v>
      </c>
      <c r="DL98" s="2108">
        <v>279.8</v>
      </c>
      <c r="DM98" s="2108">
        <v>283.8</v>
      </c>
      <c r="DN98" s="2108">
        <v>282.60000000000002</v>
      </c>
      <c r="DO98" s="2108">
        <v>284.3</v>
      </c>
      <c r="DP98" s="2108">
        <v>287.5</v>
      </c>
      <c r="DQ98" s="2108">
        <v>287.60000000000002</v>
      </c>
      <c r="DR98" s="2108">
        <v>295.39999999999998</v>
      </c>
      <c r="DS98" s="2108">
        <v>304.89999999999998</v>
      </c>
      <c r="DT98" s="2108">
        <v>304.8</v>
      </c>
      <c r="DU98" s="2108">
        <v>314.3</v>
      </c>
      <c r="DV98" s="2108">
        <v>318.39999999999998</v>
      </c>
      <c r="DW98" s="2108">
        <v>321.10000000000002</v>
      </c>
      <c r="DX98" s="2108">
        <v>329.5</v>
      </c>
      <c r="DY98" s="2108">
        <v>335.1</v>
      </c>
      <c r="DZ98" s="2108">
        <v>336.5</v>
      </c>
      <c r="EA98" s="2108">
        <v>341.7</v>
      </c>
      <c r="EB98" s="2108">
        <v>354.8</v>
      </c>
      <c r="EC98" s="2108">
        <v>358.8</v>
      </c>
      <c r="ED98" s="2108">
        <v>363.1</v>
      </c>
      <c r="EE98" s="2108">
        <v>364.2</v>
      </c>
      <c r="EF98" s="2108">
        <v>370.9</v>
      </c>
      <c r="EG98" s="2108">
        <v>381</v>
      </c>
      <c r="EH98" s="2108">
        <v>394.5</v>
      </c>
      <c r="EI98" s="2108">
        <v>410.8</v>
      </c>
      <c r="EJ98" s="2108">
        <v>412.4</v>
      </c>
      <c r="EK98" s="2108">
        <v>427.9</v>
      </c>
      <c r="EL98" s="2108">
        <v>431.2</v>
      </c>
      <c r="EM98" s="2108">
        <v>431.9</v>
      </c>
      <c r="EN98" s="2108">
        <v>437.4</v>
      </c>
      <c r="EO98" s="2108">
        <v>444.2</v>
      </c>
      <c r="EP98" s="2108">
        <v>469.6</v>
      </c>
      <c r="EQ98" s="2108">
        <v>491.9</v>
      </c>
      <c r="ER98" s="2108">
        <v>512.6</v>
      </c>
      <c r="ES98" s="2108">
        <v>531.70000000000005</v>
      </c>
      <c r="ET98" s="2108">
        <v>550.20000000000005</v>
      </c>
      <c r="EU98" s="2108">
        <v>570.29999999999995</v>
      </c>
      <c r="EV98" s="2108">
        <v>568.79999999999995</v>
      </c>
      <c r="EW98" s="2108">
        <v>591.9</v>
      </c>
      <c r="EX98" s="2108">
        <v>609</v>
      </c>
      <c r="EY98" s="2108">
        <v>632.1</v>
      </c>
      <c r="EZ98" s="2108">
        <v>675.8</v>
      </c>
      <c r="FA98" s="2108">
        <v>709.2</v>
      </c>
      <c r="FB98" s="2108">
        <v>833.2</v>
      </c>
      <c r="FC98" s="2108">
        <v>888.2</v>
      </c>
      <c r="FD98" s="2108">
        <v>937.5</v>
      </c>
      <c r="FE98" s="2108">
        <v>950.3</v>
      </c>
      <c r="FF98" s="2108">
        <v>953.2</v>
      </c>
      <c r="FG98" s="2108">
        <v>964.2</v>
      </c>
      <c r="FH98" s="2108">
        <v>981.4</v>
      </c>
      <c r="FI98" s="2108">
        <v>1004.8</v>
      </c>
      <c r="FJ98" s="2108">
        <v>1083</v>
      </c>
      <c r="FK98" s="2108">
        <v>1133.5999999999999</v>
      </c>
      <c r="FL98" s="2108">
        <v>1135.2</v>
      </c>
      <c r="FM98" s="2108">
        <v>1141.2</v>
      </c>
      <c r="FN98" s="2108">
        <v>1178.0999999999999</v>
      </c>
      <c r="FO98" s="2108">
        <v>1187</v>
      </c>
      <c r="FP98" s="2108">
        <v>1234.8</v>
      </c>
      <c r="FQ98" s="2108">
        <v>1241.7</v>
      </c>
      <c r="FR98" s="2108">
        <v>1249.3</v>
      </c>
      <c r="FS98" s="2108">
        <v>1255</v>
      </c>
      <c r="FT98" s="2108">
        <v>1262.7</v>
      </c>
      <c r="FU98" s="2108">
        <v>1293.2</v>
      </c>
      <c r="FV98" s="2108">
        <v>1318.9</v>
      </c>
      <c r="FW98" s="2113">
        <v>1166.8103438622736</v>
      </c>
      <c r="FX98" s="2113">
        <v>1600.2399278732707</v>
      </c>
      <c r="FY98" s="2113">
        <v>100</v>
      </c>
      <c r="FZ98" s="2113">
        <v>110.54278612136841</v>
      </c>
      <c r="GA98" s="2113">
        <v>113.05078430144846</v>
      </c>
      <c r="GB98" s="2113">
        <v>111.30584766240382</v>
      </c>
      <c r="GC98" s="2113">
        <v>112.66124445037086</v>
      </c>
      <c r="GD98" s="2113">
        <v>114.90303803339445</v>
      </c>
      <c r="GE98" s="2113">
        <v>117.40754546611487</v>
      </c>
      <c r="GF98" s="2114">
        <v>117.94134158300723</v>
      </c>
      <c r="GG98" s="1960">
        <v>117.94134158300723</v>
      </c>
      <c r="GH98" s="2114">
        <v>102.75189868577964</v>
      </c>
      <c r="GI98" s="2114">
        <v>102.75189868577964</v>
      </c>
      <c r="GJ98" s="2113">
        <v>102.75189868577964</v>
      </c>
      <c r="GK98" s="2113">
        <v>102.75189868577964</v>
      </c>
      <c r="GL98" s="2113">
        <v>103.40834606708155</v>
      </c>
      <c r="GM98" s="2114">
        <v>103.72333158776699</v>
      </c>
      <c r="GN98" s="2114">
        <v>104.09673571996854</v>
      </c>
      <c r="GO98" s="2115">
        <v>105.07509717646978</v>
      </c>
      <c r="GP98" s="2116">
        <v>105.07509717646978</v>
      </c>
      <c r="GQ98" s="2116">
        <v>102.35742180246308</v>
      </c>
      <c r="GR98" s="2116">
        <v>106.84576472192892</v>
      </c>
      <c r="GS98" s="2116">
        <v>107.56978718785572</v>
      </c>
      <c r="GT98" s="1960">
        <v>101.38533178064949</v>
      </c>
      <c r="GU98" s="1960">
        <v>101.38533178064949</v>
      </c>
      <c r="GV98" s="1960">
        <v>101.38533178064949</v>
      </c>
      <c r="GW98" s="1960">
        <v>103.72322555559445</v>
      </c>
      <c r="GX98" s="1960">
        <v>103.15948468688971</v>
      </c>
      <c r="GY98" s="1960">
        <v>103.71347786736253</v>
      </c>
      <c r="GZ98" s="1960">
        <v>111.38420770076182</v>
      </c>
      <c r="HA98" s="1960">
        <v>123.5955625237943</v>
      </c>
      <c r="HB98" s="1960">
        <v>138.86992681635391</v>
      </c>
      <c r="HC98" s="1960">
        <v>148.94815970155662</v>
      </c>
      <c r="HD98" s="1960">
        <v>154.08322478434511</v>
      </c>
      <c r="HE98" s="1960">
        <v>189.0524557129549</v>
      </c>
      <c r="HF98" s="1960">
        <v>206.38759022459601</v>
      </c>
      <c r="HG98" s="1960">
        <v>201.47399981139304</v>
      </c>
      <c r="HH98" s="2117">
        <v>192.36229112499217</v>
      </c>
      <c r="HI98" s="1960">
        <v>211.74751667674241</v>
      </c>
      <c r="HJ98" s="1960">
        <v>200.14783152183557</v>
      </c>
      <c r="HK98" s="1960">
        <v>219.46806536568533</v>
      </c>
      <c r="HL98" s="1960">
        <v>225.59400061975651</v>
      </c>
      <c r="HM98" s="1960">
        <v>229.3076122703869</v>
      </c>
      <c r="HN98" s="1960">
        <v>211.51463659402933</v>
      </c>
      <c r="HO98" s="1960">
        <v>215.73522006916369</v>
      </c>
      <c r="HP98" s="1960">
        <v>237.11955091028449</v>
      </c>
      <c r="HQ98" s="1960">
        <v>266.52248566716986</v>
      </c>
      <c r="HR98" s="1960">
        <v>262.90853855228573</v>
      </c>
      <c r="HS98" s="1960">
        <v>248.36901382423025</v>
      </c>
      <c r="HT98" s="1962">
        <v>233.58580445228674</v>
      </c>
      <c r="HU98" s="1961">
        <v>227.74577493920111</v>
      </c>
      <c r="HV98" s="1960">
        <v>236.97174513352061</v>
      </c>
      <c r="HW98" s="1960">
        <v>236.97174513352061</v>
      </c>
      <c r="HX98" s="1960">
        <v>236.97174513352061</v>
      </c>
      <c r="HY98" s="1960">
        <v>243.33829659773286</v>
      </c>
      <c r="HZ98" s="1960">
        <v>256.75397478561553</v>
      </c>
      <c r="IA98" s="1960">
        <v>272.56196235693687</v>
      </c>
      <c r="IB98" s="1960">
        <v>286.3675366767643</v>
      </c>
      <c r="IC98" s="1960">
        <v>288.48441127321979</v>
      </c>
      <c r="ID98" s="1960">
        <v>302.06099909923529</v>
      </c>
      <c r="IE98" s="1960">
        <v>310.96389387172854</v>
      </c>
      <c r="IF98" s="1960">
        <v>319.07714465509537</v>
      </c>
      <c r="IG98" s="1961">
        <v>335.96947855604498</v>
      </c>
      <c r="IH98" s="1960">
        <v>343.34257928198321</v>
      </c>
      <c r="II98" s="1960">
        <v>350.47135582633967</v>
      </c>
      <c r="IJ98" s="1961">
        <v>380.34474267712812</v>
      </c>
      <c r="IK98" s="1960">
        <v>393.34972303413429</v>
      </c>
      <c r="IL98" s="1960">
        <v>403.50711101011586</v>
      </c>
      <c r="IM98" s="1960">
        <v>417.07067753500797</v>
      </c>
      <c r="IN98" s="1960">
        <v>424.02648857796549</v>
      </c>
      <c r="IO98" s="1960">
        <v>438.44508529557061</v>
      </c>
      <c r="IP98" s="1960">
        <v>448.9858352144912</v>
      </c>
      <c r="IQ98" s="1960">
        <v>452.67515182244864</v>
      </c>
      <c r="IR98" s="1960">
        <v>468.57482814835595</v>
      </c>
      <c r="IS98" s="2274">
        <v>476.63011700106546</v>
      </c>
      <c r="IT98" s="1960">
        <v>513.34149490378707</v>
      </c>
      <c r="IU98" s="1960">
        <v>522.29100239821025</v>
      </c>
      <c r="IV98" s="1960">
        <v>541.95177038090105</v>
      </c>
      <c r="IW98" s="1960">
        <v>563.53125656835812</v>
      </c>
      <c r="IX98" s="1960">
        <v>604.58111514747043</v>
      </c>
      <c r="IY98" s="1960">
        <v>733.74570210315949</v>
      </c>
      <c r="IZ98" s="1960">
        <v>875.52700950383917</v>
      </c>
      <c r="JA98" s="1960">
        <v>922.28946401831411</v>
      </c>
      <c r="JB98" s="1960">
        <v>990.46074045804926</v>
      </c>
      <c r="JC98" s="1960">
        <v>1068.1724247482348</v>
      </c>
      <c r="JD98" s="1960">
        <v>1136.6030546690313</v>
      </c>
      <c r="JE98" s="2274">
        <v>1200.9105792448872</v>
      </c>
      <c r="JF98" s="2117">
        <v>1314.0479091672619</v>
      </c>
      <c r="JG98" s="2103">
        <f t="shared" si="13"/>
        <v>1.0942096204977338</v>
      </c>
      <c r="JI98" s="2155"/>
      <c r="JJ98" s="2104"/>
    </row>
    <row r="99" spans="2:270" ht="54" customHeight="1">
      <c r="B99" s="2105">
        <v>76</v>
      </c>
      <c r="C99" s="2106" t="s">
        <v>207</v>
      </c>
      <c r="D99" s="2425" t="s">
        <v>1210</v>
      </c>
      <c r="E99" s="2128" t="s">
        <v>208</v>
      </c>
      <c r="F99" s="2106" t="s">
        <v>918</v>
      </c>
      <c r="G99" s="2425" t="s">
        <v>1112</v>
      </c>
      <c r="H99" s="2138" t="s">
        <v>64</v>
      </c>
      <c r="I99" s="2106" t="s">
        <v>920</v>
      </c>
      <c r="J99" s="2359" t="s">
        <v>209</v>
      </c>
      <c r="K99" s="2425"/>
      <c r="L99" s="2110">
        <v>97</v>
      </c>
      <c r="M99" s="2110">
        <v>114.4</v>
      </c>
      <c r="N99" s="2110">
        <v>142.1</v>
      </c>
      <c r="O99" s="2110">
        <v>153</v>
      </c>
      <c r="P99" s="2110">
        <v>176.5</v>
      </c>
      <c r="Q99" s="2110">
        <v>192</v>
      </c>
      <c r="R99" s="2110">
        <v>187.9</v>
      </c>
      <c r="S99" s="2110">
        <v>196.6</v>
      </c>
      <c r="T99" s="2110">
        <v>181.3</v>
      </c>
      <c r="U99" s="2110">
        <v>181.5</v>
      </c>
      <c r="V99" s="2110">
        <v>180.6</v>
      </c>
      <c r="W99" s="2110">
        <v>174.6</v>
      </c>
      <c r="X99" s="2110">
        <v>177.4</v>
      </c>
      <c r="Y99" s="2110">
        <v>178.3</v>
      </c>
      <c r="Z99" s="2110">
        <v>177.2</v>
      </c>
      <c r="AA99" s="2110">
        <v>177.9</v>
      </c>
      <c r="AB99" s="2110">
        <v>177.6</v>
      </c>
      <c r="AC99" s="2110">
        <v>177.1</v>
      </c>
      <c r="AD99" s="2110">
        <v>175.4</v>
      </c>
      <c r="AE99" s="2110">
        <v>174.1</v>
      </c>
      <c r="AF99" s="2110">
        <v>174.4</v>
      </c>
      <c r="AG99" s="2110">
        <v>174.4</v>
      </c>
      <c r="AH99" s="2110">
        <v>175.3</v>
      </c>
      <c r="AI99" s="2110">
        <v>175.3</v>
      </c>
      <c r="AJ99" s="2110">
        <v>175.4</v>
      </c>
      <c r="AK99" s="2110">
        <v>176.2</v>
      </c>
      <c r="AL99" s="2110">
        <v>179</v>
      </c>
      <c r="AM99" s="2110">
        <v>179</v>
      </c>
      <c r="AN99" s="2110">
        <v>176.1</v>
      </c>
      <c r="AO99" s="2110">
        <v>182</v>
      </c>
      <c r="AP99" s="2110">
        <v>182.6</v>
      </c>
      <c r="AQ99" s="2110">
        <v>182.6</v>
      </c>
      <c r="AR99" s="2110">
        <v>185.6</v>
      </c>
      <c r="AS99" s="2110">
        <v>184.7</v>
      </c>
      <c r="AT99" s="2110">
        <v>191.2</v>
      </c>
      <c r="AU99" s="2110">
        <v>191</v>
      </c>
      <c r="AV99" s="2110">
        <v>191</v>
      </c>
      <c r="AW99" s="2111">
        <v>192.1</v>
      </c>
      <c r="AX99" s="2111">
        <v>194.8</v>
      </c>
      <c r="AY99" s="2111">
        <v>195.8</v>
      </c>
      <c r="AZ99" s="2111">
        <v>195.5</v>
      </c>
      <c r="BA99" s="2111">
        <v>197.5</v>
      </c>
      <c r="BB99" s="2111">
        <v>199.2</v>
      </c>
      <c r="BC99" s="2111">
        <v>200</v>
      </c>
      <c r="BD99" s="2112">
        <v>203</v>
      </c>
      <c r="BE99" s="2111">
        <v>203.6</v>
      </c>
      <c r="BF99" s="2112">
        <v>203.1</v>
      </c>
      <c r="BG99" s="2112">
        <v>204.5</v>
      </c>
      <c r="BH99" s="2112">
        <v>213.6</v>
      </c>
      <c r="BI99" s="2108">
        <v>213.3</v>
      </c>
      <c r="BJ99" s="2108">
        <v>211.8</v>
      </c>
      <c r="BK99" s="2108">
        <v>211.4</v>
      </c>
      <c r="BL99" s="2108">
        <v>218.6</v>
      </c>
      <c r="BM99" s="2108">
        <v>226.3</v>
      </c>
      <c r="BN99" s="2108">
        <v>226.1</v>
      </c>
      <c r="BO99" s="2108">
        <v>226.1</v>
      </c>
      <c r="BP99" s="2108">
        <v>226.1</v>
      </c>
      <c r="BQ99" s="2108">
        <v>232.2</v>
      </c>
      <c r="BR99" s="2108">
        <v>229.9</v>
      </c>
      <c r="BS99" s="2108">
        <v>229.1</v>
      </c>
      <c r="BT99" s="2108">
        <v>229.1</v>
      </c>
      <c r="BU99" s="2108">
        <v>228.8</v>
      </c>
      <c r="BV99" s="2108">
        <v>228.8</v>
      </c>
      <c r="BW99" s="2108">
        <v>230.7</v>
      </c>
      <c r="BX99" s="2108">
        <v>240.9</v>
      </c>
      <c r="BY99" s="2108">
        <v>241.9</v>
      </c>
      <c r="BZ99" s="2108">
        <v>243.5</v>
      </c>
      <c r="CA99" s="2108">
        <v>252.3</v>
      </c>
      <c r="CB99" s="2108">
        <v>259.5</v>
      </c>
      <c r="CC99" s="2108">
        <v>260.8</v>
      </c>
      <c r="CD99" s="2108">
        <v>261.89999999999998</v>
      </c>
      <c r="CE99" s="2108">
        <v>263.7</v>
      </c>
      <c r="CF99" s="2108">
        <v>268.2</v>
      </c>
      <c r="CG99" s="2108">
        <v>274.7</v>
      </c>
      <c r="CH99" s="2108">
        <v>276.2</v>
      </c>
      <c r="CI99" s="2108">
        <v>279.7</v>
      </c>
      <c r="CJ99" s="2108">
        <v>283.5</v>
      </c>
      <c r="CK99" s="2108">
        <v>298.89999999999998</v>
      </c>
      <c r="CL99" s="2108">
        <v>296.60000000000002</v>
      </c>
      <c r="CM99" s="2108">
        <v>297.7</v>
      </c>
      <c r="CN99" s="2108">
        <v>301.2</v>
      </c>
      <c r="CO99" s="2108">
        <v>301.2</v>
      </c>
      <c r="CP99" s="2108">
        <v>304.8</v>
      </c>
      <c r="CQ99" s="2108">
        <v>309</v>
      </c>
      <c r="CR99" s="2108">
        <v>315</v>
      </c>
      <c r="CS99" s="2108">
        <v>314.2</v>
      </c>
      <c r="CT99" s="2108">
        <v>308</v>
      </c>
      <c r="CU99" s="2108">
        <v>305.60000000000002</v>
      </c>
      <c r="CV99" s="2108">
        <v>306.60000000000002</v>
      </c>
      <c r="CW99" s="2108">
        <v>306.39999999999998</v>
      </c>
      <c r="CX99" s="2108">
        <v>305.7</v>
      </c>
      <c r="CY99" s="2108">
        <v>306.10000000000002</v>
      </c>
      <c r="CZ99" s="2108">
        <v>313</v>
      </c>
      <c r="DA99" s="2108">
        <v>313.89999999999998</v>
      </c>
      <c r="DB99" s="2108">
        <v>319.3</v>
      </c>
      <c r="DC99" s="2108">
        <v>323.10000000000002</v>
      </c>
      <c r="DD99" s="2108">
        <v>324.5</v>
      </c>
      <c r="DE99" s="2108">
        <v>325.10000000000002</v>
      </c>
      <c r="DF99" s="2108">
        <v>327.10000000000002</v>
      </c>
      <c r="DG99" s="2108">
        <v>337.7</v>
      </c>
      <c r="DH99" s="2108">
        <v>338.6</v>
      </c>
      <c r="DI99" s="2108">
        <v>347.4</v>
      </c>
      <c r="DJ99" s="2108">
        <v>352.4</v>
      </c>
      <c r="DK99" s="2108">
        <v>352.4</v>
      </c>
      <c r="DL99" s="2108">
        <v>358.8</v>
      </c>
      <c r="DM99" s="2108">
        <v>362.6</v>
      </c>
      <c r="DN99" s="2108">
        <v>368.5</v>
      </c>
      <c r="DO99" s="2108">
        <v>375.5</v>
      </c>
      <c r="DP99" s="2108">
        <v>386.9</v>
      </c>
      <c r="DQ99" s="2108">
        <v>393.3</v>
      </c>
      <c r="DR99" s="2108">
        <v>397.2</v>
      </c>
      <c r="DS99" s="2108">
        <v>409.2</v>
      </c>
      <c r="DT99" s="2108">
        <v>423.3</v>
      </c>
      <c r="DU99" s="2108">
        <v>429.6</v>
      </c>
      <c r="DV99" s="2108">
        <v>438.6</v>
      </c>
      <c r="DW99" s="2108">
        <v>452.3</v>
      </c>
      <c r="DX99" s="2108">
        <v>459.4</v>
      </c>
      <c r="DY99" s="2108">
        <v>459.5</v>
      </c>
      <c r="DZ99" s="2108">
        <v>468.4</v>
      </c>
      <c r="EA99" s="2108">
        <v>474.7</v>
      </c>
      <c r="EB99" s="2108">
        <v>482</v>
      </c>
      <c r="EC99" s="2108">
        <v>488.1</v>
      </c>
      <c r="ED99" s="2108">
        <v>492.4</v>
      </c>
      <c r="EE99" s="2108">
        <v>508.4</v>
      </c>
      <c r="EF99" s="2108">
        <v>516.4</v>
      </c>
      <c r="EG99" s="2108">
        <v>517.6</v>
      </c>
      <c r="EH99" s="2108">
        <v>530.1</v>
      </c>
      <c r="EI99" s="2108">
        <v>536.6</v>
      </c>
      <c r="EJ99" s="2108">
        <v>541.5</v>
      </c>
      <c r="EK99" s="2108">
        <v>547</v>
      </c>
      <c r="EL99" s="2108">
        <v>551</v>
      </c>
      <c r="EM99" s="2108">
        <v>565.4</v>
      </c>
      <c r="EN99" s="2108">
        <v>566.6</v>
      </c>
      <c r="EO99" s="2108">
        <v>576.1</v>
      </c>
      <c r="EP99" s="2108">
        <v>580.6</v>
      </c>
      <c r="EQ99" s="2108">
        <v>597</v>
      </c>
      <c r="ER99" s="2108">
        <v>603.20000000000005</v>
      </c>
      <c r="ES99" s="2108">
        <v>617.29999999999995</v>
      </c>
      <c r="ET99" s="2108">
        <v>629.6</v>
      </c>
      <c r="EU99" s="2108">
        <v>646.20000000000005</v>
      </c>
      <c r="EV99" s="2108">
        <v>644.79999999999995</v>
      </c>
      <c r="EW99" s="2108">
        <v>688.1</v>
      </c>
      <c r="EX99" s="2108">
        <v>693.1</v>
      </c>
      <c r="EY99" s="2108">
        <v>713.5</v>
      </c>
      <c r="EZ99" s="2108">
        <v>737.1</v>
      </c>
      <c r="FA99" s="2108">
        <v>745.7</v>
      </c>
      <c r="FB99" s="2108">
        <v>820.7</v>
      </c>
      <c r="FC99" s="2108">
        <v>829.4</v>
      </c>
      <c r="FD99" s="2108">
        <v>845.5</v>
      </c>
      <c r="FE99" s="2108">
        <v>860.1</v>
      </c>
      <c r="FF99" s="2108">
        <v>859.2</v>
      </c>
      <c r="FG99" s="2108">
        <v>894</v>
      </c>
      <c r="FH99" s="2108">
        <v>931</v>
      </c>
      <c r="FI99" s="2108">
        <v>959.9</v>
      </c>
      <c r="FJ99" s="2108">
        <v>995.6</v>
      </c>
      <c r="FK99" s="2108">
        <v>1054.9000000000001</v>
      </c>
      <c r="FL99" s="2108">
        <v>1061.0999999999999</v>
      </c>
      <c r="FM99" s="2108">
        <v>1064.9000000000001</v>
      </c>
      <c r="FN99" s="2108">
        <v>1082.4000000000001</v>
      </c>
      <c r="FO99" s="2108">
        <v>1094.3</v>
      </c>
      <c r="FP99" s="2108">
        <v>1097.9000000000001</v>
      </c>
      <c r="FQ99" s="2108">
        <v>1098.3</v>
      </c>
      <c r="FR99" s="2108">
        <v>1126.5</v>
      </c>
      <c r="FS99" s="2108">
        <v>1127.5</v>
      </c>
      <c r="FT99" s="2108">
        <v>1131.9000000000001</v>
      </c>
      <c r="FU99" s="2108">
        <v>1160.2</v>
      </c>
      <c r="FV99" s="2108">
        <v>1167.0999999999999</v>
      </c>
      <c r="FW99" s="2113">
        <v>1287.0726166006307</v>
      </c>
      <c r="FX99" s="2113">
        <v>1419.420213142952</v>
      </c>
      <c r="FY99" s="2113">
        <v>100</v>
      </c>
      <c r="FZ99" s="2113">
        <v>101.88466310501099</v>
      </c>
      <c r="GA99" s="2113">
        <v>102.87983699331704</v>
      </c>
      <c r="GB99" s="2113">
        <v>100.35805942038905</v>
      </c>
      <c r="GC99" s="2113">
        <v>104.57232583231914</v>
      </c>
      <c r="GD99" s="2113">
        <v>105.17519370379159</v>
      </c>
      <c r="GE99" s="2113">
        <v>105.09753419820959</v>
      </c>
      <c r="GF99" s="2114">
        <v>106.35026915071649</v>
      </c>
      <c r="GG99" s="1960">
        <v>105.59650222629281</v>
      </c>
      <c r="GH99" s="2114">
        <v>103.13972363442169</v>
      </c>
      <c r="GI99" s="2114">
        <v>102.89116975240317</v>
      </c>
      <c r="GJ99" s="2113">
        <v>104.69770618097186</v>
      </c>
      <c r="GK99" s="2113">
        <v>105.50457393652647</v>
      </c>
      <c r="GL99" s="2113">
        <v>104.98243457955867</v>
      </c>
      <c r="GM99" s="2114">
        <v>104.98243457955867</v>
      </c>
      <c r="GN99" s="2114">
        <v>107.00232392934187</v>
      </c>
      <c r="GO99" s="2115">
        <v>107.00232392934187</v>
      </c>
      <c r="GP99" s="2116">
        <v>104.77104455472117</v>
      </c>
      <c r="GQ99" s="2116">
        <v>105.09282871627788</v>
      </c>
      <c r="GR99" s="2116">
        <v>107.10627289761722</v>
      </c>
      <c r="GS99" s="2116">
        <v>106.95489474626312</v>
      </c>
      <c r="GT99" s="1960">
        <v>105.13775594603727</v>
      </c>
      <c r="GU99" s="1960">
        <v>105.75051373471946</v>
      </c>
      <c r="GV99" s="1960">
        <v>105.75051373471946</v>
      </c>
      <c r="GW99" s="1960">
        <v>107.23313235503321</v>
      </c>
      <c r="GX99" s="1960">
        <v>111.9519302426767</v>
      </c>
      <c r="GY99" s="1960">
        <v>112.60663074148592</v>
      </c>
      <c r="GZ99" s="1960">
        <v>116.95284036710805</v>
      </c>
      <c r="HA99" s="1960">
        <v>117.78894795368926</v>
      </c>
      <c r="HB99" s="1960">
        <v>123.83596386075658</v>
      </c>
      <c r="HC99" s="1960">
        <v>137.3951224189295</v>
      </c>
      <c r="HD99" s="1960">
        <v>138.24675171040258</v>
      </c>
      <c r="HE99" s="1960">
        <v>150.63277329911432</v>
      </c>
      <c r="HF99" s="1960">
        <v>165.45999679374302</v>
      </c>
      <c r="HG99" s="1960">
        <v>159.94466356728489</v>
      </c>
      <c r="HH99" s="2117">
        <v>167.83749422373836</v>
      </c>
      <c r="HI99" s="1960">
        <v>162.84266422532858</v>
      </c>
      <c r="HJ99" s="1960">
        <v>170.92279010245414</v>
      </c>
      <c r="HK99" s="1960">
        <v>176.60922768425723</v>
      </c>
      <c r="HL99" s="1960">
        <v>206.87789309674503</v>
      </c>
      <c r="HM99" s="1960">
        <v>211.9846407774192</v>
      </c>
      <c r="HN99" s="1960">
        <v>209.09801698857638</v>
      </c>
      <c r="HO99" s="1960">
        <v>224.77058829986191</v>
      </c>
      <c r="HP99" s="1960">
        <v>232.86595274102669</v>
      </c>
      <c r="HQ99" s="1960">
        <v>265.1192747339752</v>
      </c>
      <c r="HR99" s="1960">
        <v>266.77621044472806</v>
      </c>
      <c r="HS99" s="1960">
        <v>295.2940593840072</v>
      </c>
      <c r="HT99" s="1962">
        <v>294.31923051350168</v>
      </c>
      <c r="HU99" s="1961">
        <v>296.18092609341863</v>
      </c>
      <c r="HV99" s="1960">
        <v>299.74427085486985</v>
      </c>
      <c r="HW99" s="1960">
        <v>299.74427085486985</v>
      </c>
      <c r="HX99" s="1960">
        <v>304.73197238501683</v>
      </c>
      <c r="HY99" s="1960">
        <v>314.37546909520654</v>
      </c>
      <c r="HZ99" s="1960">
        <v>319.36112438198523</v>
      </c>
      <c r="IA99" s="1960">
        <v>323.59865004038352</v>
      </c>
      <c r="IB99" s="1960">
        <v>337.6613102635535</v>
      </c>
      <c r="IC99" s="1960">
        <v>341.0593744244415</v>
      </c>
      <c r="ID99" s="1960">
        <v>358.4090488724139</v>
      </c>
      <c r="IE99" s="1960">
        <v>405.65037729939058</v>
      </c>
      <c r="IF99" s="1960">
        <v>432.7427195343933</v>
      </c>
      <c r="IG99" s="1961">
        <v>447.12251617100156</v>
      </c>
      <c r="IH99" s="1960">
        <v>473.43848108799341</v>
      </c>
      <c r="II99" s="1960">
        <v>483.66356156541616</v>
      </c>
      <c r="IJ99" s="1961">
        <v>512.36608024844611</v>
      </c>
      <c r="IK99" s="1960">
        <v>575.01633344439688</v>
      </c>
      <c r="IL99" s="1960">
        <v>605.0745248235844</v>
      </c>
      <c r="IM99" s="1960">
        <v>627.13031237905818</v>
      </c>
      <c r="IN99" s="1960">
        <v>646.9769565365076</v>
      </c>
      <c r="IO99" s="1960">
        <v>677.00552933820745</v>
      </c>
      <c r="IP99" s="1960">
        <v>708.8934131810887</v>
      </c>
      <c r="IQ99" s="1960">
        <v>734.18011382486691</v>
      </c>
      <c r="IR99" s="1960">
        <v>750.51871857385174</v>
      </c>
      <c r="IS99" s="2274">
        <v>777.75242693655582</v>
      </c>
      <c r="IT99" s="1960">
        <v>812.18367736544815</v>
      </c>
      <c r="IU99" s="1960">
        <v>839.95700658058286</v>
      </c>
      <c r="IV99" s="1960">
        <v>841.93911480071915</v>
      </c>
      <c r="IW99" s="1960">
        <v>900.24293683628241</v>
      </c>
      <c r="IX99" s="1960">
        <v>943.91068349791635</v>
      </c>
      <c r="IY99" s="1960">
        <v>1119.2629996899525</v>
      </c>
      <c r="IZ99" s="1960">
        <v>1207.6827123941575</v>
      </c>
      <c r="JA99" s="1960">
        <v>1269.6800571397494</v>
      </c>
      <c r="JB99" s="1960">
        <v>1356.5630510733135</v>
      </c>
      <c r="JC99" s="1960">
        <v>1403.262362811806</v>
      </c>
      <c r="JD99" s="1960">
        <v>1523.796800492217</v>
      </c>
      <c r="JE99" s="2274">
        <v>1581.9211561600441</v>
      </c>
      <c r="JF99" s="2117">
        <v>1647.0448905139251</v>
      </c>
      <c r="JG99" s="2103">
        <f t="shared" si="13"/>
        <v>1.0411674969389513</v>
      </c>
      <c r="JI99" s="2155"/>
      <c r="JJ99" s="2104"/>
    </row>
    <row r="100" spans="2:270" ht="28.5" customHeight="1">
      <c r="B100" s="2105">
        <v>77</v>
      </c>
      <c r="C100" s="2106" t="s">
        <v>210</v>
      </c>
      <c r="D100" s="2425" t="s">
        <v>1211</v>
      </c>
      <c r="E100" s="2128" t="s">
        <v>211</v>
      </c>
      <c r="F100" s="2106" t="s">
        <v>918</v>
      </c>
      <c r="G100" s="2425" t="s">
        <v>1112</v>
      </c>
      <c r="H100" s="2106" t="s">
        <v>929</v>
      </c>
      <c r="I100" s="2106" t="s">
        <v>930</v>
      </c>
      <c r="J100" s="2359" t="s">
        <v>47</v>
      </c>
      <c r="K100" s="2425"/>
      <c r="L100" s="2110">
        <v>87.4</v>
      </c>
      <c r="M100" s="2110">
        <v>87.4</v>
      </c>
      <c r="N100" s="2110">
        <v>88.3</v>
      </c>
      <c r="O100" s="2110">
        <v>88.4</v>
      </c>
      <c r="P100" s="2110">
        <v>99.1</v>
      </c>
      <c r="Q100" s="2110">
        <v>99.4</v>
      </c>
      <c r="R100" s="2110">
        <v>107.7</v>
      </c>
      <c r="S100" s="2110">
        <v>128.6</v>
      </c>
      <c r="T100" s="2110">
        <v>124.5</v>
      </c>
      <c r="U100" s="2110">
        <v>126.3</v>
      </c>
      <c r="V100" s="2110">
        <v>127.4</v>
      </c>
      <c r="W100" s="2110">
        <v>125.2</v>
      </c>
      <c r="X100" s="2110">
        <v>124.5</v>
      </c>
      <c r="Y100" s="2110">
        <v>123.5</v>
      </c>
      <c r="Z100" s="2110">
        <v>123.7</v>
      </c>
      <c r="AA100" s="2110">
        <v>124.2</v>
      </c>
      <c r="AB100" s="2110">
        <v>124</v>
      </c>
      <c r="AC100" s="2110">
        <v>125.7</v>
      </c>
      <c r="AD100" s="2110">
        <v>125.2</v>
      </c>
      <c r="AE100" s="2110">
        <v>128.19999999999999</v>
      </c>
      <c r="AF100" s="2110">
        <v>132.30000000000001</v>
      </c>
      <c r="AG100" s="2110">
        <v>143.19999999999999</v>
      </c>
      <c r="AH100" s="2110">
        <v>141.4</v>
      </c>
      <c r="AI100" s="2110">
        <v>169.9</v>
      </c>
      <c r="AJ100" s="2110">
        <v>189.9</v>
      </c>
      <c r="AK100" s="2110">
        <v>196.6</v>
      </c>
      <c r="AL100" s="2110">
        <v>203.3</v>
      </c>
      <c r="AM100" s="2110">
        <v>203.6</v>
      </c>
      <c r="AN100" s="2110">
        <v>217.8</v>
      </c>
      <c r="AO100" s="2110">
        <v>226.5</v>
      </c>
      <c r="AP100" s="2110">
        <v>230.1</v>
      </c>
      <c r="AQ100" s="2110">
        <v>237.7</v>
      </c>
      <c r="AR100" s="2110">
        <v>238.5</v>
      </c>
      <c r="AS100" s="2110">
        <v>237.7</v>
      </c>
      <c r="AT100" s="2110">
        <v>235.5</v>
      </c>
      <c r="AU100" s="2110">
        <v>235.5</v>
      </c>
      <c r="AV100" s="2110">
        <v>232.8</v>
      </c>
      <c r="AW100" s="2111">
        <v>232.7</v>
      </c>
      <c r="AX100" s="2111">
        <v>230.9</v>
      </c>
      <c r="AY100" s="2111">
        <v>231.9</v>
      </c>
      <c r="AZ100" s="2111">
        <v>232.8</v>
      </c>
      <c r="BA100" s="2111">
        <v>232.8</v>
      </c>
      <c r="BB100" s="2111">
        <v>233</v>
      </c>
      <c r="BC100" s="2111">
        <v>233.4</v>
      </c>
      <c r="BD100" s="2112">
        <v>232.3</v>
      </c>
      <c r="BE100" s="2111">
        <v>232.9</v>
      </c>
      <c r="BF100" s="2112">
        <v>230.2</v>
      </c>
      <c r="BG100" s="2112">
        <v>238.4</v>
      </c>
      <c r="BH100" s="2112">
        <v>245.4</v>
      </c>
      <c r="BI100" s="2108">
        <v>255.7</v>
      </c>
      <c r="BJ100" s="2108">
        <v>261.10000000000002</v>
      </c>
      <c r="BK100" s="2108">
        <v>271.5</v>
      </c>
      <c r="BL100" s="2108">
        <v>301.8</v>
      </c>
      <c r="BM100" s="2108">
        <v>344</v>
      </c>
      <c r="BN100" s="2108">
        <v>349.6</v>
      </c>
      <c r="BO100" s="2108">
        <v>362.3</v>
      </c>
      <c r="BP100" s="2108">
        <v>366.1</v>
      </c>
      <c r="BQ100" s="2108">
        <v>366.1</v>
      </c>
      <c r="BR100" s="2108">
        <v>367.1</v>
      </c>
      <c r="BS100" s="2108">
        <v>372.8</v>
      </c>
      <c r="BT100" s="2108">
        <v>372.9</v>
      </c>
      <c r="BU100" s="2108">
        <v>376.1</v>
      </c>
      <c r="BV100" s="2108">
        <v>377.3</v>
      </c>
      <c r="BW100" s="2108">
        <v>390.8</v>
      </c>
      <c r="BX100" s="2108">
        <v>390.8</v>
      </c>
      <c r="BY100" s="2108">
        <v>393.1</v>
      </c>
      <c r="BZ100" s="2108">
        <v>388.9</v>
      </c>
      <c r="CA100" s="2108">
        <v>396.7</v>
      </c>
      <c r="CB100" s="2108">
        <v>402.3</v>
      </c>
      <c r="CC100" s="2108">
        <v>402.3</v>
      </c>
      <c r="CD100" s="2108">
        <v>404.6</v>
      </c>
      <c r="CE100" s="2108">
        <v>405.7</v>
      </c>
      <c r="CF100" s="2108">
        <v>411.6</v>
      </c>
      <c r="CG100" s="2108">
        <v>412.2</v>
      </c>
      <c r="CH100" s="2108">
        <v>414</v>
      </c>
      <c r="CI100" s="2108">
        <v>412.5</v>
      </c>
      <c r="CJ100" s="2108">
        <v>417.7</v>
      </c>
      <c r="CK100" s="2108">
        <v>419.2</v>
      </c>
      <c r="CL100" s="2108">
        <v>426</v>
      </c>
      <c r="CM100" s="2108">
        <v>427.6</v>
      </c>
      <c r="CN100" s="2108">
        <v>429.1</v>
      </c>
      <c r="CO100" s="2108">
        <v>429.1</v>
      </c>
      <c r="CP100" s="2108">
        <v>429.1</v>
      </c>
      <c r="CQ100" s="2108">
        <v>432.1</v>
      </c>
      <c r="CR100" s="2108">
        <v>431.9</v>
      </c>
      <c r="CS100" s="2108">
        <v>431.9</v>
      </c>
      <c r="CT100" s="2108">
        <v>430.7</v>
      </c>
      <c r="CU100" s="2108">
        <v>430.7</v>
      </c>
      <c r="CV100" s="2108">
        <v>430.7</v>
      </c>
      <c r="CW100" s="2108">
        <v>430.7</v>
      </c>
      <c r="CX100" s="2108">
        <v>430.7</v>
      </c>
      <c r="CY100" s="2108">
        <v>430.6</v>
      </c>
      <c r="CZ100" s="2108">
        <v>437.2</v>
      </c>
      <c r="DA100" s="2108">
        <v>438.3</v>
      </c>
      <c r="DB100" s="2108">
        <v>438.2</v>
      </c>
      <c r="DC100" s="2108">
        <v>438.3</v>
      </c>
      <c r="DD100" s="2108">
        <v>438.3</v>
      </c>
      <c r="DE100" s="2108">
        <v>439.9</v>
      </c>
      <c r="DF100" s="2108">
        <v>441.9</v>
      </c>
      <c r="DG100" s="2108">
        <v>446.5</v>
      </c>
      <c r="DH100" s="2108">
        <v>450.1</v>
      </c>
      <c r="DI100" s="2108">
        <v>450</v>
      </c>
      <c r="DJ100" s="2108">
        <v>454.1</v>
      </c>
      <c r="DK100" s="2108">
        <v>459.7</v>
      </c>
      <c r="DL100" s="2108">
        <v>461.8</v>
      </c>
      <c r="DM100" s="2108">
        <v>463.4</v>
      </c>
      <c r="DN100" s="2108">
        <v>469.9</v>
      </c>
      <c r="DO100" s="2108">
        <v>469.9</v>
      </c>
      <c r="DP100" s="2108">
        <v>474.8</v>
      </c>
      <c r="DQ100" s="2108">
        <v>479.8</v>
      </c>
      <c r="DR100" s="2108">
        <v>480.2</v>
      </c>
      <c r="DS100" s="2108">
        <v>481.9</v>
      </c>
      <c r="DT100" s="2108">
        <v>481.7</v>
      </c>
      <c r="DU100" s="2108">
        <v>491.1</v>
      </c>
      <c r="DV100" s="2108">
        <v>491.1</v>
      </c>
      <c r="DW100" s="2108">
        <v>496.7</v>
      </c>
      <c r="DX100" s="2108">
        <v>504.4</v>
      </c>
      <c r="DY100" s="2108">
        <v>511.2</v>
      </c>
      <c r="DZ100" s="2108">
        <v>525</v>
      </c>
      <c r="EA100" s="2108">
        <v>524.9</v>
      </c>
      <c r="EB100" s="2108">
        <v>537.9</v>
      </c>
      <c r="EC100" s="2108">
        <v>548.29999999999995</v>
      </c>
      <c r="ED100" s="2108">
        <v>548.29999999999995</v>
      </c>
      <c r="EE100" s="2108">
        <v>566.79999999999995</v>
      </c>
      <c r="EF100" s="2108">
        <v>577.79999999999995</v>
      </c>
      <c r="EG100" s="2108">
        <v>591.5</v>
      </c>
      <c r="EH100" s="2108">
        <v>600.79999999999995</v>
      </c>
      <c r="EI100" s="2108">
        <v>605.9</v>
      </c>
      <c r="EJ100" s="2108">
        <v>605.9</v>
      </c>
      <c r="EK100" s="2108">
        <v>629.1</v>
      </c>
      <c r="EL100" s="2108">
        <v>634.29999999999995</v>
      </c>
      <c r="EM100" s="2108">
        <v>644</v>
      </c>
      <c r="EN100" s="2108">
        <v>649.4</v>
      </c>
      <c r="EO100" s="2108">
        <v>660</v>
      </c>
      <c r="EP100" s="2108">
        <v>665.8</v>
      </c>
      <c r="EQ100" s="2108">
        <v>670.9</v>
      </c>
      <c r="ER100" s="2108">
        <v>686.1</v>
      </c>
      <c r="ES100" s="2108">
        <v>692.3</v>
      </c>
      <c r="ET100" s="2108">
        <v>696.5</v>
      </c>
      <c r="EU100" s="2108">
        <v>697.9</v>
      </c>
      <c r="EV100" s="2108">
        <v>715.7</v>
      </c>
      <c r="EW100" s="2108">
        <v>722.2</v>
      </c>
      <c r="EX100" s="2108">
        <v>723.8</v>
      </c>
      <c r="EY100" s="2108">
        <v>758.6</v>
      </c>
      <c r="EZ100" s="2108">
        <v>784</v>
      </c>
      <c r="FA100" s="2108">
        <v>798.8</v>
      </c>
      <c r="FB100" s="2108">
        <v>812.5</v>
      </c>
      <c r="FC100" s="2108">
        <v>837.4</v>
      </c>
      <c r="FD100" s="2108">
        <v>852.7</v>
      </c>
      <c r="FE100" s="2108">
        <v>873.1</v>
      </c>
      <c r="FF100" s="2108">
        <v>882.3</v>
      </c>
      <c r="FG100" s="2108">
        <v>897.5</v>
      </c>
      <c r="FH100" s="2108">
        <v>900.5</v>
      </c>
      <c r="FI100" s="2108">
        <v>908.4</v>
      </c>
      <c r="FJ100" s="2108">
        <v>971.1</v>
      </c>
      <c r="FK100" s="2108">
        <v>971.1</v>
      </c>
      <c r="FL100" s="2108">
        <v>971.1</v>
      </c>
      <c r="FM100" s="2108">
        <v>970.9</v>
      </c>
      <c r="FN100" s="2108">
        <v>977.7</v>
      </c>
      <c r="FO100" s="2108">
        <v>981.7</v>
      </c>
      <c r="FP100" s="2108">
        <v>989.7</v>
      </c>
      <c r="FQ100" s="2108">
        <v>1009.9</v>
      </c>
      <c r="FR100" s="2108">
        <v>1018.4</v>
      </c>
      <c r="FS100" s="2108">
        <v>1026.5</v>
      </c>
      <c r="FT100" s="2108">
        <v>1041.2</v>
      </c>
      <c r="FU100" s="2108">
        <v>1050.3</v>
      </c>
      <c r="FV100" s="2108">
        <v>1069.2</v>
      </c>
      <c r="FW100" s="2113">
        <v>1343.2308100202438</v>
      </c>
      <c r="FX100" s="2113">
        <v>1375.4623300195292</v>
      </c>
      <c r="FY100" s="2113">
        <v>100</v>
      </c>
      <c r="FZ100" s="2113">
        <v>100.10280609130859</v>
      </c>
      <c r="GA100" s="2113">
        <v>100.86357046293415</v>
      </c>
      <c r="GB100" s="2113">
        <v>99.969150504816398</v>
      </c>
      <c r="GC100" s="2113">
        <v>100.67851297766633</v>
      </c>
      <c r="GD100" s="2113">
        <v>101.45984307121213</v>
      </c>
      <c r="GE100" s="2113">
        <v>101.76826444437869</v>
      </c>
      <c r="GF100" s="2114">
        <v>103.99916689549772</v>
      </c>
      <c r="GG100" s="1960">
        <v>105.14032253372315</v>
      </c>
      <c r="GH100" s="2114">
        <v>104.57488331655803</v>
      </c>
      <c r="GI100" s="2114">
        <v>106.47680400151442</v>
      </c>
      <c r="GJ100" s="2113">
        <v>107.29926119489885</v>
      </c>
      <c r="GK100" s="2113">
        <v>107.29926119489885</v>
      </c>
      <c r="GL100" s="2113">
        <v>107.66937076762824</v>
      </c>
      <c r="GM100" s="2114">
        <v>106.20951560130578</v>
      </c>
      <c r="GN100" s="2114">
        <v>106.31573008008216</v>
      </c>
      <c r="GO100" s="2115">
        <v>106.76809683196142</v>
      </c>
      <c r="GP100" s="2116">
        <v>108.59811803436986</v>
      </c>
      <c r="GQ100" s="2116">
        <v>109.6262170400332</v>
      </c>
      <c r="GR100" s="2116">
        <v>112.2375835434356</v>
      </c>
      <c r="GS100" s="2116">
        <v>113.2142794533534</v>
      </c>
      <c r="GT100" s="1960">
        <v>116.17520941566315</v>
      </c>
      <c r="GU100" s="1960">
        <v>117.38836849931484</v>
      </c>
      <c r="GV100" s="1960">
        <v>117.38836849931484</v>
      </c>
      <c r="GW100" s="1960">
        <v>118.00522849227413</v>
      </c>
      <c r="GX100" s="1960">
        <v>123.28965924631679</v>
      </c>
      <c r="GY100" s="1960">
        <v>123.28965924631679</v>
      </c>
      <c r="GZ100" s="1960">
        <v>122.3007312076151</v>
      </c>
      <c r="HA100" s="1960">
        <v>127.36814577136103</v>
      </c>
      <c r="HB100" s="1960">
        <v>130.20103133873803</v>
      </c>
      <c r="HC100" s="1960">
        <v>130.54206253969232</v>
      </c>
      <c r="HD100" s="1960">
        <v>128.1253801292203</v>
      </c>
      <c r="HE100" s="1960">
        <v>137.21543058615435</v>
      </c>
      <c r="HF100" s="1960">
        <v>140.74138698918006</v>
      </c>
      <c r="HG100" s="1960">
        <v>139.26880056484427</v>
      </c>
      <c r="HH100" s="2117">
        <v>142.92979514546639</v>
      </c>
      <c r="HI100" s="1960">
        <v>136.98584484531995</v>
      </c>
      <c r="HJ100" s="1960">
        <v>145.77790307836895</v>
      </c>
      <c r="HK100" s="1960">
        <v>146.15647317704443</v>
      </c>
      <c r="HL100" s="1960">
        <v>148.13583106977561</v>
      </c>
      <c r="HM100" s="1960">
        <v>151.34852731826982</v>
      </c>
      <c r="HN100" s="1960">
        <v>158.45509714996476</v>
      </c>
      <c r="HO100" s="1960">
        <v>161.66765785163631</v>
      </c>
      <c r="HP100" s="1960">
        <v>182.05656999443337</v>
      </c>
      <c r="HQ100" s="1960">
        <v>200.06064220802159</v>
      </c>
      <c r="HR100" s="1960">
        <v>209.81893531892084</v>
      </c>
      <c r="HS100" s="1960">
        <v>226.48310949425959</v>
      </c>
      <c r="HT100" s="1962">
        <v>238.05611421559084</v>
      </c>
      <c r="HU100" s="1961">
        <v>229.77822512998591</v>
      </c>
      <c r="HV100" s="1960">
        <v>234.99334599085714</v>
      </c>
      <c r="HW100" s="1960">
        <v>246.68694807492841</v>
      </c>
      <c r="HX100" s="1960">
        <v>256.61850052989303</v>
      </c>
      <c r="HY100" s="1960">
        <v>269.43340692339581</v>
      </c>
      <c r="HZ100" s="1960">
        <v>269.43340692339581</v>
      </c>
      <c r="IA100" s="1960">
        <v>288.26273463640246</v>
      </c>
      <c r="IB100" s="1960">
        <v>295.90981278808664</v>
      </c>
      <c r="IC100" s="1960">
        <v>311.88241713734175</v>
      </c>
      <c r="ID100" s="1960">
        <v>348.6648448989738</v>
      </c>
      <c r="IE100" s="1960">
        <v>371.91630068350389</v>
      </c>
      <c r="IF100" s="1960">
        <v>384.3266572704685</v>
      </c>
      <c r="IG100" s="1961">
        <v>441.33225355791939</v>
      </c>
      <c r="IH100" s="1960">
        <v>457.79648268239714</v>
      </c>
      <c r="II100" s="1960">
        <v>457.79648268239714</v>
      </c>
      <c r="IJ100" s="1961">
        <v>513.88943637867771</v>
      </c>
      <c r="IK100" s="1960">
        <v>530.98246611870798</v>
      </c>
      <c r="IL100" s="1960">
        <v>527.63841452202007</v>
      </c>
      <c r="IM100" s="1960">
        <v>534.70554912137163</v>
      </c>
      <c r="IN100" s="1960">
        <v>542.10204031350349</v>
      </c>
      <c r="IO100" s="1960">
        <v>533.3904605256655</v>
      </c>
      <c r="IP100" s="1960">
        <v>541.43539727646601</v>
      </c>
      <c r="IQ100" s="1960">
        <v>544.56651817891589</v>
      </c>
      <c r="IR100" s="1960">
        <v>558.72494132690213</v>
      </c>
      <c r="IS100" s="2274">
        <v>558.72494132690213</v>
      </c>
      <c r="IT100" s="1960">
        <v>565.70720816628034</v>
      </c>
      <c r="IU100" s="1960">
        <v>578.14607300850241</v>
      </c>
      <c r="IV100" s="1960">
        <v>613.55482554186881</v>
      </c>
      <c r="IW100" s="1960">
        <v>674.46432781501392</v>
      </c>
      <c r="IX100" s="1960">
        <v>687.94766583983278</v>
      </c>
      <c r="IY100" s="1960">
        <v>731.53258560242875</v>
      </c>
      <c r="IZ100" s="1960">
        <v>854.85277171427947</v>
      </c>
      <c r="JA100" s="1960">
        <v>873.51617409251946</v>
      </c>
      <c r="JB100" s="1960">
        <v>926.26197958378236</v>
      </c>
      <c r="JC100" s="1960">
        <v>973.22524601567466</v>
      </c>
      <c r="JD100" s="1960">
        <v>1054.625509769028</v>
      </c>
      <c r="JE100" s="2274">
        <v>1111.3879745395636</v>
      </c>
      <c r="JF100" s="2117">
        <v>1153.9096051156271</v>
      </c>
      <c r="JG100" s="2103">
        <f t="shared" si="13"/>
        <v>1.0382599340196026</v>
      </c>
      <c r="JI100" s="2155"/>
      <c r="JJ100" s="2104"/>
    </row>
    <row r="101" spans="2:270" hidden="1">
      <c r="B101" s="2105">
        <v>78</v>
      </c>
      <c r="C101" s="2106" t="s">
        <v>212</v>
      </c>
      <c r="D101" s="2425">
        <v>23</v>
      </c>
      <c r="E101" s="2128" t="s">
        <v>213</v>
      </c>
      <c r="F101" s="2106" t="s">
        <v>918</v>
      </c>
      <c r="G101" s="2425" t="s">
        <v>1112</v>
      </c>
      <c r="H101" s="2106" t="s">
        <v>929</v>
      </c>
      <c r="I101" s="2106" t="s">
        <v>930</v>
      </c>
      <c r="J101" s="2359" t="s">
        <v>47</v>
      </c>
      <c r="K101" s="2425"/>
      <c r="L101" s="2110">
        <v>92.4</v>
      </c>
      <c r="M101" s="2110">
        <v>93.5</v>
      </c>
      <c r="N101" s="2110">
        <v>92.7</v>
      </c>
      <c r="O101" s="2110">
        <v>93.5</v>
      </c>
      <c r="P101" s="2110">
        <v>100.3</v>
      </c>
      <c r="Q101" s="2110">
        <v>99.4</v>
      </c>
      <c r="R101" s="2110">
        <v>101</v>
      </c>
      <c r="S101" s="2110">
        <v>125.1</v>
      </c>
      <c r="T101" s="2110">
        <v>126.5</v>
      </c>
      <c r="U101" s="2110">
        <v>124.2</v>
      </c>
      <c r="V101" s="2110">
        <v>125.5</v>
      </c>
      <c r="W101" s="2110">
        <v>123.9</v>
      </c>
      <c r="X101" s="2110">
        <v>123.9</v>
      </c>
      <c r="Y101" s="2110">
        <v>125.7</v>
      </c>
      <c r="Z101" s="2110">
        <v>129.6</v>
      </c>
      <c r="AA101" s="2110">
        <v>127.9</v>
      </c>
      <c r="AB101" s="2110">
        <v>131.4</v>
      </c>
      <c r="AC101" s="2110">
        <v>128.5</v>
      </c>
      <c r="AD101" s="2110">
        <v>127.3</v>
      </c>
      <c r="AE101" s="2110">
        <v>125.4</v>
      </c>
      <c r="AF101" s="2110">
        <v>136</v>
      </c>
      <c r="AG101" s="2110">
        <v>138.5</v>
      </c>
      <c r="AH101" s="2110">
        <v>141.9</v>
      </c>
      <c r="AI101" s="2110">
        <v>153.69999999999999</v>
      </c>
      <c r="AJ101" s="2110">
        <v>163.69999999999999</v>
      </c>
      <c r="AK101" s="2110">
        <v>176.2</v>
      </c>
      <c r="AL101" s="2110">
        <v>184</v>
      </c>
      <c r="AM101" s="2110">
        <v>192.5</v>
      </c>
      <c r="AN101" s="2110">
        <v>201</v>
      </c>
      <c r="AO101" s="2110">
        <v>215</v>
      </c>
      <c r="AP101" s="2110">
        <v>220.1</v>
      </c>
      <c r="AQ101" s="2110">
        <v>224.1</v>
      </c>
      <c r="AR101" s="2110">
        <v>224.2</v>
      </c>
      <c r="AS101" s="2110">
        <v>220</v>
      </c>
      <c r="AT101" s="2110">
        <v>212.7</v>
      </c>
      <c r="AU101" s="2110">
        <v>205.6</v>
      </c>
      <c r="AV101" s="2110">
        <v>205.6</v>
      </c>
      <c r="AW101" s="2111">
        <v>206</v>
      </c>
      <c r="AX101" s="2111">
        <v>206.1</v>
      </c>
      <c r="AY101" s="2111">
        <v>208.7</v>
      </c>
      <c r="AZ101" s="2111">
        <v>209.2</v>
      </c>
      <c r="BA101" s="2111">
        <v>209.8</v>
      </c>
      <c r="BB101" s="2111">
        <v>209.8</v>
      </c>
      <c r="BC101" s="2111">
        <v>205.1</v>
      </c>
      <c r="BD101" s="2112">
        <v>205.1</v>
      </c>
      <c r="BE101" s="2111">
        <v>205.1</v>
      </c>
      <c r="BF101" s="2112">
        <v>212.3</v>
      </c>
      <c r="BG101" s="2112">
        <v>215.4</v>
      </c>
      <c r="BH101" s="2112">
        <v>223</v>
      </c>
      <c r="BI101" s="2108">
        <v>229.7</v>
      </c>
      <c r="BJ101" s="2108">
        <v>236.1</v>
      </c>
      <c r="BK101" s="2108">
        <v>249.5</v>
      </c>
      <c r="BL101" s="2108">
        <v>262.89999999999998</v>
      </c>
      <c r="BM101" s="2108">
        <v>265.7</v>
      </c>
      <c r="BN101" s="2108">
        <v>271.39999999999998</v>
      </c>
      <c r="BO101" s="2108">
        <v>281.60000000000002</v>
      </c>
      <c r="BP101" s="2108">
        <v>286.5</v>
      </c>
      <c r="BQ101" s="2108">
        <v>288.60000000000002</v>
      </c>
      <c r="BR101" s="2108">
        <v>287.7</v>
      </c>
      <c r="BS101" s="2108">
        <v>291.5</v>
      </c>
      <c r="BT101" s="2108">
        <v>293.39999999999998</v>
      </c>
      <c r="BU101" s="2108">
        <v>294.5</v>
      </c>
      <c r="BV101" s="2108">
        <v>300</v>
      </c>
      <c r="BW101" s="2108">
        <v>309.5</v>
      </c>
      <c r="BX101" s="2108">
        <v>312.5</v>
      </c>
      <c r="BY101" s="2108">
        <v>304.39999999999998</v>
      </c>
      <c r="BZ101" s="2108">
        <v>307.5</v>
      </c>
      <c r="CA101" s="2108">
        <v>322</v>
      </c>
      <c r="CB101" s="2108">
        <v>324.89999999999998</v>
      </c>
      <c r="CC101" s="2108">
        <v>326.5</v>
      </c>
      <c r="CD101" s="2108">
        <v>327.2</v>
      </c>
      <c r="CE101" s="2108">
        <v>332.6</v>
      </c>
      <c r="CF101" s="2108">
        <v>332.6</v>
      </c>
      <c r="CG101" s="2108">
        <v>329.7</v>
      </c>
      <c r="CH101" s="2108">
        <v>333.4</v>
      </c>
      <c r="CI101" s="2108">
        <v>333.4</v>
      </c>
      <c r="CJ101" s="2108">
        <v>336.9</v>
      </c>
      <c r="CK101" s="2108">
        <v>340.1</v>
      </c>
      <c r="CL101" s="2108">
        <v>339.9</v>
      </c>
      <c r="CM101" s="2108">
        <v>351.5</v>
      </c>
      <c r="CN101" s="2108">
        <v>355.6</v>
      </c>
      <c r="CO101" s="2108">
        <v>360.4</v>
      </c>
      <c r="CP101" s="2108">
        <v>360.4</v>
      </c>
      <c r="CQ101" s="2108">
        <v>360.4</v>
      </c>
      <c r="CR101" s="2108">
        <v>361.1</v>
      </c>
      <c r="CS101" s="2108">
        <v>361.1</v>
      </c>
      <c r="CT101" s="2108">
        <v>360.9</v>
      </c>
      <c r="CU101" s="2108">
        <v>348.7</v>
      </c>
      <c r="CV101" s="2108">
        <v>348.7</v>
      </c>
      <c r="CW101" s="2108">
        <v>360.2</v>
      </c>
      <c r="CX101" s="2108">
        <v>354.4</v>
      </c>
      <c r="CY101" s="2108">
        <v>354.4</v>
      </c>
      <c r="CZ101" s="2108">
        <v>353.6</v>
      </c>
      <c r="DA101" s="2108">
        <v>359.2</v>
      </c>
      <c r="DB101" s="2108">
        <v>359.2</v>
      </c>
      <c r="DC101" s="2108">
        <v>359.2</v>
      </c>
      <c r="DD101" s="2108">
        <v>365.9</v>
      </c>
      <c r="DE101" s="2108">
        <v>363.7</v>
      </c>
      <c r="DF101" s="2108">
        <v>364.9</v>
      </c>
      <c r="DG101" s="2108">
        <v>363.3</v>
      </c>
      <c r="DH101" s="2108">
        <v>366.5</v>
      </c>
      <c r="DI101" s="2108">
        <v>361.6</v>
      </c>
      <c r="DJ101" s="2108">
        <v>364.3</v>
      </c>
      <c r="DK101" s="2108">
        <v>368</v>
      </c>
      <c r="DL101" s="2108">
        <v>377.3</v>
      </c>
      <c r="DM101" s="2108">
        <v>377.2</v>
      </c>
      <c r="DN101" s="2108">
        <v>380.8</v>
      </c>
      <c r="DO101" s="2108">
        <v>384.6</v>
      </c>
      <c r="DP101" s="2108">
        <v>389.1</v>
      </c>
      <c r="DQ101" s="2108">
        <v>390.1</v>
      </c>
      <c r="DR101" s="2108">
        <v>395.3</v>
      </c>
      <c r="DS101" s="2108">
        <v>400.4</v>
      </c>
      <c r="DT101" s="2108">
        <v>396.2</v>
      </c>
      <c r="DU101" s="2108">
        <v>399.7</v>
      </c>
      <c r="DV101" s="2108">
        <v>409.9</v>
      </c>
      <c r="DW101" s="2108">
        <v>417.3</v>
      </c>
      <c r="DX101" s="2108">
        <v>421.7</v>
      </c>
      <c r="DY101" s="2108">
        <v>436.1</v>
      </c>
      <c r="DZ101" s="2108">
        <v>445.6</v>
      </c>
      <c r="EA101" s="2108">
        <v>445.6</v>
      </c>
      <c r="EB101" s="2108">
        <v>463.3</v>
      </c>
      <c r="EC101" s="2108">
        <v>467.4</v>
      </c>
      <c r="ED101" s="2108">
        <v>460.2</v>
      </c>
      <c r="EE101" s="2108">
        <v>468.4</v>
      </c>
      <c r="EF101" s="2108">
        <v>476.7</v>
      </c>
      <c r="EG101" s="2108">
        <v>486</v>
      </c>
      <c r="EH101" s="2108">
        <v>494</v>
      </c>
      <c r="EI101" s="2108">
        <v>498.4</v>
      </c>
      <c r="EJ101" s="2108">
        <v>505.8</v>
      </c>
      <c r="EK101" s="2108">
        <v>511.5</v>
      </c>
      <c r="EL101" s="2108">
        <v>511.7</v>
      </c>
      <c r="EM101" s="2108">
        <v>520.4</v>
      </c>
      <c r="EN101" s="2108">
        <v>532.70000000000005</v>
      </c>
      <c r="EO101" s="2108">
        <v>550.6</v>
      </c>
      <c r="EP101" s="2108">
        <v>558.79999999999995</v>
      </c>
      <c r="EQ101" s="2108">
        <v>565.6</v>
      </c>
      <c r="ER101" s="2108">
        <v>561.70000000000005</v>
      </c>
      <c r="ES101" s="2108">
        <v>572.9</v>
      </c>
      <c r="ET101" s="2108">
        <v>572.20000000000005</v>
      </c>
      <c r="EU101" s="2108">
        <v>611.9</v>
      </c>
      <c r="EV101" s="2108">
        <v>629</v>
      </c>
      <c r="EW101" s="2108">
        <v>633.1</v>
      </c>
      <c r="EX101" s="2108">
        <v>640.5</v>
      </c>
      <c r="EY101" s="2108">
        <v>647.70000000000005</v>
      </c>
      <c r="EZ101" s="2108">
        <v>653.6</v>
      </c>
      <c r="FA101" s="2108">
        <v>680.7</v>
      </c>
      <c r="FB101" s="2108">
        <v>722.6</v>
      </c>
      <c r="FC101" s="2108">
        <v>755.7</v>
      </c>
      <c r="FD101" s="2108">
        <v>772.4</v>
      </c>
      <c r="FE101" s="2108">
        <v>785.7</v>
      </c>
      <c r="FF101" s="2108">
        <v>794.4</v>
      </c>
      <c r="FG101" s="2108">
        <v>808.5</v>
      </c>
      <c r="FH101" s="2108">
        <v>812.7</v>
      </c>
      <c r="FI101" s="2108">
        <v>827.3</v>
      </c>
      <c r="FJ101" s="2108">
        <v>844.5</v>
      </c>
      <c r="FK101" s="2108">
        <v>849.3</v>
      </c>
      <c r="FL101" s="2108">
        <v>853.4</v>
      </c>
      <c r="FM101" s="2108">
        <v>873.6</v>
      </c>
      <c r="FN101" s="2108">
        <v>889.2</v>
      </c>
      <c r="FO101" s="2108">
        <v>893.1</v>
      </c>
      <c r="FP101" s="2108">
        <v>893.1</v>
      </c>
      <c r="FQ101" s="2108">
        <v>907.2</v>
      </c>
      <c r="FR101" s="2108">
        <v>908.2</v>
      </c>
      <c r="FS101" s="2108">
        <v>922.7</v>
      </c>
      <c r="FT101" s="2108">
        <v>898.9</v>
      </c>
      <c r="FU101" s="2108">
        <v>907</v>
      </c>
      <c r="FV101" s="2108">
        <v>913.2</v>
      </c>
      <c r="FW101" s="2113">
        <v>1038.7339263818749</v>
      </c>
      <c r="FX101" s="2113">
        <v>1041.671839458435</v>
      </c>
      <c r="FY101" s="2113">
        <v>100</v>
      </c>
      <c r="FZ101" s="2113">
        <v>100.0210165977478</v>
      </c>
      <c r="GA101" s="2113">
        <v>102.952917558585</v>
      </c>
      <c r="GB101" s="2113">
        <v>104.17191546426719</v>
      </c>
      <c r="GC101" s="2113">
        <v>104.17191546426719</v>
      </c>
      <c r="GD101" s="2113">
        <v>106.29465557963739</v>
      </c>
      <c r="GE101" s="2113">
        <v>106.29465557963739</v>
      </c>
      <c r="GF101" s="2114">
        <v>106.29465557963739</v>
      </c>
      <c r="GG101" s="1960">
        <v>107.03026316081947</v>
      </c>
      <c r="GH101" s="2114">
        <v>107.03026316081947</v>
      </c>
      <c r="GI101" s="2114">
        <v>108.14417503928514</v>
      </c>
      <c r="GJ101" s="2113">
        <v>107.57434501731829</v>
      </c>
      <c r="GK101" s="2113">
        <v>107.57434501731829</v>
      </c>
      <c r="GL101" s="2113">
        <v>108.46684728827556</v>
      </c>
      <c r="GM101" s="2114">
        <v>108.83071761688542</v>
      </c>
      <c r="GN101" s="2114">
        <v>108.83071761688542</v>
      </c>
      <c r="GO101" s="2115">
        <v>108.83071761688542</v>
      </c>
      <c r="GP101" s="2116">
        <v>110.01844070122888</v>
      </c>
      <c r="GQ101" s="2116">
        <v>110.67066059946136</v>
      </c>
      <c r="GR101" s="2116">
        <v>111.35720960818072</v>
      </c>
      <c r="GS101" s="2116">
        <v>111.74167476672338</v>
      </c>
      <c r="GT101" s="1960">
        <v>111.74167476672338</v>
      </c>
      <c r="GU101" s="1960">
        <v>112.31836547937507</v>
      </c>
      <c r="GV101" s="1960">
        <v>111.07572273538108</v>
      </c>
      <c r="GW101" s="1960">
        <v>111.07572273538108</v>
      </c>
      <c r="GX101" s="1960">
        <v>112.46253265008534</v>
      </c>
      <c r="GY101" s="1960">
        <v>112.46253265008534</v>
      </c>
      <c r="GZ101" s="1960">
        <v>110.21046876062637</v>
      </c>
      <c r="HA101" s="1960">
        <v>116.86852217016674</v>
      </c>
      <c r="HB101" s="1960">
        <v>124.32406250495815</v>
      </c>
      <c r="HC101" s="1960">
        <v>127.63936767669929</v>
      </c>
      <c r="HD101" s="1960">
        <v>127.63937083842367</v>
      </c>
      <c r="HE101" s="1960">
        <v>146.8981511183926</v>
      </c>
      <c r="HF101" s="1960">
        <v>161.04389900386747</v>
      </c>
      <c r="HG101" s="1960">
        <v>161.04389900386747</v>
      </c>
      <c r="HH101" s="2117">
        <v>163.82051795221</v>
      </c>
      <c r="HI101" s="1960">
        <v>165.46146370835757</v>
      </c>
      <c r="HJ101" s="1960">
        <v>168.3142475653982</v>
      </c>
      <c r="HK101" s="1960">
        <v>168.3142475653982</v>
      </c>
      <c r="HL101" s="1960">
        <v>168.3142475653982</v>
      </c>
      <c r="HM101" s="1960">
        <v>168.3142475653982</v>
      </c>
      <c r="HN101" s="1960">
        <v>168.3142475653982</v>
      </c>
      <c r="HO101" s="1960">
        <v>174.19936111663591</v>
      </c>
      <c r="HP101" s="1960">
        <v>213.32648966537872</v>
      </c>
      <c r="HQ101" s="1960">
        <v>224.4535099813954</v>
      </c>
      <c r="HR101" s="1960">
        <v>224.43784460521019</v>
      </c>
      <c r="HS101" s="1960">
        <v>224.43784460521019</v>
      </c>
      <c r="HT101" s="1962">
        <v>224.43784460521019</v>
      </c>
      <c r="HU101" s="1961">
        <v>0</v>
      </c>
      <c r="HV101" s="1960" t="e">
        <v>#DIV/0!</v>
      </c>
      <c r="HW101" s="1960" t="e">
        <v>#DIV/0!</v>
      </c>
      <c r="HX101" s="1960" t="e">
        <v>#DIV/0!</v>
      </c>
      <c r="HY101" s="1960" t="e">
        <v>#DIV/0!</v>
      </c>
      <c r="HZ101" s="1960" t="e">
        <v>#DIV/0!</v>
      </c>
      <c r="IA101" s="1960" t="e">
        <v>#DIV/0!</v>
      </c>
      <c r="IB101" s="1960" t="e">
        <v>#DIV/0!</v>
      </c>
      <c r="IC101" s="1960" t="e">
        <v>#DIV/0!</v>
      </c>
      <c r="ID101" s="1960" t="e">
        <v>#DIV/0!</v>
      </c>
      <c r="IE101" s="1960" t="e">
        <v>#DIV/0!</v>
      </c>
      <c r="IF101" s="1960" t="e">
        <v>#DIV/0!</v>
      </c>
      <c r="IG101" s="1961" t="e">
        <v>#DIV/0!</v>
      </c>
      <c r="IH101" s="1960" t="e">
        <v>#DIV/0!</v>
      </c>
      <c r="II101" s="1960" t="e">
        <v>#DIV/0!</v>
      </c>
      <c r="IJ101" s="1961" t="e">
        <v>#DIV/0!</v>
      </c>
      <c r="IK101" s="1960" t="e">
        <v>#DIV/0!</v>
      </c>
      <c r="IL101" s="1960" t="e">
        <v>#DIV/0!</v>
      </c>
      <c r="IM101" s="1960" t="e">
        <v>#DIV/0!</v>
      </c>
      <c r="IN101" s="1960" t="e">
        <v>#DIV/0!</v>
      </c>
      <c r="IO101" s="1960" t="e">
        <v>#DIV/0!</v>
      </c>
      <c r="IP101" s="1960" t="e">
        <v>#DIV/0!</v>
      </c>
      <c r="IQ101" s="1960" t="e">
        <v>#DIV/0!</v>
      </c>
      <c r="IR101" s="1960" t="e">
        <v>#DIV/0!</v>
      </c>
      <c r="IS101" s="2274" t="e">
        <v>#DIV/0!</v>
      </c>
      <c r="IT101" s="1960" t="e">
        <v>#DIV/0!</v>
      </c>
      <c r="IU101" s="1960" t="e">
        <v>#DIV/0!</v>
      </c>
      <c r="IV101" s="1960" t="e">
        <v>#DIV/0!</v>
      </c>
      <c r="IW101" s="1960" t="e">
        <v>#DIV/0!</v>
      </c>
      <c r="IX101" s="1960" t="e">
        <v>#DIV/0!</v>
      </c>
      <c r="IY101" s="1960" t="e">
        <v>#DIV/0!</v>
      </c>
      <c r="IZ101" s="1960" t="e">
        <v>#DIV/0!</v>
      </c>
      <c r="JA101" s="1960" t="e">
        <v>#DIV/0!</v>
      </c>
      <c r="JB101" s="1960" t="e">
        <v>#DIV/0!</v>
      </c>
      <c r="JC101" s="1960" t="e">
        <v>#DIV/0!</v>
      </c>
      <c r="JD101" s="1960" t="e">
        <v>#DIV/0!</v>
      </c>
      <c r="JE101" s="2274">
        <v>0</v>
      </c>
      <c r="JF101" s="2117">
        <v>0</v>
      </c>
      <c r="JG101" s="2103" t="e">
        <f t="shared" si="13"/>
        <v>#DIV/0!</v>
      </c>
      <c r="JI101" s="2155"/>
      <c r="JJ101" s="2104"/>
    </row>
    <row r="102" spans="2:270" ht="24.75" customHeight="1">
      <c r="B102" s="2105">
        <v>79</v>
      </c>
      <c r="C102" s="2106" t="s">
        <v>214</v>
      </c>
      <c r="D102" s="2425" t="s">
        <v>1212</v>
      </c>
      <c r="E102" s="2128" t="s">
        <v>215</v>
      </c>
      <c r="F102" s="2106" t="s">
        <v>918</v>
      </c>
      <c r="G102" s="2425" t="s">
        <v>1112</v>
      </c>
      <c r="H102" s="2106" t="s">
        <v>929</v>
      </c>
      <c r="I102" s="2106" t="s">
        <v>930</v>
      </c>
      <c r="J102" s="2359" t="s">
        <v>1122</v>
      </c>
      <c r="K102" s="2425"/>
      <c r="L102" s="2110">
        <v>89.5</v>
      </c>
      <c r="M102" s="2110">
        <v>90.3</v>
      </c>
      <c r="N102" s="2110">
        <v>92.9</v>
      </c>
      <c r="O102" s="2110">
        <v>92.9</v>
      </c>
      <c r="P102" s="2110">
        <v>94.8</v>
      </c>
      <c r="Q102" s="2110">
        <v>98.8</v>
      </c>
      <c r="R102" s="2110">
        <v>101</v>
      </c>
      <c r="S102" s="2110">
        <v>105.6</v>
      </c>
      <c r="T102" s="2110">
        <v>106.4</v>
      </c>
      <c r="U102" s="2110">
        <v>106.6</v>
      </c>
      <c r="V102" s="2110">
        <v>107.8</v>
      </c>
      <c r="W102" s="2110">
        <v>108.2</v>
      </c>
      <c r="X102" s="2110">
        <v>107.3</v>
      </c>
      <c r="Y102" s="2110">
        <v>107.1</v>
      </c>
      <c r="Z102" s="2110">
        <v>106.7</v>
      </c>
      <c r="AA102" s="2110">
        <v>106.7</v>
      </c>
      <c r="AB102" s="2110">
        <v>107</v>
      </c>
      <c r="AC102" s="2110">
        <v>107.5</v>
      </c>
      <c r="AD102" s="2110">
        <v>108.9</v>
      </c>
      <c r="AE102" s="2110">
        <v>110</v>
      </c>
      <c r="AF102" s="2110">
        <v>111.7</v>
      </c>
      <c r="AG102" s="2110">
        <v>114.1</v>
      </c>
      <c r="AH102" s="2110">
        <v>114.8</v>
      </c>
      <c r="AI102" s="2110">
        <v>117.6</v>
      </c>
      <c r="AJ102" s="2110">
        <v>117.7</v>
      </c>
      <c r="AK102" s="2110">
        <v>118.7</v>
      </c>
      <c r="AL102" s="2110">
        <v>119.8</v>
      </c>
      <c r="AM102" s="2110">
        <v>124.9</v>
      </c>
      <c r="AN102" s="2110">
        <v>134.5</v>
      </c>
      <c r="AO102" s="2110">
        <v>139.1</v>
      </c>
      <c r="AP102" s="2110">
        <v>145</v>
      </c>
      <c r="AQ102" s="2110">
        <v>148.19999999999999</v>
      </c>
      <c r="AR102" s="2110">
        <v>148.19999999999999</v>
      </c>
      <c r="AS102" s="2110">
        <v>149.4</v>
      </c>
      <c r="AT102" s="2110">
        <v>147.80000000000001</v>
      </c>
      <c r="AU102" s="2110">
        <v>148</v>
      </c>
      <c r="AV102" s="2110">
        <v>149.30000000000001</v>
      </c>
      <c r="AW102" s="2111">
        <v>150.69999999999999</v>
      </c>
      <c r="AX102" s="2111">
        <v>153</v>
      </c>
      <c r="AY102" s="2111">
        <v>153.6</v>
      </c>
      <c r="AZ102" s="2111">
        <v>154</v>
      </c>
      <c r="BA102" s="2111">
        <v>154.4</v>
      </c>
      <c r="BB102" s="2111">
        <v>158.30000000000001</v>
      </c>
      <c r="BC102" s="2111">
        <v>158.1</v>
      </c>
      <c r="BD102" s="2112">
        <v>158.30000000000001</v>
      </c>
      <c r="BE102" s="2111">
        <v>161.4</v>
      </c>
      <c r="BF102" s="2112">
        <v>161.5</v>
      </c>
      <c r="BG102" s="2112">
        <v>161.69999999999999</v>
      </c>
      <c r="BH102" s="2112">
        <v>162.1</v>
      </c>
      <c r="BI102" s="2108">
        <v>167.7</v>
      </c>
      <c r="BJ102" s="2108">
        <v>168.2</v>
      </c>
      <c r="BK102" s="2108">
        <v>169</v>
      </c>
      <c r="BL102" s="2108">
        <v>173.3</v>
      </c>
      <c r="BM102" s="2108">
        <v>178.1</v>
      </c>
      <c r="BN102" s="2108">
        <v>180.7</v>
      </c>
      <c r="BO102" s="2108">
        <v>181.5</v>
      </c>
      <c r="BP102" s="2108">
        <v>186.4</v>
      </c>
      <c r="BQ102" s="2108">
        <v>189.7</v>
      </c>
      <c r="BR102" s="2108">
        <v>197.4</v>
      </c>
      <c r="BS102" s="2108">
        <v>201</v>
      </c>
      <c r="BT102" s="2108">
        <v>201.1</v>
      </c>
      <c r="BU102" s="2108">
        <v>209.4</v>
      </c>
      <c r="BV102" s="2108">
        <v>212</v>
      </c>
      <c r="BW102" s="2108">
        <v>224.5</v>
      </c>
      <c r="BX102" s="2108">
        <v>238.2</v>
      </c>
      <c r="BY102" s="2108">
        <v>253.5</v>
      </c>
      <c r="BZ102" s="2108">
        <v>270.8</v>
      </c>
      <c r="CA102" s="2108">
        <v>296.89999999999998</v>
      </c>
      <c r="CB102" s="2108">
        <v>301.2</v>
      </c>
      <c r="CC102" s="2108">
        <v>300.60000000000002</v>
      </c>
      <c r="CD102" s="2108">
        <v>313.2</v>
      </c>
      <c r="CE102" s="2108">
        <v>315.10000000000002</v>
      </c>
      <c r="CF102" s="2108">
        <v>315.60000000000002</v>
      </c>
      <c r="CG102" s="2108">
        <v>319.10000000000002</v>
      </c>
      <c r="CH102" s="2108">
        <v>321.2</v>
      </c>
      <c r="CI102" s="2108">
        <v>319.2</v>
      </c>
      <c r="CJ102" s="2108">
        <v>321.89999999999998</v>
      </c>
      <c r="CK102" s="2108">
        <v>323.7</v>
      </c>
      <c r="CL102" s="2108">
        <v>325.89999999999998</v>
      </c>
      <c r="CM102" s="2108">
        <v>329.4</v>
      </c>
      <c r="CN102" s="2108">
        <v>329.3</v>
      </c>
      <c r="CO102" s="2108">
        <v>329.3</v>
      </c>
      <c r="CP102" s="2108">
        <v>328.4</v>
      </c>
      <c r="CQ102" s="2108">
        <v>329.5</v>
      </c>
      <c r="CR102" s="2108">
        <v>329.5</v>
      </c>
      <c r="CS102" s="2108">
        <v>329.5</v>
      </c>
      <c r="CT102" s="2108">
        <v>326.10000000000002</v>
      </c>
      <c r="CU102" s="2108">
        <v>327.2</v>
      </c>
      <c r="CV102" s="2108">
        <v>329.1</v>
      </c>
      <c r="CW102" s="2108">
        <v>327.2</v>
      </c>
      <c r="CX102" s="2108">
        <v>327.60000000000002</v>
      </c>
      <c r="CY102" s="2108">
        <v>326.8</v>
      </c>
      <c r="CZ102" s="2108">
        <v>325.8</v>
      </c>
      <c r="DA102" s="2108">
        <v>326.60000000000002</v>
      </c>
      <c r="DB102" s="2108">
        <v>326.60000000000002</v>
      </c>
      <c r="DC102" s="2108">
        <v>327.8</v>
      </c>
      <c r="DD102" s="2108">
        <v>328.2</v>
      </c>
      <c r="DE102" s="2108">
        <v>327.39999999999998</v>
      </c>
      <c r="DF102" s="2108">
        <v>328.4</v>
      </c>
      <c r="DG102" s="2108">
        <v>329.8</v>
      </c>
      <c r="DH102" s="2108">
        <v>329.1</v>
      </c>
      <c r="DI102" s="2108">
        <v>327.5</v>
      </c>
      <c r="DJ102" s="2108">
        <v>328.1</v>
      </c>
      <c r="DK102" s="2108">
        <v>328.7</v>
      </c>
      <c r="DL102" s="2108">
        <v>328.7</v>
      </c>
      <c r="DM102" s="2108">
        <v>329</v>
      </c>
      <c r="DN102" s="2108">
        <v>329.1</v>
      </c>
      <c r="DO102" s="2108">
        <v>329.2</v>
      </c>
      <c r="DP102" s="2108">
        <v>329.7</v>
      </c>
      <c r="DQ102" s="2108">
        <v>329.2</v>
      </c>
      <c r="DR102" s="2108">
        <v>329.3</v>
      </c>
      <c r="DS102" s="2108">
        <v>330.9</v>
      </c>
      <c r="DT102" s="2108">
        <v>325.10000000000002</v>
      </c>
      <c r="DU102" s="2108">
        <v>330.5</v>
      </c>
      <c r="DV102" s="2108">
        <v>330.5</v>
      </c>
      <c r="DW102" s="2108">
        <v>334.6</v>
      </c>
      <c r="DX102" s="2108">
        <v>342.3</v>
      </c>
      <c r="DY102" s="2108">
        <v>345.3</v>
      </c>
      <c r="DZ102" s="2108">
        <v>357.6</v>
      </c>
      <c r="EA102" s="2108">
        <v>361.4</v>
      </c>
      <c r="EB102" s="2108">
        <v>362</v>
      </c>
      <c r="EC102" s="2108">
        <v>363.3</v>
      </c>
      <c r="ED102" s="2108">
        <v>377.1</v>
      </c>
      <c r="EE102" s="2108">
        <v>377.1</v>
      </c>
      <c r="EF102" s="2108">
        <v>377.1</v>
      </c>
      <c r="EG102" s="2108">
        <v>374.5</v>
      </c>
      <c r="EH102" s="2108">
        <v>374.5</v>
      </c>
      <c r="EI102" s="2108">
        <v>374.5</v>
      </c>
      <c r="EJ102" s="2108">
        <v>374.5</v>
      </c>
      <c r="EK102" s="2108">
        <v>396.5</v>
      </c>
      <c r="EL102" s="2108">
        <v>400.3</v>
      </c>
      <c r="EM102" s="2108">
        <v>406</v>
      </c>
      <c r="EN102" s="2108">
        <v>415.5</v>
      </c>
      <c r="EO102" s="2108">
        <v>414.6</v>
      </c>
      <c r="EP102" s="2108">
        <v>407.2</v>
      </c>
      <c r="EQ102" s="2108">
        <v>420.7</v>
      </c>
      <c r="ER102" s="2108">
        <v>420.6</v>
      </c>
      <c r="ES102" s="2108">
        <v>420.6</v>
      </c>
      <c r="ET102" s="2108">
        <v>430.4</v>
      </c>
      <c r="EU102" s="2108">
        <v>437.4</v>
      </c>
      <c r="EV102" s="2108">
        <v>437.4</v>
      </c>
      <c r="EW102" s="2108">
        <v>442.7</v>
      </c>
      <c r="EX102" s="2108">
        <v>440.2</v>
      </c>
      <c r="EY102" s="2108">
        <v>443.2</v>
      </c>
      <c r="EZ102" s="2108">
        <v>443.9</v>
      </c>
      <c r="FA102" s="2108">
        <v>445.2</v>
      </c>
      <c r="FB102" s="2108">
        <v>478.5</v>
      </c>
      <c r="FC102" s="2108">
        <v>480.9</v>
      </c>
      <c r="FD102" s="2108">
        <v>482.5</v>
      </c>
      <c r="FE102" s="2108">
        <v>486</v>
      </c>
      <c r="FF102" s="2108">
        <v>492</v>
      </c>
      <c r="FG102" s="2108">
        <v>497</v>
      </c>
      <c r="FH102" s="2108">
        <v>497.3</v>
      </c>
      <c r="FI102" s="2108">
        <v>502.8</v>
      </c>
      <c r="FJ102" s="2108">
        <v>503.1</v>
      </c>
      <c r="FK102" s="2108">
        <v>504.9</v>
      </c>
      <c r="FL102" s="2108">
        <v>519.4</v>
      </c>
      <c r="FM102" s="2108">
        <v>512.20000000000005</v>
      </c>
      <c r="FN102" s="2108">
        <v>538.5</v>
      </c>
      <c r="FO102" s="2108">
        <v>539.4</v>
      </c>
      <c r="FP102" s="2108">
        <v>548.5</v>
      </c>
      <c r="FQ102" s="2108">
        <v>557.1</v>
      </c>
      <c r="FR102" s="2108">
        <v>564.70000000000005</v>
      </c>
      <c r="FS102" s="2108">
        <v>565.4</v>
      </c>
      <c r="FT102" s="2108">
        <v>589.70000000000005</v>
      </c>
      <c r="FU102" s="2108">
        <v>606</v>
      </c>
      <c r="FV102" s="2108">
        <v>609.20000000000005</v>
      </c>
      <c r="FW102" s="2113">
        <v>858.91601641401496</v>
      </c>
      <c r="FX102" s="2113">
        <v>858.91601641401496</v>
      </c>
      <c r="FY102" s="2113">
        <v>100</v>
      </c>
      <c r="FZ102" s="2113">
        <v>102.52171754837036</v>
      </c>
      <c r="GA102" s="2113">
        <v>103.99693088989181</v>
      </c>
      <c r="GB102" s="2113">
        <v>103.64402029576497</v>
      </c>
      <c r="GC102" s="2113">
        <v>103.64402029576497</v>
      </c>
      <c r="GD102" s="2113">
        <v>105.95220598516588</v>
      </c>
      <c r="GE102" s="2113">
        <v>105.89603820857936</v>
      </c>
      <c r="GF102" s="2114">
        <v>109.80233162069548</v>
      </c>
      <c r="GG102" s="1960">
        <v>109.80233162069548</v>
      </c>
      <c r="GH102" s="2114">
        <v>109.80233162069548</v>
      </c>
      <c r="GI102" s="2114">
        <v>109.80233162069548</v>
      </c>
      <c r="GJ102" s="2113">
        <v>109.80233162069548</v>
      </c>
      <c r="GK102" s="2113">
        <v>109.80233162069548</v>
      </c>
      <c r="GL102" s="2113">
        <v>109.80233162069548</v>
      </c>
      <c r="GM102" s="2114">
        <v>109.80233162069548</v>
      </c>
      <c r="GN102" s="2114">
        <v>109.80233162069548</v>
      </c>
      <c r="GO102" s="2115">
        <v>109.80233162069548</v>
      </c>
      <c r="GP102" s="2116">
        <v>109.80233162069548</v>
      </c>
      <c r="GQ102" s="2116">
        <v>109.80233162069548</v>
      </c>
      <c r="GR102" s="2116">
        <v>109.80233162069548</v>
      </c>
      <c r="GS102" s="2116">
        <v>109.80233162069548</v>
      </c>
      <c r="GT102" s="1960">
        <v>109.80233162069548</v>
      </c>
      <c r="GU102" s="1960">
        <v>110.07283835855631</v>
      </c>
      <c r="GV102" s="1960">
        <v>110.07283835855631</v>
      </c>
      <c r="GW102" s="1960">
        <v>111.90726581962787</v>
      </c>
      <c r="GX102" s="1960">
        <v>111.90726581962787</v>
      </c>
      <c r="GY102" s="1960">
        <v>111.90726581962787</v>
      </c>
      <c r="GZ102" s="1960">
        <v>116.11831863591817</v>
      </c>
      <c r="HA102" s="1960">
        <v>116.11831863591817</v>
      </c>
      <c r="HB102" s="1960">
        <v>116.73247745240339</v>
      </c>
      <c r="HC102" s="1960">
        <v>124.08662353190479</v>
      </c>
      <c r="HD102" s="1960">
        <v>119.61685552898892</v>
      </c>
      <c r="HE102" s="1960">
        <v>128.37277232596583</v>
      </c>
      <c r="HF102" s="1960">
        <v>122.81212431996796</v>
      </c>
      <c r="HG102" s="1960">
        <v>123.45876870951078</v>
      </c>
      <c r="HH102" s="2117">
        <v>123.45876870951052</v>
      </c>
      <c r="HI102" s="1960">
        <v>123.45876870951079</v>
      </c>
      <c r="HJ102" s="1960">
        <v>129.62874029958482</v>
      </c>
      <c r="HK102" s="1960">
        <v>122.4300282143551</v>
      </c>
      <c r="HL102" s="1960">
        <v>117.78592137139817</v>
      </c>
      <c r="HM102" s="1960">
        <v>126.18105517894783</v>
      </c>
      <c r="HN102" s="1960">
        <v>130.32914006677501</v>
      </c>
      <c r="HO102" s="1960">
        <v>146.94899492875561</v>
      </c>
      <c r="HP102" s="1960">
        <v>171.48960843618698</v>
      </c>
      <c r="HQ102" s="1960">
        <v>186.97280620474893</v>
      </c>
      <c r="HR102" s="1960">
        <v>184.75533896135028</v>
      </c>
      <c r="HS102" s="1960">
        <v>203.02842881400198</v>
      </c>
      <c r="HT102" s="1962">
        <v>207.51333689504008</v>
      </c>
      <c r="HU102" s="1961">
        <v>207.51333689504008</v>
      </c>
      <c r="HV102" s="1960">
        <v>210.76844806202109</v>
      </c>
      <c r="HW102" s="1960">
        <v>210.76844806202109</v>
      </c>
      <c r="HX102" s="1960">
        <v>210.76844806202109</v>
      </c>
      <c r="HY102" s="1960">
        <v>233.22993111482876</v>
      </c>
      <c r="HZ102" s="1960">
        <v>233.22993111482876</v>
      </c>
      <c r="IA102" s="1960">
        <v>277.2823719201528</v>
      </c>
      <c r="IB102" s="1960">
        <v>310.85728024926533</v>
      </c>
      <c r="IC102" s="1960">
        <v>397.65642420265164</v>
      </c>
      <c r="ID102" s="1960">
        <v>435.96554940862825</v>
      </c>
      <c r="IE102" s="1960">
        <v>502.98620683346911</v>
      </c>
      <c r="IF102" s="1960">
        <v>519.79860162569889</v>
      </c>
      <c r="IG102" s="1961">
        <v>525.06513060561542</v>
      </c>
      <c r="IH102" s="1960">
        <v>541.40671120962543</v>
      </c>
      <c r="II102" s="1960">
        <v>551.32418239942115</v>
      </c>
      <c r="IJ102" s="1961">
        <v>551.32418239942115</v>
      </c>
      <c r="IK102" s="1960">
        <v>551.32418239942115</v>
      </c>
      <c r="IL102" s="1960">
        <v>551.32418239942115</v>
      </c>
      <c r="IM102" s="1960">
        <v>551.32418239942115</v>
      </c>
      <c r="IN102" s="1960">
        <v>530.6493898628579</v>
      </c>
      <c r="IO102" s="1960">
        <v>534.63615872889761</v>
      </c>
      <c r="IP102" s="1960">
        <v>534.63615872889761</v>
      </c>
      <c r="IQ102" s="1960">
        <v>529.77631604605199</v>
      </c>
      <c r="IR102" s="1960">
        <v>550.64825636575813</v>
      </c>
      <c r="IS102" s="2274">
        <v>568.76362281201023</v>
      </c>
      <c r="IT102" s="1960">
        <v>568.76362281201023</v>
      </c>
      <c r="IU102" s="1960">
        <v>581.89388813094729</v>
      </c>
      <c r="IV102" s="1960">
        <v>581.07567703109453</v>
      </c>
      <c r="IW102" s="1960">
        <v>590.31707781951366</v>
      </c>
      <c r="IX102" s="1960">
        <v>644.3096607925329</v>
      </c>
      <c r="IY102" s="1960">
        <v>693.73114045559646</v>
      </c>
      <c r="IZ102" s="1960">
        <v>684.46501037689575</v>
      </c>
      <c r="JA102" s="1960">
        <v>706.72892777406116</v>
      </c>
      <c r="JB102" s="1960">
        <v>719.58532007999588</v>
      </c>
      <c r="JC102" s="1960">
        <v>758.70046461530865</v>
      </c>
      <c r="JD102" s="1960">
        <v>787.9595762073244</v>
      </c>
      <c r="JE102" s="2274">
        <v>818.34705881146033</v>
      </c>
      <c r="JF102" s="2117">
        <v>908.18097242068359</v>
      </c>
      <c r="JG102" s="2103">
        <f t="shared" si="13"/>
        <v>1.1097748353121657</v>
      </c>
      <c r="JI102" s="2155"/>
      <c r="JJ102" s="2104"/>
    </row>
    <row r="103" spans="2:270" ht="31.5">
      <c r="B103" s="2105">
        <v>80</v>
      </c>
      <c r="C103" s="2106" t="s">
        <v>216</v>
      </c>
      <c r="D103" s="2425" t="s">
        <v>1213</v>
      </c>
      <c r="E103" s="2128" t="s">
        <v>217</v>
      </c>
      <c r="F103" s="2106" t="s">
        <v>918</v>
      </c>
      <c r="G103" s="2425" t="s">
        <v>1112</v>
      </c>
      <c r="H103" s="2106" t="s">
        <v>929</v>
      </c>
      <c r="I103" s="2106" t="s">
        <v>930</v>
      </c>
      <c r="J103" s="2359" t="s">
        <v>218</v>
      </c>
      <c r="K103" s="2425"/>
      <c r="L103" s="2110">
        <v>97.9</v>
      </c>
      <c r="M103" s="2110">
        <v>107.5</v>
      </c>
      <c r="N103" s="2110">
        <v>108.9</v>
      </c>
      <c r="O103" s="2110">
        <v>111.9</v>
      </c>
      <c r="P103" s="2110">
        <v>169.7</v>
      </c>
      <c r="Q103" s="2110">
        <v>172.4</v>
      </c>
      <c r="R103" s="2110">
        <v>187.2</v>
      </c>
      <c r="S103" s="2110">
        <v>188.3</v>
      </c>
      <c r="T103" s="2110">
        <v>188.3</v>
      </c>
      <c r="U103" s="2110">
        <v>190.9</v>
      </c>
      <c r="V103" s="2110">
        <v>190.9</v>
      </c>
      <c r="W103" s="2110">
        <v>188</v>
      </c>
      <c r="X103" s="2110">
        <v>187.9</v>
      </c>
      <c r="Y103" s="2110">
        <v>190.3</v>
      </c>
      <c r="Z103" s="2110">
        <v>190.2</v>
      </c>
      <c r="AA103" s="2110">
        <v>188.5</v>
      </c>
      <c r="AB103" s="2110">
        <v>188.5</v>
      </c>
      <c r="AC103" s="2110">
        <v>188.5</v>
      </c>
      <c r="AD103" s="2110">
        <v>188.5</v>
      </c>
      <c r="AE103" s="2110">
        <v>188.5</v>
      </c>
      <c r="AF103" s="2110">
        <v>188.5</v>
      </c>
      <c r="AG103" s="2110">
        <v>188.5</v>
      </c>
      <c r="AH103" s="2110">
        <v>188.5</v>
      </c>
      <c r="AI103" s="2110">
        <v>193</v>
      </c>
      <c r="AJ103" s="2110">
        <v>200.2</v>
      </c>
      <c r="AK103" s="2110">
        <v>206.4</v>
      </c>
      <c r="AL103" s="2110">
        <v>215</v>
      </c>
      <c r="AM103" s="2110">
        <v>235.3</v>
      </c>
      <c r="AN103" s="2110">
        <v>238.6</v>
      </c>
      <c r="AO103" s="2110">
        <v>243.9</v>
      </c>
      <c r="AP103" s="2110">
        <v>243.9</v>
      </c>
      <c r="AQ103" s="2110">
        <v>243.9</v>
      </c>
      <c r="AR103" s="2110">
        <v>243.9</v>
      </c>
      <c r="AS103" s="2110">
        <v>243.9</v>
      </c>
      <c r="AT103" s="2110">
        <v>249.1</v>
      </c>
      <c r="AU103" s="2110">
        <v>258.7</v>
      </c>
      <c r="AV103" s="2110">
        <v>258.7</v>
      </c>
      <c r="AW103" s="2111">
        <v>258.7</v>
      </c>
      <c r="AX103" s="2111">
        <v>260.3</v>
      </c>
      <c r="AY103" s="2111">
        <v>261.60000000000002</v>
      </c>
      <c r="AZ103" s="2111">
        <v>261.60000000000002</v>
      </c>
      <c r="BA103" s="2111">
        <v>263.39999999999998</v>
      </c>
      <c r="BB103" s="2111">
        <v>264.60000000000002</v>
      </c>
      <c r="BC103" s="2111">
        <v>269.60000000000002</v>
      </c>
      <c r="BD103" s="2112">
        <v>274.8</v>
      </c>
      <c r="BE103" s="2111">
        <v>275.10000000000002</v>
      </c>
      <c r="BF103" s="2112">
        <v>277.5</v>
      </c>
      <c r="BG103" s="2112">
        <v>278.5</v>
      </c>
      <c r="BH103" s="2112">
        <v>282.5</v>
      </c>
      <c r="BI103" s="2108">
        <v>289.7</v>
      </c>
      <c r="BJ103" s="2108">
        <v>293.7</v>
      </c>
      <c r="BK103" s="2108">
        <v>295.8</v>
      </c>
      <c r="BL103" s="2108">
        <v>307.3</v>
      </c>
      <c r="BM103" s="2108">
        <v>337.8</v>
      </c>
      <c r="BN103" s="2108">
        <v>433.1</v>
      </c>
      <c r="BO103" s="2108">
        <v>399.7</v>
      </c>
      <c r="BP103" s="2108">
        <v>395.7</v>
      </c>
      <c r="BQ103" s="2108">
        <v>395.7</v>
      </c>
      <c r="BR103" s="2108">
        <v>391</v>
      </c>
      <c r="BS103" s="2108">
        <v>398.7</v>
      </c>
      <c r="BT103" s="2108">
        <v>398.7</v>
      </c>
      <c r="BU103" s="2108">
        <v>403</v>
      </c>
      <c r="BV103" s="2108">
        <v>409.7</v>
      </c>
      <c r="BW103" s="2108">
        <v>405.9</v>
      </c>
      <c r="BX103" s="2108">
        <v>410.7</v>
      </c>
      <c r="BY103" s="2108">
        <v>437.2</v>
      </c>
      <c r="BZ103" s="2108">
        <v>447.6</v>
      </c>
      <c r="CA103" s="2108">
        <v>467.3</v>
      </c>
      <c r="CB103" s="2108">
        <v>467.3</v>
      </c>
      <c r="CC103" s="2108">
        <v>467.3</v>
      </c>
      <c r="CD103" s="2108">
        <v>471.3</v>
      </c>
      <c r="CE103" s="2108">
        <v>476.7</v>
      </c>
      <c r="CF103" s="2108">
        <v>477.6</v>
      </c>
      <c r="CG103" s="2108">
        <v>477.6</v>
      </c>
      <c r="CH103" s="2108">
        <v>484.5</v>
      </c>
      <c r="CI103" s="2108">
        <v>510.6</v>
      </c>
      <c r="CJ103" s="2108">
        <v>524.5</v>
      </c>
      <c r="CK103" s="2108">
        <v>544.9</v>
      </c>
      <c r="CL103" s="2108">
        <v>523.6</v>
      </c>
      <c r="CM103" s="2108">
        <v>520.1</v>
      </c>
      <c r="CN103" s="2108">
        <v>520.1</v>
      </c>
      <c r="CO103" s="2108">
        <v>520.1</v>
      </c>
      <c r="CP103" s="2108">
        <v>516.29999999999995</v>
      </c>
      <c r="CQ103" s="2108">
        <v>514</v>
      </c>
      <c r="CR103" s="2108">
        <v>512.70000000000005</v>
      </c>
      <c r="CS103" s="2108">
        <v>512.70000000000005</v>
      </c>
      <c r="CT103" s="2108">
        <v>512.70000000000005</v>
      </c>
      <c r="CU103" s="2108">
        <v>512.70000000000005</v>
      </c>
      <c r="CV103" s="2108">
        <v>506.1</v>
      </c>
      <c r="CW103" s="2108">
        <v>489</v>
      </c>
      <c r="CX103" s="2108">
        <v>485.6</v>
      </c>
      <c r="CY103" s="2108">
        <v>495.5</v>
      </c>
      <c r="CZ103" s="2108">
        <v>507.6</v>
      </c>
      <c r="DA103" s="2108">
        <v>512</v>
      </c>
      <c r="DB103" s="2108">
        <v>544.1</v>
      </c>
      <c r="DC103" s="2108">
        <v>528.1</v>
      </c>
      <c r="DD103" s="2108">
        <v>538.4</v>
      </c>
      <c r="DE103" s="2108">
        <v>564</v>
      </c>
      <c r="DF103" s="2108">
        <v>541.29999999999995</v>
      </c>
      <c r="DG103" s="2108">
        <v>550.1</v>
      </c>
      <c r="DH103" s="2108">
        <v>558.79999999999995</v>
      </c>
      <c r="DI103" s="2108">
        <v>605.6</v>
      </c>
      <c r="DJ103" s="2108">
        <v>627.9</v>
      </c>
      <c r="DK103" s="2108">
        <v>634.6</v>
      </c>
      <c r="DL103" s="2108">
        <v>660.5</v>
      </c>
      <c r="DM103" s="2108">
        <v>686.1</v>
      </c>
      <c r="DN103" s="2108">
        <v>686.1</v>
      </c>
      <c r="DO103" s="2108">
        <v>711.7</v>
      </c>
      <c r="DP103" s="2108">
        <v>726.4</v>
      </c>
      <c r="DQ103" s="2108">
        <v>738.7</v>
      </c>
      <c r="DR103" s="2108">
        <v>774.7</v>
      </c>
      <c r="DS103" s="2108">
        <v>806.3</v>
      </c>
      <c r="DT103" s="2108">
        <v>821.7</v>
      </c>
      <c r="DU103" s="2108">
        <v>821.4</v>
      </c>
      <c r="DV103" s="2108">
        <v>852.9</v>
      </c>
      <c r="DW103" s="2108">
        <v>852.9</v>
      </c>
      <c r="DX103" s="2108">
        <v>852.9</v>
      </c>
      <c r="DY103" s="2108">
        <v>871.3</v>
      </c>
      <c r="DZ103" s="2108">
        <v>875.7</v>
      </c>
      <c r="EA103" s="2108">
        <v>880.9</v>
      </c>
      <c r="EB103" s="2108">
        <v>880.9</v>
      </c>
      <c r="EC103" s="2108">
        <v>900</v>
      </c>
      <c r="ED103" s="2108">
        <v>900.3</v>
      </c>
      <c r="EE103" s="2108">
        <v>921.3</v>
      </c>
      <c r="EF103" s="2108">
        <v>921.3</v>
      </c>
      <c r="EG103" s="2108">
        <v>933.8</v>
      </c>
      <c r="EH103" s="2108">
        <v>945.8</v>
      </c>
      <c r="EI103" s="2108">
        <v>954.9</v>
      </c>
      <c r="EJ103" s="2108">
        <v>965</v>
      </c>
      <c r="EK103" s="2108">
        <v>1021.2</v>
      </c>
      <c r="EL103" s="2108">
        <v>1041.0999999999999</v>
      </c>
      <c r="EM103" s="2108">
        <v>1041.0999999999999</v>
      </c>
      <c r="EN103" s="2108">
        <v>1080.5999999999999</v>
      </c>
      <c r="EO103" s="2108">
        <v>1080.5999999999999</v>
      </c>
      <c r="EP103" s="2108">
        <v>1092.7</v>
      </c>
      <c r="EQ103" s="2108">
        <v>1158.5</v>
      </c>
      <c r="ER103" s="2108">
        <v>1162.2</v>
      </c>
      <c r="ES103" s="2108">
        <v>1209.4000000000001</v>
      </c>
      <c r="ET103" s="2108">
        <v>1302.7</v>
      </c>
      <c r="EU103" s="2108">
        <v>1305.4000000000001</v>
      </c>
      <c r="EV103" s="2108">
        <v>1305.4000000000001</v>
      </c>
      <c r="EW103" s="2108">
        <v>1366.1</v>
      </c>
      <c r="EX103" s="2108">
        <v>1414.7</v>
      </c>
      <c r="EY103" s="2108">
        <v>1441.9</v>
      </c>
      <c r="EZ103" s="2108">
        <v>1530.8</v>
      </c>
      <c r="FA103" s="2108">
        <v>1620.4</v>
      </c>
      <c r="FB103" s="2108">
        <v>1702.8</v>
      </c>
      <c r="FC103" s="2108">
        <v>1858.6</v>
      </c>
      <c r="FD103" s="2108">
        <v>2026.5</v>
      </c>
      <c r="FE103" s="2108">
        <v>2093.6999999999998</v>
      </c>
      <c r="FF103" s="2108">
        <v>2093.8000000000002</v>
      </c>
      <c r="FG103" s="2108">
        <v>2155.6</v>
      </c>
      <c r="FH103" s="2108">
        <v>2160.1</v>
      </c>
      <c r="FI103" s="2108">
        <v>2168</v>
      </c>
      <c r="FJ103" s="2108">
        <v>2251</v>
      </c>
      <c r="FK103" s="2108">
        <v>2281.1</v>
      </c>
      <c r="FL103" s="2108">
        <v>2281.1</v>
      </c>
      <c r="FM103" s="2108">
        <v>2281.1999999999998</v>
      </c>
      <c r="FN103" s="2108">
        <v>2281.1999999999998</v>
      </c>
      <c r="FO103" s="2108">
        <v>2281.1999999999998</v>
      </c>
      <c r="FP103" s="2108">
        <v>2329.1</v>
      </c>
      <c r="FQ103" s="2108">
        <v>2329.1</v>
      </c>
      <c r="FR103" s="2108">
        <v>2376.8000000000002</v>
      </c>
      <c r="FS103" s="2108">
        <v>2386.1</v>
      </c>
      <c r="FT103" s="2108">
        <v>2395.6999999999998</v>
      </c>
      <c r="FU103" s="2108">
        <v>2401.1</v>
      </c>
      <c r="FV103" s="2108">
        <v>2401.1</v>
      </c>
      <c r="FW103" s="2113">
        <v>3602.2450821257794</v>
      </c>
      <c r="FX103" s="2113">
        <v>3788.6426007680966</v>
      </c>
      <c r="FY103" s="2113">
        <v>100</v>
      </c>
      <c r="FZ103" s="2113">
        <v>103.92292737960815</v>
      </c>
      <c r="GA103" s="2113">
        <v>112.63624812704762</v>
      </c>
      <c r="GB103" s="2113">
        <v>113.27177505357719</v>
      </c>
      <c r="GC103" s="2113">
        <v>118.04001181255369</v>
      </c>
      <c r="GD103" s="2113">
        <v>120.76935556198129</v>
      </c>
      <c r="GE103" s="2113">
        <v>121.09280912083288</v>
      </c>
      <c r="GF103" s="2114">
        <v>122.12418870443784</v>
      </c>
      <c r="GG103" s="1960">
        <v>123.62142639430476</v>
      </c>
      <c r="GH103" s="2114">
        <v>124.48666944868147</v>
      </c>
      <c r="GI103" s="2114">
        <v>125.45947383319549</v>
      </c>
      <c r="GJ103" s="2113">
        <v>124.88622781042837</v>
      </c>
      <c r="GK103" s="2113">
        <v>125.93240913165525</v>
      </c>
      <c r="GL103" s="2113">
        <v>131.42556459026815</v>
      </c>
      <c r="GM103" s="2114">
        <v>132.16425495997748</v>
      </c>
      <c r="GN103" s="2114">
        <v>132.70867613571272</v>
      </c>
      <c r="GO103" s="2115">
        <v>134.83901174424696</v>
      </c>
      <c r="GP103" s="2116">
        <v>136.22771432525116</v>
      </c>
      <c r="GQ103" s="2116">
        <v>136.68125412657167</v>
      </c>
      <c r="GR103" s="2116">
        <v>134.27772521689167</v>
      </c>
      <c r="GS103" s="2116">
        <v>134.00136173371666</v>
      </c>
      <c r="GT103" s="1960">
        <v>135.10861390100979</v>
      </c>
      <c r="GU103" s="1960">
        <v>137.37714022274631</v>
      </c>
      <c r="GV103" s="1960">
        <v>137.56871405553545</v>
      </c>
      <c r="GW103" s="1960">
        <v>139.55872398039818</v>
      </c>
      <c r="GX103" s="1960">
        <v>142.6404556996485</v>
      </c>
      <c r="GY103" s="1960">
        <v>143.94056968785006</v>
      </c>
      <c r="GZ103" s="1960">
        <v>144.1210486078302</v>
      </c>
      <c r="HA103" s="1960">
        <v>157.43614328867665</v>
      </c>
      <c r="HB103" s="1960">
        <v>177.14897413491536</v>
      </c>
      <c r="HC103" s="1960">
        <v>184.79841268943693</v>
      </c>
      <c r="HD103" s="1960">
        <v>185.30581316203802</v>
      </c>
      <c r="HE103" s="1960">
        <v>213.57011975211353</v>
      </c>
      <c r="HF103" s="1960">
        <v>217.57942442070404</v>
      </c>
      <c r="HG103" s="1960">
        <v>221.01009638355282</v>
      </c>
      <c r="HH103" s="2117">
        <v>226.85861724852387</v>
      </c>
      <c r="HI103" s="1960">
        <v>222.28920243588252</v>
      </c>
      <c r="HJ103" s="1960">
        <v>231.4040013532543</v>
      </c>
      <c r="HK103" s="1960">
        <v>243.20012771834678</v>
      </c>
      <c r="HL103" s="1960">
        <v>250.56299610174767</v>
      </c>
      <c r="HM103" s="1960">
        <v>261.04780878993739</v>
      </c>
      <c r="HN103" s="1960">
        <v>266.77856772606037</v>
      </c>
      <c r="HO103" s="1960">
        <v>271.66058615435287</v>
      </c>
      <c r="HP103" s="1960">
        <v>322.69309866676144</v>
      </c>
      <c r="HQ103" s="1960">
        <v>347.04857782985761</v>
      </c>
      <c r="HR103" s="1960">
        <v>335.86226776885235</v>
      </c>
      <c r="HS103" s="1960">
        <v>354.54564372071644</v>
      </c>
      <c r="HT103" s="1962">
        <v>370.51279210468539</v>
      </c>
      <c r="HU103" s="1961">
        <v>384.74865362573689</v>
      </c>
      <c r="HV103" s="1960">
        <v>381.35040068356096</v>
      </c>
      <c r="HW103" s="1960">
        <v>381.35040068356096</v>
      </c>
      <c r="HX103" s="1960">
        <v>381.35040068356096</v>
      </c>
      <c r="HY103" s="1960">
        <v>400.41950606716176</v>
      </c>
      <c r="HZ103" s="1960">
        <v>400.41950606716176</v>
      </c>
      <c r="IA103" s="1960">
        <v>400.41950606716176</v>
      </c>
      <c r="IB103" s="1960">
        <v>427.42039132431137</v>
      </c>
      <c r="IC103" s="1960">
        <v>449.73227727679375</v>
      </c>
      <c r="ID103" s="1960">
        <v>508.73693875868776</v>
      </c>
      <c r="IE103" s="1960">
        <v>533.95195916526166</v>
      </c>
      <c r="IF103" s="1960">
        <v>539.29222963858933</v>
      </c>
      <c r="IG103" s="1961">
        <v>575.45042315248077</v>
      </c>
      <c r="IH103" s="1960">
        <v>598.45196862370801</v>
      </c>
      <c r="II103" s="1960">
        <v>598.4523697317984</v>
      </c>
      <c r="IJ103" s="1961">
        <v>602.12944533916584</v>
      </c>
      <c r="IK103" s="1960">
        <v>610.20189167333763</v>
      </c>
      <c r="IL103" s="1960">
        <v>631.58858225514678</v>
      </c>
      <c r="IM103" s="1960">
        <v>642.62941489425941</v>
      </c>
      <c r="IN103" s="1960">
        <v>662.21987565255665</v>
      </c>
      <c r="IO103" s="1960">
        <v>712.16449867427252</v>
      </c>
      <c r="IP103" s="1960">
        <v>729.2388184845056</v>
      </c>
      <c r="IQ103" s="1960">
        <v>745.09830430890668</v>
      </c>
      <c r="IR103" s="1960">
        <v>762.06138806819808</v>
      </c>
      <c r="IS103" s="2274">
        <v>806.55967915952306</v>
      </c>
      <c r="IT103" s="1960">
        <v>833.34443822991125</v>
      </c>
      <c r="IU103" s="1960">
        <v>842.52892326424535</v>
      </c>
      <c r="IV103" s="1960">
        <v>901.14945642044495</v>
      </c>
      <c r="IW103" s="1960">
        <v>998.79187800423233</v>
      </c>
      <c r="IX103" s="1960">
        <v>1026.0406460112195</v>
      </c>
      <c r="IY103" s="1960">
        <v>1317.7738675236089</v>
      </c>
      <c r="IZ103" s="1960">
        <v>1487.3414407097989</v>
      </c>
      <c r="JA103" s="1960">
        <v>1519.0687465888275</v>
      </c>
      <c r="JB103" s="1960">
        <v>1564.6200240151834</v>
      </c>
      <c r="JC103" s="1960">
        <v>1660.4350057529912</v>
      </c>
      <c r="JD103" s="1960">
        <v>1856.8109781438648</v>
      </c>
      <c r="JE103" s="2274">
        <v>1903.4692453287012</v>
      </c>
      <c r="JF103" s="2117">
        <v>2245.3752058534938</v>
      </c>
      <c r="JG103" s="2103">
        <f t="shared" si="13"/>
        <v>1.1796225294229803</v>
      </c>
      <c r="JI103" s="2155"/>
      <c r="JJ103" s="2104"/>
    </row>
    <row r="104" spans="2:270" ht="47.25">
      <c r="B104" s="2105">
        <v>81</v>
      </c>
      <c r="C104" s="2138"/>
      <c r="D104" s="2425" t="s">
        <v>1214</v>
      </c>
      <c r="E104" s="2128" t="s">
        <v>219</v>
      </c>
      <c r="F104" s="2106" t="s">
        <v>918</v>
      </c>
      <c r="G104" s="2425" t="s">
        <v>1112</v>
      </c>
      <c r="H104" s="2138" t="s">
        <v>64</v>
      </c>
      <c r="I104" s="2106" t="s">
        <v>920</v>
      </c>
      <c r="J104" s="2359" t="s">
        <v>220</v>
      </c>
      <c r="K104" s="2425"/>
      <c r="L104" s="2110">
        <v>99.2</v>
      </c>
      <c r="M104" s="2110">
        <v>102.6</v>
      </c>
      <c r="N104" s="2110">
        <v>104.3</v>
      </c>
      <c r="O104" s="2110">
        <v>104</v>
      </c>
      <c r="P104" s="2110">
        <v>115</v>
      </c>
      <c r="Q104" s="2110">
        <v>116.4</v>
      </c>
      <c r="R104" s="2110">
        <v>123.6</v>
      </c>
      <c r="S104" s="2110">
        <v>132.4</v>
      </c>
      <c r="T104" s="2110">
        <v>147.19999999999999</v>
      </c>
      <c r="U104" s="2110">
        <v>154.9</v>
      </c>
      <c r="V104" s="2110">
        <v>157.69999999999999</v>
      </c>
      <c r="W104" s="2110">
        <v>159.80000000000001</v>
      </c>
      <c r="X104" s="2110">
        <v>159.9</v>
      </c>
      <c r="Y104" s="2110">
        <v>160.69999999999999</v>
      </c>
      <c r="Z104" s="2110">
        <v>161.30000000000001</v>
      </c>
      <c r="AA104" s="2110">
        <v>162.9</v>
      </c>
      <c r="AB104" s="2110">
        <v>164.2</v>
      </c>
      <c r="AC104" s="2110">
        <v>167.1</v>
      </c>
      <c r="AD104" s="2110">
        <v>170</v>
      </c>
      <c r="AE104" s="2110">
        <v>170.7</v>
      </c>
      <c r="AF104" s="2110">
        <v>170.2</v>
      </c>
      <c r="AG104" s="2110">
        <v>171.8</v>
      </c>
      <c r="AH104" s="2110">
        <v>175.6</v>
      </c>
      <c r="AI104" s="2110">
        <v>176.1</v>
      </c>
      <c r="AJ104" s="2110">
        <v>177.4</v>
      </c>
      <c r="AK104" s="2110">
        <v>174.4</v>
      </c>
      <c r="AL104" s="2110">
        <v>175.3</v>
      </c>
      <c r="AM104" s="2110">
        <v>175.3</v>
      </c>
      <c r="AN104" s="2110">
        <v>178.1</v>
      </c>
      <c r="AO104" s="2110">
        <v>179.1</v>
      </c>
      <c r="AP104" s="2110">
        <v>179.6</v>
      </c>
      <c r="AQ104" s="2110">
        <v>184.8</v>
      </c>
      <c r="AR104" s="2110">
        <v>184.5</v>
      </c>
      <c r="AS104" s="2110">
        <v>184.6</v>
      </c>
      <c r="AT104" s="2110">
        <v>184.9</v>
      </c>
      <c r="AU104" s="2110">
        <v>187</v>
      </c>
      <c r="AV104" s="2110">
        <v>192.9</v>
      </c>
      <c r="AW104" s="2111">
        <v>195.8</v>
      </c>
      <c r="AX104" s="2111">
        <v>203.4</v>
      </c>
      <c r="AY104" s="2111">
        <v>210.2</v>
      </c>
      <c r="AZ104" s="2111">
        <v>213.5</v>
      </c>
      <c r="BA104" s="2111">
        <v>212.3</v>
      </c>
      <c r="BB104" s="2111">
        <v>214.4</v>
      </c>
      <c r="BC104" s="2111">
        <v>216.6</v>
      </c>
      <c r="BD104" s="2112">
        <v>221</v>
      </c>
      <c r="BE104" s="2111">
        <v>222.1</v>
      </c>
      <c r="BF104" s="2112">
        <v>225.1</v>
      </c>
      <c r="BG104" s="2112">
        <v>228.6</v>
      </c>
      <c r="BH104" s="2112">
        <v>229.8</v>
      </c>
      <c r="BI104" s="2108">
        <v>228.9</v>
      </c>
      <c r="BJ104" s="2108">
        <v>231.1</v>
      </c>
      <c r="BK104" s="2108">
        <v>234.8</v>
      </c>
      <c r="BL104" s="2108">
        <v>235.6</v>
      </c>
      <c r="BM104" s="2108">
        <v>236.6</v>
      </c>
      <c r="BN104" s="2108">
        <v>245.3</v>
      </c>
      <c r="BO104" s="2108">
        <v>249.6</v>
      </c>
      <c r="BP104" s="2108">
        <v>252.8</v>
      </c>
      <c r="BQ104" s="2108">
        <v>252.2</v>
      </c>
      <c r="BR104" s="2108">
        <v>252.8</v>
      </c>
      <c r="BS104" s="2108">
        <v>254.7</v>
      </c>
      <c r="BT104" s="2108">
        <v>256.5</v>
      </c>
      <c r="BU104" s="2108">
        <v>257.3</v>
      </c>
      <c r="BV104" s="2108">
        <v>263.89999999999998</v>
      </c>
      <c r="BW104" s="2108">
        <v>266.5</v>
      </c>
      <c r="BX104" s="2108">
        <v>266.39999999999998</v>
      </c>
      <c r="BY104" s="2108">
        <v>275.8</v>
      </c>
      <c r="BZ104" s="2108">
        <v>280.60000000000002</v>
      </c>
      <c r="CA104" s="2108">
        <v>288</v>
      </c>
      <c r="CB104" s="2108">
        <v>292.5</v>
      </c>
      <c r="CC104" s="2108">
        <v>298.2</v>
      </c>
      <c r="CD104" s="2108">
        <v>301.8</v>
      </c>
      <c r="CE104" s="2108">
        <v>307.89999999999998</v>
      </c>
      <c r="CF104" s="2108">
        <v>309.5</v>
      </c>
      <c r="CG104" s="2108">
        <v>319.2</v>
      </c>
      <c r="CH104" s="2108">
        <v>330.7</v>
      </c>
      <c r="CI104" s="2108">
        <v>333.4</v>
      </c>
      <c r="CJ104" s="2108">
        <v>345.7</v>
      </c>
      <c r="CK104" s="2108">
        <v>354.2</v>
      </c>
      <c r="CL104" s="2108">
        <v>359.8</v>
      </c>
      <c r="CM104" s="2108">
        <v>367.6</v>
      </c>
      <c r="CN104" s="2108">
        <v>369.1</v>
      </c>
      <c r="CO104" s="2108">
        <v>369.1</v>
      </c>
      <c r="CP104" s="2108">
        <v>364.8</v>
      </c>
      <c r="CQ104" s="2108">
        <v>365.1</v>
      </c>
      <c r="CR104" s="2108">
        <v>370.2</v>
      </c>
      <c r="CS104" s="2108">
        <v>371.8</v>
      </c>
      <c r="CT104" s="2108">
        <v>378.7</v>
      </c>
      <c r="CU104" s="2108">
        <v>377.3</v>
      </c>
      <c r="CV104" s="2108">
        <v>378.9</v>
      </c>
      <c r="CW104" s="2108">
        <v>381.7</v>
      </c>
      <c r="CX104" s="2108">
        <v>381.7</v>
      </c>
      <c r="CY104" s="2108">
        <v>377.5</v>
      </c>
      <c r="CZ104" s="2108">
        <v>377.5</v>
      </c>
      <c r="DA104" s="2108">
        <v>377.8</v>
      </c>
      <c r="DB104" s="2108">
        <v>378.5</v>
      </c>
      <c r="DC104" s="2108">
        <v>382.2</v>
      </c>
      <c r="DD104" s="2108">
        <v>383.3</v>
      </c>
      <c r="DE104" s="2108">
        <v>394.3</v>
      </c>
      <c r="DF104" s="2108">
        <v>401.9</v>
      </c>
      <c r="DG104" s="2108">
        <v>409.3</v>
      </c>
      <c r="DH104" s="2108">
        <v>417.9</v>
      </c>
      <c r="DI104" s="2108">
        <v>437.9</v>
      </c>
      <c r="DJ104" s="2108">
        <v>448.9</v>
      </c>
      <c r="DK104" s="2108">
        <v>450.5</v>
      </c>
      <c r="DL104" s="2108">
        <v>463.1</v>
      </c>
      <c r="DM104" s="2108">
        <v>472.6</v>
      </c>
      <c r="DN104" s="2108">
        <v>471.7</v>
      </c>
      <c r="DO104" s="2108">
        <v>477.8</v>
      </c>
      <c r="DP104" s="2108">
        <v>478</v>
      </c>
      <c r="DQ104" s="2108">
        <v>485.8</v>
      </c>
      <c r="DR104" s="2108">
        <v>487.7</v>
      </c>
      <c r="DS104" s="2108">
        <v>494.7</v>
      </c>
      <c r="DT104" s="2108">
        <v>508.7</v>
      </c>
      <c r="DU104" s="2108">
        <v>526.20000000000005</v>
      </c>
      <c r="DV104" s="2108">
        <v>543.5</v>
      </c>
      <c r="DW104" s="2108">
        <v>551.6</v>
      </c>
      <c r="DX104" s="2108">
        <v>570.1</v>
      </c>
      <c r="DY104" s="2108">
        <v>588.6</v>
      </c>
      <c r="DZ104" s="2108">
        <v>597.79999999999995</v>
      </c>
      <c r="EA104" s="2108">
        <v>598.79999999999995</v>
      </c>
      <c r="EB104" s="2108">
        <v>606</v>
      </c>
      <c r="EC104" s="2108">
        <v>622.79999999999995</v>
      </c>
      <c r="ED104" s="2108">
        <v>632.5</v>
      </c>
      <c r="EE104" s="2108">
        <v>636.29999999999995</v>
      </c>
      <c r="EF104" s="2108">
        <v>665.8</v>
      </c>
      <c r="EG104" s="2108">
        <v>681.1</v>
      </c>
      <c r="EH104" s="2108">
        <v>694</v>
      </c>
      <c r="EI104" s="2108">
        <v>694.3</v>
      </c>
      <c r="EJ104" s="2108">
        <v>703.4</v>
      </c>
      <c r="EK104" s="2108">
        <v>724.8</v>
      </c>
      <c r="EL104" s="2108">
        <v>720.7</v>
      </c>
      <c r="EM104" s="2108">
        <v>722</v>
      </c>
      <c r="EN104" s="2108">
        <v>724.2</v>
      </c>
      <c r="EO104" s="2108">
        <v>728.5</v>
      </c>
      <c r="EP104" s="2108">
        <v>751.4</v>
      </c>
      <c r="EQ104" s="2108">
        <v>780</v>
      </c>
      <c r="ER104" s="2108">
        <v>791.4</v>
      </c>
      <c r="ES104" s="2108">
        <v>804.8</v>
      </c>
      <c r="ET104" s="2108">
        <v>828.9</v>
      </c>
      <c r="EU104" s="2108">
        <v>831.4</v>
      </c>
      <c r="EV104" s="2108">
        <v>853.7</v>
      </c>
      <c r="EW104" s="2108">
        <v>860.9</v>
      </c>
      <c r="EX104" s="2108">
        <v>879</v>
      </c>
      <c r="EY104" s="2108">
        <v>894.7</v>
      </c>
      <c r="EZ104" s="2108">
        <v>920.3</v>
      </c>
      <c r="FA104" s="2108">
        <v>933.5</v>
      </c>
      <c r="FB104" s="2108">
        <v>1021.5</v>
      </c>
      <c r="FC104" s="2108">
        <v>1085.5</v>
      </c>
      <c r="FD104" s="2108">
        <v>1119.9000000000001</v>
      </c>
      <c r="FE104" s="2108">
        <v>1143.5</v>
      </c>
      <c r="FF104" s="2108">
        <v>1198.9000000000001</v>
      </c>
      <c r="FG104" s="2108">
        <v>1215.4000000000001</v>
      </c>
      <c r="FH104" s="2108">
        <v>1249.3</v>
      </c>
      <c r="FI104" s="2108">
        <v>1269.3</v>
      </c>
      <c r="FJ104" s="2108">
        <v>1281.9000000000001</v>
      </c>
      <c r="FK104" s="2108">
        <v>1322.9</v>
      </c>
      <c r="FL104" s="2108">
        <v>1318.3</v>
      </c>
      <c r="FM104" s="2108">
        <v>1362.2</v>
      </c>
      <c r="FN104" s="2108">
        <v>1408</v>
      </c>
      <c r="FO104" s="2108">
        <v>1418.7</v>
      </c>
      <c r="FP104" s="2108">
        <v>1450.8</v>
      </c>
      <c r="FQ104" s="2108">
        <v>1493.7</v>
      </c>
      <c r="FR104" s="2108">
        <v>1497.5</v>
      </c>
      <c r="FS104" s="2108">
        <v>1529.3</v>
      </c>
      <c r="FT104" s="2108">
        <v>1542.4</v>
      </c>
      <c r="FU104" s="2108">
        <v>1593.4</v>
      </c>
      <c r="FV104" s="2108">
        <v>1634.8</v>
      </c>
      <c r="FW104" s="2113">
        <v>1796.7965911680237</v>
      </c>
      <c r="FX104" s="2113">
        <v>1847.2519004901851</v>
      </c>
      <c r="FY104" s="2113">
        <v>100</v>
      </c>
      <c r="FZ104" s="2113">
        <v>103.94823551177979</v>
      </c>
      <c r="GA104" s="2113">
        <v>119.91427322421089</v>
      </c>
      <c r="GB104" s="2113">
        <v>119.91427322421089</v>
      </c>
      <c r="GC104" s="2113">
        <v>130.64622306382304</v>
      </c>
      <c r="GD104" s="2113">
        <v>126.9370223119894</v>
      </c>
      <c r="GE104" s="2113">
        <v>126.9370223119894</v>
      </c>
      <c r="GF104" s="2114">
        <v>122.32937440694957</v>
      </c>
      <c r="GG104" s="1960">
        <v>122.32937440694957</v>
      </c>
      <c r="GH104" s="2114">
        <v>126.19518661071876</v>
      </c>
      <c r="GI104" s="2114">
        <v>126.19518661071876</v>
      </c>
      <c r="GJ104" s="2113">
        <v>126.89581398846975</v>
      </c>
      <c r="GK104" s="2113">
        <v>126.89581398846975</v>
      </c>
      <c r="GL104" s="2113">
        <v>128.4207073353883</v>
      </c>
      <c r="GM104" s="2114">
        <v>130.11044703866813</v>
      </c>
      <c r="GN104" s="2114">
        <v>130.11044703866813</v>
      </c>
      <c r="GO104" s="2115">
        <v>131.63533394364205</v>
      </c>
      <c r="GP104" s="2116">
        <v>132.42662653347841</v>
      </c>
      <c r="GQ104" s="2116">
        <v>129.42629473122071</v>
      </c>
      <c r="GR104" s="2116">
        <v>132.27824977261579</v>
      </c>
      <c r="GS104" s="2116">
        <v>133.22615941728881</v>
      </c>
      <c r="GT104" s="1960">
        <v>136.52322022821588</v>
      </c>
      <c r="GU104" s="1960">
        <v>140.00985973808352</v>
      </c>
      <c r="GV104" s="1960">
        <v>141.1968029323863</v>
      </c>
      <c r="GW104" s="1960">
        <v>146.36495850236545</v>
      </c>
      <c r="GX104" s="1960">
        <v>153.31352734344821</v>
      </c>
      <c r="GY104" s="1960">
        <v>159.67685692592758</v>
      </c>
      <c r="GZ104" s="1960">
        <v>159.67685692592758</v>
      </c>
      <c r="HA104" s="1960">
        <v>165.71404342614287</v>
      </c>
      <c r="HB104" s="1960">
        <v>165.64821104373596</v>
      </c>
      <c r="HC104" s="1960">
        <v>177.71980846812932</v>
      </c>
      <c r="HD104" s="1960">
        <v>175.08572019172439</v>
      </c>
      <c r="HE104" s="1960">
        <v>182.09680325895707</v>
      </c>
      <c r="HF104" s="1960">
        <v>186.7071106075887</v>
      </c>
      <c r="HG104" s="1960">
        <v>212.66487490336164</v>
      </c>
      <c r="HH104" s="2117">
        <v>187.75173010298386</v>
      </c>
      <c r="HI104" s="1960">
        <v>212.66487490336166</v>
      </c>
      <c r="HJ104" s="1960">
        <v>190.11104417173831</v>
      </c>
      <c r="HK104" s="1960">
        <v>190.11104417173831</v>
      </c>
      <c r="HL104" s="1960">
        <v>190.09907244351592</v>
      </c>
      <c r="HM104" s="1960">
        <v>189.30878907356933</v>
      </c>
      <c r="HN104" s="1960">
        <v>192.46151038788702</v>
      </c>
      <c r="HO104" s="1960">
        <v>234.41808553035878</v>
      </c>
      <c r="HP104" s="1960">
        <v>243.43416574306485</v>
      </c>
      <c r="HQ104" s="1960">
        <v>251.54863793450036</v>
      </c>
      <c r="HR104" s="1960">
        <v>251.54863793450036</v>
      </c>
      <c r="HS104" s="1960">
        <v>278.75039604914417</v>
      </c>
      <c r="HT104" s="1962">
        <v>284.32833972995905</v>
      </c>
      <c r="HU104" s="1961">
        <v>283.51620865222162</v>
      </c>
      <c r="HV104" s="1960">
        <v>283.09810962601262</v>
      </c>
      <c r="HW104" s="1960">
        <v>294.94765404862011</v>
      </c>
      <c r="HX104" s="1960">
        <v>294.94765404862011</v>
      </c>
      <c r="HY104" s="1960">
        <v>294.94765404862011</v>
      </c>
      <c r="HZ104" s="1960">
        <v>294.94765404862011</v>
      </c>
      <c r="IA104" s="1960">
        <v>305.26907732320353</v>
      </c>
      <c r="IB104" s="1960">
        <v>342.53175437376973</v>
      </c>
      <c r="IC104" s="1960">
        <v>352.44736029821951</v>
      </c>
      <c r="ID104" s="1960">
        <v>402.84301795238258</v>
      </c>
      <c r="IE104" s="1960">
        <v>412.16177562270008</v>
      </c>
      <c r="IF104" s="1960">
        <v>418.42358861490169</v>
      </c>
      <c r="IG104" s="1961">
        <v>441.05035241062654</v>
      </c>
      <c r="IH104" s="1960">
        <v>491.17354521178117</v>
      </c>
      <c r="II104" s="1960">
        <v>504.39372896075122</v>
      </c>
      <c r="IJ104" s="1961">
        <v>549.79769009980384</v>
      </c>
      <c r="IK104" s="1960">
        <v>577.30171328052745</v>
      </c>
      <c r="IL104" s="1960">
        <v>590.9996819264644</v>
      </c>
      <c r="IM104" s="1960">
        <v>611.24733220298504</v>
      </c>
      <c r="IN104" s="1960">
        <v>611.79588750111589</v>
      </c>
      <c r="IO104" s="1960">
        <v>613.76362700728191</v>
      </c>
      <c r="IP104" s="1960">
        <v>652.04736369735906</v>
      </c>
      <c r="IQ104" s="1960">
        <v>666.92512839484175</v>
      </c>
      <c r="IR104" s="1960">
        <v>687.06719746913211</v>
      </c>
      <c r="IS104" s="2274">
        <v>730.40258644623589</v>
      </c>
      <c r="IT104" s="1960">
        <v>800.57467498153585</v>
      </c>
      <c r="IU104" s="1960">
        <v>847.04042021691521</v>
      </c>
      <c r="IV104" s="1960">
        <v>861.06540023554635</v>
      </c>
      <c r="IW104" s="1960">
        <v>906.16582855060881</v>
      </c>
      <c r="IX104" s="1960">
        <v>988.86453210073546</v>
      </c>
      <c r="IY104" s="1960">
        <v>1025.4766264357752</v>
      </c>
      <c r="IZ104" s="1960">
        <v>1098.3431837576895</v>
      </c>
      <c r="JA104" s="1960">
        <v>1131.7647241862223</v>
      </c>
      <c r="JB104" s="1960">
        <v>1172.3127482754403</v>
      </c>
      <c r="JC104" s="1960">
        <v>1181.2357772769549</v>
      </c>
      <c r="JD104" s="1960">
        <v>1190.5583074436774</v>
      </c>
      <c r="JE104" s="2274">
        <v>1279.9906252800376</v>
      </c>
      <c r="JF104" s="2117">
        <v>1327.9212215937052</v>
      </c>
      <c r="JG104" s="2103">
        <f t="shared" si="13"/>
        <v>1.0374460526249412</v>
      </c>
      <c r="JI104" s="2155"/>
      <c r="JJ104" s="2104"/>
    </row>
    <row r="105" spans="2:270" ht="63">
      <c r="B105" s="2105">
        <v>82</v>
      </c>
      <c r="C105" s="2106">
        <v>20</v>
      </c>
      <c r="D105" s="2425" t="s">
        <v>1215</v>
      </c>
      <c r="E105" s="2127" t="s">
        <v>748</v>
      </c>
      <c r="F105" s="2106" t="s">
        <v>918</v>
      </c>
      <c r="G105" s="2425"/>
      <c r="H105" s="2106" t="s">
        <v>223</v>
      </c>
      <c r="I105" s="2106" t="s">
        <v>930</v>
      </c>
      <c r="J105" s="2359" t="s">
        <v>121</v>
      </c>
      <c r="K105" s="2425"/>
      <c r="L105" s="2110">
        <v>91.05</v>
      </c>
      <c r="M105" s="2110">
        <v>92.86</v>
      </c>
      <c r="N105" s="2110">
        <v>100.48</v>
      </c>
      <c r="O105" s="2110">
        <v>108.09</v>
      </c>
      <c r="P105" s="2110">
        <v>125.15</v>
      </c>
      <c r="Q105" s="2110">
        <v>131.84</v>
      </c>
      <c r="R105" s="2110">
        <v>144.30000000000001</v>
      </c>
      <c r="S105" s="2110">
        <v>150.93</v>
      </c>
      <c r="T105" s="2110">
        <v>155.9</v>
      </c>
      <c r="U105" s="2110">
        <v>156.77000000000001</v>
      </c>
      <c r="V105" s="2110">
        <v>158.69</v>
      </c>
      <c r="W105" s="2110">
        <v>158.96</v>
      </c>
      <c r="X105" s="2110">
        <v>156.15</v>
      </c>
      <c r="Y105" s="2110">
        <v>159.91999999999999</v>
      </c>
      <c r="Z105" s="2110">
        <v>161.09</v>
      </c>
      <c r="AA105" s="2110">
        <v>160.08000000000001</v>
      </c>
      <c r="AB105" s="2110">
        <v>158.69999999999999</v>
      </c>
      <c r="AC105" s="2110">
        <v>158.78</v>
      </c>
      <c r="AD105" s="2110">
        <v>158.56</v>
      </c>
      <c r="AE105" s="2110">
        <v>157.15</v>
      </c>
      <c r="AF105" s="2110">
        <v>157.96</v>
      </c>
      <c r="AG105" s="2110">
        <v>158.27000000000001</v>
      </c>
      <c r="AH105" s="2110">
        <v>158.49</v>
      </c>
      <c r="AI105" s="2110">
        <v>157.62</v>
      </c>
      <c r="AJ105" s="2110">
        <v>159.04</v>
      </c>
      <c r="AK105" s="2110">
        <v>160</v>
      </c>
      <c r="AL105" s="2110">
        <v>165.94</v>
      </c>
      <c r="AM105" s="2110">
        <v>173.68</v>
      </c>
      <c r="AN105" s="2110">
        <v>177.82</v>
      </c>
      <c r="AO105" s="2110">
        <v>180.27</v>
      </c>
      <c r="AP105" s="2110">
        <v>182.52</v>
      </c>
      <c r="AQ105" s="2110">
        <v>184.18</v>
      </c>
      <c r="AR105" s="2110">
        <v>186.85</v>
      </c>
      <c r="AS105" s="2110">
        <v>189.89</v>
      </c>
      <c r="AT105" s="2110">
        <v>193.51</v>
      </c>
      <c r="AU105" s="2110">
        <v>192.74</v>
      </c>
      <c r="AV105" s="2110">
        <v>200.52</v>
      </c>
      <c r="AW105" s="2111">
        <v>217</v>
      </c>
      <c r="AX105" s="2111">
        <v>217.05</v>
      </c>
      <c r="AY105" s="2111">
        <v>220.47</v>
      </c>
      <c r="AZ105" s="2111">
        <v>222.34</v>
      </c>
      <c r="BA105" s="2111">
        <v>222.65</v>
      </c>
      <c r="BB105" s="2111">
        <v>227.61</v>
      </c>
      <c r="BC105" s="2111">
        <v>228.91</v>
      </c>
      <c r="BD105" s="2112">
        <v>229.19</v>
      </c>
      <c r="BE105" s="2111">
        <v>233.76</v>
      </c>
      <c r="BF105" s="2112">
        <v>236.19</v>
      </c>
      <c r="BG105" s="2112">
        <v>240.63</v>
      </c>
      <c r="BH105" s="2112">
        <v>242.09</v>
      </c>
      <c r="BI105" s="2108">
        <v>244.2</v>
      </c>
      <c r="BJ105" s="2108">
        <v>247.04</v>
      </c>
      <c r="BK105" s="2108">
        <v>247.8</v>
      </c>
      <c r="BL105" s="2108">
        <v>248.95</v>
      </c>
      <c r="BM105" s="2108">
        <v>251.72</v>
      </c>
      <c r="BN105" s="2108">
        <v>259.16000000000003</v>
      </c>
      <c r="BO105" s="2108">
        <v>268.01</v>
      </c>
      <c r="BP105" s="2108">
        <v>272.64</v>
      </c>
      <c r="BQ105" s="2108">
        <v>268.77</v>
      </c>
      <c r="BR105" s="2108">
        <v>270.77999999999997</v>
      </c>
      <c r="BS105" s="2108">
        <v>275.70999999999998</v>
      </c>
      <c r="BT105" s="2108">
        <v>275.44</v>
      </c>
      <c r="BU105" s="2108">
        <v>278.67</v>
      </c>
      <c r="BV105" s="2108">
        <v>283.60000000000002</v>
      </c>
      <c r="BW105" s="2108">
        <v>283.67</v>
      </c>
      <c r="BX105" s="2108">
        <v>288.39</v>
      </c>
      <c r="BY105" s="2108">
        <v>291</v>
      </c>
      <c r="BZ105" s="2108">
        <v>296.17</v>
      </c>
      <c r="CA105" s="2108">
        <v>305.26</v>
      </c>
      <c r="CB105" s="2108">
        <v>319.07</v>
      </c>
      <c r="CC105" s="2108">
        <v>327.32</v>
      </c>
      <c r="CD105" s="2108">
        <v>333.55</v>
      </c>
      <c r="CE105" s="2108">
        <v>335.02</v>
      </c>
      <c r="CF105" s="2108">
        <v>340.05</v>
      </c>
      <c r="CG105" s="2108">
        <v>346.75</v>
      </c>
      <c r="CH105" s="2108">
        <v>355.43</v>
      </c>
      <c r="CI105" s="2108">
        <v>357.82</v>
      </c>
      <c r="CJ105" s="2108">
        <v>363.58</v>
      </c>
      <c r="CK105" s="2108">
        <v>364.84</v>
      </c>
      <c r="CL105" s="2108">
        <v>374.82</v>
      </c>
      <c r="CM105" s="2108">
        <v>387.63</v>
      </c>
      <c r="CN105" s="2108">
        <v>390.6</v>
      </c>
      <c r="CO105" s="2108">
        <v>395.45</v>
      </c>
      <c r="CP105" s="2108">
        <v>397.64</v>
      </c>
      <c r="CQ105" s="2108">
        <v>401.61</v>
      </c>
      <c r="CR105" s="2108">
        <v>400.76</v>
      </c>
      <c r="CS105" s="2108">
        <v>402.66</v>
      </c>
      <c r="CT105" s="2108">
        <v>402.86</v>
      </c>
      <c r="CU105" s="2108">
        <v>403.09</v>
      </c>
      <c r="CV105" s="2108">
        <v>403.86</v>
      </c>
      <c r="CW105" s="2108">
        <v>400.44</v>
      </c>
      <c r="CX105" s="2108">
        <v>403.91</v>
      </c>
      <c r="CY105" s="2108">
        <v>404.97</v>
      </c>
      <c r="CZ105" s="2108">
        <v>404.78</v>
      </c>
      <c r="DA105" s="2108">
        <v>408.63</v>
      </c>
      <c r="DB105" s="2108">
        <v>409.06</v>
      </c>
      <c r="DC105" s="2108">
        <v>413.31</v>
      </c>
      <c r="DD105" s="2108">
        <v>414.24</v>
      </c>
      <c r="DE105" s="2108">
        <v>416.35</v>
      </c>
      <c r="DF105" s="2108">
        <v>421.39</v>
      </c>
      <c r="DG105" s="2108">
        <v>436.06</v>
      </c>
      <c r="DH105" s="2108">
        <v>446.18</v>
      </c>
      <c r="DI105" s="2108">
        <v>448.43</v>
      </c>
      <c r="DJ105" s="2108">
        <v>458.33</v>
      </c>
      <c r="DK105" s="2108">
        <v>462.19</v>
      </c>
      <c r="DL105" s="2108">
        <v>464.9</v>
      </c>
      <c r="DM105" s="2108">
        <v>463.61</v>
      </c>
      <c r="DN105" s="2108">
        <v>475.46</v>
      </c>
      <c r="DO105" s="2108">
        <v>482.36</v>
      </c>
      <c r="DP105" s="2108">
        <v>485.26</v>
      </c>
      <c r="DQ105" s="2108">
        <v>486.27</v>
      </c>
      <c r="DR105" s="2108">
        <v>489.71</v>
      </c>
      <c r="DS105" s="2108">
        <v>494.8</v>
      </c>
      <c r="DT105" s="2108">
        <v>497.07</v>
      </c>
      <c r="DU105" s="2108">
        <v>505.18</v>
      </c>
      <c r="DV105" s="2108">
        <v>513.79</v>
      </c>
      <c r="DW105" s="2108">
        <v>519.61</v>
      </c>
      <c r="DX105" s="2108">
        <v>525.85</v>
      </c>
      <c r="DY105" s="2108">
        <v>543.07000000000005</v>
      </c>
      <c r="DZ105" s="2108">
        <v>542.55999999999995</v>
      </c>
      <c r="EA105" s="2108">
        <v>550.55999999999995</v>
      </c>
      <c r="EB105" s="2108">
        <v>560.54999999999995</v>
      </c>
      <c r="EC105" s="2108">
        <v>565.36</v>
      </c>
      <c r="ED105" s="2108">
        <v>574.22</v>
      </c>
      <c r="EE105" s="2108">
        <v>577.72</v>
      </c>
      <c r="EF105" s="2108">
        <v>585.19000000000005</v>
      </c>
      <c r="EG105" s="2108">
        <v>591.19000000000005</v>
      </c>
      <c r="EH105" s="2108">
        <v>597.03</v>
      </c>
      <c r="EI105" s="2108">
        <v>601.69000000000005</v>
      </c>
      <c r="EJ105" s="2108">
        <v>608.86</v>
      </c>
      <c r="EK105" s="2108">
        <v>612.07000000000005</v>
      </c>
      <c r="EL105" s="2108">
        <v>626.91</v>
      </c>
      <c r="EM105" s="2108">
        <v>631.61</v>
      </c>
      <c r="EN105" s="2108">
        <v>639.99</v>
      </c>
      <c r="EO105" s="2108">
        <v>641.75</v>
      </c>
      <c r="EP105" s="2108">
        <v>652.74</v>
      </c>
      <c r="EQ105" s="2108">
        <v>664.54</v>
      </c>
      <c r="ER105" s="2108">
        <v>672.96</v>
      </c>
      <c r="ES105" s="2108">
        <v>684.57</v>
      </c>
      <c r="ET105" s="2108">
        <v>690.36</v>
      </c>
      <c r="EU105" s="2108">
        <v>700.72</v>
      </c>
      <c r="EV105" s="2108">
        <v>711.82</v>
      </c>
      <c r="EW105" s="2108">
        <v>712.26</v>
      </c>
      <c r="EX105" s="2108">
        <v>720.98</v>
      </c>
      <c r="EY105" s="2108">
        <v>727.42</v>
      </c>
      <c r="EZ105" s="2108">
        <v>734.31</v>
      </c>
      <c r="FA105" s="2108">
        <v>763.18</v>
      </c>
      <c r="FB105" s="2108">
        <v>797.75</v>
      </c>
      <c r="FC105" s="2108">
        <v>822.64</v>
      </c>
      <c r="FD105" s="2108">
        <v>848.02</v>
      </c>
      <c r="FE105" s="2108">
        <v>860.99</v>
      </c>
      <c r="FF105" s="2108">
        <v>876.8</v>
      </c>
      <c r="FG105" s="2108">
        <v>898.77</v>
      </c>
      <c r="FH105" s="2108">
        <v>919.07</v>
      </c>
      <c r="FI105" s="2108">
        <v>933.18</v>
      </c>
      <c r="FJ105" s="2108">
        <v>951.89</v>
      </c>
      <c r="FK105" s="2108">
        <v>961</v>
      </c>
      <c r="FL105" s="2108">
        <v>974.18</v>
      </c>
      <c r="FM105" s="2108">
        <v>991.36</v>
      </c>
      <c r="FN105" s="2108">
        <v>997.49</v>
      </c>
      <c r="FO105" s="2108">
        <v>1017.69</v>
      </c>
      <c r="FP105" s="2108">
        <v>1027.18</v>
      </c>
      <c r="FQ105" s="2108">
        <v>1058.3499999999999</v>
      </c>
      <c r="FR105" s="2108">
        <v>1086.02</v>
      </c>
      <c r="FS105" s="2108">
        <v>1088.76</v>
      </c>
      <c r="FT105" s="2108">
        <v>1115.06</v>
      </c>
      <c r="FU105" s="2108">
        <v>1157.22</v>
      </c>
      <c r="FV105" s="2108">
        <v>1159.26</v>
      </c>
      <c r="FW105" s="2113" t="s">
        <v>521</v>
      </c>
      <c r="FX105" s="2113" t="s">
        <v>521</v>
      </c>
      <c r="FY105" s="2113" t="s">
        <v>521</v>
      </c>
      <c r="FZ105" s="2113" t="s">
        <v>521</v>
      </c>
      <c r="GA105" s="2113" t="s">
        <v>521</v>
      </c>
      <c r="GB105" s="2113" t="s">
        <v>521</v>
      </c>
      <c r="GC105" s="2113" t="s">
        <v>521</v>
      </c>
      <c r="GD105" s="2113" t="s">
        <v>521</v>
      </c>
      <c r="GE105" s="2113" t="s">
        <v>521</v>
      </c>
      <c r="GF105" s="2114" t="s">
        <v>521</v>
      </c>
      <c r="GG105" s="1960" t="s">
        <v>521</v>
      </c>
      <c r="GH105" s="2114" t="s">
        <v>521</v>
      </c>
      <c r="GI105" s="2114" t="s">
        <v>521</v>
      </c>
      <c r="GJ105" s="2113" t="s">
        <v>521</v>
      </c>
      <c r="GK105" s="2113" t="s">
        <v>521</v>
      </c>
      <c r="GL105" s="2113" t="s">
        <v>521</v>
      </c>
      <c r="GM105" s="2114" t="s">
        <v>521</v>
      </c>
      <c r="GN105" s="2114" t="s">
        <v>521</v>
      </c>
      <c r="GO105" s="2115" t="s">
        <v>521</v>
      </c>
      <c r="GP105" s="2116" t="s">
        <v>521</v>
      </c>
      <c r="GQ105" s="2116" t="s">
        <v>521</v>
      </c>
      <c r="GR105" s="2116" t="s">
        <v>521</v>
      </c>
      <c r="GS105" s="2116" t="s">
        <v>521</v>
      </c>
      <c r="GT105" s="1960" t="s">
        <v>521</v>
      </c>
      <c r="GU105" s="1960" t="s">
        <v>521</v>
      </c>
      <c r="GV105" s="1960" t="s">
        <v>521</v>
      </c>
      <c r="GW105" s="1960" t="s">
        <v>521</v>
      </c>
      <c r="GX105" s="1960" t="s">
        <v>521</v>
      </c>
      <c r="GY105" s="1960" t="s">
        <v>521</v>
      </c>
      <c r="GZ105" s="1960">
        <v>100</v>
      </c>
      <c r="HA105" s="1960">
        <v>100</v>
      </c>
      <c r="HB105" s="1960">
        <v>105</v>
      </c>
      <c r="HC105" s="1960">
        <v>105</v>
      </c>
      <c r="HD105" s="1960">
        <v>103.04875898919776</v>
      </c>
      <c r="HE105" s="1960">
        <v>123.65857405384045</v>
      </c>
      <c r="HF105" s="1960">
        <v>123.7808011394921</v>
      </c>
      <c r="HG105" s="1960">
        <v>111.81095380587203</v>
      </c>
      <c r="HH105" s="1960">
        <v>110.61127685981279</v>
      </c>
      <c r="HI105" s="1960">
        <v>111.82195874010617</v>
      </c>
      <c r="HJ105" s="1960">
        <v>111.82752138002034</v>
      </c>
      <c r="HK105" s="1960">
        <v>125.00900264166711</v>
      </c>
      <c r="HL105" s="1960">
        <v>125.00900264166711</v>
      </c>
      <c r="HM105" s="1960">
        <v>125.00900264166711</v>
      </c>
      <c r="HN105" s="1960">
        <v>125.00900264166711</v>
      </c>
      <c r="HO105" s="1960">
        <v>129.03204066703796</v>
      </c>
      <c r="HP105" s="1960">
        <v>161.29004552552959</v>
      </c>
      <c r="HQ105" s="1960">
        <v>165.50870716527527</v>
      </c>
      <c r="HR105" s="1960">
        <v>161.73753307110556</v>
      </c>
      <c r="HS105" s="1960">
        <v>165.78078126307332</v>
      </c>
      <c r="HT105" s="1962">
        <v>165.78078126307332</v>
      </c>
      <c r="HU105" s="1961">
        <v>174.31896556978691</v>
      </c>
      <c r="HV105" s="1960">
        <v>174.08203064092885</v>
      </c>
      <c r="HW105" s="1960">
        <v>179.44325259907339</v>
      </c>
      <c r="HX105" s="1960">
        <v>179.44325259907339</v>
      </c>
      <c r="HY105" s="1960">
        <v>179.44325259907339</v>
      </c>
      <c r="HZ105" s="1960">
        <v>190.20727068550318</v>
      </c>
      <c r="IA105" s="1960">
        <v>190.20789041196085</v>
      </c>
      <c r="IB105" s="1960">
        <v>195.91423820847055</v>
      </c>
      <c r="IC105" s="1960">
        <v>195.91423820847055</v>
      </c>
      <c r="ID105" s="1960">
        <v>198.36333842959687</v>
      </c>
      <c r="IE105" s="1960">
        <v>198.36333842959687</v>
      </c>
      <c r="IF105" s="1960">
        <v>198.34594766687641</v>
      </c>
      <c r="IG105" s="1961">
        <v>198.8096213874619</v>
      </c>
      <c r="IH105" s="1960">
        <v>215.58169921213383</v>
      </c>
      <c r="II105" s="1960">
        <v>215.72565296420228</v>
      </c>
      <c r="IJ105" s="1961">
        <v>233.61643630545865</v>
      </c>
      <c r="IK105" s="1960">
        <v>242.69475026319481</v>
      </c>
      <c r="IL105" s="1960">
        <v>247.84495682789938</v>
      </c>
      <c r="IM105" s="1960">
        <v>248.02491909620741</v>
      </c>
      <c r="IN105" s="1960">
        <v>261.53477639422579</v>
      </c>
      <c r="IO105" s="1960">
        <v>291.16012819028174</v>
      </c>
      <c r="IP105" s="1960">
        <v>296.76762314055111</v>
      </c>
      <c r="IQ105" s="1960">
        <v>298.82852589945065</v>
      </c>
      <c r="IR105" s="1960">
        <v>319.81290050504055</v>
      </c>
      <c r="IS105" s="2274">
        <v>332.74942025935951</v>
      </c>
      <c r="IT105" s="1960">
        <v>344.38587850054478</v>
      </c>
      <c r="IU105" s="1960">
        <v>348.67601717732845</v>
      </c>
      <c r="IV105" s="1960">
        <v>451.34395850946902</v>
      </c>
      <c r="IW105" s="1960">
        <v>487.86767067852082</v>
      </c>
      <c r="IX105" s="1960">
        <v>497.16670945695824</v>
      </c>
      <c r="IY105" s="1960">
        <v>546.3866603624366</v>
      </c>
      <c r="IZ105" s="1960">
        <v>640.88568524740174</v>
      </c>
      <c r="JA105" s="1960">
        <v>650.87385897618219</v>
      </c>
      <c r="JB105" s="1960">
        <v>663.05093738874177</v>
      </c>
      <c r="JC105" s="1960">
        <v>732.30908712979192</v>
      </c>
      <c r="JD105" s="1960">
        <v>733.30908712979203</v>
      </c>
      <c r="JE105" s="2274">
        <v>781.5261807050781</v>
      </c>
      <c r="JF105" s="2117">
        <v>829.37259946222139</v>
      </c>
      <c r="JG105" s="2103">
        <f t="shared" si="13"/>
        <v>1.0612217734202802</v>
      </c>
      <c r="JI105" s="2155"/>
      <c r="JJ105" s="2104"/>
    </row>
    <row r="106" spans="2:270">
      <c r="B106" s="2105">
        <v>83</v>
      </c>
      <c r="C106" s="2106">
        <v>292</v>
      </c>
      <c r="D106" s="2425" t="s">
        <v>1216</v>
      </c>
      <c r="E106" s="2128" t="s">
        <v>224</v>
      </c>
      <c r="F106" s="2106" t="s">
        <v>918</v>
      </c>
      <c r="G106" s="2425" t="s">
        <v>1112</v>
      </c>
      <c r="H106" s="2106" t="s">
        <v>223</v>
      </c>
      <c r="I106" s="2106" t="s">
        <v>930</v>
      </c>
      <c r="J106" s="2359" t="s">
        <v>771</v>
      </c>
      <c r="K106" s="2425"/>
      <c r="L106" s="2110">
        <v>102.51</v>
      </c>
      <c r="M106" s="2110">
        <v>109.63</v>
      </c>
      <c r="N106" s="2110">
        <v>117.3</v>
      </c>
      <c r="O106" s="2110">
        <v>141.19</v>
      </c>
      <c r="P106" s="2110">
        <v>165.77</v>
      </c>
      <c r="Q106" s="2110">
        <v>181.76</v>
      </c>
      <c r="R106" s="2110">
        <v>205.91</v>
      </c>
      <c r="S106" s="2110">
        <v>211.67</v>
      </c>
      <c r="T106" s="2110">
        <v>212.12</v>
      </c>
      <c r="U106" s="2110">
        <v>211.41</v>
      </c>
      <c r="V106" s="2110">
        <v>213.54</v>
      </c>
      <c r="W106" s="2110">
        <v>215.2</v>
      </c>
      <c r="X106" s="2110">
        <v>216.22</v>
      </c>
      <c r="Y106" s="2110">
        <v>210.1</v>
      </c>
      <c r="Z106" s="2110">
        <v>208.5</v>
      </c>
      <c r="AA106" s="2110">
        <v>207.22</v>
      </c>
      <c r="AB106" s="2110">
        <v>205.53</v>
      </c>
      <c r="AC106" s="2110">
        <v>203.5</v>
      </c>
      <c r="AD106" s="2110">
        <v>204.6</v>
      </c>
      <c r="AE106" s="2110">
        <v>206.01</v>
      </c>
      <c r="AF106" s="2110">
        <v>208.55</v>
      </c>
      <c r="AG106" s="2110">
        <v>207.19</v>
      </c>
      <c r="AH106" s="2110">
        <v>206.79</v>
      </c>
      <c r="AI106" s="2110">
        <v>207.4</v>
      </c>
      <c r="AJ106" s="2110">
        <v>211.61</v>
      </c>
      <c r="AK106" s="2110">
        <v>212.96</v>
      </c>
      <c r="AL106" s="2110">
        <v>217.55</v>
      </c>
      <c r="AM106" s="2110">
        <v>223.19</v>
      </c>
      <c r="AN106" s="2110">
        <v>224.48</v>
      </c>
      <c r="AO106" s="2110">
        <v>230.5</v>
      </c>
      <c r="AP106" s="2110">
        <v>232.87</v>
      </c>
      <c r="AQ106" s="2110">
        <v>233.41</v>
      </c>
      <c r="AR106" s="2110">
        <v>236.4</v>
      </c>
      <c r="AS106" s="2110">
        <v>236.93</v>
      </c>
      <c r="AT106" s="2110">
        <v>237.47</v>
      </c>
      <c r="AU106" s="2110">
        <v>237.59</v>
      </c>
      <c r="AV106" s="2110">
        <v>240.15</v>
      </c>
      <c r="AW106" s="2111">
        <v>216.17</v>
      </c>
      <c r="AX106" s="2111">
        <v>250.89</v>
      </c>
      <c r="AY106" s="2111">
        <v>252.02</v>
      </c>
      <c r="AZ106" s="2111">
        <v>251.9</v>
      </c>
      <c r="BA106" s="2111">
        <v>252.86</v>
      </c>
      <c r="BB106" s="2111">
        <v>253.4</v>
      </c>
      <c r="BC106" s="2111">
        <v>255</v>
      </c>
      <c r="BD106" s="2112">
        <v>257.06</v>
      </c>
      <c r="BE106" s="2111">
        <v>261.47000000000003</v>
      </c>
      <c r="BF106" s="2112">
        <v>263.62</v>
      </c>
      <c r="BG106" s="2112">
        <v>264.24</v>
      </c>
      <c r="BH106" s="2112">
        <v>268.44</v>
      </c>
      <c r="BI106" s="2108">
        <v>270.8</v>
      </c>
      <c r="BJ106" s="2108">
        <v>272.8</v>
      </c>
      <c r="BK106" s="2108">
        <v>275.3</v>
      </c>
      <c r="BL106" s="2108">
        <v>275.99</v>
      </c>
      <c r="BM106" s="2108">
        <v>276.68</v>
      </c>
      <c r="BN106" s="2108">
        <v>280.37</v>
      </c>
      <c r="BO106" s="2108">
        <v>284.91000000000003</v>
      </c>
      <c r="BP106" s="2108">
        <v>288.25</v>
      </c>
      <c r="BQ106" s="2108">
        <v>290.45</v>
      </c>
      <c r="BR106" s="2108">
        <v>292.33</v>
      </c>
      <c r="BS106" s="2108">
        <v>291.57</v>
      </c>
      <c r="BT106" s="2108">
        <v>292.86</v>
      </c>
      <c r="BU106" s="2108">
        <v>293.02999999999997</v>
      </c>
      <c r="BV106" s="2108">
        <v>295.75</v>
      </c>
      <c r="BW106" s="2108">
        <v>296.64999999999998</v>
      </c>
      <c r="BX106" s="2108">
        <v>299.89</v>
      </c>
      <c r="BY106" s="2108">
        <v>303.62</v>
      </c>
      <c r="BZ106" s="2108">
        <v>305.82</v>
      </c>
      <c r="CA106" s="2108">
        <v>309.12</v>
      </c>
      <c r="CB106" s="2108">
        <v>317.08</v>
      </c>
      <c r="CC106" s="2108">
        <v>319.87</v>
      </c>
      <c r="CD106" s="2108">
        <v>324.16000000000003</v>
      </c>
      <c r="CE106" s="2108">
        <v>328.17</v>
      </c>
      <c r="CF106" s="2108">
        <v>332.5</v>
      </c>
      <c r="CG106" s="2108">
        <v>342.73</v>
      </c>
      <c r="CH106" s="2108">
        <v>343.74</v>
      </c>
      <c r="CI106" s="2108">
        <v>349.94</v>
      </c>
      <c r="CJ106" s="2108">
        <v>354.24</v>
      </c>
      <c r="CK106" s="2108">
        <v>357.44</v>
      </c>
      <c r="CL106" s="2108">
        <v>362.74</v>
      </c>
      <c r="CM106" s="2108">
        <v>368</v>
      </c>
      <c r="CN106" s="2108">
        <v>373.34</v>
      </c>
      <c r="CO106" s="2108">
        <v>378.67</v>
      </c>
      <c r="CP106" s="2108">
        <v>383.11</v>
      </c>
      <c r="CQ106" s="2108">
        <v>388.76</v>
      </c>
      <c r="CR106" s="2108">
        <v>391.06</v>
      </c>
      <c r="CS106" s="2108">
        <v>394.13</v>
      </c>
      <c r="CT106" s="2108">
        <v>395.52</v>
      </c>
      <c r="CU106" s="2108">
        <v>398.39</v>
      </c>
      <c r="CV106" s="2108">
        <v>400.48</v>
      </c>
      <c r="CW106" s="2108">
        <v>403.45</v>
      </c>
      <c r="CX106" s="2108">
        <v>405.16</v>
      </c>
      <c r="CY106" s="2108">
        <v>407.63</v>
      </c>
      <c r="CZ106" s="2108">
        <v>414.66</v>
      </c>
      <c r="DA106" s="2108">
        <v>418.25</v>
      </c>
      <c r="DB106" s="2108">
        <v>419.83</v>
      </c>
      <c r="DC106" s="2108">
        <v>422.16</v>
      </c>
      <c r="DD106" s="2108">
        <v>423.25</v>
      </c>
      <c r="DE106" s="2108">
        <v>424.12</v>
      </c>
      <c r="DF106" s="2108">
        <v>431.55</v>
      </c>
      <c r="DG106" s="2108">
        <v>440.34</v>
      </c>
      <c r="DH106" s="2108">
        <v>449.05</v>
      </c>
      <c r="DI106" s="2108">
        <v>453.38</v>
      </c>
      <c r="DJ106" s="2108">
        <v>458.64</v>
      </c>
      <c r="DK106" s="2108">
        <v>465.27</v>
      </c>
      <c r="DL106" s="2108">
        <v>471.64</v>
      </c>
      <c r="DM106" s="2108">
        <v>476.84</v>
      </c>
      <c r="DN106" s="2108">
        <v>482.37</v>
      </c>
      <c r="DO106" s="2108">
        <v>492.48</v>
      </c>
      <c r="DP106" s="2108">
        <v>502</v>
      </c>
      <c r="DQ106" s="2108">
        <v>505.26</v>
      </c>
      <c r="DR106" s="2108">
        <v>509.27</v>
      </c>
      <c r="DS106" s="2108">
        <v>518.70000000000005</v>
      </c>
      <c r="DT106" s="2108">
        <v>531.61</v>
      </c>
      <c r="DU106" s="2108">
        <v>536.58000000000004</v>
      </c>
      <c r="DV106" s="2108">
        <v>549.77</v>
      </c>
      <c r="DW106" s="2108">
        <v>570.05999999999995</v>
      </c>
      <c r="DX106" s="2108">
        <v>573.98</v>
      </c>
      <c r="DY106" s="2108">
        <v>583.4</v>
      </c>
      <c r="DZ106" s="2108">
        <v>594.66</v>
      </c>
      <c r="EA106" s="2108">
        <v>602.83000000000004</v>
      </c>
      <c r="EB106" s="2108">
        <v>609.22</v>
      </c>
      <c r="EC106" s="2108">
        <v>609.70000000000005</v>
      </c>
      <c r="ED106" s="2108">
        <v>621.41999999999996</v>
      </c>
      <c r="EE106" s="2108">
        <v>633.08000000000004</v>
      </c>
      <c r="EF106" s="2108">
        <v>638.13</v>
      </c>
      <c r="EG106" s="2108">
        <v>643.44000000000005</v>
      </c>
      <c r="EH106" s="2108">
        <v>648</v>
      </c>
      <c r="EI106" s="2108">
        <v>658.35</v>
      </c>
      <c r="EJ106" s="2108">
        <v>665.32</v>
      </c>
      <c r="EK106" s="2108">
        <v>679.78</v>
      </c>
      <c r="EL106" s="2108">
        <v>685.63</v>
      </c>
      <c r="EM106" s="2108">
        <v>697.46</v>
      </c>
      <c r="EN106" s="2108">
        <v>704.2</v>
      </c>
      <c r="EO106" s="2108">
        <v>716.11</v>
      </c>
      <c r="EP106" s="2108">
        <v>725.75</v>
      </c>
      <c r="EQ106" s="2108">
        <v>734.59</v>
      </c>
      <c r="ER106" s="2108">
        <v>747.48</v>
      </c>
      <c r="ES106" s="2108">
        <v>759.14</v>
      </c>
      <c r="ET106" s="2108">
        <v>777.15</v>
      </c>
      <c r="EU106" s="2108">
        <v>792.91</v>
      </c>
      <c r="EV106" s="2108">
        <v>802.7</v>
      </c>
      <c r="EW106" s="2108">
        <v>818.46</v>
      </c>
      <c r="EX106" s="2108">
        <v>827.46</v>
      </c>
      <c r="EY106" s="2108">
        <v>840.62</v>
      </c>
      <c r="EZ106" s="2108">
        <v>852.26</v>
      </c>
      <c r="FA106" s="2108">
        <v>893.47</v>
      </c>
      <c r="FB106" s="2108">
        <v>953.29</v>
      </c>
      <c r="FC106" s="2108">
        <v>991.48</v>
      </c>
      <c r="FD106" s="2108">
        <v>1014.94</v>
      </c>
      <c r="FE106" s="2108">
        <v>1033.69</v>
      </c>
      <c r="FF106" s="2108">
        <v>1052.1500000000001</v>
      </c>
      <c r="FG106" s="2108">
        <v>1071.1500000000001</v>
      </c>
      <c r="FH106" s="2108">
        <v>1080.27</v>
      </c>
      <c r="FI106" s="2108">
        <v>1089.29</v>
      </c>
      <c r="FJ106" s="2108">
        <v>1106.3499999999999</v>
      </c>
      <c r="FK106" s="2108">
        <v>1115.67</v>
      </c>
      <c r="FL106" s="2108">
        <v>1134.23</v>
      </c>
      <c r="FM106" s="2108">
        <v>1149.28</v>
      </c>
      <c r="FN106" s="2108">
        <v>1150.04</v>
      </c>
      <c r="FO106" s="2108">
        <v>1178.03</v>
      </c>
      <c r="FP106" s="2108">
        <v>1191.53</v>
      </c>
      <c r="FQ106" s="2108">
        <v>1196.75</v>
      </c>
      <c r="FR106" s="2108">
        <v>1210.8800000000001</v>
      </c>
      <c r="FS106" s="2108">
        <v>1228.3399999999999</v>
      </c>
      <c r="FT106" s="2108">
        <v>1259.17</v>
      </c>
      <c r="FU106" s="2108">
        <v>1273.71</v>
      </c>
      <c r="FV106" s="2108">
        <v>1293.96</v>
      </c>
      <c r="FW106" s="2113">
        <v>1665.0670041930553</v>
      </c>
      <c r="FX106" s="2113">
        <v>1834.6219775793172</v>
      </c>
      <c r="FY106" s="2113">
        <v>100</v>
      </c>
      <c r="FZ106" s="2113">
        <v>107.87756443023682</v>
      </c>
      <c r="GA106" s="2113">
        <v>114.99894807744226</v>
      </c>
      <c r="GB106" s="2113">
        <v>119.03734218569015</v>
      </c>
      <c r="GC106" s="2113">
        <v>125.57083797121871</v>
      </c>
      <c r="GD106" s="2113">
        <v>130.73843393353263</v>
      </c>
      <c r="GE106" s="2113">
        <v>130.73843393353263</v>
      </c>
      <c r="GF106" s="2114">
        <v>132.26237387785412</v>
      </c>
      <c r="GG106" s="1960">
        <v>134.59399935271608</v>
      </c>
      <c r="GH106" s="2114">
        <v>135.39452530525853</v>
      </c>
      <c r="GI106" s="2114">
        <v>143.74160290357005</v>
      </c>
      <c r="GJ106" s="2113">
        <v>143.74160290357005</v>
      </c>
      <c r="GK106" s="2113">
        <v>145.40775714016434</v>
      </c>
      <c r="GL106" s="2113">
        <v>150.43808833812147</v>
      </c>
      <c r="GM106" s="2114">
        <v>151.81836715279869</v>
      </c>
      <c r="GN106" s="2114">
        <v>155.37090921264036</v>
      </c>
      <c r="GO106" s="2115">
        <v>156.15137474069962</v>
      </c>
      <c r="GP106" s="2116">
        <v>156.15137474069962</v>
      </c>
      <c r="GQ106" s="2116">
        <v>156.15137474069962</v>
      </c>
      <c r="GR106" s="2116">
        <v>156.15137474069962</v>
      </c>
      <c r="GS106" s="2116">
        <v>156.15137474069962</v>
      </c>
      <c r="GT106" s="1960">
        <v>156.7879786760316</v>
      </c>
      <c r="GU106" s="1960">
        <v>156.7879786760316</v>
      </c>
      <c r="GV106" s="1960">
        <v>156.7879786760316</v>
      </c>
      <c r="GW106" s="1960">
        <v>161.33300525858354</v>
      </c>
      <c r="GX106" s="1960">
        <v>162.30212553872775</v>
      </c>
      <c r="GY106" s="1960">
        <v>162.30212553872775</v>
      </c>
      <c r="GZ106" s="1960">
        <v>165.00713903672931</v>
      </c>
      <c r="HA106" s="1960">
        <v>190.10589966248253</v>
      </c>
      <c r="HB106" s="1960">
        <v>191.05642825429936</v>
      </c>
      <c r="HC106" s="1960">
        <v>201.55673249720925</v>
      </c>
      <c r="HD106" s="1960">
        <v>202.5644901634503</v>
      </c>
      <c r="HE106" s="1960">
        <v>264.73502965241227</v>
      </c>
      <c r="HF106" s="1960">
        <v>264.73502965241227</v>
      </c>
      <c r="HG106" s="1960">
        <v>264.73502965241227</v>
      </c>
      <c r="HH106" s="2117">
        <v>266.4999403216006</v>
      </c>
      <c r="HI106" s="1960">
        <v>264.73502965241227</v>
      </c>
      <c r="HJ106" s="1960">
        <v>266.4999403216006</v>
      </c>
      <c r="HK106" s="1960">
        <v>270.587011171776</v>
      </c>
      <c r="HL106" s="1960">
        <v>273.29286869894605</v>
      </c>
      <c r="HM106" s="1960">
        <v>273.29286869894605</v>
      </c>
      <c r="HN106" s="1960">
        <v>277.70084283655609</v>
      </c>
      <c r="HO106" s="1960">
        <v>285.57528672565383</v>
      </c>
      <c r="HP106" s="1960">
        <v>328.41157973450186</v>
      </c>
      <c r="HQ106" s="1960">
        <v>328.41157973450186</v>
      </c>
      <c r="HR106" s="1960">
        <v>354.45841667274567</v>
      </c>
      <c r="HS106" s="1960">
        <v>360.36605695062474</v>
      </c>
      <c r="HT106" s="1962">
        <v>384.02487199390492</v>
      </c>
      <c r="HU106" s="1961">
        <v>394.20147864377105</v>
      </c>
      <c r="HV106" s="1960">
        <v>402.44830153924948</v>
      </c>
      <c r="HW106" s="1960">
        <v>402.44830153924948</v>
      </c>
      <c r="HX106" s="1960">
        <v>402.44830153924948</v>
      </c>
      <c r="HY106" s="1960">
        <v>404.69850171559415</v>
      </c>
      <c r="HZ106" s="1960">
        <v>404.69850171559415</v>
      </c>
      <c r="IA106" s="1960">
        <v>404.69850171559415</v>
      </c>
      <c r="IB106" s="1960">
        <v>404.69850171559415</v>
      </c>
      <c r="IC106" s="1960">
        <v>404.69850171559415</v>
      </c>
      <c r="ID106" s="1960">
        <v>404.69850171559415</v>
      </c>
      <c r="IE106" s="1960">
        <v>404.69850171559415</v>
      </c>
      <c r="IF106" s="1960">
        <v>404.70039672637193</v>
      </c>
      <c r="IG106" s="1961">
        <v>429.35667257750833</v>
      </c>
      <c r="IH106" s="1960">
        <v>429.35667257750833</v>
      </c>
      <c r="II106" s="1960">
        <v>429.35667257750833</v>
      </c>
      <c r="IJ106" s="1961">
        <v>429.35667257750833</v>
      </c>
      <c r="IK106" s="1960">
        <v>435.88235108918678</v>
      </c>
      <c r="IL106" s="1960">
        <v>433.43818659107421</v>
      </c>
      <c r="IM106" s="1960">
        <v>434.79269211857991</v>
      </c>
      <c r="IN106" s="1960">
        <v>465.40048015755093</v>
      </c>
      <c r="IO106" s="1960">
        <v>481.15335560992378</v>
      </c>
      <c r="IP106" s="1960">
        <v>483.34953433626998</v>
      </c>
      <c r="IQ106" s="1960">
        <v>490.34456879718448</v>
      </c>
      <c r="IR106" s="1960">
        <v>506.56262249196544</v>
      </c>
      <c r="IS106" s="2274">
        <v>509.52715317243104</v>
      </c>
      <c r="IT106" s="1960">
        <v>517.82547407566619</v>
      </c>
      <c r="IU106" s="1960">
        <v>525.89483915307392</v>
      </c>
      <c r="IV106" s="1960">
        <v>555.60710414324433</v>
      </c>
      <c r="IW106" s="1960">
        <v>579.98755584877131</v>
      </c>
      <c r="IX106" s="1960">
        <v>596.80988579194138</v>
      </c>
      <c r="IY106" s="1960">
        <v>664.01911697232094</v>
      </c>
      <c r="IZ106" s="1960">
        <v>696.01013318363141</v>
      </c>
      <c r="JA106" s="1960">
        <v>709.67862634973744</v>
      </c>
      <c r="JB106" s="1960">
        <v>753.43378025244192</v>
      </c>
      <c r="JC106" s="1960">
        <v>764.12137448501153</v>
      </c>
      <c r="JD106" s="1960">
        <v>830.19315369593164</v>
      </c>
      <c r="JE106" s="2274">
        <v>872.76114331077349</v>
      </c>
      <c r="JF106" s="2117">
        <v>938.08834162883602</v>
      </c>
      <c r="JG106" s="2103">
        <f t="shared" si="13"/>
        <v>1.074851176428693</v>
      </c>
      <c r="JI106" s="2155"/>
      <c r="JJ106" s="2104"/>
    </row>
    <row r="107" spans="2:270" ht="31.5">
      <c r="B107" s="2105">
        <v>85</v>
      </c>
      <c r="C107" s="2106">
        <v>31</v>
      </c>
      <c r="D107" s="2425" t="s">
        <v>1217</v>
      </c>
      <c r="E107" s="2128" t="s">
        <v>227</v>
      </c>
      <c r="F107" s="2106" t="s">
        <v>918</v>
      </c>
      <c r="G107" s="2425"/>
      <c r="H107" s="2106" t="s">
        <v>223</v>
      </c>
      <c r="I107" s="2106" t="s">
        <v>930</v>
      </c>
      <c r="J107" s="2359" t="s">
        <v>422</v>
      </c>
      <c r="K107" s="2425"/>
      <c r="L107" s="2110">
        <v>82.6</v>
      </c>
      <c r="M107" s="2110">
        <v>87.9</v>
      </c>
      <c r="N107" s="2110">
        <v>103.38</v>
      </c>
      <c r="O107" s="2110">
        <v>131.44</v>
      </c>
      <c r="P107" s="2110">
        <v>152.13999999999999</v>
      </c>
      <c r="Q107" s="2110">
        <v>175.65</v>
      </c>
      <c r="R107" s="2110">
        <v>189.43</v>
      </c>
      <c r="S107" s="2110">
        <v>191.25</v>
      </c>
      <c r="T107" s="2110">
        <v>193.04</v>
      </c>
      <c r="U107" s="2110">
        <v>194.91</v>
      </c>
      <c r="V107" s="2110">
        <v>195.4</v>
      </c>
      <c r="W107" s="2110">
        <v>196.8</v>
      </c>
      <c r="X107" s="2110">
        <v>194.25</v>
      </c>
      <c r="Y107" s="2110">
        <v>189.81</v>
      </c>
      <c r="Z107" s="2110">
        <v>182.7</v>
      </c>
      <c r="AA107" s="2110">
        <v>184.89</v>
      </c>
      <c r="AB107" s="2110">
        <v>180.65</v>
      </c>
      <c r="AC107" s="2110">
        <v>178.98</v>
      </c>
      <c r="AD107" s="2110">
        <v>178.4</v>
      </c>
      <c r="AE107" s="2110">
        <v>179.17</v>
      </c>
      <c r="AF107" s="2110">
        <v>182.71</v>
      </c>
      <c r="AG107" s="2110">
        <v>185.31</v>
      </c>
      <c r="AH107" s="2110">
        <v>184.52</v>
      </c>
      <c r="AI107" s="2110">
        <v>188.09</v>
      </c>
      <c r="AJ107" s="2110">
        <v>192.44</v>
      </c>
      <c r="AK107" s="2110">
        <v>196.85</v>
      </c>
      <c r="AL107" s="2110">
        <v>208.68</v>
      </c>
      <c r="AM107" s="2110">
        <v>216.54</v>
      </c>
      <c r="AN107" s="2110">
        <v>217.8</v>
      </c>
      <c r="AO107" s="2110">
        <v>224.15</v>
      </c>
      <c r="AP107" s="2110">
        <v>231.64</v>
      </c>
      <c r="AQ107" s="2110">
        <v>231</v>
      </c>
      <c r="AR107" s="2110">
        <v>234.67</v>
      </c>
      <c r="AS107" s="2110">
        <v>230.66</v>
      </c>
      <c r="AT107" s="2110">
        <v>236.64</v>
      </c>
      <c r="AU107" s="2110">
        <v>241.09</v>
      </c>
      <c r="AV107" s="2110">
        <v>247.71</v>
      </c>
      <c r="AW107" s="2111">
        <v>249.92</v>
      </c>
      <c r="AX107" s="2111">
        <v>248.22</v>
      </c>
      <c r="AY107" s="2111">
        <v>255.21</v>
      </c>
      <c r="AZ107" s="2111">
        <v>258.33999999999997</v>
      </c>
      <c r="BA107" s="2111">
        <v>259.25</v>
      </c>
      <c r="BB107" s="2111">
        <v>258.7</v>
      </c>
      <c r="BC107" s="2111">
        <v>259.3</v>
      </c>
      <c r="BD107" s="2112">
        <v>263.67</v>
      </c>
      <c r="BE107" s="2111">
        <v>268.95</v>
      </c>
      <c r="BF107" s="2112">
        <v>278.06</v>
      </c>
      <c r="BG107" s="2112">
        <v>286.57</v>
      </c>
      <c r="BH107" s="2112">
        <v>292.85000000000002</v>
      </c>
      <c r="BI107" s="2108">
        <v>293.32</v>
      </c>
      <c r="BJ107" s="2108">
        <v>303.76</v>
      </c>
      <c r="BK107" s="2108">
        <v>316.02999999999997</v>
      </c>
      <c r="BL107" s="2108">
        <v>332.95</v>
      </c>
      <c r="BM107" s="2108">
        <v>379.37</v>
      </c>
      <c r="BN107" s="2108">
        <v>387.31</v>
      </c>
      <c r="BO107" s="2108">
        <v>389.56</v>
      </c>
      <c r="BP107" s="2108">
        <v>409.31</v>
      </c>
      <c r="BQ107" s="2108">
        <v>411.43</v>
      </c>
      <c r="BR107" s="2108">
        <v>410.5</v>
      </c>
      <c r="BS107" s="2108">
        <v>401.84</v>
      </c>
      <c r="BT107" s="2108">
        <v>400.51</v>
      </c>
      <c r="BU107" s="2108">
        <v>389.71</v>
      </c>
      <c r="BV107" s="2108">
        <v>383.97</v>
      </c>
      <c r="BW107" s="2108">
        <v>378.05</v>
      </c>
      <c r="BX107" s="2108">
        <v>403.72</v>
      </c>
      <c r="BY107" s="2108">
        <v>413.42</v>
      </c>
      <c r="BZ107" s="2108">
        <v>414.58</v>
      </c>
      <c r="CA107" s="2108">
        <v>423.6</v>
      </c>
      <c r="CB107" s="2108">
        <v>437.31</v>
      </c>
      <c r="CC107" s="2108">
        <v>436.3</v>
      </c>
      <c r="CD107" s="2108">
        <v>440.8</v>
      </c>
      <c r="CE107" s="2108">
        <v>444.16</v>
      </c>
      <c r="CF107" s="2108">
        <v>441.44</v>
      </c>
      <c r="CG107" s="2108">
        <v>442.96</v>
      </c>
      <c r="CH107" s="2108">
        <v>444.34</v>
      </c>
      <c r="CI107" s="2108">
        <v>457.93</v>
      </c>
      <c r="CJ107" s="2108">
        <v>466.34</v>
      </c>
      <c r="CK107" s="2108">
        <v>481.92</v>
      </c>
      <c r="CL107" s="2108">
        <v>476.4</v>
      </c>
      <c r="CM107" s="2108">
        <v>475.55</v>
      </c>
      <c r="CN107" s="2108">
        <v>472.31</v>
      </c>
      <c r="CO107" s="2108">
        <v>472.99</v>
      </c>
      <c r="CP107" s="2108">
        <v>475.91</v>
      </c>
      <c r="CQ107" s="2108">
        <v>445.54</v>
      </c>
      <c r="CR107" s="2108">
        <v>439.47</v>
      </c>
      <c r="CS107" s="2108">
        <v>436.67</v>
      </c>
      <c r="CT107" s="2108">
        <v>424.87</v>
      </c>
      <c r="CU107" s="2108">
        <v>424.2</v>
      </c>
      <c r="CV107" s="2108">
        <v>422.46</v>
      </c>
      <c r="CW107" s="2108">
        <v>425.79</v>
      </c>
      <c r="CX107" s="2108">
        <v>429.43</v>
      </c>
      <c r="CY107" s="2108">
        <v>438.2</v>
      </c>
      <c r="CZ107" s="2108">
        <v>448.9</v>
      </c>
      <c r="DA107" s="2108">
        <v>451.39</v>
      </c>
      <c r="DB107" s="2108">
        <v>461.79</v>
      </c>
      <c r="DC107" s="2108">
        <v>466.13</v>
      </c>
      <c r="DD107" s="2108">
        <v>471.97</v>
      </c>
      <c r="DE107" s="2108">
        <v>488.65</v>
      </c>
      <c r="DF107" s="2108">
        <v>499.4</v>
      </c>
      <c r="DG107" s="2108">
        <v>502.82</v>
      </c>
      <c r="DH107" s="2108">
        <v>512.65</v>
      </c>
      <c r="DI107" s="2108">
        <v>508.02</v>
      </c>
      <c r="DJ107" s="2108">
        <v>506.52</v>
      </c>
      <c r="DK107" s="2108">
        <v>503.13</v>
      </c>
      <c r="DL107" s="2108">
        <v>506.14</v>
      </c>
      <c r="DM107" s="2108">
        <v>512.34</v>
      </c>
      <c r="DN107" s="2108">
        <v>518.01</v>
      </c>
      <c r="DO107" s="2108">
        <v>529.78</v>
      </c>
      <c r="DP107" s="2108">
        <v>537.72</v>
      </c>
      <c r="DQ107" s="2108">
        <v>545.38</v>
      </c>
      <c r="DR107" s="2108">
        <v>554.72</v>
      </c>
      <c r="DS107" s="2108">
        <v>557.63</v>
      </c>
      <c r="DT107" s="2108">
        <v>561.94000000000005</v>
      </c>
      <c r="DU107" s="2108">
        <v>561.16</v>
      </c>
      <c r="DV107" s="2108">
        <v>568.08000000000004</v>
      </c>
      <c r="DW107" s="2108">
        <v>574.70000000000005</v>
      </c>
      <c r="DX107" s="2108">
        <v>578.09</v>
      </c>
      <c r="DY107" s="2108">
        <v>582.83000000000004</v>
      </c>
      <c r="DZ107" s="2108">
        <v>572.48</v>
      </c>
      <c r="EA107" s="2108">
        <v>571</v>
      </c>
      <c r="EB107" s="2108">
        <v>575.94000000000005</v>
      </c>
      <c r="EC107" s="2108">
        <v>573.88</v>
      </c>
      <c r="ED107" s="2108">
        <v>579.24</v>
      </c>
      <c r="EE107" s="2108">
        <v>587.03</v>
      </c>
      <c r="EF107" s="2108">
        <v>588.51</v>
      </c>
      <c r="EG107" s="2108">
        <v>591.65</v>
      </c>
      <c r="EH107" s="2108">
        <v>594.54999999999995</v>
      </c>
      <c r="EI107" s="2108">
        <v>598.32000000000005</v>
      </c>
      <c r="EJ107" s="2108">
        <v>602.59</v>
      </c>
      <c r="EK107" s="2108">
        <v>617.04</v>
      </c>
      <c r="EL107" s="2108">
        <v>626.17999999999995</v>
      </c>
      <c r="EM107" s="2108">
        <v>633.75</v>
      </c>
      <c r="EN107" s="2108">
        <v>643.09</v>
      </c>
      <c r="EO107" s="2108">
        <v>646.15</v>
      </c>
      <c r="EP107" s="2108">
        <v>657.32</v>
      </c>
      <c r="EQ107" s="2108">
        <v>670.1</v>
      </c>
      <c r="ER107" s="2108">
        <v>673.85</v>
      </c>
      <c r="ES107" s="2108">
        <v>677.96</v>
      </c>
      <c r="ET107" s="2108">
        <v>685.3</v>
      </c>
      <c r="EU107" s="2108">
        <v>699.37</v>
      </c>
      <c r="EV107" s="2108">
        <v>709.54</v>
      </c>
      <c r="EW107" s="2108">
        <v>716.94</v>
      </c>
      <c r="EX107" s="2108">
        <v>727.78</v>
      </c>
      <c r="EY107" s="2108">
        <v>738.23</v>
      </c>
      <c r="EZ107" s="2108">
        <v>755.17</v>
      </c>
      <c r="FA107" s="2108">
        <v>792.26</v>
      </c>
      <c r="FB107" s="2108">
        <v>829.4</v>
      </c>
      <c r="FC107" s="2108">
        <v>885.25</v>
      </c>
      <c r="FD107" s="2108">
        <v>891.33</v>
      </c>
      <c r="FE107" s="2108">
        <v>892.76</v>
      </c>
      <c r="FF107" s="2108">
        <v>898.28</v>
      </c>
      <c r="FG107" s="2108">
        <v>907.2</v>
      </c>
      <c r="FH107" s="2108">
        <v>921.39</v>
      </c>
      <c r="FI107" s="2108">
        <v>930.2</v>
      </c>
      <c r="FJ107" s="2108">
        <v>942.12</v>
      </c>
      <c r="FK107" s="2108">
        <v>940.47</v>
      </c>
      <c r="FL107" s="2108">
        <v>943.79</v>
      </c>
      <c r="FM107" s="2108">
        <v>954.29</v>
      </c>
      <c r="FN107" s="2108">
        <v>958.08</v>
      </c>
      <c r="FO107" s="2108">
        <v>973.4</v>
      </c>
      <c r="FP107" s="2108">
        <v>970.01</v>
      </c>
      <c r="FQ107" s="2108">
        <v>979.26</v>
      </c>
      <c r="FR107" s="2108">
        <v>979.39</v>
      </c>
      <c r="FS107" s="2108">
        <v>982.93</v>
      </c>
      <c r="FT107" s="2108">
        <v>986.23</v>
      </c>
      <c r="FU107" s="2108">
        <v>995.32</v>
      </c>
      <c r="FV107" s="2108">
        <v>1023.73</v>
      </c>
      <c r="FW107" s="2113" t="s">
        <v>521</v>
      </c>
      <c r="FX107" s="2113" t="s">
        <v>521</v>
      </c>
      <c r="FY107" s="2113" t="s">
        <v>521</v>
      </c>
      <c r="FZ107" s="2113" t="s">
        <v>521</v>
      </c>
      <c r="GA107" s="2113" t="s">
        <v>521</v>
      </c>
      <c r="GB107" s="2113" t="s">
        <v>521</v>
      </c>
      <c r="GC107" s="2113" t="s">
        <v>521</v>
      </c>
      <c r="GD107" s="2113" t="s">
        <v>521</v>
      </c>
      <c r="GE107" s="2113" t="s">
        <v>521</v>
      </c>
      <c r="GF107" s="2114" t="s">
        <v>521</v>
      </c>
      <c r="GG107" s="1960" t="s">
        <v>521</v>
      </c>
      <c r="GH107" s="2114" t="s">
        <v>521</v>
      </c>
      <c r="GI107" s="2114" t="s">
        <v>521</v>
      </c>
      <c r="GJ107" s="2113" t="s">
        <v>521</v>
      </c>
      <c r="GK107" s="2113" t="s">
        <v>521</v>
      </c>
      <c r="GL107" s="2113" t="s">
        <v>521</v>
      </c>
      <c r="GM107" s="2114" t="s">
        <v>521</v>
      </c>
      <c r="GN107" s="2114" t="s">
        <v>521</v>
      </c>
      <c r="GO107" s="2115" t="s">
        <v>521</v>
      </c>
      <c r="GP107" s="2116" t="s">
        <v>521</v>
      </c>
      <c r="GQ107" s="2116" t="s">
        <v>521</v>
      </c>
      <c r="GR107" s="2116" t="s">
        <v>521</v>
      </c>
      <c r="GS107" s="2116" t="s">
        <v>521</v>
      </c>
      <c r="GT107" s="1960" t="s">
        <v>521</v>
      </c>
      <c r="GU107" s="1960" t="s">
        <v>521</v>
      </c>
      <c r="GV107" s="1960" t="s">
        <v>521</v>
      </c>
      <c r="GW107" s="1960" t="s">
        <v>521</v>
      </c>
      <c r="GX107" s="1960" t="s">
        <v>521</v>
      </c>
      <c r="GY107" s="1960" t="s">
        <v>521</v>
      </c>
      <c r="GZ107" s="1960">
        <v>100</v>
      </c>
      <c r="HA107" s="1960">
        <v>101.86471285822054</v>
      </c>
      <c r="HB107" s="1960">
        <v>103.50851086071961</v>
      </c>
      <c r="HC107" s="1960">
        <v>110.01684343410281</v>
      </c>
      <c r="HD107" s="1960">
        <v>111.94696349435023</v>
      </c>
      <c r="HE107" s="1960">
        <v>121.14257459524316</v>
      </c>
      <c r="HF107" s="1960">
        <v>121.14378495690929</v>
      </c>
      <c r="HG107" s="1960">
        <v>122.03484012827548</v>
      </c>
      <c r="HH107" s="1960">
        <v>117.31368301998191</v>
      </c>
      <c r="HI107" s="1960">
        <v>104.77549881498481</v>
      </c>
      <c r="HJ107" s="1960">
        <v>110.0945000871745</v>
      </c>
      <c r="HK107" s="1960">
        <v>110.09450418435095</v>
      </c>
      <c r="HL107" s="1960">
        <v>113.21133253623371</v>
      </c>
      <c r="HM107" s="1960">
        <v>114.38959314776747</v>
      </c>
      <c r="HN107" s="1960">
        <v>130.79843224075287</v>
      </c>
      <c r="HO107" s="1960">
        <v>135.23617248596696</v>
      </c>
      <c r="HP107" s="1960">
        <v>150.93911437073012</v>
      </c>
      <c r="HQ107" s="1960">
        <v>180.38158066744992</v>
      </c>
      <c r="HR107" s="1960">
        <v>183.23651057695105</v>
      </c>
      <c r="HS107" s="1960">
        <v>202.8229648059102</v>
      </c>
      <c r="HT107" s="1962">
        <v>203.25448864146466</v>
      </c>
      <c r="HU107" s="1961">
        <v>215.98717415158617</v>
      </c>
      <c r="HV107" s="1960">
        <v>224.06607705956785</v>
      </c>
      <c r="HW107" s="1960">
        <v>224.06607705956785</v>
      </c>
      <c r="HX107" s="1960">
        <v>224.06607705956785</v>
      </c>
      <c r="HY107" s="1960">
        <v>224.06607705956785</v>
      </c>
      <c r="HZ107" s="1960">
        <v>227.43416973952822</v>
      </c>
      <c r="IA107" s="1960">
        <v>233.63623580763135</v>
      </c>
      <c r="IB107" s="1960">
        <v>236.54626835093796</v>
      </c>
      <c r="IC107" s="1960">
        <v>237.10065126733039</v>
      </c>
      <c r="ID107" s="1960">
        <v>241.20779370340037</v>
      </c>
      <c r="IE107" s="1960">
        <v>267.66860389186911</v>
      </c>
      <c r="IF107" s="1960">
        <v>272.12910401055751</v>
      </c>
      <c r="IG107" s="1961">
        <v>286.27981741910651</v>
      </c>
      <c r="IH107" s="1960">
        <v>286.27981741910651</v>
      </c>
      <c r="II107" s="1960">
        <v>313.04686240369273</v>
      </c>
      <c r="IJ107" s="1961">
        <v>315.22193123036897</v>
      </c>
      <c r="IK107" s="1960">
        <v>322.84561830495267</v>
      </c>
      <c r="IL107" s="1960">
        <v>330.31500406335755</v>
      </c>
      <c r="IM107" s="1960">
        <v>332.83028745730638</v>
      </c>
      <c r="IN107" s="1960">
        <v>333.30411674670074</v>
      </c>
      <c r="IO107" s="1960">
        <v>330.98931965589492</v>
      </c>
      <c r="IP107" s="1960">
        <v>353.09152802079359</v>
      </c>
      <c r="IQ107" s="1960">
        <v>351.73271353530765</v>
      </c>
      <c r="IR107" s="1960">
        <v>365.23217465870255</v>
      </c>
      <c r="IS107" s="2274">
        <v>364.72048647700336</v>
      </c>
      <c r="IT107" s="1960">
        <v>377.03568692640198</v>
      </c>
      <c r="IU107" s="1960">
        <v>386.5703793951451</v>
      </c>
      <c r="IV107" s="1960">
        <v>386.5703793951451</v>
      </c>
      <c r="IW107" s="1960">
        <v>400.88311599254627</v>
      </c>
      <c r="IX107" s="1960">
        <v>403.34604119743034</v>
      </c>
      <c r="IY107" s="1960">
        <v>633.94316735883092</v>
      </c>
      <c r="IZ107" s="1960">
        <v>634.00375278380159</v>
      </c>
      <c r="JA107" s="1960">
        <v>809.73460039079271</v>
      </c>
      <c r="JB107" s="1960">
        <v>876.75533284771677</v>
      </c>
      <c r="JC107" s="1960">
        <v>876.74981987949923</v>
      </c>
      <c r="JD107" s="1960">
        <v>877.749819879499</v>
      </c>
      <c r="JE107" s="2274">
        <v>1174.2777835447425</v>
      </c>
      <c r="JF107" s="2117">
        <v>1259.4511622313523</v>
      </c>
      <c r="JG107" s="2103">
        <f t="shared" si="13"/>
        <v>1.0725325641685057</v>
      </c>
      <c r="JI107" s="2155"/>
      <c r="JJ107" s="2104"/>
    </row>
    <row r="108" spans="2:270" ht="33.75" customHeight="1">
      <c r="B108" s="2105">
        <v>86</v>
      </c>
      <c r="C108" s="2106"/>
      <c r="D108" s="2425"/>
      <c r="E108" s="2128" t="s">
        <v>228</v>
      </c>
      <c r="F108" s="2106" t="s">
        <v>918</v>
      </c>
      <c r="G108" s="2425" t="s">
        <v>1264</v>
      </c>
      <c r="H108" s="2106" t="s">
        <v>1040</v>
      </c>
      <c r="I108" s="2106" t="s">
        <v>930</v>
      </c>
      <c r="J108" s="2359" t="s">
        <v>197</v>
      </c>
      <c r="K108" s="2425" t="s">
        <v>1041</v>
      </c>
      <c r="L108" s="2409">
        <v>96.16</v>
      </c>
      <c r="M108" s="2409">
        <v>102.41</v>
      </c>
      <c r="N108" s="2409">
        <v>113.89</v>
      </c>
      <c r="O108" s="2409">
        <v>125.37</v>
      </c>
      <c r="P108" s="2409">
        <v>133.56</v>
      </c>
      <c r="Q108" s="2409">
        <v>159.34</v>
      </c>
      <c r="R108" s="2409">
        <v>174.27</v>
      </c>
      <c r="S108" s="2409">
        <v>177.79</v>
      </c>
      <c r="T108" s="2409">
        <v>179.03</v>
      </c>
      <c r="U108" s="2409">
        <v>179.21</v>
      </c>
      <c r="V108" s="2409">
        <v>180.08</v>
      </c>
      <c r="W108" s="2409">
        <v>183.19</v>
      </c>
      <c r="X108" s="2409">
        <v>181.75</v>
      </c>
      <c r="Y108" s="2409">
        <v>179.75</v>
      </c>
      <c r="Z108" s="2409">
        <v>178.21</v>
      </c>
      <c r="AA108" s="2409">
        <v>178.79</v>
      </c>
      <c r="AB108" s="2409">
        <v>177.8</v>
      </c>
      <c r="AC108" s="2409">
        <v>177.01</v>
      </c>
      <c r="AD108" s="2409">
        <v>176.74</v>
      </c>
      <c r="AE108" s="2409">
        <v>177.32</v>
      </c>
      <c r="AF108" s="2409">
        <v>177.84</v>
      </c>
      <c r="AG108" s="2409">
        <v>176.99</v>
      </c>
      <c r="AH108" s="2409">
        <v>176.61</v>
      </c>
      <c r="AI108" s="2409">
        <v>177.07</v>
      </c>
      <c r="AJ108" s="2409">
        <v>178.31</v>
      </c>
      <c r="AK108" s="2409">
        <v>179.53</v>
      </c>
      <c r="AL108" s="2409">
        <v>183.2</v>
      </c>
      <c r="AM108" s="2409">
        <v>187.02</v>
      </c>
      <c r="AN108" s="2409">
        <v>189.58</v>
      </c>
      <c r="AO108" s="2409">
        <v>191.94</v>
      </c>
      <c r="AP108" s="2409">
        <v>194.23</v>
      </c>
      <c r="AQ108" s="2409">
        <v>194.62</v>
      </c>
      <c r="AR108" s="2409">
        <v>195.96</v>
      </c>
      <c r="AS108" s="2409">
        <v>197.29</v>
      </c>
      <c r="AT108" s="2409">
        <v>198.53</v>
      </c>
      <c r="AU108" s="2409">
        <v>199.67</v>
      </c>
      <c r="AV108" s="2409">
        <v>202.07</v>
      </c>
      <c r="AW108" s="2410">
        <v>195.51</v>
      </c>
      <c r="AX108" s="2410">
        <v>209.24</v>
      </c>
      <c r="AY108" s="2410">
        <v>211.66</v>
      </c>
      <c r="AZ108" s="2410">
        <v>213.48</v>
      </c>
      <c r="BA108" s="2410">
        <v>214.66</v>
      </c>
      <c r="BB108" s="2410">
        <v>215.77</v>
      </c>
      <c r="BC108" s="2410">
        <v>218.33</v>
      </c>
      <c r="BD108" s="2411">
        <v>219.75</v>
      </c>
      <c r="BE108" s="2410">
        <v>222.96</v>
      </c>
      <c r="BF108" s="2411">
        <v>225.73</v>
      </c>
      <c r="BG108" s="2411">
        <v>226.17</v>
      </c>
      <c r="BH108" s="2411">
        <v>230.75</v>
      </c>
      <c r="BI108" s="2412">
        <v>234.31</v>
      </c>
      <c r="BJ108" s="2412">
        <v>235.93</v>
      </c>
      <c r="BK108" s="2412">
        <v>238.18</v>
      </c>
      <c r="BL108" s="2412">
        <v>239.48</v>
      </c>
      <c r="BM108" s="2412">
        <v>241.79</v>
      </c>
      <c r="BN108" s="2412">
        <v>245.25</v>
      </c>
      <c r="BO108" s="2412">
        <v>248.01</v>
      </c>
      <c r="BP108" s="2412">
        <v>251.87</v>
      </c>
      <c r="BQ108" s="2412">
        <v>254.65</v>
      </c>
      <c r="BR108" s="2412">
        <v>255.77</v>
      </c>
      <c r="BS108" s="2412">
        <v>255.88</v>
      </c>
      <c r="BT108" s="2412">
        <v>256.83</v>
      </c>
      <c r="BU108" s="2412">
        <v>257.47000000000003</v>
      </c>
      <c r="BV108" s="2412">
        <v>260.14999999999998</v>
      </c>
      <c r="BW108" s="2412">
        <v>262.92</v>
      </c>
      <c r="BX108" s="2412">
        <v>266.02999999999997</v>
      </c>
      <c r="BY108" s="2412">
        <v>269.98</v>
      </c>
      <c r="BZ108" s="2412">
        <v>276.5</v>
      </c>
      <c r="CA108" s="2412">
        <v>278.31</v>
      </c>
      <c r="CB108" s="2412">
        <v>285.3</v>
      </c>
      <c r="CC108" s="2412">
        <v>287.25</v>
      </c>
      <c r="CD108" s="2412">
        <v>290.82</v>
      </c>
      <c r="CE108" s="2412">
        <v>294.52</v>
      </c>
      <c r="CF108" s="2412">
        <v>297.51</v>
      </c>
      <c r="CG108" s="2412">
        <v>302.06</v>
      </c>
      <c r="CH108" s="2412">
        <v>305.85000000000002</v>
      </c>
      <c r="CI108" s="2412">
        <v>311.14999999999998</v>
      </c>
      <c r="CJ108" s="2412">
        <v>316.32</v>
      </c>
      <c r="CK108" s="2412">
        <v>318.14</v>
      </c>
      <c r="CL108" s="2412">
        <v>325.26</v>
      </c>
      <c r="CM108" s="2412">
        <v>330.42</v>
      </c>
      <c r="CN108" s="2412">
        <v>333.56</v>
      </c>
      <c r="CO108" s="2412">
        <v>336.4</v>
      </c>
      <c r="CP108" s="2412">
        <v>339.07</v>
      </c>
      <c r="CQ108" s="2412">
        <v>341.77</v>
      </c>
      <c r="CR108" s="2412">
        <v>342.65</v>
      </c>
      <c r="CS108" s="2412">
        <v>344.18</v>
      </c>
      <c r="CT108" s="2412">
        <v>344.29</v>
      </c>
      <c r="CU108" s="2412">
        <v>345.6</v>
      </c>
      <c r="CV108" s="2412">
        <v>347.1</v>
      </c>
      <c r="CW108" s="2412">
        <v>351.16</v>
      </c>
      <c r="CX108" s="2412">
        <v>353.79</v>
      </c>
      <c r="CY108" s="2412">
        <v>355.96</v>
      </c>
      <c r="CZ108" s="2412">
        <v>358.57</v>
      </c>
      <c r="DA108" s="2412">
        <v>360.64</v>
      </c>
      <c r="DB108" s="2412">
        <v>366.56</v>
      </c>
      <c r="DC108" s="2412">
        <v>370.8</v>
      </c>
      <c r="DD108" s="2412">
        <v>372.58</v>
      </c>
      <c r="DE108" s="2412">
        <v>375.32</v>
      </c>
      <c r="DF108" s="2412">
        <v>381.66</v>
      </c>
      <c r="DG108" s="2412">
        <v>387.71</v>
      </c>
      <c r="DH108" s="2412">
        <v>393.72</v>
      </c>
      <c r="DI108" s="2412">
        <v>400.1</v>
      </c>
      <c r="DJ108" s="2412">
        <v>406.34</v>
      </c>
      <c r="DK108" s="2412">
        <v>409.68</v>
      </c>
      <c r="DL108" s="2412">
        <v>413.44</v>
      </c>
      <c r="DM108" s="2412">
        <v>418.29</v>
      </c>
      <c r="DN108" s="2412">
        <v>423.56</v>
      </c>
      <c r="DO108" s="2412">
        <v>428.2</v>
      </c>
      <c r="DP108" s="2412">
        <v>433.09</v>
      </c>
      <c r="DQ108" s="2412">
        <v>436.64</v>
      </c>
      <c r="DR108" s="2412">
        <v>441.57</v>
      </c>
      <c r="DS108" s="2412">
        <v>445.29</v>
      </c>
      <c r="DT108" s="2412">
        <v>451.31</v>
      </c>
      <c r="DU108" s="2412">
        <v>460.7</v>
      </c>
      <c r="DV108" s="2412">
        <v>469.05</v>
      </c>
      <c r="DW108" s="2412">
        <v>477.92</v>
      </c>
      <c r="DX108" s="2412">
        <v>480.47</v>
      </c>
      <c r="DY108" s="2412">
        <v>490.71</v>
      </c>
      <c r="DZ108" s="2412">
        <v>498.65</v>
      </c>
      <c r="EA108" s="2412">
        <v>505.93</v>
      </c>
      <c r="EB108" s="2412">
        <v>513.14</v>
      </c>
      <c r="EC108" s="2412">
        <v>512.16999999999996</v>
      </c>
      <c r="ED108" s="2412">
        <v>518.04</v>
      </c>
      <c r="EE108" s="2412">
        <v>521.73</v>
      </c>
      <c r="EF108" s="2412">
        <v>524.71</v>
      </c>
      <c r="EG108" s="2412">
        <v>535.71</v>
      </c>
      <c r="EH108" s="2412">
        <v>541.21</v>
      </c>
      <c r="EI108" s="2412">
        <v>549.09</v>
      </c>
      <c r="EJ108" s="2412">
        <v>553.22</v>
      </c>
      <c r="EK108" s="2412">
        <v>559.66</v>
      </c>
      <c r="EL108" s="2412">
        <v>567.66999999999996</v>
      </c>
      <c r="EM108" s="2412">
        <v>575.41</v>
      </c>
      <c r="EN108" s="2412">
        <v>582.27</v>
      </c>
      <c r="EO108" s="2412">
        <v>585.5</v>
      </c>
      <c r="EP108" s="2412">
        <v>590.44000000000005</v>
      </c>
      <c r="EQ108" s="2412">
        <v>595.26</v>
      </c>
      <c r="ER108" s="2412">
        <v>603.30999999999995</v>
      </c>
      <c r="ES108" s="2412">
        <v>610.41</v>
      </c>
      <c r="ET108" s="2412">
        <v>620.32000000000005</v>
      </c>
      <c r="EU108" s="2412">
        <v>633.65</v>
      </c>
      <c r="EV108" s="2412">
        <v>641.38</v>
      </c>
      <c r="EW108" s="2412">
        <v>649.63</v>
      </c>
      <c r="EX108" s="2412">
        <v>655.08000000000004</v>
      </c>
      <c r="EY108" s="2412">
        <v>661.61</v>
      </c>
      <c r="EZ108" s="2412">
        <v>671.05</v>
      </c>
      <c r="FA108" s="2412">
        <v>699.99</v>
      </c>
      <c r="FB108" s="2412">
        <v>747.93</v>
      </c>
      <c r="FC108" s="2412">
        <v>771.14</v>
      </c>
      <c r="FD108" s="2412">
        <v>792.06</v>
      </c>
      <c r="FE108" s="2412">
        <v>801.54</v>
      </c>
      <c r="FF108" s="2412">
        <v>816.81</v>
      </c>
      <c r="FG108" s="2412">
        <v>833.98</v>
      </c>
      <c r="FH108" s="2412">
        <v>850.7</v>
      </c>
      <c r="FI108" s="2412">
        <v>858.46</v>
      </c>
      <c r="FJ108" s="2412">
        <v>867.8</v>
      </c>
      <c r="FK108" s="2412">
        <v>879.55</v>
      </c>
      <c r="FL108" s="2412">
        <v>891.27</v>
      </c>
      <c r="FM108" s="2412">
        <v>903.12</v>
      </c>
      <c r="FN108" s="2412">
        <v>907.26</v>
      </c>
      <c r="FO108" s="2412">
        <v>926.46</v>
      </c>
      <c r="FP108" s="2412">
        <v>933.82</v>
      </c>
      <c r="FQ108" s="2412">
        <v>952.35</v>
      </c>
      <c r="FR108" s="2412">
        <v>969.41</v>
      </c>
      <c r="FS108" s="2412">
        <v>980.58</v>
      </c>
      <c r="FT108" s="2412">
        <v>1009.52</v>
      </c>
      <c r="FU108" s="2412">
        <v>1027.55</v>
      </c>
      <c r="FV108" s="2412">
        <v>1040.8699999999999</v>
      </c>
      <c r="FW108" s="2413">
        <f>+EQUIPOS!E44</f>
        <v>100</v>
      </c>
      <c r="FX108" s="2413">
        <f>+EQUIPOS!F44</f>
        <v>100</v>
      </c>
      <c r="FY108" s="2416">
        <f>+EQUIPOS!G44</f>
        <v>100</v>
      </c>
      <c r="FZ108" s="2417">
        <f>+EQUIPOS!H44</f>
        <v>111.08528791657477</v>
      </c>
      <c r="GA108" s="2417">
        <f>+EQUIPOS!I44</f>
        <v>114.39970087137525</v>
      </c>
      <c r="GB108" s="2417">
        <f>+EQUIPOS!J44</f>
        <v>113.32795609768722</v>
      </c>
      <c r="GC108" s="2417">
        <f>+EQUIPOS!K44</f>
        <v>115.28070604648313</v>
      </c>
      <c r="GD108" s="2417">
        <f>+EQUIPOS!L44</f>
        <v>116.49813867674941</v>
      </c>
      <c r="GE108" s="2417">
        <f>+EQUIPOS!M44</f>
        <v>116.27802565095585</v>
      </c>
      <c r="GF108" s="2417">
        <f>+EQUIPOS!N44</f>
        <v>115.53835149539964</v>
      </c>
      <c r="GG108" s="2417">
        <f>+EQUIPOS!O44</f>
        <v>115.82372324680495</v>
      </c>
      <c r="GH108" s="2417">
        <f>+EQUIPOS!P44</f>
        <v>118.8821127380359</v>
      </c>
      <c r="GI108" s="2417">
        <f>+EQUIPOS!Q44</f>
        <v>117.92712742220766</v>
      </c>
      <c r="GJ108" s="2417">
        <f>+EQUIPOS!R44</f>
        <v>118.48034598257281</v>
      </c>
      <c r="GK108" s="2417">
        <f>+EQUIPOS!S44</f>
        <v>121.40933293945226</v>
      </c>
      <c r="GL108" s="2417">
        <f>+EQUIPOS!T44</f>
        <v>122.63439277671415</v>
      </c>
      <c r="GM108" s="2417">
        <f>+EQUIPOS!U44</f>
        <v>122.52838364722552</v>
      </c>
      <c r="GN108" s="2417">
        <f>+EQUIPOS!V44</f>
        <v>122.71870423873</v>
      </c>
      <c r="GO108" s="2417">
        <f>+EQUIPOS!W44</f>
        <v>124.82128481920907</v>
      </c>
      <c r="GP108" s="2417">
        <f>+EQUIPOS!X44</f>
        <v>123.16733666959612</v>
      </c>
      <c r="GQ108" s="2417">
        <f>+EQUIPOS!Y44</f>
        <v>124.59342032269537</v>
      </c>
      <c r="GR108" s="2417">
        <f>+EQUIPOS!Z44</f>
        <v>124.60187700880959</v>
      </c>
      <c r="GS108" s="2417">
        <f>+EQUIPOS!AA44</f>
        <v>124.55889803955503</v>
      </c>
      <c r="GT108" s="2417">
        <f>+EQUIPOS!AB44</f>
        <v>125.60670332180548</v>
      </c>
      <c r="GU108" s="2417">
        <f>+EQUIPOS!AC44</f>
        <v>126.05438801721517</v>
      </c>
      <c r="GV108" s="2417">
        <f>+EQUIPOS!AD44</f>
        <v>126.63284944302676</v>
      </c>
      <c r="GW108" s="2417">
        <f>+EQUIPOS!AE44</f>
        <v>128.04608239428094</v>
      </c>
      <c r="GX108" s="2417">
        <f>+EQUIPOS!AF44</f>
        <v>129.10124213407232</v>
      </c>
      <c r="GY108" s="2417">
        <f>+EQUIPOS!AG44</f>
        <v>129.92601585022436</v>
      </c>
      <c r="GZ108" s="2417">
        <f>+EQUIPOS!AH44</f>
        <v>131.43043904350654</v>
      </c>
      <c r="HA108" s="2417">
        <f>+EQUIPOS!AI44</f>
        <v>146.00825639135257</v>
      </c>
      <c r="HB108" s="2417">
        <f>+EQUIPOS!AJ44</f>
        <v>148.75681212121711</v>
      </c>
      <c r="HC108" s="2417">
        <f>+EQUIPOS!AK44</f>
        <v>156.79188263791545</v>
      </c>
      <c r="HD108" s="2417">
        <f>+EQUIPOS!AL44</f>
        <v>160.99634539307809</v>
      </c>
      <c r="HE108" s="2417">
        <f>+EQUIPOS!AM44</f>
        <v>176.32041641959398</v>
      </c>
      <c r="HF108" s="2417">
        <f>+EQUIPOS!AN44</f>
        <v>183.96160432565182</v>
      </c>
      <c r="HG108" s="2417">
        <f>+EQUIPOS!AO44</f>
        <v>181.43311793823483</v>
      </c>
      <c r="HH108" s="2417">
        <f>+EQUIPOS!AP44</f>
        <v>185.4420359367017</v>
      </c>
      <c r="HI108" s="2417">
        <f>+EQUIPOS!AQ44</f>
        <v>148.16963664669134</v>
      </c>
      <c r="HJ108" s="2417">
        <f>+EQUIPOS!AR44</f>
        <v>151.42472400770416</v>
      </c>
      <c r="HK108" s="2417">
        <f>+EQUIPOS!AS44</f>
        <v>155.03958396656267</v>
      </c>
      <c r="HL108" s="2417">
        <f>+EQUIPOS!AT44</f>
        <v>157.51409245775454</v>
      </c>
      <c r="HM108" s="2417">
        <f>+EQUIPOS!AU44</f>
        <v>160.00385452643923</v>
      </c>
      <c r="HN108" s="2417">
        <f>+EQUIPOS!AV44</f>
        <v>160.60651365836054</v>
      </c>
      <c r="HO108" s="2417">
        <f>+EQUIPOS!AW44</f>
        <v>157.40637265509324</v>
      </c>
      <c r="HP108" s="2417">
        <f>+EQUIPOS!AX44</f>
        <v>179.56391619433705</v>
      </c>
      <c r="HQ108" s="2417">
        <f>+EQUIPOS!AY44</f>
        <v>197.51708159502721</v>
      </c>
      <c r="HR108" s="2417">
        <f>+EQUIPOS!AZ44</f>
        <v>205.14818877497117</v>
      </c>
      <c r="HS108" s="2417">
        <f>+EQUIPOS!BA44</f>
        <v>214.50871939136587</v>
      </c>
      <c r="HT108" s="2417">
        <f>+EQUIPOS!BB44</f>
        <v>215.28875109824358</v>
      </c>
      <c r="HU108" s="2417">
        <f>+EQUIPOS!BC44</f>
        <v>217.94773225529619</v>
      </c>
      <c r="HV108" s="2417">
        <f>+EQUIPOS!BD44</f>
        <v>210.88963896377751</v>
      </c>
      <c r="HW108" s="2417">
        <f>+EQUIPOS!BE44</f>
        <v>213.22419846095391</v>
      </c>
      <c r="HX108" s="2417">
        <f>+EQUIPOS!BF44</f>
        <v>217.50378511838264</v>
      </c>
      <c r="HY108" s="2417">
        <f>+EQUIPOS!BG44</f>
        <v>224.33191669503671</v>
      </c>
      <c r="HZ108" s="2417">
        <f>+EQUIPOS!BH44</f>
        <v>227.72117212353899</v>
      </c>
      <c r="IA108" s="2417">
        <f>+EQUIPOS!BI44</f>
        <v>237.59342034308014</v>
      </c>
      <c r="IB108" s="2417">
        <f>+EQUIPOS!BJ44</f>
        <v>233.07257634854111</v>
      </c>
      <c r="IC108" s="2417">
        <f>+EQUIPOS!BK44</f>
        <v>243.41749316924015</v>
      </c>
      <c r="ID108" s="2417">
        <f>+EQUIPOS!BL44</f>
        <v>254.14964052989757</v>
      </c>
      <c r="IE108" s="2417">
        <f>+EQUIPOS!BM44</f>
        <v>260.9866702203185</v>
      </c>
      <c r="IF108" s="2417">
        <f>+EQUIPOS!BN44</f>
        <v>269.75483884330055</v>
      </c>
      <c r="IG108" s="2417">
        <f>+EQUIPOS!BO44</f>
        <v>295.75313016629065</v>
      </c>
      <c r="IH108" s="2417">
        <f>+EQUIPOS!BP44</f>
        <v>309.8229060913564</v>
      </c>
      <c r="II108" s="2417">
        <f>+EQUIPOS!BQ44</f>
        <v>322.66594066028659</v>
      </c>
      <c r="IJ108" s="2417">
        <f>+EQUIPOS!BR44</f>
        <v>334.49740231035508</v>
      </c>
      <c r="IK108" s="2417">
        <f>+EQUIPOS!BS44</f>
        <v>341.08882746437041</v>
      </c>
      <c r="IL108" s="2417">
        <f>+EQUIPOS!BT44</f>
        <v>346.73969855209714</v>
      </c>
      <c r="IM108" s="2417">
        <f>+EQUIPOS!BU44</f>
        <v>358.42955358520578</v>
      </c>
      <c r="IN108" s="2417">
        <f>+EQUIPOS!BV44</f>
        <v>366.55982546121379</v>
      </c>
      <c r="IO108" s="2417">
        <f>+EQUIPOS!BW44</f>
        <v>380.47692630894232</v>
      </c>
      <c r="IP108" s="2417">
        <f>+EQUIPOS!BX44</f>
        <v>387.28172102253552</v>
      </c>
      <c r="IQ108" s="2417">
        <f>+EQUIPOS!BY44</f>
        <v>396.23869369417099</v>
      </c>
      <c r="IR108" s="2417">
        <f>+EQUIPOS!BZ44</f>
        <v>409.43577142061281</v>
      </c>
      <c r="IS108" s="2417">
        <f>+EQUIPOS!CA44</f>
        <v>422.05689719665645</v>
      </c>
      <c r="IT108" s="2417">
        <f>+EQUIPOS!CB44</f>
        <v>443.34458368098427</v>
      </c>
      <c r="IU108" s="2417">
        <f>+EQUIPOS!CC44</f>
        <v>460.29509983485121</v>
      </c>
      <c r="IV108" s="2417">
        <f>+EQUIPOS!CD44</f>
        <v>489.73293934992853</v>
      </c>
      <c r="IW108" s="2417">
        <f>+EQUIPOS!CE44</f>
        <v>508.66163946424035</v>
      </c>
      <c r="IX108" s="2417">
        <f>+EQUIPOS!CF44</f>
        <v>541.17059972812888</v>
      </c>
      <c r="IY108" s="2417">
        <f>+EQUIPOS!CG44</f>
        <v>571.08538851696767</v>
      </c>
      <c r="IZ108" s="2417">
        <f>+EQUIPOS!CH44</f>
        <v>611.64621740831069</v>
      </c>
      <c r="JA108" s="2417">
        <f>+EQUIPOS!CI44</f>
        <v>644.34936560119661</v>
      </c>
      <c r="JB108" s="2417">
        <f>+EQUIPOS!CJ44</f>
        <v>684.4011474982434</v>
      </c>
      <c r="JC108" s="2417">
        <f>+EQUIPOS!CK44</f>
        <v>717.05616031737065</v>
      </c>
      <c r="JD108" s="2415">
        <f>+EQUIPOS!CL44</f>
        <v>779.71949166850902</v>
      </c>
      <c r="JE108" s="2422">
        <f>+EQUIPOS!CM44</f>
        <v>840.11272220898559</v>
      </c>
      <c r="JF108" s="2418">
        <f>+EQUIPOS!CN44</f>
        <v>887.77305273427589</v>
      </c>
      <c r="JG108" s="2103">
        <f t="shared" si="13"/>
        <v>1.0567308758281539</v>
      </c>
      <c r="JI108" s="2155"/>
      <c r="JJ108" s="2104"/>
    </row>
    <row r="109" spans="2:270" ht="41.45" customHeight="1">
      <c r="B109" s="2105">
        <v>87</v>
      </c>
      <c r="C109" s="2106"/>
      <c r="D109" s="2425"/>
      <c r="E109" s="2128" t="s">
        <v>230</v>
      </c>
      <c r="F109" s="2106" t="s">
        <v>918</v>
      </c>
      <c r="G109" s="2425" t="s">
        <v>1341</v>
      </c>
      <c r="H109" s="2106" t="s">
        <v>1040</v>
      </c>
      <c r="I109" s="2106" t="s">
        <v>229</v>
      </c>
      <c r="J109" s="2359" t="s">
        <v>198</v>
      </c>
      <c r="K109" s="2425" t="s">
        <v>1041</v>
      </c>
      <c r="L109" s="2409">
        <v>86.98</v>
      </c>
      <c r="M109" s="2409">
        <v>96.77</v>
      </c>
      <c r="N109" s="2409">
        <v>124.1</v>
      </c>
      <c r="O109" s="2409">
        <v>151.43</v>
      </c>
      <c r="P109" s="2409">
        <v>177.29</v>
      </c>
      <c r="Q109" s="2409">
        <v>233.84</v>
      </c>
      <c r="R109" s="2409">
        <v>250.46</v>
      </c>
      <c r="S109" s="2409">
        <v>254.83</v>
      </c>
      <c r="T109" s="2409">
        <v>274.5</v>
      </c>
      <c r="U109" s="2409">
        <v>269.93</v>
      </c>
      <c r="V109" s="2409">
        <v>270.97000000000003</v>
      </c>
      <c r="W109" s="2409">
        <v>245.33</v>
      </c>
      <c r="X109" s="2409">
        <v>240.5</v>
      </c>
      <c r="Y109" s="2409">
        <v>235.25</v>
      </c>
      <c r="Z109" s="2409">
        <v>232.29</v>
      </c>
      <c r="AA109" s="2409">
        <v>219.12</v>
      </c>
      <c r="AB109" s="2409">
        <v>208.84</v>
      </c>
      <c r="AC109" s="2409">
        <v>201.61</v>
      </c>
      <c r="AD109" s="2409">
        <v>199.82</v>
      </c>
      <c r="AE109" s="2409">
        <v>195.1</v>
      </c>
      <c r="AF109" s="2409">
        <v>200.55</v>
      </c>
      <c r="AG109" s="2409">
        <v>200.67</v>
      </c>
      <c r="AH109" s="2409">
        <v>197.49</v>
      </c>
      <c r="AI109" s="2409">
        <v>198.58</v>
      </c>
      <c r="AJ109" s="2409">
        <v>203.2</v>
      </c>
      <c r="AK109" s="2409">
        <v>201.71</v>
      </c>
      <c r="AL109" s="2409">
        <v>202.78</v>
      </c>
      <c r="AM109" s="2409">
        <v>201.87</v>
      </c>
      <c r="AN109" s="2409">
        <v>197.8</v>
      </c>
      <c r="AO109" s="2409">
        <v>201.36</v>
      </c>
      <c r="AP109" s="2409">
        <v>203.29</v>
      </c>
      <c r="AQ109" s="2409">
        <v>202</v>
      </c>
      <c r="AR109" s="2409">
        <v>205.35</v>
      </c>
      <c r="AS109" s="2409">
        <v>201.39</v>
      </c>
      <c r="AT109" s="2409">
        <v>200.73</v>
      </c>
      <c r="AU109" s="2409">
        <v>200.83</v>
      </c>
      <c r="AV109" s="2409">
        <v>202.68</v>
      </c>
      <c r="AW109" s="2410">
        <v>201.91</v>
      </c>
      <c r="AX109" s="2410">
        <v>200.03</v>
      </c>
      <c r="AY109" s="2410">
        <v>201.18</v>
      </c>
      <c r="AZ109" s="2410">
        <v>201.25</v>
      </c>
      <c r="BA109" s="2410">
        <v>201.16</v>
      </c>
      <c r="BB109" s="2410">
        <v>199.75</v>
      </c>
      <c r="BC109" s="2410">
        <v>199.21</v>
      </c>
      <c r="BD109" s="2411">
        <v>200.06</v>
      </c>
      <c r="BE109" s="2410">
        <v>200.96</v>
      </c>
      <c r="BF109" s="2411">
        <v>202.99</v>
      </c>
      <c r="BG109" s="2411">
        <v>203.01</v>
      </c>
      <c r="BH109" s="2411">
        <v>205.3</v>
      </c>
      <c r="BI109" s="2412">
        <v>207.32</v>
      </c>
      <c r="BJ109" s="2412">
        <v>208.67</v>
      </c>
      <c r="BK109" s="2412">
        <v>210.06</v>
      </c>
      <c r="BL109" s="2412">
        <v>205.17</v>
      </c>
      <c r="BM109" s="2412">
        <v>205.6</v>
      </c>
      <c r="BN109" s="2412">
        <v>205.98</v>
      </c>
      <c r="BO109" s="2412">
        <v>207.15</v>
      </c>
      <c r="BP109" s="2412">
        <v>210.4</v>
      </c>
      <c r="BQ109" s="2412">
        <v>211.75</v>
      </c>
      <c r="BR109" s="2412">
        <v>209.37</v>
      </c>
      <c r="BS109" s="2412">
        <v>205.57</v>
      </c>
      <c r="BT109" s="2412">
        <v>205.82</v>
      </c>
      <c r="BU109" s="2412">
        <v>206.59</v>
      </c>
      <c r="BV109" s="2412">
        <v>209</v>
      </c>
      <c r="BW109" s="2412">
        <v>207.55</v>
      </c>
      <c r="BX109" s="2412">
        <v>208.09</v>
      </c>
      <c r="BY109" s="2412">
        <v>210.07</v>
      </c>
      <c r="BZ109" s="2412">
        <v>210.61</v>
      </c>
      <c r="CA109" s="2412">
        <v>211.83</v>
      </c>
      <c r="CB109" s="2412">
        <v>214.05</v>
      </c>
      <c r="CC109" s="2412">
        <v>213.93</v>
      </c>
      <c r="CD109" s="2412">
        <v>215.54</v>
      </c>
      <c r="CE109" s="2412">
        <v>215.07</v>
      </c>
      <c r="CF109" s="2412">
        <v>217.04</v>
      </c>
      <c r="CG109" s="2412">
        <v>215.69</v>
      </c>
      <c r="CH109" s="2412">
        <v>220.42</v>
      </c>
      <c r="CI109" s="2412">
        <v>221.77</v>
      </c>
      <c r="CJ109" s="2412">
        <v>225.23</v>
      </c>
      <c r="CK109" s="2412">
        <v>226.13</v>
      </c>
      <c r="CL109" s="2412">
        <v>224.52</v>
      </c>
      <c r="CM109" s="2412">
        <v>224.32</v>
      </c>
      <c r="CN109" s="2412">
        <v>225.54</v>
      </c>
      <c r="CO109" s="2412">
        <v>225.71</v>
      </c>
      <c r="CP109" s="2412">
        <v>230.59</v>
      </c>
      <c r="CQ109" s="2412">
        <v>231.96</v>
      </c>
      <c r="CR109" s="2412">
        <v>235.11</v>
      </c>
      <c r="CS109" s="2412">
        <v>236.1</v>
      </c>
      <c r="CT109" s="2412">
        <v>239.19</v>
      </c>
      <c r="CU109" s="2412">
        <v>243.08</v>
      </c>
      <c r="CV109" s="2412">
        <v>246.93</v>
      </c>
      <c r="CW109" s="2412">
        <v>248.53</v>
      </c>
      <c r="CX109" s="2412">
        <v>248.84</v>
      </c>
      <c r="CY109" s="2412">
        <v>250.02</v>
      </c>
      <c r="CZ109" s="2412">
        <v>253.12</v>
      </c>
      <c r="DA109" s="2412">
        <v>254.32</v>
      </c>
      <c r="DB109" s="2412">
        <v>255.29</v>
      </c>
      <c r="DC109" s="2412">
        <v>255.08</v>
      </c>
      <c r="DD109" s="2412">
        <v>255.21</v>
      </c>
      <c r="DE109" s="2412">
        <v>256.14</v>
      </c>
      <c r="DF109" s="2412">
        <v>258.68</v>
      </c>
      <c r="DG109" s="2412">
        <v>259.64</v>
      </c>
      <c r="DH109" s="2412">
        <v>260.64</v>
      </c>
      <c r="DI109" s="2412">
        <v>263.70999999999998</v>
      </c>
      <c r="DJ109" s="2412">
        <v>263.48</v>
      </c>
      <c r="DK109" s="2412">
        <v>265.2</v>
      </c>
      <c r="DL109" s="2412">
        <v>265.69</v>
      </c>
      <c r="DM109" s="2412">
        <v>267.23</v>
      </c>
      <c r="DN109" s="2412">
        <v>271.48</v>
      </c>
      <c r="DO109" s="2412">
        <v>271.63</v>
      </c>
      <c r="DP109" s="2412">
        <v>272.07</v>
      </c>
      <c r="DQ109" s="2412">
        <v>273.76</v>
      </c>
      <c r="DR109" s="2412">
        <v>275.47000000000003</v>
      </c>
      <c r="DS109" s="2412">
        <v>274.87</v>
      </c>
      <c r="DT109" s="2412">
        <v>277.68</v>
      </c>
      <c r="DU109" s="2412">
        <v>278.39999999999998</v>
      </c>
      <c r="DV109" s="2412">
        <v>280.92</v>
      </c>
      <c r="DW109" s="2412">
        <v>283.97000000000003</v>
      </c>
      <c r="DX109" s="2412">
        <v>285.57</v>
      </c>
      <c r="DY109" s="2412">
        <v>286.70999999999998</v>
      </c>
      <c r="DZ109" s="2412">
        <v>287.63</v>
      </c>
      <c r="EA109" s="2412">
        <v>287.57</v>
      </c>
      <c r="EB109" s="2412">
        <v>290.86</v>
      </c>
      <c r="EC109" s="2412">
        <v>292.23</v>
      </c>
      <c r="ED109" s="2412">
        <v>292.87</v>
      </c>
      <c r="EE109" s="2412">
        <v>298.32</v>
      </c>
      <c r="EF109" s="2412">
        <v>301.19</v>
      </c>
      <c r="EG109" s="2412">
        <v>302.73</v>
      </c>
      <c r="EH109" s="2412">
        <v>304.72000000000003</v>
      </c>
      <c r="EI109" s="2412">
        <v>310.02999999999997</v>
      </c>
      <c r="EJ109" s="2412">
        <v>312.56</v>
      </c>
      <c r="EK109" s="2412">
        <v>315.41000000000003</v>
      </c>
      <c r="EL109" s="2412">
        <v>317.06</v>
      </c>
      <c r="EM109" s="2412">
        <v>319.25</v>
      </c>
      <c r="EN109" s="2412">
        <v>321.04000000000002</v>
      </c>
      <c r="EO109" s="2412">
        <v>325.05</v>
      </c>
      <c r="EP109" s="2412">
        <v>328.3</v>
      </c>
      <c r="EQ109" s="2412">
        <v>331.02</v>
      </c>
      <c r="ER109" s="2412">
        <v>335.58</v>
      </c>
      <c r="ES109" s="2412">
        <v>339.63</v>
      </c>
      <c r="ET109" s="2412">
        <v>342.3</v>
      </c>
      <c r="EU109" s="2412">
        <v>344.58</v>
      </c>
      <c r="EV109" s="2412">
        <v>347.78</v>
      </c>
      <c r="EW109" s="2412">
        <v>351.2</v>
      </c>
      <c r="EX109" s="2412">
        <v>352.67</v>
      </c>
      <c r="EY109" s="2412">
        <v>355.11</v>
      </c>
      <c r="EZ109" s="2412">
        <v>363.37</v>
      </c>
      <c r="FA109" s="2412">
        <v>373.45</v>
      </c>
      <c r="FB109" s="2412">
        <v>401.96</v>
      </c>
      <c r="FC109" s="2412">
        <v>410.44</v>
      </c>
      <c r="FD109" s="2412">
        <v>413.52</v>
      </c>
      <c r="FE109" s="2412">
        <v>415.78</v>
      </c>
      <c r="FF109" s="2412">
        <v>418.81</v>
      </c>
      <c r="FG109" s="2412">
        <v>417.62</v>
      </c>
      <c r="FH109" s="2412">
        <v>432.32</v>
      </c>
      <c r="FI109" s="2412">
        <v>437.15</v>
      </c>
      <c r="FJ109" s="2412">
        <v>441.84</v>
      </c>
      <c r="FK109" s="2412">
        <v>447.45</v>
      </c>
      <c r="FL109" s="2412">
        <v>448.27</v>
      </c>
      <c r="FM109" s="2412">
        <v>451.33</v>
      </c>
      <c r="FN109" s="2412">
        <v>453.1</v>
      </c>
      <c r="FO109" s="2412">
        <v>464.05</v>
      </c>
      <c r="FP109" s="2412">
        <v>479.19</v>
      </c>
      <c r="FQ109" s="2412">
        <v>488.94</v>
      </c>
      <c r="FR109" s="2412">
        <v>499.36</v>
      </c>
      <c r="FS109" s="2412">
        <v>508.36</v>
      </c>
      <c r="FT109" s="2412">
        <v>517.79</v>
      </c>
      <c r="FU109" s="2412">
        <v>519.94000000000005</v>
      </c>
      <c r="FV109" s="2412">
        <v>526.96</v>
      </c>
      <c r="FW109" s="2413">
        <f>+EQUIPOS!E27</f>
        <v>100</v>
      </c>
      <c r="FX109" s="2413">
        <f>+EQUIPOS!F27</f>
        <v>100</v>
      </c>
      <c r="FY109" s="2416">
        <f>+EQUIPOS!G27</f>
        <v>100</v>
      </c>
      <c r="FZ109" s="2417">
        <f>+EQUIPOS!H27</f>
        <v>112.96296355597192</v>
      </c>
      <c r="GA109" s="2417">
        <f>+EQUIPOS!I27</f>
        <v>107.55555555555556</v>
      </c>
      <c r="GB109" s="2417">
        <f>+EQUIPOS!J27</f>
        <v>106.14693454185816</v>
      </c>
      <c r="GC109" s="2417">
        <f>+EQUIPOS!K27</f>
        <v>103.92592662439098</v>
      </c>
      <c r="GD109" s="2417">
        <f>+EQUIPOS!L27</f>
        <v>111.85210733814885</v>
      </c>
      <c r="GE109" s="2417">
        <f>+EQUIPOS!M27</f>
        <v>111.85210733814884</v>
      </c>
      <c r="GF109" s="2417">
        <f>+EQUIPOS!N27</f>
        <v>111.85210733814883</v>
      </c>
      <c r="GG109" s="2417">
        <f>+EQUIPOS!O27</f>
        <v>112.59274056290313</v>
      </c>
      <c r="GH109" s="2417">
        <f>+EQUIPOS!P27</f>
        <v>114.59250213884906</v>
      </c>
      <c r="GI109" s="2417">
        <f>+EQUIPOS!Q27</f>
        <v>116.66666738408999</v>
      </c>
      <c r="GJ109" s="2417">
        <f>+EQUIPOS!R27</f>
        <v>118.88888963978891</v>
      </c>
      <c r="GK109" s="2417">
        <f>+EQUIPOS!S27</f>
        <v>119.25925938643842</v>
      </c>
      <c r="GL109" s="2417">
        <f>+EQUIPOS!T27</f>
        <v>115.55555567878507</v>
      </c>
      <c r="GM109" s="2417">
        <f>+EQUIPOS!U27</f>
        <v>115.92592664255936</v>
      </c>
      <c r="GN109" s="2417">
        <f>+EQUIPOS!V27</f>
        <v>116.29635059245906</v>
      </c>
      <c r="GO109" s="2417">
        <f>+EQUIPOS!W27</f>
        <v>120.00000012918365</v>
      </c>
      <c r="GP109" s="2417">
        <f>+EQUIPOS!X27</f>
        <v>121.85185257603806</v>
      </c>
      <c r="GQ109" s="2417">
        <f>+EQUIPOS!Y27</f>
        <v>137.97665999501336</v>
      </c>
      <c r="GR109" s="2417">
        <f>+EQUIPOS!Z27</f>
        <v>140.15610283274032</v>
      </c>
      <c r="GS109" s="2417">
        <f>+EQUIPOS!AA27</f>
        <v>137.74324706062418</v>
      </c>
      <c r="GT109" s="2417">
        <f>+EQUIPOS!AB27</f>
        <v>139.60480665816416</v>
      </c>
      <c r="GU109" s="2417">
        <f>+EQUIPOS!AC27</f>
        <v>142.39689536835186</v>
      </c>
      <c r="GV109" s="2417">
        <f>+EQUIPOS!AD27</f>
        <v>146.66871971568375</v>
      </c>
      <c r="GW109" s="2417">
        <f>+EQUIPOS!AE27</f>
        <v>154.00221106352456</v>
      </c>
      <c r="GX109" s="2417">
        <f>+EQUIPOS!AF27</f>
        <v>158.62225595332947</v>
      </c>
      <c r="GY109" s="2417">
        <f>+EQUIPOS!AG27</f>
        <v>163.38090652789552</v>
      </c>
      <c r="GZ109" s="2417">
        <f>+EQUIPOS!AH27</f>
        <v>163.38090652789549</v>
      </c>
      <c r="HA109" s="2417">
        <f>+EQUIPOS!AI27</f>
        <v>199.94471230418065</v>
      </c>
      <c r="HB109" s="2417">
        <f>+EQUIPOS!AJ27</f>
        <v>226.22628552973558</v>
      </c>
      <c r="HC109" s="2417">
        <f>+EQUIPOS!AK27</f>
        <v>223.84248859602076</v>
      </c>
      <c r="HD109" s="2417">
        <f>+EQUIPOS!AL27</f>
        <v>234.99359884670596</v>
      </c>
      <c r="HE109" s="2417">
        <f>+EQUIPOS!AM27</f>
        <v>316.48619477314281</v>
      </c>
      <c r="HF109" s="2417">
        <f>+EQUIPOS!AN27</f>
        <v>300.87260674479398</v>
      </c>
      <c r="HG109" s="2417">
        <f>+EQUIPOS!AO27</f>
        <v>283.42850974739122</v>
      </c>
      <c r="HH109" s="2417">
        <f>+EQUIPOS!AP27</f>
        <v>306.31319598716982</v>
      </c>
      <c r="HI109" s="2417">
        <f>+EQUIPOS!AQ27</f>
        <v>294.78007090422949</v>
      </c>
      <c r="HJ109" s="2417">
        <f>+EQUIPOS!AR27</f>
        <v>316.84090846199933</v>
      </c>
      <c r="HK109" s="2417">
        <f>+EQUIPOS!AS27</f>
        <v>326.26538832840259</v>
      </c>
      <c r="HL109" s="2417">
        <f>+EQUIPOS!AT27</f>
        <v>347.7588041859525</v>
      </c>
      <c r="HM109" s="2417">
        <f>+EQUIPOS!AU27</f>
        <v>376.02136956602146</v>
      </c>
      <c r="HN109" s="2417">
        <f>+EQUIPOS!AV27</f>
        <v>357.55454230511242</v>
      </c>
      <c r="HO109" s="2417">
        <f>+EQUIPOS!AW27</f>
        <v>356.54971683495165</v>
      </c>
      <c r="HP109" s="2417">
        <f>+EQUIPOS!AX27</f>
        <v>459.74879457404256</v>
      </c>
      <c r="HQ109" s="2417">
        <f>+EQUIPOS!AY27</f>
        <v>481.20270849314704</v>
      </c>
      <c r="HR109" s="2417">
        <f>+EQUIPOS!AZ27</f>
        <v>501.3618290224378</v>
      </c>
      <c r="HS109" s="2417">
        <f>+EQUIPOS!BA27</f>
        <v>484.59033037853493</v>
      </c>
      <c r="HT109" s="2417">
        <f>+EQUIPOS!BB27</f>
        <v>484.59033037853487</v>
      </c>
      <c r="HU109" s="2417">
        <f>+EQUIPOS!BC27</f>
        <v>508.78384422089567</v>
      </c>
      <c r="HV109" s="2417">
        <f>+EQUIPOS!BD27</f>
        <v>515.9865394971456</v>
      </c>
      <c r="HW109" s="2417">
        <f>+EQUIPOS!BE27</f>
        <v>530.09554643652064</v>
      </c>
      <c r="HX109" s="2417">
        <f>+EQUIPOS!BF27</f>
        <v>554.28241547544928</v>
      </c>
      <c r="HY109" s="2417">
        <f>+EQUIPOS!BG27</f>
        <v>568.39142241482432</v>
      </c>
      <c r="HZ109" s="2417">
        <f>+EQUIPOS!BH27</f>
        <v>592.57829145375308</v>
      </c>
      <c r="IA109" s="2417">
        <f>+EQUIPOS!BI27</f>
        <v>614.74958807277096</v>
      </c>
      <c r="IB109" s="2417">
        <f>+EQUIPOS!BJ27</f>
        <v>628.858595012146</v>
      </c>
      <c r="IC109" s="2417">
        <f>+EQUIPOS!BK27</f>
        <v>644.98317437143169</v>
      </c>
      <c r="ID109" s="2417">
        <f>+EQUIPOS!BL27</f>
        <v>673.20118825018176</v>
      </c>
      <c r="IE109" s="2417">
        <f>+EQUIPOS!BM27</f>
        <v>697.38805728911052</v>
      </c>
      <c r="IF109" s="2417">
        <f>+EQUIPOS!BN27</f>
        <v>719.5593539081284</v>
      </c>
      <c r="IG109" s="2417">
        <f>+EQUIPOS!BO27</f>
        <v>741.73065052714628</v>
      </c>
      <c r="IH109" s="2417">
        <f>+EQUIPOS!BP27</f>
        <v>761.88637472625351</v>
      </c>
      <c r="II109" s="2417">
        <f>+EQUIPOS!BQ27</f>
        <v>784.05767134527139</v>
      </c>
      <c r="IJ109" s="2417">
        <f>+EQUIPOS!BR27</f>
        <v>794.135533444825</v>
      </c>
      <c r="IK109" s="2417">
        <f>+EQUIPOS!BS27</f>
        <v>806.22896796428927</v>
      </c>
      <c r="IL109" s="2417">
        <f>+EQUIPOS!BT27</f>
        <v>812.27568522402146</v>
      </c>
      <c r="IM109" s="2417">
        <f>+EQUIPOS!BU27</f>
        <v>820.33797490366442</v>
      </c>
      <c r="IN109" s="2417">
        <f>+EQUIPOS!BV27</f>
        <v>828.40026458330715</v>
      </c>
      <c r="IO109" s="2417">
        <f>+EQUIPOS!BW27</f>
        <v>836.46255426294999</v>
      </c>
      <c r="IP109" s="2417">
        <f>+EQUIPOS!BX27</f>
        <v>846.54041636250349</v>
      </c>
      <c r="IQ109" s="2417">
        <f>+EQUIPOS!BY27</f>
        <v>852.58713362223568</v>
      </c>
      <c r="IR109" s="2417">
        <f>+EQUIPOS!BZ27</f>
        <v>868.71171298152149</v>
      </c>
      <c r="IS109" s="2417">
        <f>+EQUIPOS!CA27</f>
        <v>888.86743718062871</v>
      </c>
      <c r="IT109" s="2417">
        <f>+EQUIPOS!CB27</f>
        <v>907.00758895982528</v>
      </c>
      <c r="IU109" s="2417">
        <f>+EQUIPOS!CC27</f>
        <v>935.22560283857536</v>
      </c>
      <c r="IV109" s="2417">
        <f>+EQUIPOS!CD27</f>
        <v>969.4903339770575</v>
      </c>
      <c r="IW109" s="2417">
        <f>+EQUIPOS!CE27</f>
        <v>1009.801782375272</v>
      </c>
      <c r="IX109" s="2417">
        <f>+EQUIPOS!CF27</f>
        <v>1046.082085933665</v>
      </c>
      <c r="IY109" s="2417">
        <f>+EQUIPOS!CG27</f>
        <v>1106.5492585309867</v>
      </c>
      <c r="IZ109" s="2417">
        <f>+EQUIPOS!CH27</f>
        <v>1142.8295620893798</v>
      </c>
      <c r="JA109" s="2417">
        <f>+EQUIPOS!CI27</f>
        <v>1233.5303209853626</v>
      </c>
      <c r="JB109" s="2417">
        <f>+EQUIPOS!CJ27</f>
        <v>1310.1220729419699</v>
      </c>
      <c r="JC109" s="2417">
        <f>+EQUIPOS!CK27</f>
        <v>1404.853976677774</v>
      </c>
      <c r="JD109" s="2415">
        <f>+EQUIPOS!CL27</f>
        <v>1477.41458379456</v>
      </c>
      <c r="JE109" s="2422">
        <f>+EQUIPOS!CM27</f>
        <v>1558.0374805909889</v>
      </c>
      <c r="JF109" s="2418">
        <f>+EQUIPOS!CN27</f>
        <v>1644.7070946471501</v>
      </c>
      <c r="JG109" s="2103">
        <f t="shared" si="13"/>
        <v>1.0556274256144891</v>
      </c>
      <c r="JI109" s="2155"/>
      <c r="JJ109" s="2104"/>
    </row>
    <row r="110" spans="2:270" ht="31.5">
      <c r="B110" s="2105">
        <v>88</v>
      </c>
      <c r="C110" s="2106" t="s">
        <v>461</v>
      </c>
      <c r="D110" s="2425" t="s">
        <v>1218</v>
      </c>
      <c r="E110" s="2128" t="s">
        <v>232</v>
      </c>
      <c r="F110" s="2106" t="s">
        <v>233</v>
      </c>
      <c r="G110" s="2425" t="s">
        <v>1112</v>
      </c>
      <c r="H110" s="2106" t="s">
        <v>737</v>
      </c>
      <c r="I110" s="2106" t="s">
        <v>930</v>
      </c>
      <c r="J110" s="2359" t="s">
        <v>1036</v>
      </c>
      <c r="K110" s="2425"/>
      <c r="L110" s="2409">
        <v>2.2799999999999998</v>
      </c>
      <c r="M110" s="2409">
        <v>2.2799999999999998</v>
      </c>
      <c r="N110" s="2409">
        <v>2.2799999999999998</v>
      </c>
      <c r="O110" s="2409">
        <v>2.2799999999999998</v>
      </c>
      <c r="P110" s="2409">
        <v>2.2799999999999998</v>
      </c>
      <c r="Q110" s="2409">
        <v>2.82</v>
      </c>
      <c r="R110" s="2409">
        <v>2.82</v>
      </c>
      <c r="S110" s="2409">
        <v>2.82</v>
      </c>
      <c r="T110" s="2409">
        <v>2.82</v>
      </c>
      <c r="U110" s="2409">
        <v>3.27</v>
      </c>
      <c r="V110" s="2409">
        <v>3.27</v>
      </c>
      <c r="W110" s="2409">
        <v>3.27</v>
      </c>
      <c r="X110" s="2409">
        <v>3.27</v>
      </c>
      <c r="Y110" s="2409">
        <v>3.27</v>
      </c>
      <c r="Z110" s="2409">
        <v>3.27</v>
      </c>
      <c r="AA110" s="2409">
        <v>3.27</v>
      </c>
      <c r="AB110" s="2409">
        <v>3.27</v>
      </c>
      <c r="AC110" s="2409">
        <v>3.27</v>
      </c>
      <c r="AD110" s="2409">
        <v>3.27</v>
      </c>
      <c r="AE110" s="2409">
        <v>3.27</v>
      </c>
      <c r="AF110" s="2409">
        <v>3.27</v>
      </c>
      <c r="AG110" s="2409">
        <v>3.27</v>
      </c>
      <c r="AH110" s="2409">
        <v>3.3</v>
      </c>
      <c r="AI110" s="2409">
        <v>3.3</v>
      </c>
      <c r="AJ110" s="2409">
        <v>3.3</v>
      </c>
      <c r="AK110" s="2409">
        <v>3.3</v>
      </c>
      <c r="AL110" s="2409">
        <v>3.3</v>
      </c>
      <c r="AM110" s="2409">
        <v>3.3</v>
      </c>
      <c r="AN110" s="2409">
        <v>3.3</v>
      </c>
      <c r="AO110" s="2409">
        <v>3.3</v>
      </c>
      <c r="AP110" s="2409">
        <v>3.3</v>
      </c>
      <c r="AQ110" s="2409">
        <v>3.56</v>
      </c>
      <c r="AR110" s="2409">
        <v>3.56</v>
      </c>
      <c r="AS110" s="2409">
        <v>3.56</v>
      </c>
      <c r="AT110" s="2409">
        <v>3.56</v>
      </c>
      <c r="AU110" s="2409">
        <v>3.64</v>
      </c>
      <c r="AV110" s="2409">
        <v>3.64</v>
      </c>
      <c r="AW110" s="2410">
        <v>3.64</v>
      </c>
      <c r="AX110" s="2410">
        <v>3.64</v>
      </c>
      <c r="AY110" s="2410">
        <v>3.74</v>
      </c>
      <c r="AZ110" s="2410">
        <v>3.74</v>
      </c>
      <c r="BA110" s="2410">
        <v>3.74</v>
      </c>
      <c r="BB110" s="2410">
        <v>3.86</v>
      </c>
      <c r="BC110" s="2410">
        <v>3.86</v>
      </c>
      <c r="BD110" s="2411">
        <v>3.86</v>
      </c>
      <c r="BE110" s="2410">
        <v>4.01</v>
      </c>
      <c r="BF110" s="2411">
        <v>4.01</v>
      </c>
      <c r="BG110" s="2411">
        <v>4.01</v>
      </c>
      <c r="BH110" s="2411">
        <v>4.01</v>
      </c>
      <c r="BI110" s="2412">
        <v>4.01</v>
      </c>
      <c r="BJ110" s="2412">
        <v>4.1900000000000004</v>
      </c>
      <c r="BK110" s="2412">
        <v>4.1900000000000004</v>
      </c>
      <c r="BL110" s="2412">
        <v>4.1900000000000004</v>
      </c>
      <c r="BM110" s="2412">
        <v>4.5199999999999996</v>
      </c>
      <c r="BN110" s="2412">
        <v>4.5199999999999996</v>
      </c>
      <c r="BO110" s="2412">
        <v>4.6900000000000004</v>
      </c>
      <c r="BP110" s="2412">
        <v>4.6900000000000004</v>
      </c>
      <c r="BQ110" s="2412">
        <v>4.6900000000000004</v>
      </c>
      <c r="BR110" s="2412">
        <v>4.6900000000000004</v>
      </c>
      <c r="BS110" s="2412">
        <v>4.92</v>
      </c>
      <c r="BT110" s="2412">
        <v>4.92</v>
      </c>
      <c r="BU110" s="2412">
        <v>4.92</v>
      </c>
      <c r="BV110" s="2412">
        <v>4.92</v>
      </c>
      <c r="BW110" s="2412">
        <v>5.07</v>
      </c>
      <c r="BX110" s="2412">
        <v>5.07</v>
      </c>
      <c r="BY110" s="2412">
        <v>5.31</v>
      </c>
      <c r="BZ110" s="2412">
        <v>5.31</v>
      </c>
      <c r="CA110" s="2412">
        <v>5.31</v>
      </c>
      <c r="CB110" s="2412">
        <v>5.31</v>
      </c>
      <c r="CC110" s="2412">
        <v>5.31</v>
      </c>
      <c r="CD110" s="2412">
        <v>5.31</v>
      </c>
      <c r="CE110" s="2412">
        <v>5.31</v>
      </c>
      <c r="CF110" s="2412">
        <v>5.31</v>
      </c>
      <c r="CG110" s="2412">
        <v>5.31</v>
      </c>
      <c r="CH110" s="2412">
        <v>5.31</v>
      </c>
      <c r="CI110" s="2412">
        <v>5.31</v>
      </c>
      <c r="CJ110" s="2412">
        <v>5.31</v>
      </c>
      <c r="CK110" s="2412">
        <v>6.76</v>
      </c>
      <c r="CL110" s="2412">
        <v>6.76</v>
      </c>
      <c r="CM110" s="2412">
        <v>6.76</v>
      </c>
      <c r="CN110" s="2412">
        <v>6.76</v>
      </c>
      <c r="CO110" s="2412">
        <v>6.76</v>
      </c>
      <c r="CP110" s="2412">
        <v>7.17</v>
      </c>
      <c r="CQ110" s="2412">
        <v>7.45</v>
      </c>
      <c r="CR110" s="2412">
        <v>7.45</v>
      </c>
      <c r="CS110" s="2412">
        <v>7.45</v>
      </c>
      <c r="CT110" s="2412">
        <v>7.45</v>
      </c>
      <c r="CU110" s="2412">
        <v>8.06</v>
      </c>
      <c r="CV110" s="2412">
        <v>8.06</v>
      </c>
      <c r="CW110" s="2412">
        <v>8.06</v>
      </c>
      <c r="CX110" s="2412">
        <v>8.06</v>
      </c>
      <c r="CY110" s="2412">
        <v>8.3000000000000007</v>
      </c>
      <c r="CZ110" s="2412">
        <v>8.3000000000000007</v>
      </c>
      <c r="DA110" s="2412">
        <v>8.3000000000000007</v>
      </c>
      <c r="DB110" s="2412">
        <v>8.3000000000000007</v>
      </c>
      <c r="DC110" s="2412">
        <v>8.3000000000000007</v>
      </c>
      <c r="DD110" s="2412">
        <v>8.3000000000000007</v>
      </c>
      <c r="DE110" s="2412">
        <v>8.3000000000000007</v>
      </c>
      <c r="DF110" s="2412">
        <v>8.3000000000000007</v>
      </c>
      <c r="DG110" s="2412">
        <v>8.3000000000000007</v>
      </c>
      <c r="DH110" s="2412">
        <v>8.3000000000000007</v>
      </c>
      <c r="DI110" s="2412">
        <v>8.3000000000000007</v>
      </c>
      <c r="DJ110" s="2412">
        <v>8.3000000000000007</v>
      </c>
      <c r="DK110" s="2412">
        <v>8.3000000000000007</v>
      </c>
      <c r="DL110" s="2412">
        <v>9.24</v>
      </c>
      <c r="DM110" s="2412">
        <v>9.24</v>
      </c>
      <c r="DN110" s="2412">
        <v>9.24</v>
      </c>
      <c r="DO110" s="2412">
        <v>9.24</v>
      </c>
      <c r="DP110" s="2412">
        <v>9.24</v>
      </c>
      <c r="DQ110" s="2412">
        <v>9.24</v>
      </c>
      <c r="DR110" s="2412">
        <v>9.24</v>
      </c>
      <c r="DS110" s="2412">
        <v>10.29</v>
      </c>
      <c r="DT110" s="2412">
        <v>10.47</v>
      </c>
      <c r="DU110" s="2412">
        <v>10.47</v>
      </c>
      <c r="DV110" s="2412">
        <v>10.51</v>
      </c>
      <c r="DW110" s="2412">
        <v>10.51</v>
      </c>
      <c r="DX110" s="2412">
        <v>10.68</v>
      </c>
      <c r="DY110" s="2412">
        <v>10.68</v>
      </c>
      <c r="DZ110" s="2412">
        <v>10.68</v>
      </c>
      <c r="EA110" s="2412">
        <v>11.18</v>
      </c>
      <c r="EB110" s="2412">
        <v>11.81</v>
      </c>
      <c r="EC110" s="2412">
        <v>11.81</v>
      </c>
      <c r="ED110" s="2412">
        <v>11.81</v>
      </c>
      <c r="EE110" s="2412">
        <v>11.81</v>
      </c>
      <c r="EF110" s="2412">
        <v>11.81</v>
      </c>
      <c r="EG110" s="2412">
        <v>14.23</v>
      </c>
      <c r="EH110" s="2412">
        <v>14.23</v>
      </c>
      <c r="EI110" s="2412">
        <v>14.23</v>
      </c>
      <c r="EJ110" s="2412">
        <v>14.23</v>
      </c>
      <c r="EK110" s="2412">
        <v>15.46</v>
      </c>
      <c r="EL110" s="2412">
        <v>15.46</v>
      </c>
      <c r="EM110" s="2412">
        <v>16.27</v>
      </c>
      <c r="EN110" s="2412">
        <v>16.27</v>
      </c>
      <c r="EO110" s="2412">
        <v>16.27</v>
      </c>
      <c r="EP110" s="2412">
        <v>16.940000000000001</v>
      </c>
      <c r="EQ110" s="2412">
        <v>17.239999999999998</v>
      </c>
      <c r="ER110" s="2412">
        <v>17.239999999999998</v>
      </c>
      <c r="ES110" s="2412">
        <v>18.489999999999998</v>
      </c>
      <c r="ET110" s="2412">
        <v>18.489999999999998</v>
      </c>
      <c r="EU110" s="2412">
        <v>19.66</v>
      </c>
      <c r="EV110" s="2412">
        <v>19.66</v>
      </c>
      <c r="EW110" s="2412">
        <v>19.66</v>
      </c>
      <c r="EX110" s="2412">
        <v>19.66</v>
      </c>
      <c r="EY110" s="2412">
        <v>20.82</v>
      </c>
      <c r="EZ110" s="2412">
        <v>20.82</v>
      </c>
      <c r="FA110" s="2412">
        <v>22.62</v>
      </c>
      <c r="FB110" s="2412">
        <v>22.62</v>
      </c>
      <c r="FC110" s="2412">
        <v>23.09</v>
      </c>
      <c r="FD110" s="2412">
        <v>24.84</v>
      </c>
      <c r="FE110" s="2412">
        <v>25.14</v>
      </c>
      <c r="FF110" s="2412">
        <v>26.19</v>
      </c>
      <c r="FG110" s="2412">
        <v>26.19</v>
      </c>
      <c r="FH110" s="2412">
        <v>47.52</v>
      </c>
      <c r="FI110" s="2412">
        <v>47.52</v>
      </c>
      <c r="FJ110" s="2412">
        <v>49.7</v>
      </c>
      <c r="FK110" s="2412">
        <v>50.59</v>
      </c>
      <c r="FL110" s="2412">
        <v>56.59</v>
      </c>
      <c r="FM110" s="2412">
        <v>56.59</v>
      </c>
      <c r="FN110" s="2412">
        <v>57.11</v>
      </c>
      <c r="FO110" s="2412">
        <v>60.28</v>
      </c>
      <c r="FP110" s="2412">
        <v>61.57</v>
      </c>
      <c r="FQ110" s="2412">
        <v>61.57</v>
      </c>
      <c r="FR110" s="2412">
        <v>64.150000000000006</v>
      </c>
      <c r="FS110" s="2412">
        <v>64.150000000000006</v>
      </c>
      <c r="FT110" s="2412">
        <v>69.180000000000007</v>
      </c>
      <c r="FU110" s="2412">
        <v>69.180000000000007</v>
      </c>
      <c r="FV110" s="2412">
        <v>69.180000000000007</v>
      </c>
      <c r="FW110" s="2413">
        <v>37.214769406294756</v>
      </c>
      <c r="FX110" s="2413">
        <v>38.871150249713672</v>
      </c>
      <c r="FY110" s="2413">
        <v>100</v>
      </c>
      <c r="FZ110" s="2413">
        <v>101.88888311386108</v>
      </c>
      <c r="GA110" s="2413">
        <v>102.87477001589167</v>
      </c>
      <c r="GB110" s="2413">
        <v>102.63651224632267</v>
      </c>
      <c r="GC110" s="2413">
        <v>106.82655093621483</v>
      </c>
      <c r="GD110" s="2413">
        <v>107.58090464677773</v>
      </c>
      <c r="GE110" s="2413">
        <v>106.91169552700173</v>
      </c>
      <c r="GF110" s="2414">
        <v>103.64256697587604</v>
      </c>
      <c r="GG110" s="2415">
        <v>107.89235789710219</v>
      </c>
      <c r="GH110" s="2414">
        <v>108.87825125508084</v>
      </c>
      <c r="GI110" s="2414">
        <v>113.17136206138363</v>
      </c>
      <c r="GJ110" s="2413">
        <v>113.17136206138363</v>
      </c>
      <c r="GK110" s="2413">
        <v>113.17136206138363</v>
      </c>
      <c r="GL110" s="2413">
        <v>113.17136206138363</v>
      </c>
      <c r="GM110" s="2414">
        <v>114.44107483618573</v>
      </c>
      <c r="GN110" s="2414">
        <v>114.44107483618573</v>
      </c>
      <c r="GO110" s="2416">
        <v>118.93733631406565</v>
      </c>
      <c r="GP110" s="2417">
        <v>118.93733631406565</v>
      </c>
      <c r="GQ110" s="2417">
        <v>120.49086747679637</v>
      </c>
      <c r="GR110" s="2417">
        <v>121.07867033631167</v>
      </c>
      <c r="GS110" s="2417">
        <v>122.07129047515932</v>
      </c>
      <c r="GT110" s="2415">
        <v>123.22149762161878</v>
      </c>
      <c r="GU110" s="2415">
        <v>123.90864123796629</v>
      </c>
      <c r="GV110" s="2415">
        <v>123.90864123796629</v>
      </c>
      <c r="GW110" s="2415">
        <v>123.90864123796629</v>
      </c>
      <c r="GX110" s="2415">
        <v>130.96971065562772</v>
      </c>
      <c r="GY110" s="2415">
        <v>130.96971065562772</v>
      </c>
      <c r="GZ110" s="2415">
        <v>130.96971065562772</v>
      </c>
      <c r="HA110" s="2415">
        <v>147.9945546174666</v>
      </c>
      <c r="HB110" s="2415">
        <v>147.65336085933362</v>
      </c>
      <c r="HC110" s="2415">
        <v>149.98873047792296</v>
      </c>
      <c r="HD110" s="2415">
        <v>144.72289037261424</v>
      </c>
      <c r="HE110" s="2415">
        <v>158.21889053354664</v>
      </c>
      <c r="HF110" s="2415">
        <v>170.56868843473075</v>
      </c>
      <c r="HG110" s="2415">
        <v>178.44129420189893</v>
      </c>
      <c r="HH110" s="2418">
        <v>178.44129420189893</v>
      </c>
      <c r="HI110" s="2415">
        <v>190.34354745262172</v>
      </c>
      <c r="HJ110" s="2415">
        <v>209.36804406509086</v>
      </c>
      <c r="HK110" s="2415">
        <v>209.17833606530266</v>
      </c>
      <c r="HL110" s="2415">
        <v>215.13381907588683</v>
      </c>
      <c r="HM110" s="2415">
        <v>215.13381907588683</v>
      </c>
      <c r="HN110" s="2415">
        <v>227.61673256885913</v>
      </c>
      <c r="HO110" s="2415">
        <v>227.61673256885913</v>
      </c>
      <c r="HP110" s="2415">
        <v>286.28972458026482</v>
      </c>
      <c r="HQ110" s="2415">
        <v>292.32889588188715</v>
      </c>
      <c r="HR110" s="2415">
        <v>299.88434749146904</v>
      </c>
      <c r="HS110" s="2415">
        <v>335.45354603281356</v>
      </c>
      <c r="HT110" s="2419">
        <v>385.51259092541005</v>
      </c>
      <c r="HU110" s="2420">
        <f>+'Material p salpicado'!C16</f>
        <v>398.4310022615349</v>
      </c>
      <c r="HV110" s="2417">
        <f>+'Material p salpicado'!D16</f>
        <v>407.15575613901268</v>
      </c>
      <c r="HW110" s="2417">
        <f>+'Material p salpicado'!E16</f>
        <v>411.6120512177007</v>
      </c>
      <c r="HX110" s="2417">
        <f>+'Material p salpicado'!F16</f>
        <v>423.10322210256317</v>
      </c>
      <c r="HY110" s="2417">
        <f>+'Material p salpicado'!G16</f>
        <v>430.15846305025445</v>
      </c>
      <c r="HZ110" s="2417">
        <f>+'Material p salpicado'!H16</f>
        <v>442.57906687433365</v>
      </c>
      <c r="IA110" s="2417">
        <f>+'Material p salpicado'!I16</f>
        <v>455.50663411980395</v>
      </c>
      <c r="IB110" s="2417">
        <f>+'Material p salpicado'!J16</f>
        <v>478.36223503418108</v>
      </c>
      <c r="IC110" s="2417">
        <f>+'Material p salpicado'!K16</f>
        <v>517.0604428670265</v>
      </c>
      <c r="ID110" s="2417">
        <f>+'Material p salpicado'!L16</f>
        <v>531.84687599093036</v>
      </c>
      <c r="IE110" s="2417">
        <f>+'Material p salpicado'!M16</f>
        <v>563.1518672618239</v>
      </c>
      <c r="IF110" s="2419">
        <f>+'Material p salpicado'!N16</f>
        <v>581.99400775685558</v>
      </c>
      <c r="IG110" s="2420">
        <f>+'Material p salpicado'!C25</f>
        <v>592.1049691827501</v>
      </c>
      <c r="IH110" s="2417">
        <f>+'Material p salpicado'!D25</f>
        <v>621.44791175256421</v>
      </c>
      <c r="II110" s="2417">
        <f>+'Material p salpicado'!E25</f>
        <v>646.58653035953421</v>
      </c>
      <c r="IJ110" s="2417">
        <f>+'Material p salpicado'!F25</f>
        <v>684.89250821425117</v>
      </c>
      <c r="IK110" s="2417">
        <f>+'Material p salpicado'!G25</f>
        <v>716.35092534028615</v>
      </c>
      <c r="IL110" s="2417">
        <f>+'Material p salpicado'!H25</f>
        <v>730.42122735636542</v>
      </c>
      <c r="IM110" s="2417">
        <f>+'Material p salpicado'!I25</f>
        <v>737.69688452668697</v>
      </c>
      <c r="IN110" s="2417">
        <f>+'Material p salpicado'!J25</f>
        <v>772.7425781915972</v>
      </c>
      <c r="IO110" s="2417">
        <f>+'Material p salpicado'!K25</f>
        <v>781.41908048959465</v>
      </c>
      <c r="IP110" s="2417">
        <f>+'Material p salpicado'!L25</f>
        <v>809.23903840107766</v>
      </c>
      <c r="IQ110" s="2417">
        <f>+'Material p salpicado'!M25</f>
        <v>828.37553724206964</v>
      </c>
      <c r="IR110" s="2419">
        <f>+'Material p salpicado'!N25</f>
        <v>848.29511549350946</v>
      </c>
      <c r="IS110" s="2420">
        <f>+'Material p salpicado'!C34</f>
        <v>876.59236809209301</v>
      </c>
      <c r="IT110" s="2417">
        <f>+'Material p salpicado'!D34</f>
        <v>905.56422819771365</v>
      </c>
      <c r="IU110" s="2417">
        <f>+'Material p salpicado'!E34</f>
        <v>950.88964085736723</v>
      </c>
      <c r="IV110" s="2417">
        <f>+'Material p salpicado'!F34</f>
        <v>995.33086395578766</v>
      </c>
      <c r="IW110" s="2417">
        <f>+'Material p salpicado'!G34</f>
        <v>1069.8867722419664</v>
      </c>
      <c r="IX110" s="2417">
        <f>+'Material p salpicado'!H34</f>
        <v>1119.6605530824322</v>
      </c>
      <c r="IY110" s="2417">
        <f>+'Material p salpicado'!I34</f>
        <v>1206.9199152342812</v>
      </c>
      <c r="IZ110" s="2417">
        <f>+'Material p salpicado'!J34</f>
        <v>1295.9177245466985</v>
      </c>
      <c r="JA110" s="2417">
        <f>+'Material p salpicado'!K34</f>
        <v>1367.8295578646714</v>
      </c>
      <c r="JB110" s="2417">
        <f>+'Material p salpicado'!L34</f>
        <v>1410.8369547793404</v>
      </c>
      <c r="JC110" s="2417">
        <f>+'Material p salpicado'!M34</f>
        <v>1539.2945473954715</v>
      </c>
      <c r="JD110" s="2415">
        <f>+'Material p salpicado'!N34</f>
        <v>1635.4893455784006</v>
      </c>
      <c r="JE110" s="2422">
        <f>+'Material p salpicado'!C43</f>
        <v>1735.3357914213561</v>
      </c>
      <c r="JF110" s="2418">
        <f>+'Material p salpicado'!D43</f>
        <v>1849.0223386682856</v>
      </c>
      <c r="JG110" s="2103">
        <f t="shared" si="13"/>
        <v>1.0655127081507449</v>
      </c>
      <c r="JI110" s="2155"/>
      <c r="JJ110" s="2104"/>
    </row>
    <row r="111" spans="2:270" ht="63.75" thickBot="1">
      <c r="B111" s="2167">
        <v>90</v>
      </c>
      <c r="C111" s="2168" t="s">
        <v>238</v>
      </c>
      <c r="D111" s="2427" t="s">
        <v>1219</v>
      </c>
      <c r="E111" s="2169" t="s">
        <v>239</v>
      </c>
      <c r="F111" s="2168" t="s">
        <v>918</v>
      </c>
      <c r="G111" s="2427" t="s">
        <v>1112</v>
      </c>
      <c r="H111" s="2168" t="s">
        <v>919</v>
      </c>
      <c r="I111" s="2168" t="s">
        <v>920</v>
      </c>
      <c r="J111" s="2170" t="s">
        <v>921</v>
      </c>
      <c r="K111" s="2427"/>
      <c r="L111" s="2171">
        <v>98.11</v>
      </c>
      <c r="M111" s="2171">
        <v>98.11</v>
      </c>
      <c r="N111" s="2171">
        <v>98.11</v>
      </c>
      <c r="O111" s="2171">
        <v>112.75</v>
      </c>
      <c r="P111" s="2171">
        <v>128.16</v>
      </c>
      <c r="Q111" s="2171">
        <v>167.34</v>
      </c>
      <c r="R111" s="2171">
        <v>197.82</v>
      </c>
      <c r="S111" s="2171">
        <v>202.86</v>
      </c>
      <c r="T111" s="2171">
        <v>204.31</v>
      </c>
      <c r="U111" s="2171">
        <v>202.8</v>
      </c>
      <c r="V111" s="2171">
        <v>199.83</v>
      </c>
      <c r="W111" s="2171">
        <v>199.83</v>
      </c>
      <c r="X111" s="2171">
        <v>199.83</v>
      </c>
      <c r="Y111" s="2171">
        <v>204.31</v>
      </c>
      <c r="Z111" s="2171">
        <v>204.31</v>
      </c>
      <c r="AA111" s="2171">
        <v>204.31</v>
      </c>
      <c r="AB111" s="2171">
        <v>207.29</v>
      </c>
      <c r="AC111" s="2171">
        <v>207.29</v>
      </c>
      <c r="AD111" s="2171">
        <v>207.29</v>
      </c>
      <c r="AE111" s="2171">
        <v>198.21</v>
      </c>
      <c r="AF111" s="2171">
        <v>198.21</v>
      </c>
      <c r="AG111" s="2171">
        <v>198.21</v>
      </c>
      <c r="AH111" s="2171">
        <v>198.21</v>
      </c>
      <c r="AI111" s="2171">
        <v>198.21</v>
      </c>
      <c r="AJ111" s="2171">
        <v>198.21</v>
      </c>
      <c r="AK111" s="2171">
        <v>198.21</v>
      </c>
      <c r="AL111" s="2171">
        <v>198.21</v>
      </c>
      <c r="AM111" s="2171">
        <v>198.21</v>
      </c>
      <c r="AN111" s="2171">
        <v>198.12</v>
      </c>
      <c r="AO111" s="2171">
        <v>203.22</v>
      </c>
      <c r="AP111" s="2171">
        <v>227.96</v>
      </c>
      <c r="AQ111" s="2171">
        <v>227.96</v>
      </c>
      <c r="AR111" s="2171">
        <v>227.96</v>
      </c>
      <c r="AS111" s="2171">
        <v>226.66</v>
      </c>
      <c r="AT111" s="2171">
        <v>226.66</v>
      </c>
      <c r="AU111" s="2171">
        <v>232.72</v>
      </c>
      <c r="AV111" s="2171">
        <v>236.3</v>
      </c>
      <c r="AW111" s="2172">
        <v>236.3</v>
      </c>
      <c r="AX111" s="2172">
        <v>245.97</v>
      </c>
      <c r="AY111" s="2172">
        <v>254.71</v>
      </c>
      <c r="AZ111" s="2172">
        <v>256.77</v>
      </c>
      <c r="BA111" s="2172">
        <v>269.83</v>
      </c>
      <c r="BB111" s="2172">
        <v>269.83</v>
      </c>
      <c r="BC111" s="2172">
        <v>269.83</v>
      </c>
      <c r="BD111" s="2173">
        <v>269.83</v>
      </c>
      <c r="BE111" s="2172">
        <v>287.64999999999998</v>
      </c>
      <c r="BF111" s="2173">
        <v>293.72000000000003</v>
      </c>
      <c r="BG111" s="2173">
        <v>291.26</v>
      </c>
      <c r="BH111" s="2173">
        <v>291.26</v>
      </c>
      <c r="BI111" s="2174">
        <v>297.55</v>
      </c>
      <c r="BJ111" s="2174">
        <v>297.55</v>
      </c>
      <c r="BK111" s="2174">
        <v>298.23</v>
      </c>
      <c r="BL111" s="2174">
        <v>298.23</v>
      </c>
      <c r="BM111" s="2174">
        <v>300.92</v>
      </c>
      <c r="BN111" s="2174">
        <v>300.89</v>
      </c>
      <c r="BO111" s="2174">
        <v>300.89</v>
      </c>
      <c r="BP111" s="2174">
        <v>314.45</v>
      </c>
      <c r="BQ111" s="2174">
        <v>314.45</v>
      </c>
      <c r="BR111" s="2174">
        <v>314.45</v>
      </c>
      <c r="BS111" s="2174">
        <v>314.45</v>
      </c>
      <c r="BT111" s="2174">
        <v>318.91000000000003</v>
      </c>
      <c r="BU111" s="2174">
        <v>318.91000000000003</v>
      </c>
      <c r="BV111" s="2174">
        <v>318.91000000000003</v>
      </c>
      <c r="BW111" s="2174">
        <v>318.97000000000003</v>
      </c>
      <c r="BX111" s="2174">
        <v>323.45</v>
      </c>
      <c r="BY111" s="2174">
        <v>335.34</v>
      </c>
      <c r="BZ111" s="2174">
        <v>335.34</v>
      </c>
      <c r="CA111" s="2174">
        <v>349.59</v>
      </c>
      <c r="CB111" s="2174">
        <v>364.22</v>
      </c>
      <c r="CC111" s="2174">
        <v>364.22</v>
      </c>
      <c r="CD111" s="2174">
        <v>367.45</v>
      </c>
      <c r="CE111" s="2174">
        <v>382.08</v>
      </c>
      <c r="CF111" s="2174">
        <v>383.69</v>
      </c>
      <c r="CG111" s="2174">
        <v>383.69</v>
      </c>
      <c r="CH111" s="2174">
        <v>385.37</v>
      </c>
      <c r="CI111" s="2174">
        <v>407.81</v>
      </c>
      <c r="CJ111" s="2174">
        <v>422.86</v>
      </c>
      <c r="CK111" s="2174">
        <v>425.96</v>
      </c>
      <c r="CL111" s="2174">
        <v>433.23</v>
      </c>
      <c r="CM111" s="2174">
        <v>433.23</v>
      </c>
      <c r="CN111" s="2174">
        <v>434.12</v>
      </c>
      <c r="CO111" s="2174">
        <v>437.12</v>
      </c>
      <c r="CP111" s="2174">
        <v>431.26</v>
      </c>
      <c r="CQ111" s="2174">
        <v>432.39</v>
      </c>
      <c r="CR111" s="2174">
        <v>432.63</v>
      </c>
      <c r="CS111" s="2174">
        <v>432.49</v>
      </c>
      <c r="CT111" s="2174">
        <v>432.49</v>
      </c>
      <c r="CU111" s="2174">
        <v>432.49</v>
      </c>
      <c r="CV111" s="2174">
        <v>434.55</v>
      </c>
      <c r="CW111" s="2174">
        <v>434.55</v>
      </c>
      <c r="CX111" s="2174">
        <v>455.5</v>
      </c>
      <c r="CY111" s="2174">
        <v>483.44</v>
      </c>
      <c r="CZ111" s="2174">
        <v>519.14</v>
      </c>
      <c r="DA111" s="2174">
        <v>515.49</v>
      </c>
      <c r="DB111" s="2174">
        <v>526.74</v>
      </c>
      <c r="DC111" s="2174">
        <v>542.66999999999996</v>
      </c>
      <c r="DD111" s="2174">
        <v>550.61</v>
      </c>
      <c r="DE111" s="2174">
        <v>559.04</v>
      </c>
      <c r="DF111" s="2174">
        <v>556.14</v>
      </c>
      <c r="DG111" s="2174">
        <v>582.66</v>
      </c>
      <c r="DH111" s="2174">
        <v>607.1</v>
      </c>
      <c r="DI111" s="2174">
        <v>606.35</v>
      </c>
      <c r="DJ111" s="2174">
        <v>606.48</v>
      </c>
      <c r="DK111" s="2174">
        <v>613.84</v>
      </c>
      <c r="DL111" s="2174">
        <v>630.75</v>
      </c>
      <c r="DM111" s="2174">
        <v>635.76</v>
      </c>
      <c r="DN111" s="2174">
        <v>641.33000000000004</v>
      </c>
      <c r="DO111" s="2174">
        <v>656.94</v>
      </c>
      <c r="DP111" s="2174">
        <v>673.69</v>
      </c>
      <c r="DQ111" s="2174">
        <v>699.04</v>
      </c>
      <c r="DR111" s="2174">
        <v>699.04</v>
      </c>
      <c r="DS111" s="2174">
        <v>710.12</v>
      </c>
      <c r="DT111" s="2174">
        <v>733.06</v>
      </c>
      <c r="DU111" s="2174">
        <v>751.23</v>
      </c>
      <c r="DV111" s="2174">
        <v>772.89</v>
      </c>
      <c r="DW111" s="2174">
        <v>800.86</v>
      </c>
      <c r="DX111" s="2174">
        <v>820.7</v>
      </c>
      <c r="DY111" s="2174">
        <v>841.76</v>
      </c>
      <c r="DZ111" s="2174">
        <v>856.55</v>
      </c>
      <c r="EA111" s="2174">
        <v>909.66</v>
      </c>
      <c r="EB111" s="2174">
        <v>925.92</v>
      </c>
      <c r="EC111" s="2174">
        <v>960.68</v>
      </c>
      <c r="ED111" s="2174">
        <v>1016.06</v>
      </c>
      <c r="EE111" s="2174">
        <v>1044.69</v>
      </c>
      <c r="EF111" s="2174">
        <v>1051.3399999999999</v>
      </c>
      <c r="EG111" s="2174">
        <v>1083.4100000000001</v>
      </c>
      <c r="EH111" s="2174">
        <v>1082.93</v>
      </c>
      <c r="EI111" s="2174">
        <v>1084.21</v>
      </c>
      <c r="EJ111" s="2174">
        <v>1095.2</v>
      </c>
      <c r="EK111" s="2174">
        <v>1142.4000000000001</v>
      </c>
      <c r="EL111" s="2174">
        <v>1150.33</v>
      </c>
      <c r="EM111" s="2174">
        <v>1194.5899999999999</v>
      </c>
      <c r="EN111" s="2174">
        <v>1209.8</v>
      </c>
      <c r="EO111" s="2174">
        <v>1244.6500000000001</v>
      </c>
      <c r="EP111" s="2174">
        <v>1289.96</v>
      </c>
      <c r="EQ111" s="2174">
        <v>1287.99</v>
      </c>
      <c r="ER111" s="2174">
        <v>1333.33</v>
      </c>
      <c r="ES111" s="2174">
        <v>1347.93</v>
      </c>
      <c r="ET111" s="2174">
        <v>1349.68</v>
      </c>
      <c r="EU111" s="2174">
        <v>1375.82</v>
      </c>
      <c r="EV111" s="2174">
        <v>1392.43</v>
      </c>
      <c r="EW111" s="2174">
        <v>1393.71</v>
      </c>
      <c r="EX111" s="2174">
        <v>1393.46</v>
      </c>
      <c r="EY111" s="2174">
        <v>1438.82</v>
      </c>
      <c r="EZ111" s="2174">
        <v>1440.2</v>
      </c>
      <c r="FA111" s="2174">
        <v>1470.06</v>
      </c>
      <c r="FB111" s="2174">
        <v>1505.89</v>
      </c>
      <c r="FC111" s="2174">
        <v>1563.24</v>
      </c>
      <c r="FD111" s="2174">
        <v>1580.55</v>
      </c>
      <c r="FE111" s="2174">
        <v>1620.11</v>
      </c>
      <c r="FF111" s="2174">
        <v>1660.24</v>
      </c>
      <c r="FG111" s="2174">
        <v>1678.81</v>
      </c>
      <c r="FH111" s="2174">
        <v>1680.19</v>
      </c>
      <c r="FI111" s="2174">
        <v>1719.52</v>
      </c>
      <c r="FJ111" s="2174">
        <v>1762.2</v>
      </c>
      <c r="FK111" s="2174">
        <v>1762.2</v>
      </c>
      <c r="FL111" s="2174">
        <v>1762.2</v>
      </c>
      <c r="FM111" s="2174">
        <v>1788.44</v>
      </c>
      <c r="FN111" s="2174">
        <v>1788.44</v>
      </c>
      <c r="FO111" s="2174">
        <v>1789.82</v>
      </c>
      <c r="FP111" s="2174">
        <v>1818.39</v>
      </c>
      <c r="FQ111" s="2174">
        <v>1863.07</v>
      </c>
      <c r="FR111" s="2174">
        <v>1863.07</v>
      </c>
      <c r="FS111" s="2174">
        <v>1863.82</v>
      </c>
      <c r="FT111" s="2174">
        <v>1886.56</v>
      </c>
      <c r="FU111" s="2174">
        <v>1910.9</v>
      </c>
      <c r="FV111" s="2174">
        <v>1934.59</v>
      </c>
      <c r="FW111" s="2175">
        <v>2434.7422518126214</v>
      </c>
      <c r="FX111" s="2175">
        <v>2439.5260516748126</v>
      </c>
      <c r="FY111" s="2175">
        <v>100</v>
      </c>
      <c r="FZ111" s="2175">
        <v>99.88380074501039</v>
      </c>
      <c r="GA111" s="2175">
        <v>100.28914145767233</v>
      </c>
      <c r="GB111" s="2175">
        <v>100.42065082800343</v>
      </c>
      <c r="GC111" s="2175">
        <v>100.47460446051097</v>
      </c>
      <c r="GD111" s="2175">
        <v>100.84117603824043</v>
      </c>
      <c r="GE111" s="2175">
        <v>102.34496867183395</v>
      </c>
      <c r="GF111" s="2295">
        <v>103.32722859240353</v>
      </c>
      <c r="GG111" s="2296">
        <v>103.32722859240353</v>
      </c>
      <c r="GH111" s="2295">
        <v>104.34603907101153</v>
      </c>
      <c r="GI111" s="2295">
        <v>106.8753141913253</v>
      </c>
      <c r="GJ111" s="2175">
        <v>106.86410889494819</v>
      </c>
      <c r="GK111" s="2175">
        <v>108.99758001542058</v>
      </c>
      <c r="GL111" s="2175">
        <v>107.63993865877461</v>
      </c>
      <c r="GM111" s="2295">
        <v>108.72331745308236</v>
      </c>
      <c r="GN111" s="2295">
        <v>111.1532526373294</v>
      </c>
      <c r="GO111" s="2297">
        <v>111.9739223720569</v>
      </c>
      <c r="GP111" s="2298">
        <v>112.84317908291891</v>
      </c>
      <c r="GQ111" s="2298">
        <v>113.88329771164376</v>
      </c>
      <c r="GR111" s="2298">
        <v>114.67362146694182</v>
      </c>
      <c r="GS111" s="2298">
        <v>114.80258576529968</v>
      </c>
      <c r="GT111" s="2296">
        <v>115.40999085134271</v>
      </c>
      <c r="GU111" s="2296">
        <v>117.99920821115271</v>
      </c>
      <c r="GV111" s="2296">
        <v>118.46669765465626</v>
      </c>
      <c r="GW111" s="2296">
        <v>121.89879123492851</v>
      </c>
      <c r="GX111" s="2296">
        <v>124.26140453998724</v>
      </c>
      <c r="GY111" s="2296">
        <v>125.73553155519606</v>
      </c>
      <c r="GZ111" s="2296">
        <v>137.01550555757109</v>
      </c>
      <c r="HA111" s="2296">
        <v>145.68666155936648</v>
      </c>
      <c r="HB111" s="2296">
        <v>161.0790750142298</v>
      </c>
      <c r="HC111" s="2296">
        <v>162.53238762490992</v>
      </c>
      <c r="HD111" s="2296">
        <v>173.99995688475693</v>
      </c>
      <c r="HE111" s="2296">
        <v>206.43806842716859</v>
      </c>
      <c r="HF111" s="2296">
        <v>218.02241588933458</v>
      </c>
      <c r="HG111" s="2296">
        <v>222.53879087832377</v>
      </c>
      <c r="HH111" s="2299">
        <v>223.72569218459378</v>
      </c>
      <c r="HI111" s="2296">
        <v>221.2413248837446</v>
      </c>
      <c r="HJ111" s="2296">
        <v>232.45013359565766</v>
      </c>
      <c r="HK111" s="2296">
        <v>227.59548232066828</v>
      </c>
      <c r="HL111" s="2296">
        <v>236.93076783030477</v>
      </c>
      <c r="HM111" s="2296">
        <v>250.58160690237881</v>
      </c>
      <c r="HN111" s="2296">
        <v>262.75689024753103</v>
      </c>
      <c r="HO111" s="2296">
        <v>262.32614124712524</v>
      </c>
      <c r="HP111" s="2296">
        <v>293.8580156842429</v>
      </c>
      <c r="HQ111" s="2296">
        <v>321.01716847785355</v>
      </c>
      <c r="HR111" s="2296">
        <v>325.6576378560996</v>
      </c>
      <c r="HS111" s="2296">
        <v>325.6576378560996</v>
      </c>
      <c r="HT111" s="2300">
        <v>325.6576378560996</v>
      </c>
      <c r="HU111" s="2301">
        <v>336.03193211224715</v>
      </c>
      <c r="HV111" s="2296">
        <v>336.71385937236192</v>
      </c>
      <c r="HW111" s="2296">
        <v>370.38430783234605</v>
      </c>
      <c r="HX111" s="2296">
        <v>370.38430783234605</v>
      </c>
      <c r="HY111" s="2296">
        <v>370.38430783234605</v>
      </c>
      <c r="HZ111" s="2296">
        <v>370.38430783234605</v>
      </c>
      <c r="IA111" s="2296">
        <v>370.38430783234605</v>
      </c>
      <c r="IB111" s="2296">
        <v>381.36347390187342</v>
      </c>
      <c r="IC111" s="2296">
        <v>381.36347390187342</v>
      </c>
      <c r="ID111" s="2296">
        <v>381.36347390187342</v>
      </c>
      <c r="IE111" s="2296">
        <v>417.24447062163</v>
      </c>
      <c r="IF111" s="2296">
        <v>417.24447062163</v>
      </c>
      <c r="IG111" s="2301">
        <v>446.02999795730284</v>
      </c>
      <c r="IH111" s="2296">
        <v>469.91815619861814</v>
      </c>
      <c r="II111" s="2296">
        <v>591.73805237948375</v>
      </c>
      <c r="IJ111" s="2301">
        <v>745.40033398713285</v>
      </c>
      <c r="IK111" s="2296">
        <v>745.40033398713285</v>
      </c>
      <c r="IL111" s="2296">
        <v>808.97278095495528</v>
      </c>
      <c r="IM111" s="2296">
        <v>848.61626002395337</v>
      </c>
      <c r="IN111" s="2296">
        <v>931.45549398166133</v>
      </c>
      <c r="IO111" s="2296">
        <v>941.96091477053346</v>
      </c>
      <c r="IP111" s="2296">
        <v>993.13931988264562</v>
      </c>
      <c r="IQ111" s="2296">
        <v>1014.2688554828088</v>
      </c>
      <c r="IR111" s="2296">
        <v>1014.2688554828088</v>
      </c>
      <c r="IS111" s="2302">
        <v>1032.7592105677695</v>
      </c>
      <c r="IT111" s="2296">
        <v>1061.2263469674219</v>
      </c>
      <c r="IU111" s="2296">
        <v>1142.411739242265</v>
      </c>
      <c r="IV111" s="2296">
        <v>1252.3492111331934</v>
      </c>
      <c r="IW111" s="2296">
        <v>1195.9192932802719</v>
      </c>
      <c r="IX111" s="2296">
        <v>1259.9352001296575</v>
      </c>
      <c r="IY111" s="2296">
        <v>1459.3804165188658</v>
      </c>
      <c r="IZ111" s="2296">
        <v>1536.1364253353977</v>
      </c>
      <c r="JA111" s="2296">
        <v>1629.8507189315812</v>
      </c>
      <c r="JB111" s="2296">
        <v>1734.0352644102306</v>
      </c>
      <c r="JC111" s="2296">
        <v>1819.9055937909177</v>
      </c>
      <c r="JD111" s="2296">
        <v>1934.1333251793596</v>
      </c>
      <c r="JE111" s="2302">
        <v>1958.8617818357334</v>
      </c>
      <c r="JF111" s="2299">
        <v>2074.6554699509975</v>
      </c>
      <c r="JG111" s="2103">
        <f t="shared" si="13"/>
        <v>1.0591127404643879</v>
      </c>
      <c r="JI111" s="2155"/>
      <c r="JJ111" s="2104"/>
    </row>
    <row r="112" spans="2:270" ht="31.5">
      <c r="B112" s="2276">
        <v>91</v>
      </c>
      <c r="C112" s="2277" t="s">
        <v>240</v>
      </c>
      <c r="D112" s="2278" t="s">
        <v>1220</v>
      </c>
      <c r="E112" s="2303" t="s">
        <v>241</v>
      </c>
      <c r="F112" s="2277" t="s">
        <v>918</v>
      </c>
      <c r="G112" s="2278" t="s">
        <v>1112</v>
      </c>
      <c r="H112" s="2277" t="s">
        <v>929</v>
      </c>
      <c r="I112" s="2277" t="s">
        <v>930</v>
      </c>
      <c r="J112" s="2280" t="s">
        <v>921</v>
      </c>
      <c r="K112" s="2278"/>
      <c r="L112" s="2281">
        <v>95.2</v>
      </c>
      <c r="M112" s="2281">
        <v>101.4</v>
      </c>
      <c r="N112" s="2281">
        <v>104.6</v>
      </c>
      <c r="O112" s="2281">
        <v>121.5</v>
      </c>
      <c r="P112" s="2281">
        <v>136.30000000000001</v>
      </c>
      <c r="Q112" s="2281">
        <v>138.4</v>
      </c>
      <c r="R112" s="2281">
        <v>139.1</v>
      </c>
      <c r="S112" s="2281">
        <v>140.5</v>
      </c>
      <c r="T112" s="2281">
        <v>142.30000000000001</v>
      </c>
      <c r="U112" s="2281">
        <v>142.30000000000001</v>
      </c>
      <c r="V112" s="2281">
        <v>142.30000000000001</v>
      </c>
      <c r="W112" s="2281">
        <v>142.30000000000001</v>
      </c>
      <c r="X112" s="2281">
        <v>142.30000000000001</v>
      </c>
      <c r="Y112" s="2281">
        <v>146.6</v>
      </c>
      <c r="Z112" s="2281">
        <v>148.19999999999999</v>
      </c>
      <c r="AA112" s="2281">
        <v>148.19999999999999</v>
      </c>
      <c r="AB112" s="2281">
        <v>148.19999999999999</v>
      </c>
      <c r="AC112" s="2281">
        <v>148.19999999999999</v>
      </c>
      <c r="AD112" s="2281">
        <v>148.19999999999999</v>
      </c>
      <c r="AE112" s="2281">
        <v>144.19999999999999</v>
      </c>
      <c r="AF112" s="2281">
        <v>146.30000000000001</v>
      </c>
      <c r="AG112" s="2281">
        <v>146.30000000000001</v>
      </c>
      <c r="AH112" s="2281">
        <v>148.80000000000001</v>
      </c>
      <c r="AI112" s="2281">
        <v>148.80000000000001</v>
      </c>
      <c r="AJ112" s="2281">
        <v>150.19999999999999</v>
      </c>
      <c r="AK112" s="2281">
        <v>154.1</v>
      </c>
      <c r="AL112" s="2281">
        <v>154.1</v>
      </c>
      <c r="AM112" s="2281">
        <v>155</v>
      </c>
      <c r="AN112" s="2281">
        <v>158.6</v>
      </c>
      <c r="AO112" s="2281">
        <v>159.30000000000001</v>
      </c>
      <c r="AP112" s="2281">
        <v>159.30000000000001</v>
      </c>
      <c r="AQ112" s="2281">
        <v>159.30000000000001</v>
      </c>
      <c r="AR112" s="2281">
        <v>159.19999999999999</v>
      </c>
      <c r="AS112" s="2281">
        <v>159.30000000000001</v>
      </c>
      <c r="AT112" s="2281">
        <v>159.30000000000001</v>
      </c>
      <c r="AU112" s="2281">
        <v>159.30000000000001</v>
      </c>
      <c r="AV112" s="2281">
        <v>164</v>
      </c>
      <c r="AW112" s="2282">
        <v>164</v>
      </c>
      <c r="AX112" s="2282">
        <v>164</v>
      </c>
      <c r="AY112" s="2282">
        <v>164.5</v>
      </c>
      <c r="AZ112" s="2282">
        <v>165.4</v>
      </c>
      <c r="BA112" s="2282">
        <v>165.5</v>
      </c>
      <c r="BB112" s="2282">
        <v>165.5</v>
      </c>
      <c r="BC112" s="2282">
        <v>165.5</v>
      </c>
      <c r="BD112" s="2283">
        <v>165.5</v>
      </c>
      <c r="BE112" s="2282">
        <v>295.60000000000002</v>
      </c>
      <c r="BF112" s="2283">
        <v>165.8</v>
      </c>
      <c r="BG112" s="2283">
        <v>165.8</v>
      </c>
      <c r="BH112" s="2283">
        <v>168.3</v>
      </c>
      <c r="BI112" s="2284">
        <v>172.9</v>
      </c>
      <c r="BJ112" s="2284">
        <v>173</v>
      </c>
      <c r="BK112" s="2284">
        <v>173</v>
      </c>
      <c r="BL112" s="2284">
        <v>173</v>
      </c>
      <c r="BM112" s="2284">
        <v>173</v>
      </c>
      <c r="BN112" s="2284">
        <v>175.8</v>
      </c>
      <c r="BO112" s="2284">
        <v>185.6</v>
      </c>
      <c r="BP112" s="2284">
        <v>185.6</v>
      </c>
      <c r="BQ112" s="2284">
        <v>185.6</v>
      </c>
      <c r="BR112" s="2284">
        <v>185.6</v>
      </c>
      <c r="BS112" s="2284">
        <v>185.6</v>
      </c>
      <c r="BT112" s="2284">
        <v>185.6</v>
      </c>
      <c r="BU112" s="2284">
        <v>188.7</v>
      </c>
      <c r="BV112" s="2284">
        <v>188.7</v>
      </c>
      <c r="BW112" s="2284">
        <v>189</v>
      </c>
      <c r="BX112" s="2284">
        <v>189</v>
      </c>
      <c r="BY112" s="2284">
        <v>197.3</v>
      </c>
      <c r="BZ112" s="2284">
        <v>196.8</v>
      </c>
      <c r="CA112" s="2284">
        <v>201.2</v>
      </c>
      <c r="CB112" s="2284">
        <v>201.2</v>
      </c>
      <c r="CC112" s="2284">
        <v>206</v>
      </c>
      <c r="CD112" s="2284">
        <v>211.3</v>
      </c>
      <c r="CE112" s="2284">
        <v>215.1</v>
      </c>
      <c r="CF112" s="2284">
        <v>217.7</v>
      </c>
      <c r="CG112" s="2284">
        <v>220.1</v>
      </c>
      <c r="CH112" s="2284">
        <v>222.1</v>
      </c>
      <c r="CI112" s="2284">
        <v>227.3</v>
      </c>
      <c r="CJ112" s="2284">
        <v>236</v>
      </c>
      <c r="CK112" s="2284">
        <v>236</v>
      </c>
      <c r="CL112" s="2284">
        <v>237.6</v>
      </c>
      <c r="CM112" s="2284">
        <v>240.1</v>
      </c>
      <c r="CN112" s="2284">
        <v>240.1</v>
      </c>
      <c r="CO112" s="2284">
        <v>246.6</v>
      </c>
      <c r="CP112" s="2284">
        <v>250.6</v>
      </c>
      <c r="CQ112" s="2284">
        <v>251.9</v>
      </c>
      <c r="CR112" s="2284">
        <v>257.2</v>
      </c>
      <c r="CS112" s="2284">
        <v>258.3</v>
      </c>
      <c r="CT112" s="2284">
        <v>259.10000000000002</v>
      </c>
      <c r="CU112" s="2284">
        <v>264.39999999999998</v>
      </c>
      <c r="CV112" s="2284">
        <v>265.10000000000002</v>
      </c>
      <c r="CW112" s="2284">
        <v>265.5</v>
      </c>
      <c r="CX112" s="2284">
        <v>274.2</v>
      </c>
      <c r="CY112" s="2284">
        <v>269.5</v>
      </c>
      <c r="CZ112" s="2284">
        <v>270.2</v>
      </c>
      <c r="DA112" s="2284">
        <v>278.60000000000002</v>
      </c>
      <c r="DB112" s="2284">
        <v>286.2</v>
      </c>
      <c r="DC112" s="2284">
        <v>286.2</v>
      </c>
      <c r="DD112" s="2284">
        <v>286.5</v>
      </c>
      <c r="DE112" s="2284">
        <v>286.5</v>
      </c>
      <c r="DF112" s="2284">
        <v>288.3</v>
      </c>
      <c r="DG112" s="2284">
        <v>293</v>
      </c>
      <c r="DH112" s="2284">
        <v>301.7</v>
      </c>
      <c r="DI112" s="2284">
        <v>312.39999999999998</v>
      </c>
      <c r="DJ112" s="2284">
        <v>333</v>
      </c>
      <c r="DK112" s="2284">
        <v>334.1</v>
      </c>
      <c r="DL112" s="2284">
        <v>334.6</v>
      </c>
      <c r="DM112" s="2284">
        <v>338.2</v>
      </c>
      <c r="DN112" s="2284">
        <v>337.6</v>
      </c>
      <c r="DO112" s="2284">
        <v>346.5</v>
      </c>
      <c r="DP112" s="2284">
        <v>344.3</v>
      </c>
      <c r="DQ112" s="2284">
        <v>346.5</v>
      </c>
      <c r="DR112" s="2284">
        <v>343.8</v>
      </c>
      <c r="DS112" s="2284">
        <v>344.7</v>
      </c>
      <c r="DT112" s="2284">
        <v>346.5</v>
      </c>
      <c r="DU112" s="2284">
        <v>355.1</v>
      </c>
      <c r="DV112" s="2284">
        <v>360</v>
      </c>
      <c r="DW112" s="2284">
        <v>363</v>
      </c>
      <c r="DX112" s="2284">
        <v>373.1</v>
      </c>
      <c r="DY112" s="2284">
        <v>388</v>
      </c>
      <c r="DZ112" s="2284">
        <v>392.4</v>
      </c>
      <c r="EA112" s="2284">
        <v>401.2</v>
      </c>
      <c r="EB112" s="2284">
        <v>410</v>
      </c>
      <c r="EC112" s="2284">
        <v>410.2</v>
      </c>
      <c r="ED112" s="2284">
        <v>459.7</v>
      </c>
      <c r="EE112" s="2284">
        <v>461.2</v>
      </c>
      <c r="EF112" s="2284">
        <v>469.9</v>
      </c>
      <c r="EG112" s="2284">
        <v>478.4</v>
      </c>
      <c r="EH112" s="2284">
        <v>492.3</v>
      </c>
      <c r="EI112" s="2284">
        <v>500.8</v>
      </c>
      <c r="EJ112" s="2284">
        <v>500.7</v>
      </c>
      <c r="EK112" s="2284">
        <v>519.6</v>
      </c>
      <c r="EL112" s="2284">
        <v>526.9</v>
      </c>
      <c r="EM112" s="2284">
        <v>538</v>
      </c>
      <c r="EN112" s="2284">
        <v>540.79999999999995</v>
      </c>
      <c r="EO112" s="2284">
        <v>534.70000000000005</v>
      </c>
      <c r="EP112" s="2284">
        <v>555.79999999999995</v>
      </c>
      <c r="EQ112" s="2284">
        <v>567.6</v>
      </c>
      <c r="ER112" s="2284">
        <v>567.6</v>
      </c>
      <c r="ES112" s="2284">
        <v>571.5</v>
      </c>
      <c r="ET112" s="2284">
        <v>613.20000000000005</v>
      </c>
      <c r="EU112" s="2284">
        <v>622</v>
      </c>
      <c r="EV112" s="2284">
        <v>626.5</v>
      </c>
      <c r="EW112" s="2284">
        <v>635.29999999999995</v>
      </c>
      <c r="EX112" s="2284">
        <v>647.79999999999995</v>
      </c>
      <c r="EY112" s="2284">
        <v>676.6</v>
      </c>
      <c r="EZ112" s="2284">
        <v>695.3</v>
      </c>
      <c r="FA112" s="2284">
        <v>711.8</v>
      </c>
      <c r="FB112" s="2284">
        <v>763.5</v>
      </c>
      <c r="FC112" s="2284">
        <v>789</v>
      </c>
      <c r="FD112" s="2284">
        <v>798.1</v>
      </c>
      <c r="FE112" s="2284">
        <v>852.7</v>
      </c>
      <c r="FF112" s="2284">
        <v>857.1</v>
      </c>
      <c r="FG112" s="2284">
        <v>864.2</v>
      </c>
      <c r="FH112" s="2284">
        <v>878.6</v>
      </c>
      <c r="FI112" s="2284">
        <v>1061.0999999999999</v>
      </c>
      <c r="FJ112" s="2284">
        <v>1096.4000000000001</v>
      </c>
      <c r="FK112" s="2284">
        <v>1103.5</v>
      </c>
      <c r="FL112" s="2284">
        <v>1116.5999999999999</v>
      </c>
      <c r="FM112" s="2284">
        <v>1119.5999999999999</v>
      </c>
      <c r="FN112" s="2284">
        <v>1123.2</v>
      </c>
      <c r="FO112" s="2284">
        <v>1139.5</v>
      </c>
      <c r="FP112" s="2284">
        <v>1143</v>
      </c>
      <c r="FQ112" s="2284">
        <v>1163.5</v>
      </c>
      <c r="FR112" s="2284">
        <v>1195.9000000000001</v>
      </c>
      <c r="FS112" s="2284">
        <v>1308.5</v>
      </c>
      <c r="FT112" s="2284">
        <v>1364.4</v>
      </c>
      <c r="FU112" s="2284">
        <v>1463.1</v>
      </c>
      <c r="FV112" s="2284">
        <v>1519.1</v>
      </c>
      <c r="FW112" s="2285">
        <v>1245.8481238089025</v>
      </c>
      <c r="FX112" s="2285">
        <v>1313.7350935413122</v>
      </c>
      <c r="FY112" s="2285">
        <v>100</v>
      </c>
      <c r="FZ112" s="2285">
        <v>103.76343727111816</v>
      </c>
      <c r="GA112" s="2285">
        <v>104.34243189952213</v>
      </c>
      <c r="GB112" s="2285">
        <v>107.24896900369879</v>
      </c>
      <c r="GC112" s="2285">
        <v>107.8279538376905</v>
      </c>
      <c r="GD112" s="2285">
        <v>107.8279538376905</v>
      </c>
      <c r="GE112" s="2285">
        <v>114.51529612190005</v>
      </c>
      <c r="GF112" s="2286">
        <v>114.66004071895125</v>
      </c>
      <c r="GG112" s="2287">
        <v>114.66004071895125</v>
      </c>
      <c r="GH112" s="2286">
        <v>114.66004071895125</v>
      </c>
      <c r="GI112" s="2286">
        <v>115.8469759000816</v>
      </c>
      <c r="GJ112" s="2285">
        <v>115.8469759000816</v>
      </c>
      <c r="GK112" s="2285">
        <v>115.8469759000816</v>
      </c>
      <c r="GL112" s="2285">
        <v>115.8469759000816</v>
      </c>
      <c r="GM112" s="2286">
        <v>115.8469759000816</v>
      </c>
      <c r="GN112" s="2286">
        <v>115.98598771937394</v>
      </c>
      <c r="GO112" s="2288">
        <v>116.29284161282754</v>
      </c>
      <c r="GP112" s="2289">
        <v>116.29284161282754</v>
      </c>
      <c r="GQ112" s="2289">
        <v>116.29284161282754</v>
      </c>
      <c r="GR112" s="2289">
        <v>116.29284161282754</v>
      </c>
      <c r="GS112" s="2289">
        <v>117.10339443201028</v>
      </c>
      <c r="GT112" s="2287">
        <v>117.10339443201028</v>
      </c>
      <c r="GU112" s="2287">
        <v>117.10339443201028</v>
      </c>
      <c r="GV112" s="2287">
        <v>117.10339443201028</v>
      </c>
      <c r="GW112" s="2287">
        <v>118.26131899565087</v>
      </c>
      <c r="GX112" s="2287">
        <v>118.26131899565087</v>
      </c>
      <c r="GY112" s="2287">
        <v>119.37292019831621</v>
      </c>
      <c r="GZ112" s="2287">
        <v>120.38468463565552</v>
      </c>
      <c r="HA112" s="2287">
        <v>124.95414916009983</v>
      </c>
      <c r="HB112" s="2287">
        <v>126.48923993986249</v>
      </c>
      <c r="HC112" s="2287">
        <v>131.04241698443064</v>
      </c>
      <c r="HD112" s="2287">
        <v>132.74604637954323</v>
      </c>
      <c r="HE112" s="2287">
        <v>148.63018354427584</v>
      </c>
      <c r="HF112" s="2287">
        <v>151.41741925014452</v>
      </c>
      <c r="HG112" s="2287">
        <v>155.50291973905846</v>
      </c>
      <c r="HH112" s="2290">
        <v>155.50291973905846</v>
      </c>
      <c r="HI112" s="2287">
        <v>156.2379247212466</v>
      </c>
      <c r="HJ112" s="2287">
        <v>161.15908036299768</v>
      </c>
      <c r="HK112" s="2287">
        <v>161.15908036299768</v>
      </c>
      <c r="HL112" s="2287">
        <v>163.9363685085367</v>
      </c>
      <c r="HM112" s="2287">
        <v>166.05452757366839</v>
      </c>
      <c r="HN112" s="2287">
        <v>177.58724710865224</v>
      </c>
      <c r="HO112" s="2287">
        <v>179.73889568552678</v>
      </c>
      <c r="HP112" s="2287">
        <v>202.79965791658194</v>
      </c>
      <c r="HQ112" s="2287">
        <v>202.79965791658194</v>
      </c>
      <c r="HR112" s="2287">
        <v>204.6630797204991</v>
      </c>
      <c r="HS112" s="2287">
        <v>204.6630797204991</v>
      </c>
      <c r="HT112" s="2291">
        <v>204.6630797204991</v>
      </c>
      <c r="HU112" s="2292">
        <v>227.28890412915379</v>
      </c>
      <c r="HV112" s="2287">
        <v>230.18386458809098</v>
      </c>
      <c r="HW112" s="2287">
        <v>230.18386458809098</v>
      </c>
      <c r="HX112" s="2287">
        <v>230.18386458809098</v>
      </c>
      <c r="HY112" s="2287">
        <v>230.18386458809098</v>
      </c>
      <c r="HZ112" s="2287">
        <v>234.16503205738186</v>
      </c>
      <c r="IA112" s="2287">
        <v>239.99210243818538</v>
      </c>
      <c r="IB112" s="2287">
        <v>261.86119397481821</v>
      </c>
      <c r="IC112" s="2287">
        <v>262.48896583088811</v>
      </c>
      <c r="ID112" s="2287">
        <v>289.02467421414792</v>
      </c>
      <c r="IE112" s="2287">
        <v>293.63442312820598</v>
      </c>
      <c r="IF112" s="2287">
        <v>307.24250093968703</v>
      </c>
      <c r="IG112" s="2292">
        <v>313.46149906484357</v>
      </c>
      <c r="IH112" s="2287">
        <v>323.48795904466743</v>
      </c>
      <c r="II112" s="2287">
        <v>336.436000228941</v>
      </c>
      <c r="IJ112" s="2292">
        <v>350.72019137188039</v>
      </c>
      <c r="IK112" s="2287">
        <v>362.09051632824918</v>
      </c>
      <c r="IL112" s="2287">
        <v>373.22037279512591</v>
      </c>
      <c r="IM112" s="2287">
        <v>387.62904408277444</v>
      </c>
      <c r="IN112" s="2287">
        <v>413.60882991597776</v>
      </c>
      <c r="IO112" s="2287">
        <v>437.9362672695608</v>
      </c>
      <c r="IP112" s="2287">
        <v>457.86376059842968</v>
      </c>
      <c r="IQ112" s="2287">
        <v>477.89987876221699</v>
      </c>
      <c r="IR112" s="2287">
        <v>500.37091060526262</v>
      </c>
      <c r="IS112" s="2293">
        <v>527.01375427608104</v>
      </c>
      <c r="IT112" s="2287">
        <v>538.21974874524801</v>
      </c>
      <c r="IU112" s="2287">
        <v>556.8398479680867</v>
      </c>
      <c r="IV112" s="2287">
        <v>585.30447776854646</v>
      </c>
      <c r="IW112" s="2287">
        <v>612.25093554722162</v>
      </c>
      <c r="IX112" s="2287">
        <v>641.96716168249543</v>
      </c>
      <c r="IY112" s="2287">
        <v>732.5832122117389</v>
      </c>
      <c r="IZ112" s="2287">
        <v>776.85339148952119</v>
      </c>
      <c r="JA112" s="2287">
        <v>802.01848885246602</v>
      </c>
      <c r="JB112" s="2287">
        <v>866.61217369129758</v>
      </c>
      <c r="JC112" s="2287">
        <v>905.18130107874856</v>
      </c>
      <c r="JD112" s="2287">
        <v>954.02547193934492</v>
      </c>
      <c r="JE112" s="2293">
        <v>995.27484225850969</v>
      </c>
      <c r="JF112" s="2290">
        <v>1073.0620979142395</v>
      </c>
      <c r="JG112" s="2103">
        <f t="shared" si="13"/>
        <v>1.0781565577194863</v>
      </c>
      <c r="JI112" s="2155"/>
      <c r="JJ112" s="2104"/>
    </row>
    <row r="113" spans="2:270" ht="31.5">
      <c r="B113" s="2105">
        <v>92</v>
      </c>
      <c r="C113" s="2106"/>
      <c r="D113" s="2425" t="s">
        <v>1221</v>
      </c>
      <c r="E113" s="2128" t="s">
        <v>242</v>
      </c>
      <c r="F113" s="2106" t="s">
        <v>918</v>
      </c>
      <c r="G113" s="2425" t="s">
        <v>1112</v>
      </c>
      <c r="H113" s="2138" t="s">
        <v>64</v>
      </c>
      <c r="I113" s="2106" t="s">
        <v>920</v>
      </c>
      <c r="J113" s="2359" t="s">
        <v>420</v>
      </c>
      <c r="K113" s="2425"/>
      <c r="L113" s="2110">
        <v>108</v>
      </c>
      <c r="M113" s="2110">
        <v>113.7</v>
      </c>
      <c r="N113" s="2110">
        <v>124.7</v>
      </c>
      <c r="O113" s="2110">
        <v>137.6</v>
      </c>
      <c r="P113" s="2110">
        <v>175.7</v>
      </c>
      <c r="Q113" s="2110">
        <v>180.6</v>
      </c>
      <c r="R113" s="2110">
        <v>194.2</v>
      </c>
      <c r="S113" s="2110">
        <v>201.2</v>
      </c>
      <c r="T113" s="2110">
        <v>204</v>
      </c>
      <c r="U113" s="2110">
        <v>206.6</v>
      </c>
      <c r="V113" s="2110">
        <v>206.6</v>
      </c>
      <c r="W113" s="2110">
        <v>206.6</v>
      </c>
      <c r="X113" s="2110">
        <v>206.6</v>
      </c>
      <c r="Y113" s="2110">
        <v>206.6</v>
      </c>
      <c r="Z113" s="2110">
        <v>210.2</v>
      </c>
      <c r="AA113" s="2110">
        <v>206.6</v>
      </c>
      <c r="AB113" s="2110">
        <v>206.6</v>
      </c>
      <c r="AC113" s="2110">
        <v>206.6</v>
      </c>
      <c r="AD113" s="2110">
        <v>206.6</v>
      </c>
      <c r="AE113" s="2110">
        <v>206.6</v>
      </c>
      <c r="AF113" s="2110">
        <v>206.6</v>
      </c>
      <c r="AG113" s="2110">
        <v>206.6</v>
      </c>
      <c r="AH113" s="2110">
        <v>206.6</v>
      </c>
      <c r="AI113" s="2110">
        <v>206.6</v>
      </c>
      <c r="AJ113" s="2110">
        <v>210.9</v>
      </c>
      <c r="AK113" s="2110">
        <v>216.3</v>
      </c>
      <c r="AL113" s="2110">
        <v>229.2</v>
      </c>
      <c r="AM113" s="2110">
        <v>252.1</v>
      </c>
      <c r="AN113" s="2110">
        <v>257.89999999999998</v>
      </c>
      <c r="AO113" s="2110">
        <v>257.89999999999998</v>
      </c>
      <c r="AP113" s="2110">
        <v>257.89999999999998</v>
      </c>
      <c r="AQ113" s="2110">
        <v>263.5</v>
      </c>
      <c r="AR113" s="2110">
        <v>265.7</v>
      </c>
      <c r="AS113" s="2110">
        <v>268.60000000000002</v>
      </c>
      <c r="AT113" s="2110">
        <v>268.60000000000002</v>
      </c>
      <c r="AU113" s="2110">
        <v>268.8</v>
      </c>
      <c r="AV113" s="2110">
        <v>272</v>
      </c>
      <c r="AW113" s="2111">
        <v>272</v>
      </c>
      <c r="AX113" s="2111">
        <v>274.2</v>
      </c>
      <c r="AY113" s="2111">
        <v>285.89999999999998</v>
      </c>
      <c r="AZ113" s="2111">
        <v>287.8</v>
      </c>
      <c r="BA113" s="2111">
        <v>287.8</v>
      </c>
      <c r="BB113" s="2111">
        <v>287.8</v>
      </c>
      <c r="BC113" s="2111">
        <v>290.7</v>
      </c>
      <c r="BD113" s="2112">
        <v>290.7</v>
      </c>
      <c r="BE113" s="2111">
        <v>290.7</v>
      </c>
      <c r="BF113" s="2112">
        <v>290.7</v>
      </c>
      <c r="BG113" s="2112">
        <v>299.5</v>
      </c>
      <c r="BH113" s="2112">
        <v>304.89999999999998</v>
      </c>
      <c r="BI113" s="2108">
        <v>309</v>
      </c>
      <c r="BJ113" s="2108">
        <v>329.2</v>
      </c>
      <c r="BK113" s="2108">
        <v>329.2</v>
      </c>
      <c r="BL113" s="2108">
        <v>329.2</v>
      </c>
      <c r="BM113" s="2108">
        <v>332.3</v>
      </c>
      <c r="BN113" s="2108">
        <v>371.3</v>
      </c>
      <c r="BO113" s="2108">
        <v>377.9</v>
      </c>
      <c r="BP113" s="2108">
        <v>380.3</v>
      </c>
      <c r="BQ113" s="2108">
        <v>380.3</v>
      </c>
      <c r="BR113" s="2108">
        <v>380.3</v>
      </c>
      <c r="BS113" s="2108">
        <v>380.3</v>
      </c>
      <c r="BT113" s="2108">
        <v>380</v>
      </c>
      <c r="BU113" s="2108">
        <v>379.7</v>
      </c>
      <c r="BV113" s="2108">
        <v>379.7</v>
      </c>
      <c r="BW113" s="2108">
        <v>390.5</v>
      </c>
      <c r="BX113" s="2108">
        <v>392.5</v>
      </c>
      <c r="BY113" s="2108">
        <v>392.5</v>
      </c>
      <c r="BZ113" s="2108">
        <v>392.4</v>
      </c>
      <c r="CA113" s="2108">
        <v>393.8</v>
      </c>
      <c r="CB113" s="2108">
        <v>393.8</v>
      </c>
      <c r="CC113" s="2108">
        <v>393.8</v>
      </c>
      <c r="CD113" s="2108">
        <v>393.8</v>
      </c>
      <c r="CE113" s="2108">
        <v>402.3</v>
      </c>
      <c r="CF113" s="2108">
        <v>402.3</v>
      </c>
      <c r="CG113" s="2108">
        <v>402.3</v>
      </c>
      <c r="CH113" s="2108">
        <v>402.3</v>
      </c>
      <c r="CI113" s="2108">
        <v>405</v>
      </c>
      <c r="CJ113" s="2108">
        <v>419.4</v>
      </c>
      <c r="CK113" s="2108">
        <v>451.4</v>
      </c>
      <c r="CL113" s="2108">
        <v>453.3</v>
      </c>
      <c r="CM113" s="2108">
        <v>453.3</v>
      </c>
      <c r="CN113" s="2108">
        <v>453.3</v>
      </c>
      <c r="CO113" s="2108">
        <v>453.3</v>
      </c>
      <c r="CP113" s="2108">
        <v>453.3</v>
      </c>
      <c r="CQ113" s="2108">
        <v>453.3</v>
      </c>
      <c r="CR113" s="2108">
        <v>453.3</v>
      </c>
      <c r="CS113" s="2108">
        <v>453.3</v>
      </c>
      <c r="CT113" s="2108">
        <v>453.3</v>
      </c>
      <c r="CU113" s="2108">
        <v>453.3</v>
      </c>
      <c r="CV113" s="2108">
        <v>453.8</v>
      </c>
      <c r="CW113" s="2108">
        <v>453.3</v>
      </c>
      <c r="CX113" s="2108">
        <v>442.5</v>
      </c>
      <c r="CY113" s="2108">
        <v>452.8</v>
      </c>
      <c r="CZ113" s="2108">
        <v>461.9</v>
      </c>
      <c r="DA113" s="2108">
        <v>461.9</v>
      </c>
      <c r="DB113" s="2108">
        <v>464.4</v>
      </c>
      <c r="DC113" s="2108">
        <v>464.4</v>
      </c>
      <c r="DD113" s="2108">
        <v>464.4</v>
      </c>
      <c r="DE113" s="2108">
        <v>464.4</v>
      </c>
      <c r="DF113" s="2108">
        <v>466.9</v>
      </c>
      <c r="DG113" s="2108">
        <v>472.2</v>
      </c>
      <c r="DH113" s="2108">
        <v>482.8</v>
      </c>
      <c r="DI113" s="2108">
        <v>487.1</v>
      </c>
      <c r="DJ113" s="2108">
        <v>492.4</v>
      </c>
      <c r="DK113" s="2108">
        <v>505.9</v>
      </c>
      <c r="DL113" s="2108">
        <v>517.79999999999995</v>
      </c>
      <c r="DM113" s="2108">
        <v>517.79999999999995</v>
      </c>
      <c r="DN113" s="2108">
        <v>519.70000000000005</v>
      </c>
      <c r="DO113" s="2108">
        <v>519.70000000000005</v>
      </c>
      <c r="DP113" s="2108">
        <v>519.70000000000005</v>
      </c>
      <c r="DQ113" s="2108">
        <v>537</v>
      </c>
      <c r="DR113" s="2108">
        <v>544.5</v>
      </c>
      <c r="DS113" s="2108">
        <v>544.4</v>
      </c>
      <c r="DT113" s="2108">
        <v>552</v>
      </c>
      <c r="DU113" s="2108">
        <v>558.1</v>
      </c>
      <c r="DV113" s="2108">
        <v>562.70000000000005</v>
      </c>
      <c r="DW113" s="2108">
        <v>562.79999999999995</v>
      </c>
      <c r="DX113" s="2108">
        <v>574.29999999999995</v>
      </c>
      <c r="DY113" s="2108">
        <v>578.29999999999995</v>
      </c>
      <c r="DZ113" s="2108">
        <v>582</v>
      </c>
      <c r="EA113" s="2108">
        <v>587.6</v>
      </c>
      <c r="EB113" s="2108">
        <v>587.6</v>
      </c>
      <c r="EC113" s="2108">
        <v>607.1</v>
      </c>
      <c r="ED113" s="2108">
        <v>627.6</v>
      </c>
      <c r="EE113" s="2108">
        <v>631.20000000000005</v>
      </c>
      <c r="EF113" s="2108">
        <v>631.20000000000005</v>
      </c>
      <c r="EG113" s="2108">
        <v>635.70000000000005</v>
      </c>
      <c r="EH113" s="2108">
        <v>653</v>
      </c>
      <c r="EI113" s="2108">
        <v>661</v>
      </c>
      <c r="EJ113" s="2108">
        <v>672.8</v>
      </c>
      <c r="EK113" s="2108">
        <v>692.9</v>
      </c>
      <c r="EL113" s="2108">
        <v>689.3</v>
      </c>
      <c r="EM113" s="2108">
        <v>692.9</v>
      </c>
      <c r="EN113" s="2108">
        <v>692.9</v>
      </c>
      <c r="EO113" s="2108">
        <v>695</v>
      </c>
      <c r="EP113" s="2108">
        <v>695</v>
      </c>
      <c r="EQ113" s="2108">
        <v>695</v>
      </c>
      <c r="ER113" s="2108">
        <v>731.5</v>
      </c>
      <c r="ES113" s="2108">
        <v>731.5</v>
      </c>
      <c r="ET113" s="2108">
        <v>737</v>
      </c>
      <c r="EU113" s="2108">
        <v>751.3</v>
      </c>
      <c r="EV113" s="2108">
        <v>751.3</v>
      </c>
      <c r="EW113" s="2108">
        <v>785.5</v>
      </c>
      <c r="EX113" s="2108">
        <v>785.2</v>
      </c>
      <c r="EY113" s="2108">
        <v>815.7</v>
      </c>
      <c r="EZ113" s="2108">
        <v>824.2</v>
      </c>
      <c r="FA113" s="2108">
        <v>857.5</v>
      </c>
      <c r="FB113" s="2108">
        <v>909.9</v>
      </c>
      <c r="FC113" s="2108">
        <v>916.9</v>
      </c>
      <c r="FD113" s="2108">
        <v>952.9</v>
      </c>
      <c r="FE113" s="2108">
        <v>954.3</v>
      </c>
      <c r="FF113" s="2108">
        <v>1013.6</v>
      </c>
      <c r="FG113" s="2108">
        <v>1021.9</v>
      </c>
      <c r="FH113" s="2108">
        <v>1031.5</v>
      </c>
      <c r="FI113" s="2108">
        <v>1126.8</v>
      </c>
      <c r="FJ113" s="2108">
        <v>1146.5</v>
      </c>
      <c r="FK113" s="2108">
        <v>1146.5</v>
      </c>
      <c r="FL113" s="2108">
        <v>1156</v>
      </c>
      <c r="FM113" s="2108">
        <v>1169.2</v>
      </c>
      <c r="FN113" s="2108">
        <v>1182</v>
      </c>
      <c r="FO113" s="2108">
        <v>1198.5</v>
      </c>
      <c r="FP113" s="2108">
        <v>1217.2</v>
      </c>
      <c r="FQ113" s="2108">
        <v>1217.0999999999999</v>
      </c>
      <c r="FR113" s="2108">
        <v>1217.2</v>
      </c>
      <c r="FS113" s="2108">
        <v>1217.4000000000001</v>
      </c>
      <c r="FT113" s="2108">
        <v>1217.4000000000001</v>
      </c>
      <c r="FU113" s="2108">
        <v>1293.5</v>
      </c>
      <c r="FV113" s="2108">
        <v>1307.5999999999999</v>
      </c>
      <c r="FW113" s="2113">
        <v>1082.1443523693379</v>
      </c>
      <c r="FX113" s="2113">
        <v>1247.4887463083423</v>
      </c>
      <c r="FY113" s="2113">
        <v>100</v>
      </c>
      <c r="FZ113" s="2113">
        <v>100</v>
      </c>
      <c r="GA113" s="2113">
        <v>102.71118879318237</v>
      </c>
      <c r="GB113" s="2113">
        <v>102.71118879318237</v>
      </c>
      <c r="GC113" s="2113">
        <v>101.7786025517438</v>
      </c>
      <c r="GD113" s="2113">
        <v>101.7786025517438</v>
      </c>
      <c r="GE113" s="2113">
        <v>102.64428888397758</v>
      </c>
      <c r="GF113" s="2114">
        <v>102.64655257223713</v>
      </c>
      <c r="GG113" s="1960">
        <v>102.64655257223713</v>
      </c>
      <c r="GH113" s="2114">
        <v>102.64655257223713</v>
      </c>
      <c r="GI113" s="2114">
        <v>105.15623061250474</v>
      </c>
      <c r="GJ113" s="2113">
        <v>104.3635545109929</v>
      </c>
      <c r="GK113" s="2113">
        <v>104.3635545109929</v>
      </c>
      <c r="GL113" s="2113">
        <v>108.33902258616178</v>
      </c>
      <c r="GM113" s="2114">
        <v>108.33902258616178</v>
      </c>
      <c r="GN113" s="2114">
        <v>108.33902258616178</v>
      </c>
      <c r="GO113" s="2115">
        <v>108.33902258616178</v>
      </c>
      <c r="GP113" s="2116">
        <v>112.29899954864753</v>
      </c>
      <c r="GQ113" s="2116">
        <v>112.29899954864753</v>
      </c>
      <c r="GR113" s="2116">
        <v>113.56790768825998</v>
      </c>
      <c r="GS113" s="2116">
        <v>113.56790768825998</v>
      </c>
      <c r="GT113" s="1960">
        <v>115.79527757806716</v>
      </c>
      <c r="GU113" s="1960">
        <v>114.52636347530719</v>
      </c>
      <c r="GV113" s="1960">
        <v>117.83018500923947</v>
      </c>
      <c r="GW113" s="1960">
        <v>117.83357020432634</v>
      </c>
      <c r="GX113" s="1960">
        <v>118.52950764736852</v>
      </c>
      <c r="GY113" s="1960">
        <v>121.36387856880434</v>
      </c>
      <c r="GZ113" s="1960">
        <v>121.36387856880434</v>
      </c>
      <c r="HA113" s="1960">
        <v>128.61681233805837</v>
      </c>
      <c r="HB113" s="1960">
        <v>144.38045995429607</v>
      </c>
      <c r="HC113" s="1960">
        <v>157.12319463598374</v>
      </c>
      <c r="HD113" s="1960">
        <v>163.41526543800526</v>
      </c>
      <c r="HE113" s="1960">
        <v>185.34544308913635</v>
      </c>
      <c r="HF113" s="1960">
        <v>185.46000166792231</v>
      </c>
      <c r="HG113" s="1960">
        <v>185.44916555914827</v>
      </c>
      <c r="HH113" s="2117">
        <v>188.53735234991268</v>
      </c>
      <c r="HI113" s="1960">
        <v>185.44916555914827</v>
      </c>
      <c r="HJ113" s="1960">
        <v>191.57770131708165</v>
      </c>
      <c r="HK113" s="1960">
        <v>195.40940028255662</v>
      </c>
      <c r="HL113" s="1960">
        <v>203.14531765123465</v>
      </c>
      <c r="HM113" s="1960">
        <v>208.12774591426111</v>
      </c>
      <c r="HN113" s="1960">
        <v>213.29986745576022</v>
      </c>
      <c r="HO113" s="1960">
        <v>213.29986745576022</v>
      </c>
      <c r="HP113" s="1960">
        <v>246.56291839676118</v>
      </c>
      <c r="HQ113" s="1960">
        <v>271.21931568078077</v>
      </c>
      <c r="HR113" s="1960">
        <v>305.73153713706546</v>
      </c>
      <c r="HS113" s="1960">
        <v>305.73153713706546</v>
      </c>
      <c r="HT113" s="1962">
        <v>305.73153713706546</v>
      </c>
      <c r="HU113" s="1961">
        <v>309.86101648431952</v>
      </c>
      <c r="HV113" s="1960">
        <v>322.51399190473262</v>
      </c>
      <c r="HW113" s="1960">
        <v>322.51399190473262</v>
      </c>
      <c r="HX113" s="1960">
        <v>322.50993925407596</v>
      </c>
      <c r="HY113" s="1960">
        <v>330.58324742976924</v>
      </c>
      <c r="HZ113" s="1960">
        <v>342.13804352067484</v>
      </c>
      <c r="IA113" s="1960">
        <v>342.13804352067484</v>
      </c>
      <c r="IB113" s="1960">
        <v>359.83700571153281</v>
      </c>
      <c r="IC113" s="1960">
        <v>383.23529647268424</v>
      </c>
      <c r="ID113" s="1960">
        <v>402.74954092982858</v>
      </c>
      <c r="IE113" s="1960">
        <v>406.75991737172012</v>
      </c>
      <c r="IF113" s="1960">
        <v>407.58666517125613</v>
      </c>
      <c r="IG113" s="1961">
        <v>420.43108969556715</v>
      </c>
      <c r="IH113" s="1960">
        <v>445.0411603202827</v>
      </c>
      <c r="II113" s="1960">
        <v>448.74989526090769</v>
      </c>
      <c r="IJ113" s="1961">
        <v>456.69579453407226</v>
      </c>
      <c r="IK113" s="1960">
        <v>467.50953222665413</v>
      </c>
      <c r="IL113" s="1960">
        <v>488.59229737534883</v>
      </c>
      <c r="IM113" s="1960">
        <v>514.16547705577705</v>
      </c>
      <c r="IN113" s="1960">
        <v>527.01661554486191</v>
      </c>
      <c r="IO113" s="1960">
        <v>538.39516778278323</v>
      </c>
      <c r="IP113" s="1960">
        <v>559.54907421790222</v>
      </c>
      <c r="IQ113" s="1960">
        <v>574.61912965927593</v>
      </c>
      <c r="IR113" s="1960">
        <v>591.58212847441041</v>
      </c>
      <c r="IS113" s="2274">
        <v>623.79149893461408</v>
      </c>
      <c r="IT113" s="1960">
        <v>632.85123173943225</v>
      </c>
      <c r="IU113" s="1960">
        <v>656.3117888712834</v>
      </c>
      <c r="IV113" s="1960">
        <v>675.82088122089419</v>
      </c>
      <c r="IW113" s="1960">
        <v>681.27290710883506</v>
      </c>
      <c r="IX113" s="1960">
        <v>716.28993967114025</v>
      </c>
      <c r="IY113" s="1960">
        <v>796.63762107914272</v>
      </c>
      <c r="IZ113" s="1960">
        <v>809.98891433284689</v>
      </c>
      <c r="JA113" s="1960">
        <v>826.33123753415737</v>
      </c>
      <c r="JB113" s="1960">
        <v>831.86088666788589</v>
      </c>
      <c r="JC113" s="1960">
        <v>833.73458027731385</v>
      </c>
      <c r="JD113" s="1960">
        <v>833.7371435638546</v>
      </c>
      <c r="JE113" s="2274">
        <v>851.65629664652033</v>
      </c>
      <c r="JF113" s="2117">
        <v>863.01167617477358</v>
      </c>
      <c r="JG113" s="2103">
        <f t="shared" si="13"/>
        <v>1.0133332889957676</v>
      </c>
      <c r="JI113" s="2155"/>
      <c r="JJ113" s="2104"/>
    </row>
    <row r="114" spans="2:270">
      <c r="B114" s="2105">
        <v>93</v>
      </c>
      <c r="C114" s="2106" t="s">
        <v>243</v>
      </c>
      <c r="D114" s="2425" t="s">
        <v>1222</v>
      </c>
      <c r="E114" s="2128" t="s">
        <v>244</v>
      </c>
      <c r="F114" s="2106" t="s">
        <v>918</v>
      </c>
      <c r="G114" s="2425" t="s">
        <v>1112</v>
      </c>
      <c r="H114" s="2106" t="s">
        <v>929</v>
      </c>
      <c r="I114" s="2106" t="s">
        <v>930</v>
      </c>
      <c r="J114" s="2359" t="s">
        <v>921</v>
      </c>
      <c r="K114" s="2425"/>
      <c r="L114" s="2110">
        <v>93.3</v>
      </c>
      <c r="M114" s="2110">
        <v>101.5</v>
      </c>
      <c r="N114" s="2110">
        <v>108.8</v>
      </c>
      <c r="O114" s="2110">
        <v>116.7</v>
      </c>
      <c r="P114" s="2110">
        <v>135</v>
      </c>
      <c r="Q114" s="2110">
        <v>149.19999999999999</v>
      </c>
      <c r="R114" s="2110">
        <v>166.2</v>
      </c>
      <c r="S114" s="2110">
        <v>187.1</v>
      </c>
      <c r="T114" s="2110">
        <v>199.5</v>
      </c>
      <c r="U114" s="2110">
        <v>200.6</v>
      </c>
      <c r="V114" s="2110">
        <v>200.6</v>
      </c>
      <c r="W114" s="2110">
        <v>200.8</v>
      </c>
      <c r="X114" s="2110">
        <v>200</v>
      </c>
      <c r="Y114" s="2110">
        <v>197.5</v>
      </c>
      <c r="Z114" s="2110">
        <v>197</v>
      </c>
      <c r="AA114" s="2110">
        <v>195.5</v>
      </c>
      <c r="AB114" s="2110">
        <v>199.7</v>
      </c>
      <c r="AC114" s="2110">
        <v>196.1</v>
      </c>
      <c r="AD114" s="2110">
        <v>199.9</v>
      </c>
      <c r="AE114" s="2110">
        <v>195.3</v>
      </c>
      <c r="AF114" s="2110">
        <v>198.5</v>
      </c>
      <c r="AG114" s="2110">
        <v>193.4</v>
      </c>
      <c r="AH114" s="2110">
        <v>199</v>
      </c>
      <c r="AI114" s="2110">
        <v>199</v>
      </c>
      <c r="AJ114" s="2110">
        <v>199.3</v>
      </c>
      <c r="AK114" s="2110">
        <v>199.7</v>
      </c>
      <c r="AL114" s="2110">
        <v>209.5</v>
      </c>
      <c r="AM114" s="2110">
        <v>217.4</v>
      </c>
      <c r="AN114" s="2110">
        <v>219.3</v>
      </c>
      <c r="AO114" s="2110">
        <v>223.7</v>
      </c>
      <c r="AP114" s="2110">
        <v>227.6</v>
      </c>
      <c r="AQ114" s="2110">
        <v>230.9</v>
      </c>
      <c r="AR114" s="2110">
        <v>232.4</v>
      </c>
      <c r="AS114" s="2110">
        <v>240.6</v>
      </c>
      <c r="AT114" s="2110">
        <v>239.9</v>
      </c>
      <c r="AU114" s="2110">
        <v>243.5</v>
      </c>
      <c r="AV114" s="2110">
        <v>244.6</v>
      </c>
      <c r="AW114" s="2111">
        <v>244.2</v>
      </c>
      <c r="AX114" s="2111">
        <v>251.3</v>
      </c>
      <c r="AY114" s="2111">
        <v>251.3</v>
      </c>
      <c r="AZ114" s="2111">
        <v>249.7</v>
      </c>
      <c r="BA114" s="2111">
        <v>248.2</v>
      </c>
      <c r="BB114" s="2111">
        <v>248.2</v>
      </c>
      <c r="BC114" s="2111">
        <v>252.3</v>
      </c>
      <c r="BD114" s="2112">
        <v>252.2</v>
      </c>
      <c r="BE114" s="2111">
        <v>252.2</v>
      </c>
      <c r="BF114" s="2112">
        <v>252.5</v>
      </c>
      <c r="BG114" s="2112">
        <v>252.4</v>
      </c>
      <c r="BH114" s="2112">
        <v>252.5</v>
      </c>
      <c r="BI114" s="2108">
        <v>253.3</v>
      </c>
      <c r="BJ114" s="2108">
        <v>253.3</v>
      </c>
      <c r="BK114" s="2108">
        <v>253.3</v>
      </c>
      <c r="BL114" s="2108">
        <v>253.3</v>
      </c>
      <c r="BM114" s="2108">
        <v>263.2</v>
      </c>
      <c r="BN114" s="2108">
        <v>263.2</v>
      </c>
      <c r="BO114" s="2108">
        <v>266.2</v>
      </c>
      <c r="BP114" s="2108">
        <v>274.89999999999998</v>
      </c>
      <c r="BQ114" s="2108">
        <v>274.2</v>
      </c>
      <c r="BR114" s="2108">
        <v>274.89999999999998</v>
      </c>
      <c r="BS114" s="2108">
        <v>274.89999999999998</v>
      </c>
      <c r="BT114" s="2108">
        <v>276.89999999999998</v>
      </c>
      <c r="BU114" s="2108">
        <v>280.39999999999998</v>
      </c>
      <c r="BV114" s="2108">
        <v>280.89999999999998</v>
      </c>
      <c r="BW114" s="2108">
        <v>284.8</v>
      </c>
      <c r="BX114" s="2108">
        <v>286.8</v>
      </c>
      <c r="BY114" s="2108">
        <v>287.60000000000002</v>
      </c>
      <c r="BZ114" s="2108">
        <v>288.2</v>
      </c>
      <c r="CA114" s="2108">
        <v>297.7</v>
      </c>
      <c r="CB114" s="2108">
        <v>306.5</v>
      </c>
      <c r="CC114" s="2108">
        <v>309.5</v>
      </c>
      <c r="CD114" s="2108">
        <v>312.7</v>
      </c>
      <c r="CE114" s="2108">
        <v>317.10000000000002</v>
      </c>
      <c r="CF114" s="2108">
        <v>318</v>
      </c>
      <c r="CG114" s="2108">
        <v>324.39999999999998</v>
      </c>
      <c r="CH114" s="2108">
        <v>332.9</v>
      </c>
      <c r="CI114" s="2108">
        <v>340</v>
      </c>
      <c r="CJ114" s="2108">
        <v>345.5</v>
      </c>
      <c r="CK114" s="2108">
        <v>355.5</v>
      </c>
      <c r="CL114" s="2108">
        <v>372.8</v>
      </c>
      <c r="CM114" s="2108">
        <v>390.6</v>
      </c>
      <c r="CN114" s="2108">
        <v>398.7</v>
      </c>
      <c r="CO114" s="2108">
        <v>398.7</v>
      </c>
      <c r="CP114" s="2108">
        <v>404.6</v>
      </c>
      <c r="CQ114" s="2108">
        <v>411.9</v>
      </c>
      <c r="CR114" s="2108">
        <v>406.5</v>
      </c>
      <c r="CS114" s="2108">
        <v>410.1</v>
      </c>
      <c r="CT114" s="2108">
        <v>409.2</v>
      </c>
      <c r="CU114" s="2108">
        <v>401.2</v>
      </c>
      <c r="CV114" s="2108">
        <v>396</v>
      </c>
      <c r="CW114" s="2108">
        <v>400.1</v>
      </c>
      <c r="CX114" s="2108">
        <v>404.6</v>
      </c>
      <c r="CY114" s="2108">
        <v>413.9</v>
      </c>
      <c r="CZ114" s="2108">
        <v>413.9</v>
      </c>
      <c r="DA114" s="2108">
        <v>424.6</v>
      </c>
      <c r="DB114" s="2108">
        <v>433.4</v>
      </c>
      <c r="DC114" s="2108">
        <v>434.7</v>
      </c>
      <c r="DD114" s="2108">
        <v>436</v>
      </c>
      <c r="DE114" s="2108">
        <v>438.6</v>
      </c>
      <c r="DF114" s="2108">
        <v>449</v>
      </c>
      <c r="DG114" s="2108">
        <v>450.8</v>
      </c>
      <c r="DH114" s="2108">
        <v>464.3</v>
      </c>
      <c r="DI114" s="2108">
        <v>473.1</v>
      </c>
      <c r="DJ114" s="2108">
        <v>477.4</v>
      </c>
      <c r="DK114" s="2108">
        <v>474</v>
      </c>
      <c r="DL114" s="2108">
        <v>483.9</v>
      </c>
      <c r="DM114" s="2108">
        <v>501.4</v>
      </c>
      <c r="DN114" s="2108">
        <v>504.9</v>
      </c>
      <c r="DO114" s="2108">
        <v>504.5</v>
      </c>
      <c r="DP114" s="2108">
        <v>511.8</v>
      </c>
      <c r="DQ114" s="2108">
        <v>512.79999999999995</v>
      </c>
      <c r="DR114" s="2108">
        <v>525.5</v>
      </c>
      <c r="DS114" s="2108">
        <v>535.4</v>
      </c>
      <c r="DT114" s="2108">
        <v>557.5</v>
      </c>
      <c r="DU114" s="2108">
        <v>560.9</v>
      </c>
      <c r="DV114" s="2108">
        <v>569.6</v>
      </c>
      <c r="DW114" s="2108">
        <v>578.9</v>
      </c>
      <c r="DX114" s="2108">
        <v>584</v>
      </c>
      <c r="DY114" s="2108">
        <v>591.1</v>
      </c>
      <c r="DZ114" s="2108">
        <v>601.5</v>
      </c>
      <c r="EA114" s="2108">
        <v>604.5</v>
      </c>
      <c r="EB114" s="2108">
        <v>612.5</v>
      </c>
      <c r="EC114" s="2108">
        <v>612.5</v>
      </c>
      <c r="ED114" s="2108">
        <v>613.79999999999995</v>
      </c>
      <c r="EE114" s="2108">
        <v>613.70000000000005</v>
      </c>
      <c r="EF114" s="2108">
        <v>619.5</v>
      </c>
      <c r="EG114" s="2108">
        <v>629</v>
      </c>
      <c r="EH114" s="2108">
        <v>634</v>
      </c>
      <c r="EI114" s="2108">
        <v>643.70000000000005</v>
      </c>
      <c r="EJ114" s="2108">
        <v>650</v>
      </c>
      <c r="EK114" s="2108">
        <v>664.4</v>
      </c>
      <c r="EL114" s="2108">
        <v>668</v>
      </c>
      <c r="EM114" s="2108">
        <v>676.5</v>
      </c>
      <c r="EN114" s="2108">
        <v>687.6</v>
      </c>
      <c r="EO114" s="2108">
        <v>694.5</v>
      </c>
      <c r="EP114" s="2108">
        <v>708.4</v>
      </c>
      <c r="EQ114" s="2108">
        <v>720.7</v>
      </c>
      <c r="ER114" s="2108">
        <v>732.2</v>
      </c>
      <c r="ES114" s="2108">
        <v>742.5</v>
      </c>
      <c r="ET114" s="2108">
        <v>775.9</v>
      </c>
      <c r="EU114" s="2108">
        <v>793.9</v>
      </c>
      <c r="EV114" s="2108">
        <v>801.9</v>
      </c>
      <c r="EW114" s="2108">
        <v>816.5</v>
      </c>
      <c r="EX114" s="2108">
        <v>834.8</v>
      </c>
      <c r="EY114" s="2108">
        <v>839</v>
      </c>
      <c r="EZ114" s="2108">
        <v>878.1</v>
      </c>
      <c r="FA114" s="2108">
        <v>935.2</v>
      </c>
      <c r="FB114" s="2108">
        <v>1047.4000000000001</v>
      </c>
      <c r="FC114" s="2108">
        <v>1120.8</v>
      </c>
      <c r="FD114" s="2108">
        <v>1139.7</v>
      </c>
      <c r="FE114" s="2108">
        <v>1150.0999999999999</v>
      </c>
      <c r="FF114" s="2108">
        <v>1173.4000000000001</v>
      </c>
      <c r="FG114" s="2108">
        <v>1185.0999999999999</v>
      </c>
      <c r="FH114" s="2108">
        <v>1268.3</v>
      </c>
      <c r="FI114" s="2108">
        <v>1270.9000000000001</v>
      </c>
      <c r="FJ114" s="2108">
        <v>1280.8</v>
      </c>
      <c r="FK114" s="2108">
        <v>1285.3</v>
      </c>
      <c r="FL114" s="2108">
        <v>1297.4000000000001</v>
      </c>
      <c r="FM114" s="2108">
        <v>1297.5</v>
      </c>
      <c r="FN114" s="2108">
        <v>1293.5</v>
      </c>
      <c r="FO114" s="2108">
        <v>1315.7</v>
      </c>
      <c r="FP114" s="2108">
        <v>1323.1</v>
      </c>
      <c r="FQ114" s="2108">
        <v>1338.2</v>
      </c>
      <c r="FR114" s="2108">
        <v>1338.2</v>
      </c>
      <c r="FS114" s="2108">
        <v>1352.3</v>
      </c>
      <c r="FT114" s="2108">
        <v>1365.9</v>
      </c>
      <c r="FU114" s="2108">
        <v>1387.1</v>
      </c>
      <c r="FV114" s="2108">
        <v>1411.8</v>
      </c>
      <c r="FW114" s="2113">
        <v>1354.8283057700742</v>
      </c>
      <c r="FX114" s="2113">
        <v>1372.9002568344395</v>
      </c>
      <c r="FY114" s="2113">
        <v>100</v>
      </c>
      <c r="FZ114" s="2113">
        <v>97.832965850830078</v>
      </c>
      <c r="GA114" s="2113">
        <v>100.81842775300629</v>
      </c>
      <c r="GB114" s="2113">
        <v>102.42439889964891</v>
      </c>
      <c r="GC114" s="2113">
        <v>101.98172753127565</v>
      </c>
      <c r="GD114" s="2113">
        <v>103.99433474943093</v>
      </c>
      <c r="GE114" s="2113">
        <v>105.23741583439698</v>
      </c>
      <c r="GF114" s="2114">
        <v>105.24513118010609</v>
      </c>
      <c r="GG114" s="1960">
        <v>105.62346176018994</v>
      </c>
      <c r="GH114" s="2114">
        <v>106.29776353321873</v>
      </c>
      <c r="GI114" s="2114">
        <v>106.57314450192104</v>
      </c>
      <c r="GJ114" s="2113">
        <v>106.78675811357809</v>
      </c>
      <c r="GK114" s="2113">
        <v>107.71842668911034</v>
      </c>
      <c r="GL114" s="2113">
        <v>109.67441198590397</v>
      </c>
      <c r="GM114" s="2114">
        <v>110.18914358379065</v>
      </c>
      <c r="GN114" s="2114">
        <v>112.01828477541463</v>
      </c>
      <c r="GO114" s="2115">
        <v>112.01828477541463</v>
      </c>
      <c r="GP114" s="2116">
        <v>112.27564909646486</v>
      </c>
      <c r="GQ114" s="2116">
        <v>113.00913552493839</v>
      </c>
      <c r="GR114" s="2116">
        <v>114.29595601116711</v>
      </c>
      <c r="GS114" s="2116">
        <v>113.96138389290479</v>
      </c>
      <c r="GT114" s="1960">
        <v>113.96138389290479</v>
      </c>
      <c r="GU114" s="1960">
        <v>113.98711436703032</v>
      </c>
      <c r="GV114" s="1960">
        <v>114.42463118846119</v>
      </c>
      <c r="GW114" s="1960">
        <v>115.45409177839748</v>
      </c>
      <c r="GX114" s="1960">
        <v>115.45409177839748</v>
      </c>
      <c r="GY114" s="1960">
        <v>116.14383455925866</v>
      </c>
      <c r="GZ114" s="1960">
        <v>119.19821816697758</v>
      </c>
      <c r="HA114" s="1960">
        <v>128.59124649091933</v>
      </c>
      <c r="HB114" s="1960">
        <v>150.53891511152091</v>
      </c>
      <c r="HC114" s="1960">
        <v>162.55734158419457</v>
      </c>
      <c r="HD114" s="1960">
        <v>168.02963961345313</v>
      </c>
      <c r="HE114" s="1960">
        <v>245.21343662477207</v>
      </c>
      <c r="HF114" s="1960">
        <v>246.92640152810972</v>
      </c>
      <c r="HG114" s="1960">
        <v>246.97480765660106</v>
      </c>
      <c r="HH114" s="2117">
        <v>247.34248333308818</v>
      </c>
      <c r="HI114" s="1960">
        <v>246.7411511844613</v>
      </c>
      <c r="HJ114" s="1960">
        <v>251.31186291997162</v>
      </c>
      <c r="HK114" s="1960">
        <v>260.21369578359042</v>
      </c>
      <c r="HL114" s="1960">
        <v>278.20088932935329</v>
      </c>
      <c r="HM114" s="1960">
        <v>291.97129770854235</v>
      </c>
      <c r="HN114" s="1960">
        <v>290.3636693173774</v>
      </c>
      <c r="HO114" s="1960">
        <v>291.71987596490561</v>
      </c>
      <c r="HP114" s="1960">
        <v>338.07039828020777</v>
      </c>
      <c r="HQ114" s="1960">
        <v>362.81138839526307</v>
      </c>
      <c r="HR114" s="1960">
        <v>366.55689597992438</v>
      </c>
      <c r="HS114" s="1960">
        <v>371.10257174745249</v>
      </c>
      <c r="HT114" s="1962">
        <v>406.08521075065232</v>
      </c>
      <c r="HU114" s="1961">
        <v>391.76155485889882</v>
      </c>
      <c r="HV114" s="1960">
        <v>399.43438417310892</v>
      </c>
      <c r="HW114" s="1960">
        <v>399.43438417310892</v>
      </c>
      <c r="HX114" s="1960">
        <v>399.43438417310892</v>
      </c>
      <c r="HY114" s="1960">
        <v>399.43438417310892</v>
      </c>
      <c r="HZ114" s="1960">
        <v>399.43438417310892</v>
      </c>
      <c r="IA114" s="1960">
        <v>399.43438417310892</v>
      </c>
      <c r="IB114" s="1960">
        <v>415.68405496755173</v>
      </c>
      <c r="IC114" s="1960">
        <v>455.30463589318214</v>
      </c>
      <c r="ID114" s="1960">
        <v>491.06543499023979</v>
      </c>
      <c r="IE114" s="1960">
        <v>491.16556544015219</v>
      </c>
      <c r="IF114" s="1960">
        <v>491.65921942465712</v>
      </c>
      <c r="IG114" s="1961">
        <v>497.64944635414111</v>
      </c>
      <c r="IH114" s="1960">
        <v>575.91580337977575</v>
      </c>
      <c r="II114" s="1960">
        <v>575.91580337977575</v>
      </c>
      <c r="IJ114" s="1961">
        <v>612.88981246372373</v>
      </c>
      <c r="IK114" s="1960">
        <v>597.89287618823596</v>
      </c>
      <c r="IL114" s="1960">
        <v>637.23805077521808</v>
      </c>
      <c r="IM114" s="1960">
        <v>661.20345382507264</v>
      </c>
      <c r="IN114" s="1960">
        <v>658.55965660887682</v>
      </c>
      <c r="IO114" s="1960">
        <v>684.14074791019209</v>
      </c>
      <c r="IP114" s="1960">
        <v>708.50364686646355</v>
      </c>
      <c r="IQ114" s="1960">
        <v>764.00002902186679</v>
      </c>
      <c r="IR114" s="1960">
        <v>815.2730886410942</v>
      </c>
      <c r="IS114" s="2274">
        <v>820.02743329772022</v>
      </c>
      <c r="IT114" s="1960">
        <v>837.55905428546464</v>
      </c>
      <c r="IU114" s="1960">
        <v>855.24266172965656</v>
      </c>
      <c r="IV114" s="1960">
        <v>925.31753490509595</v>
      </c>
      <c r="IW114" s="1960">
        <v>968.59769668756405</v>
      </c>
      <c r="IX114" s="1960">
        <v>1032.2361200506632</v>
      </c>
      <c r="IY114" s="1960">
        <v>1093.5954227371546</v>
      </c>
      <c r="IZ114" s="1960">
        <v>1129.8307642129496</v>
      </c>
      <c r="JA114" s="1960">
        <v>1353.3944760746281</v>
      </c>
      <c r="JB114" s="1960">
        <v>1358.9424855235466</v>
      </c>
      <c r="JC114" s="1960">
        <v>1416.725605899032</v>
      </c>
      <c r="JD114" s="1960">
        <v>1479.4211521216457</v>
      </c>
      <c r="JE114" s="2274">
        <v>1498.6721726335088</v>
      </c>
      <c r="JF114" s="2117">
        <v>1590.5064638613524</v>
      </c>
      <c r="JG114" s="2103">
        <f t="shared" si="13"/>
        <v>1.0612771044293627</v>
      </c>
      <c r="JI114" s="2155"/>
      <c r="JJ114" s="2104"/>
    </row>
    <row r="115" spans="2:270">
      <c r="B115" s="2105">
        <v>95</v>
      </c>
      <c r="C115" s="2106" t="s">
        <v>247</v>
      </c>
      <c r="D115" s="2425" t="s">
        <v>1255</v>
      </c>
      <c r="E115" s="2128" t="s">
        <v>250</v>
      </c>
      <c r="F115" s="2106" t="s">
        <v>918</v>
      </c>
      <c r="G115" s="2425" t="s">
        <v>1112</v>
      </c>
      <c r="H115" s="2106" t="s">
        <v>919</v>
      </c>
      <c r="I115" s="2106" t="s">
        <v>920</v>
      </c>
      <c r="J115" s="2359" t="s">
        <v>921</v>
      </c>
      <c r="K115" s="2425"/>
      <c r="L115" s="2110">
        <v>96.66</v>
      </c>
      <c r="M115" s="2110">
        <v>97.07</v>
      </c>
      <c r="N115" s="2110">
        <v>100.02</v>
      </c>
      <c r="O115" s="2110">
        <v>103.91</v>
      </c>
      <c r="P115" s="2110">
        <v>106.66</v>
      </c>
      <c r="Q115" s="2110">
        <v>129.97</v>
      </c>
      <c r="R115" s="2110">
        <v>126.73</v>
      </c>
      <c r="S115" s="2110">
        <v>132.49</v>
      </c>
      <c r="T115" s="2110">
        <v>130.6</v>
      </c>
      <c r="U115" s="2110">
        <v>138.12</v>
      </c>
      <c r="V115" s="2110">
        <v>141.47999999999999</v>
      </c>
      <c r="W115" s="2110">
        <v>141.16</v>
      </c>
      <c r="X115" s="2110">
        <v>127.31</v>
      </c>
      <c r="Y115" s="2110">
        <v>134.35</v>
      </c>
      <c r="Z115" s="2110">
        <v>144.03</v>
      </c>
      <c r="AA115" s="2110">
        <v>143.97</v>
      </c>
      <c r="AB115" s="2110">
        <v>134.54</v>
      </c>
      <c r="AC115" s="2110">
        <v>134.99</v>
      </c>
      <c r="AD115" s="2110">
        <v>134.93</v>
      </c>
      <c r="AE115" s="2110">
        <v>135.66999999999999</v>
      </c>
      <c r="AF115" s="2110">
        <v>144.36000000000001</v>
      </c>
      <c r="AG115" s="2110">
        <v>144.36000000000001</v>
      </c>
      <c r="AH115" s="2110">
        <v>142.18</v>
      </c>
      <c r="AI115" s="2110">
        <v>143.55000000000001</v>
      </c>
      <c r="AJ115" s="2110">
        <v>146.66999999999999</v>
      </c>
      <c r="AK115" s="2110">
        <v>147.68</v>
      </c>
      <c r="AL115" s="2110">
        <v>140.34</v>
      </c>
      <c r="AM115" s="2110">
        <v>147.21</v>
      </c>
      <c r="AN115" s="2110">
        <v>152.77000000000001</v>
      </c>
      <c r="AO115" s="2110">
        <v>153.07</v>
      </c>
      <c r="AP115" s="2110">
        <v>150.26</v>
      </c>
      <c r="AQ115" s="2110">
        <v>153.96</v>
      </c>
      <c r="AR115" s="2110">
        <v>153.19</v>
      </c>
      <c r="AS115" s="2110">
        <v>152.87</v>
      </c>
      <c r="AT115" s="2110">
        <v>153.51</v>
      </c>
      <c r="AU115" s="2110">
        <v>153.41</v>
      </c>
      <c r="AV115" s="2110">
        <v>155.06</v>
      </c>
      <c r="AW115" s="2111">
        <v>155.06</v>
      </c>
      <c r="AX115" s="2111">
        <v>158.02000000000001</v>
      </c>
      <c r="AY115" s="2111">
        <v>158.03</v>
      </c>
      <c r="AZ115" s="2111">
        <v>158.27000000000001</v>
      </c>
      <c r="BA115" s="2111">
        <v>158.27000000000001</v>
      </c>
      <c r="BB115" s="2111">
        <v>158.9</v>
      </c>
      <c r="BC115" s="2111">
        <v>159.91999999999999</v>
      </c>
      <c r="BD115" s="2112">
        <v>159.91999999999999</v>
      </c>
      <c r="BE115" s="2111">
        <v>164.02</v>
      </c>
      <c r="BF115" s="2112">
        <v>165.68</v>
      </c>
      <c r="BG115" s="2112">
        <v>168.71</v>
      </c>
      <c r="BH115" s="2112">
        <v>168.71</v>
      </c>
      <c r="BI115" s="2108">
        <v>174.59</v>
      </c>
      <c r="BJ115" s="2108">
        <v>183.31</v>
      </c>
      <c r="BK115" s="2108">
        <v>183.31</v>
      </c>
      <c r="BL115" s="2108">
        <v>190.06</v>
      </c>
      <c r="BM115" s="2108">
        <v>193.23</v>
      </c>
      <c r="BN115" s="2108">
        <v>193.23</v>
      </c>
      <c r="BO115" s="2108">
        <v>195.99</v>
      </c>
      <c r="BP115" s="2108">
        <v>195.99</v>
      </c>
      <c r="BQ115" s="2108">
        <v>198.09</v>
      </c>
      <c r="BR115" s="2108">
        <v>198.09</v>
      </c>
      <c r="BS115" s="2108">
        <v>198.09</v>
      </c>
      <c r="BT115" s="2108">
        <v>202.01</v>
      </c>
      <c r="BU115" s="2108">
        <v>206.55</v>
      </c>
      <c r="BV115" s="2108">
        <v>208.85</v>
      </c>
      <c r="BW115" s="2108">
        <v>228.2</v>
      </c>
      <c r="BX115" s="2108">
        <v>230.49</v>
      </c>
      <c r="BY115" s="2108">
        <v>232.01</v>
      </c>
      <c r="BZ115" s="2108">
        <v>234.47</v>
      </c>
      <c r="CA115" s="2108">
        <v>234.46</v>
      </c>
      <c r="CB115" s="2108">
        <v>238.77</v>
      </c>
      <c r="CC115" s="2108">
        <v>238.77</v>
      </c>
      <c r="CD115" s="2108">
        <v>241.46</v>
      </c>
      <c r="CE115" s="2108">
        <v>244.75</v>
      </c>
      <c r="CF115" s="2108">
        <v>249.26</v>
      </c>
      <c r="CG115" s="2108">
        <v>253.26</v>
      </c>
      <c r="CH115" s="2108">
        <v>262.06</v>
      </c>
      <c r="CI115" s="2108">
        <v>265.51</v>
      </c>
      <c r="CJ115" s="2108">
        <v>268.31</v>
      </c>
      <c r="CK115" s="2108">
        <v>270.63</v>
      </c>
      <c r="CL115" s="2108">
        <v>284.36</v>
      </c>
      <c r="CM115" s="2108">
        <v>285.26</v>
      </c>
      <c r="CN115" s="2108">
        <v>276.04000000000002</v>
      </c>
      <c r="CO115" s="2108">
        <v>290.14</v>
      </c>
      <c r="CP115" s="2108">
        <v>290.14</v>
      </c>
      <c r="CQ115" s="2108">
        <v>290.14</v>
      </c>
      <c r="CR115" s="2108">
        <v>290.14</v>
      </c>
      <c r="CS115" s="2108">
        <v>307.43</v>
      </c>
      <c r="CT115" s="2108">
        <v>307.43</v>
      </c>
      <c r="CU115" s="2108">
        <v>307.43</v>
      </c>
      <c r="CV115" s="2108">
        <v>302.63</v>
      </c>
      <c r="CW115" s="2108">
        <v>302.63</v>
      </c>
      <c r="CX115" s="2108">
        <v>306.63</v>
      </c>
      <c r="CY115" s="2108">
        <v>304.47000000000003</v>
      </c>
      <c r="CZ115" s="2108">
        <v>307.55</v>
      </c>
      <c r="DA115" s="2108">
        <v>311.89999999999998</v>
      </c>
      <c r="DB115" s="2108">
        <v>314.13</v>
      </c>
      <c r="DC115" s="2108">
        <v>329.89</v>
      </c>
      <c r="DD115" s="2108">
        <v>329.89</v>
      </c>
      <c r="DE115" s="2108">
        <v>329.89</v>
      </c>
      <c r="DF115" s="2108">
        <v>330.66</v>
      </c>
      <c r="DG115" s="2108">
        <v>337.98</v>
      </c>
      <c r="DH115" s="2108">
        <v>339.45</v>
      </c>
      <c r="DI115" s="2108">
        <v>352.54</v>
      </c>
      <c r="DJ115" s="2108">
        <v>356.94</v>
      </c>
      <c r="DK115" s="2108">
        <v>357.57</v>
      </c>
      <c r="DL115" s="2108">
        <v>361.73</v>
      </c>
      <c r="DM115" s="2108">
        <v>361.72</v>
      </c>
      <c r="DN115" s="2108">
        <v>374.39</v>
      </c>
      <c r="DO115" s="2108">
        <v>388.78</v>
      </c>
      <c r="DP115" s="2108">
        <v>399.67</v>
      </c>
      <c r="DQ115" s="2108">
        <v>398.5</v>
      </c>
      <c r="DR115" s="2108">
        <v>409.2</v>
      </c>
      <c r="DS115" s="2108">
        <v>423.44</v>
      </c>
      <c r="DT115" s="2108">
        <v>437.29</v>
      </c>
      <c r="DU115" s="2108">
        <v>443.33</v>
      </c>
      <c r="DV115" s="2108">
        <v>457.65</v>
      </c>
      <c r="DW115" s="2108">
        <v>457.88</v>
      </c>
      <c r="DX115" s="2108">
        <v>463.53</v>
      </c>
      <c r="DY115" s="2108">
        <v>474.23</v>
      </c>
      <c r="DZ115" s="2108">
        <v>481.32</v>
      </c>
      <c r="EA115" s="2108">
        <v>481.86</v>
      </c>
      <c r="EB115" s="2108">
        <v>503.47</v>
      </c>
      <c r="EC115" s="2108">
        <v>523.52</v>
      </c>
      <c r="ED115" s="2108">
        <v>530.07000000000005</v>
      </c>
      <c r="EE115" s="2108">
        <v>546.45000000000005</v>
      </c>
      <c r="EF115" s="2108">
        <v>572.57000000000005</v>
      </c>
      <c r="EG115" s="2108">
        <v>582.58000000000004</v>
      </c>
      <c r="EH115" s="2108">
        <v>586.15</v>
      </c>
      <c r="EI115" s="2108">
        <v>595.88</v>
      </c>
      <c r="EJ115" s="2108">
        <v>604.61</v>
      </c>
      <c r="EK115" s="2108">
        <v>605.61</v>
      </c>
      <c r="EL115" s="2108">
        <v>624.47</v>
      </c>
      <c r="EM115" s="2108">
        <v>626.29999999999995</v>
      </c>
      <c r="EN115" s="2108">
        <v>626.29999999999995</v>
      </c>
      <c r="EO115" s="2108">
        <v>644.4</v>
      </c>
      <c r="EP115" s="2108">
        <v>651.16999999999996</v>
      </c>
      <c r="EQ115" s="2108">
        <v>653.17999999999995</v>
      </c>
      <c r="ER115" s="2108">
        <v>678.31</v>
      </c>
      <c r="ES115" s="2108">
        <v>683.66</v>
      </c>
      <c r="ET115" s="2108">
        <v>707.45</v>
      </c>
      <c r="EU115" s="2108">
        <v>714.36</v>
      </c>
      <c r="EV115" s="2108">
        <v>738.06</v>
      </c>
      <c r="EW115" s="2108">
        <v>741.75</v>
      </c>
      <c r="EX115" s="2108">
        <v>763.76</v>
      </c>
      <c r="EY115" s="2108">
        <v>765.25</v>
      </c>
      <c r="EZ115" s="2108">
        <v>793.91</v>
      </c>
      <c r="FA115" s="2108">
        <v>825.48</v>
      </c>
      <c r="FB115" s="2108">
        <v>897.26</v>
      </c>
      <c r="FC115" s="2108">
        <v>922.22</v>
      </c>
      <c r="FD115" s="2108">
        <v>950.58</v>
      </c>
      <c r="FE115" s="2108">
        <v>977.06</v>
      </c>
      <c r="FF115" s="2108">
        <v>991.43</v>
      </c>
      <c r="FG115" s="2108">
        <v>1007.73</v>
      </c>
      <c r="FH115" s="2108">
        <v>1034.6099999999999</v>
      </c>
      <c r="FI115" s="2108">
        <v>1056.81</v>
      </c>
      <c r="FJ115" s="2108">
        <v>1057.3699999999999</v>
      </c>
      <c r="FK115" s="2108">
        <v>1087.0999999999999</v>
      </c>
      <c r="FL115" s="2108">
        <v>1095.25</v>
      </c>
      <c r="FM115" s="2108">
        <v>1142.07</v>
      </c>
      <c r="FN115" s="2108">
        <v>1155.1199999999999</v>
      </c>
      <c r="FO115" s="2108">
        <v>1197.08</v>
      </c>
      <c r="FP115" s="2108">
        <v>1203.4000000000001</v>
      </c>
      <c r="FQ115" s="2108">
        <v>1234.76</v>
      </c>
      <c r="FR115" s="2108">
        <v>1260.76</v>
      </c>
      <c r="FS115" s="2108">
        <v>1264.95</v>
      </c>
      <c r="FT115" s="2108">
        <v>1310.68</v>
      </c>
      <c r="FU115" s="2108">
        <v>1321.67</v>
      </c>
      <c r="FV115" s="2108">
        <v>1369.1</v>
      </c>
      <c r="FW115" s="2113">
        <v>1150.0378999102029</v>
      </c>
      <c r="FX115" s="2113">
        <v>1218.9224804166565</v>
      </c>
      <c r="FY115" s="2113">
        <v>100</v>
      </c>
      <c r="FZ115" s="2113">
        <v>101.09763145446777</v>
      </c>
      <c r="GA115" s="2113">
        <v>104.23370866348591</v>
      </c>
      <c r="GB115" s="2113">
        <v>105.17452738873384</v>
      </c>
      <c r="GC115" s="2113">
        <v>105.17452738873384</v>
      </c>
      <c r="GD115" s="2113">
        <v>107.3697799473253</v>
      </c>
      <c r="GE115" s="2113">
        <v>107.3697799473253</v>
      </c>
      <c r="GF115" s="2114">
        <v>108.62420531247737</v>
      </c>
      <c r="GG115" s="1960">
        <v>108.62420531247737</v>
      </c>
      <c r="GH115" s="2114">
        <v>110.97626427779777</v>
      </c>
      <c r="GI115" s="2114">
        <v>112.54430556379593</v>
      </c>
      <c r="GJ115" s="2113">
        <v>113.48512547428182</v>
      </c>
      <c r="GK115" s="2113">
        <v>115.2099662395905</v>
      </c>
      <c r="GL115" s="2113">
        <v>115.2099662395905</v>
      </c>
      <c r="GM115" s="2114">
        <v>115.2099662395905</v>
      </c>
      <c r="GN115" s="2114">
        <v>118.34367543149544</v>
      </c>
      <c r="GO115" s="2115">
        <v>118.34367543149544</v>
      </c>
      <c r="GP115" s="2116">
        <v>118.34367543149544</v>
      </c>
      <c r="GQ115" s="2116">
        <v>118.34367543149544</v>
      </c>
      <c r="GR115" s="2116">
        <v>122.4204944916444</v>
      </c>
      <c r="GS115" s="2116">
        <v>130.26052979807309</v>
      </c>
      <c r="GT115" s="1960">
        <v>135.90534924030544</v>
      </c>
      <c r="GU115" s="1960">
        <v>140.60936189078603</v>
      </c>
      <c r="GV115" s="1960">
        <v>140.60936189078603</v>
      </c>
      <c r="GW115" s="1960">
        <v>140.60936189078603</v>
      </c>
      <c r="GX115" s="1960">
        <v>140.60936189078603</v>
      </c>
      <c r="GY115" s="1960">
        <v>142.35141377495412</v>
      </c>
      <c r="GZ115" s="1960">
        <v>153.31054122239109</v>
      </c>
      <c r="HA115" s="1960">
        <v>155.68986240901236</v>
      </c>
      <c r="HB115" s="1960">
        <v>177.19002430356289</v>
      </c>
      <c r="HC115" s="1960">
        <v>189.0740760405937</v>
      </c>
      <c r="HD115" s="1960">
        <v>189.07408338171606</v>
      </c>
      <c r="HE115" s="1960">
        <v>210.65112636891746</v>
      </c>
      <c r="HF115" s="1960">
        <v>230.57209441888315</v>
      </c>
      <c r="HG115" s="1960">
        <v>230.57209441888315</v>
      </c>
      <c r="HH115" s="2117">
        <v>242.1021764084999</v>
      </c>
      <c r="HI115" s="1960">
        <v>237.81418403063037</v>
      </c>
      <c r="HJ115" s="1960">
        <v>261.47655504960477</v>
      </c>
      <c r="HK115" s="1960">
        <v>274.96771120209354</v>
      </c>
      <c r="HL115" s="1960">
        <v>275.96486755609629</v>
      </c>
      <c r="HM115" s="1960">
        <v>296.41765232819677</v>
      </c>
      <c r="HN115" s="1960">
        <v>299.14690620081905</v>
      </c>
      <c r="HO115" s="1960">
        <v>301.54746779378854</v>
      </c>
      <c r="HP115" s="1960">
        <v>342.11307833182445</v>
      </c>
      <c r="HQ115" s="1960">
        <v>375.75437620110921</v>
      </c>
      <c r="HR115" s="1960">
        <v>375.75437620110921</v>
      </c>
      <c r="HS115" s="1960">
        <v>375.75437620110921</v>
      </c>
      <c r="HT115" s="1962">
        <v>375.75437620110921</v>
      </c>
      <c r="HU115" s="1961">
        <v>397.88910466179971</v>
      </c>
      <c r="HV115" s="1960">
        <v>402.28492932769859</v>
      </c>
      <c r="HW115" s="1960">
        <v>402.28492932769859</v>
      </c>
      <c r="HX115" s="1960">
        <v>402.28492932769859</v>
      </c>
      <c r="HY115" s="1960">
        <v>402.28492932769859</v>
      </c>
      <c r="HZ115" s="1960">
        <v>402.28492932769859</v>
      </c>
      <c r="IA115" s="1960">
        <v>402.28492932769859</v>
      </c>
      <c r="IB115" s="1960">
        <v>402.28492932769859</v>
      </c>
      <c r="IC115" s="1960">
        <v>402.28492932769859</v>
      </c>
      <c r="ID115" s="1960">
        <v>460.32634093925304</v>
      </c>
      <c r="IE115" s="1960">
        <v>472.22155443465726</v>
      </c>
      <c r="IF115" s="1960">
        <v>489.29310430788513</v>
      </c>
      <c r="IG115" s="1961">
        <v>489.29310430788513</v>
      </c>
      <c r="IH115" s="1960">
        <v>512.94026166546678</v>
      </c>
      <c r="II115" s="1960">
        <v>531.83993879931791</v>
      </c>
      <c r="IJ115" s="1961">
        <v>546.29752984630852</v>
      </c>
      <c r="IK115" s="1960">
        <v>573.28475857045532</v>
      </c>
      <c r="IL115" s="1960">
        <v>586.72958088682014</v>
      </c>
      <c r="IM115" s="1960">
        <v>610.19236401233115</v>
      </c>
      <c r="IN115" s="1960">
        <v>622.02076735886135</v>
      </c>
      <c r="IO115" s="1960">
        <v>637.76411298071412</v>
      </c>
      <c r="IP115" s="1960">
        <v>685.15833699879329</v>
      </c>
      <c r="IQ115" s="1960">
        <v>737.34068110295834</v>
      </c>
      <c r="IR115" s="1960">
        <v>773.06824920995507</v>
      </c>
      <c r="IS115" s="2274">
        <v>786.64512075483094</v>
      </c>
      <c r="IT115" s="1960">
        <v>820.54120650437767</v>
      </c>
      <c r="IU115" s="1960">
        <v>849.70303024193606</v>
      </c>
      <c r="IV115" s="1960">
        <v>903.18805680424873</v>
      </c>
      <c r="IW115" s="1960">
        <v>932.66946617632402</v>
      </c>
      <c r="IX115" s="1960">
        <v>991.76298250543277</v>
      </c>
      <c r="IY115" s="1960">
        <v>1136.1252661308431</v>
      </c>
      <c r="IZ115" s="1960">
        <v>1194.6094076769257</v>
      </c>
      <c r="JA115" s="1960">
        <v>1298.1930968902625</v>
      </c>
      <c r="JB115" s="1960">
        <v>1315.1948387500222</v>
      </c>
      <c r="JC115" s="1960">
        <v>1366.1677656991853</v>
      </c>
      <c r="JD115" s="1960">
        <v>1435.6735239613663</v>
      </c>
      <c r="JE115" s="2274">
        <v>1447.9093778587644</v>
      </c>
      <c r="JF115" s="2117">
        <v>1595.3602084774718</v>
      </c>
      <c r="JG115" s="2103">
        <f t="shared" si="13"/>
        <v>1.1018370575351646</v>
      </c>
      <c r="JI115" s="2155"/>
      <c r="JJ115" s="2104"/>
    </row>
    <row r="116" spans="2:270">
      <c r="B116" s="2105">
        <v>96</v>
      </c>
      <c r="C116" s="2106" t="s">
        <v>251</v>
      </c>
      <c r="D116" s="2425" t="s">
        <v>1223</v>
      </c>
      <c r="E116" s="2128" t="s">
        <v>252</v>
      </c>
      <c r="F116" s="2106" t="s">
        <v>918</v>
      </c>
      <c r="G116" s="2425" t="s">
        <v>1112</v>
      </c>
      <c r="H116" s="2106" t="s">
        <v>919</v>
      </c>
      <c r="I116" s="2106" t="s">
        <v>920</v>
      </c>
      <c r="J116" s="2359"/>
      <c r="K116" s="2425"/>
      <c r="L116" s="2110">
        <v>118.2</v>
      </c>
      <c r="M116" s="2110">
        <v>116.15</v>
      </c>
      <c r="N116" s="2110">
        <v>119.36</v>
      </c>
      <c r="O116" s="2110">
        <v>135.93</v>
      </c>
      <c r="P116" s="2110">
        <v>164.26</v>
      </c>
      <c r="Q116" s="2110">
        <v>196.45</v>
      </c>
      <c r="R116" s="2110">
        <v>239.69</v>
      </c>
      <c r="S116" s="2110">
        <v>268.20999999999998</v>
      </c>
      <c r="T116" s="2110">
        <v>290.24</v>
      </c>
      <c r="U116" s="2110">
        <v>306.37</v>
      </c>
      <c r="V116" s="2110">
        <v>315.87</v>
      </c>
      <c r="W116" s="2110">
        <v>314.8</v>
      </c>
      <c r="X116" s="2110">
        <v>314.61</v>
      </c>
      <c r="Y116" s="2110">
        <v>329.58</v>
      </c>
      <c r="Z116" s="2110">
        <v>329.25</v>
      </c>
      <c r="AA116" s="2110">
        <v>329.86</v>
      </c>
      <c r="AB116" s="2110">
        <v>329.86</v>
      </c>
      <c r="AC116" s="2110">
        <v>329.86</v>
      </c>
      <c r="AD116" s="2110">
        <v>322.29000000000002</v>
      </c>
      <c r="AE116" s="2110">
        <v>321.02999999999997</v>
      </c>
      <c r="AF116" s="2110">
        <v>321.52</v>
      </c>
      <c r="AG116" s="2110">
        <v>320.7</v>
      </c>
      <c r="AH116" s="2110">
        <v>320.7</v>
      </c>
      <c r="AI116" s="2110">
        <v>320.7</v>
      </c>
      <c r="AJ116" s="2110">
        <v>320.67</v>
      </c>
      <c r="AK116" s="2110">
        <v>321.14999999999998</v>
      </c>
      <c r="AL116" s="2110">
        <v>321.14999999999998</v>
      </c>
      <c r="AM116" s="2110">
        <v>322.19</v>
      </c>
      <c r="AN116" s="2110">
        <v>322.41000000000003</v>
      </c>
      <c r="AO116" s="2110">
        <v>323.56</v>
      </c>
      <c r="AP116" s="2110">
        <v>324.01</v>
      </c>
      <c r="AQ116" s="2110">
        <v>323.45999999999998</v>
      </c>
      <c r="AR116" s="2110">
        <v>328.2</v>
      </c>
      <c r="AS116" s="2110">
        <v>329.49</v>
      </c>
      <c r="AT116" s="2110">
        <v>329.49</v>
      </c>
      <c r="AU116" s="2110">
        <v>329.49</v>
      </c>
      <c r="AV116" s="2110">
        <v>329.43</v>
      </c>
      <c r="AW116" s="2111">
        <v>329.36</v>
      </c>
      <c r="AX116" s="2111">
        <v>329.36</v>
      </c>
      <c r="AY116" s="2111">
        <v>331.96</v>
      </c>
      <c r="AZ116" s="2111">
        <v>328.85</v>
      </c>
      <c r="BA116" s="2111">
        <v>328.85</v>
      </c>
      <c r="BB116" s="2111">
        <v>328.85</v>
      </c>
      <c r="BC116" s="2111">
        <v>328.85</v>
      </c>
      <c r="BD116" s="2112">
        <v>328.92</v>
      </c>
      <c r="BE116" s="2111">
        <v>328.88</v>
      </c>
      <c r="BF116" s="2112">
        <v>330.14</v>
      </c>
      <c r="BG116" s="2112">
        <v>330.72</v>
      </c>
      <c r="BH116" s="2112">
        <v>330.72</v>
      </c>
      <c r="BI116" s="2108">
        <v>330.72</v>
      </c>
      <c r="BJ116" s="2108">
        <v>330.72</v>
      </c>
      <c r="BK116" s="2108">
        <v>330.72</v>
      </c>
      <c r="BL116" s="2108">
        <v>330.62</v>
      </c>
      <c r="BM116" s="2108">
        <v>330.79</v>
      </c>
      <c r="BN116" s="2108">
        <v>331.18</v>
      </c>
      <c r="BO116" s="2108">
        <v>331.2</v>
      </c>
      <c r="BP116" s="2108">
        <v>331.18</v>
      </c>
      <c r="BQ116" s="2108">
        <v>331.2</v>
      </c>
      <c r="BR116" s="2108">
        <v>331.2</v>
      </c>
      <c r="BS116" s="2108">
        <v>331.2</v>
      </c>
      <c r="BT116" s="2108">
        <v>331.2</v>
      </c>
      <c r="BU116" s="2108">
        <v>331.2</v>
      </c>
      <c r="BV116" s="2108">
        <v>331.2</v>
      </c>
      <c r="BW116" s="2108">
        <v>331.2</v>
      </c>
      <c r="BX116" s="2108">
        <v>331.2</v>
      </c>
      <c r="BY116" s="2108">
        <v>334.34</v>
      </c>
      <c r="BZ116" s="2108">
        <v>335.12</v>
      </c>
      <c r="CA116" s="2108">
        <v>338.4</v>
      </c>
      <c r="CB116" s="2108">
        <v>342.8</v>
      </c>
      <c r="CC116" s="2108">
        <v>344.41</v>
      </c>
      <c r="CD116" s="2108">
        <v>344.81</v>
      </c>
      <c r="CE116" s="2108">
        <v>350.86</v>
      </c>
      <c r="CF116" s="2108">
        <v>358.4</v>
      </c>
      <c r="CG116" s="2108">
        <v>351.91</v>
      </c>
      <c r="CH116" s="2108">
        <v>334.19</v>
      </c>
      <c r="CI116" s="2108">
        <v>330.19</v>
      </c>
      <c r="CJ116" s="2108">
        <v>341.96</v>
      </c>
      <c r="CK116" s="2108">
        <v>367.35</v>
      </c>
      <c r="CL116" s="2108">
        <v>381.04</v>
      </c>
      <c r="CM116" s="2108">
        <v>384.24</v>
      </c>
      <c r="CN116" s="2108">
        <v>384.8</v>
      </c>
      <c r="CO116" s="2108">
        <v>387.33</v>
      </c>
      <c r="CP116" s="2108">
        <v>389.03</v>
      </c>
      <c r="CQ116" s="2108">
        <v>393.59</v>
      </c>
      <c r="CR116" s="2108">
        <v>405.88</v>
      </c>
      <c r="CS116" s="2108">
        <v>410.41</v>
      </c>
      <c r="CT116" s="2108">
        <v>420.96</v>
      </c>
      <c r="CU116" s="2108">
        <v>430.4</v>
      </c>
      <c r="CV116" s="2108">
        <v>454.8</v>
      </c>
      <c r="CW116" s="2108">
        <v>465.17</v>
      </c>
      <c r="CX116" s="2108">
        <v>471.72</v>
      </c>
      <c r="CY116" s="2108">
        <v>483.54</v>
      </c>
      <c r="CZ116" s="2108">
        <v>485.11</v>
      </c>
      <c r="DA116" s="2108">
        <v>486.9</v>
      </c>
      <c r="DB116" s="2108">
        <v>497.77</v>
      </c>
      <c r="DC116" s="2108">
        <v>502.4</v>
      </c>
      <c r="DD116" s="2108">
        <v>503.41</v>
      </c>
      <c r="DE116" s="2108">
        <v>504.16</v>
      </c>
      <c r="DF116" s="2108">
        <v>505.46</v>
      </c>
      <c r="DG116" s="2108">
        <v>508.61</v>
      </c>
      <c r="DH116" s="2108">
        <v>529.4</v>
      </c>
      <c r="DI116" s="2108">
        <v>540.15</v>
      </c>
      <c r="DJ116" s="2108">
        <v>558.12</v>
      </c>
      <c r="DK116" s="2108">
        <v>569.94000000000005</v>
      </c>
      <c r="DL116" s="2108">
        <v>578.08000000000004</v>
      </c>
      <c r="DM116" s="2108">
        <v>585.37</v>
      </c>
      <c r="DN116" s="2108">
        <v>585.37</v>
      </c>
      <c r="DO116" s="2108">
        <v>591.70000000000005</v>
      </c>
      <c r="DP116" s="2108">
        <v>602.57000000000005</v>
      </c>
      <c r="DQ116" s="2108">
        <v>627.69000000000005</v>
      </c>
      <c r="DR116" s="2108">
        <v>629.16</v>
      </c>
      <c r="DS116" s="2108">
        <v>636.86</v>
      </c>
      <c r="DT116" s="2108">
        <v>673.61</v>
      </c>
      <c r="DU116" s="2108">
        <v>678.41</v>
      </c>
      <c r="DV116" s="2108">
        <v>686.09</v>
      </c>
      <c r="DW116" s="2108">
        <v>694.95</v>
      </c>
      <c r="DX116" s="2108">
        <v>716.6</v>
      </c>
      <c r="DY116" s="2108">
        <v>725.67</v>
      </c>
      <c r="DZ116" s="2108">
        <v>730.77</v>
      </c>
      <c r="EA116" s="2108">
        <v>730.77</v>
      </c>
      <c r="EB116" s="2108">
        <v>734.26</v>
      </c>
      <c r="EC116" s="2108">
        <v>748.36</v>
      </c>
      <c r="ED116" s="2108">
        <v>749.62</v>
      </c>
      <c r="EE116" s="2108">
        <v>765.59</v>
      </c>
      <c r="EF116" s="2108">
        <v>798.44</v>
      </c>
      <c r="EG116" s="2108">
        <v>811.49</v>
      </c>
      <c r="EH116" s="2108">
        <v>811.49</v>
      </c>
      <c r="EI116" s="2108">
        <v>812.16</v>
      </c>
      <c r="EJ116" s="2108">
        <v>812.35</v>
      </c>
      <c r="EK116" s="2108">
        <v>813.27</v>
      </c>
      <c r="EL116" s="2108">
        <v>814.95</v>
      </c>
      <c r="EM116" s="2108">
        <v>826.18</v>
      </c>
      <c r="EN116" s="2108">
        <v>826.55</v>
      </c>
      <c r="EO116" s="2108">
        <v>831.92</v>
      </c>
      <c r="EP116" s="2108">
        <v>837.17</v>
      </c>
      <c r="EQ116" s="2108">
        <v>848.59</v>
      </c>
      <c r="ER116" s="2108">
        <v>868.55</v>
      </c>
      <c r="ES116" s="2108">
        <v>894.16</v>
      </c>
      <c r="ET116" s="2108">
        <v>897.32</v>
      </c>
      <c r="EU116" s="2108">
        <v>918.31</v>
      </c>
      <c r="EV116" s="2108">
        <v>925.24</v>
      </c>
      <c r="EW116" s="2108">
        <v>927.93</v>
      </c>
      <c r="EX116" s="2108">
        <v>932.57</v>
      </c>
      <c r="EY116" s="2108">
        <v>936.57</v>
      </c>
      <c r="EZ116" s="2108">
        <v>945.13</v>
      </c>
      <c r="FA116" s="2108">
        <v>990.55</v>
      </c>
      <c r="FB116" s="2108">
        <v>1031.28</v>
      </c>
      <c r="FC116" s="2108">
        <v>1069.4100000000001</v>
      </c>
      <c r="FD116" s="2108">
        <v>1132.6500000000001</v>
      </c>
      <c r="FE116" s="2108">
        <v>1195.18</v>
      </c>
      <c r="FF116" s="2108">
        <v>1196.21</v>
      </c>
      <c r="FG116" s="2108">
        <v>1237.79</v>
      </c>
      <c r="FH116" s="2108">
        <v>1238.31</v>
      </c>
      <c r="FI116" s="2108">
        <v>1272.6500000000001</v>
      </c>
      <c r="FJ116" s="2108">
        <v>1282.28</v>
      </c>
      <c r="FK116" s="2108">
        <v>1283.31</v>
      </c>
      <c r="FL116" s="2108">
        <v>1284.4000000000001</v>
      </c>
      <c r="FM116" s="2108">
        <v>1261.5</v>
      </c>
      <c r="FN116" s="2108">
        <v>1268.6500000000001</v>
      </c>
      <c r="FO116" s="2108">
        <v>1280.6400000000001</v>
      </c>
      <c r="FP116" s="2108">
        <v>1294.1199999999999</v>
      </c>
      <c r="FQ116" s="2108">
        <v>1310.3900000000001</v>
      </c>
      <c r="FR116" s="2108">
        <v>1323.3</v>
      </c>
      <c r="FS116" s="2108">
        <v>1338.74</v>
      </c>
      <c r="FT116" s="2108">
        <v>1360.2</v>
      </c>
      <c r="FU116" s="2108">
        <v>1366.84</v>
      </c>
      <c r="FV116" s="2108">
        <v>1366.92</v>
      </c>
      <c r="FW116" s="2113">
        <v>1393.1015172140337</v>
      </c>
      <c r="FX116" s="2113">
        <v>1435.0142598064829</v>
      </c>
      <c r="FY116" s="2113">
        <v>100</v>
      </c>
      <c r="FZ116" s="2113">
        <v>100</v>
      </c>
      <c r="GA116" s="2113">
        <v>106.21727705001831</v>
      </c>
      <c r="GB116" s="2113">
        <v>112.69633990451382</v>
      </c>
      <c r="GC116" s="2113">
        <v>123.95289142695633</v>
      </c>
      <c r="GD116" s="2113">
        <v>123.95289142695633</v>
      </c>
      <c r="GE116" s="2113">
        <v>123.95289142695633</v>
      </c>
      <c r="GF116" s="2114">
        <v>123.95289142695633</v>
      </c>
      <c r="GG116" s="1960">
        <v>123.95289142695633</v>
      </c>
      <c r="GH116" s="2114">
        <v>123.95289142695633</v>
      </c>
      <c r="GI116" s="2114">
        <v>123.95289142695633</v>
      </c>
      <c r="GJ116" s="2113">
        <v>123.95289142695633</v>
      </c>
      <c r="GK116" s="2113">
        <v>127.26877513503592</v>
      </c>
      <c r="GL116" s="2113">
        <v>133.90053309916135</v>
      </c>
      <c r="GM116" s="2114">
        <v>133.90053309916135</v>
      </c>
      <c r="GN116" s="2114">
        <v>133.90053309916135</v>
      </c>
      <c r="GO116" s="2115">
        <v>133.76964316230732</v>
      </c>
      <c r="GP116" s="2116">
        <v>133.76964316230732</v>
      </c>
      <c r="GQ116" s="2116">
        <v>143.39005789898215</v>
      </c>
      <c r="GR116" s="2116">
        <v>143.39005789898215</v>
      </c>
      <c r="GS116" s="2116">
        <v>143.39005789898215</v>
      </c>
      <c r="GT116" s="1960">
        <v>147.92757645146622</v>
      </c>
      <c r="GU116" s="1960">
        <v>154.64659553686886</v>
      </c>
      <c r="GV116" s="1960">
        <v>163.54712671343702</v>
      </c>
      <c r="GW116" s="1960">
        <v>163.54712671343702</v>
      </c>
      <c r="GX116" s="1960">
        <v>176.04712505688249</v>
      </c>
      <c r="GY116" s="1960">
        <v>182.59162441437286</v>
      </c>
      <c r="GZ116" s="1960">
        <v>182.65200501221764</v>
      </c>
      <c r="HA116" s="1960">
        <v>182.65200501221764</v>
      </c>
      <c r="HB116" s="1960">
        <v>191.77148871621921</v>
      </c>
      <c r="HC116" s="1960">
        <v>209.48558753465437</v>
      </c>
      <c r="HD116" s="1960">
        <v>224.64097754510249</v>
      </c>
      <c r="HE116" s="1960">
        <v>248.71902624809678</v>
      </c>
      <c r="HF116" s="1960">
        <v>271.3537041841542</v>
      </c>
      <c r="HG116" s="1960">
        <v>276.07746305776618</v>
      </c>
      <c r="HH116" s="2117">
        <v>276.89295908053009</v>
      </c>
      <c r="HI116" s="1960">
        <v>267.66019393780812</v>
      </c>
      <c r="HJ116" s="1960">
        <v>274.90831646477289</v>
      </c>
      <c r="HK116" s="1960">
        <v>281.04462414857971</v>
      </c>
      <c r="HL116" s="1960">
        <v>292.76862867516894</v>
      </c>
      <c r="HM116" s="1960">
        <v>305.27796936300126</v>
      </c>
      <c r="HN116" s="1960">
        <v>309.82371298265633</v>
      </c>
      <c r="HO116" s="1960">
        <v>317.61850107806043</v>
      </c>
      <c r="HP116" s="1960">
        <v>317.61850107806043</v>
      </c>
      <c r="HQ116" s="1960">
        <v>330.39108053938531</v>
      </c>
      <c r="HR116" s="1960">
        <v>330.45671245844358</v>
      </c>
      <c r="HS116" s="1960">
        <v>364.46830799611081</v>
      </c>
      <c r="HT116" s="1962">
        <v>388.92940984790465</v>
      </c>
      <c r="HU116" s="1961">
        <v>388.49392736011168</v>
      </c>
      <c r="HV116" s="1960">
        <v>388.49392736011168</v>
      </c>
      <c r="HW116" s="1960">
        <v>389.47596458801888</v>
      </c>
      <c r="HX116" s="1960">
        <v>389.47596458801888</v>
      </c>
      <c r="HY116" s="1960">
        <v>388.98494597406523</v>
      </c>
      <c r="HZ116" s="1960">
        <v>388.98494597406523</v>
      </c>
      <c r="IA116" s="1960">
        <v>389.96804044285847</v>
      </c>
      <c r="IB116" s="1960">
        <v>400.43949957804801</v>
      </c>
      <c r="IC116" s="1960">
        <v>418.24493719929387</v>
      </c>
      <c r="ID116" s="1960">
        <v>427.69853722873489</v>
      </c>
      <c r="IE116" s="1960">
        <v>433.35183878828803</v>
      </c>
      <c r="IF116" s="1960">
        <v>472.55518226969303</v>
      </c>
      <c r="IG116" s="1961">
        <v>472.55518226969303</v>
      </c>
      <c r="IH116" s="1960">
        <v>515.890149839164</v>
      </c>
      <c r="II116" s="1960">
        <v>528.46196207957632</v>
      </c>
      <c r="IJ116" s="1961">
        <v>562.07187118472348</v>
      </c>
      <c r="IK116" s="1960">
        <v>606.44217200602804</v>
      </c>
      <c r="IL116" s="1960">
        <v>612.75330933645284</v>
      </c>
      <c r="IM116" s="1960">
        <v>612.71077031674815</v>
      </c>
      <c r="IN116" s="1960">
        <v>612.71077031674815</v>
      </c>
      <c r="IO116" s="1960">
        <v>612.71077031674815</v>
      </c>
      <c r="IP116" s="1960">
        <v>612.71077031674815</v>
      </c>
      <c r="IQ116" s="1960">
        <v>612.838214156974</v>
      </c>
      <c r="IR116" s="1960">
        <v>612.71075196600952</v>
      </c>
      <c r="IS116" s="2274">
        <v>612.71075196600952</v>
      </c>
      <c r="IT116" s="1960">
        <v>666.33537242807552</v>
      </c>
      <c r="IU116" s="1960">
        <v>730.35993746371207</v>
      </c>
      <c r="IV116" s="1960">
        <v>740.13205995450062</v>
      </c>
      <c r="IW116" s="1960">
        <v>806.57022353513776</v>
      </c>
      <c r="IX116" s="1960">
        <v>849.70688891880138</v>
      </c>
      <c r="IY116" s="1960">
        <v>837.68730709973556</v>
      </c>
      <c r="IZ116" s="1960">
        <v>883.19140305348333</v>
      </c>
      <c r="JA116" s="1960">
        <v>911.82925658958857</v>
      </c>
      <c r="JB116" s="1960">
        <v>951.59120903854671</v>
      </c>
      <c r="JC116" s="1960">
        <v>1082.7981136253165</v>
      </c>
      <c r="JD116" s="1960">
        <v>1153.4639389993451</v>
      </c>
      <c r="JE116" s="2274">
        <v>1192.5245061593714</v>
      </c>
      <c r="JF116" s="2117">
        <v>1258.9665839388606</v>
      </c>
      <c r="JG116" s="2103">
        <f t="shared" si="13"/>
        <v>1.0557154821023105</v>
      </c>
      <c r="JI116" s="2155"/>
      <c r="JJ116" s="2104"/>
    </row>
    <row r="117" spans="2:270">
      <c r="B117" s="2105">
        <v>97</v>
      </c>
      <c r="C117" s="2106" t="s">
        <v>253</v>
      </c>
      <c r="D117" s="2425" t="s">
        <v>1224</v>
      </c>
      <c r="E117" s="2128" t="s">
        <v>254</v>
      </c>
      <c r="F117" s="2106" t="s">
        <v>918</v>
      </c>
      <c r="G117" s="2425" t="s">
        <v>1112</v>
      </c>
      <c r="H117" s="2106" t="s">
        <v>929</v>
      </c>
      <c r="I117" s="2106" t="s">
        <v>930</v>
      </c>
      <c r="J117" s="2359"/>
      <c r="K117" s="2425"/>
      <c r="L117" s="2110">
        <v>98.3</v>
      </c>
      <c r="M117" s="2110">
        <v>102.5</v>
      </c>
      <c r="N117" s="2110">
        <v>129.19999999999999</v>
      </c>
      <c r="O117" s="2110">
        <v>134.4</v>
      </c>
      <c r="P117" s="2110">
        <v>175.1</v>
      </c>
      <c r="Q117" s="2110">
        <v>176.7</v>
      </c>
      <c r="R117" s="2110">
        <v>182.7</v>
      </c>
      <c r="S117" s="2110">
        <v>198.7</v>
      </c>
      <c r="T117" s="2110">
        <v>204.6</v>
      </c>
      <c r="U117" s="2110">
        <v>204.6</v>
      </c>
      <c r="V117" s="2110">
        <v>204.6</v>
      </c>
      <c r="W117" s="2110">
        <v>204.6</v>
      </c>
      <c r="X117" s="2110">
        <v>206.5</v>
      </c>
      <c r="Y117" s="2110">
        <v>206.5</v>
      </c>
      <c r="Z117" s="2110">
        <v>208.9</v>
      </c>
      <c r="AA117" s="2110">
        <v>217.3</v>
      </c>
      <c r="AB117" s="2110">
        <v>216.4</v>
      </c>
      <c r="AC117" s="2110">
        <v>207</v>
      </c>
      <c r="AD117" s="2110">
        <v>207</v>
      </c>
      <c r="AE117" s="2110">
        <v>206.4</v>
      </c>
      <c r="AF117" s="2110">
        <v>203.8</v>
      </c>
      <c r="AG117" s="2110">
        <v>203.8</v>
      </c>
      <c r="AH117" s="2110">
        <v>204.7</v>
      </c>
      <c r="AI117" s="2110">
        <v>204.7</v>
      </c>
      <c r="AJ117" s="2110">
        <v>211.4</v>
      </c>
      <c r="AK117" s="2110">
        <v>215.7</v>
      </c>
      <c r="AL117" s="2110">
        <v>219.8</v>
      </c>
      <c r="AM117" s="2110">
        <v>236.2</v>
      </c>
      <c r="AN117" s="2110">
        <v>234.9</v>
      </c>
      <c r="AO117" s="2110">
        <v>234.9</v>
      </c>
      <c r="AP117" s="2110">
        <v>235.6</v>
      </c>
      <c r="AQ117" s="2110">
        <v>238.3</v>
      </c>
      <c r="AR117" s="2110">
        <v>244.7</v>
      </c>
      <c r="AS117" s="2110">
        <v>244.7</v>
      </c>
      <c r="AT117" s="2110">
        <v>261.10000000000002</v>
      </c>
      <c r="AU117" s="2110">
        <v>261.10000000000002</v>
      </c>
      <c r="AV117" s="2110">
        <v>261.10000000000002</v>
      </c>
      <c r="AW117" s="2111">
        <v>265.3</v>
      </c>
      <c r="AX117" s="2111">
        <v>273.10000000000002</v>
      </c>
      <c r="AY117" s="2111">
        <v>281.3</v>
      </c>
      <c r="AZ117" s="2111">
        <v>289.89999999999998</v>
      </c>
      <c r="BA117" s="2111">
        <v>291.3</v>
      </c>
      <c r="BB117" s="2111">
        <v>290.3</v>
      </c>
      <c r="BC117" s="2111">
        <v>290.3</v>
      </c>
      <c r="BD117" s="2112">
        <v>290.3</v>
      </c>
      <c r="BE117" s="2111">
        <v>290.3</v>
      </c>
      <c r="BF117" s="2112">
        <v>289.5</v>
      </c>
      <c r="BG117" s="2112">
        <v>312.8</v>
      </c>
      <c r="BH117" s="2112">
        <v>313.39999999999998</v>
      </c>
      <c r="BI117" s="2108">
        <v>313.39999999999998</v>
      </c>
      <c r="BJ117" s="2108">
        <v>304.60000000000002</v>
      </c>
      <c r="BK117" s="2108">
        <v>321</v>
      </c>
      <c r="BL117" s="2108">
        <v>318.60000000000002</v>
      </c>
      <c r="BM117" s="2108">
        <v>329</v>
      </c>
      <c r="BN117" s="2108">
        <v>333.2</v>
      </c>
      <c r="BO117" s="2108">
        <v>340.5</v>
      </c>
      <c r="BP117" s="2108">
        <v>340.5</v>
      </c>
      <c r="BQ117" s="2108">
        <v>340.7</v>
      </c>
      <c r="BR117" s="2108">
        <v>335.9</v>
      </c>
      <c r="BS117" s="2108">
        <v>338</v>
      </c>
      <c r="BT117" s="2108">
        <v>338</v>
      </c>
      <c r="BU117" s="2108">
        <v>338</v>
      </c>
      <c r="BV117" s="2108">
        <v>338</v>
      </c>
      <c r="BW117" s="2108">
        <v>338.6</v>
      </c>
      <c r="BX117" s="2108">
        <v>342.1</v>
      </c>
      <c r="BY117" s="2108">
        <v>342.1</v>
      </c>
      <c r="BZ117" s="2108">
        <v>342.1</v>
      </c>
      <c r="CA117" s="2108">
        <v>347.7</v>
      </c>
      <c r="CB117" s="2108">
        <v>352.4</v>
      </c>
      <c r="CC117" s="2108">
        <v>352.4</v>
      </c>
      <c r="CD117" s="2108">
        <v>356</v>
      </c>
      <c r="CE117" s="2108">
        <v>358</v>
      </c>
      <c r="CF117" s="2108">
        <v>358</v>
      </c>
      <c r="CG117" s="2108">
        <v>358</v>
      </c>
      <c r="CH117" s="2108">
        <v>359.1</v>
      </c>
      <c r="CI117" s="2108">
        <v>350.2</v>
      </c>
      <c r="CJ117" s="2108">
        <v>353.1</v>
      </c>
      <c r="CK117" s="2108">
        <v>355.1</v>
      </c>
      <c r="CL117" s="2108">
        <v>366</v>
      </c>
      <c r="CM117" s="2108">
        <v>373.5</v>
      </c>
      <c r="CN117" s="2108">
        <v>385.3</v>
      </c>
      <c r="CO117" s="2108">
        <v>385.3</v>
      </c>
      <c r="CP117" s="2108">
        <v>385.3</v>
      </c>
      <c r="CQ117" s="2108">
        <v>385.3</v>
      </c>
      <c r="CR117" s="2108">
        <v>389.8</v>
      </c>
      <c r="CS117" s="2108">
        <v>389.8</v>
      </c>
      <c r="CT117" s="2108">
        <v>393.3</v>
      </c>
      <c r="CU117" s="2108">
        <v>393.3</v>
      </c>
      <c r="CV117" s="2108">
        <v>393.3</v>
      </c>
      <c r="CW117" s="2108">
        <v>390.9</v>
      </c>
      <c r="CX117" s="2108">
        <v>396.4</v>
      </c>
      <c r="CY117" s="2108">
        <v>398.6</v>
      </c>
      <c r="CZ117" s="2108">
        <v>401.9</v>
      </c>
      <c r="DA117" s="2108">
        <v>410.9</v>
      </c>
      <c r="DB117" s="2108">
        <v>421.6</v>
      </c>
      <c r="DC117" s="2108">
        <v>426.4</v>
      </c>
      <c r="DD117" s="2108">
        <v>426.4</v>
      </c>
      <c r="DE117" s="2108">
        <v>431.9</v>
      </c>
      <c r="DF117" s="2108">
        <v>449</v>
      </c>
      <c r="DG117" s="2108">
        <v>460.7</v>
      </c>
      <c r="DH117" s="2108">
        <v>468.2</v>
      </c>
      <c r="DI117" s="2108">
        <v>470.4</v>
      </c>
      <c r="DJ117" s="2108">
        <v>475.7</v>
      </c>
      <c r="DK117" s="2108">
        <v>478</v>
      </c>
      <c r="DL117" s="2108">
        <v>478.4</v>
      </c>
      <c r="DM117" s="2108">
        <v>484.5</v>
      </c>
      <c r="DN117" s="2108">
        <v>511.4</v>
      </c>
      <c r="DO117" s="2108">
        <v>515</v>
      </c>
      <c r="DP117" s="2108">
        <v>519.1</v>
      </c>
      <c r="DQ117" s="2108">
        <v>528.4</v>
      </c>
      <c r="DR117" s="2108">
        <v>537.5</v>
      </c>
      <c r="DS117" s="2108">
        <v>542.79999999999995</v>
      </c>
      <c r="DT117" s="2108">
        <v>546.79999999999995</v>
      </c>
      <c r="DU117" s="2108">
        <v>553.79999999999995</v>
      </c>
      <c r="DV117" s="2108">
        <v>567.1</v>
      </c>
      <c r="DW117" s="2108">
        <v>584.6</v>
      </c>
      <c r="DX117" s="2108">
        <v>613.9</v>
      </c>
      <c r="DY117" s="2108">
        <v>618.9</v>
      </c>
      <c r="DZ117" s="2108">
        <v>620.29999999999995</v>
      </c>
      <c r="EA117" s="2108">
        <v>636.20000000000005</v>
      </c>
      <c r="EB117" s="2108">
        <v>641.79999999999995</v>
      </c>
      <c r="EC117" s="2108">
        <v>645.6</v>
      </c>
      <c r="ED117" s="2108">
        <v>645.6</v>
      </c>
      <c r="EE117" s="2108">
        <v>670.7</v>
      </c>
      <c r="EF117" s="2108">
        <v>686.9</v>
      </c>
      <c r="EG117" s="2108">
        <v>688.2</v>
      </c>
      <c r="EH117" s="2108">
        <v>687.4</v>
      </c>
      <c r="EI117" s="2108">
        <v>714.4</v>
      </c>
      <c r="EJ117" s="2108">
        <v>731.5</v>
      </c>
      <c r="EK117" s="2108">
        <v>731.5</v>
      </c>
      <c r="EL117" s="2108">
        <v>745.6</v>
      </c>
      <c r="EM117" s="2108">
        <v>755.6</v>
      </c>
      <c r="EN117" s="2108">
        <v>755.6</v>
      </c>
      <c r="EO117" s="2108">
        <v>772.7</v>
      </c>
      <c r="EP117" s="2108">
        <v>781.5</v>
      </c>
      <c r="EQ117" s="2108">
        <v>782.9</v>
      </c>
      <c r="ER117" s="2108">
        <v>808.1</v>
      </c>
      <c r="ES117" s="2108">
        <v>813.8</v>
      </c>
      <c r="ET117" s="2108">
        <v>822.3</v>
      </c>
      <c r="EU117" s="2108">
        <v>873.5</v>
      </c>
      <c r="EV117" s="2108">
        <v>918.1</v>
      </c>
      <c r="EW117" s="2108">
        <v>932.9</v>
      </c>
      <c r="EX117" s="2108">
        <v>956.7</v>
      </c>
      <c r="EY117" s="2108">
        <v>992.1</v>
      </c>
      <c r="EZ117" s="2108">
        <v>991.2</v>
      </c>
      <c r="FA117" s="2108">
        <v>1046</v>
      </c>
      <c r="FB117" s="2108">
        <v>1079.0999999999999</v>
      </c>
      <c r="FC117" s="2108">
        <v>1107.4000000000001</v>
      </c>
      <c r="FD117" s="2108">
        <v>1123.9000000000001</v>
      </c>
      <c r="FE117" s="2108">
        <v>1129.9000000000001</v>
      </c>
      <c r="FF117" s="2108">
        <v>1132.8</v>
      </c>
      <c r="FG117" s="2108">
        <v>1174.7</v>
      </c>
      <c r="FH117" s="2108">
        <v>1223.3</v>
      </c>
      <c r="FI117" s="2108">
        <v>1270.0999999999999</v>
      </c>
      <c r="FJ117" s="2108">
        <v>1276.0999999999999</v>
      </c>
      <c r="FK117" s="2108">
        <v>1345</v>
      </c>
      <c r="FL117" s="2108">
        <v>1345</v>
      </c>
      <c r="FM117" s="2108">
        <v>1345</v>
      </c>
      <c r="FN117" s="2108">
        <v>1345</v>
      </c>
      <c r="FO117" s="2108">
        <v>1359.3</v>
      </c>
      <c r="FP117" s="2108">
        <v>1394.2</v>
      </c>
      <c r="FQ117" s="2108">
        <v>1431.5</v>
      </c>
      <c r="FR117" s="2108">
        <v>1431.5</v>
      </c>
      <c r="FS117" s="2108">
        <v>1463</v>
      </c>
      <c r="FT117" s="2108">
        <v>1483.1</v>
      </c>
      <c r="FU117" s="2108">
        <v>1503.1</v>
      </c>
      <c r="FV117" s="2108">
        <v>1520.6</v>
      </c>
      <c r="FW117" s="2113">
        <v>1814.1847576907189</v>
      </c>
      <c r="FX117" s="2113">
        <v>1834.996412427397</v>
      </c>
      <c r="FY117" s="2113">
        <v>100</v>
      </c>
      <c r="FZ117" s="2113">
        <v>104.82017993927002</v>
      </c>
      <c r="GA117" s="2113">
        <v>109.13970040110428</v>
      </c>
      <c r="GB117" s="2113">
        <v>113.49509705880649</v>
      </c>
      <c r="GC117" s="2113">
        <v>114.58445195949882</v>
      </c>
      <c r="GD117" s="2113">
        <v>111.73454787765925</v>
      </c>
      <c r="GE117" s="2113">
        <v>113.91326692095568</v>
      </c>
      <c r="GF117" s="2114">
        <v>114.97938142680663</v>
      </c>
      <c r="GG117" s="1960">
        <v>112.86472557847902</v>
      </c>
      <c r="GH117" s="2114">
        <v>112.86472557847902</v>
      </c>
      <c r="GI117" s="2114">
        <v>113.64107850799121</v>
      </c>
      <c r="GJ117" s="2113">
        <v>115.33495023168186</v>
      </c>
      <c r="GK117" s="2113">
        <v>116.36620753647874</v>
      </c>
      <c r="GL117" s="2113">
        <v>119.37558466590995</v>
      </c>
      <c r="GM117" s="2114">
        <v>121.48894005836365</v>
      </c>
      <c r="GN117" s="2114">
        <v>122.83747382756523</v>
      </c>
      <c r="GO117" s="2115">
        <v>122.83747382756523</v>
      </c>
      <c r="GP117" s="2116">
        <v>122.83747382756523</v>
      </c>
      <c r="GQ117" s="2116">
        <v>124.49399018752263</v>
      </c>
      <c r="GR117" s="2116">
        <v>126.86264763460912</v>
      </c>
      <c r="GS117" s="2116">
        <v>122.1535232279072</v>
      </c>
      <c r="GT117" s="1960">
        <v>122.73449674773597</v>
      </c>
      <c r="GU117" s="1960">
        <v>122.73885681319986</v>
      </c>
      <c r="GV117" s="1960">
        <v>124.14352082083745</v>
      </c>
      <c r="GW117" s="1960">
        <v>126.09997147344102</v>
      </c>
      <c r="GX117" s="1960">
        <v>130.38890872750568</v>
      </c>
      <c r="GY117" s="1960">
        <v>131.81434728224141</v>
      </c>
      <c r="GZ117" s="1960">
        <v>145.51126634653934</v>
      </c>
      <c r="HA117" s="1960">
        <v>147.66217219461785</v>
      </c>
      <c r="HB117" s="1960">
        <v>152.83653944400231</v>
      </c>
      <c r="HC117" s="1960">
        <v>158.14203167978383</v>
      </c>
      <c r="HD117" s="1960">
        <v>173.62250954986391</v>
      </c>
      <c r="HE117" s="1960">
        <v>191.09337168768289</v>
      </c>
      <c r="HF117" s="1960">
        <v>207.10285605246551</v>
      </c>
      <c r="HG117" s="1960">
        <v>227.60995206974334</v>
      </c>
      <c r="HH117" s="2117">
        <v>232.23060523206141</v>
      </c>
      <c r="HI117" s="1960">
        <v>234.89334904372811</v>
      </c>
      <c r="HJ117" s="1960">
        <v>252.34130109409534</v>
      </c>
      <c r="HK117" s="1960">
        <v>277.67800411192667</v>
      </c>
      <c r="HL117" s="1960">
        <v>289.00319053976773</v>
      </c>
      <c r="HM117" s="1960">
        <v>300.52156405735718</v>
      </c>
      <c r="HN117" s="1960">
        <v>313.88137545836895</v>
      </c>
      <c r="HO117" s="1960">
        <v>323.00009227228173</v>
      </c>
      <c r="HP117" s="1960">
        <v>445.74012733574875</v>
      </c>
      <c r="HQ117" s="1960">
        <v>459.113027920273</v>
      </c>
      <c r="HR117" s="1960">
        <v>352.07010057678707</v>
      </c>
      <c r="HS117" s="1960">
        <v>352.07010057678707</v>
      </c>
      <c r="HT117" s="1962">
        <v>352.07010057678707</v>
      </c>
      <c r="HU117" s="1961">
        <v>355.91454432735054</v>
      </c>
      <c r="HV117" s="1960">
        <v>343.4214440974514</v>
      </c>
      <c r="HW117" s="1960">
        <v>343.4214440974514</v>
      </c>
      <c r="HX117" s="1960">
        <v>343.4214440974514</v>
      </c>
      <c r="HY117" s="1960">
        <v>367.79328851727058</v>
      </c>
      <c r="HZ117" s="1960">
        <v>367.79328851727058</v>
      </c>
      <c r="IA117" s="1960">
        <v>367.79328851727058</v>
      </c>
      <c r="IB117" s="1960">
        <v>367.79328851727058</v>
      </c>
      <c r="IC117" s="1960">
        <v>367.79328851727058</v>
      </c>
      <c r="ID117" s="1960">
        <v>367.79328851727058</v>
      </c>
      <c r="IE117" s="1960">
        <v>367.79328851727058</v>
      </c>
      <c r="IF117" s="1960">
        <v>367.79328851727058</v>
      </c>
      <c r="IG117" s="1961">
        <v>367.79328851727058</v>
      </c>
      <c r="IH117" s="1960">
        <v>367.79328851727058</v>
      </c>
      <c r="II117" s="1960">
        <v>367.79328851727058</v>
      </c>
      <c r="IJ117" s="1961">
        <v>367.79328851727058</v>
      </c>
      <c r="IK117" s="1960">
        <v>367.79328851727058</v>
      </c>
      <c r="IL117" s="1960">
        <v>367.79328851727058</v>
      </c>
      <c r="IM117" s="1960">
        <v>367.79328851727058</v>
      </c>
      <c r="IN117" s="1960">
        <v>367.79328851727058</v>
      </c>
      <c r="IO117" s="1960">
        <v>398.01743758775433</v>
      </c>
      <c r="IP117" s="1960">
        <v>405.97778633950941</v>
      </c>
      <c r="IQ117" s="1960">
        <v>418.75431325340014</v>
      </c>
      <c r="IR117" s="1960">
        <v>439.78957243185243</v>
      </c>
      <c r="IS117" s="2274">
        <v>352.07788984382546</v>
      </c>
      <c r="IT117" s="1960">
        <v>378.13123378894124</v>
      </c>
      <c r="IU117" s="1960">
        <v>385.74621143604389</v>
      </c>
      <c r="IV117" s="1960">
        <v>398.60441848391207</v>
      </c>
      <c r="IW117" s="1960">
        <v>447.68214587021987</v>
      </c>
      <c r="IX117" s="1960">
        <v>455.74342823274003</v>
      </c>
      <c r="IY117" s="1960">
        <v>478.0763859345717</v>
      </c>
      <c r="IZ117" s="1960">
        <v>500.30241108324958</v>
      </c>
      <c r="JA117" s="1960">
        <v>528.66590629173481</v>
      </c>
      <c r="JB117" s="1960">
        <v>601.13841085827517</v>
      </c>
      <c r="JC117" s="1960">
        <v>655.64834810004299</v>
      </c>
      <c r="JD117" s="1960">
        <v>739.3645460276133</v>
      </c>
      <c r="JE117" s="2274">
        <v>775.51108736958065</v>
      </c>
      <c r="JF117" s="2117">
        <v>822.55742060594775</v>
      </c>
      <c r="JG117" s="2103">
        <f t="shared" si="13"/>
        <v>1.06066493955095</v>
      </c>
      <c r="JI117" s="2155"/>
      <c r="JJ117" s="2104"/>
    </row>
    <row r="118" spans="2:270" ht="69.75" customHeight="1">
      <c r="B118" s="2105">
        <v>98</v>
      </c>
      <c r="C118" s="2106" t="s">
        <v>255</v>
      </c>
      <c r="D118" s="2425" t="s">
        <v>1225</v>
      </c>
      <c r="E118" s="2128" t="s">
        <v>256</v>
      </c>
      <c r="F118" s="2106" t="s">
        <v>918</v>
      </c>
      <c r="G118" s="2425" t="s">
        <v>1112</v>
      </c>
      <c r="H118" s="2106" t="s">
        <v>919</v>
      </c>
      <c r="I118" s="2106" t="s">
        <v>920</v>
      </c>
      <c r="J118" s="2359" t="s">
        <v>1304</v>
      </c>
      <c r="K118" s="2425"/>
      <c r="L118" s="2110">
        <v>91.63</v>
      </c>
      <c r="M118" s="2110">
        <v>97.87</v>
      </c>
      <c r="N118" s="2110">
        <v>111.38</v>
      </c>
      <c r="O118" s="2110">
        <v>132.13</v>
      </c>
      <c r="P118" s="2110">
        <v>169.51</v>
      </c>
      <c r="Q118" s="2110">
        <v>173.67</v>
      </c>
      <c r="R118" s="2110">
        <v>198.39</v>
      </c>
      <c r="S118" s="2110">
        <v>223.2</v>
      </c>
      <c r="T118" s="2110">
        <v>240.73</v>
      </c>
      <c r="U118" s="2110">
        <v>254.68</v>
      </c>
      <c r="V118" s="2110">
        <v>259.41000000000003</v>
      </c>
      <c r="W118" s="2110">
        <v>259.56</v>
      </c>
      <c r="X118" s="2110">
        <v>259.56</v>
      </c>
      <c r="Y118" s="2110">
        <v>259.56</v>
      </c>
      <c r="Z118" s="2110">
        <v>267.58</v>
      </c>
      <c r="AA118" s="2110">
        <v>277.60000000000002</v>
      </c>
      <c r="AB118" s="2110">
        <v>277.60000000000002</v>
      </c>
      <c r="AC118" s="2110">
        <v>283.58</v>
      </c>
      <c r="AD118" s="2110">
        <v>283.58</v>
      </c>
      <c r="AE118" s="2110">
        <v>280.54000000000002</v>
      </c>
      <c r="AF118" s="2110">
        <v>280.54000000000002</v>
      </c>
      <c r="AG118" s="2110">
        <v>280.54000000000002</v>
      </c>
      <c r="AH118" s="2110">
        <v>280.54000000000002</v>
      </c>
      <c r="AI118" s="2110">
        <v>280.54000000000002</v>
      </c>
      <c r="AJ118" s="2110">
        <v>285.81</v>
      </c>
      <c r="AK118" s="2110">
        <v>289.45</v>
      </c>
      <c r="AL118" s="2110">
        <v>326.10000000000002</v>
      </c>
      <c r="AM118" s="2110">
        <v>340.55</v>
      </c>
      <c r="AN118" s="2110">
        <v>350.74</v>
      </c>
      <c r="AO118" s="2110">
        <v>353.38</v>
      </c>
      <c r="AP118" s="2110">
        <v>364.74</v>
      </c>
      <c r="AQ118" s="2110">
        <v>364.74</v>
      </c>
      <c r="AR118" s="2110">
        <v>364.76</v>
      </c>
      <c r="AS118" s="2110">
        <v>368.31</v>
      </c>
      <c r="AT118" s="2110">
        <v>371.65</v>
      </c>
      <c r="AU118" s="2110">
        <v>388.01</v>
      </c>
      <c r="AV118" s="2110">
        <v>388.96</v>
      </c>
      <c r="AW118" s="2111">
        <v>388.96</v>
      </c>
      <c r="AX118" s="2111">
        <v>388.96</v>
      </c>
      <c r="AY118" s="2111">
        <v>388.96</v>
      </c>
      <c r="AZ118" s="2111">
        <v>366.57</v>
      </c>
      <c r="BA118" s="2111">
        <v>366.57</v>
      </c>
      <c r="BB118" s="2111">
        <v>366.57</v>
      </c>
      <c r="BC118" s="2111">
        <v>368.54</v>
      </c>
      <c r="BD118" s="2112">
        <v>374.34</v>
      </c>
      <c r="BE118" s="2111">
        <v>374.34</v>
      </c>
      <c r="BF118" s="2112">
        <v>374.31</v>
      </c>
      <c r="BG118" s="2112">
        <v>374.31</v>
      </c>
      <c r="BH118" s="2112">
        <v>374.31</v>
      </c>
      <c r="BI118" s="2108">
        <v>375.42</v>
      </c>
      <c r="BJ118" s="2108">
        <v>375.42</v>
      </c>
      <c r="BK118" s="2108">
        <v>376.7</v>
      </c>
      <c r="BL118" s="2108">
        <v>376.7</v>
      </c>
      <c r="BM118" s="2108">
        <v>376.7</v>
      </c>
      <c r="BN118" s="2108">
        <v>376.7</v>
      </c>
      <c r="BO118" s="2108">
        <v>376.7</v>
      </c>
      <c r="BP118" s="2108">
        <v>376.7</v>
      </c>
      <c r="BQ118" s="2108">
        <v>376.7</v>
      </c>
      <c r="BR118" s="2108">
        <v>376.7</v>
      </c>
      <c r="BS118" s="2108">
        <v>377.62</v>
      </c>
      <c r="BT118" s="2108">
        <v>383.58</v>
      </c>
      <c r="BU118" s="2108">
        <v>383.58</v>
      </c>
      <c r="BV118" s="2108">
        <v>383.58</v>
      </c>
      <c r="BW118" s="2108">
        <v>393.21</v>
      </c>
      <c r="BX118" s="2108">
        <v>393.4</v>
      </c>
      <c r="BY118" s="2108">
        <v>393.4</v>
      </c>
      <c r="BZ118" s="2108">
        <v>395.93</v>
      </c>
      <c r="CA118" s="2108">
        <v>395.93</v>
      </c>
      <c r="CB118" s="2108">
        <v>396.65</v>
      </c>
      <c r="CC118" s="2108">
        <v>415.68</v>
      </c>
      <c r="CD118" s="2108">
        <v>415.68</v>
      </c>
      <c r="CE118" s="2108">
        <v>418.09</v>
      </c>
      <c r="CF118" s="2108">
        <v>420.89</v>
      </c>
      <c r="CG118" s="2108">
        <v>433.46</v>
      </c>
      <c r="CH118" s="2108">
        <v>433.46</v>
      </c>
      <c r="CI118" s="2108">
        <v>433.46</v>
      </c>
      <c r="CJ118" s="2108">
        <v>451.41</v>
      </c>
      <c r="CK118" s="2108">
        <v>451.41</v>
      </c>
      <c r="CL118" s="2108">
        <v>482.83</v>
      </c>
      <c r="CM118" s="2108">
        <v>492.49</v>
      </c>
      <c r="CN118" s="2108">
        <v>492.49</v>
      </c>
      <c r="CO118" s="2108">
        <v>526.75</v>
      </c>
      <c r="CP118" s="2108">
        <v>526.75</v>
      </c>
      <c r="CQ118" s="2108">
        <v>526.75</v>
      </c>
      <c r="CR118" s="2108">
        <v>526.75</v>
      </c>
      <c r="CS118" s="2108">
        <v>526.75</v>
      </c>
      <c r="CT118" s="2108">
        <v>526.75</v>
      </c>
      <c r="CU118" s="2108">
        <v>526.75</v>
      </c>
      <c r="CV118" s="2108">
        <v>526.75</v>
      </c>
      <c r="CW118" s="2108">
        <v>526.75</v>
      </c>
      <c r="CX118" s="2108">
        <v>526.75</v>
      </c>
      <c r="CY118" s="2108">
        <v>532.78</v>
      </c>
      <c r="CZ118" s="2108">
        <v>532.78</v>
      </c>
      <c r="DA118" s="2108">
        <v>532.78</v>
      </c>
      <c r="DB118" s="2108">
        <v>537.76</v>
      </c>
      <c r="DC118" s="2108">
        <v>537.76</v>
      </c>
      <c r="DD118" s="2108">
        <v>533.17999999999995</v>
      </c>
      <c r="DE118" s="2108">
        <v>533.33000000000004</v>
      </c>
      <c r="DF118" s="2108">
        <v>558.57000000000005</v>
      </c>
      <c r="DG118" s="2108">
        <v>565.89</v>
      </c>
      <c r="DH118" s="2108">
        <v>565.35</v>
      </c>
      <c r="DI118" s="2108">
        <v>565.35</v>
      </c>
      <c r="DJ118" s="2108">
        <v>574.70000000000005</v>
      </c>
      <c r="DK118" s="2108">
        <v>574.70000000000005</v>
      </c>
      <c r="DL118" s="2108">
        <v>574.73</v>
      </c>
      <c r="DM118" s="2108">
        <v>587.05999999999995</v>
      </c>
      <c r="DN118" s="2108">
        <v>599.97</v>
      </c>
      <c r="DO118" s="2108">
        <v>625.17999999999995</v>
      </c>
      <c r="DP118" s="2108">
        <v>625.17999999999995</v>
      </c>
      <c r="DQ118" s="2108">
        <v>614.66</v>
      </c>
      <c r="DR118" s="2108">
        <v>625.17999999999995</v>
      </c>
      <c r="DS118" s="2108">
        <v>633.92999999999995</v>
      </c>
      <c r="DT118" s="2108">
        <v>633.92999999999995</v>
      </c>
      <c r="DU118" s="2108">
        <v>633.92999999999995</v>
      </c>
      <c r="DV118" s="2108">
        <v>633.92999999999995</v>
      </c>
      <c r="DW118" s="2108">
        <v>647.82000000000005</v>
      </c>
      <c r="DX118" s="2108">
        <v>650.66</v>
      </c>
      <c r="DY118" s="2108">
        <v>650.66</v>
      </c>
      <c r="DZ118" s="2108">
        <v>650.66</v>
      </c>
      <c r="EA118" s="2108">
        <v>676.2</v>
      </c>
      <c r="EB118" s="2108">
        <v>676.2</v>
      </c>
      <c r="EC118" s="2108">
        <v>676.2</v>
      </c>
      <c r="ED118" s="2108">
        <v>676.2</v>
      </c>
      <c r="EE118" s="2108">
        <v>676.2</v>
      </c>
      <c r="EF118" s="2108">
        <v>676.2</v>
      </c>
      <c r="EG118" s="2108">
        <v>714.41</v>
      </c>
      <c r="EH118" s="2108">
        <v>714.41</v>
      </c>
      <c r="EI118" s="2108">
        <v>714.41</v>
      </c>
      <c r="EJ118" s="2108">
        <v>716.42</v>
      </c>
      <c r="EK118" s="2108">
        <v>716.42</v>
      </c>
      <c r="EL118" s="2108">
        <v>729.31</v>
      </c>
      <c r="EM118" s="2108">
        <v>759.48</v>
      </c>
      <c r="EN118" s="2108">
        <v>797.96</v>
      </c>
      <c r="EO118" s="2108">
        <v>800.48</v>
      </c>
      <c r="EP118" s="2108">
        <v>800.48</v>
      </c>
      <c r="EQ118" s="2108">
        <v>800.48</v>
      </c>
      <c r="ER118" s="2108">
        <v>800.48</v>
      </c>
      <c r="ES118" s="2108">
        <v>800.48</v>
      </c>
      <c r="ET118" s="2108">
        <v>833.44</v>
      </c>
      <c r="EU118" s="2108">
        <v>847.85</v>
      </c>
      <c r="EV118" s="2108">
        <v>847.85</v>
      </c>
      <c r="EW118" s="2108">
        <v>847.85</v>
      </c>
      <c r="EX118" s="2108">
        <v>847.85</v>
      </c>
      <c r="EY118" s="2108">
        <v>847.85</v>
      </c>
      <c r="EZ118" s="2108">
        <v>914.86</v>
      </c>
      <c r="FA118" s="2108">
        <v>974.71</v>
      </c>
      <c r="FB118" s="2108">
        <v>1031.07</v>
      </c>
      <c r="FC118" s="2108">
        <v>1040.8599999999999</v>
      </c>
      <c r="FD118" s="2108">
        <v>1101.25</v>
      </c>
      <c r="FE118" s="2108">
        <v>1150.5999999999999</v>
      </c>
      <c r="FF118" s="2108">
        <v>1161.1099999999999</v>
      </c>
      <c r="FG118" s="2108">
        <v>1163.06</v>
      </c>
      <c r="FH118" s="2108">
        <v>1177.3499999999999</v>
      </c>
      <c r="FI118" s="2108">
        <v>1200.76</v>
      </c>
      <c r="FJ118" s="2108">
        <v>1218.04</v>
      </c>
      <c r="FK118" s="2108">
        <v>1223.0999999999999</v>
      </c>
      <c r="FL118" s="2108">
        <v>1229.6600000000001</v>
      </c>
      <c r="FM118" s="2108">
        <v>1235.23</v>
      </c>
      <c r="FN118" s="2108">
        <v>1248.8599999999999</v>
      </c>
      <c r="FO118" s="2108">
        <v>1263.02</v>
      </c>
      <c r="FP118" s="2108">
        <v>1274.52</v>
      </c>
      <c r="FQ118" s="2108">
        <v>1286.26</v>
      </c>
      <c r="FR118" s="2108">
        <v>1299.3399999999999</v>
      </c>
      <c r="FS118" s="2108">
        <v>1308.51</v>
      </c>
      <c r="FT118" s="2108">
        <v>1329.31</v>
      </c>
      <c r="FU118" s="2108">
        <v>1346.84</v>
      </c>
      <c r="FV118" s="2108">
        <v>1364.66</v>
      </c>
      <c r="FW118" s="2113">
        <v>1463.3873691032659</v>
      </c>
      <c r="FX118" s="2113">
        <v>1545.164697423294</v>
      </c>
      <c r="FY118" s="2113">
        <v>100</v>
      </c>
      <c r="FZ118" s="2113">
        <v>102.43468284606934</v>
      </c>
      <c r="GA118" s="2113">
        <v>104.16513935813896</v>
      </c>
      <c r="GB118" s="2113">
        <v>101.2452189205552</v>
      </c>
      <c r="GC118" s="2113">
        <v>101.69664958977773</v>
      </c>
      <c r="GD118" s="2113">
        <v>101.23076770006665</v>
      </c>
      <c r="GE118" s="2113">
        <v>106.78064276550749</v>
      </c>
      <c r="GF118" s="2114">
        <v>106.55601615134677</v>
      </c>
      <c r="GG118" s="1960">
        <v>107.61223898343054</v>
      </c>
      <c r="GH118" s="2114">
        <v>108.58566917665232</v>
      </c>
      <c r="GI118" s="2114">
        <v>110.08973316966664</v>
      </c>
      <c r="GJ118" s="2113">
        <v>113.12611551159192</v>
      </c>
      <c r="GK118" s="2113">
        <v>113.06155954295517</v>
      </c>
      <c r="GL118" s="2113">
        <v>111.78024090083363</v>
      </c>
      <c r="GM118" s="2114">
        <v>106.30842303636383</v>
      </c>
      <c r="GN118" s="2114">
        <v>105.80876657428398</v>
      </c>
      <c r="GO118" s="2115">
        <v>104.87839047001427</v>
      </c>
      <c r="GP118" s="2116">
        <v>103.50646225710328</v>
      </c>
      <c r="GQ118" s="2116">
        <v>109.087299428965</v>
      </c>
      <c r="GR118" s="2116">
        <v>111.02669670293919</v>
      </c>
      <c r="GS118" s="2116">
        <v>110.89648670359681</v>
      </c>
      <c r="GT118" s="1960">
        <v>113.19163170811622</v>
      </c>
      <c r="GU118" s="1960">
        <v>114.67591604800822</v>
      </c>
      <c r="GV118" s="1960">
        <v>113.84813706411757</v>
      </c>
      <c r="GW118" s="1960">
        <v>119.56587695620712</v>
      </c>
      <c r="GX118" s="1960">
        <v>126.26462985469128</v>
      </c>
      <c r="GY118" s="1960">
        <v>131.60840652000954</v>
      </c>
      <c r="GZ118" s="1960">
        <v>141.12869346182868</v>
      </c>
      <c r="HA118" s="1960">
        <v>181.04020186552151</v>
      </c>
      <c r="HB118" s="1960">
        <v>190.50005379844177</v>
      </c>
      <c r="HC118" s="1960">
        <v>171.02492435664146</v>
      </c>
      <c r="HD118" s="1960">
        <v>219.91820448447214</v>
      </c>
      <c r="HE118" s="1960">
        <v>215.61215670942616</v>
      </c>
      <c r="HF118" s="1960">
        <v>212.87528853026441</v>
      </c>
      <c r="HG118" s="1960">
        <v>203.10052029072713</v>
      </c>
      <c r="HH118" s="2117">
        <v>208.82364169017646</v>
      </c>
      <c r="HI118" s="1960">
        <v>204.5184408124247</v>
      </c>
      <c r="HJ118" s="1960">
        <v>216.70121496964614</v>
      </c>
      <c r="HK118" s="1960">
        <v>235.27181860264835</v>
      </c>
      <c r="HL118" s="1960">
        <v>245.51880481141836</v>
      </c>
      <c r="HM118" s="1960">
        <v>259.6835857187512</v>
      </c>
      <c r="HN118" s="1960">
        <v>257.42665324361695</v>
      </c>
      <c r="HO118" s="1960">
        <v>246.47671552637595</v>
      </c>
      <c r="HP118" s="1960">
        <v>339.6849837057087</v>
      </c>
      <c r="HQ118" s="1960">
        <v>330.01874702831884</v>
      </c>
      <c r="HR118" s="1960">
        <v>351.44860844788235</v>
      </c>
      <c r="HS118" s="1960">
        <v>387.24566512063552</v>
      </c>
      <c r="HT118" s="1962">
        <v>392.40725625906327</v>
      </c>
      <c r="HU118" s="1961">
        <v>393.73448442505611</v>
      </c>
      <c r="HV118" s="1960">
        <v>397.81297131975248</v>
      </c>
      <c r="HW118" s="1960">
        <v>404.97692320707159</v>
      </c>
      <c r="HX118" s="1960">
        <v>404.97692320707159</v>
      </c>
      <c r="HY118" s="1960">
        <v>404.97692320707159</v>
      </c>
      <c r="HZ118" s="1960">
        <v>404.97692320707159</v>
      </c>
      <c r="IA118" s="1960">
        <v>404.97692320707159</v>
      </c>
      <c r="IB118" s="1960">
        <v>409.87161676711429</v>
      </c>
      <c r="IC118" s="1960">
        <v>460.45996033423938</v>
      </c>
      <c r="ID118" s="1960">
        <v>529.18042355565308</v>
      </c>
      <c r="IE118" s="1960">
        <v>540.07053761067732</v>
      </c>
      <c r="IF118" s="1960">
        <v>538.48757048531036</v>
      </c>
      <c r="IG118" s="1961">
        <v>551.25267912469815</v>
      </c>
      <c r="IH118" s="1960">
        <v>593.7391762332104</v>
      </c>
      <c r="II118" s="1960">
        <v>603.88843451412299</v>
      </c>
      <c r="IJ118" s="1961">
        <v>623.39578147760267</v>
      </c>
      <c r="IK118" s="1960">
        <v>638.82853271950012</v>
      </c>
      <c r="IL118" s="1960">
        <v>668.89276944108474</v>
      </c>
      <c r="IM118" s="1960">
        <v>673.50392151375286</v>
      </c>
      <c r="IN118" s="1960">
        <v>676.51673268587751</v>
      </c>
      <c r="IO118" s="1960">
        <v>679.93060524819361</v>
      </c>
      <c r="IP118" s="1960">
        <v>680.11411642120186</v>
      </c>
      <c r="IQ118" s="1960">
        <v>686.08738867720012</v>
      </c>
      <c r="IR118" s="1960">
        <v>693.30655456911904</v>
      </c>
      <c r="IS118" s="2274">
        <v>703.33807742268243</v>
      </c>
      <c r="IT118" s="1960">
        <v>717.44763447236778</v>
      </c>
      <c r="IU118" s="1960">
        <v>740.55578277453037</v>
      </c>
      <c r="IV118" s="1960">
        <v>754.84871359719693</v>
      </c>
      <c r="IW118" s="1960">
        <v>795.4112450363981</v>
      </c>
      <c r="IX118" s="1960">
        <v>822.0436673126012</v>
      </c>
      <c r="IY118" s="1960">
        <v>944.68824281593572</v>
      </c>
      <c r="IZ118" s="1960">
        <v>1034.4476103480299</v>
      </c>
      <c r="JA118" s="1960">
        <v>1050.1978386102869</v>
      </c>
      <c r="JB118" s="1960">
        <v>1068.6836893112675</v>
      </c>
      <c r="JC118" s="1960">
        <v>1140.2635888230386</v>
      </c>
      <c r="JD118" s="1960">
        <v>1201.9898707232451</v>
      </c>
      <c r="JE118" s="2274">
        <v>1267.3019863439299</v>
      </c>
      <c r="JF118" s="2117">
        <v>1336.1773595592174</v>
      </c>
      <c r="JG118" s="2103">
        <f t="shared" si="13"/>
        <v>1.054348035399193</v>
      </c>
      <c r="JI118" s="2155"/>
      <c r="JJ118" s="2104"/>
    </row>
    <row r="119" spans="2:270">
      <c r="B119" s="2105">
        <v>99</v>
      </c>
      <c r="C119" s="2106" t="s">
        <v>257</v>
      </c>
      <c r="D119" s="2425" t="s">
        <v>1168</v>
      </c>
      <c r="E119" s="2128" t="s">
        <v>258</v>
      </c>
      <c r="F119" s="2106" t="s">
        <v>918</v>
      </c>
      <c r="G119" s="2425" t="s">
        <v>1112</v>
      </c>
      <c r="H119" s="2106" t="s">
        <v>919</v>
      </c>
      <c r="I119" s="2106" t="s">
        <v>930</v>
      </c>
      <c r="J119" s="2359" t="s">
        <v>415</v>
      </c>
      <c r="K119" s="2368"/>
      <c r="L119" s="2110">
        <v>85.86</v>
      </c>
      <c r="M119" s="2110">
        <v>94.04</v>
      </c>
      <c r="N119" s="2110">
        <v>104.01</v>
      </c>
      <c r="O119" s="2110">
        <v>117.75</v>
      </c>
      <c r="P119" s="2110">
        <v>146.38999999999999</v>
      </c>
      <c r="Q119" s="2110">
        <v>157.80000000000001</v>
      </c>
      <c r="R119" s="2110">
        <v>156.91</v>
      </c>
      <c r="S119" s="2110">
        <v>186.11</v>
      </c>
      <c r="T119" s="2110">
        <v>186.11</v>
      </c>
      <c r="U119" s="2110">
        <v>186.11</v>
      </c>
      <c r="V119" s="2110">
        <v>197.52</v>
      </c>
      <c r="W119" s="2110">
        <v>197.52</v>
      </c>
      <c r="X119" s="2110">
        <v>197.52</v>
      </c>
      <c r="Y119" s="2110">
        <v>197.52</v>
      </c>
      <c r="Z119" s="2110">
        <v>197.52</v>
      </c>
      <c r="AA119" s="2110">
        <v>197.52</v>
      </c>
      <c r="AB119" s="2110">
        <v>186.11</v>
      </c>
      <c r="AC119" s="2110">
        <v>186.11</v>
      </c>
      <c r="AD119" s="2110">
        <v>197.52</v>
      </c>
      <c r="AE119" s="2110">
        <v>197.52</v>
      </c>
      <c r="AF119" s="2110">
        <v>197.52</v>
      </c>
      <c r="AG119" s="2110">
        <v>197.52</v>
      </c>
      <c r="AH119" s="2110">
        <v>197.52</v>
      </c>
      <c r="AI119" s="2110">
        <v>197.52</v>
      </c>
      <c r="AJ119" s="2110">
        <v>197.52</v>
      </c>
      <c r="AK119" s="2110">
        <v>217.81</v>
      </c>
      <c r="AL119" s="2110">
        <v>217.81</v>
      </c>
      <c r="AM119" s="2110">
        <v>217.81</v>
      </c>
      <c r="AN119" s="2110">
        <v>217.81</v>
      </c>
      <c r="AO119" s="2110">
        <v>234.38</v>
      </c>
      <c r="AP119" s="2110">
        <v>240.05</v>
      </c>
      <c r="AQ119" s="2110">
        <v>240.05</v>
      </c>
      <c r="AR119" s="2110">
        <v>240.05</v>
      </c>
      <c r="AS119" s="2110">
        <v>240.05</v>
      </c>
      <c r="AT119" s="2110">
        <v>244.5</v>
      </c>
      <c r="AU119" s="2110">
        <v>251.81</v>
      </c>
      <c r="AV119" s="2110">
        <v>251.81</v>
      </c>
      <c r="AW119" s="2111">
        <v>251.81</v>
      </c>
      <c r="AX119" s="2111">
        <v>252.4</v>
      </c>
      <c r="AY119" s="2111">
        <v>252.4</v>
      </c>
      <c r="AZ119" s="2111">
        <v>252.4</v>
      </c>
      <c r="BA119" s="2111">
        <v>266.25</v>
      </c>
      <c r="BB119" s="2111">
        <v>266.25</v>
      </c>
      <c r="BC119" s="2111">
        <v>274.81</v>
      </c>
      <c r="BD119" s="2112">
        <v>274.81</v>
      </c>
      <c r="BE119" s="2111">
        <v>274.81</v>
      </c>
      <c r="BF119" s="2112">
        <v>290.81</v>
      </c>
      <c r="BG119" s="2112">
        <v>291.86</v>
      </c>
      <c r="BH119" s="2112">
        <v>291.86</v>
      </c>
      <c r="BI119" s="2108">
        <v>282.25</v>
      </c>
      <c r="BJ119" s="2108">
        <v>290.81</v>
      </c>
      <c r="BK119" s="2108">
        <v>282.25</v>
      </c>
      <c r="BL119" s="2108">
        <v>290.81</v>
      </c>
      <c r="BM119" s="2108">
        <v>300.06</v>
      </c>
      <c r="BN119" s="2108">
        <v>300.06</v>
      </c>
      <c r="BO119" s="2108">
        <v>318.93</v>
      </c>
      <c r="BP119" s="2108">
        <v>318.93</v>
      </c>
      <c r="BQ119" s="2108">
        <v>318.93</v>
      </c>
      <c r="BR119" s="2108">
        <v>318.93</v>
      </c>
      <c r="BS119" s="2108">
        <v>318.93</v>
      </c>
      <c r="BT119" s="2108">
        <v>318.93</v>
      </c>
      <c r="BU119" s="2108">
        <v>318.93</v>
      </c>
      <c r="BV119" s="2108">
        <v>338.3</v>
      </c>
      <c r="BW119" s="2108">
        <v>338.3</v>
      </c>
      <c r="BX119" s="2108">
        <v>369.67</v>
      </c>
      <c r="BY119" s="2108">
        <v>384.45</v>
      </c>
      <c r="BZ119" s="2108">
        <v>384.45</v>
      </c>
      <c r="CA119" s="2108">
        <v>392.98</v>
      </c>
      <c r="CB119" s="2108">
        <v>402.6</v>
      </c>
      <c r="CC119" s="2108">
        <v>402.6</v>
      </c>
      <c r="CD119" s="2108">
        <v>402.6</v>
      </c>
      <c r="CE119" s="2108">
        <v>402.6</v>
      </c>
      <c r="CF119" s="2108">
        <v>407.16</v>
      </c>
      <c r="CG119" s="2108">
        <v>419.71</v>
      </c>
      <c r="CH119" s="2108">
        <v>430.54</v>
      </c>
      <c r="CI119" s="2108">
        <v>430.25</v>
      </c>
      <c r="CJ119" s="2108">
        <v>443.43</v>
      </c>
      <c r="CK119" s="2108">
        <v>459.82</v>
      </c>
      <c r="CL119" s="2108">
        <v>459.82</v>
      </c>
      <c r="CM119" s="2108">
        <v>459.82</v>
      </c>
      <c r="CN119" s="2108">
        <v>470.8</v>
      </c>
      <c r="CO119" s="2108">
        <v>470.8</v>
      </c>
      <c r="CP119" s="2108">
        <v>470.8</v>
      </c>
      <c r="CQ119" s="2108">
        <v>470.8</v>
      </c>
      <c r="CR119" s="2108">
        <v>452.5</v>
      </c>
      <c r="CS119" s="2108">
        <v>452.5</v>
      </c>
      <c r="CT119" s="2108">
        <v>470.8</v>
      </c>
      <c r="CU119" s="2108">
        <v>470.8</v>
      </c>
      <c r="CV119" s="2108">
        <v>470.8</v>
      </c>
      <c r="CW119" s="2108">
        <v>470.8</v>
      </c>
      <c r="CX119" s="2108">
        <v>470.8</v>
      </c>
      <c r="CY119" s="2108">
        <v>470.8</v>
      </c>
      <c r="CZ119" s="2108">
        <v>470.8</v>
      </c>
      <c r="DA119" s="2108">
        <v>492.58</v>
      </c>
      <c r="DB119" s="2108">
        <v>492.58</v>
      </c>
      <c r="DC119" s="2108">
        <v>501.73</v>
      </c>
      <c r="DD119" s="2108">
        <v>502.06</v>
      </c>
      <c r="DE119" s="2108">
        <v>517.77</v>
      </c>
      <c r="DF119" s="2108">
        <v>518.92999999999995</v>
      </c>
      <c r="DG119" s="2108">
        <v>521.45000000000005</v>
      </c>
      <c r="DH119" s="2108">
        <v>521.45000000000005</v>
      </c>
      <c r="DI119" s="2108">
        <v>528.52</v>
      </c>
      <c r="DJ119" s="2108">
        <v>531.61</v>
      </c>
      <c r="DK119" s="2108">
        <v>535.59</v>
      </c>
      <c r="DL119" s="2108">
        <v>536.11</v>
      </c>
      <c r="DM119" s="2108">
        <v>536.70000000000005</v>
      </c>
      <c r="DN119" s="2108">
        <v>536.70000000000005</v>
      </c>
      <c r="DO119" s="2108">
        <v>537.73</v>
      </c>
      <c r="DP119" s="2108">
        <v>537.73</v>
      </c>
      <c r="DQ119" s="2108">
        <v>537.73</v>
      </c>
      <c r="DR119" s="2108">
        <v>556.49</v>
      </c>
      <c r="DS119" s="2108">
        <v>557.04</v>
      </c>
      <c r="DT119" s="2108">
        <v>558.91999999999996</v>
      </c>
      <c r="DU119" s="2108">
        <v>570.6</v>
      </c>
      <c r="DV119" s="2108">
        <v>574.92999999999995</v>
      </c>
      <c r="DW119" s="2108">
        <v>583.48</v>
      </c>
      <c r="DX119" s="2108">
        <v>591.28</v>
      </c>
      <c r="DY119" s="2108">
        <v>591.28</v>
      </c>
      <c r="DZ119" s="2108">
        <v>591.29</v>
      </c>
      <c r="EA119" s="2108">
        <v>605.39</v>
      </c>
      <c r="EB119" s="2108">
        <v>606.04</v>
      </c>
      <c r="EC119" s="2108">
        <v>606.08000000000004</v>
      </c>
      <c r="ED119" s="2108">
        <v>614.62</v>
      </c>
      <c r="EE119" s="2108">
        <v>614.69000000000005</v>
      </c>
      <c r="EF119" s="2108">
        <v>616.1</v>
      </c>
      <c r="EG119" s="2108">
        <v>621.03</v>
      </c>
      <c r="EH119" s="2108">
        <v>624.04</v>
      </c>
      <c r="EI119" s="2108">
        <v>626.30999999999995</v>
      </c>
      <c r="EJ119" s="2108">
        <v>637.76</v>
      </c>
      <c r="EK119" s="2108">
        <v>652.33000000000004</v>
      </c>
      <c r="EL119" s="2108">
        <v>659.07</v>
      </c>
      <c r="EM119" s="2108">
        <v>659.2</v>
      </c>
      <c r="EN119" s="2108">
        <v>659.2</v>
      </c>
      <c r="EO119" s="2108">
        <v>660.78</v>
      </c>
      <c r="EP119" s="2108">
        <v>668.74</v>
      </c>
      <c r="EQ119" s="2108">
        <v>674.39</v>
      </c>
      <c r="ER119" s="2108">
        <v>674.71</v>
      </c>
      <c r="ES119" s="2108">
        <v>697.45</v>
      </c>
      <c r="ET119" s="2108">
        <v>705.34</v>
      </c>
      <c r="EU119" s="2108">
        <v>710.11</v>
      </c>
      <c r="EV119" s="2108">
        <v>711.98</v>
      </c>
      <c r="EW119" s="2108">
        <v>714.27</v>
      </c>
      <c r="EX119" s="2108">
        <v>709.84</v>
      </c>
      <c r="EY119" s="2108">
        <v>699.46</v>
      </c>
      <c r="EZ119" s="2108">
        <v>699.46</v>
      </c>
      <c r="FA119" s="2108">
        <v>699.46</v>
      </c>
      <c r="FB119" s="2108">
        <v>703.53</v>
      </c>
      <c r="FC119" s="2108">
        <v>745.57</v>
      </c>
      <c r="FD119" s="2108">
        <v>758.29</v>
      </c>
      <c r="FE119" s="2108">
        <v>759.22</v>
      </c>
      <c r="FF119" s="2108">
        <v>781.12</v>
      </c>
      <c r="FG119" s="2108">
        <v>788.42</v>
      </c>
      <c r="FH119" s="2108">
        <v>827.12</v>
      </c>
      <c r="FI119" s="2108">
        <v>829.67</v>
      </c>
      <c r="FJ119" s="2108">
        <v>833.15</v>
      </c>
      <c r="FK119" s="2108">
        <v>835.75</v>
      </c>
      <c r="FL119" s="2108">
        <v>842.79</v>
      </c>
      <c r="FM119" s="2108">
        <v>851.86</v>
      </c>
      <c r="FN119" s="2108">
        <v>855.18</v>
      </c>
      <c r="FO119" s="2108">
        <v>872.58</v>
      </c>
      <c r="FP119" s="2108">
        <v>880.61</v>
      </c>
      <c r="FQ119" s="2108">
        <v>895</v>
      </c>
      <c r="FR119" s="2108">
        <v>966.36</v>
      </c>
      <c r="FS119" s="2108">
        <v>982.52</v>
      </c>
      <c r="FT119" s="2108">
        <v>985.96</v>
      </c>
      <c r="FU119" s="2108">
        <v>1003.87</v>
      </c>
      <c r="FV119" s="2108">
        <v>1060.32</v>
      </c>
      <c r="FW119" s="2113">
        <v>1050.5883547281155</v>
      </c>
      <c r="FX119" s="2113">
        <v>1050.7738350072455</v>
      </c>
      <c r="FY119" s="2113">
        <v>100</v>
      </c>
      <c r="FZ119" s="2113">
        <v>100</v>
      </c>
      <c r="GA119" s="2113">
        <v>100</v>
      </c>
      <c r="GB119" s="2113">
        <v>100</v>
      </c>
      <c r="GC119" s="2113">
        <v>100</v>
      </c>
      <c r="GD119" s="2113">
        <v>100</v>
      </c>
      <c r="GE119" s="2113">
        <v>106.89622163772583</v>
      </c>
      <c r="GF119" s="2114">
        <v>108.52525142258429</v>
      </c>
      <c r="GG119" s="1960">
        <v>108.52525142258429</v>
      </c>
      <c r="GH119" s="2114">
        <v>108.52525142258429</v>
      </c>
      <c r="GI119" s="2114">
        <v>108.52525142258429</v>
      </c>
      <c r="GJ119" s="2113">
        <v>105.5195345994522</v>
      </c>
      <c r="GK119" s="2113">
        <v>105.5195345994522</v>
      </c>
      <c r="GL119" s="2113">
        <v>105.5195345994522</v>
      </c>
      <c r="GM119" s="2114">
        <v>105.5195345994522</v>
      </c>
      <c r="GN119" s="2114">
        <v>105.5195345994522</v>
      </c>
      <c r="GO119" s="2115">
        <v>105.5195345994522</v>
      </c>
      <c r="GP119" s="2116">
        <v>105.5195345994522</v>
      </c>
      <c r="GQ119" s="2116">
        <v>107.68837746779256</v>
      </c>
      <c r="GR119" s="2116">
        <v>105.51953438156629</v>
      </c>
      <c r="GS119" s="2116">
        <v>105.51953438156629</v>
      </c>
      <c r="GT119" s="1960">
        <v>105.51953438156629</v>
      </c>
      <c r="GU119" s="1960">
        <v>109.15449937323646</v>
      </c>
      <c r="GV119" s="1960">
        <v>109.15449937323646</v>
      </c>
      <c r="GW119" s="1960">
        <v>112.3486766114201</v>
      </c>
      <c r="GX119" s="1960">
        <v>118.73701989859694</v>
      </c>
      <c r="GY119" s="1960">
        <v>125.11898354749074</v>
      </c>
      <c r="GZ119" s="1960">
        <v>125.32764922597154</v>
      </c>
      <c r="HA119" s="1960">
        <v>125.32764922597154</v>
      </c>
      <c r="HB119" s="1960">
        <v>126.26750858732296</v>
      </c>
      <c r="HC119" s="1960">
        <v>126.26750858732296</v>
      </c>
      <c r="HD119" s="1960">
        <v>127.21424237510563</v>
      </c>
      <c r="HE119" s="1960">
        <v>146.83337750106426</v>
      </c>
      <c r="HF119" s="1960">
        <v>148.87364280951221</v>
      </c>
      <c r="HG119" s="1960">
        <v>151.07795829773181</v>
      </c>
      <c r="HH119" s="2117">
        <v>153.60963744631511</v>
      </c>
      <c r="HI119" s="1960">
        <v>151.07795829773184</v>
      </c>
      <c r="HJ119" s="1960">
        <v>175.53493701336157</v>
      </c>
      <c r="HK119" s="1960">
        <v>172.20405928255218</v>
      </c>
      <c r="HL119" s="1960">
        <v>173.79855974490377</v>
      </c>
      <c r="HM119" s="1960">
        <v>173.79855974490377</v>
      </c>
      <c r="HN119" s="1960">
        <v>180.68784169726044</v>
      </c>
      <c r="HO119" s="1960">
        <v>182.49480136241945</v>
      </c>
      <c r="HP119" s="1960">
        <v>219.60445204036995</v>
      </c>
      <c r="HQ119" s="1960">
        <v>223.63052163651929</v>
      </c>
      <c r="HR119" s="1960">
        <v>231.82998101974152</v>
      </c>
      <c r="HS119" s="1960">
        <v>234.91869331460694</v>
      </c>
      <c r="HT119" s="1962">
        <v>242.74854758630048</v>
      </c>
      <c r="HU119" s="1961">
        <v>254.88566664992848</v>
      </c>
      <c r="HV119" s="1960">
        <v>254.88566664992848</v>
      </c>
      <c r="HW119" s="1960">
        <v>254.88566664992848</v>
      </c>
      <c r="HX119" s="1960">
        <v>254.88566664992848</v>
      </c>
      <c r="HY119" s="1960">
        <v>254.88566664992848</v>
      </c>
      <c r="HZ119" s="1960">
        <v>254.88566664992848</v>
      </c>
      <c r="IA119" s="1960">
        <v>254.88566664992848</v>
      </c>
      <c r="IB119" s="1960">
        <v>254.88566664992848</v>
      </c>
      <c r="IC119" s="1960">
        <v>254.88566664992848</v>
      </c>
      <c r="ID119" s="1960">
        <v>254.88566664992848</v>
      </c>
      <c r="IE119" s="1960">
        <v>254.88566664992848</v>
      </c>
      <c r="IF119" s="1960">
        <v>254.48887097982148</v>
      </c>
      <c r="IG119" s="1961">
        <v>254.88566664992848</v>
      </c>
      <c r="IH119" s="1960">
        <v>254.88566664992848</v>
      </c>
      <c r="II119" s="1960">
        <v>254.88566664992848</v>
      </c>
      <c r="IJ119" s="1961">
        <v>273.47765082976071</v>
      </c>
      <c r="IK119" s="1960">
        <v>282.1617281206594</v>
      </c>
      <c r="IL119" s="1960">
        <v>292.0980947242665</v>
      </c>
      <c r="IM119" s="1960">
        <v>319.37172703090044</v>
      </c>
      <c r="IN119" s="1960">
        <v>338.30058269740454</v>
      </c>
      <c r="IO119" s="1960">
        <v>343.22725408322685</v>
      </c>
      <c r="IP119" s="1960">
        <v>386.11520776339648</v>
      </c>
      <c r="IQ119" s="1960">
        <v>394.98234350968283</v>
      </c>
      <c r="IR119" s="1960">
        <v>401.89420787344812</v>
      </c>
      <c r="IS119" s="2274">
        <v>443.1132628841587</v>
      </c>
      <c r="IT119" s="1960">
        <v>449.02128888927155</v>
      </c>
      <c r="IU119" s="1960">
        <v>454.9900834646387</v>
      </c>
      <c r="IV119" s="1960">
        <v>497.77671257278456</v>
      </c>
      <c r="IW119" s="1960">
        <v>538.70544978902308</v>
      </c>
      <c r="IX119" s="1960">
        <v>536.88598576976972</v>
      </c>
      <c r="IY119" s="1960">
        <v>630.04592693070663</v>
      </c>
      <c r="IZ119" s="1960">
        <v>696.747929823552</v>
      </c>
      <c r="JA119" s="1960">
        <v>710.54694654975208</v>
      </c>
      <c r="JB119" s="1960">
        <v>727.1267157025386</v>
      </c>
      <c r="JC119" s="1960">
        <v>753.78822983290195</v>
      </c>
      <c r="JD119" s="1960">
        <v>782.6718644434012</v>
      </c>
      <c r="JE119" s="2274">
        <v>801.0973929127266</v>
      </c>
      <c r="JF119" s="2117">
        <v>839.82416329765658</v>
      </c>
      <c r="JG119" s="2103">
        <f t="shared" si="13"/>
        <v>1.0483421500650782</v>
      </c>
      <c r="JI119" s="2155"/>
      <c r="JJ119" s="2104"/>
    </row>
    <row r="120" spans="2:270">
      <c r="B120" s="2105">
        <v>100</v>
      </c>
      <c r="C120" s="2106" t="s">
        <v>259</v>
      </c>
      <c r="D120" s="2425" t="s">
        <v>1226</v>
      </c>
      <c r="E120" s="2128" t="s">
        <v>260</v>
      </c>
      <c r="F120" s="2106" t="s">
        <v>918</v>
      </c>
      <c r="G120" s="2425" t="s">
        <v>1112</v>
      </c>
      <c r="H120" s="2106" t="s">
        <v>929</v>
      </c>
      <c r="I120" s="2106" t="s">
        <v>930</v>
      </c>
      <c r="J120" s="2359"/>
      <c r="K120" s="2425"/>
      <c r="L120" s="2409">
        <v>101.7</v>
      </c>
      <c r="M120" s="2409">
        <v>113.9</v>
      </c>
      <c r="N120" s="2409">
        <v>137.30000000000001</v>
      </c>
      <c r="O120" s="2409">
        <v>141.9</v>
      </c>
      <c r="P120" s="2409">
        <v>160.69999999999999</v>
      </c>
      <c r="Q120" s="2409">
        <v>175.9</v>
      </c>
      <c r="R120" s="2409">
        <v>176.2</v>
      </c>
      <c r="S120" s="2409">
        <v>185.2</v>
      </c>
      <c r="T120" s="2409">
        <v>192.7</v>
      </c>
      <c r="U120" s="2409">
        <v>189.3</v>
      </c>
      <c r="V120" s="2409">
        <v>190.8</v>
      </c>
      <c r="W120" s="2409">
        <v>193.2</v>
      </c>
      <c r="X120" s="2409">
        <v>195.6</v>
      </c>
      <c r="Y120" s="2409">
        <v>195.3</v>
      </c>
      <c r="Z120" s="2409">
        <v>196.4</v>
      </c>
      <c r="AA120" s="2409">
        <v>195.2</v>
      </c>
      <c r="AB120" s="2409">
        <v>195</v>
      </c>
      <c r="AC120" s="2409">
        <v>196.5</v>
      </c>
      <c r="AD120" s="2409">
        <v>197.9</v>
      </c>
      <c r="AE120" s="2409">
        <v>197.6</v>
      </c>
      <c r="AF120" s="2409">
        <v>197.6</v>
      </c>
      <c r="AG120" s="2409">
        <v>197.6</v>
      </c>
      <c r="AH120" s="2409">
        <v>197.6</v>
      </c>
      <c r="AI120" s="2409">
        <v>197.6</v>
      </c>
      <c r="AJ120" s="2409">
        <v>197.6</v>
      </c>
      <c r="AK120" s="2409">
        <v>199.5</v>
      </c>
      <c r="AL120" s="2409">
        <v>198.8</v>
      </c>
      <c r="AM120" s="2409">
        <v>203.5</v>
      </c>
      <c r="AN120" s="2409">
        <v>209.8</v>
      </c>
      <c r="AO120" s="2409">
        <v>209.2</v>
      </c>
      <c r="AP120" s="2409">
        <v>214.6</v>
      </c>
      <c r="AQ120" s="2409">
        <v>211</v>
      </c>
      <c r="AR120" s="2409">
        <v>206.9</v>
      </c>
      <c r="AS120" s="2409">
        <v>206.5</v>
      </c>
      <c r="AT120" s="2409">
        <v>203.1</v>
      </c>
      <c r="AU120" s="2409">
        <v>203.7</v>
      </c>
      <c r="AV120" s="2409">
        <v>210</v>
      </c>
      <c r="AW120" s="2410">
        <v>211.3</v>
      </c>
      <c r="AX120" s="2410">
        <v>211.4</v>
      </c>
      <c r="AY120" s="2410">
        <v>212.4</v>
      </c>
      <c r="AZ120" s="2410">
        <v>215.5</v>
      </c>
      <c r="BA120" s="2410">
        <v>221.1</v>
      </c>
      <c r="BB120" s="2410">
        <v>221.9</v>
      </c>
      <c r="BC120" s="2410">
        <v>224.2</v>
      </c>
      <c r="BD120" s="2411">
        <v>225.5</v>
      </c>
      <c r="BE120" s="2410">
        <v>256.10000000000002</v>
      </c>
      <c r="BF120" s="2411">
        <v>231.2</v>
      </c>
      <c r="BG120" s="2411">
        <v>226</v>
      </c>
      <c r="BH120" s="2411">
        <v>232.7</v>
      </c>
      <c r="BI120" s="2412">
        <v>234.4</v>
      </c>
      <c r="BJ120" s="2412">
        <v>236.3</v>
      </c>
      <c r="BK120" s="2412">
        <v>236.3</v>
      </c>
      <c r="BL120" s="2412">
        <v>239.3</v>
      </c>
      <c r="BM120" s="2412">
        <v>247</v>
      </c>
      <c r="BN120" s="2412">
        <v>247.9</v>
      </c>
      <c r="BO120" s="2412">
        <v>249</v>
      </c>
      <c r="BP120" s="2412">
        <v>248.7</v>
      </c>
      <c r="BQ120" s="2412">
        <v>250.2</v>
      </c>
      <c r="BR120" s="2412">
        <v>250.6</v>
      </c>
      <c r="BS120" s="2412">
        <v>258.10000000000002</v>
      </c>
      <c r="BT120" s="2412">
        <v>258.8</v>
      </c>
      <c r="BU120" s="2412">
        <v>260.60000000000002</v>
      </c>
      <c r="BV120" s="2412">
        <v>264.3</v>
      </c>
      <c r="BW120" s="2412">
        <v>263.2</v>
      </c>
      <c r="BX120" s="2412">
        <v>268.10000000000002</v>
      </c>
      <c r="BY120" s="2412">
        <v>279</v>
      </c>
      <c r="BZ120" s="2412">
        <v>278.10000000000002</v>
      </c>
      <c r="CA120" s="2412">
        <v>278.10000000000002</v>
      </c>
      <c r="CB120" s="2412">
        <v>285.10000000000002</v>
      </c>
      <c r="CC120" s="2412">
        <v>287</v>
      </c>
      <c r="CD120" s="2412">
        <v>293.10000000000002</v>
      </c>
      <c r="CE120" s="2412">
        <v>307.10000000000002</v>
      </c>
      <c r="CF120" s="2412">
        <v>307.10000000000002</v>
      </c>
      <c r="CG120" s="2412">
        <v>307.60000000000002</v>
      </c>
      <c r="CH120" s="2412">
        <v>308.10000000000002</v>
      </c>
      <c r="CI120" s="2412">
        <v>315.7</v>
      </c>
      <c r="CJ120" s="2412">
        <v>300.2</v>
      </c>
      <c r="CK120" s="2412">
        <v>306.2</v>
      </c>
      <c r="CL120" s="2412">
        <v>321.5</v>
      </c>
      <c r="CM120" s="2412">
        <v>322.39999999999998</v>
      </c>
      <c r="CN120" s="2412">
        <v>341.2</v>
      </c>
      <c r="CO120" s="2412">
        <v>343.7</v>
      </c>
      <c r="CP120" s="2412">
        <v>343.7</v>
      </c>
      <c r="CQ120" s="2412">
        <v>358.4</v>
      </c>
      <c r="CR120" s="2412">
        <v>359.4</v>
      </c>
      <c r="CS120" s="2412">
        <v>351.8</v>
      </c>
      <c r="CT120" s="2412">
        <v>341.9</v>
      </c>
      <c r="CU120" s="2412">
        <v>348.2</v>
      </c>
      <c r="CV120" s="2412">
        <v>348.2</v>
      </c>
      <c r="CW120" s="2412">
        <v>332.6</v>
      </c>
      <c r="CX120" s="2412">
        <v>335.9</v>
      </c>
      <c r="CY120" s="2412">
        <v>335.9</v>
      </c>
      <c r="CZ120" s="2412">
        <v>340.6</v>
      </c>
      <c r="DA120" s="2412">
        <v>338.2</v>
      </c>
      <c r="DB120" s="2412">
        <v>342.7</v>
      </c>
      <c r="DC120" s="2412">
        <v>344.5</v>
      </c>
      <c r="DD120" s="2412">
        <v>346.2</v>
      </c>
      <c r="DE120" s="2412">
        <v>348.7</v>
      </c>
      <c r="DF120" s="2412">
        <v>353.1</v>
      </c>
      <c r="DG120" s="2412">
        <v>353.8</v>
      </c>
      <c r="DH120" s="2412">
        <v>361.4</v>
      </c>
      <c r="DI120" s="2412">
        <v>369</v>
      </c>
      <c r="DJ120" s="2412">
        <v>358.1</v>
      </c>
      <c r="DK120" s="2412">
        <v>366</v>
      </c>
      <c r="DL120" s="2412">
        <v>372.6</v>
      </c>
      <c r="DM120" s="2412">
        <v>372.6</v>
      </c>
      <c r="DN120" s="2412">
        <v>381.1</v>
      </c>
      <c r="DO120" s="2412">
        <v>384.7</v>
      </c>
      <c r="DP120" s="2412">
        <v>386.4</v>
      </c>
      <c r="DQ120" s="2412">
        <v>390.2</v>
      </c>
      <c r="DR120" s="2412">
        <v>396.8</v>
      </c>
      <c r="DS120" s="2412">
        <v>400.4</v>
      </c>
      <c r="DT120" s="2412">
        <v>404.1</v>
      </c>
      <c r="DU120" s="2412">
        <v>410</v>
      </c>
      <c r="DV120" s="2412">
        <v>419.9</v>
      </c>
      <c r="DW120" s="2412">
        <v>427</v>
      </c>
      <c r="DX120" s="2412">
        <v>427</v>
      </c>
      <c r="DY120" s="2412">
        <v>441.8</v>
      </c>
      <c r="DZ120" s="2412">
        <v>454.8</v>
      </c>
      <c r="EA120" s="2412">
        <v>454.8</v>
      </c>
      <c r="EB120" s="2412">
        <v>457.9</v>
      </c>
      <c r="EC120" s="2412">
        <v>457.9</v>
      </c>
      <c r="ED120" s="2412">
        <v>467.2</v>
      </c>
      <c r="EE120" s="2412">
        <v>476.1</v>
      </c>
      <c r="EF120" s="2412">
        <v>479.1</v>
      </c>
      <c r="EG120" s="2412">
        <v>484.3</v>
      </c>
      <c r="EH120" s="2412">
        <v>490.8</v>
      </c>
      <c r="EI120" s="2412">
        <v>502</v>
      </c>
      <c r="EJ120" s="2412">
        <v>509.9</v>
      </c>
      <c r="EK120" s="2412">
        <v>524.5</v>
      </c>
      <c r="EL120" s="2412">
        <v>539.29999999999995</v>
      </c>
      <c r="EM120" s="2412">
        <v>561.79999999999995</v>
      </c>
      <c r="EN120" s="2412">
        <v>559.4</v>
      </c>
      <c r="EO120" s="2412">
        <v>570.29999999999995</v>
      </c>
      <c r="EP120" s="2412">
        <v>572.5</v>
      </c>
      <c r="EQ120" s="2412">
        <v>588.20000000000005</v>
      </c>
      <c r="ER120" s="2412">
        <v>589.70000000000005</v>
      </c>
      <c r="ES120" s="2412">
        <v>589.70000000000005</v>
      </c>
      <c r="ET120" s="2412">
        <v>596.79999999999995</v>
      </c>
      <c r="EU120" s="2412">
        <v>623.9</v>
      </c>
      <c r="EV120" s="2412">
        <v>626.6</v>
      </c>
      <c r="EW120" s="2412">
        <v>631.79999999999995</v>
      </c>
      <c r="EX120" s="2412">
        <v>654.5</v>
      </c>
      <c r="EY120" s="2412">
        <v>654.5</v>
      </c>
      <c r="EZ120" s="2412">
        <v>668.8</v>
      </c>
      <c r="FA120" s="2412">
        <v>688.5</v>
      </c>
      <c r="FB120" s="2412">
        <v>798.2</v>
      </c>
      <c r="FC120" s="2412">
        <v>820.2</v>
      </c>
      <c r="FD120" s="2412">
        <v>866.4</v>
      </c>
      <c r="FE120" s="2412">
        <v>867.5</v>
      </c>
      <c r="FF120" s="2412">
        <v>880.8</v>
      </c>
      <c r="FG120" s="2412">
        <v>881</v>
      </c>
      <c r="FH120" s="2412">
        <v>898.1</v>
      </c>
      <c r="FI120" s="2412">
        <v>939.6</v>
      </c>
      <c r="FJ120" s="2412">
        <v>995</v>
      </c>
      <c r="FK120" s="2412">
        <v>989</v>
      </c>
      <c r="FL120" s="2412">
        <v>998.6</v>
      </c>
      <c r="FM120" s="2412">
        <v>1039.3</v>
      </c>
      <c r="FN120" s="2412">
        <v>1046.2</v>
      </c>
      <c r="FO120" s="2412">
        <v>1051.8</v>
      </c>
      <c r="FP120" s="2412">
        <v>1032.5999999999999</v>
      </c>
      <c r="FQ120" s="2412">
        <v>1038.4000000000001</v>
      </c>
      <c r="FR120" s="2412">
        <v>1043.2</v>
      </c>
      <c r="FS120" s="2412">
        <v>1077.2</v>
      </c>
      <c r="FT120" s="2412">
        <v>1100.3</v>
      </c>
      <c r="FU120" s="2412">
        <v>1129.0999999999999</v>
      </c>
      <c r="FV120" s="2412">
        <v>1137.8</v>
      </c>
      <c r="FW120" s="2413">
        <v>1167.1834528980953</v>
      </c>
      <c r="FX120" s="2413">
        <v>1182.329719016637</v>
      </c>
      <c r="FY120" s="2413">
        <v>100</v>
      </c>
      <c r="FZ120" s="2413">
        <v>99.775469303131089</v>
      </c>
      <c r="GA120" s="2413">
        <v>100.08903511729697</v>
      </c>
      <c r="GB120" s="2413">
        <v>101.32088338730972</v>
      </c>
      <c r="GC120" s="2413">
        <v>102.55273428019981</v>
      </c>
      <c r="GD120" s="2413">
        <v>102.55273428019981</v>
      </c>
      <c r="GE120" s="2413">
        <v>102.55273428019981</v>
      </c>
      <c r="GF120" s="2414">
        <v>102.55273428019981</v>
      </c>
      <c r="GG120" s="2415">
        <v>102.55273428019981</v>
      </c>
      <c r="GH120" s="2414">
        <v>102.55273428019981</v>
      </c>
      <c r="GI120" s="2414">
        <v>105.74435286972781</v>
      </c>
      <c r="GJ120" s="2413">
        <v>105.74435286972781</v>
      </c>
      <c r="GK120" s="2413">
        <v>106.80822430164994</v>
      </c>
      <c r="GL120" s="2413">
        <v>108.32004701751711</v>
      </c>
      <c r="GM120" s="2414">
        <v>109.7758698502083</v>
      </c>
      <c r="GN120" s="2414">
        <v>109.7758698502083</v>
      </c>
      <c r="GO120" s="2416">
        <v>109.75290993079709</v>
      </c>
      <c r="GP120" s="2417">
        <v>109.95392584525831</v>
      </c>
      <c r="GQ120" s="2417">
        <v>110.87277676255931</v>
      </c>
      <c r="GR120" s="2417">
        <v>110.87277676255931</v>
      </c>
      <c r="GS120" s="2417">
        <v>112.74350691828907</v>
      </c>
      <c r="GT120" s="2415">
        <v>113.86337415096374</v>
      </c>
      <c r="GU120" s="2415">
        <v>113.86337415096374</v>
      </c>
      <c r="GV120" s="2415">
        <v>115.09523009866049</v>
      </c>
      <c r="GW120" s="2415">
        <v>118.67879815587793</v>
      </c>
      <c r="GX120" s="2415">
        <v>123.5502040592911</v>
      </c>
      <c r="GY120" s="2415">
        <v>123.5502040592911</v>
      </c>
      <c r="GZ120" s="2415">
        <v>130.67768578813249</v>
      </c>
      <c r="HA120" s="2415">
        <v>139.50917777162891</v>
      </c>
      <c r="HB120" s="2415">
        <v>158.28921461952905</v>
      </c>
      <c r="HC120" s="2415">
        <v>159.95541429653375</v>
      </c>
      <c r="HD120" s="2415">
        <v>171.01328809642624</v>
      </c>
      <c r="HE120" s="2415">
        <v>194.66825596725144</v>
      </c>
      <c r="HF120" s="2415">
        <v>219.35746569845429</v>
      </c>
      <c r="HG120" s="2415">
        <v>244.19654112373416</v>
      </c>
      <c r="HH120" s="2418">
        <v>238.33533914498102</v>
      </c>
      <c r="HI120" s="2415">
        <v>261.63197582485731</v>
      </c>
      <c r="HJ120" s="2415">
        <v>255.3522887852578</v>
      </c>
      <c r="HK120" s="2415">
        <v>255.34013262564702</v>
      </c>
      <c r="HL120" s="2415">
        <v>256.0645637223065</v>
      </c>
      <c r="HM120" s="2415">
        <v>268.09754777427605</v>
      </c>
      <c r="HN120" s="2415">
        <v>279.90899786324115</v>
      </c>
      <c r="HO120" s="2415">
        <v>296.26226705658598</v>
      </c>
      <c r="HP120" s="2415">
        <v>325.06529683938942</v>
      </c>
      <c r="HQ120" s="2415">
        <v>368.23276840501723</v>
      </c>
      <c r="HR120" s="2415">
        <v>368.87738154157785</v>
      </c>
      <c r="HS120" s="2415">
        <v>368.87738154157785</v>
      </c>
      <c r="HT120" s="2419">
        <v>368.87738154157785</v>
      </c>
      <c r="HU120" s="2420">
        <f>+'Pintura asfaltica'!C14</f>
        <v>368.87738154157785</v>
      </c>
      <c r="HV120" s="2417">
        <f>+'Pintura asfaltica'!D14</f>
        <v>374.09917443580781</v>
      </c>
      <c r="HW120" s="2417">
        <f>+'Pintura asfaltica'!E14</f>
        <v>379.39079814140194</v>
      </c>
      <c r="HX120" s="2417">
        <f>+'Pintura asfaltica'!F14</f>
        <v>408.78181074666674</v>
      </c>
      <c r="HY120" s="2417">
        <f>+'Pintura asfaltica'!G14</f>
        <v>408.8749184951522</v>
      </c>
      <c r="HZ120" s="2417">
        <f>+'Pintura asfaltica'!H14</f>
        <v>455.42103375887541</v>
      </c>
      <c r="IA120" s="2417">
        <f>+'Pintura asfaltica'!I14</f>
        <v>464.73180860742815</v>
      </c>
      <c r="IB120" s="2417">
        <f>+'Pintura asfaltica'!J14</f>
        <v>493.56417472177964</v>
      </c>
      <c r="IC120" s="2417">
        <f>+'Pintura asfaltica'!K14</f>
        <v>500.34552240314224</v>
      </c>
      <c r="ID120" s="2417">
        <f>+'Pintura asfaltica'!L14</f>
        <v>511.07619041609917</v>
      </c>
      <c r="IE120" s="2417">
        <f>+'Pintura asfaltica'!M14</f>
        <v>533.70137329808233</v>
      </c>
      <c r="IF120" s="2419">
        <f>+'Pintura asfaltica'!N14</f>
        <v>547.86151004692294</v>
      </c>
      <c r="IG120" s="2420">
        <f>+'Pintura asfaltica'!C21</f>
        <v>553.83592390807758</v>
      </c>
      <c r="IH120" s="2417">
        <f>+'Pintura asfaltica'!D21</f>
        <v>561.1526411432319</v>
      </c>
      <c r="II120" s="2417">
        <f>+'Pintura asfaltica'!E21</f>
        <v>586.06672284215085</v>
      </c>
      <c r="IJ120" s="2417">
        <f>+'Pintura asfaltica'!F21</f>
        <v>655.20698507169539</v>
      </c>
      <c r="IK120" s="2417">
        <f>+'Pintura asfaltica'!G21</f>
        <v>669.99559912281336</v>
      </c>
      <c r="IL120" s="2417">
        <f>+'Pintura asfaltica'!H21</f>
        <v>693.21046441187138</v>
      </c>
      <c r="IM120" s="2417">
        <f>+'Pintura asfaltica'!I21</f>
        <v>704.1971787331637</v>
      </c>
      <c r="IN120" s="2417">
        <f>+'Pintura asfaltica'!J21</f>
        <v>731.59413372503013</v>
      </c>
      <c r="IO120" s="2417">
        <f>+'Pintura asfaltica'!K21</f>
        <v>755.01849144818061</v>
      </c>
      <c r="IP120" s="2417">
        <f>+'Pintura asfaltica'!L21</f>
        <v>766.96731917048987</v>
      </c>
      <c r="IQ120" s="2417">
        <f>+'Pintura asfaltica'!M21</f>
        <v>810.07620671928896</v>
      </c>
      <c r="IR120" s="2419">
        <f>+'Pintura asfaltica'!N21</f>
        <v>818.37055531354122</v>
      </c>
      <c r="IS120" s="2420">
        <f>+'Pintura asfaltica'!C28</f>
        <v>829.83056735630157</v>
      </c>
      <c r="IT120" s="2417">
        <f>+'Pintura asfaltica'!D28</f>
        <v>865.3511734035302</v>
      </c>
      <c r="IU120" s="2417">
        <f>+'Pintura asfaltica'!E28</f>
        <v>904.33228410280435</v>
      </c>
      <c r="IV120" s="2417">
        <f>+'Pintura asfaltica'!F28</f>
        <v>933.77760956135239</v>
      </c>
      <c r="IW120" s="2417">
        <f>+'Pintura asfaltica'!G28</f>
        <v>958.46668086809814</v>
      </c>
      <c r="IX120" s="2417">
        <f>+'Pintura asfaltica'!H28</f>
        <v>1009.7224964093809</v>
      </c>
      <c r="IY120" s="2417">
        <f>+'Pintura asfaltica'!I28</f>
        <v>1176.928494731307</v>
      </c>
      <c r="IZ120" s="2417">
        <f>+'Pintura asfaltica'!J28</f>
        <v>1271.6090813760843</v>
      </c>
      <c r="JA120" s="2417">
        <f>+'Pintura asfaltica'!K28</f>
        <v>1366.6001513261444</v>
      </c>
      <c r="JB120" s="2417">
        <f>+'Pintura asfaltica'!L28</f>
        <v>1403.678450005536</v>
      </c>
      <c r="JC120" s="2417">
        <f>+'Pintura asfaltica'!M28</f>
        <v>1436.3809948652695</v>
      </c>
      <c r="JD120" s="2415">
        <f>+'Pintura asfaltica'!N28</f>
        <v>1509.9695728864585</v>
      </c>
      <c r="JE120" s="2422">
        <f>+'Pintura asfaltica'!C35</f>
        <v>1596.485603138372</v>
      </c>
      <c r="JF120" s="2418">
        <f>+'Pintura asfaltica'!D35</f>
        <v>1690.3290114626413</v>
      </c>
      <c r="JG120" s="2103">
        <f t="shared" si="13"/>
        <v>1.0587812430878123</v>
      </c>
      <c r="JI120" s="2155"/>
      <c r="JJ120" s="2104"/>
    </row>
    <row r="121" spans="2:270">
      <c r="B121" s="2105">
        <v>101</v>
      </c>
      <c r="C121" s="2106" t="s">
        <v>261</v>
      </c>
      <c r="D121" s="2425" t="s">
        <v>1227</v>
      </c>
      <c r="E121" s="2128" t="s">
        <v>262</v>
      </c>
      <c r="F121" s="2106" t="s">
        <v>918</v>
      </c>
      <c r="G121" s="2425" t="s">
        <v>1112</v>
      </c>
      <c r="H121" s="2106" t="s">
        <v>929</v>
      </c>
      <c r="I121" s="2106" t="s">
        <v>930</v>
      </c>
      <c r="J121" s="2359" t="s">
        <v>921</v>
      </c>
      <c r="K121" s="2425"/>
      <c r="L121" s="2110">
        <v>96.4</v>
      </c>
      <c r="M121" s="2110">
        <v>111.2</v>
      </c>
      <c r="N121" s="2110">
        <v>129.9</v>
      </c>
      <c r="O121" s="2110">
        <v>121.6</v>
      </c>
      <c r="P121" s="2110">
        <v>140</v>
      </c>
      <c r="Q121" s="2110">
        <v>155.30000000000001</v>
      </c>
      <c r="R121" s="2110">
        <v>171.6</v>
      </c>
      <c r="S121" s="2110">
        <v>170</v>
      </c>
      <c r="T121" s="2110">
        <v>169.3</v>
      </c>
      <c r="U121" s="2110">
        <v>166.2</v>
      </c>
      <c r="V121" s="2110">
        <v>175.8</v>
      </c>
      <c r="W121" s="2110">
        <v>177.4</v>
      </c>
      <c r="X121" s="2110">
        <v>175.8</v>
      </c>
      <c r="Y121" s="2110">
        <v>177.9</v>
      </c>
      <c r="Z121" s="2110">
        <v>177.9</v>
      </c>
      <c r="AA121" s="2110">
        <v>181.4</v>
      </c>
      <c r="AB121" s="2110">
        <v>182.4</v>
      </c>
      <c r="AC121" s="2110">
        <v>179.4</v>
      </c>
      <c r="AD121" s="2110">
        <v>179.4</v>
      </c>
      <c r="AE121" s="2110">
        <v>179.2</v>
      </c>
      <c r="AF121" s="2110">
        <v>178.5</v>
      </c>
      <c r="AG121" s="2110">
        <v>178.5</v>
      </c>
      <c r="AH121" s="2110">
        <v>181.4</v>
      </c>
      <c r="AI121" s="2110">
        <v>182</v>
      </c>
      <c r="AJ121" s="2110">
        <v>182</v>
      </c>
      <c r="AK121" s="2110">
        <v>181.7</v>
      </c>
      <c r="AL121" s="2110">
        <v>184.2</v>
      </c>
      <c r="AM121" s="2110">
        <v>182.8</v>
      </c>
      <c r="AN121" s="2110">
        <v>186.5</v>
      </c>
      <c r="AO121" s="2110">
        <v>187.2</v>
      </c>
      <c r="AP121" s="2110">
        <v>190.6</v>
      </c>
      <c r="AQ121" s="2110">
        <v>194.5</v>
      </c>
      <c r="AR121" s="2110">
        <v>193.7</v>
      </c>
      <c r="AS121" s="2110">
        <v>195.7</v>
      </c>
      <c r="AT121" s="2110">
        <v>199.4</v>
      </c>
      <c r="AU121" s="2110">
        <v>203.7</v>
      </c>
      <c r="AV121" s="2110">
        <v>206</v>
      </c>
      <c r="AW121" s="2111">
        <v>208.2</v>
      </c>
      <c r="AX121" s="2111">
        <v>215.4</v>
      </c>
      <c r="AY121" s="2111">
        <v>215.4</v>
      </c>
      <c r="AZ121" s="2111">
        <v>221.1</v>
      </c>
      <c r="BA121" s="2111">
        <v>223.1</v>
      </c>
      <c r="BB121" s="2111">
        <v>224.4</v>
      </c>
      <c r="BC121" s="2111">
        <v>226.9</v>
      </c>
      <c r="BD121" s="2112">
        <v>233.2</v>
      </c>
      <c r="BE121" s="2111">
        <v>236.9</v>
      </c>
      <c r="BF121" s="2112">
        <v>236.9</v>
      </c>
      <c r="BG121" s="2112">
        <v>239.1</v>
      </c>
      <c r="BH121" s="2112">
        <v>240.3</v>
      </c>
      <c r="BI121" s="2108">
        <v>244.7</v>
      </c>
      <c r="BJ121" s="2108">
        <v>248.4</v>
      </c>
      <c r="BK121" s="2108">
        <v>249</v>
      </c>
      <c r="BL121" s="2108">
        <v>251.3</v>
      </c>
      <c r="BM121" s="2108">
        <v>250.7</v>
      </c>
      <c r="BN121" s="2108">
        <v>251.5</v>
      </c>
      <c r="BO121" s="2108">
        <v>251.5</v>
      </c>
      <c r="BP121" s="2108">
        <v>254</v>
      </c>
      <c r="BQ121" s="2108">
        <v>252.3</v>
      </c>
      <c r="BR121" s="2108">
        <v>252.3</v>
      </c>
      <c r="BS121" s="2108">
        <v>258.2</v>
      </c>
      <c r="BT121" s="2108">
        <v>259.5</v>
      </c>
      <c r="BU121" s="2108">
        <v>259.5</v>
      </c>
      <c r="BV121" s="2108">
        <v>261.7</v>
      </c>
      <c r="BW121" s="2108">
        <v>262.39999999999998</v>
      </c>
      <c r="BX121" s="2108">
        <v>270.10000000000002</v>
      </c>
      <c r="BY121" s="2108">
        <v>273.8</v>
      </c>
      <c r="BZ121" s="2108">
        <v>270.2</v>
      </c>
      <c r="CA121" s="2108">
        <v>270.2</v>
      </c>
      <c r="CB121" s="2108">
        <v>277.39999999999998</v>
      </c>
      <c r="CC121" s="2108">
        <v>281.5</v>
      </c>
      <c r="CD121" s="2108">
        <v>281.5</v>
      </c>
      <c r="CE121" s="2108">
        <v>285.10000000000002</v>
      </c>
      <c r="CF121" s="2108">
        <v>288.60000000000002</v>
      </c>
      <c r="CG121" s="2108">
        <v>299.8</v>
      </c>
      <c r="CH121" s="2108">
        <v>306.10000000000002</v>
      </c>
      <c r="CI121" s="2108">
        <v>306.60000000000002</v>
      </c>
      <c r="CJ121" s="2108">
        <v>318.3</v>
      </c>
      <c r="CK121" s="2108">
        <v>324.7</v>
      </c>
      <c r="CL121" s="2108">
        <v>333.2</v>
      </c>
      <c r="CM121" s="2108">
        <v>328.8</v>
      </c>
      <c r="CN121" s="2108">
        <v>334.3</v>
      </c>
      <c r="CO121" s="2108">
        <v>334.3</v>
      </c>
      <c r="CP121" s="2108">
        <v>337.7</v>
      </c>
      <c r="CQ121" s="2108">
        <v>340.5</v>
      </c>
      <c r="CR121" s="2108">
        <v>347.6</v>
      </c>
      <c r="CS121" s="2108">
        <v>350.5</v>
      </c>
      <c r="CT121" s="2108">
        <v>345.3</v>
      </c>
      <c r="CU121" s="2108">
        <v>348.6</v>
      </c>
      <c r="CV121" s="2108">
        <v>349.2</v>
      </c>
      <c r="CW121" s="2108">
        <v>352.4</v>
      </c>
      <c r="CX121" s="2108">
        <v>357</v>
      </c>
      <c r="CY121" s="2108">
        <v>356.6</v>
      </c>
      <c r="CZ121" s="2108">
        <v>362.3</v>
      </c>
      <c r="DA121" s="2108">
        <v>357.1</v>
      </c>
      <c r="DB121" s="2108">
        <v>368.8</v>
      </c>
      <c r="DC121" s="2108">
        <v>372.2</v>
      </c>
      <c r="DD121" s="2108">
        <v>376.4</v>
      </c>
      <c r="DE121" s="2108">
        <v>384.5</v>
      </c>
      <c r="DF121" s="2108">
        <v>390.1</v>
      </c>
      <c r="DG121" s="2108">
        <v>390.1</v>
      </c>
      <c r="DH121" s="2108">
        <v>390.3</v>
      </c>
      <c r="DI121" s="2108">
        <v>404.9</v>
      </c>
      <c r="DJ121" s="2108">
        <v>408.1</v>
      </c>
      <c r="DK121" s="2108">
        <v>417.3</v>
      </c>
      <c r="DL121" s="2108">
        <v>432.2</v>
      </c>
      <c r="DM121" s="2108">
        <v>432</v>
      </c>
      <c r="DN121" s="2108">
        <v>436.7</v>
      </c>
      <c r="DO121" s="2108">
        <v>441.9</v>
      </c>
      <c r="DP121" s="2108">
        <v>444.6</v>
      </c>
      <c r="DQ121" s="2108">
        <v>451</v>
      </c>
      <c r="DR121" s="2108">
        <v>449.8</v>
      </c>
      <c r="DS121" s="2108">
        <v>471</v>
      </c>
      <c r="DT121" s="2108">
        <v>484.1</v>
      </c>
      <c r="DU121" s="2108">
        <v>483.7</v>
      </c>
      <c r="DV121" s="2108">
        <v>483.7</v>
      </c>
      <c r="DW121" s="2108">
        <v>515.29999999999995</v>
      </c>
      <c r="DX121" s="2108">
        <v>519.1</v>
      </c>
      <c r="DY121" s="2108">
        <v>530.20000000000005</v>
      </c>
      <c r="DZ121" s="2108">
        <v>534</v>
      </c>
      <c r="EA121" s="2108">
        <v>548.20000000000005</v>
      </c>
      <c r="EB121" s="2108">
        <v>555.1</v>
      </c>
      <c r="EC121" s="2108">
        <v>562.5</v>
      </c>
      <c r="ED121" s="2108">
        <v>575.4</v>
      </c>
      <c r="EE121" s="2108">
        <v>577.9</v>
      </c>
      <c r="EF121" s="2108">
        <v>599.79999999999995</v>
      </c>
      <c r="EG121" s="2108">
        <v>606.79999999999995</v>
      </c>
      <c r="EH121" s="2108">
        <v>620.70000000000005</v>
      </c>
      <c r="EI121" s="2108">
        <v>620.70000000000005</v>
      </c>
      <c r="EJ121" s="2108">
        <v>643.29999999999995</v>
      </c>
      <c r="EK121" s="2108">
        <v>651.5</v>
      </c>
      <c r="EL121" s="2108">
        <v>651.4</v>
      </c>
      <c r="EM121" s="2108">
        <v>670.1</v>
      </c>
      <c r="EN121" s="2108">
        <v>675.6</v>
      </c>
      <c r="EO121" s="2108">
        <v>686.4</v>
      </c>
      <c r="EP121" s="2108">
        <v>690.9</v>
      </c>
      <c r="EQ121" s="2108">
        <v>711.6</v>
      </c>
      <c r="ER121" s="2108">
        <v>720.4</v>
      </c>
      <c r="ES121" s="2108">
        <v>733.3</v>
      </c>
      <c r="ET121" s="2108">
        <v>751</v>
      </c>
      <c r="EU121" s="2108">
        <v>762.8</v>
      </c>
      <c r="EV121" s="2108">
        <v>767.3</v>
      </c>
      <c r="EW121" s="2108">
        <v>803.1</v>
      </c>
      <c r="EX121" s="2108">
        <v>814</v>
      </c>
      <c r="EY121" s="2108">
        <v>821</v>
      </c>
      <c r="EZ121" s="2108">
        <v>854.2</v>
      </c>
      <c r="FA121" s="2108">
        <v>870.9</v>
      </c>
      <c r="FB121" s="2108">
        <v>1007.1</v>
      </c>
      <c r="FC121" s="2108">
        <v>1022.8</v>
      </c>
      <c r="FD121" s="2108">
        <v>1025.8</v>
      </c>
      <c r="FE121" s="2108">
        <v>1117.5999999999999</v>
      </c>
      <c r="FF121" s="2108">
        <v>1103.9000000000001</v>
      </c>
      <c r="FG121" s="2108">
        <v>1112.7</v>
      </c>
      <c r="FH121" s="2108">
        <v>1169.5</v>
      </c>
      <c r="FI121" s="2108">
        <v>1184.8</v>
      </c>
      <c r="FJ121" s="2108">
        <v>1228.9000000000001</v>
      </c>
      <c r="FK121" s="2108">
        <v>1245.3</v>
      </c>
      <c r="FL121" s="2108">
        <v>1258.0999999999999</v>
      </c>
      <c r="FM121" s="2108">
        <v>1317.4</v>
      </c>
      <c r="FN121" s="2108">
        <v>1319</v>
      </c>
      <c r="FO121" s="2108">
        <v>1333</v>
      </c>
      <c r="FP121" s="2108">
        <v>1332.4</v>
      </c>
      <c r="FQ121" s="2108">
        <v>1360.9</v>
      </c>
      <c r="FR121" s="2108">
        <v>1378.2</v>
      </c>
      <c r="FS121" s="2108">
        <v>1396</v>
      </c>
      <c r="FT121" s="2108">
        <v>1446.6</v>
      </c>
      <c r="FU121" s="2108">
        <v>1423.3</v>
      </c>
      <c r="FV121" s="2108">
        <v>1461.9</v>
      </c>
      <c r="FW121" s="2113">
        <v>1534.1275189176197</v>
      </c>
      <c r="FX121" s="2113">
        <v>1578.6160040911379</v>
      </c>
      <c r="FY121" s="2113">
        <v>100</v>
      </c>
      <c r="FZ121" s="2113">
        <v>99.609553813934326</v>
      </c>
      <c r="GA121" s="2113">
        <v>99.609553813934326</v>
      </c>
      <c r="GB121" s="2113">
        <v>100.91364617801446</v>
      </c>
      <c r="GC121" s="2113">
        <v>104.32321676250832</v>
      </c>
      <c r="GD121" s="2113">
        <v>104.32321676250832</v>
      </c>
      <c r="GE121" s="2113">
        <v>104.32321676250832</v>
      </c>
      <c r="GF121" s="2114">
        <v>104.73829059629165</v>
      </c>
      <c r="GG121" s="1960">
        <v>106.29984929470817</v>
      </c>
      <c r="GH121" s="2114">
        <v>107.18038366083201</v>
      </c>
      <c r="GI121" s="2114">
        <v>107.24725794177121</v>
      </c>
      <c r="GJ121" s="2113">
        <v>107.2695547540493</v>
      </c>
      <c r="GK121" s="2113">
        <v>107.2695547540493</v>
      </c>
      <c r="GL121" s="2113">
        <v>116.44275148115719</v>
      </c>
      <c r="GM121" s="2114">
        <v>118.11465547311246</v>
      </c>
      <c r="GN121" s="2114">
        <v>118.11465547311246</v>
      </c>
      <c r="GO121" s="2115">
        <v>119.90626917012987</v>
      </c>
      <c r="GP121" s="2116">
        <v>121.82104264616108</v>
      </c>
      <c r="GQ121" s="2116">
        <v>121.62275652809588</v>
      </c>
      <c r="GR121" s="2116">
        <v>123.21664148685896</v>
      </c>
      <c r="GS121" s="2116">
        <v>121.69253360797862</v>
      </c>
      <c r="GT121" s="1960">
        <v>123.09693019988693</v>
      </c>
      <c r="GU121" s="1960">
        <v>124.89145005278078</v>
      </c>
      <c r="GV121" s="1960">
        <v>124.89145005278078</v>
      </c>
      <c r="GW121" s="1960">
        <v>126.16210016495728</v>
      </c>
      <c r="GX121" s="1960">
        <v>130.66654877523987</v>
      </c>
      <c r="GY121" s="1960">
        <v>130.66654877523987</v>
      </c>
      <c r="GZ121" s="1960">
        <v>132.65713771057148</v>
      </c>
      <c r="HA121" s="1960">
        <v>147.56870867221292</v>
      </c>
      <c r="HB121" s="1960">
        <v>164.95997208031008</v>
      </c>
      <c r="HC121" s="1960">
        <v>168.22766542831073</v>
      </c>
      <c r="HD121" s="1960">
        <v>161.1903713328893</v>
      </c>
      <c r="HE121" s="1960">
        <v>192.85844149210237</v>
      </c>
      <c r="HF121" s="1960">
        <v>214.60734134715923</v>
      </c>
      <c r="HG121" s="1960">
        <v>237.33754415962639</v>
      </c>
      <c r="HH121" s="2117">
        <v>239.19777631586123</v>
      </c>
      <c r="HI121" s="1960">
        <v>241.78920772745963</v>
      </c>
      <c r="HJ121" s="1960">
        <v>249.20202121764817</v>
      </c>
      <c r="HK121" s="1960">
        <v>252.5322805707541</v>
      </c>
      <c r="HL121" s="1960">
        <v>260.10171922569151</v>
      </c>
      <c r="HM121" s="1960">
        <v>261.84332229029826</v>
      </c>
      <c r="HN121" s="1960">
        <v>277.92331744058919</v>
      </c>
      <c r="HO121" s="1960">
        <v>277.91217870217309</v>
      </c>
      <c r="HP121" s="1960">
        <v>309.94400013202869</v>
      </c>
      <c r="HQ121" s="1960">
        <v>349.56431574065812</v>
      </c>
      <c r="HR121" s="1960">
        <v>349.30465793880802</v>
      </c>
      <c r="HS121" s="1960">
        <v>369.32691455030226</v>
      </c>
      <c r="HT121" s="1962">
        <v>373.57629989824716</v>
      </c>
      <c r="HU121" s="1961">
        <v>379.2390819676686</v>
      </c>
      <c r="HV121" s="1960">
        <v>386.90816647053816</v>
      </c>
      <c r="HW121" s="1960">
        <v>386.90816647053816</v>
      </c>
      <c r="HX121" s="1960">
        <v>411.46186001185845</v>
      </c>
      <c r="HY121" s="1960">
        <v>450.00840201058941</v>
      </c>
      <c r="HZ121" s="1960">
        <v>451.8967940318858</v>
      </c>
      <c r="IA121" s="1960">
        <v>481.81587967838112</v>
      </c>
      <c r="IB121" s="1960">
        <v>509.19979753268098</v>
      </c>
      <c r="IC121" s="1960">
        <v>543.178312889381</v>
      </c>
      <c r="ID121" s="1960">
        <v>557.84009165203724</v>
      </c>
      <c r="IE121" s="1960">
        <v>575.03703507410887</v>
      </c>
      <c r="IF121" s="1960">
        <v>601.62497485909978</v>
      </c>
      <c r="IG121" s="1961">
        <v>628.46967228612084</v>
      </c>
      <c r="IH121" s="1960">
        <v>631.3263526146942</v>
      </c>
      <c r="II121" s="1960">
        <v>669.89006494474074</v>
      </c>
      <c r="IJ121" s="1961">
        <v>696.0798043131266</v>
      </c>
      <c r="IK121" s="1960">
        <v>709.95099522010264</v>
      </c>
      <c r="IL121" s="1960">
        <v>737.58611287477424</v>
      </c>
      <c r="IM121" s="1960">
        <v>750.727947442394</v>
      </c>
      <c r="IN121" s="1960">
        <v>778.01377600241892</v>
      </c>
      <c r="IO121" s="1960">
        <v>785.86160096095534</v>
      </c>
      <c r="IP121" s="1960">
        <v>821.01507955765612</v>
      </c>
      <c r="IQ121" s="1960">
        <v>839.72437119061601</v>
      </c>
      <c r="IR121" s="1960">
        <v>864.26778939406211</v>
      </c>
      <c r="IS121" s="2274">
        <v>899.57429457807189</v>
      </c>
      <c r="IT121" s="1960">
        <v>927.54634314688906</v>
      </c>
      <c r="IU121" s="1960">
        <v>982.91789136588795</v>
      </c>
      <c r="IV121" s="1960">
        <v>1031.4962639169814</v>
      </c>
      <c r="IW121" s="1960">
        <v>1073.675965436147</v>
      </c>
      <c r="IX121" s="1960">
        <v>1139.2298358649609</v>
      </c>
      <c r="IY121" s="1960">
        <v>1282.9208201343272</v>
      </c>
      <c r="IZ121" s="1960">
        <v>1327.4342190252876</v>
      </c>
      <c r="JA121" s="1960">
        <v>1400.8699029597226</v>
      </c>
      <c r="JB121" s="1960">
        <v>1474.7537463268577</v>
      </c>
      <c r="JC121" s="1960">
        <v>1605.1900035337171</v>
      </c>
      <c r="JD121" s="1960">
        <v>1764.6839789673377</v>
      </c>
      <c r="JE121" s="2274">
        <v>1931.8188295398456</v>
      </c>
      <c r="JF121" s="2117">
        <v>1982.6076788912051</v>
      </c>
      <c r="JG121" s="2103">
        <f t="shared" si="13"/>
        <v>1.0262906896727253</v>
      </c>
      <c r="JI121" s="2155"/>
      <c r="JJ121" s="2104"/>
    </row>
    <row r="122" spans="2:270" ht="47.25">
      <c r="B122" s="2105">
        <v>102</v>
      </c>
      <c r="C122" s="2106" t="s">
        <v>263</v>
      </c>
      <c r="D122" s="2425" t="s">
        <v>1228</v>
      </c>
      <c r="E122" s="2128" t="s">
        <v>264</v>
      </c>
      <c r="F122" s="2106" t="s">
        <v>918</v>
      </c>
      <c r="G122" s="2425" t="s">
        <v>1112</v>
      </c>
      <c r="H122" s="2106" t="s">
        <v>919</v>
      </c>
      <c r="I122" s="2106" t="s">
        <v>920</v>
      </c>
      <c r="J122" s="2359" t="s">
        <v>921</v>
      </c>
      <c r="K122" s="2425"/>
      <c r="L122" s="2110">
        <v>104.07</v>
      </c>
      <c r="M122" s="2110">
        <v>114.95</v>
      </c>
      <c r="N122" s="2110">
        <v>147.22999999999999</v>
      </c>
      <c r="O122" s="2110">
        <v>155.47</v>
      </c>
      <c r="P122" s="2110">
        <v>185.61</v>
      </c>
      <c r="Q122" s="2110">
        <v>200.33</v>
      </c>
      <c r="R122" s="2110">
        <v>217.6</v>
      </c>
      <c r="S122" s="2110">
        <v>217.76</v>
      </c>
      <c r="T122" s="2110">
        <v>214.89</v>
      </c>
      <c r="U122" s="2110">
        <v>221.13</v>
      </c>
      <c r="V122" s="2110">
        <v>224.97</v>
      </c>
      <c r="W122" s="2110">
        <v>224.99</v>
      </c>
      <c r="X122" s="2110">
        <v>224.99</v>
      </c>
      <c r="Y122" s="2110">
        <v>224.99</v>
      </c>
      <c r="Z122" s="2110">
        <v>224.99</v>
      </c>
      <c r="AA122" s="2110">
        <v>224.99</v>
      </c>
      <c r="AB122" s="2110">
        <v>227.34</v>
      </c>
      <c r="AC122" s="2110">
        <v>226.76</v>
      </c>
      <c r="AD122" s="2110">
        <v>227.32</v>
      </c>
      <c r="AE122" s="2110">
        <v>227.32</v>
      </c>
      <c r="AF122" s="2110">
        <v>225.83</v>
      </c>
      <c r="AG122" s="2110">
        <v>225.83</v>
      </c>
      <c r="AH122" s="2110">
        <v>225.83</v>
      </c>
      <c r="AI122" s="2110">
        <v>225.83</v>
      </c>
      <c r="AJ122" s="2110">
        <v>225.83</v>
      </c>
      <c r="AK122" s="2110">
        <v>225.83</v>
      </c>
      <c r="AL122" s="2110">
        <v>227.33</v>
      </c>
      <c r="AM122" s="2110">
        <v>228.48</v>
      </c>
      <c r="AN122" s="2110">
        <v>229.42</v>
      </c>
      <c r="AO122" s="2110">
        <v>231.38</v>
      </c>
      <c r="AP122" s="2110">
        <v>234.34</v>
      </c>
      <c r="AQ122" s="2110">
        <v>235.23</v>
      </c>
      <c r="AR122" s="2110">
        <v>236.43</v>
      </c>
      <c r="AS122" s="2110">
        <v>239.23</v>
      </c>
      <c r="AT122" s="2110">
        <v>244.17</v>
      </c>
      <c r="AU122" s="2110">
        <v>244.17</v>
      </c>
      <c r="AV122" s="2110">
        <v>248.8</v>
      </c>
      <c r="AW122" s="2111">
        <v>257.45</v>
      </c>
      <c r="AX122" s="2111">
        <v>257.45</v>
      </c>
      <c r="AY122" s="2111">
        <v>257.45</v>
      </c>
      <c r="AZ122" s="2111">
        <v>261.13</v>
      </c>
      <c r="BA122" s="2111">
        <v>269.08999999999997</v>
      </c>
      <c r="BB122" s="2111">
        <v>269.08999999999997</v>
      </c>
      <c r="BC122" s="2111">
        <v>279.24</v>
      </c>
      <c r="BD122" s="2112">
        <v>278.95999999999998</v>
      </c>
      <c r="BE122" s="2111">
        <v>279.24</v>
      </c>
      <c r="BF122" s="2112">
        <v>279.24</v>
      </c>
      <c r="BG122" s="2112">
        <v>279.24</v>
      </c>
      <c r="BH122" s="2112">
        <v>284.79000000000002</v>
      </c>
      <c r="BI122" s="2108">
        <v>286.64999999999998</v>
      </c>
      <c r="BJ122" s="2108">
        <v>285.16000000000003</v>
      </c>
      <c r="BK122" s="2108">
        <v>285.16000000000003</v>
      </c>
      <c r="BL122" s="2108">
        <v>292.42</v>
      </c>
      <c r="BM122" s="2108">
        <v>292.92</v>
      </c>
      <c r="BN122" s="2108">
        <v>296.61</v>
      </c>
      <c r="BO122" s="2108">
        <v>303.31</v>
      </c>
      <c r="BP122" s="2108">
        <v>308.89999999999998</v>
      </c>
      <c r="BQ122" s="2108">
        <v>309.41000000000003</v>
      </c>
      <c r="BR122" s="2108">
        <v>311.16000000000003</v>
      </c>
      <c r="BS122" s="2108">
        <v>316.10000000000002</v>
      </c>
      <c r="BT122" s="2108">
        <v>319.14999999999998</v>
      </c>
      <c r="BU122" s="2108">
        <v>318.60000000000002</v>
      </c>
      <c r="BV122" s="2108">
        <v>320.3</v>
      </c>
      <c r="BW122" s="2108">
        <v>318.19</v>
      </c>
      <c r="BX122" s="2108">
        <v>324.79000000000002</v>
      </c>
      <c r="BY122" s="2108">
        <v>325.33999999999997</v>
      </c>
      <c r="BZ122" s="2108">
        <v>331.21</v>
      </c>
      <c r="CA122" s="2108">
        <v>331.21</v>
      </c>
      <c r="CB122" s="2108">
        <v>331.72</v>
      </c>
      <c r="CC122" s="2108">
        <v>339.46</v>
      </c>
      <c r="CD122" s="2108">
        <v>339.46</v>
      </c>
      <c r="CE122" s="2108">
        <v>341.28</v>
      </c>
      <c r="CF122" s="2108">
        <v>352.21</v>
      </c>
      <c r="CG122" s="2108">
        <v>351.12</v>
      </c>
      <c r="CH122" s="2108">
        <v>356.87</v>
      </c>
      <c r="CI122" s="2108">
        <v>378.34</v>
      </c>
      <c r="CJ122" s="2108">
        <v>386.41</v>
      </c>
      <c r="CK122" s="2108">
        <v>394.86</v>
      </c>
      <c r="CL122" s="2108">
        <v>398.17</v>
      </c>
      <c r="CM122" s="2108">
        <v>398.17</v>
      </c>
      <c r="CN122" s="2108">
        <v>401.76</v>
      </c>
      <c r="CO122" s="2108">
        <v>415.82</v>
      </c>
      <c r="CP122" s="2108">
        <v>419.1</v>
      </c>
      <c r="CQ122" s="2108">
        <v>435.31</v>
      </c>
      <c r="CR122" s="2108">
        <v>439.4</v>
      </c>
      <c r="CS122" s="2108">
        <v>453.44</v>
      </c>
      <c r="CT122" s="2108">
        <v>455.21</v>
      </c>
      <c r="CU122" s="2108">
        <v>458.87</v>
      </c>
      <c r="CV122" s="2108">
        <v>472.51</v>
      </c>
      <c r="CW122" s="2108">
        <v>475.4</v>
      </c>
      <c r="CX122" s="2108">
        <v>484.37</v>
      </c>
      <c r="CY122" s="2108">
        <v>484.37</v>
      </c>
      <c r="CZ122" s="2108">
        <v>499.13</v>
      </c>
      <c r="DA122" s="2108">
        <v>499.13</v>
      </c>
      <c r="DB122" s="2108">
        <v>511.52</v>
      </c>
      <c r="DC122" s="2108">
        <v>511.52</v>
      </c>
      <c r="DD122" s="2108">
        <v>519.84</v>
      </c>
      <c r="DE122" s="2108">
        <v>519.61</v>
      </c>
      <c r="DF122" s="2108">
        <v>527.45000000000005</v>
      </c>
      <c r="DG122" s="2108">
        <v>514.52</v>
      </c>
      <c r="DH122" s="2108">
        <v>529.91999999999996</v>
      </c>
      <c r="DI122" s="2108">
        <v>529.91</v>
      </c>
      <c r="DJ122" s="2108">
        <v>532.15</v>
      </c>
      <c r="DK122" s="2108">
        <v>539.32000000000005</v>
      </c>
      <c r="DL122" s="2108">
        <v>543.80999999999995</v>
      </c>
      <c r="DM122" s="2108">
        <v>559.86</v>
      </c>
      <c r="DN122" s="2108">
        <v>571.21</v>
      </c>
      <c r="DO122" s="2108">
        <v>578.6</v>
      </c>
      <c r="DP122" s="2108">
        <v>593.57000000000005</v>
      </c>
      <c r="DQ122" s="2108">
        <v>598.07000000000005</v>
      </c>
      <c r="DR122" s="2108">
        <v>603.55999999999995</v>
      </c>
      <c r="DS122" s="2108">
        <v>608.37</v>
      </c>
      <c r="DT122" s="2108">
        <v>622.4</v>
      </c>
      <c r="DU122" s="2108">
        <v>622.4</v>
      </c>
      <c r="DV122" s="2108">
        <v>630.14</v>
      </c>
      <c r="DW122" s="2108">
        <v>659.21</v>
      </c>
      <c r="DX122" s="2108">
        <v>659.21</v>
      </c>
      <c r="DY122" s="2108">
        <v>660.08</v>
      </c>
      <c r="DZ122" s="2108">
        <v>673.75</v>
      </c>
      <c r="EA122" s="2108">
        <v>679.31</v>
      </c>
      <c r="EB122" s="2108">
        <v>686.22</v>
      </c>
      <c r="EC122" s="2108">
        <v>701.58</v>
      </c>
      <c r="ED122" s="2108">
        <v>710.2</v>
      </c>
      <c r="EE122" s="2108">
        <v>717.76</v>
      </c>
      <c r="EF122" s="2108">
        <v>737.16</v>
      </c>
      <c r="EG122" s="2108">
        <v>750.35</v>
      </c>
      <c r="EH122" s="2108">
        <v>753.59</v>
      </c>
      <c r="EI122" s="2108">
        <v>760.23</v>
      </c>
      <c r="EJ122" s="2108">
        <v>772.1</v>
      </c>
      <c r="EK122" s="2108">
        <v>779.65</v>
      </c>
      <c r="EL122" s="2108">
        <v>779.65</v>
      </c>
      <c r="EM122" s="2108">
        <v>784.01</v>
      </c>
      <c r="EN122" s="2108">
        <v>784.01</v>
      </c>
      <c r="EO122" s="2108">
        <v>784.01</v>
      </c>
      <c r="EP122" s="2108">
        <v>789.78</v>
      </c>
      <c r="EQ122" s="2108">
        <v>795.08</v>
      </c>
      <c r="ER122" s="2108">
        <v>795.08</v>
      </c>
      <c r="ES122" s="2108">
        <v>801.04</v>
      </c>
      <c r="ET122" s="2108">
        <v>816.92</v>
      </c>
      <c r="EU122" s="2108">
        <v>832.55</v>
      </c>
      <c r="EV122" s="2108">
        <v>832.55</v>
      </c>
      <c r="EW122" s="2108">
        <v>840.24</v>
      </c>
      <c r="EX122" s="2108">
        <v>840.24</v>
      </c>
      <c r="EY122" s="2108">
        <v>865.09</v>
      </c>
      <c r="EZ122" s="2108">
        <v>891.59</v>
      </c>
      <c r="FA122" s="2108">
        <v>967.55</v>
      </c>
      <c r="FB122" s="2108">
        <v>1046.28</v>
      </c>
      <c r="FC122" s="2108">
        <v>1061.69</v>
      </c>
      <c r="FD122" s="2108">
        <v>1061.69</v>
      </c>
      <c r="FE122" s="2108">
        <v>1096.57</v>
      </c>
      <c r="FF122" s="2108">
        <v>1074.56</v>
      </c>
      <c r="FG122" s="2108">
        <v>1074.56</v>
      </c>
      <c r="FH122" s="2108">
        <v>1079.0899999999999</v>
      </c>
      <c r="FI122" s="2108">
        <v>1119.0899999999999</v>
      </c>
      <c r="FJ122" s="2108">
        <v>1147.99</v>
      </c>
      <c r="FK122" s="2108">
        <v>1188.8800000000001</v>
      </c>
      <c r="FL122" s="2108">
        <v>1206.83</v>
      </c>
      <c r="FM122" s="2108">
        <v>1206.83</v>
      </c>
      <c r="FN122" s="2108">
        <v>1225.58</v>
      </c>
      <c r="FO122" s="2108">
        <v>1265.8900000000001</v>
      </c>
      <c r="FP122" s="2108">
        <v>1271.3</v>
      </c>
      <c r="FQ122" s="2108">
        <v>1271.3</v>
      </c>
      <c r="FR122" s="2108">
        <v>1271.3</v>
      </c>
      <c r="FS122" s="2108">
        <v>1320.69</v>
      </c>
      <c r="FT122" s="2108">
        <v>1331.73</v>
      </c>
      <c r="FU122" s="2108">
        <v>1339.18</v>
      </c>
      <c r="FV122" s="2108">
        <v>1391.49</v>
      </c>
      <c r="FW122" s="2113">
        <v>1406.7511167882199</v>
      </c>
      <c r="FX122" s="2113">
        <v>1500.3813270427718</v>
      </c>
      <c r="FY122" s="2113">
        <v>100</v>
      </c>
      <c r="FZ122" s="2113">
        <v>99.3705153465271</v>
      </c>
      <c r="GA122" s="2113">
        <v>98.787976008899392</v>
      </c>
      <c r="GB122" s="2113">
        <v>97.891117329973198</v>
      </c>
      <c r="GC122" s="2113">
        <v>101.31222692326435</v>
      </c>
      <c r="GD122" s="2113">
        <v>100.5659548583621</v>
      </c>
      <c r="GE122" s="2113">
        <v>99.800046206889348</v>
      </c>
      <c r="GF122" s="2114">
        <v>99.939622897336591</v>
      </c>
      <c r="GG122" s="1960">
        <v>99.811169044912077</v>
      </c>
      <c r="GH122" s="2114">
        <v>103.25781964185818</v>
      </c>
      <c r="GI122" s="2114">
        <v>103.81106074023866</v>
      </c>
      <c r="GJ122" s="2113">
        <v>104.79036320384382</v>
      </c>
      <c r="GK122" s="2113">
        <v>106.51777983894632</v>
      </c>
      <c r="GL122" s="2113">
        <v>113.4538347825206</v>
      </c>
      <c r="GM122" s="2114">
        <v>114.15029183738905</v>
      </c>
      <c r="GN122" s="2114">
        <v>114.15029183738905</v>
      </c>
      <c r="GO122" s="2115">
        <v>116.83731034234178</v>
      </c>
      <c r="GP122" s="2116">
        <v>118.84933476611197</v>
      </c>
      <c r="GQ122" s="2116">
        <v>118.90577985803999</v>
      </c>
      <c r="GR122" s="2116">
        <v>122.95527146841732</v>
      </c>
      <c r="GS122" s="2116">
        <v>123.24614778094626</v>
      </c>
      <c r="GT122" s="1960">
        <v>124.35445995908159</v>
      </c>
      <c r="GU122" s="1960">
        <v>125.70745049171889</v>
      </c>
      <c r="GV122" s="1960">
        <v>125.70745049171889</v>
      </c>
      <c r="GW122" s="1960">
        <v>126.44016631200667</v>
      </c>
      <c r="GX122" s="1960">
        <v>131.48537826472725</v>
      </c>
      <c r="GY122" s="1960">
        <v>133.98794924898644</v>
      </c>
      <c r="GZ122" s="1960">
        <v>137.74611229616846</v>
      </c>
      <c r="HA122" s="1960">
        <v>143.17399623803766</v>
      </c>
      <c r="HB122" s="1960">
        <v>171.47669958258223</v>
      </c>
      <c r="HC122" s="1960">
        <v>191.018556965089</v>
      </c>
      <c r="HD122" s="1960">
        <v>175.33024840116883</v>
      </c>
      <c r="HE122" s="1960">
        <v>210.37633931903872</v>
      </c>
      <c r="HF122" s="1960">
        <v>224.37193761683051</v>
      </c>
      <c r="HG122" s="1960">
        <v>245.12462020340686</v>
      </c>
      <c r="HH122" s="2117">
        <v>238.69708054955692</v>
      </c>
      <c r="HI122" s="1960">
        <v>257.61486876384862</v>
      </c>
      <c r="HJ122" s="1960">
        <v>250.47955584477799</v>
      </c>
      <c r="HK122" s="1960">
        <v>257.73843944333362</v>
      </c>
      <c r="HL122" s="1960">
        <v>267.33063094001801</v>
      </c>
      <c r="HM122" s="1960">
        <v>274.67473561057369</v>
      </c>
      <c r="HN122" s="1960">
        <v>281.02376045499159</v>
      </c>
      <c r="HO122" s="1960">
        <v>280.71244427458538</v>
      </c>
      <c r="HP122" s="1960">
        <v>324.01085425266933</v>
      </c>
      <c r="HQ122" s="1960">
        <v>347.47948057558682</v>
      </c>
      <c r="HR122" s="1960">
        <v>362.68403669059569</v>
      </c>
      <c r="HS122" s="1960">
        <v>396.83574545742073</v>
      </c>
      <c r="HT122" s="1962">
        <v>404.59694129284514</v>
      </c>
      <c r="HU122" s="1961">
        <v>425.59422195605998</v>
      </c>
      <c r="HV122" s="1960">
        <v>433.03332163641579</v>
      </c>
      <c r="HW122" s="1960">
        <v>433.03382420660529</v>
      </c>
      <c r="HX122" s="1960">
        <v>460.50654013630697</v>
      </c>
      <c r="HY122" s="1960">
        <v>477.38523227086392</v>
      </c>
      <c r="HZ122" s="1960">
        <v>499.33305796060978</v>
      </c>
      <c r="IA122" s="1960">
        <v>518.32158351640101</v>
      </c>
      <c r="IB122" s="1960">
        <v>532.90943631237349</v>
      </c>
      <c r="IC122" s="1960">
        <v>554.7108678285648</v>
      </c>
      <c r="ID122" s="1960">
        <v>584.41918867246238</v>
      </c>
      <c r="IE122" s="1960">
        <v>604.71854979314094</v>
      </c>
      <c r="IF122" s="1960">
        <v>641.21184533707697</v>
      </c>
      <c r="IG122" s="1961">
        <v>671.78062649488959</v>
      </c>
      <c r="IH122" s="1960">
        <v>672.33224723260696</v>
      </c>
      <c r="II122" s="1960">
        <v>735.64183769639919</v>
      </c>
      <c r="IJ122" s="1961">
        <v>757.89064873210873</v>
      </c>
      <c r="IK122" s="1960">
        <v>775.40551890617996</v>
      </c>
      <c r="IL122" s="1960">
        <v>804.1769376724269</v>
      </c>
      <c r="IM122" s="1960">
        <v>828.88808334129169</v>
      </c>
      <c r="IN122" s="1960">
        <v>876.54939326717852</v>
      </c>
      <c r="IO122" s="1960">
        <v>894.32669151203015</v>
      </c>
      <c r="IP122" s="1960">
        <v>926.16495798527671</v>
      </c>
      <c r="IQ122" s="1960">
        <v>953.39328158508579</v>
      </c>
      <c r="IR122" s="1960">
        <v>964.16794707591623</v>
      </c>
      <c r="IS122" s="2274">
        <v>1013.6999308867394</v>
      </c>
      <c r="IT122" s="1960">
        <v>1044.4845929207347</v>
      </c>
      <c r="IU122" s="1960">
        <v>1100.77329276469</v>
      </c>
      <c r="IV122" s="1960">
        <v>1188.187760905872</v>
      </c>
      <c r="IW122" s="1960">
        <v>1218.4605077486478</v>
      </c>
      <c r="IX122" s="1960">
        <v>1287.9152072247343</v>
      </c>
      <c r="IY122" s="1960">
        <v>1409.6818765883584</v>
      </c>
      <c r="IZ122" s="1960">
        <v>1486.3898130203263</v>
      </c>
      <c r="JA122" s="1960">
        <v>1559.33201038876</v>
      </c>
      <c r="JB122" s="1960">
        <v>1661.1339028863481</v>
      </c>
      <c r="JC122" s="1960">
        <v>1830.0698059037163</v>
      </c>
      <c r="JD122" s="1960">
        <v>2017.4356698050703</v>
      </c>
      <c r="JE122" s="2274">
        <v>2179.4940523424493</v>
      </c>
      <c r="JF122" s="2117">
        <v>2276.7303853150584</v>
      </c>
      <c r="JG122" s="2103">
        <f t="shared" si="13"/>
        <v>1.0446141767939685</v>
      </c>
      <c r="JI122" s="2155"/>
      <c r="JJ122" s="2104"/>
    </row>
    <row r="123" spans="2:270">
      <c r="B123" s="2276">
        <v>103</v>
      </c>
      <c r="C123" s="2277" t="s">
        <v>265</v>
      </c>
      <c r="D123" s="2278" t="s">
        <v>1229</v>
      </c>
      <c r="E123" s="2303" t="s">
        <v>1137</v>
      </c>
      <c r="F123" s="2277" t="s">
        <v>918</v>
      </c>
      <c r="G123" s="2278" t="s">
        <v>1112</v>
      </c>
      <c r="H123" s="2277" t="s">
        <v>929</v>
      </c>
      <c r="I123" s="2277" t="s">
        <v>930</v>
      </c>
      <c r="J123" s="2280" t="s">
        <v>921</v>
      </c>
      <c r="K123" s="2278"/>
      <c r="L123" s="2281">
        <v>96.5</v>
      </c>
      <c r="M123" s="2281">
        <v>100.4</v>
      </c>
      <c r="N123" s="2281">
        <v>101.2</v>
      </c>
      <c r="O123" s="2281">
        <v>106.5</v>
      </c>
      <c r="P123" s="2281">
        <v>116.3</v>
      </c>
      <c r="Q123" s="2281">
        <v>118</v>
      </c>
      <c r="R123" s="2281">
        <v>120.3</v>
      </c>
      <c r="S123" s="2281">
        <v>122.7</v>
      </c>
      <c r="T123" s="2281">
        <v>126.5</v>
      </c>
      <c r="U123" s="2281">
        <v>127.3</v>
      </c>
      <c r="V123" s="2281">
        <v>126.4</v>
      </c>
      <c r="W123" s="2281">
        <v>130.19999999999999</v>
      </c>
      <c r="X123" s="2281">
        <v>132.9</v>
      </c>
      <c r="Y123" s="2281">
        <v>130.19999999999999</v>
      </c>
      <c r="Z123" s="2281">
        <v>133.69999999999999</v>
      </c>
      <c r="AA123" s="2281">
        <v>133.69999999999999</v>
      </c>
      <c r="AB123" s="2281">
        <v>132.19999999999999</v>
      </c>
      <c r="AC123" s="2281">
        <v>134.19999999999999</v>
      </c>
      <c r="AD123" s="2281">
        <v>133.6</v>
      </c>
      <c r="AE123" s="2281">
        <v>133.30000000000001</v>
      </c>
      <c r="AF123" s="2281">
        <v>140.4</v>
      </c>
      <c r="AG123" s="2281">
        <v>146.19999999999999</v>
      </c>
      <c r="AH123" s="2281">
        <v>146.19999999999999</v>
      </c>
      <c r="AI123" s="2281">
        <v>146.19999999999999</v>
      </c>
      <c r="AJ123" s="2281">
        <v>147.9</v>
      </c>
      <c r="AK123" s="2281">
        <v>146.1</v>
      </c>
      <c r="AL123" s="2281">
        <v>147.69999999999999</v>
      </c>
      <c r="AM123" s="2281">
        <v>151.30000000000001</v>
      </c>
      <c r="AN123" s="2281">
        <v>154.6</v>
      </c>
      <c r="AO123" s="2281">
        <v>154.69999999999999</v>
      </c>
      <c r="AP123" s="2281">
        <v>154.69999999999999</v>
      </c>
      <c r="AQ123" s="2281">
        <v>154.69999999999999</v>
      </c>
      <c r="AR123" s="2281">
        <v>163.69999999999999</v>
      </c>
      <c r="AS123" s="2281">
        <v>166.9</v>
      </c>
      <c r="AT123" s="2281">
        <v>168.9</v>
      </c>
      <c r="AU123" s="2281">
        <v>171.3</v>
      </c>
      <c r="AV123" s="2281">
        <v>170.9</v>
      </c>
      <c r="AW123" s="2282">
        <v>174</v>
      </c>
      <c r="AX123" s="2282">
        <v>179.6</v>
      </c>
      <c r="AY123" s="2282">
        <v>182.4</v>
      </c>
      <c r="AZ123" s="2282">
        <v>188.3</v>
      </c>
      <c r="BA123" s="2282">
        <v>196.2</v>
      </c>
      <c r="BB123" s="2282">
        <v>199.2</v>
      </c>
      <c r="BC123" s="2282">
        <v>197.5</v>
      </c>
      <c r="BD123" s="2283">
        <v>199.2</v>
      </c>
      <c r="BE123" s="2282">
        <v>202.6</v>
      </c>
      <c r="BF123" s="2283">
        <v>200.4</v>
      </c>
      <c r="BG123" s="2283">
        <v>260.7</v>
      </c>
      <c r="BH123" s="2283">
        <v>205.9</v>
      </c>
      <c r="BI123" s="2284">
        <v>210.4</v>
      </c>
      <c r="BJ123" s="2284">
        <v>213.4</v>
      </c>
      <c r="BK123" s="2284">
        <v>211</v>
      </c>
      <c r="BL123" s="2284">
        <v>210.1</v>
      </c>
      <c r="BM123" s="2284">
        <v>220.1</v>
      </c>
      <c r="BN123" s="2284">
        <v>222.4</v>
      </c>
      <c r="BO123" s="2284">
        <v>225.6</v>
      </c>
      <c r="BP123" s="2284">
        <v>223.3</v>
      </c>
      <c r="BQ123" s="2284">
        <v>220.1</v>
      </c>
      <c r="BR123" s="2284">
        <v>224.2</v>
      </c>
      <c r="BS123" s="2284">
        <v>230.6</v>
      </c>
      <c r="BT123" s="2284">
        <v>230.6</v>
      </c>
      <c r="BU123" s="2284">
        <v>233.8</v>
      </c>
      <c r="BV123" s="2284">
        <v>234.3</v>
      </c>
      <c r="BW123" s="2284">
        <v>232.2</v>
      </c>
      <c r="BX123" s="2284">
        <v>234.7</v>
      </c>
      <c r="BY123" s="2284">
        <v>234.7</v>
      </c>
      <c r="BZ123" s="2284">
        <v>240.2</v>
      </c>
      <c r="CA123" s="2284">
        <v>247.6</v>
      </c>
      <c r="CB123" s="2284">
        <v>247.6</v>
      </c>
      <c r="CC123" s="2284">
        <v>254.9</v>
      </c>
      <c r="CD123" s="2284">
        <v>257.2</v>
      </c>
      <c r="CE123" s="2284">
        <v>263.3</v>
      </c>
      <c r="CF123" s="2284">
        <v>265.10000000000002</v>
      </c>
      <c r="CG123" s="2284">
        <v>265</v>
      </c>
      <c r="CH123" s="2284">
        <v>265.3</v>
      </c>
      <c r="CI123" s="2284">
        <v>265.8</v>
      </c>
      <c r="CJ123" s="2284">
        <v>271.5</v>
      </c>
      <c r="CK123" s="2284">
        <v>271.3</v>
      </c>
      <c r="CL123" s="2284">
        <v>273</v>
      </c>
      <c r="CM123" s="2284">
        <v>288.8</v>
      </c>
      <c r="CN123" s="2284">
        <v>288.8</v>
      </c>
      <c r="CO123" s="2284">
        <v>288.8</v>
      </c>
      <c r="CP123" s="2284">
        <v>288.8</v>
      </c>
      <c r="CQ123" s="2284">
        <v>290.3</v>
      </c>
      <c r="CR123" s="2284">
        <v>288.8</v>
      </c>
      <c r="CS123" s="2284">
        <v>287.89999999999998</v>
      </c>
      <c r="CT123" s="2284">
        <v>289.3</v>
      </c>
      <c r="CU123" s="2284">
        <v>307.3</v>
      </c>
      <c r="CV123" s="2284">
        <v>302.5</v>
      </c>
      <c r="CW123" s="2284">
        <v>302.5</v>
      </c>
      <c r="CX123" s="2284">
        <v>308.5</v>
      </c>
      <c r="CY123" s="2284">
        <v>308.5</v>
      </c>
      <c r="CZ123" s="2284">
        <v>308.5</v>
      </c>
      <c r="DA123" s="2284">
        <v>310.60000000000002</v>
      </c>
      <c r="DB123" s="2284">
        <v>310.60000000000002</v>
      </c>
      <c r="DC123" s="2284">
        <v>314.7</v>
      </c>
      <c r="DD123" s="2284">
        <v>314.7</v>
      </c>
      <c r="DE123" s="2284">
        <v>314.7</v>
      </c>
      <c r="DF123" s="2284">
        <v>314.7</v>
      </c>
      <c r="DG123" s="2284">
        <v>331.7</v>
      </c>
      <c r="DH123" s="2284">
        <v>331.7</v>
      </c>
      <c r="DI123" s="2284">
        <v>331.7</v>
      </c>
      <c r="DJ123" s="2284">
        <v>331.7</v>
      </c>
      <c r="DK123" s="2284">
        <v>331.7</v>
      </c>
      <c r="DL123" s="2284">
        <v>331.7</v>
      </c>
      <c r="DM123" s="2284">
        <v>331.7</v>
      </c>
      <c r="DN123" s="2284">
        <v>331.7</v>
      </c>
      <c r="DO123" s="2284">
        <v>331.7</v>
      </c>
      <c r="DP123" s="2284">
        <v>331.7</v>
      </c>
      <c r="DQ123" s="2284">
        <v>331.7</v>
      </c>
      <c r="DR123" s="2284">
        <v>331.7</v>
      </c>
      <c r="DS123" s="2284">
        <v>331.7</v>
      </c>
      <c r="DT123" s="2284">
        <v>331.7</v>
      </c>
      <c r="DU123" s="2284">
        <v>335.1</v>
      </c>
      <c r="DV123" s="2284">
        <v>335.7</v>
      </c>
      <c r="DW123" s="2284">
        <v>335.7</v>
      </c>
      <c r="DX123" s="2284">
        <v>335.7</v>
      </c>
      <c r="DY123" s="2284">
        <v>337.1</v>
      </c>
      <c r="DZ123" s="2284">
        <v>338.1</v>
      </c>
      <c r="EA123" s="2284">
        <v>340.8</v>
      </c>
      <c r="EB123" s="2284">
        <v>352.4</v>
      </c>
      <c r="EC123" s="2284">
        <v>352.4</v>
      </c>
      <c r="ED123" s="2284">
        <v>371.6</v>
      </c>
      <c r="EE123" s="2284">
        <v>374.2</v>
      </c>
      <c r="EF123" s="2284">
        <v>374.2</v>
      </c>
      <c r="EG123" s="2284">
        <v>374.2</v>
      </c>
      <c r="EH123" s="2284">
        <v>378.8</v>
      </c>
      <c r="EI123" s="2284">
        <v>378.8</v>
      </c>
      <c r="EJ123" s="2284">
        <v>378.8</v>
      </c>
      <c r="EK123" s="2284">
        <v>378.8</v>
      </c>
      <c r="EL123" s="2284">
        <v>378.8</v>
      </c>
      <c r="EM123" s="2284">
        <v>378.8</v>
      </c>
      <c r="EN123" s="2284">
        <v>399.8</v>
      </c>
      <c r="EO123" s="2284">
        <v>406.2</v>
      </c>
      <c r="EP123" s="2284">
        <v>406.2</v>
      </c>
      <c r="EQ123" s="2284">
        <v>427.2</v>
      </c>
      <c r="ER123" s="2284">
        <v>431.3</v>
      </c>
      <c r="ES123" s="2284">
        <v>431.4</v>
      </c>
      <c r="ET123" s="2284">
        <v>431.4</v>
      </c>
      <c r="EU123" s="2284">
        <v>438.8</v>
      </c>
      <c r="EV123" s="2284">
        <v>438.8</v>
      </c>
      <c r="EW123" s="2284">
        <v>438.8</v>
      </c>
      <c r="EX123" s="2284">
        <v>438.8</v>
      </c>
      <c r="EY123" s="2284">
        <v>438.8</v>
      </c>
      <c r="EZ123" s="2284">
        <v>449.8</v>
      </c>
      <c r="FA123" s="2284">
        <v>449.8</v>
      </c>
      <c r="FB123" s="2284">
        <v>521</v>
      </c>
      <c r="FC123" s="2284">
        <v>561.4</v>
      </c>
      <c r="FD123" s="2284">
        <v>561.4</v>
      </c>
      <c r="FE123" s="2284">
        <v>571.20000000000005</v>
      </c>
      <c r="FF123" s="2284">
        <v>579.20000000000005</v>
      </c>
      <c r="FG123" s="2284">
        <v>581.5</v>
      </c>
      <c r="FH123" s="2284">
        <v>581.5</v>
      </c>
      <c r="FI123" s="2284">
        <v>587.79999999999995</v>
      </c>
      <c r="FJ123" s="2284">
        <v>592.4</v>
      </c>
      <c r="FK123" s="2284">
        <v>590.1</v>
      </c>
      <c r="FL123" s="2284">
        <v>596.4</v>
      </c>
      <c r="FM123" s="2284">
        <v>606.79999999999995</v>
      </c>
      <c r="FN123" s="2284">
        <v>618.20000000000005</v>
      </c>
      <c r="FO123" s="2284">
        <v>622.6</v>
      </c>
      <c r="FP123" s="2284">
        <v>643.79999999999995</v>
      </c>
      <c r="FQ123" s="2284">
        <v>643.79999999999995</v>
      </c>
      <c r="FR123" s="2284">
        <v>651</v>
      </c>
      <c r="FS123" s="2284">
        <v>685.4</v>
      </c>
      <c r="FT123" s="2284">
        <v>689.4</v>
      </c>
      <c r="FU123" s="2284">
        <v>717.5</v>
      </c>
      <c r="FV123" s="2284">
        <v>728.4</v>
      </c>
      <c r="FW123" s="2285">
        <v>756.60150612646339</v>
      </c>
      <c r="FX123" s="2285">
        <v>783.58734900170873</v>
      </c>
      <c r="FY123" s="2285">
        <v>100</v>
      </c>
      <c r="FZ123" s="2285">
        <v>103.81107330322266</v>
      </c>
      <c r="GA123" s="2285">
        <v>104.3495078072965</v>
      </c>
      <c r="GB123" s="2285">
        <v>106.50325839765041</v>
      </c>
      <c r="GC123" s="2285">
        <v>112.26455533776284</v>
      </c>
      <c r="GD123" s="2285">
        <v>112.26455533776284</v>
      </c>
      <c r="GE123" s="2285">
        <v>117.1105048634402</v>
      </c>
      <c r="GF123" s="2286">
        <v>117.91815697060264</v>
      </c>
      <c r="GG123" s="2287">
        <v>118.45659398954571</v>
      </c>
      <c r="GH123" s="2286">
        <v>121.95644456515241</v>
      </c>
      <c r="GI123" s="2286">
        <v>121.95644456515241</v>
      </c>
      <c r="GJ123" s="2285">
        <v>121.1487888321452</v>
      </c>
      <c r="GK123" s="2285">
        <v>121.68723219414625</v>
      </c>
      <c r="GL123" s="2285">
        <v>121.68723219414625</v>
      </c>
      <c r="GM123" s="2286">
        <v>121.95645366000699</v>
      </c>
      <c r="GN123" s="2286">
        <v>121.95645366000699</v>
      </c>
      <c r="GO123" s="2288">
        <v>121.95645366000699</v>
      </c>
      <c r="GP123" s="2289">
        <v>126.80240295777615</v>
      </c>
      <c r="GQ123" s="2289">
        <v>127.6100672558858</v>
      </c>
      <c r="GR123" s="2289">
        <v>129.22538591084813</v>
      </c>
      <c r="GS123" s="2289">
        <v>138.91729601610831</v>
      </c>
      <c r="GT123" s="2287">
        <v>139.72495509899807</v>
      </c>
      <c r="GU123" s="2287">
        <v>139.72495509899807</v>
      </c>
      <c r="GV123" s="2287">
        <v>140.80183195354419</v>
      </c>
      <c r="GW123" s="2287">
        <v>141.07104474578611</v>
      </c>
      <c r="GX123" s="2287">
        <v>144.6785894512696</v>
      </c>
      <c r="GY123" s="2287">
        <v>149.14764034727202</v>
      </c>
      <c r="GZ123" s="2287">
        <v>149.14764034727202</v>
      </c>
      <c r="HA123" s="2287">
        <v>149.91250888566353</v>
      </c>
      <c r="HB123" s="2287">
        <v>151.61605849836755</v>
      </c>
      <c r="HC123" s="2287">
        <v>159.16177247694719</v>
      </c>
      <c r="HD123" s="2287">
        <v>164.4671572838966</v>
      </c>
      <c r="HE123" s="2287">
        <v>169.03568943067148</v>
      </c>
      <c r="HF123" s="2287">
        <v>169.03568943067148</v>
      </c>
      <c r="HG123" s="2287">
        <v>188.60824294369658</v>
      </c>
      <c r="HH123" s="2290">
        <v>191.8979215996913</v>
      </c>
      <c r="HI123" s="2287">
        <v>190.72743668463698</v>
      </c>
      <c r="HJ123" s="2287">
        <v>196.89736121662358</v>
      </c>
      <c r="HK123" s="2287">
        <v>197.58822915071698</v>
      </c>
      <c r="HL123" s="2287">
        <v>208.13854637246408</v>
      </c>
      <c r="HM123" s="2287">
        <v>210.24095593178191</v>
      </c>
      <c r="HN123" s="2287">
        <v>221.64618426010733</v>
      </c>
      <c r="HO123" s="2287">
        <v>223.75710030067978</v>
      </c>
      <c r="HP123" s="2287">
        <v>232.04440031181605</v>
      </c>
      <c r="HQ123" s="2287">
        <v>261.23952910921776</v>
      </c>
      <c r="HR123" s="2287">
        <v>274.6364280378956</v>
      </c>
      <c r="HS123" s="2287">
        <v>298.69814166928592</v>
      </c>
      <c r="HT123" s="2291">
        <v>303.36530013286853</v>
      </c>
      <c r="HU123" s="2292">
        <v>307.82655454658715</v>
      </c>
      <c r="HV123" s="2287">
        <v>312.1019233597342</v>
      </c>
      <c r="HW123" s="2287">
        <v>325.10617016638975</v>
      </c>
      <c r="HX123" s="2287">
        <v>325.10617016638975</v>
      </c>
      <c r="HY123" s="2287">
        <v>325.10617016638975</v>
      </c>
      <c r="HZ123" s="2287">
        <v>329.81785379198959</v>
      </c>
      <c r="IA123" s="2287">
        <v>346.43530321561008</v>
      </c>
      <c r="IB123" s="2287">
        <v>360.87010751626053</v>
      </c>
      <c r="IC123" s="2287">
        <v>393.40415002786159</v>
      </c>
      <c r="ID123" s="2287">
        <v>428.08228528163505</v>
      </c>
      <c r="IE123" s="2287">
        <v>452.70917811388824</v>
      </c>
      <c r="IF123" s="2287">
        <v>461.50467071724376</v>
      </c>
      <c r="IG123" s="2292">
        <v>476.80459195545467</v>
      </c>
      <c r="IH123" s="2287">
        <v>530.50021901492244</v>
      </c>
      <c r="II123" s="2287">
        <v>551.13078308772504</v>
      </c>
      <c r="IJ123" s="2292">
        <v>580.8131124054496</v>
      </c>
      <c r="IK123" s="2287">
        <v>598.26639396778523</v>
      </c>
      <c r="IL123" s="2287">
        <v>615.87494386116339</v>
      </c>
      <c r="IM123" s="2287">
        <v>655.16460694646014</v>
      </c>
      <c r="IN123" s="2287">
        <v>665.85738779568055</v>
      </c>
      <c r="IO123" s="2287">
        <v>728.63841746138417</v>
      </c>
      <c r="IP123" s="2287">
        <v>780.98674575316818</v>
      </c>
      <c r="IQ123" s="2287">
        <v>844.74650367645677</v>
      </c>
      <c r="IR123" s="2287">
        <v>858.15941276422666</v>
      </c>
      <c r="IS123" s="2293">
        <v>935.44414667000819</v>
      </c>
      <c r="IT123" s="2287">
        <v>1025.2329047179949</v>
      </c>
      <c r="IU123" s="2287">
        <v>1091.0936584325957</v>
      </c>
      <c r="IV123" s="2287">
        <v>1105.624689336707</v>
      </c>
      <c r="IW123" s="2287">
        <v>1165.2968149220744</v>
      </c>
      <c r="IX123" s="2287">
        <v>1213.1744107013417</v>
      </c>
      <c r="IY123" s="2287">
        <v>1271.7386333216427</v>
      </c>
      <c r="IZ123" s="2287">
        <v>1289.2217466037457</v>
      </c>
      <c r="JA123" s="2287">
        <v>1345.9750750543706</v>
      </c>
      <c r="JB123" s="2287">
        <v>1483.2656577543839</v>
      </c>
      <c r="JC123" s="2287">
        <v>1536.5879248603949</v>
      </c>
      <c r="JD123" s="2287">
        <v>1614.2794267894981</v>
      </c>
      <c r="JE123" s="2293">
        <v>1670.1958850175288</v>
      </c>
      <c r="JF123" s="2290">
        <v>1754.5817604104807</v>
      </c>
      <c r="JG123" s="2103">
        <f t="shared" si="13"/>
        <v>1.0505245379598491</v>
      </c>
      <c r="JI123" s="2155"/>
      <c r="JJ123" s="2104"/>
    </row>
    <row r="124" spans="2:270" ht="31.5">
      <c r="B124" s="2105">
        <v>104</v>
      </c>
      <c r="C124" s="2106" t="s">
        <v>267</v>
      </c>
      <c r="D124" s="2425" t="s">
        <v>1230</v>
      </c>
      <c r="E124" s="2128" t="s">
        <v>1253</v>
      </c>
      <c r="F124" s="2106" t="s">
        <v>918</v>
      </c>
      <c r="G124" s="2425" t="s">
        <v>1112</v>
      </c>
      <c r="H124" s="2106" t="s">
        <v>929</v>
      </c>
      <c r="I124" s="2106" t="s">
        <v>930</v>
      </c>
      <c r="J124" s="2359" t="s">
        <v>78</v>
      </c>
      <c r="K124" s="2425"/>
      <c r="L124" s="2110">
        <v>124.9</v>
      </c>
      <c r="M124" s="2110">
        <v>128.1</v>
      </c>
      <c r="N124" s="2110">
        <v>147.1</v>
      </c>
      <c r="O124" s="2110">
        <v>195.5</v>
      </c>
      <c r="P124" s="2110">
        <v>254.4</v>
      </c>
      <c r="Q124" s="2110">
        <v>232.9</v>
      </c>
      <c r="R124" s="2110">
        <v>245.2</v>
      </c>
      <c r="S124" s="2110">
        <v>245.2</v>
      </c>
      <c r="T124" s="2110">
        <v>245.2</v>
      </c>
      <c r="U124" s="2110">
        <v>248.5</v>
      </c>
      <c r="V124" s="2110">
        <v>259.10000000000002</v>
      </c>
      <c r="W124" s="2110">
        <v>258.60000000000002</v>
      </c>
      <c r="X124" s="2110">
        <v>258.39999999999998</v>
      </c>
      <c r="Y124" s="2110">
        <v>252.1</v>
      </c>
      <c r="Z124" s="2110">
        <v>246.4</v>
      </c>
      <c r="AA124" s="2110">
        <v>242.3</v>
      </c>
      <c r="AB124" s="2110">
        <v>234</v>
      </c>
      <c r="AC124" s="2110">
        <v>232.2</v>
      </c>
      <c r="AD124" s="2110">
        <v>231.4</v>
      </c>
      <c r="AE124" s="2110">
        <v>231.4</v>
      </c>
      <c r="AF124" s="2110">
        <v>232.6</v>
      </c>
      <c r="AG124" s="2110">
        <v>236.1</v>
      </c>
      <c r="AH124" s="2110">
        <v>234.9</v>
      </c>
      <c r="AI124" s="2110">
        <v>235.1</v>
      </c>
      <c r="AJ124" s="2110">
        <v>235.7</v>
      </c>
      <c r="AK124" s="2110">
        <v>236.2</v>
      </c>
      <c r="AL124" s="2110">
        <v>239.9</v>
      </c>
      <c r="AM124" s="2110">
        <v>239.9</v>
      </c>
      <c r="AN124" s="2110">
        <v>240.3</v>
      </c>
      <c r="AO124" s="2110">
        <v>252.5</v>
      </c>
      <c r="AP124" s="2110">
        <v>262.7</v>
      </c>
      <c r="AQ124" s="2110">
        <v>263.89999999999998</v>
      </c>
      <c r="AR124" s="2110">
        <v>272.7</v>
      </c>
      <c r="AS124" s="2110">
        <v>290.8</v>
      </c>
      <c r="AT124" s="2110">
        <v>303.89999999999998</v>
      </c>
      <c r="AU124" s="2110">
        <v>322.8</v>
      </c>
      <c r="AV124" s="2110">
        <v>322.8</v>
      </c>
      <c r="AW124" s="2111">
        <v>325.7</v>
      </c>
      <c r="AX124" s="2111">
        <v>325.7</v>
      </c>
      <c r="AY124" s="2111">
        <v>325.7</v>
      </c>
      <c r="AZ124" s="2111">
        <v>321.8</v>
      </c>
      <c r="BA124" s="2111">
        <v>326.39999999999998</v>
      </c>
      <c r="BB124" s="2111">
        <v>326.39999999999998</v>
      </c>
      <c r="BC124" s="2111">
        <v>323.60000000000002</v>
      </c>
      <c r="BD124" s="2112">
        <v>323.60000000000002</v>
      </c>
      <c r="BE124" s="2111">
        <v>323.60000000000002</v>
      </c>
      <c r="BF124" s="2112">
        <v>328.1</v>
      </c>
      <c r="BG124" s="2112">
        <v>333.6</v>
      </c>
      <c r="BH124" s="2112">
        <v>336.5</v>
      </c>
      <c r="BI124" s="2108">
        <v>336.5</v>
      </c>
      <c r="BJ124" s="2108">
        <v>336.5</v>
      </c>
      <c r="BK124" s="2108">
        <v>338.1</v>
      </c>
      <c r="BL124" s="2108">
        <v>338.1</v>
      </c>
      <c r="BM124" s="2108">
        <v>338.1</v>
      </c>
      <c r="BN124" s="2108">
        <v>350.7</v>
      </c>
      <c r="BO124" s="2108">
        <v>360.5</v>
      </c>
      <c r="BP124" s="2108">
        <v>360.5</v>
      </c>
      <c r="BQ124" s="2108">
        <v>359.9</v>
      </c>
      <c r="BR124" s="2108">
        <v>370.2</v>
      </c>
      <c r="BS124" s="2108">
        <v>382.1</v>
      </c>
      <c r="BT124" s="2108">
        <v>382.1</v>
      </c>
      <c r="BU124" s="2108">
        <v>378.7</v>
      </c>
      <c r="BV124" s="2108">
        <v>375</v>
      </c>
      <c r="BW124" s="2108">
        <v>375.1</v>
      </c>
      <c r="BX124" s="2108">
        <v>384.8</v>
      </c>
      <c r="BY124" s="2108">
        <v>391.6</v>
      </c>
      <c r="BZ124" s="2108">
        <v>391.6</v>
      </c>
      <c r="CA124" s="2108">
        <v>395.8</v>
      </c>
      <c r="CB124" s="2108">
        <v>412.9</v>
      </c>
      <c r="CC124" s="2108">
        <v>412.1</v>
      </c>
      <c r="CD124" s="2108">
        <v>412.1</v>
      </c>
      <c r="CE124" s="2108">
        <v>412.1</v>
      </c>
      <c r="CF124" s="2108">
        <v>410.5</v>
      </c>
      <c r="CG124" s="2108">
        <v>413.6</v>
      </c>
      <c r="CH124" s="2108">
        <v>436.2</v>
      </c>
      <c r="CI124" s="2108">
        <v>443.8</v>
      </c>
      <c r="CJ124" s="2108">
        <v>457</v>
      </c>
      <c r="CK124" s="2108">
        <v>460.8</v>
      </c>
      <c r="CL124" s="2108">
        <v>457.5</v>
      </c>
      <c r="CM124" s="2108">
        <v>465.2</v>
      </c>
      <c r="CN124" s="2108">
        <v>465.2</v>
      </c>
      <c r="CO124" s="2108">
        <v>465.2</v>
      </c>
      <c r="CP124" s="2108">
        <v>465.4</v>
      </c>
      <c r="CQ124" s="2108">
        <v>480</v>
      </c>
      <c r="CR124" s="2108">
        <v>480</v>
      </c>
      <c r="CS124" s="2108">
        <v>477.5</v>
      </c>
      <c r="CT124" s="2108">
        <v>460.8</v>
      </c>
      <c r="CU124" s="2108">
        <v>458.2</v>
      </c>
      <c r="CV124" s="2108">
        <v>458.2</v>
      </c>
      <c r="CW124" s="2108">
        <v>465.4</v>
      </c>
      <c r="CX124" s="2108">
        <v>477.8</v>
      </c>
      <c r="CY124" s="2108">
        <v>478.2</v>
      </c>
      <c r="CZ124" s="2108">
        <v>476.8</v>
      </c>
      <c r="DA124" s="2108">
        <v>488.2</v>
      </c>
      <c r="DB124" s="2108">
        <v>488.2</v>
      </c>
      <c r="DC124" s="2108">
        <v>488.2</v>
      </c>
      <c r="DD124" s="2108">
        <v>496.3</v>
      </c>
      <c r="DE124" s="2108">
        <v>496.3</v>
      </c>
      <c r="DF124" s="2108">
        <v>518.20000000000005</v>
      </c>
      <c r="DG124" s="2108">
        <v>553.4</v>
      </c>
      <c r="DH124" s="2108">
        <v>547.70000000000005</v>
      </c>
      <c r="DI124" s="2108">
        <v>547.70000000000005</v>
      </c>
      <c r="DJ124" s="2108">
        <v>556.29999999999995</v>
      </c>
      <c r="DK124" s="2108">
        <v>563.29999999999995</v>
      </c>
      <c r="DL124" s="2108">
        <v>563.29999999999995</v>
      </c>
      <c r="DM124" s="2108">
        <v>563.29999999999995</v>
      </c>
      <c r="DN124" s="2108">
        <v>563.29999999999995</v>
      </c>
      <c r="DO124" s="2108">
        <v>571.20000000000005</v>
      </c>
      <c r="DP124" s="2108">
        <v>581.1</v>
      </c>
      <c r="DQ124" s="2108">
        <v>581.1</v>
      </c>
      <c r="DR124" s="2108">
        <v>604.4</v>
      </c>
      <c r="DS124" s="2108">
        <v>604.4</v>
      </c>
      <c r="DT124" s="2108">
        <v>622.70000000000005</v>
      </c>
      <c r="DU124" s="2108">
        <v>622.70000000000005</v>
      </c>
      <c r="DV124" s="2108">
        <v>622.70000000000005</v>
      </c>
      <c r="DW124" s="2108">
        <v>622.70000000000005</v>
      </c>
      <c r="DX124" s="2108">
        <v>622.70000000000005</v>
      </c>
      <c r="DY124" s="2108">
        <v>671</v>
      </c>
      <c r="DZ124" s="2108">
        <v>671</v>
      </c>
      <c r="EA124" s="2108">
        <v>671</v>
      </c>
      <c r="EB124" s="2108">
        <v>692.7</v>
      </c>
      <c r="EC124" s="2108">
        <v>681.3</v>
      </c>
      <c r="ED124" s="2108">
        <v>711.4</v>
      </c>
      <c r="EE124" s="2108">
        <v>733.6</v>
      </c>
      <c r="EF124" s="2108">
        <v>749.8</v>
      </c>
      <c r="EG124" s="2108">
        <v>749.8</v>
      </c>
      <c r="EH124" s="2108">
        <v>782.9</v>
      </c>
      <c r="EI124" s="2108">
        <v>810.9</v>
      </c>
      <c r="EJ124" s="2108">
        <v>824.1</v>
      </c>
      <c r="EK124" s="2108">
        <v>857</v>
      </c>
      <c r="EL124" s="2108">
        <v>857</v>
      </c>
      <c r="EM124" s="2108">
        <v>881.2</v>
      </c>
      <c r="EN124" s="2108">
        <v>915.3</v>
      </c>
      <c r="EO124" s="2108">
        <v>923.3</v>
      </c>
      <c r="EP124" s="2108">
        <v>965.4</v>
      </c>
      <c r="EQ124" s="2108">
        <v>975.9</v>
      </c>
      <c r="ER124" s="2108">
        <v>976.4</v>
      </c>
      <c r="ES124" s="2108">
        <v>977.2</v>
      </c>
      <c r="ET124" s="2108">
        <v>971.4</v>
      </c>
      <c r="EU124" s="2108">
        <v>1025.4000000000001</v>
      </c>
      <c r="EV124" s="2108">
        <v>1048.5999999999999</v>
      </c>
      <c r="EW124" s="2108">
        <v>1058</v>
      </c>
      <c r="EX124" s="2108">
        <v>1090</v>
      </c>
      <c r="EY124" s="2108">
        <v>1165.7</v>
      </c>
      <c r="EZ124" s="2108">
        <v>1217.3</v>
      </c>
      <c r="FA124" s="2108">
        <v>1343.6</v>
      </c>
      <c r="FB124" s="2108">
        <v>1563.4</v>
      </c>
      <c r="FC124" s="2108">
        <v>1563.4</v>
      </c>
      <c r="FD124" s="2108">
        <v>1601.9</v>
      </c>
      <c r="FE124" s="2108">
        <v>1601.9</v>
      </c>
      <c r="FF124" s="2108">
        <v>1609.3</v>
      </c>
      <c r="FG124" s="2108">
        <v>1637.7</v>
      </c>
      <c r="FH124" s="2108">
        <v>1649.6</v>
      </c>
      <c r="FI124" s="2108">
        <v>1714.4</v>
      </c>
      <c r="FJ124" s="2108">
        <v>1740.3</v>
      </c>
      <c r="FK124" s="2108">
        <v>1740.3</v>
      </c>
      <c r="FL124" s="2108">
        <v>1740.3</v>
      </c>
      <c r="FM124" s="2108">
        <v>1740.3</v>
      </c>
      <c r="FN124" s="2108">
        <v>1773.2</v>
      </c>
      <c r="FO124" s="2108">
        <v>1765.4</v>
      </c>
      <c r="FP124" s="2108">
        <v>1813.9</v>
      </c>
      <c r="FQ124" s="2108">
        <v>1816</v>
      </c>
      <c r="FR124" s="2108">
        <v>1851.6</v>
      </c>
      <c r="FS124" s="2108">
        <v>1862.3</v>
      </c>
      <c r="FT124" s="2108">
        <v>1912</v>
      </c>
      <c r="FU124" s="2108">
        <v>1964.3</v>
      </c>
      <c r="FV124" s="2108">
        <v>2005.4</v>
      </c>
      <c r="FW124" s="2113">
        <v>2079.1853150485294</v>
      </c>
      <c r="FX124" s="2113">
        <v>2244.175846581506</v>
      </c>
      <c r="FY124" s="2113">
        <v>100</v>
      </c>
      <c r="FZ124" s="2113">
        <v>96.652412414550781</v>
      </c>
      <c r="GA124" s="2113">
        <v>99.259568599313752</v>
      </c>
      <c r="GB124" s="2113">
        <v>100.34415045816483</v>
      </c>
      <c r="GC124" s="2113">
        <v>100.34415045816483</v>
      </c>
      <c r="GD124" s="2113">
        <v>100.34415045816483</v>
      </c>
      <c r="GE124" s="2113">
        <v>100.80301104761844</v>
      </c>
      <c r="GF124" s="2114">
        <v>100.80301104761844</v>
      </c>
      <c r="GG124" s="1960">
        <v>100.80301104761844</v>
      </c>
      <c r="GH124" s="2114">
        <v>101.34529866942135</v>
      </c>
      <c r="GI124" s="2114">
        <v>101.34529866942135</v>
      </c>
      <c r="GJ124" s="2113">
        <v>102.41944714610524</v>
      </c>
      <c r="GK124" s="2113">
        <v>102.41944714610524</v>
      </c>
      <c r="GL124" s="2113">
        <v>106.02774946894252</v>
      </c>
      <c r="GM124" s="2114">
        <v>106.02774946894252</v>
      </c>
      <c r="GN124" s="2114">
        <v>106.10196856999977</v>
      </c>
      <c r="GO124" s="2115">
        <v>108.91772943772476</v>
      </c>
      <c r="GP124" s="2116">
        <v>108.91772943772476</v>
      </c>
      <c r="GQ124" s="2116">
        <v>108.37543298680457</v>
      </c>
      <c r="GR124" s="2116">
        <v>109.61645363257553</v>
      </c>
      <c r="GS124" s="2116">
        <v>109.61645363257553</v>
      </c>
      <c r="GT124" s="1960">
        <v>109.61645363257553</v>
      </c>
      <c r="GU124" s="1960">
        <v>109.61645363257553</v>
      </c>
      <c r="GV124" s="1960">
        <v>109.61645363257553</v>
      </c>
      <c r="GW124" s="1960">
        <v>109.71031604531943</v>
      </c>
      <c r="GX124" s="1960">
        <v>112.83893906525853</v>
      </c>
      <c r="GY124" s="1960">
        <v>112.83893906525853</v>
      </c>
      <c r="GZ124" s="1960">
        <v>120.41818533522347</v>
      </c>
      <c r="HA124" s="1960">
        <v>129.01948018632049</v>
      </c>
      <c r="HB124" s="1960">
        <v>138.1797530334114</v>
      </c>
      <c r="HC124" s="1960">
        <v>195.42727394719165</v>
      </c>
      <c r="HD124" s="1960">
        <v>201.53436928064869</v>
      </c>
      <c r="HE124" s="1960">
        <v>221.14706859715562</v>
      </c>
      <c r="HF124" s="1960">
        <v>241.66704633783169</v>
      </c>
      <c r="HG124" s="1960">
        <v>241.66704633783169</v>
      </c>
      <c r="HH124" s="2117">
        <v>273.25278638925636</v>
      </c>
      <c r="HI124" s="1960">
        <v>241.66704633783169</v>
      </c>
      <c r="HJ124" s="1960">
        <v>273.25278638925636</v>
      </c>
      <c r="HK124" s="1960">
        <v>303.89723363267109</v>
      </c>
      <c r="HL124" s="1960">
        <v>307.29337982058433</v>
      </c>
      <c r="HM124" s="1960">
        <v>312.73355601754241</v>
      </c>
      <c r="HN124" s="1960">
        <v>308.58307981113671</v>
      </c>
      <c r="HO124" s="1960">
        <v>319.40394356500167</v>
      </c>
      <c r="HP124" s="1960">
        <v>418.62692325969715</v>
      </c>
      <c r="HQ124" s="1960">
        <v>439.12510033923405</v>
      </c>
      <c r="HR124" s="1960">
        <v>441.53787561582322</v>
      </c>
      <c r="HS124" s="1960">
        <v>459.66382785074603</v>
      </c>
      <c r="HT124" s="1962">
        <v>459.87957930575283</v>
      </c>
      <c r="HU124" s="1961">
        <v>462.67897710871114</v>
      </c>
      <c r="HV124" s="1960">
        <v>462.67521530750855</v>
      </c>
      <c r="HW124" s="1960">
        <v>462.67521530750855</v>
      </c>
      <c r="HX124" s="1960">
        <v>462.67521530750855</v>
      </c>
      <c r="HY124" s="1960">
        <v>509.99229777159763</v>
      </c>
      <c r="HZ124" s="1960">
        <v>510.26832453070085</v>
      </c>
      <c r="IA124" s="1960">
        <v>540.22543869410151</v>
      </c>
      <c r="IB124" s="1960">
        <v>551.63007279802093</v>
      </c>
      <c r="IC124" s="1960">
        <v>554.38185215409237</v>
      </c>
      <c r="ID124" s="1960">
        <v>572.67081678847228</v>
      </c>
      <c r="IE124" s="1960">
        <v>572.67081678847228</v>
      </c>
      <c r="IF124" s="1960">
        <v>572.67081678847228</v>
      </c>
      <c r="IG124" s="1961">
        <v>612.99714948533881</v>
      </c>
      <c r="IH124" s="1960">
        <v>638.49583111423237</v>
      </c>
      <c r="II124" s="1960">
        <v>647.27240611236607</v>
      </c>
      <c r="IJ124" s="1961">
        <v>714.73632630408054</v>
      </c>
      <c r="IK124" s="1960">
        <v>726.08378136503063</v>
      </c>
      <c r="IL124" s="1960">
        <v>743.37149044515036</v>
      </c>
      <c r="IM124" s="1960">
        <v>805.0747475492725</v>
      </c>
      <c r="IN124" s="1960">
        <v>813.3545299147163</v>
      </c>
      <c r="IO124" s="1960">
        <v>813.3545299147163</v>
      </c>
      <c r="IP124" s="1960">
        <v>826.49679590709945</v>
      </c>
      <c r="IQ124" s="1960">
        <v>840.66460398253889</v>
      </c>
      <c r="IR124" s="1960">
        <v>852.34050126007412</v>
      </c>
      <c r="IS124" s="2274">
        <v>911.19883393633711</v>
      </c>
      <c r="IT124" s="1960">
        <v>941.35123907797436</v>
      </c>
      <c r="IU124" s="1960">
        <v>1031.3471819515362</v>
      </c>
      <c r="IV124" s="1960">
        <v>1031.6438793587879</v>
      </c>
      <c r="IW124" s="1960">
        <v>1165.4281600665367</v>
      </c>
      <c r="IX124" s="1960">
        <v>1165.4281600665367</v>
      </c>
      <c r="IY124" s="1960">
        <v>1296.8037562180311</v>
      </c>
      <c r="IZ124" s="1960">
        <v>1405.5019892386313</v>
      </c>
      <c r="JA124" s="1960">
        <v>1508.1755189297751</v>
      </c>
      <c r="JB124" s="1960">
        <v>1561.7653057949176</v>
      </c>
      <c r="JC124" s="1960">
        <v>1791.396044543186</v>
      </c>
      <c r="JD124" s="1960">
        <v>1811.246988502136</v>
      </c>
      <c r="JE124" s="2274">
        <v>1893.0796149416303</v>
      </c>
      <c r="JF124" s="2117">
        <v>1938.5322558295816</v>
      </c>
      <c r="JG124" s="2103">
        <f t="shared" si="13"/>
        <v>1.0240098939998108</v>
      </c>
      <c r="JI124" s="2155"/>
      <c r="JJ124" s="2104"/>
    </row>
    <row r="125" spans="2:270" hidden="1">
      <c r="B125" s="2105">
        <v>105</v>
      </c>
      <c r="C125" s="2106" t="s">
        <v>269</v>
      </c>
      <c r="D125" s="2425" t="s">
        <v>481</v>
      </c>
      <c r="E125" s="2128" t="s">
        <v>270</v>
      </c>
      <c r="F125" s="2106" t="s">
        <v>918</v>
      </c>
      <c r="G125" s="2425" t="s">
        <v>1112</v>
      </c>
      <c r="H125" s="2106" t="s">
        <v>929</v>
      </c>
      <c r="I125" s="2106" t="s">
        <v>930</v>
      </c>
      <c r="J125" s="2359" t="s">
        <v>921</v>
      </c>
      <c r="K125" s="2425"/>
      <c r="L125" s="2110">
        <v>101</v>
      </c>
      <c r="M125" s="2110">
        <v>111.7</v>
      </c>
      <c r="N125" s="2110">
        <v>118.5</v>
      </c>
      <c r="O125" s="2110">
        <v>127.6</v>
      </c>
      <c r="P125" s="2110">
        <v>134.9</v>
      </c>
      <c r="Q125" s="2110">
        <v>158</v>
      </c>
      <c r="R125" s="2110">
        <v>158</v>
      </c>
      <c r="S125" s="2110">
        <v>158</v>
      </c>
      <c r="T125" s="2110">
        <v>158</v>
      </c>
      <c r="U125" s="2110">
        <v>159.4</v>
      </c>
      <c r="V125" s="2110">
        <v>159.4</v>
      </c>
      <c r="W125" s="2110">
        <v>157.1</v>
      </c>
      <c r="X125" s="2110">
        <v>157.6</v>
      </c>
      <c r="Y125" s="2110">
        <v>156.5</v>
      </c>
      <c r="Z125" s="2110">
        <v>157.1</v>
      </c>
      <c r="AA125" s="2110">
        <v>159.1</v>
      </c>
      <c r="AB125" s="2110">
        <v>157.19999999999999</v>
      </c>
      <c r="AC125" s="2110">
        <v>157.1</v>
      </c>
      <c r="AD125" s="2110">
        <v>157.1</v>
      </c>
      <c r="AE125" s="2110">
        <v>157.1</v>
      </c>
      <c r="AF125" s="2110">
        <v>157.1</v>
      </c>
      <c r="AG125" s="2110">
        <v>157.1</v>
      </c>
      <c r="AH125" s="2110">
        <v>157.1</v>
      </c>
      <c r="AI125" s="2110">
        <v>157.1</v>
      </c>
      <c r="AJ125" s="2110">
        <v>157.1</v>
      </c>
      <c r="AK125" s="2110">
        <v>133.6</v>
      </c>
      <c r="AL125" s="2110">
        <v>133.6</v>
      </c>
      <c r="AM125" s="2110">
        <v>136.30000000000001</v>
      </c>
      <c r="AN125" s="2110">
        <v>136.30000000000001</v>
      </c>
      <c r="AO125" s="2110">
        <v>136.30000000000001</v>
      </c>
      <c r="AP125" s="2110">
        <v>136.30000000000001</v>
      </c>
      <c r="AQ125" s="2110">
        <v>136.30000000000001</v>
      </c>
      <c r="AR125" s="2110">
        <v>136.30000000000001</v>
      </c>
      <c r="AS125" s="2110">
        <v>137.1</v>
      </c>
      <c r="AT125" s="2110">
        <v>137.1</v>
      </c>
      <c r="AU125" s="2110">
        <v>137.1</v>
      </c>
      <c r="AV125" s="2110">
        <v>140.30000000000001</v>
      </c>
      <c r="AW125" s="2111">
        <v>141.80000000000001</v>
      </c>
      <c r="AX125" s="2111">
        <v>141.80000000000001</v>
      </c>
      <c r="AY125" s="2111">
        <v>141.80000000000001</v>
      </c>
      <c r="AZ125" s="2111">
        <v>142.5</v>
      </c>
      <c r="BA125" s="2111">
        <v>142.5</v>
      </c>
      <c r="BB125" s="2111">
        <v>142.5</v>
      </c>
      <c r="BC125" s="2111">
        <v>142.5</v>
      </c>
      <c r="BD125" s="2112">
        <v>144.19999999999999</v>
      </c>
      <c r="BE125" s="2111">
        <v>144.19999999999999</v>
      </c>
      <c r="BF125" s="2112">
        <v>144.19999999999999</v>
      </c>
      <c r="BG125" s="2112">
        <v>149.1</v>
      </c>
      <c r="BH125" s="2112">
        <v>149.1</v>
      </c>
      <c r="BI125" s="2108">
        <v>150.1</v>
      </c>
      <c r="BJ125" s="2108">
        <v>150.1</v>
      </c>
      <c r="BK125" s="2108">
        <v>150.1</v>
      </c>
      <c r="BL125" s="2108">
        <v>151.1</v>
      </c>
      <c r="BM125" s="2108">
        <v>157</v>
      </c>
      <c r="BN125" s="2108">
        <v>158.30000000000001</v>
      </c>
      <c r="BO125" s="2108">
        <v>158.30000000000001</v>
      </c>
      <c r="BP125" s="2108">
        <v>162</v>
      </c>
      <c r="BQ125" s="2108">
        <v>162</v>
      </c>
      <c r="BR125" s="2108">
        <v>162</v>
      </c>
      <c r="BS125" s="2108">
        <v>162</v>
      </c>
      <c r="BT125" s="2108">
        <v>162</v>
      </c>
      <c r="BU125" s="2108">
        <v>162</v>
      </c>
      <c r="BV125" s="2108">
        <v>162</v>
      </c>
      <c r="BW125" s="2108">
        <v>162</v>
      </c>
      <c r="BX125" s="2108">
        <v>162</v>
      </c>
      <c r="BY125" s="2108">
        <v>162</v>
      </c>
      <c r="BZ125" s="2108">
        <v>165.2</v>
      </c>
      <c r="CA125" s="2108">
        <v>169.5</v>
      </c>
      <c r="CB125" s="2108">
        <v>171</v>
      </c>
      <c r="CC125" s="2108">
        <v>171</v>
      </c>
      <c r="CD125" s="2108">
        <v>166.4</v>
      </c>
      <c r="CE125" s="2108">
        <v>166.4</v>
      </c>
      <c r="CF125" s="2108">
        <v>166.4</v>
      </c>
      <c r="CG125" s="2108">
        <v>166.4</v>
      </c>
      <c r="CH125" s="2108">
        <v>172.3</v>
      </c>
      <c r="CI125" s="2108">
        <v>173.5</v>
      </c>
      <c r="CJ125" s="2108">
        <v>174.8</v>
      </c>
      <c r="CK125" s="2108">
        <v>177.3</v>
      </c>
      <c r="CL125" s="2108">
        <v>179.6</v>
      </c>
      <c r="CM125" s="2108">
        <v>183.5</v>
      </c>
      <c r="CN125" s="2108">
        <v>183.5</v>
      </c>
      <c r="CO125" s="2108">
        <v>183.5</v>
      </c>
      <c r="CP125" s="2108">
        <v>183.5</v>
      </c>
      <c r="CQ125" s="2108">
        <v>183.5</v>
      </c>
      <c r="CR125" s="2108">
        <v>183.5</v>
      </c>
      <c r="CS125" s="2108">
        <v>183.5</v>
      </c>
      <c r="CT125" s="2108">
        <v>183.5</v>
      </c>
      <c r="CU125" s="2108">
        <v>189</v>
      </c>
      <c r="CV125" s="2108">
        <v>189</v>
      </c>
      <c r="CW125" s="2108">
        <v>187.2</v>
      </c>
      <c r="CX125" s="2108">
        <v>187.2</v>
      </c>
      <c r="CY125" s="2108">
        <v>187.2</v>
      </c>
      <c r="CZ125" s="2108">
        <v>187.2</v>
      </c>
      <c r="DA125" s="2108">
        <v>187.2</v>
      </c>
      <c r="DB125" s="2108">
        <v>187.2</v>
      </c>
      <c r="DC125" s="2108">
        <v>192.6</v>
      </c>
      <c r="DD125" s="2108">
        <v>192.6</v>
      </c>
      <c r="DE125" s="2108">
        <v>192.6</v>
      </c>
      <c r="DF125" s="2108">
        <v>195.6</v>
      </c>
      <c r="DG125" s="2108">
        <v>195.6</v>
      </c>
      <c r="DH125" s="2108">
        <v>195.6</v>
      </c>
      <c r="DI125" s="2108">
        <v>195.6</v>
      </c>
      <c r="DJ125" s="2108">
        <v>195.6</v>
      </c>
      <c r="DK125" s="2108">
        <v>195.6</v>
      </c>
      <c r="DL125" s="2108">
        <v>195.6</v>
      </c>
      <c r="DM125" s="2108">
        <v>195.6</v>
      </c>
      <c r="DN125" s="2108">
        <v>195.6</v>
      </c>
      <c r="DO125" s="2108">
        <v>195.6</v>
      </c>
      <c r="DP125" s="2108">
        <v>196.7</v>
      </c>
      <c r="DQ125" s="2108">
        <v>198.7</v>
      </c>
      <c r="DR125" s="2108">
        <v>198.7</v>
      </c>
      <c r="DS125" s="2108">
        <v>199.6</v>
      </c>
      <c r="DT125" s="2108">
        <v>200</v>
      </c>
      <c r="DU125" s="2108">
        <v>201.2</v>
      </c>
      <c r="DV125" s="2108">
        <v>201.3</v>
      </c>
      <c r="DW125" s="2108">
        <v>203.2</v>
      </c>
      <c r="DX125" s="2108">
        <v>203.7</v>
      </c>
      <c r="DY125" s="2108">
        <v>204.3</v>
      </c>
      <c r="DZ125" s="2108">
        <v>206.1</v>
      </c>
      <c r="EA125" s="2108">
        <v>206.1</v>
      </c>
      <c r="EB125" s="2108">
        <v>206.1</v>
      </c>
      <c r="EC125" s="2108">
        <v>206.8</v>
      </c>
      <c r="ED125" s="2108">
        <v>206.9</v>
      </c>
      <c r="EE125" s="2108">
        <v>217.5</v>
      </c>
      <c r="EF125" s="2108">
        <v>217.9</v>
      </c>
      <c r="EG125" s="2108">
        <v>217.9</v>
      </c>
      <c r="EH125" s="2108">
        <v>223.1</v>
      </c>
      <c r="EI125" s="2108">
        <v>224.7</v>
      </c>
      <c r="EJ125" s="2108">
        <v>225.4</v>
      </c>
      <c r="EK125" s="2108">
        <v>226.4</v>
      </c>
      <c r="EL125" s="2108">
        <v>226.9</v>
      </c>
      <c r="EM125" s="2108">
        <v>227.8</v>
      </c>
      <c r="EN125" s="2108">
        <v>228.7</v>
      </c>
      <c r="EO125" s="2108">
        <v>233.1</v>
      </c>
      <c r="EP125" s="2108">
        <v>238.6</v>
      </c>
      <c r="EQ125" s="2108">
        <v>240.9</v>
      </c>
      <c r="ER125" s="2108">
        <v>239.6</v>
      </c>
      <c r="ES125" s="2108">
        <v>248.2</v>
      </c>
      <c r="ET125" s="2108">
        <v>248.2</v>
      </c>
      <c r="EU125" s="2108">
        <v>248.2</v>
      </c>
      <c r="EV125" s="2108">
        <v>253.7</v>
      </c>
      <c r="EW125" s="2108">
        <v>258</v>
      </c>
      <c r="EX125" s="2108">
        <v>263.89999999999998</v>
      </c>
      <c r="EY125" s="2108">
        <v>265.5</v>
      </c>
      <c r="EZ125" s="2108">
        <v>274.89999999999998</v>
      </c>
      <c r="FA125" s="2108">
        <v>280.5</v>
      </c>
      <c r="FB125" s="2108">
        <v>306.10000000000002</v>
      </c>
      <c r="FC125" s="2108">
        <v>314.3</v>
      </c>
      <c r="FD125" s="2108">
        <v>315.8</v>
      </c>
      <c r="FE125" s="2108">
        <v>316.39999999999998</v>
      </c>
      <c r="FF125" s="2108">
        <v>317.3</v>
      </c>
      <c r="FG125" s="2108">
        <v>316.60000000000002</v>
      </c>
      <c r="FH125" s="2108">
        <v>321.8</v>
      </c>
      <c r="FI125" s="2108">
        <v>323.89999999999998</v>
      </c>
      <c r="FJ125" s="2108">
        <v>327.7</v>
      </c>
      <c r="FK125" s="2108">
        <v>328.4</v>
      </c>
      <c r="FL125" s="2108">
        <v>339.5</v>
      </c>
      <c r="FM125" s="2108">
        <v>340.2</v>
      </c>
      <c r="FN125" s="2108">
        <v>341.4</v>
      </c>
      <c r="FO125" s="2108">
        <v>342.8</v>
      </c>
      <c r="FP125" s="2108">
        <v>343.5</v>
      </c>
      <c r="FQ125" s="2108">
        <v>344.9</v>
      </c>
      <c r="FR125" s="2108">
        <v>346.6</v>
      </c>
      <c r="FS125" s="2108">
        <v>347.6</v>
      </c>
      <c r="FT125" s="2108">
        <v>348.7</v>
      </c>
      <c r="FU125" s="2108">
        <v>351</v>
      </c>
      <c r="FV125" s="2108">
        <v>352.5</v>
      </c>
      <c r="FW125" s="2113">
        <v>415.01483231197903</v>
      </c>
      <c r="FX125" s="2113">
        <v>436.67952985521208</v>
      </c>
      <c r="FY125" s="2113">
        <v>100</v>
      </c>
      <c r="FZ125" s="2113">
        <v>100</v>
      </c>
      <c r="GA125" s="2113">
        <v>100</v>
      </c>
      <c r="GB125" s="2113">
        <v>100</v>
      </c>
      <c r="GC125" s="2113">
        <v>100</v>
      </c>
      <c r="GD125" s="2113">
        <v>104.89323139190674</v>
      </c>
      <c r="GE125" s="2113">
        <v>104.89323139190674</v>
      </c>
      <c r="GF125" s="2114">
        <v>104.89323139190674</v>
      </c>
      <c r="GG125" s="1960">
        <v>104.89323139190674</v>
      </c>
      <c r="GH125" s="2114">
        <v>104.89323139190674</v>
      </c>
      <c r="GI125" s="2114">
        <v>104.89323139190674</v>
      </c>
      <c r="GJ125" s="2113">
        <v>104.89323139190674</v>
      </c>
      <c r="GK125" s="2113">
        <v>104.89323139190674</v>
      </c>
      <c r="GL125" s="2113">
        <v>104.89323139190674</v>
      </c>
      <c r="GM125" s="2114">
        <v>104.89323139190674</v>
      </c>
      <c r="GN125" s="2114">
        <v>104.89323139190674</v>
      </c>
      <c r="GO125" s="2115">
        <v>104.89323139190674</v>
      </c>
      <c r="GP125" s="2116">
        <v>104.89323139190674</v>
      </c>
      <c r="GQ125" s="2116">
        <v>104.89323139190674</v>
      </c>
      <c r="GR125" s="2116">
        <v>104.89323139190674</v>
      </c>
      <c r="GS125" s="2116">
        <v>104.89323139190674</v>
      </c>
      <c r="GT125" s="1960">
        <v>104.56701432857898</v>
      </c>
      <c r="GU125" s="1960">
        <v>104.56701432857898</v>
      </c>
      <c r="GV125" s="1960">
        <v>104.56701432857898</v>
      </c>
      <c r="GW125" s="1960">
        <v>104.56701432857898</v>
      </c>
      <c r="GX125" s="1960">
        <v>104.56701432857898</v>
      </c>
      <c r="GY125" s="1960">
        <v>104.56701432857898</v>
      </c>
      <c r="GZ125" s="1960">
        <v>104.56701432857898</v>
      </c>
      <c r="HA125" s="1960">
        <v>104.56701432857898</v>
      </c>
      <c r="HB125" s="1960">
        <v>104.56701432857898</v>
      </c>
      <c r="HC125" s="1960" t="e">
        <v>#VALUE!</v>
      </c>
      <c r="HD125" s="1960" t="e">
        <v>#VALUE!</v>
      </c>
      <c r="HE125" s="1960" t="e">
        <v>#VALUE!</v>
      </c>
      <c r="HF125" s="1960" t="e">
        <v>#VALUE!</v>
      </c>
      <c r="HG125" s="1960" t="e">
        <v>#VALUE!</v>
      </c>
      <c r="HH125" s="2117" t="e">
        <v>#VALUE!</v>
      </c>
      <c r="HI125" s="1960" t="e">
        <v>#VALUE!</v>
      </c>
      <c r="HJ125" s="1960" t="e">
        <v>#VALUE!</v>
      </c>
      <c r="HK125" s="1960" t="e">
        <v>#VALUE!</v>
      </c>
      <c r="HL125" s="1960" t="e">
        <v>#VALUE!</v>
      </c>
      <c r="HM125" s="1960" t="e">
        <v>#VALUE!</v>
      </c>
      <c r="HN125" s="1960" t="e">
        <v>#VALUE!</v>
      </c>
      <c r="HO125" s="1960" t="e">
        <v>#VALUE!</v>
      </c>
      <c r="HP125" s="1960" t="e">
        <v>#VALUE!</v>
      </c>
      <c r="HQ125" s="1960" t="e">
        <v>#VALUE!</v>
      </c>
      <c r="HR125" s="1960" t="e">
        <v>#VALUE!</v>
      </c>
      <c r="HS125" s="1960" t="e">
        <v>#VALUE!</v>
      </c>
      <c r="HT125" s="1962" t="e">
        <v>#VALUE!</v>
      </c>
      <c r="HU125" s="1961" t="e">
        <v>#VALUE!</v>
      </c>
      <c r="HV125" s="1960" t="e">
        <v>#VALUE!</v>
      </c>
      <c r="HW125" s="1960" t="e">
        <v>#VALUE!</v>
      </c>
      <c r="HX125" s="1960" t="e">
        <v>#VALUE!</v>
      </c>
      <c r="HY125" s="1960" t="e">
        <v>#VALUE!</v>
      </c>
      <c r="HZ125" s="1960" t="e">
        <v>#VALUE!</v>
      </c>
      <c r="IA125" s="1960" t="e">
        <v>#VALUE!</v>
      </c>
      <c r="IB125" s="1960" t="e">
        <v>#VALUE!</v>
      </c>
      <c r="IC125" s="1960" t="e">
        <v>#VALUE!</v>
      </c>
      <c r="ID125" s="1960" t="e">
        <v>#VALUE!</v>
      </c>
      <c r="IE125" s="1960" t="e">
        <v>#VALUE!</v>
      </c>
      <c r="IF125" s="1960" t="e">
        <v>#VALUE!</v>
      </c>
      <c r="IG125" s="1961" t="e">
        <v>#VALUE!</v>
      </c>
      <c r="IH125" s="1960" t="e">
        <v>#VALUE!</v>
      </c>
      <c r="II125" s="1960" t="e">
        <v>#VALUE!</v>
      </c>
      <c r="IJ125" s="1961" t="e">
        <v>#VALUE!</v>
      </c>
      <c r="IK125" s="1960" t="e">
        <v>#VALUE!</v>
      </c>
      <c r="IL125" s="1960" t="e">
        <v>#VALUE!</v>
      </c>
      <c r="IM125" s="1960" t="e">
        <v>#VALUE!</v>
      </c>
      <c r="IN125" s="1960" t="e">
        <v>#VALUE!</v>
      </c>
      <c r="IO125" s="1960" t="e">
        <v>#VALUE!</v>
      </c>
      <c r="IP125" s="1960" t="e">
        <v>#VALUE!</v>
      </c>
      <c r="IQ125" s="1960" t="e">
        <v>#VALUE!</v>
      </c>
      <c r="IR125" s="1960" t="e">
        <v>#VALUE!</v>
      </c>
      <c r="IS125" s="2274" t="e">
        <v>#VALUE!</v>
      </c>
      <c r="IT125" s="1960" t="e">
        <v>#VALUE!</v>
      </c>
      <c r="IU125" s="1960" t="e">
        <v>#VALUE!</v>
      </c>
      <c r="IV125" s="1960" t="e">
        <v>#VALUE!</v>
      </c>
      <c r="IW125" s="1960" t="e">
        <v>#VALUE!</v>
      </c>
      <c r="IX125" s="1960" t="e">
        <v>#VALUE!</v>
      </c>
      <c r="IY125" s="1960" t="e">
        <v>#VALUE!</v>
      </c>
      <c r="IZ125" s="1960" t="e">
        <v>#VALUE!</v>
      </c>
      <c r="JA125" s="1960" t="e">
        <v>#VALUE!</v>
      </c>
      <c r="JB125" s="1960" t="e">
        <v>#VALUE!</v>
      </c>
      <c r="JC125" s="1960" t="e">
        <v>#VALUE!</v>
      </c>
      <c r="JD125" s="1960" t="e">
        <v>#VALUE!</v>
      </c>
      <c r="JE125" s="2274">
        <v>0</v>
      </c>
      <c r="JF125" s="2117">
        <v>0</v>
      </c>
      <c r="JG125" s="2103" t="e">
        <f t="shared" si="13"/>
        <v>#DIV/0!</v>
      </c>
      <c r="JI125" s="2155"/>
      <c r="JJ125" s="2104"/>
    </row>
    <row r="126" spans="2:270" ht="47.25">
      <c r="B126" s="2105">
        <v>106</v>
      </c>
      <c r="C126" s="2106">
        <v>23</v>
      </c>
      <c r="D126" s="2425" t="s">
        <v>1231</v>
      </c>
      <c r="E126" s="2128" t="s">
        <v>271</v>
      </c>
      <c r="F126" s="2106" t="s">
        <v>918</v>
      </c>
      <c r="G126" s="2425" t="s">
        <v>1112</v>
      </c>
      <c r="H126" s="2106" t="s">
        <v>223</v>
      </c>
      <c r="I126" s="2106" t="s">
        <v>930</v>
      </c>
      <c r="J126" s="2359" t="s">
        <v>272</v>
      </c>
      <c r="K126" s="2425"/>
      <c r="L126" s="2110">
        <v>120.95</v>
      </c>
      <c r="M126" s="2110">
        <v>120.21</v>
      </c>
      <c r="N126" s="2110">
        <v>122.66</v>
      </c>
      <c r="O126" s="2110">
        <v>138</v>
      </c>
      <c r="P126" s="2110">
        <v>180.99</v>
      </c>
      <c r="Q126" s="2110">
        <v>223.5</v>
      </c>
      <c r="R126" s="2110">
        <v>267.45999999999998</v>
      </c>
      <c r="S126" s="2110">
        <v>296.68</v>
      </c>
      <c r="T126" s="2110">
        <v>315.25</v>
      </c>
      <c r="U126" s="2110">
        <v>334.26</v>
      </c>
      <c r="V126" s="2110">
        <v>343.8</v>
      </c>
      <c r="W126" s="2110">
        <v>343.24</v>
      </c>
      <c r="X126" s="2110">
        <v>338.83</v>
      </c>
      <c r="Y126" s="2110">
        <v>355.25</v>
      </c>
      <c r="Z126" s="2110">
        <v>359.09</v>
      </c>
      <c r="AA126" s="2110">
        <v>362.37</v>
      </c>
      <c r="AB126" s="2110">
        <v>359.13</v>
      </c>
      <c r="AC126" s="2110">
        <v>360.13</v>
      </c>
      <c r="AD126" s="2110">
        <v>350</v>
      </c>
      <c r="AE126" s="2110">
        <v>349.33</v>
      </c>
      <c r="AF126" s="2110">
        <v>349.23</v>
      </c>
      <c r="AG126" s="2110">
        <v>348.66</v>
      </c>
      <c r="AH126" s="2110">
        <v>350.91</v>
      </c>
      <c r="AI126" s="2110">
        <v>350.18</v>
      </c>
      <c r="AJ126" s="2110">
        <v>350.52</v>
      </c>
      <c r="AK126" s="2110">
        <v>351.9</v>
      </c>
      <c r="AL126" s="2110">
        <v>354.69</v>
      </c>
      <c r="AM126" s="2110">
        <v>353.57</v>
      </c>
      <c r="AN126" s="2110">
        <v>353.72</v>
      </c>
      <c r="AO126" s="2110">
        <v>358.99</v>
      </c>
      <c r="AP126" s="2110">
        <v>360.97</v>
      </c>
      <c r="AQ126" s="2110">
        <v>362.72</v>
      </c>
      <c r="AR126" s="2110">
        <v>371.44</v>
      </c>
      <c r="AS126" s="2110">
        <v>372.23</v>
      </c>
      <c r="AT126" s="2110">
        <v>371.07</v>
      </c>
      <c r="AU126" s="2110">
        <v>371.7</v>
      </c>
      <c r="AV126" s="2110">
        <v>371.72</v>
      </c>
      <c r="AW126" s="2111">
        <v>372.47</v>
      </c>
      <c r="AX126" s="2111">
        <v>373.22</v>
      </c>
      <c r="AY126" s="2111">
        <v>377.02</v>
      </c>
      <c r="AZ126" s="2111">
        <v>377.33</v>
      </c>
      <c r="BA126" s="2111">
        <v>380.39</v>
      </c>
      <c r="BB126" s="2112" t="s">
        <v>482</v>
      </c>
      <c r="BC126" s="2112">
        <v>380.13</v>
      </c>
      <c r="BD126" s="2112">
        <v>382.13</v>
      </c>
      <c r="BE126" s="2111">
        <v>382.93</v>
      </c>
      <c r="BF126" s="2112">
        <v>388.63</v>
      </c>
      <c r="BG126" s="2112">
        <v>392.08</v>
      </c>
      <c r="BH126" s="2112">
        <v>389.83</v>
      </c>
      <c r="BI126" s="2108">
        <v>391</v>
      </c>
      <c r="BJ126" s="2108">
        <v>391.66</v>
      </c>
      <c r="BK126" s="2108">
        <v>398.16</v>
      </c>
      <c r="BL126" s="2108">
        <v>394.6</v>
      </c>
      <c r="BM126" s="2108">
        <v>397.73</v>
      </c>
      <c r="BN126" s="2108">
        <v>397.49</v>
      </c>
      <c r="BO126" s="2108">
        <v>399.93</v>
      </c>
      <c r="BP126" s="2108">
        <v>401.29</v>
      </c>
      <c r="BQ126" s="2108">
        <v>405.43</v>
      </c>
      <c r="BR126" s="2108">
        <v>406.87</v>
      </c>
      <c r="BS126" s="2108">
        <v>405.04</v>
      </c>
      <c r="BT126" s="2108">
        <v>404.56</v>
      </c>
      <c r="BU126" s="2108">
        <v>403.94</v>
      </c>
      <c r="BV126" s="2108">
        <v>403.3</v>
      </c>
      <c r="BW126" s="2108">
        <v>403.03</v>
      </c>
      <c r="BX126" s="2108">
        <v>406.22</v>
      </c>
      <c r="BY126" s="2108">
        <v>410.88</v>
      </c>
      <c r="BZ126" s="2108">
        <v>417.26</v>
      </c>
      <c r="CA126" s="2108">
        <v>436.88</v>
      </c>
      <c r="CB126" s="2108">
        <v>437.48</v>
      </c>
      <c r="CC126" s="2108">
        <v>432.41</v>
      </c>
      <c r="CD126" s="2108">
        <v>429.68</v>
      </c>
      <c r="CE126" s="2108">
        <v>434.55</v>
      </c>
      <c r="CF126" s="2108">
        <v>442.91</v>
      </c>
      <c r="CG126" s="2108">
        <v>438.98</v>
      </c>
      <c r="CH126" s="2108">
        <v>422.32</v>
      </c>
      <c r="CI126" s="2108">
        <v>419.27</v>
      </c>
      <c r="CJ126" s="2108">
        <v>432.29</v>
      </c>
      <c r="CK126" s="2108">
        <v>449.92</v>
      </c>
      <c r="CL126" s="2108">
        <v>461.76</v>
      </c>
      <c r="CM126" s="2108">
        <v>467.34</v>
      </c>
      <c r="CN126" s="2108">
        <v>466.03</v>
      </c>
      <c r="CO126" s="2108">
        <v>470.14</v>
      </c>
      <c r="CP126" s="2108">
        <v>475.03</v>
      </c>
      <c r="CQ126" s="2108">
        <v>479.57</v>
      </c>
      <c r="CR126" s="2108">
        <v>484.62</v>
      </c>
      <c r="CS126" s="2108">
        <v>487.27</v>
      </c>
      <c r="CT126" s="2108">
        <v>494.07</v>
      </c>
      <c r="CU126" s="2108">
        <v>499.58</v>
      </c>
      <c r="CV126" s="2108">
        <v>517.97</v>
      </c>
      <c r="CW126" s="2108">
        <v>534.30999999999995</v>
      </c>
      <c r="CX126" s="2108">
        <v>551.24</v>
      </c>
      <c r="CY126" s="2108">
        <v>568.07000000000005</v>
      </c>
      <c r="CZ126" s="2108">
        <v>569.07000000000005</v>
      </c>
      <c r="DA126" s="2108">
        <v>571.26</v>
      </c>
      <c r="DB126" s="2108">
        <v>585.61</v>
      </c>
      <c r="DC126" s="2108">
        <v>589.37</v>
      </c>
      <c r="DD126" s="2108">
        <v>594.92999999999995</v>
      </c>
      <c r="DE126" s="2108">
        <v>593.14</v>
      </c>
      <c r="DF126" s="2108">
        <v>593.13</v>
      </c>
      <c r="DG126" s="2108">
        <v>595.91999999999996</v>
      </c>
      <c r="DH126" s="2108">
        <v>621.74</v>
      </c>
      <c r="DI126" s="2108">
        <v>643.32000000000005</v>
      </c>
      <c r="DJ126" s="2108">
        <v>663.13</v>
      </c>
      <c r="DK126" s="2108">
        <v>686.18</v>
      </c>
      <c r="DL126" s="2108">
        <v>698.8</v>
      </c>
      <c r="DM126" s="2108">
        <v>705.11</v>
      </c>
      <c r="DN126" s="2108">
        <v>706.53</v>
      </c>
      <c r="DO126" s="2108">
        <v>707.65</v>
      </c>
      <c r="DP126" s="2108">
        <v>722.21</v>
      </c>
      <c r="DQ126" s="2108">
        <v>753.56</v>
      </c>
      <c r="DR126" s="2108">
        <v>758.48</v>
      </c>
      <c r="DS126" s="2108">
        <v>763.49</v>
      </c>
      <c r="DT126" s="2108">
        <v>798.27</v>
      </c>
      <c r="DU126" s="2108">
        <v>812.42</v>
      </c>
      <c r="DV126" s="2108">
        <v>821.38</v>
      </c>
      <c r="DW126" s="2108">
        <v>837.97</v>
      </c>
      <c r="DX126" s="2108">
        <v>854.9</v>
      </c>
      <c r="DY126" s="2108">
        <v>861.85</v>
      </c>
      <c r="DZ126" s="2108">
        <v>867.95</v>
      </c>
      <c r="EA126" s="2108">
        <v>865.79</v>
      </c>
      <c r="EB126" s="2108">
        <v>872.59</v>
      </c>
      <c r="EC126" s="2108">
        <v>894.2</v>
      </c>
      <c r="ED126" s="2108">
        <v>896.78</v>
      </c>
      <c r="EE126" s="2108">
        <v>905.65</v>
      </c>
      <c r="EF126" s="2108">
        <v>923.28</v>
      </c>
      <c r="EG126" s="2108">
        <v>942.85</v>
      </c>
      <c r="EH126" s="2108">
        <v>944.45</v>
      </c>
      <c r="EI126" s="2108">
        <v>958.86</v>
      </c>
      <c r="EJ126" s="2108">
        <v>961.74</v>
      </c>
      <c r="EK126" s="2108">
        <v>959.66</v>
      </c>
      <c r="EL126" s="2108">
        <v>961.73</v>
      </c>
      <c r="EM126" s="2108">
        <v>974.78</v>
      </c>
      <c r="EN126" s="2108">
        <v>974.88</v>
      </c>
      <c r="EO126" s="2108">
        <v>980.71</v>
      </c>
      <c r="EP126" s="2108">
        <v>987.36</v>
      </c>
      <c r="EQ126" s="2108">
        <v>1002.04</v>
      </c>
      <c r="ER126" s="2108">
        <v>1020.85</v>
      </c>
      <c r="ES126" s="2108">
        <v>1046.71</v>
      </c>
      <c r="ET126" s="2108">
        <v>1055.5899999999999</v>
      </c>
      <c r="EU126" s="2108">
        <v>1070.83</v>
      </c>
      <c r="EV126" s="2108">
        <v>1081.77</v>
      </c>
      <c r="EW126" s="2108">
        <v>1087.6300000000001</v>
      </c>
      <c r="EX126" s="2108">
        <v>1091.3900000000001</v>
      </c>
      <c r="EY126" s="2108">
        <v>1095.04</v>
      </c>
      <c r="EZ126" s="2108">
        <v>1106.02</v>
      </c>
      <c r="FA126" s="2108">
        <v>1161.67</v>
      </c>
      <c r="FB126" s="2108">
        <v>1204.6500000000001</v>
      </c>
      <c r="FC126" s="2108">
        <v>1252.57</v>
      </c>
      <c r="FD126" s="2108">
        <v>1321.03</v>
      </c>
      <c r="FE126" s="2108">
        <v>1354.13</v>
      </c>
      <c r="FF126" s="2108">
        <v>1362.29</v>
      </c>
      <c r="FG126" s="2108">
        <v>1414.28</v>
      </c>
      <c r="FH126" s="2108">
        <v>1421.27</v>
      </c>
      <c r="FI126" s="2108">
        <v>1451.45</v>
      </c>
      <c r="FJ126" s="2108">
        <v>1459.54</v>
      </c>
      <c r="FK126" s="2108">
        <v>1463.38</v>
      </c>
      <c r="FL126" s="2108">
        <v>1466.24</v>
      </c>
      <c r="FM126" s="2108">
        <v>1414.14</v>
      </c>
      <c r="FN126" s="2108">
        <v>1419.21</v>
      </c>
      <c r="FO126" s="2108">
        <v>1429.36</v>
      </c>
      <c r="FP126" s="2108">
        <v>1432.47</v>
      </c>
      <c r="FQ126" s="2108">
        <v>1447.16</v>
      </c>
      <c r="FR126" s="2108">
        <v>1470.19</v>
      </c>
      <c r="FS126" s="2108">
        <v>1491.27</v>
      </c>
      <c r="FT126" s="2108">
        <v>1512.11</v>
      </c>
      <c r="FU126" s="2108">
        <v>1517.54</v>
      </c>
      <c r="FV126" s="2108">
        <v>1516.36</v>
      </c>
      <c r="FW126" s="2113">
        <v>1548.8905327463531</v>
      </c>
      <c r="FX126" s="2113">
        <v>1581.735969104644</v>
      </c>
      <c r="FY126" s="2113">
        <v>100</v>
      </c>
      <c r="FZ126" s="2113">
        <v>100.26445388793945</v>
      </c>
      <c r="GA126" s="2113">
        <v>107.60696609829665</v>
      </c>
      <c r="GB126" s="2113">
        <v>111.930148740818</v>
      </c>
      <c r="GC126" s="2113">
        <v>119.25235574029365</v>
      </c>
      <c r="GD126" s="2113">
        <v>120.37686887093091</v>
      </c>
      <c r="GE126" s="2113">
        <v>120.37686887093091</v>
      </c>
      <c r="GF126" s="2114">
        <v>120.37686887093091</v>
      </c>
      <c r="GG126" s="1960">
        <v>120.37686887093091</v>
      </c>
      <c r="GH126" s="2114">
        <v>122.33214805966848</v>
      </c>
      <c r="GI126" s="2114">
        <v>122.33214805966848</v>
      </c>
      <c r="GJ126" s="2113">
        <v>122.33214805966848</v>
      </c>
      <c r="GK126" s="2113">
        <v>126.54245766031438</v>
      </c>
      <c r="GL126" s="2113">
        <v>130.89132282589276</v>
      </c>
      <c r="GM126" s="2114">
        <v>131.48278764139471</v>
      </c>
      <c r="GN126" s="2114">
        <v>131.9892292764647</v>
      </c>
      <c r="GO126" s="2115">
        <v>130.803654455068</v>
      </c>
      <c r="GP126" s="2116">
        <v>131.41839330962367</v>
      </c>
      <c r="GQ126" s="2116">
        <v>138.30910275372747</v>
      </c>
      <c r="GR126" s="2116">
        <v>140.37717520001448</v>
      </c>
      <c r="GS126" s="2116">
        <v>140.37717520001448</v>
      </c>
      <c r="GT126" s="1960">
        <v>143.30724430259639</v>
      </c>
      <c r="GU126" s="1960">
        <v>149.58721029068016</v>
      </c>
      <c r="GV126" s="1960">
        <v>155.40722535552064</v>
      </c>
      <c r="GW126" s="1960">
        <v>155.40722535552064</v>
      </c>
      <c r="GX126" s="1960">
        <v>164.9836033793685</v>
      </c>
      <c r="GY126" s="1960">
        <v>168.17417624416538</v>
      </c>
      <c r="GZ126" s="1960">
        <v>169.66702486217753</v>
      </c>
      <c r="HA126" s="1960">
        <v>171.2933074112093</v>
      </c>
      <c r="HB126" s="1960">
        <v>179.05632593169975</v>
      </c>
      <c r="HC126" s="1960">
        <v>202.45251874197589</v>
      </c>
      <c r="HD126" s="1960">
        <v>186.39207835807363</v>
      </c>
      <c r="HE126" s="1960">
        <v>214.58693879275864</v>
      </c>
      <c r="HF126" s="1960">
        <v>227.52093575172324</v>
      </c>
      <c r="HG126" s="1960">
        <v>231.30786480212694</v>
      </c>
      <c r="HH126" s="2117">
        <v>233.91801428421405</v>
      </c>
      <c r="HI126" s="1960">
        <v>228.22231587243039</v>
      </c>
      <c r="HJ126" s="1960">
        <v>236.87661684661489</v>
      </c>
      <c r="HK126" s="1960">
        <v>239.0055871277111</v>
      </c>
      <c r="HL126" s="1960">
        <v>249.44614328466267</v>
      </c>
      <c r="HM126" s="1960">
        <v>263.1027204915444</v>
      </c>
      <c r="HN126" s="1960">
        <v>266.47716568319589</v>
      </c>
      <c r="HO126" s="1960">
        <v>270.29996310309076</v>
      </c>
      <c r="HP126" s="1960">
        <v>274.7497181952383</v>
      </c>
      <c r="HQ126" s="1960">
        <v>295.29519200141004</v>
      </c>
      <c r="HR126" s="1960">
        <v>295.26828448391882</v>
      </c>
      <c r="HS126" s="1960">
        <v>332.94572689225026</v>
      </c>
      <c r="HT126" s="1962">
        <v>350.25475840988645</v>
      </c>
      <c r="HU126" s="1961">
        <v>350.124032190945</v>
      </c>
      <c r="HV126" s="1960">
        <v>350.124032190945</v>
      </c>
      <c r="HW126" s="1960">
        <v>350.33522047829251</v>
      </c>
      <c r="HX126" s="1960">
        <v>350.33522047829251</v>
      </c>
      <c r="HY126" s="1960">
        <v>350.27199419696603</v>
      </c>
      <c r="HZ126" s="1960">
        <v>350.13222364402537</v>
      </c>
      <c r="IA126" s="1960">
        <v>355.34132701744664</v>
      </c>
      <c r="IB126" s="1960">
        <v>362.64917100845872</v>
      </c>
      <c r="IC126" s="1960">
        <v>372.6190763835034</v>
      </c>
      <c r="ID126" s="1960">
        <v>380.08169676130672</v>
      </c>
      <c r="IE126" s="1960">
        <v>383.25353492848058</v>
      </c>
      <c r="IF126" s="1960">
        <v>403.66659362396729</v>
      </c>
      <c r="IG126" s="1961">
        <v>408.45677053497172</v>
      </c>
      <c r="IH126" s="1960">
        <v>449.59674284743147</v>
      </c>
      <c r="II126" s="1960">
        <v>493.56230178979769</v>
      </c>
      <c r="IJ126" s="1961">
        <v>564.35503624088392</v>
      </c>
      <c r="IK126" s="1960">
        <v>608.14686169101299</v>
      </c>
      <c r="IL126" s="1960">
        <v>629.53118521383624</v>
      </c>
      <c r="IM126" s="1960">
        <v>629.51661728517479</v>
      </c>
      <c r="IN126" s="1960">
        <v>646.13982629542249</v>
      </c>
      <c r="IO126" s="1960">
        <v>641.6943842905099</v>
      </c>
      <c r="IP126" s="1960">
        <v>647.70360489975303</v>
      </c>
      <c r="IQ126" s="1960">
        <v>647.74851234969265</v>
      </c>
      <c r="IR126" s="1960">
        <v>649.15315611569065</v>
      </c>
      <c r="IS126" s="2274">
        <v>649.83869671421155</v>
      </c>
      <c r="IT126" s="1960">
        <v>701.29131615479764</v>
      </c>
      <c r="IU126" s="1960">
        <v>750.08496491304493</v>
      </c>
      <c r="IV126" s="1960">
        <v>780.49597539172987</v>
      </c>
      <c r="IW126" s="1960">
        <v>866.45851060561768</v>
      </c>
      <c r="IX126" s="1960">
        <v>963.13087650954117</v>
      </c>
      <c r="IY126" s="1960">
        <v>969.29863741491806</v>
      </c>
      <c r="IZ126" s="1960">
        <v>997.24185079785377</v>
      </c>
      <c r="JA126" s="1960">
        <v>1008.0205132578392</v>
      </c>
      <c r="JB126" s="1960">
        <v>1046.8729174820924</v>
      </c>
      <c r="JC126" s="1960">
        <v>1164.2993256338789</v>
      </c>
      <c r="JD126" s="1960">
        <v>1230.4228934078174</v>
      </c>
      <c r="JE126" s="2274">
        <v>1251.3903626945287</v>
      </c>
      <c r="JF126" s="2117">
        <v>1311.9576112739835</v>
      </c>
      <c r="JG126" s="2103">
        <f t="shared" si="13"/>
        <v>1.0483999640600075</v>
      </c>
      <c r="JI126" s="2155"/>
      <c r="JJ126" s="2104"/>
    </row>
    <row r="127" spans="2:270">
      <c r="B127" s="2105">
        <v>107</v>
      </c>
      <c r="C127" s="2106" t="s">
        <v>273</v>
      </c>
      <c r="D127" s="2425" t="s">
        <v>1232</v>
      </c>
      <c r="E127" s="2128" t="s">
        <v>746</v>
      </c>
      <c r="F127" s="2106" t="s">
        <v>918</v>
      </c>
      <c r="G127" s="2425" t="s">
        <v>1112</v>
      </c>
      <c r="H127" s="2106" t="s">
        <v>929</v>
      </c>
      <c r="I127" s="2106" t="s">
        <v>930</v>
      </c>
      <c r="J127" s="2359" t="s">
        <v>47</v>
      </c>
      <c r="K127" s="2425"/>
      <c r="L127" s="2110">
        <v>105.4</v>
      </c>
      <c r="M127" s="2110">
        <v>113.2</v>
      </c>
      <c r="N127" s="2110">
        <v>133.9</v>
      </c>
      <c r="O127" s="2110">
        <v>140.80000000000001</v>
      </c>
      <c r="P127" s="2110">
        <v>153.69999999999999</v>
      </c>
      <c r="Q127" s="2110">
        <v>160</v>
      </c>
      <c r="R127" s="2110">
        <v>165.5</v>
      </c>
      <c r="S127" s="2110">
        <v>165.5</v>
      </c>
      <c r="T127" s="2110">
        <v>158.69999999999999</v>
      </c>
      <c r="U127" s="2110">
        <v>166.1</v>
      </c>
      <c r="V127" s="2110">
        <v>170.4</v>
      </c>
      <c r="W127" s="2110">
        <v>178.5</v>
      </c>
      <c r="X127" s="2110">
        <v>178.5</v>
      </c>
      <c r="Y127" s="2110">
        <v>178.5</v>
      </c>
      <c r="Z127" s="2110">
        <v>178.5</v>
      </c>
      <c r="AA127" s="2110">
        <v>178.5</v>
      </c>
      <c r="AB127" s="2110">
        <v>178.5</v>
      </c>
      <c r="AC127" s="2110">
        <v>177.7</v>
      </c>
      <c r="AD127" s="2110">
        <v>177.7</v>
      </c>
      <c r="AE127" s="2110">
        <v>177.7</v>
      </c>
      <c r="AF127" s="2110">
        <v>178.9</v>
      </c>
      <c r="AG127" s="2110">
        <v>181.6</v>
      </c>
      <c r="AH127" s="2110">
        <v>181.6</v>
      </c>
      <c r="AI127" s="2110">
        <v>184.9</v>
      </c>
      <c r="AJ127" s="2110">
        <v>186.3</v>
      </c>
      <c r="AK127" s="2110">
        <v>188.4</v>
      </c>
      <c r="AL127" s="2110">
        <v>188.4</v>
      </c>
      <c r="AM127" s="2110">
        <v>192.7</v>
      </c>
      <c r="AN127" s="2110">
        <v>197.4</v>
      </c>
      <c r="AO127" s="2110">
        <v>197.4</v>
      </c>
      <c r="AP127" s="2110">
        <v>197.4</v>
      </c>
      <c r="AQ127" s="2110">
        <v>207.3</v>
      </c>
      <c r="AR127" s="2110">
        <v>209.3</v>
      </c>
      <c r="AS127" s="2110">
        <v>209.3</v>
      </c>
      <c r="AT127" s="2110">
        <v>213.8</v>
      </c>
      <c r="AU127" s="2110">
        <v>215.4</v>
      </c>
      <c r="AV127" s="2110">
        <v>215.4</v>
      </c>
      <c r="AW127" s="2111">
        <v>219</v>
      </c>
      <c r="AX127" s="2111">
        <v>219</v>
      </c>
      <c r="AY127" s="2111">
        <v>219</v>
      </c>
      <c r="AZ127" s="2111">
        <v>219</v>
      </c>
      <c r="BA127" s="2111">
        <v>223.5</v>
      </c>
      <c r="BB127" s="2111">
        <v>223.5</v>
      </c>
      <c r="BC127" s="2111">
        <v>223.5</v>
      </c>
      <c r="BD127" s="2112">
        <v>223.5</v>
      </c>
      <c r="BE127" s="2111">
        <v>223.5</v>
      </c>
      <c r="BF127" s="2112">
        <v>223.5</v>
      </c>
      <c r="BG127" s="2112">
        <v>221.5</v>
      </c>
      <c r="BH127" s="2112">
        <v>226.3</v>
      </c>
      <c r="BI127" s="2108">
        <v>226.3</v>
      </c>
      <c r="BJ127" s="2108">
        <v>226.3</v>
      </c>
      <c r="BK127" s="2108">
        <v>237.2</v>
      </c>
      <c r="BL127" s="2108">
        <v>237.2</v>
      </c>
      <c r="BM127" s="2108">
        <v>237.2</v>
      </c>
      <c r="BN127" s="2108">
        <v>237.2</v>
      </c>
      <c r="BO127" s="2108">
        <v>244.6</v>
      </c>
      <c r="BP127" s="2108">
        <v>244.6</v>
      </c>
      <c r="BQ127" s="2108">
        <v>244.6</v>
      </c>
      <c r="BR127" s="2108">
        <v>261.60000000000002</v>
      </c>
      <c r="BS127" s="2108">
        <v>261.60000000000002</v>
      </c>
      <c r="BT127" s="2108">
        <v>270.7</v>
      </c>
      <c r="BU127" s="2108">
        <v>279</v>
      </c>
      <c r="BV127" s="2108">
        <v>279</v>
      </c>
      <c r="BW127" s="2108">
        <v>279</v>
      </c>
      <c r="BX127" s="2108">
        <v>281.2</v>
      </c>
      <c r="BY127" s="2108">
        <v>281.2</v>
      </c>
      <c r="BZ127" s="2108">
        <v>281.2</v>
      </c>
      <c r="CA127" s="2108">
        <v>295.60000000000002</v>
      </c>
      <c r="CB127" s="2108">
        <v>295.60000000000002</v>
      </c>
      <c r="CC127" s="2108">
        <v>312.2</v>
      </c>
      <c r="CD127" s="2108">
        <v>315.10000000000002</v>
      </c>
      <c r="CE127" s="2108">
        <v>319</v>
      </c>
      <c r="CF127" s="2108">
        <v>322</v>
      </c>
      <c r="CG127" s="2108">
        <v>326.3</v>
      </c>
      <c r="CH127" s="2108">
        <v>331.1</v>
      </c>
      <c r="CI127" s="2108">
        <v>346.1</v>
      </c>
      <c r="CJ127" s="2108">
        <v>348.1</v>
      </c>
      <c r="CK127" s="2108">
        <v>359.7</v>
      </c>
      <c r="CL127" s="2108">
        <v>359.7</v>
      </c>
      <c r="CM127" s="2108">
        <v>376.6</v>
      </c>
      <c r="CN127" s="2108">
        <v>376.6</v>
      </c>
      <c r="CO127" s="2108">
        <v>382.2</v>
      </c>
      <c r="CP127" s="2108">
        <v>382.2</v>
      </c>
      <c r="CQ127" s="2108">
        <v>386</v>
      </c>
      <c r="CR127" s="2108">
        <v>386</v>
      </c>
      <c r="CS127" s="2108">
        <v>386</v>
      </c>
      <c r="CT127" s="2108">
        <v>386</v>
      </c>
      <c r="CU127" s="2108">
        <v>386</v>
      </c>
      <c r="CV127" s="2108">
        <v>383.3</v>
      </c>
      <c r="CW127" s="2108">
        <v>404.4</v>
      </c>
      <c r="CX127" s="2108">
        <v>404.4</v>
      </c>
      <c r="CY127" s="2108">
        <v>404.4</v>
      </c>
      <c r="CZ127" s="2108">
        <v>411.7</v>
      </c>
      <c r="DA127" s="2108">
        <v>416.5</v>
      </c>
      <c r="DB127" s="2108">
        <v>416.5</v>
      </c>
      <c r="DC127" s="2108">
        <v>416.5</v>
      </c>
      <c r="DD127" s="2108">
        <v>416.5</v>
      </c>
      <c r="DE127" s="2108">
        <v>416.5</v>
      </c>
      <c r="DF127" s="2108">
        <v>419.4</v>
      </c>
      <c r="DG127" s="2108">
        <v>423.8</v>
      </c>
      <c r="DH127" s="2108">
        <v>432.3</v>
      </c>
      <c r="DI127" s="2108">
        <v>436.9</v>
      </c>
      <c r="DJ127" s="2108">
        <v>442.2</v>
      </c>
      <c r="DK127" s="2108">
        <v>442.2</v>
      </c>
      <c r="DL127" s="2108">
        <v>445.3</v>
      </c>
      <c r="DM127" s="2108">
        <v>453.3</v>
      </c>
      <c r="DN127" s="2108">
        <v>453.3</v>
      </c>
      <c r="DO127" s="2108">
        <v>453.3</v>
      </c>
      <c r="DP127" s="2108">
        <v>453.3</v>
      </c>
      <c r="DQ127" s="2108">
        <v>456.8</v>
      </c>
      <c r="DR127" s="2108">
        <v>460.1</v>
      </c>
      <c r="DS127" s="2108">
        <v>465</v>
      </c>
      <c r="DT127" s="2108">
        <v>465</v>
      </c>
      <c r="DU127" s="2108">
        <v>465</v>
      </c>
      <c r="DV127" s="2108">
        <v>465</v>
      </c>
      <c r="DW127" s="2108">
        <v>481</v>
      </c>
      <c r="DX127" s="2108">
        <v>474.1</v>
      </c>
      <c r="DY127" s="2108">
        <v>488.2</v>
      </c>
      <c r="DZ127" s="2108">
        <v>506.3</v>
      </c>
      <c r="EA127" s="2108">
        <v>506.3</v>
      </c>
      <c r="EB127" s="2108">
        <v>511.1</v>
      </c>
      <c r="EC127" s="2108">
        <v>525.1</v>
      </c>
      <c r="ED127" s="2108">
        <v>525.1</v>
      </c>
      <c r="EE127" s="2108">
        <v>525.1</v>
      </c>
      <c r="EF127" s="2108">
        <v>530.70000000000005</v>
      </c>
      <c r="EG127" s="2108">
        <v>537.5</v>
      </c>
      <c r="EH127" s="2108">
        <v>554.20000000000005</v>
      </c>
      <c r="EI127" s="2108">
        <v>568.6</v>
      </c>
      <c r="EJ127" s="2108">
        <v>571.6</v>
      </c>
      <c r="EK127" s="2108">
        <v>576.79999999999995</v>
      </c>
      <c r="EL127" s="2108">
        <v>586.70000000000005</v>
      </c>
      <c r="EM127" s="2108">
        <v>586.70000000000005</v>
      </c>
      <c r="EN127" s="2108">
        <v>593.6</v>
      </c>
      <c r="EO127" s="2108">
        <v>593.6</v>
      </c>
      <c r="EP127" s="2108">
        <v>593.6</v>
      </c>
      <c r="EQ127" s="2108">
        <v>598.9</v>
      </c>
      <c r="ER127" s="2108">
        <v>596.4</v>
      </c>
      <c r="ES127" s="2108">
        <v>604.29999999999995</v>
      </c>
      <c r="ET127" s="2108">
        <v>617</v>
      </c>
      <c r="EU127" s="2108">
        <v>638.4</v>
      </c>
      <c r="EV127" s="2108">
        <v>640.20000000000005</v>
      </c>
      <c r="EW127" s="2108">
        <v>652.5</v>
      </c>
      <c r="EX127" s="2108">
        <v>658.3</v>
      </c>
      <c r="EY127" s="2108">
        <v>674.4</v>
      </c>
      <c r="EZ127" s="2108">
        <v>689.6</v>
      </c>
      <c r="FA127" s="2108">
        <v>713.5</v>
      </c>
      <c r="FB127" s="2108">
        <v>804.7</v>
      </c>
      <c r="FC127" s="2108">
        <v>853.3</v>
      </c>
      <c r="FD127" s="2108">
        <v>867</v>
      </c>
      <c r="FE127" s="2108">
        <v>903.3</v>
      </c>
      <c r="FF127" s="2108">
        <v>903.3</v>
      </c>
      <c r="FG127" s="2108">
        <v>915.3</v>
      </c>
      <c r="FH127" s="2108">
        <v>915.3</v>
      </c>
      <c r="FI127" s="2108">
        <v>921.4</v>
      </c>
      <c r="FJ127" s="2108">
        <v>939.8</v>
      </c>
      <c r="FK127" s="2108">
        <v>951.2</v>
      </c>
      <c r="FL127" s="2108">
        <v>951.2</v>
      </c>
      <c r="FM127" s="2108">
        <v>980.6</v>
      </c>
      <c r="FN127" s="2108">
        <v>992</v>
      </c>
      <c r="FO127" s="2108">
        <v>992.3</v>
      </c>
      <c r="FP127" s="2108">
        <v>1000.1</v>
      </c>
      <c r="FQ127" s="2108">
        <v>1024.8</v>
      </c>
      <c r="FR127" s="2108">
        <v>1031.3</v>
      </c>
      <c r="FS127" s="2108">
        <v>1047.5999999999999</v>
      </c>
      <c r="FT127" s="2108">
        <v>1087.3</v>
      </c>
      <c r="FU127" s="2108">
        <v>1099.0999999999999</v>
      </c>
      <c r="FV127" s="2108">
        <v>1114.8</v>
      </c>
      <c r="FW127" s="2113">
        <v>1370.4109956591199</v>
      </c>
      <c r="FX127" s="2113">
        <v>1402.9846501719387</v>
      </c>
      <c r="FY127" s="2113">
        <v>100</v>
      </c>
      <c r="FZ127" s="2113">
        <v>97.125422954559326</v>
      </c>
      <c r="GA127" s="2113">
        <v>100.71539913322169</v>
      </c>
      <c r="GB127" s="2113">
        <v>106.56406882759295</v>
      </c>
      <c r="GC127" s="2113">
        <v>106.56406882759295</v>
      </c>
      <c r="GD127" s="2113">
        <v>107.43554932229607</v>
      </c>
      <c r="GE127" s="2113">
        <v>107.43554932229607</v>
      </c>
      <c r="GF127" s="2114">
        <v>105.53741551291917</v>
      </c>
      <c r="GG127" s="1960">
        <v>105.90421574357474</v>
      </c>
      <c r="GH127" s="2114">
        <v>105.90421574357474</v>
      </c>
      <c r="GI127" s="2114">
        <v>105.68374313695897</v>
      </c>
      <c r="GJ127" s="2113">
        <v>107.04949438657096</v>
      </c>
      <c r="GK127" s="2113">
        <v>108.90054562889398</v>
      </c>
      <c r="GL127" s="2113">
        <v>110.11996678339462</v>
      </c>
      <c r="GM127" s="2114">
        <v>110.11996678339462</v>
      </c>
      <c r="GN127" s="2114">
        <v>110.11996678339462</v>
      </c>
      <c r="GO127" s="2115">
        <v>110.11996678339462</v>
      </c>
      <c r="GP127" s="2116">
        <v>112.6783376366338</v>
      </c>
      <c r="GQ127" s="2116">
        <v>114.59038589631668</v>
      </c>
      <c r="GR127" s="2116">
        <v>119.52842550880774</v>
      </c>
      <c r="GS127" s="2116">
        <v>121.65327827646306</v>
      </c>
      <c r="GT127" s="1960">
        <v>122.30362947469618</v>
      </c>
      <c r="GU127" s="1960">
        <v>122.30362947469618</v>
      </c>
      <c r="GV127" s="1960">
        <v>122.30362947469618</v>
      </c>
      <c r="GW127" s="1960">
        <v>125.24323813033686</v>
      </c>
      <c r="GX127" s="1960">
        <v>129.90928558382183</v>
      </c>
      <c r="GY127" s="1960">
        <v>129.90928558382183</v>
      </c>
      <c r="GZ127" s="1960">
        <v>130.62718833381433</v>
      </c>
      <c r="HA127" s="1960">
        <v>132.03998684769911</v>
      </c>
      <c r="HB127" s="1960">
        <v>146.98128733943767</v>
      </c>
      <c r="HC127" s="1960">
        <v>141.11039922487049</v>
      </c>
      <c r="HD127" s="1960">
        <v>152.38028311914078</v>
      </c>
      <c r="HE127" s="1960">
        <v>151.42849462774328</v>
      </c>
      <c r="HF127" s="1960">
        <v>154.71405137905211</v>
      </c>
      <c r="HG127" s="1960">
        <v>156.58378500238953</v>
      </c>
      <c r="HH127" s="2117">
        <v>162.1885737273073</v>
      </c>
      <c r="HI127" s="1960">
        <v>156.58378500238953</v>
      </c>
      <c r="HJ127" s="1960">
        <v>167.2999712023497</v>
      </c>
      <c r="HK127" s="1960">
        <v>175.2085183388954</v>
      </c>
      <c r="HL127" s="1960">
        <v>175.2085183388954</v>
      </c>
      <c r="HM127" s="1960">
        <v>175.2085183388954</v>
      </c>
      <c r="HN127" s="1960">
        <v>178.07262347165647</v>
      </c>
      <c r="HO127" s="1960">
        <v>178.07262347165647</v>
      </c>
      <c r="HP127" s="1960">
        <v>198.51031184805655</v>
      </c>
      <c r="HQ127" s="1960">
        <v>227.92443853745476</v>
      </c>
      <c r="HR127" s="1960">
        <v>227.92443853745476</v>
      </c>
      <c r="HS127" s="1960">
        <v>227.92443853745476</v>
      </c>
      <c r="HT127" s="1962">
        <v>227.92443853745476</v>
      </c>
      <c r="HU127" s="1961">
        <v>239.29284784217529</v>
      </c>
      <c r="HV127" s="1960">
        <v>244.01930134573109</v>
      </c>
      <c r="HW127" s="1960">
        <v>244.01930134573109</v>
      </c>
      <c r="HX127" s="1960">
        <v>244.01930134573109</v>
      </c>
      <c r="HY127" s="1960">
        <v>244.01930134573109</v>
      </c>
      <c r="HZ127" s="1960">
        <v>244.01930134573109</v>
      </c>
      <c r="IA127" s="1960">
        <v>244.01930134573109</v>
      </c>
      <c r="IB127" s="1960">
        <v>275.13563719350913</v>
      </c>
      <c r="IC127" s="1960">
        <v>288.41551018878715</v>
      </c>
      <c r="ID127" s="1960">
        <v>310.73047743483789</v>
      </c>
      <c r="IE127" s="1960">
        <v>310.73047743483789</v>
      </c>
      <c r="IF127" s="1960">
        <v>312.74488859251863</v>
      </c>
      <c r="IG127" s="1961">
        <v>312.74488859251863</v>
      </c>
      <c r="IH127" s="1960">
        <v>347.5335855533437</v>
      </c>
      <c r="II127" s="1960">
        <v>353.33864083067436</v>
      </c>
      <c r="IJ127" s="1961">
        <v>359.24243321520368</v>
      </c>
      <c r="IK127" s="1960">
        <v>365.22351996568403</v>
      </c>
      <c r="IL127" s="1960">
        <v>381.26449513133042</v>
      </c>
      <c r="IM127" s="1960">
        <v>392.21476100575359</v>
      </c>
      <c r="IN127" s="1960">
        <v>398.28277595724751</v>
      </c>
      <c r="IO127" s="1960">
        <v>399.55728084031074</v>
      </c>
      <c r="IP127" s="1960">
        <v>423.47159671387743</v>
      </c>
      <c r="IQ127" s="1960">
        <v>423.45719867958917</v>
      </c>
      <c r="IR127" s="1960">
        <v>458.19716314335045</v>
      </c>
      <c r="IS127" s="2274">
        <v>466.48596797366559</v>
      </c>
      <c r="IT127" s="1960">
        <v>492.09671099410536</v>
      </c>
      <c r="IU127" s="1960">
        <v>521.59687411455343</v>
      </c>
      <c r="IV127" s="1960">
        <v>556.25373621072333</v>
      </c>
      <c r="IW127" s="1960">
        <v>593.44987926955378</v>
      </c>
      <c r="IX127" s="1960">
        <v>614.03937850370392</v>
      </c>
      <c r="IY127" s="1960">
        <v>692.70354360016825</v>
      </c>
      <c r="IZ127" s="1960">
        <v>757.23959580009398</v>
      </c>
      <c r="JA127" s="1960">
        <v>766.68464270789775</v>
      </c>
      <c r="JB127" s="1960">
        <v>807.37819293247196</v>
      </c>
      <c r="JC127" s="1960">
        <v>836.67264097194391</v>
      </c>
      <c r="JD127" s="1960">
        <v>1030.380728567369</v>
      </c>
      <c r="JE127" s="2274">
        <v>1129.4508349839496</v>
      </c>
      <c r="JF127" s="2117">
        <v>1146.3926161947761</v>
      </c>
      <c r="JG127" s="2103">
        <f t="shared" si="13"/>
        <v>1.0150000165443831</v>
      </c>
      <c r="JI127" s="2155"/>
      <c r="JJ127" s="2104"/>
    </row>
    <row r="128" spans="2:270">
      <c r="B128" s="2105">
        <v>108</v>
      </c>
      <c r="C128" s="2106" t="s">
        <v>274</v>
      </c>
      <c r="D128" s="2425" t="s">
        <v>1201</v>
      </c>
      <c r="E128" s="2128" t="s">
        <v>275</v>
      </c>
      <c r="F128" s="2106" t="s">
        <v>918</v>
      </c>
      <c r="G128" s="2425" t="s">
        <v>1112</v>
      </c>
      <c r="H128" s="2106" t="s">
        <v>929</v>
      </c>
      <c r="I128" s="2106" t="s">
        <v>930</v>
      </c>
      <c r="J128" s="2359" t="s">
        <v>421</v>
      </c>
      <c r="K128" s="2425"/>
      <c r="L128" s="2110">
        <v>97.7</v>
      </c>
      <c r="M128" s="2110">
        <v>104.5</v>
      </c>
      <c r="N128" s="2110">
        <v>115.8</v>
      </c>
      <c r="O128" s="2110">
        <v>137</v>
      </c>
      <c r="P128" s="2110">
        <v>147.30000000000001</v>
      </c>
      <c r="Q128" s="2110">
        <v>156.4</v>
      </c>
      <c r="R128" s="2110">
        <v>159.30000000000001</v>
      </c>
      <c r="S128" s="2110">
        <v>159.30000000000001</v>
      </c>
      <c r="T128" s="2110">
        <v>157</v>
      </c>
      <c r="U128" s="2110">
        <v>163</v>
      </c>
      <c r="V128" s="2110">
        <v>167.4</v>
      </c>
      <c r="W128" s="2110">
        <v>170</v>
      </c>
      <c r="X128" s="2110">
        <v>170</v>
      </c>
      <c r="Y128" s="2110">
        <v>170</v>
      </c>
      <c r="Z128" s="2110">
        <v>170</v>
      </c>
      <c r="AA128" s="2110">
        <v>171</v>
      </c>
      <c r="AB128" s="2110">
        <v>171</v>
      </c>
      <c r="AC128" s="2110">
        <v>171.4</v>
      </c>
      <c r="AD128" s="2110">
        <v>171.4</v>
      </c>
      <c r="AE128" s="2110">
        <v>171.4</v>
      </c>
      <c r="AF128" s="2110">
        <v>172.8</v>
      </c>
      <c r="AG128" s="2110">
        <v>171.9</v>
      </c>
      <c r="AH128" s="2110">
        <v>171.9</v>
      </c>
      <c r="AI128" s="2110">
        <v>174.6</v>
      </c>
      <c r="AJ128" s="2110">
        <v>179.5</v>
      </c>
      <c r="AK128" s="2110">
        <v>181.2</v>
      </c>
      <c r="AL128" s="2110">
        <v>186.3</v>
      </c>
      <c r="AM128" s="2110">
        <v>196.3</v>
      </c>
      <c r="AN128" s="2110">
        <v>197.6</v>
      </c>
      <c r="AO128" s="2110">
        <v>201</v>
      </c>
      <c r="AP128" s="2110">
        <v>204.7</v>
      </c>
      <c r="AQ128" s="2110">
        <v>204.7</v>
      </c>
      <c r="AR128" s="2110">
        <v>209.7</v>
      </c>
      <c r="AS128" s="2110">
        <v>209.4</v>
      </c>
      <c r="AT128" s="2110">
        <v>211.1</v>
      </c>
      <c r="AU128" s="2110">
        <v>216.3</v>
      </c>
      <c r="AV128" s="2110">
        <v>215.4</v>
      </c>
      <c r="AW128" s="2111">
        <v>224.6</v>
      </c>
      <c r="AX128" s="2111">
        <v>224.6</v>
      </c>
      <c r="AY128" s="2111">
        <v>224.6</v>
      </c>
      <c r="AZ128" s="2111">
        <v>229.7</v>
      </c>
      <c r="BA128" s="2111">
        <v>229.7</v>
      </c>
      <c r="BB128" s="2111">
        <v>229.7</v>
      </c>
      <c r="BC128" s="2111">
        <v>229.7</v>
      </c>
      <c r="BD128" s="2112">
        <v>229.7</v>
      </c>
      <c r="BE128" s="2111">
        <v>231.8</v>
      </c>
      <c r="BF128" s="2112">
        <v>231.8</v>
      </c>
      <c r="BG128" s="2112">
        <v>240.1</v>
      </c>
      <c r="BH128" s="2112">
        <v>242.5</v>
      </c>
      <c r="BI128" s="2108">
        <v>242.5</v>
      </c>
      <c r="BJ128" s="2108">
        <v>244.5</v>
      </c>
      <c r="BK128" s="2108">
        <v>250.9</v>
      </c>
      <c r="BL128" s="2108">
        <v>250.9</v>
      </c>
      <c r="BM128" s="2108">
        <v>250.9</v>
      </c>
      <c r="BN128" s="2108">
        <v>250.9</v>
      </c>
      <c r="BO128" s="2108">
        <v>255</v>
      </c>
      <c r="BP128" s="2108">
        <v>255</v>
      </c>
      <c r="BQ128" s="2108">
        <v>255</v>
      </c>
      <c r="BR128" s="2108">
        <v>260.10000000000002</v>
      </c>
      <c r="BS128" s="2108">
        <v>260.10000000000002</v>
      </c>
      <c r="BT128" s="2108">
        <v>259.8</v>
      </c>
      <c r="BU128" s="2108">
        <v>266.3</v>
      </c>
      <c r="BV128" s="2108">
        <v>266.3</v>
      </c>
      <c r="BW128" s="2108">
        <v>266.3</v>
      </c>
      <c r="BX128" s="2108">
        <v>278.10000000000002</v>
      </c>
      <c r="BY128" s="2108">
        <v>284.8</v>
      </c>
      <c r="BZ128" s="2108">
        <v>284.8</v>
      </c>
      <c r="CA128" s="2108">
        <v>287</v>
      </c>
      <c r="CB128" s="2108">
        <v>289.39999999999998</v>
      </c>
      <c r="CC128" s="2108">
        <v>297</v>
      </c>
      <c r="CD128" s="2108">
        <v>302.10000000000002</v>
      </c>
      <c r="CE128" s="2108">
        <v>305.39999999999998</v>
      </c>
      <c r="CF128" s="2108">
        <v>314.8</v>
      </c>
      <c r="CG128" s="2108">
        <v>320</v>
      </c>
      <c r="CH128" s="2108">
        <v>323.8</v>
      </c>
      <c r="CI128" s="2108">
        <v>340.1</v>
      </c>
      <c r="CJ128" s="2108">
        <v>341.9</v>
      </c>
      <c r="CK128" s="2108">
        <v>355.6</v>
      </c>
      <c r="CL128" s="2108">
        <v>355.6</v>
      </c>
      <c r="CM128" s="2108">
        <v>365.7</v>
      </c>
      <c r="CN128" s="2108">
        <v>379.1</v>
      </c>
      <c r="CO128" s="2108">
        <v>379.1</v>
      </c>
      <c r="CP128" s="2108">
        <v>379.1</v>
      </c>
      <c r="CQ128" s="2108">
        <v>387.5</v>
      </c>
      <c r="CR128" s="2108">
        <v>387.5</v>
      </c>
      <c r="CS128" s="2108">
        <v>387.5</v>
      </c>
      <c r="CT128" s="2108">
        <v>387.5</v>
      </c>
      <c r="CU128" s="2108">
        <v>387.5</v>
      </c>
      <c r="CV128" s="2108">
        <v>384.9</v>
      </c>
      <c r="CW128" s="2108">
        <v>381.2</v>
      </c>
      <c r="CX128" s="2108">
        <v>381.2</v>
      </c>
      <c r="CY128" s="2108">
        <v>381.2</v>
      </c>
      <c r="CZ128" s="2108">
        <v>382.6</v>
      </c>
      <c r="DA128" s="2108">
        <v>388.9</v>
      </c>
      <c r="DB128" s="2108">
        <v>397.1</v>
      </c>
      <c r="DC128" s="2108">
        <v>399.7</v>
      </c>
      <c r="DD128" s="2108">
        <v>401.9</v>
      </c>
      <c r="DE128" s="2108">
        <v>406</v>
      </c>
      <c r="DF128" s="2108">
        <v>415.2</v>
      </c>
      <c r="DG128" s="2108">
        <v>426.2</v>
      </c>
      <c r="DH128" s="2108">
        <v>435.7</v>
      </c>
      <c r="DI128" s="2108">
        <v>435.7</v>
      </c>
      <c r="DJ128" s="2108">
        <v>450</v>
      </c>
      <c r="DK128" s="2108">
        <v>458.5</v>
      </c>
      <c r="DL128" s="2108">
        <v>466.1</v>
      </c>
      <c r="DM128" s="2108">
        <v>464.7</v>
      </c>
      <c r="DN128" s="2108">
        <v>467</v>
      </c>
      <c r="DO128" s="2108">
        <v>473.4</v>
      </c>
      <c r="DP128" s="2108">
        <v>483.3</v>
      </c>
      <c r="DQ128" s="2108">
        <v>493.8</v>
      </c>
      <c r="DR128" s="2108">
        <v>497.5</v>
      </c>
      <c r="DS128" s="2108">
        <v>505.6</v>
      </c>
      <c r="DT128" s="2108">
        <v>512.70000000000005</v>
      </c>
      <c r="DU128" s="2108">
        <v>512.70000000000005</v>
      </c>
      <c r="DV128" s="2108">
        <v>530.9</v>
      </c>
      <c r="DW128" s="2108">
        <v>538.4</v>
      </c>
      <c r="DX128" s="2108">
        <v>543.5</v>
      </c>
      <c r="DY128" s="2108">
        <v>545</v>
      </c>
      <c r="DZ128" s="2108">
        <v>551</v>
      </c>
      <c r="EA128" s="2108">
        <v>561.9</v>
      </c>
      <c r="EB128" s="2108">
        <v>561.9</v>
      </c>
      <c r="EC128" s="2108">
        <v>570.9</v>
      </c>
      <c r="ED128" s="2108">
        <v>570.9</v>
      </c>
      <c r="EE128" s="2108">
        <v>581.70000000000005</v>
      </c>
      <c r="EF128" s="2108">
        <v>596.29999999999995</v>
      </c>
      <c r="EG128" s="2108">
        <v>596.29999999999995</v>
      </c>
      <c r="EH128" s="2108">
        <v>623.20000000000005</v>
      </c>
      <c r="EI128" s="2108">
        <v>628.29999999999995</v>
      </c>
      <c r="EJ128" s="2108">
        <v>645</v>
      </c>
      <c r="EK128" s="2108">
        <v>645</v>
      </c>
      <c r="EL128" s="2108">
        <v>657.1</v>
      </c>
      <c r="EM128" s="2108">
        <v>659.5</v>
      </c>
      <c r="EN128" s="2108">
        <v>668.2</v>
      </c>
      <c r="EO128" s="2108">
        <v>682.5</v>
      </c>
      <c r="EP128" s="2108">
        <v>695</v>
      </c>
      <c r="EQ128" s="2108">
        <v>704.7</v>
      </c>
      <c r="ER128" s="2108">
        <v>705.4</v>
      </c>
      <c r="ES128" s="2108">
        <v>713.4</v>
      </c>
      <c r="ET128" s="2108">
        <v>732.2</v>
      </c>
      <c r="EU128" s="2108">
        <v>746.5</v>
      </c>
      <c r="EV128" s="2108">
        <v>768.6</v>
      </c>
      <c r="EW128" s="2108">
        <v>768.6</v>
      </c>
      <c r="EX128" s="2108">
        <v>778.6</v>
      </c>
      <c r="EY128" s="2108">
        <v>787.5</v>
      </c>
      <c r="EZ128" s="2108">
        <v>814.3</v>
      </c>
      <c r="FA128" s="2108">
        <v>849</v>
      </c>
      <c r="FB128" s="2108">
        <v>892.9</v>
      </c>
      <c r="FC128" s="2108">
        <v>942.5</v>
      </c>
      <c r="FD128" s="2108">
        <v>951.3</v>
      </c>
      <c r="FE128" s="2108">
        <v>993.3</v>
      </c>
      <c r="FF128" s="2108">
        <v>1008.2</v>
      </c>
      <c r="FG128" s="2108">
        <v>1034.8</v>
      </c>
      <c r="FH128" s="2108">
        <v>1053.5999999999999</v>
      </c>
      <c r="FI128" s="2108">
        <v>1063.3</v>
      </c>
      <c r="FJ128" s="2108">
        <v>1090.8</v>
      </c>
      <c r="FK128" s="2108">
        <v>1094.2</v>
      </c>
      <c r="FL128" s="2108">
        <v>1095.2</v>
      </c>
      <c r="FM128" s="2108">
        <v>1108.4000000000001</v>
      </c>
      <c r="FN128" s="2108">
        <v>1122</v>
      </c>
      <c r="FO128" s="2108">
        <v>1163</v>
      </c>
      <c r="FP128" s="2108">
        <v>1168.7</v>
      </c>
      <c r="FQ128" s="2108">
        <v>1198.4000000000001</v>
      </c>
      <c r="FR128" s="2108">
        <v>1236.9000000000001</v>
      </c>
      <c r="FS128" s="2108">
        <v>1259.3</v>
      </c>
      <c r="FT128" s="2108">
        <v>1272.0999999999999</v>
      </c>
      <c r="FU128" s="2108">
        <v>1338.2</v>
      </c>
      <c r="FV128" s="2108">
        <v>1350.2</v>
      </c>
      <c r="FW128" s="2113">
        <v>1391.8199905179056</v>
      </c>
      <c r="FX128" s="2113">
        <v>1406.1529718302854</v>
      </c>
      <c r="FY128" s="2113">
        <v>100</v>
      </c>
      <c r="FZ128" s="2113">
        <v>100.60058832168579</v>
      </c>
      <c r="GA128" s="2113">
        <v>102.41707204722275</v>
      </c>
      <c r="GB128" s="2113">
        <v>102.34367114004627</v>
      </c>
      <c r="GC128" s="2113">
        <v>102.67960685009986</v>
      </c>
      <c r="GD128" s="2113">
        <v>105.33685500992344</v>
      </c>
      <c r="GE128" s="2113">
        <v>118.95851749473495</v>
      </c>
      <c r="GF128" s="2114">
        <v>118.95851749473495</v>
      </c>
      <c r="GG128" s="1960">
        <v>119.08335248875376</v>
      </c>
      <c r="GH128" s="2114">
        <v>117.50443417510635</v>
      </c>
      <c r="GI128" s="2114">
        <v>117.50443417510635</v>
      </c>
      <c r="GJ128" s="2113">
        <v>118.53756619684167</v>
      </c>
      <c r="GK128" s="2113">
        <v>121.57992292660899</v>
      </c>
      <c r="GL128" s="2113">
        <v>122.0642797405505</v>
      </c>
      <c r="GM128" s="2114">
        <v>124.10508498900319</v>
      </c>
      <c r="GN128" s="2114">
        <v>124.10508498900319</v>
      </c>
      <c r="GO128" s="2115">
        <v>124.10508498900319</v>
      </c>
      <c r="GP128" s="2116">
        <v>122.7568641167145</v>
      </c>
      <c r="GQ128" s="2116">
        <v>127.40060935394827</v>
      </c>
      <c r="GR128" s="2116">
        <v>129.31271015997848</v>
      </c>
      <c r="GS128" s="2116">
        <v>128.74832606378789</v>
      </c>
      <c r="GT128" s="1960">
        <v>130.20552624167203</v>
      </c>
      <c r="GU128" s="1960">
        <v>133.58981742796053</v>
      </c>
      <c r="GV128" s="1960">
        <v>135.78541747612024</v>
      </c>
      <c r="GW128" s="1960">
        <v>138.51719681070799</v>
      </c>
      <c r="GX128" s="1960">
        <v>142.63127879763491</v>
      </c>
      <c r="GY128" s="1960">
        <v>141.22063560989668</v>
      </c>
      <c r="GZ128" s="1960">
        <v>142.51349863948789</v>
      </c>
      <c r="HA128" s="1960">
        <v>148.13923087694357</v>
      </c>
      <c r="HB128" s="1960">
        <v>157.0745507157288</v>
      </c>
      <c r="HC128" s="1960">
        <v>163.18840485020428</v>
      </c>
      <c r="HD128" s="1960">
        <v>176.6421110638864</v>
      </c>
      <c r="HE128" s="1960">
        <v>222.84317584193593</v>
      </c>
      <c r="HF128" s="1960">
        <v>228.45349066433573</v>
      </c>
      <c r="HG128" s="1960">
        <v>223.72972953427183</v>
      </c>
      <c r="HH128" s="2117">
        <v>223.72972953427183</v>
      </c>
      <c r="HI128" s="1960">
        <v>225.33352687860355</v>
      </c>
      <c r="HJ128" s="1960">
        <v>225.33365700614013</v>
      </c>
      <c r="HK128" s="1960">
        <v>227.58866969146754</v>
      </c>
      <c r="HL128" s="1960">
        <v>232.55990348909273</v>
      </c>
      <c r="HM128" s="1960">
        <v>237.60285721518821</v>
      </c>
      <c r="HN128" s="1960">
        <v>241.96509104150573</v>
      </c>
      <c r="HO128" s="1960">
        <v>241.96509104150573</v>
      </c>
      <c r="HP128" s="1960">
        <v>277.23933528305065</v>
      </c>
      <c r="HQ128" s="1960">
        <v>290.48837621941385</v>
      </c>
      <c r="HR128" s="1960">
        <v>298.63061490846479</v>
      </c>
      <c r="HS128" s="1960">
        <v>335.87596371828545</v>
      </c>
      <c r="HT128" s="1962">
        <v>335.90137806178717</v>
      </c>
      <c r="HU128" s="1961">
        <v>346.80505362273328</v>
      </c>
      <c r="HV128" s="1960">
        <v>360.5024006295348</v>
      </c>
      <c r="HW128" s="1960">
        <v>360.5024006295348</v>
      </c>
      <c r="HX128" s="1960">
        <v>360.5024006295348</v>
      </c>
      <c r="HY128" s="1960">
        <v>360.5024006295348</v>
      </c>
      <c r="HZ128" s="1960">
        <v>360.5024006295348</v>
      </c>
      <c r="IA128" s="1960">
        <v>360.5024006295348</v>
      </c>
      <c r="IB128" s="1960">
        <v>394.7215514592512</v>
      </c>
      <c r="IC128" s="1960">
        <v>414.42219663210142</v>
      </c>
      <c r="ID128" s="1960">
        <v>466.0283458929631</v>
      </c>
      <c r="IE128" s="1960">
        <v>485.31405477096433</v>
      </c>
      <c r="IF128" s="1960">
        <v>492.59377787021435</v>
      </c>
      <c r="IG128" s="1961">
        <v>525.84583001744568</v>
      </c>
      <c r="IH128" s="1960">
        <v>597.82947266044744</v>
      </c>
      <c r="II128" s="1960">
        <v>603.86434430875477</v>
      </c>
      <c r="IJ128" s="1961">
        <v>601.85541271282511</v>
      </c>
      <c r="IK128" s="1960">
        <v>599.26693951758671</v>
      </c>
      <c r="IL128" s="1960">
        <v>616.10102070205676</v>
      </c>
      <c r="IM128" s="1960">
        <v>614.97102936843373</v>
      </c>
      <c r="IN128" s="1960">
        <v>651.79303236331009</v>
      </c>
      <c r="IO128" s="1960">
        <v>672.21435986028496</v>
      </c>
      <c r="IP128" s="1960">
        <v>694.21019187754462</v>
      </c>
      <c r="IQ128" s="1960">
        <v>700.24496107553614</v>
      </c>
      <c r="IR128" s="1960">
        <v>739.03849572210629</v>
      </c>
      <c r="IS128" s="2274">
        <v>746.51329759601276</v>
      </c>
      <c r="IT128" s="1960">
        <v>780.31000622869249</v>
      </c>
      <c r="IU128" s="1960">
        <v>810.63376725415048</v>
      </c>
      <c r="IV128" s="1960">
        <v>846.44271109711417</v>
      </c>
      <c r="IW128" s="1960">
        <v>900.65645716250378</v>
      </c>
      <c r="IX128" s="1960">
        <v>933.36649832831404</v>
      </c>
      <c r="IY128" s="1960">
        <v>1036.7532021357708</v>
      </c>
      <c r="IZ128" s="1960">
        <v>1153.6615796503195</v>
      </c>
      <c r="JA128" s="1960">
        <v>1172.8878038725875</v>
      </c>
      <c r="JB128" s="1960">
        <v>1265.8250812910999</v>
      </c>
      <c r="JC128" s="1960">
        <v>1297.9710457412691</v>
      </c>
      <c r="JD128" s="1960">
        <v>1438.5164280218253</v>
      </c>
      <c r="JE128" s="2274">
        <v>1493.9073955267936</v>
      </c>
      <c r="JF128" s="2117">
        <v>1579.4802256842297</v>
      </c>
      <c r="JG128" s="2103">
        <f t="shared" si="13"/>
        <v>1.0572812146279393</v>
      </c>
      <c r="JI128" s="2155"/>
      <c r="JJ128" s="2104"/>
    </row>
    <row r="129" spans="2:270" ht="47.25">
      <c r="B129" s="2105">
        <v>109</v>
      </c>
      <c r="C129" s="2106" t="s">
        <v>276</v>
      </c>
      <c r="D129" s="2425" t="s">
        <v>1233</v>
      </c>
      <c r="E129" s="2128" t="s">
        <v>1138</v>
      </c>
      <c r="F129" s="2106" t="s">
        <v>918</v>
      </c>
      <c r="G129" s="2425" t="s">
        <v>1112</v>
      </c>
      <c r="H129" s="2106" t="s">
        <v>929</v>
      </c>
      <c r="I129" s="2106" t="s">
        <v>930</v>
      </c>
      <c r="J129" s="2359" t="s">
        <v>414</v>
      </c>
      <c r="K129" s="2425"/>
      <c r="L129" s="2110">
        <v>125.8</v>
      </c>
      <c r="M129" s="2110">
        <v>144.80000000000001</v>
      </c>
      <c r="N129" s="2110">
        <v>186.8</v>
      </c>
      <c r="O129" s="2110">
        <v>220.2</v>
      </c>
      <c r="P129" s="2110">
        <v>268.7</v>
      </c>
      <c r="Q129" s="2110">
        <v>295</v>
      </c>
      <c r="R129" s="2110">
        <v>334.5</v>
      </c>
      <c r="S129" s="2110">
        <v>336.7</v>
      </c>
      <c r="T129" s="2110">
        <v>337.2</v>
      </c>
      <c r="U129" s="2110">
        <v>318.39999999999998</v>
      </c>
      <c r="V129" s="2110">
        <v>318.10000000000002</v>
      </c>
      <c r="W129" s="2110">
        <v>316.60000000000002</v>
      </c>
      <c r="X129" s="2110">
        <v>314.8</v>
      </c>
      <c r="Y129" s="2110">
        <v>314.8</v>
      </c>
      <c r="Z129" s="2110">
        <v>316.39999999999998</v>
      </c>
      <c r="AA129" s="2110">
        <v>326.5</v>
      </c>
      <c r="AB129" s="2110">
        <v>328.5</v>
      </c>
      <c r="AC129" s="2110">
        <v>328.3</v>
      </c>
      <c r="AD129" s="2110">
        <v>323.60000000000002</v>
      </c>
      <c r="AE129" s="2110">
        <v>318.3</v>
      </c>
      <c r="AF129" s="2110">
        <v>316</v>
      </c>
      <c r="AG129" s="2110">
        <v>300.39999999999998</v>
      </c>
      <c r="AH129" s="2110">
        <v>305.10000000000002</v>
      </c>
      <c r="AI129" s="2110">
        <v>305.5</v>
      </c>
      <c r="AJ129" s="2110">
        <v>305.5</v>
      </c>
      <c r="AK129" s="2110">
        <v>302</v>
      </c>
      <c r="AL129" s="2110">
        <v>303.8</v>
      </c>
      <c r="AM129" s="2110">
        <v>310.5</v>
      </c>
      <c r="AN129" s="2110">
        <v>312.5</v>
      </c>
      <c r="AO129" s="2110">
        <v>308.89999999999998</v>
      </c>
      <c r="AP129" s="2110">
        <v>308.89999999999998</v>
      </c>
      <c r="AQ129" s="2110">
        <v>308.89999999999998</v>
      </c>
      <c r="AR129" s="2110">
        <v>313.2</v>
      </c>
      <c r="AS129" s="2110">
        <v>322.89999999999998</v>
      </c>
      <c r="AT129" s="2110">
        <v>328.5</v>
      </c>
      <c r="AU129" s="2110">
        <v>322.2</v>
      </c>
      <c r="AV129" s="2110">
        <v>324.10000000000002</v>
      </c>
      <c r="AW129" s="2111">
        <v>329</v>
      </c>
      <c r="AX129" s="2111">
        <v>341.5</v>
      </c>
      <c r="AY129" s="2111">
        <v>348.7</v>
      </c>
      <c r="AZ129" s="2111">
        <v>348.7</v>
      </c>
      <c r="BA129" s="2111">
        <v>349.3</v>
      </c>
      <c r="BB129" s="2111">
        <v>349.3</v>
      </c>
      <c r="BC129" s="2111">
        <v>353.6</v>
      </c>
      <c r="BD129" s="2112">
        <v>353.6</v>
      </c>
      <c r="BE129" s="2111">
        <v>351.7</v>
      </c>
      <c r="BF129" s="2112">
        <v>358.2</v>
      </c>
      <c r="BG129" s="2112">
        <v>410.1</v>
      </c>
      <c r="BH129" s="2112">
        <v>411</v>
      </c>
      <c r="BI129" s="2108">
        <v>409.2</v>
      </c>
      <c r="BJ129" s="2108">
        <v>409.2</v>
      </c>
      <c r="BK129" s="2108">
        <v>405.9</v>
      </c>
      <c r="BL129" s="2108">
        <v>402.4</v>
      </c>
      <c r="BM129" s="2108">
        <v>405</v>
      </c>
      <c r="BN129" s="2108">
        <v>409.1</v>
      </c>
      <c r="BO129" s="2108">
        <v>417.5</v>
      </c>
      <c r="BP129" s="2108">
        <v>423.2</v>
      </c>
      <c r="BQ129" s="2108">
        <v>425.2</v>
      </c>
      <c r="BR129" s="2108">
        <v>420.1</v>
      </c>
      <c r="BS129" s="2108">
        <v>415.3</v>
      </c>
      <c r="BT129" s="2108">
        <v>415.3</v>
      </c>
      <c r="BU129" s="2108">
        <v>415.3</v>
      </c>
      <c r="BV129" s="2108">
        <v>410.1</v>
      </c>
      <c r="BW129" s="2108">
        <v>405.8</v>
      </c>
      <c r="BX129" s="2108">
        <v>405.1</v>
      </c>
      <c r="BY129" s="2108">
        <v>409.9</v>
      </c>
      <c r="BZ129" s="2108">
        <v>411.9</v>
      </c>
      <c r="CA129" s="2108">
        <v>413.7</v>
      </c>
      <c r="CB129" s="2108">
        <v>436.1</v>
      </c>
      <c r="CC129" s="2108">
        <v>436.1</v>
      </c>
      <c r="CD129" s="2108">
        <v>438.9</v>
      </c>
      <c r="CE129" s="2108">
        <v>438.6</v>
      </c>
      <c r="CF129" s="2108">
        <v>438.6</v>
      </c>
      <c r="CG129" s="2108">
        <v>448.9</v>
      </c>
      <c r="CH129" s="2108">
        <v>448.9</v>
      </c>
      <c r="CI129" s="2108">
        <v>454.7</v>
      </c>
      <c r="CJ129" s="2108">
        <v>454.8</v>
      </c>
      <c r="CK129" s="2108">
        <v>460.8</v>
      </c>
      <c r="CL129" s="2108">
        <v>457.8</v>
      </c>
      <c r="CM129" s="2108">
        <v>467.8</v>
      </c>
      <c r="CN129" s="2108">
        <v>488.2</v>
      </c>
      <c r="CO129" s="2108">
        <v>488.2</v>
      </c>
      <c r="CP129" s="2108">
        <v>487.8</v>
      </c>
      <c r="CQ129" s="2108">
        <v>487.8</v>
      </c>
      <c r="CR129" s="2108">
        <v>485.1</v>
      </c>
      <c r="CS129" s="2108">
        <v>485.1</v>
      </c>
      <c r="CT129" s="2108">
        <v>482.5</v>
      </c>
      <c r="CU129" s="2108">
        <v>466.4</v>
      </c>
      <c r="CV129" s="2108">
        <v>504.8</v>
      </c>
      <c r="CW129" s="2108">
        <v>504.8</v>
      </c>
      <c r="CX129" s="2108">
        <v>504.5</v>
      </c>
      <c r="CY129" s="2108">
        <v>508.9</v>
      </c>
      <c r="CZ129" s="2108">
        <v>517.6</v>
      </c>
      <c r="DA129" s="2108">
        <v>532</v>
      </c>
      <c r="DB129" s="2108">
        <v>532</v>
      </c>
      <c r="DC129" s="2108">
        <v>544</v>
      </c>
      <c r="DD129" s="2108">
        <v>544</v>
      </c>
      <c r="DE129" s="2108">
        <v>550.20000000000005</v>
      </c>
      <c r="DF129" s="2108">
        <v>557.20000000000005</v>
      </c>
      <c r="DG129" s="2108">
        <v>562.70000000000005</v>
      </c>
      <c r="DH129" s="2108">
        <v>562.70000000000005</v>
      </c>
      <c r="DI129" s="2108">
        <v>562.70000000000005</v>
      </c>
      <c r="DJ129" s="2108">
        <v>577.29999999999995</v>
      </c>
      <c r="DK129" s="2108">
        <v>600.70000000000005</v>
      </c>
      <c r="DL129" s="2108">
        <v>617.70000000000005</v>
      </c>
      <c r="DM129" s="2108">
        <v>617.70000000000005</v>
      </c>
      <c r="DN129" s="2108">
        <v>617.70000000000005</v>
      </c>
      <c r="DO129" s="2108">
        <v>625</v>
      </c>
      <c r="DP129" s="2108">
        <v>625</v>
      </c>
      <c r="DQ129" s="2108">
        <v>663.9</v>
      </c>
      <c r="DR129" s="2108">
        <v>665</v>
      </c>
      <c r="DS129" s="2108">
        <v>674.1</v>
      </c>
      <c r="DT129" s="2108">
        <v>686.7</v>
      </c>
      <c r="DU129" s="2108">
        <v>705.1</v>
      </c>
      <c r="DV129" s="2108">
        <v>709.4</v>
      </c>
      <c r="DW129" s="2108">
        <v>722</v>
      </c>
      <c r="DX129" s="2108">
        <v>722</v>
      </c>
      <c r="DY129" s="2108">
        <v>727</v>
      </c>
      <c r="DZ129" s="2108">
        <v>731.8</v>
      </c>
      <c r="EA129" s="2108">
        <v>781.9</v>
      </c>
      <c r="EB129" s="2108">
        <v>787.6</v>
      </c>
      <c r="EC129" s="2108">
        <v>794.4</v>
      </c>
      <c r="ED129" s="2108">
        <v>813.2</v>
      </c>
      <c r="EE129" s="2108">
        <v>819.1</v>
      </c>
      <c r="EF129" s="2108">
        <v>827.4</v>
      </c>
      <c r="EG129" s="2108">
        <v>827.4</v>
      </c>
      <c r="EH129" s="2108">
        <v>829.2</v>
      </c>
      <c r="EI129" s="2108">
        <v>835.9</v>
      </c>
      <c r="EJ129" s="2108">
        <v>833.7</v>
      </c>
      <c r="EK129" s="2108">
        <v>824.6</v>
      </c>
      <c r="EL129" s="2108">
        <v>840.3</v>
      </c>
      <c r="EM129" s="2108">
        <v>853.3</v>
      </c>
      <c r="EN129" s="2108">
        <v>854.9</v>
      </c>
      <c r="EO129" s="2108">
        <v>854.9</v>
      </c>
      <c r="EP129" s="2108">
        <v>858.5</v>
      </c>
      <c r="EQ129" s="2108">
        <v>867.5</v>
      </c>
      <c r="ER129" s="2108">
        <v>899.3</v>
      </c>
      <c r="ES129" s="2108">
        <v>891.3</v>
      </c>
      <c r="ET129" s="2108">
        <v>910.5</v>
      </c>
      <c r="EU129" s="2108">
        <v>911.8</v>
      </c>
      <c r="EV129" s="2108">
        <v>922.9</v>
      </c>
      <c r="EW129" s="2108">
        <v>920.7</v>
      </c>
      <c r="EX129" s="2108">
        <v>926.7</v>
      </c>
      <c r="EY129" s="2108">
        <v>940.6</v>
      </c>
      <c r="EZ129" s="2108">
        <v>955.6</v>
      </c>
      <c r="FA129" s="2108">
        <v>993.8</v>
      </c>
      <c r="FB129" s="2108">
        <v>1076.4000000000001</v>
      </c>
      <c r="FC129" s="2108">
        <v>1147.2</v>
      </c>
      <c r="FD129" s="2108">
        <v>1229.2</v>
      </c>
      <c r="FE129" s="2108">
        <v>1237.0999999999999</v>
      </c>
      <c r="FF129" s="2108">
        <v>1257.7</v>
      </c>
      <c r="FG129" s="2108">
        <v>1265.5999999999999</v>
      </c>
      <c r="FH129" s="2108">
        <v>1331.2</v>
      </c>
      <c r="FI129" s="2108">
        <v>1364.7</v>
      </c>
      <c r="FJ129" s="2108">
        <v>1372</v>
      </c>
      <c r="FK129" s="2108">
        <v>1413.3</v>
      </c>
      <c r="FL129" s="2108">
        <v>1432.8</v>
      </c>
      <c r="FM129" s="2108">
        <v>1432.8</v>
      </c>
      <c r="FN129" s="2108">
        <v>1436.1</v>
      </c>
      <c r="FO129" s="2108">
        <v>1447.9</v>
      </c>
      <c r="FP129" s="2108">
        <v>1452.9</v>
      </c>
      <c r="FQ129" s="2108">
        <v>1458.4</v>
      </c>
      <c r="FR129" s="2108">
        <v>1458.4</v>
      </c>
      <c r="FS129" s="2108">
        <v>1535.5</v>
      </c>
      <c r="FT129" s="2108">
        <v>1541.6</v>
      </c>
      <c r="FU129" s="2108">
        <v>1562.2</v>
      </c>
      <c r="FV129" s="2108">
        <v>1581.9</v>
      </c>
      <c r="FW129" s="2113">
        <v>1853.9512866941311</v>
      </c>
      <c r="FX129" s="2113">
        <v>2043.9863060466128</v>
      </c>
      <c r="FY129" s="2113">
        <v>100</v>
      </c>
      <c r="FZ129" s="2113">
        <v>106.75621032714844</v>
      </c>
      <c r="GA129" s="2113">
        <v>110.54206501967201</v>
      </c>
      <c r="GB129" s="2113">
        <v>113.79800974460439</v>
      </c>
      <c r="GC129" s="2113">
        <v>117.49259563560132</v>
      </c>
      <c r="GD129" s="2113">
        <v>119.9629967469194</v>
      </c>
      <c r="GE129" s="2113">
        <v>121.99771515790587</v>
      </c>
      <c r="GF129" s="2114">
        <v>120.24575395583817</v>
      </c>
      <c r="GG129" s="1960">
        <v>120.71727006800164</v>
      </c>
      <c r="GH129" s="2114">
        <v>122.4300848324183</v>
      </c>
      <c r="GI129" s="2114">
        <v>122.74600394751852</v>
      </c>
      <c r="GJ129" s="2113">
        <v>122.74600394751852</v>
      </c>
      <c r="GK129" s="2113">
        <v>122.69968488296146</v>
      </c>
      <c r="GL129" s="2113">
        <v>124.78763701017829</v>
      </c>
      <c r="GM129" s="2114">
        <v>125.88261824962173</v>
      </c>
      <c r="GN129" s="2114">
        <v>127.48013717151935</v>
      </c>
      <c r="GO129" s="2115">
        <v>128.20742641959896</v>
      </c>
      <c r="GP129" s="2116">
        <v>129.32601168812315</v>
      </c>
      <c r="GQ129" s="2116">
        <v>131.39401413642364</v>
      </c>
      <c r="GR129" s="2116">
        <v>132.19209503474181</v>
      </c>
      <c r="GS129" s="2116">
        <v>132.9550282995948</v>
      </c>
      <c r="GT129" s="1960">
        <v>133.18476643197656</v>
      </c>
      <c r="GU129" s="1960">
        <v>134.18327812136215</v>
      </c>
      <c r="GV129" s="1960">
        <v>137.08408537537554</v>
      </c>
      <c r="GW129" s="1960">
        <v>137.96500086293258</v>
      </c>
      <c r="GX129" s="1960">
        <v>142.17183895939937</v>
      </c>
      <c r="GY129" s="1960">
        <v>143.89962360766472</v>
      </c>
      <c r="GZ129" s="1960">
        <v>151.24401076360115</v>
      </c>
      <c r="HA129" s="1960">
        <v>152.40625873917159</v>
      </c>
      <c r="HB129" s="1960">
        <v>157.59897844058318</v>
      </c>
      <c r="HC129" s="1960">
        <v>159.83975399685983</v>
      </c>
      <c r="HD129" s="1960">
        <v>160.70749939085491</v>
      </c>
      <c r="HE129" s="1960">
        <v>190.43235426086932</v>
      </c>
      <c r="HF129" s="1960">
        <v>204.36933912933728</v>
      </c>
      <c r="HG129" s="1960">
        <v>207.78260121739402</v>
      </c>
      <c r="HH129" s="2117">
        <v>212.30730431788407</v>
      </c>
      <c r="HI129" s="1960">
        <v>207.14447226934826</v>
      </c>
      <c r="HJ129" s="1960">
        <v>226.44580257398854</v>
      </c>
      <c r="HK129" s="1960">
        <v>232.62894101815991</v>
      </c>
      <c r="HL129" s="1960">
        <v>239.01617929768528</v>
      </c>
      <c r="HM129" s="1960">
        <v>245.43367008370979</v>
      </c>
      <c r="HN129" s="1960">
        <v>254.38001704138787</v>
      </c>
      <c r="HO129" s="1960">
        <v>256.92817075174185</v>
      </c>
      <c r="HP129" s="1960">
        <v>312.71661607817589</v>
      </c>
      <c r="HQ129" s="1960">
        <v>323.39007025228562</v>
      </c>
      <c r="HR129" s="1960">
        <v>296.10141329778025</v>
      </c>
      <c r="HS129" s="1960">
        <v>300.93287943686909</v>
      </c>
      <c r="HT129" s="1962">
        <v>302.90683327480417</v>
      </c>
      <c r="HU129" s="1961">
        <v>313.079601422135</v>
      </c>
      <c r="HV129" s="1960">
        <v>313.85907115880201</v>
      </c>
      <c r="HW129" s="1960">
        <v>313.85907115880201</v>
      </c>
      <c r="HX129" s="1960">
        <v>313.85907115880201</v>
      </c>
      <c r="HY129" s="1960">
        <v>313.85907115880201</v>
      </c>
      <c r="HZ129" s="1960">
        <v>313.85907115880201</v>
      </c>
      <c r="IA129" s="1960">
        <v>313.85907115880201</v>
      </c>
      <c r="IB129" s="1960">
        <v>329.31286141793544</v>
      </c>
      <c r="IC129" s="1960">
        <v>337.59047641044327</v>
      </c>
      <c r="ID129" s="1960">
        <v>363.57300118626767</v>
      </c>
      <c r="IE129" s="1960">
        <v>398.83735562780373</v>
      </c>
      <c r="IF129" s="1960">
        <v>418.98905469047708</v>
      </c>
      <c r="IG129" s="1961">
        <v>466.39639127322891</v>
      </c>
      <c r="IH129" s="1960">
        <v>524.03660900620162</v>
      </c>
      <c r="II129" s="1960">
        <v>540.72989325650349</v>
      </c>
      <c r="IJ129" s="1961">
        <v>573.84987512278724</v>
      </c>
      <c r="IK129" s="1960">
        <v>584.74439720243038</v>
      </c>
      <c r="IL129" s="1960">
        <v>595.29144973810719</v>
      </c>
      <c r="IM129" s="1960">
        <v>614.99670515106243</v>
      </c>
      <c r="IN129" s="1960">
        <v>620.63754208131172</v>
      </c>
      <c r="IO129" s="1960">
        <v>643.93751668612833</v>
      </c>
      <c r="IP129" s="1960">
        <v>660.03600809087197</v>
      </c>
      <c r="IQ129" s="1960">
        <v>699.7868966901475</v>
      </c>
      <c r="IR129" s="1960">
        <v>708.52997940193461</v>
      </c>
      <c r="IS129" s="2274">
        <v>739.84789490800074</v>
      </c>
      <c r="IT129" s="1960">
        <v>759.07609758355648</v>
      </c>
      <c r="IU129" s="1960">
        <v>776.29825461466112</v>
      </c>
      <c r="IV129" s="1960">
        <v>797.54408615662953</v>
      </c>
      <c r="IW129" s="1960">
        <v>823.77174728647401</v>
      </c>
      <c r="IX129" s="1960">
        <v>833.64304404372206</v>
      </c>
      <c r="IY129" s="1960">
        <v>972.24822632087864</v>
      </c>
      <c r="IZ129" s="1960">
        <v>1015.0591231231066</v>
      </c>
      <c r="JA129" s="1960">
        <v>1032.0041061036777</v>
      </c>
      <c r="JB129" s="1960">
        <v>1081.2513131938545</v>
      </c>
      <c r="JC129" s="1960">
        <v>1130.7074162938002</v>
      </c>
      <c r="JD129" s="1960">
        <v>1226.1541830415269</v>
      </c>
      <c r="JE129" s="2274">
        <v>1324.9830665940715</v>
      </c>
      <c r="JF129" s="2117">
        <v>1440.3322694725837</v>
      </c>
      <c r="JG129" s="2103">
        <f t="shared" si="13"/>
        <v>1.0870571147562078</v>
      </c>
      <c r="JI129" s="2155"/>
      <c r="JJ129" s="2104"/>
    </row>
    <row r="130" spans="2:270">
      <c r="B130" s="2105">
        <v>110</v>
      </c>
      <c r="C130" s="2106" t="s">
        <v>279</v>
      </c>
      <c r="D130" s="2425" t="s">
        <v>1234</v>
      </c>
      <c r="E130" s="2128" t="s">
        <v>1139</v>
      </c>
      <c r="F130" s="2106" t="s">
        <v>918</v>
      </c>
      <c r="G130" s="2425" t="s">
        <v>1112</v>
      </c>
      <c r="H130" s="2106" t="s">
        <v>929</v>
      </c>
      <c r="I130" s="2106" t="s">
        <v>930</v>
      </c>
      <c r="J130" s="2359" t="s">
        <v>921</v>
      </c>
      <c r="K130" s="2425"/>
      <c r="L130" s="2110">
        <v>70.2</v>
      </c>
      <c r="M130" s="2110">
        <v>77.900000000000006</v>
      </c>
      <c r="N130" s="2110">
        <v>85.4</v>
      </c>
      <c r="O130" s="2110">
        <v>86.7</v>
      </c>
      <c r="P130" s="2110">
        <v>95.3</v>
      </c>
      <c r="Q130" s="2110">
        <v>82.2</v>
      </c>
      <c r="R130" s="2110">
        <v>95.5</v>
      </c>
      <c r="S130" s="2110">
        <v>101.1</v>
      </c>
      <c r="T130" s="2110">
        <v>101.1</v>
      </c>
      <c r="U130" s="2110">
        <v>101.1</v>
      </c>
      <c r="V130" s="2110">
        <v>102.2</v>
      </c>
      <c r="W130" s="2110">
        <v>100.2</v>
      </c>
      <c r="X130" s="2110">
        <v>104.2</v>
      </c>
      <c r="Y130" s="2110">
        <v>100.5</v>
      </c>
      <c r="Z130" s="2110">
        <v>100.5</v>
      </c>
      <c r="AA130" s="2110">
        <v>100.5</v>
      </c>
      <c r="AB130" s="2110">
        <v>100.5</v>
      </c>
      <c r="AC130" s="2110">
        <v>100.5</v>
      </c>
      <c r="AD130" s="2110">
        <v>100.1</v>
      </c>
      <c r="AE130" s="2110">
        <v>101.6</v>
      </c>
      <c r="AF130" s="2110">
        <v>101.3</v>
      </c>
      <c r="AG130" s="2110">
        <v>97.8</v>
      </c>
      <c r="AH130" s="2110">
        <v>97.8</v>
      </c>
      <c r="AI130" s="2110">
        <v>95.7</v>
      </c>
      <c r="AJ130" s="2110">
        <v>95.7</v>
      </c>
      <c r="AK130" s="2110">
        <v>93.1</v>
      </c>
      <c r="AL130" s="2110">
        <v>93.1</v>
      </c>
      <c r="AM130" s="2110">
        <v>93.1</v>
      </c>
      <c r="AN130" s="2110">
        <v>102.8</v>
      </c>
      <c r="AO130" s="2110">
        <v>102.8</v>
      </c>
      <c r="AP130" s="2110">
        <v>102.8</v>
      </c>
      <c r="AQ130" s="2110">
        <v>102.8</v>
      </c>
      <c r="AR130" s="2110">
        <v>102.8</v>
      </c>
      <c r="AS130" s="2110">
        <v>102.8</v>
      </c>
      <c r="AT130" s="2110">
        <v>102.8</v>
      </c>
      <c r="AU130" s="2110">
        <v>102.8</v>
      </c>
      <c r="AV130" s="2110">
        <v>102.8</v>
      </c>
      <c r="AW130" s="2111">
        <v>102.8</v>
      </c>
      <c r="AX130" s="2111">
        <v>102.8</v>
      </c>
      <c r="AY130" s="2111">
        <v>102.8</v>
      </c>
      <c r="AZ130" s="2111">
        <v>102.8</v>
      </c>
      <c r="BA130" s="2111">
        <v>104.3</v>
      </c>
      <c r="BB130" s="2111">
        <v>102.8</v>
      </c>
      <c r="BC130" s="2111">
        <v>105.2</v>
      </c>
      <c r="BD130" s="2112">
        <v>106.7</v>
      </c>
      <c r="BE130" s="2111">
        <v>108.6</v>
      </c>
      <c r="BF130" s="2112">
        <v>108.6</v>
      </c>
      <c r="BG130" s="2112">
        <v>108.6</v>
      </c>
      <c r="BH130" s="2112">
        <v>109.8</v>
      </c>
      <c r="BI130" s="2108">
        <v>109.8</v>
      </c>
      <c r="BJ130" s="2108">
        <v>111.2</v>
      </c>
      <c r="BK130" s="2108">
        <v>111.2</v>
      </c>
      <c r="BL130" s="2108">
        <v>111.2</v>
      </c>
      <c r="BM130" s="2108">
        <v>118.5</v>
      </c>
      <c r="BN130" s="2108">
        <v>129.1</v>
      </c>
      <c r="BO130" s="2108">
        <v>130.5</v>
      </c>
      <c r="BP130" s="2108">
        <v>130.5</v>
      </c>
      <c r="BQ130" s="2108">
        <v>130.5</v>
      </c>
      <c r="BR130" s="2108">
        <v>130.5</v>
      </c>
      <c r="BS130" s="2108">
        <v>132.9</v>
      </c>
      <c r="BT130" s="2108">
        <v>130.5</v>
      </c>
      <c r="BU130" s="2108">
        <v>130.5</v>
      </c>
      <c r="BV130" s="2108">
        <v>133.4</v>
      </c>
      <c r="BW130" s="2108">
        <v>134.1</v>
      </c>
      <c r="BX130" s="2108">
        <v>134.1</v>
      </c>
      <c r="BY130" s="2108">
        <v>131.69999999999999</v>
      </c>
      <c r="BZ130" s="2108">
        <v>131.9</v>
      </c>
      <c r="CA130" s="2108">
        <v>134.1</v>
      </c>
      <c r="CB130" s="2108">
        <v>135.9</v>
      </c>
      <c r="CC130" s="2108">
        <v>135.9</v>
      </c>
      <c r="CD130" s="2108">
        <v>135.9</v>
      </c>
      <c r="CE130" s="2108">
        <v>135.9</v>
      </c>
      <c r="CF130" s="2108">
        <v>137.4</v>
      </c>
      <c r="CG130" s="2108">
        <v>139.1</v>
      </c>
      <c r="CH130" s="2108">
        <v>139.1</v>
      </c>
      <c r="CI130" s="2108">
        <v>152.1</v>
      </c>
      <c r="CJ130" s="2108">
        <v>146.80000000000001</v>
      </c>
      <c r="CK130" s="2108">
        <v>146.80000000000001</v>
      </c>
      <c r="CL130" s="2108">
        <v>148.19999999999999</v>
      </c>
      <c r="CM130" s="2108">
        <v>150.6</v>
      </c>
      <c r="CN130" s="2108">
        <v>156</v>
      </c>
      <c r="CO130" s="2108">
        <v>156</v>
      </c>
      <c r="CP130" s="2108">
        <v>156</v>
      </c>
      <c r="CQ130" s="2108">
        <v>158.1</v>
      </c>
      <c r="CR130" s="2108">
        <v>158</v>
      </c>
      <c r="CS130" s="2108">
        <v>158</v>
      </c>
      <c r="CT130" s="2108">
        <v>156.69999999999999</v>
      </c>
      <c r="CU130" s="2108">
        <v>156.69999999999999</v>
      </c>
      <c r="CV130" s="2108">
        <v>156.69999999999999</v>
      </c>
      <c r="CW130" s="2108">
        <v>156.69999999999999</v>
      </c>
      <c r="CX130" s="2108">
        <v>156.69999999999999</v>
      </c>
      <c r="CY130" s="2108">
        <v>156.69999999999999</v>
      </c>
      <c r="CZ130" s="2108">
        <v>158.5</v>
      </c>
      <c r="DA130" s="2108">
        <v>158.5</v>
      </c>
      <c r="DB130" s="2108">
        <v>170.5</v>
      </c>
      <c r="DC130" s="2108">
        <v>170.5</v>
      </c>
      <c r="DD130" s="2108">
        <v>174.2</v>
      </c>
      <c r="DE130" s="2108">
        <v>174.2</v>
      </c>
      <c r="DF130" s="2108">
        <v>174.2</v>
      </c>
      <c r="DG130" s="2108">
        <v>174.2</v>
      </c>
      <c r="DH130" s="2108">
        <v>174.2</v>
      </c>
      <c r="DI130" s="2108">
        <v>174.2</v>
      </c>
      <c r="DJ130" s="2108">
        <v>174.2</v>
      </c>
      <c r="DK130" s="2108">
        <v>174.2</v>
      </c>
      <c r="DL130" s="2108">
        <v>186.5</v>
      </c>
      <c r="DM130" s="2108">
        <v>189.4</v>
      </c>
      <c r="DN130" s="2108">
        <v>189.4</v>
      </c>
      <c r="DO130" s="2108">
        <v>196.5</v>
      </c>
      <c r="DP130" s="2108">
        <v>196.4</v>
      </c>
      <c r="DQ130" s="2108">
        <v>196.5</v>
      </c>
      <c r="DR130" s="2108">
        <v>196.4</v>
      </c>
      <c r="DS130" s="2108">
        <v>196.5</v>
      </c>
      <c r="DT130" s="2108">
        <v>196.5</v>
      </c>
      <c r="DU130" s="2108">
        <v>196.5</v>
      </c>
      <c r="DV130" s="2108">
        <v>201.4</v>
      </c>
      <c r="DW130" s="2108">
        <v>213.6</v>
      </c>
      <c r="DX130" s="2108">
        <v>213.6</v>
      </c>
      <c r="DY130" s="2108">
        <v>213.6</v>
      </c>
      <c r="DZ130" s="2108">
        <v>214.9</v>
      </c>
      <c r="EA130" s="2108">
        <v>215.1</v>
      </c>
      <c r="EB130" s="2108">
        <v>215.1</v>
      </c>
      <c r="EC130" s="2108">
        <v>215.1</v>
      </c>
      <c r="ED130" s="2108">
        <v>215.1</v>
      </c>
      <c r="EE130" s="2108">
        <v>218.1</v>
      </c>
      <c r="EF130" s="2108">
        <v>218</v>
      </c>
      <c r="EG130" s="2108">
        <v>225.3</v>
      </c>
      <c r="EH130" s="2108">
        <v>225.4</v>
      </c>
      <c r="EI130" s="2108">
        <v>237.5</v>
      </c>
      <c r="EJ130" s="2108">
        <v>248.6</v>
      </c>
      <c r="EK130" s="2108">
        <v>254.8</v>
      </c>
      <c r="EL130" s="2108">
        <v>249.5</v>
      </c>
      <c r="EM130" s="2108">
        <v>256.5</v>
      </c>
      <c r="EN130" s="2108">
        <v>250.2</v>
      </c>
      <c r="EO130" s="2108">
        <v>250.2</v>
      </c>
      <c r="EP130" s="2108">
        <v>250.2</v>
      </c>
      <c r="EQ130" s="2108">
        <v>255.4</v>
      </c>
      <c r="ER130" s="2108">
        <v>255.4</v>
      </c>
      <c r="ES130" s="2108">
        <v>258.8</v>
      </c>
      <c r="ET130" s="2108">
        <v>258.8</v>
      </c>
      <c r="EU130" s="2108">
        <v>260.60000000000002</v>
      </c>
      <c r="EV130" s="2108">
        <v>270.2</v>
      </c>
      <c r="EW130" s="2108">
        <v>270.2</v>
      </c>
      <c r="EX130" s="2108">
        <v>270.8</v>
      </c>
      <c r="EY130" s="2108">
        <v>271</v>
      </c>
      <c r="EZ130" s="2108">
        <v>271</v>
      </c>
      <c r="FA130" s="2108">
        <v>286.10000000000002</v>
      </c>
      <c r="FB130" s="2108">
        <v>304.89999999999998</v>
      </c>
      <c r="FC130" s="2108">
        <v>327.3</v>
      </c>
      <c r="FD130" s="2108">
        <v>350.5</v>
      </c>
      <c r="FE130" s="2108">
        <v>362.8</v>
      </c>
      <c r="FF130" s="2108">
        <v>387.8</v>
      </c>
      <c r="FG130" s="2108">
        <v>381.9</v>
      </c>
      <c r="FH130" s="2108">
        <v>395.1</v>
      </c>
      <c r="FI130" s="2108">
        <v>420.2</v>
      </c>
      <c r="FJ130" s="2108">
        <v>420.2</v>
      </c>
      <c r="FK130" s="2108">
        <v>432.7</v>
      </c>
      <c r="FL130" s="2108">
        <v>443.5</v>
      </c>
      <c r="FM130" s="2108">
        <v>457.6</v>
      </c>
      <c r="FN130" s="2108">
        <v>457.6</v>
      </c>
      <c r="FO130" s="2108">
        <v>457.6</v>
      </c>
      <c r="FP130" s="2108">
        <v>457.6</v>
      </c>
      <c r="FQ130" s="2108">
        <v>502.5</v>
      </c>
      <c r="FR130" s="2108">
        <v>512.1</v>
      </c>
      <c r="FS130" s="2108">
        <v>512.20000000000005</v>
      </c>
      <c r="FT130" s="2108">
        <v>512.1</v>
      </c>
      <c r="FU130" s="2108">
        <v>512.1</v>
      </c>
      <c r="FV130" s="2108">
        <v>551.1</v>
      </c>
      <c r="FW130" s="2113">
        <v>571.36678360896622</v>
      </c>
      <c r="FX130" s="2113">
        <v>611.21768183350878</v>
      </c>
      <c r="FY130" s="2113">
        <v>100</v>
      </c>
      <c r="FZ130" s="2113">
        <v>103.35912704467773</v>
      </c>
      <c r="GA130" s="2113">
        <v>108.126054900697</v>
      </c>
      <c r="GB130" s="2113">
        <v>109.22287220216883</v>
      </c>
      <c r="GC130" s="2113">
        <v>116.95700455569312</v>
      </c>
      <c r="GD130" s="2113">
        <v>123.41714195070099</v>
      </c>
      <c r="GE130" s="2113">
        <v>124.40493717376661</v>
      </c>
      <c r="GF130" s="2114">
        <v>125.0832123067302</v>
      </c>
      <c r="GG130" s="1960">
        <v>126.11404514969877</v>
      </c>
      <c r="GH130" s="2114">
        <v>129.98490044069266</v>
      </c>
      <c r="GI130" s="2114">
        <v>130.70672301450094</v>
      </c>
      <c r="GJ130" s="2113">
        <v>130.70672301450094</v>
      </c>
      <c r="GK130" s="2113">
        <v>131.42671091440687</v>
      </c>
      <c r="GL130" s="2113">
        <v>131.42671091440687</v>
      </c>
      <c r="GM130" s="2114">
        <v>134.11731640845008</v>
      </c>
      <c r="GN130" s="2114">
        <v>135.17268626911371</v>
      </c>
      <c r="GO130" s="2115">
        <v>135.17268626911371</v>
      </c>
      <c r="GP130" s="2116">
        <v>140.52472093860084</v>
      </c>
      <c r="GQ130" s="2116">
        <v>140.53579391287028</v>
      </c>
      <c r="GR130" s="2116">
        <v>141.08167927416704</v>
      </c>
      <c r="GS130" s="2116">
        <v>140.69897166013581</v>
      </c>
      <c r="GT130" s="1960">
        <v>141.72906239086339</v>
      </c>
      <c r="GU130" s="1960">
        <v>141.8819997402737</v>
      </c>
      <c r="GV130" s="1960">
        <v>143.63912525967066</v>
      </c>
      <c r="GW130" s="1960">
        <v>144.38752538132667</v>
      </c>
      <c r="GX130" s="1960">
        <v>148.11113851426171</v>
      </c>
      <c r="GY130" s="1960">
        <v>151.89379020142565</v>
      </c>
      <c r="GZ130" s="1960">
        <v>154.21251950645859</v>
      </c>
      <c r="HA130" s="1960">
        <v>160.79175839431792</v>
      </c>
      <c r="HB130" s="1960">
        <v>173.39601385015379</v>
      </c>
      <c r="HC130" s="1960">
        <v>179.33253654638065</v>
      </c>
      <c r="HD130" s="1960">
        <v>181.93287485812553</v>
      </c>
      <c r="HE130" s="1960">
        <v>203.29264853340337</v>
      </c>
      <c r="HF130" s="1960">
        <v>218.65543503113125</v>
      </c>
      <c r="HG130" s="1960">
        <v>218.65543503113125</v>
      </c>
      <c r="HH130" s="2117">
        <v>221.38846121773804</v>
      </c>
      <c r="HI130" s="1960">
        <v>218.65543503113128</v>
      </c>
      <c r="HJ130" s="1960">
        <v>224.46330095687333</v>
      </c>
      <c r="HK130" s="1960">
        <v>228.62641083318815</v>
      </c>
      <c r="HL130" s="1960">
        <v>233.77061275515808</v>
      </c>
      <c r="HM130" s="1960">
        <v>240.21800793614355</v>
      </c>
      <c r="HN130" s="1960">
        <v>242.46995362407327</v>
      </c>
      <c r="HO130" s="1960">
        <v>247.01615217532296</v>
      </c>
      <c r="HP130" s="1960">
        <v>280.36223208069396</v>
      </c>
      <c r="HQ130" s="1960">
        <v>292.66651199699055</v>
      </c>
      <c r="HR130" s="1960">
        <v>297.18844560091679</v>
      </c>
      <c r="HS130" s="1960">
        <v>340.93579260562529</v>
      </c>
      <c r="HT130" s="1962">
        <v>340.93579260562529</v>
      </c>
      <c r="HU130" s="1961">
        <v>369.24098096162732</v>
      </c>
      <c r="HV130" s="1960">
        <v>369.24098096162732</v>
      </c>
      <c r="HW130" s="1960">
        <v>411.70243528216349</v>
      </c>
      <c r="HX130" s="1960">
        <v>411.70243528216349</v>
      </c>
      <c r="HY130" s="1960">
        <v>445.26072256966017</v>
      </c>
      <c r="HZ130" s="1960">
        <v>445.26072256966017</v>
      </c>
      <c r="IA130" s="1960">
        <v>445.26072256966017</v>
      </c>
      <c r="IB130" s="1960">
        <v>445.26072256966017</v>
      </c>
      <c r="IC130" s="1960">
        <v>445.26072256966017</v>
      </c>
      <c r="ID130" s="1960">
        <v>445.26072256966017</v>
      </c>
      <c r="IE130" s="1960">
        <v>460.25991411979214</v>
      </c>
      <c r="IF130" s="1960">
        <v>460.25991411979214</v>
      </c>
      <c r="IG130" s="1961">
        <v>490.04571053825646</v>
      </c>
      <c r="IH130" s="1960">
        <v>598.81397627279046</v>
      </c>
      <c r="II130" s="1960">
        <v>617.52691303131519</v>
      </c>
      <c r="IJ130" s="1961">
        <v>617.52691303131519</v>
      </c>
      <c r="IK130" s="1960">
        <v>628.58038793034564</v>
      </c>
      <c r="IL130" s="1960">
        <v>664.31093231836519</v>
      </c>
      <c r="IM130" s="1960">
        <v>689.33412189348314</v>
      </c>
      <c r="IN130" s="1960">
        <v>714.81056036581708</v>
      </c>
      <c r="IO130" s="1960">
        <v>853.16214432462107</v>
      </c>
      <c r="IP130" s="1960">
        <v>876.61699834564411</v>
      </c>
      <c r="IQ130" s="1960">
        <v>889.47171000938465</v>
      </c>
      <c r="IR130" s="1960">
        <v>914.60756421583017</v>
      </c>
      <c r="IS130" s="2274">
        <v>993.56793302367441</v>
      </c>
      <c r="IT130" s="1960">
        <v>1015.9147096224779</v>
      </c>
      <c r="IU130" s="1960">
        <v>1066.7453346838547</v>
      </c>
      <c r="IV130" s="1960">
        <v>1103.1922152236923</v>
      </c>
      <c r="IW130" s="1960">
        <v>1137.6213447224186</v>
      </c>
      <c r="IX130" s="1960">
        <v>1169.1802862282302</v>
      </c>
      <c r="IY130" s="1960">
        <v>1344.6186178133596</v>
      </c>
      <c r="IZ130" s="1960">
        <v>1435.1831451034345</v>
      </c>
      <c r="JA130" s="1960">
        <v>1576.4451415535307</v>
      </c>
      <c r="JB130" s="1960">
        <v>1560.4937268483275</v>
      </c>
      <c r="JC130" s="1960">
        <v>1677.1538614747533</v>
      </c>
      <c r="JD130" s="1960">
        <v>1819.7915694150752</v>
      </c>
      <c r="JE130" s="2274">
        <v>1874.5964315432232</v>
      </c>
      <c r="JF130" s="2117">
        <v>2001.118161298632</v>
      </c>
      <c r="JG130" s="2103">
        <f t="shared" si="13"/>
        <v>1.0674927827805862</v>
      </c>
      <c r="JI130" s="2155"/>
      <c r="JJ130" s="2104"/>
    </row>
    <row r="131" spans="2:270">
      <c r="B131" s="2105">
        <v>111</v>
      </c>
      <c r="C131" s="2106"/>
      <c r="D131" s="2425" t="s">
        <v>1235</v>
      </c>
      <c r="E131" s="2128" t="s">
        <v>1140</v>
      </c>
      <c r="F131" s="2106"/>
      <c r="G131" s="2425" t="s">
        <v>1112</v>
      </c>
      <c r="H131" s="2106"/>
      <c r="I131" s="2106"/>
      <c r="J131" s="2359"/>
      <c r="K131" s="2425"/>
      <c r="L131" s="2110"/>
      <c r="M131" s="2110"/>
      <c r="N131" s="2110"/>
      <c r="O131" s="2110"/>
      <c r="P131" s="2110"/>
      <c r="Q131" s="2110"/>
      <c r="R131" s="2110"/>
      <c r="S131" s="2110"/>
      <c r="T131" s="2110"/>
      <c r="U131" s="2110"/>
      <c r="V131" s="2110"/>
      <c r="W131" s="2110"/>
      <c r="X131" s="2110"/>
      <c r="Y131" s="2110"/>
      <c r="Z131" s="2110"/>
      <c r="AA131" s="2110"/>
      <c r="AB131" s="2110"/>
      <c r="AC131" s="2110"/>
      <c r="AD131" s="2110"/>
      <c r="AE131" s="2110"/>
      <c r="AF131" s="2110"/>
      <c r="AG131" s="2110"/>
      <c r="AH131" s="2110"/>
      <c r="AI131" s="2110"/>
      <c r="AJ131" s="2110"/>
      <c r="AK131" s="2110"/>
      <c r="AL131" s="2110"/>
      <c r="AM131" s="2110"/>
      <c r="AN131" s="2110"/>
      <c r="AO131" s="2110"/>
      <c r="AP131" s="2110"/>
      <c r="AQ131" s="2110"/>
      <c r="AR131" s="2110"/>
      <c r="AS131" s="2110"/>
      <c r="AT131" s="2110"/>
      <c r="AU131" s="2110"/>
      <c r="AV131" s="2110"/>
      <c r="AW131" s="2111"/>
      <c r="AX131" s="2111"/>
      <c r="AY131" s="2111"/>
      <c r="AZ131" s="2111"/>
      <c r="BA131" s="2111"/>
      <c r="BB131" s="2111"/>
      <c r="BC131" s="2111"/>
      <c r="BD131" s="2112"/>
      <c r="BE131" s="2111"/>
      <c r="BF131" s="2112"/>
      <c r="BG131" s="2112"/>
      <c r="BH131" s="2112"/>
      <c r="BI131" s="2108"/>
      <c r="BJ131" s="2108"/>
      <c r="BK131" s="2108"/>
      <c r="BL131" s="2108"/>
      <c r="BM131" s="2108"/>
      <c r="BN131" s="2108"/>
      <c r="BO131" s="2108"/>
      <c r="BP131" s="2108"/>
      <c r="BQ131" s="2108"/>
      <c r="BR131" s="2108"/>
      <c r="BS131" s="2108"/>
      <c r="BT131" s="2108"/>
      <c r="BU131" s="2108"/>
      <c r="BV131" s="2108"/>
      <c r="BW131" s="2108"/>
      <c r="BX131" s="2108"/>
      <c r="BY131" s="2108"/>
      <c r="BZ131" s="2108"/>
      <c r="CA131" s="2108"/>
      <c r="CB131" s="2108"/>
      <c r="CC131" s="2108"/>
      <c r="CD131" s="2108"/>
      <c r="CE131" s="2108"/>
      <c r="CF131" s="2108"/>
      <c r="CG131" s="2108"/>
      <c r="CH131" s="2108"/>
      <c r="CI131" s="2108"/>
      <c r="CJ131" s="2108"/>
      <c r="CK131" s="2108"/>
      <c r="CL131" s="2108"/>
      <c r="CM131" s="2108"/>
      <c r="CN131" s="2108"/>
      <c r="CO131" s="2108"/>
      <c r="CP131" s="2108"/>
      <c r="CQ131" s="2108"/>
      <c r="CR131" s="2108"/>
      <c r="CS131" s="2108"/>
      <c r="CT131" s="2108"/>
      <c r="CU131" s="2108"/>
      <c r="CV131" s="2108"/>
      <c r="CW131" s="2108"/>
      <c r="CX131" s="2108"/>
      <c r="CY131" s="2108"/>
      <c r="CZ131" s="2108"/>
      <c r="DA131" s="2108"/>
      <c r="DB131" s="2108"/>
      <c r="DC131" s="2108"/>
      <c r="DD131" s="2108"/>
      <c r="DE131" s="2108"/>
      <c r="DF131" s="2108"/>
      <c r="DG131" s="2108"/>
      <c r="DH131" s="2108"/>
      <c r="DI131" s="2108"/>
      <c r="DJ131" s="2108"/>
      <c r="DK131" s="2108"/>
      <c r="DL131" s="2108"/>
      <c r="DM131" s="2108"/>
      <c r="DN131" s="2108"/>
      <c r="DO131" s="2108"/>
      <c r="DP131" s="2108"/>
      <c r="DQ131" s="2108"/>
      <c r="DR131" s="2108"/>
      <c r="DS131" s="2108"/>
      <c r="DT131" s="2108"/>
      <c r="DU131" s="2108"/>
      <c r="DV131" s="2108"/>
      <c r="DW131" s="2108"/>
      <c r="DX131" s="2108"/>
      <c r="DY131" s="2108"/>
      <c r="DZ131" s="2108"/>
      <c r="EA131" s="2108"/>
      <c r="EB131" s="2108"/>
      <c r="EC131" s="2108"/>
      <c r="ED131" s="2108"/>
      <c r="EE131" s="2108"/>
      <c r="EF131" s="2108"/>
      <c r="EG131" s="2108"/>
      <c r="EH131" s="2108"/>
      <c r="EI131" s="2108"/>
      <c r="EJ131" s="2108"/>
      <c r="EK131" s="2108"/>
      <c r="EL131" s="2108"/>
      <c r="EM131" s="2108"/>
      <c r="EN131" s="2108"/>
      <c r="EO131" s="2108"/>
      <c r="EP131" s="2108"/>
      <c r="EQ131" s="2108"/>
      <c r="ER131" s="2108"/>
      <c r="ES131" s="2108"/>
      <c r="ET131" s="2108"/>
      <c r="EU131" s="2108"/>
      <c r="EV131" s="2108"/>
      <c r="EW131" s="2108"/>
      <c r="EX131" s="2108"/>
      <c r="EY131" s="2108"/>
      <c r="EZ131" s="2108"/>
      <c r="FA131" s="2108"/>
      <c r="FB131" s="2108"/>
      <c r="FC131" s="2108"/>
      <c r="FD131" s="2108"/>
      <c r="FE131" s="2108"/>
      <c r="FF131" s="2108"/>
      <c r="FG131" s="2108"/>
      <c r="FH131" s="2108"/>
      <c r="FI131" s="2108"/>
      <c r="FJ131" s="2108"/>
      <c r="FK131" s="2108"/>
      <c r="FL131" s="2108"/>
      <c r="FM131" s="2108"/>
      <c r="FN131" s="2108"/>
      <c r="FO131" s="2108"/>
      <c r="FP131" s="2108"/>
      <c r="FQ131" s="2108"/>
      <c r="FR131" s="2108"/>
      <c r="FS131" s="2108"/>
      <c r="FT131" s="2108"/>
      <c r="FU131" s="2108"/>
      <c r="FV131" s="2108"/>
      <c r="FW131" s="2113"/>
      <c r="FX131" s="2113"/>
      <c r="FY131" s="2113"/>
      <c r="FZ131" s="2113"/>
      <c r="GA131" s="2113"/>
      <c r="GB131" s="2113"/>
      <c r="GC131" s="2113"/>
      <c r="GD131" s="2113"/>
      <c r="GE131" s="2113"/>
      <c r="GF131" s="2114"/>
      <c r="GG131" s="1960"/>
      <c r="GH131" s="2114"/>
      <c r="GI131" s="2114"/>
      <c r="GJ131" s="2113"/>
      <c r="GK131" s="2113"/>
      <c r="GL131" s="2113"/>
      <c r="GM131" s="2114"/>
      <c r="GN131" s="2114"/>
      <c r="GO131" s="2115"/>
      <c r="GP131" s="2116"/>
      <c r="GQ131" s="2116"/>
      <c r="GR131" s="2116"/>
      <c r="GS131" s="2116"/>
      <c r="GT131" s="1960"/>
      <c r="GU131" s="1960"/>
      <c r="GV131" s="1960"/>
      <c r="GW131" s="1960"/>
      <c r="GX131" s="1960"/>
      <c r="GY131" s="1960"/>
      <c r="GZ131" s="1960">
        <v>100</v>
      </c>
      <c r="HA131" s="1960">
        <v>101.68239564428312</v>
      </c>
      <c r="HB131" s="1960">
        <v>107.50815865523464</v>
      </c>
      <c r="HC131" s="1960">
        <v>108.94160077063778</v>
      </c>
      <c r="HD131" s="1960">
        <v>108.94160077063778</v>
      </c>
      <c r="HE131" s="1960">
        <v>143.52357557936841</v>
      </c>
      <c r="HF131" s="1960">
        <v>152.49379905307893</v>
      </c>
      <c r="HG131" s="1960">
        <v>152.49379905307893</v>
      </c>
      <c r="HH131" s="2117">
        <v>152.87244088558876</v>
      </c>
      <c r="HI131" s="1960">
        <v>152.40928529930662</v>
      </c>
      <c r="HJ131" s="1960">
        <v>153.01135805388344</v>
      </c>
      <c r="HK131" s="1960">
        <v>158.11173665567955</v>
      </c>
      <c r="HL131" s="1960">
        <v>163.47972771497732</v>
      </c>
      <c r="HM131" s="1960">
        <v>174.3932194746979</v>
      </c>
      <c r="HN131" s="1960">
        <v>183.1128804484328</v>
      </c>
      <c r="HO131" s="1960">
        <v>183.1128804484328</v>
      </c>
      <c r="HP131" s="1960">
        <v>205.77059982760741</v>
      </c>
      <c r="HQ131" s="1960">
        <v>219.85732612738806</v>
      </c>
      <c r="HR131" s="1960">
        <v>223.28825773578345</v>
      </c>
      <c r="HS131" s="1960">
        <v>254.84140644302263</v>
      </c>
      <c r="HT131" s="1962">
        <v>263.36132767225394</v>
      </c>
      <c r="HU131" s="1961">
        <v>263.32347927993607</v>
      </c>
      <c r="HV131" s="1960">
        <v>255.47250104246913</v>
      </c>
      <c r="HW131" s="1960">
        <v>284.8509679312657</v>
      </c>
      <c r="HX131" s="1960">
        <v>284.8509679312657</v>
      </c>
      <c r="HY131" s="1960">
        <v>308.06946215612373</v>
      </c>
      <c r="HZ131" s="1960">
        <v>308.06946215612373</v>
      </c>
      <c r="IA131" s="1960">
        <v>324.08731880669143</v>
      </c>
      <c r="IB131" s="1960">
        <v>324.08731880669143</v>
      </c>
      <c r="IC131" s="1960">
        <v>332.18950177685866</v>
      </c>
      <c r="ID131" s="1960">
        <v>332.18950177685866</v>
      </c>
      <c r="IE131" s="1960">
        <v>343.37974092334991</v>
      </c>
      <c r="IF131" s="1960">
        <v>338.01805531978152</v>
      </c>
      <c r="IG131" s="1961">
        <v>359.89294964068858</v>
      </c>
      <c r="IH131" s="1960">
        <v>365.89122599554452</v>
      </c>
      <c r="II131" s="1960">
        <v>365.87517243791859</v>
      </c>
      <c r="IJ131" s="1961">
        <v>376.77573507512864</v>
      </c>
      <c r="IK131" s="1960">
        <v>386.18769903719908</v>
      </c>
      <c r="IL131" s="1960">
        <v>395.33713879804571</v>
      </c>
      <c r="IM131" s="1960">
        <v>403.22285147465925</v>
      </c>
      <c r="IN131" s="1960">
        <v>444.25618075081945</v>
      </c>
      <c r="IO131" s="1960">
        <v>444.25618075081945</v>
      </c>
      <c r="IP131" s="1960">
        <v>466.42458616330333</v>
      </c>
      <c r="IQ131" s="1960">
        <v>466.42458616330333</v>
      </c>
      <c r="IR131" s="1960">
        <v>493.15308985263135</v>
      </c>
      <c r="IS131" s="2274">
        <v>489.69003340862253</v>
      </c>
      <c r="IT131" s="1960">
        <v>538.65886728076509</v>
      </c>
      <c r="IU131" s="1960">
        <v>610.5477288187692</v>
      </c>
      <c r="IV131" s="1960">
        <v>628.85494184921708</v>
      </c>
      <c r="IW131" s="1960">
        <v>640.37846172603531</v>
      </c>
      <c r="IX131" s="1960">
        <v>640.37846172603531</v>
      </c>
      <c r="IY131" s="1960">
        <v>704.41630789863893</v>
      </c>
      <c r="IZ131" s="1960">
        <v>704.41630789863893</v>
      </c>
      <c r="JA131" s="1960">
        <v>810.07892620042185</v>
      </c>
      <c r="JB131" s="1960">
        <v>810.07892620042185</v>
      </c>
      <c r="JC131" s="1960">
        <v>858.58963866545719</v>
      </c>
      <c r="JD131" s="1960">
        <v>859.58963866545696</v>
      </c>
      <c r="JE131" s="2274">
        <v>892.86796855719786</v>
      </c>
      <c r="JF131" s="2117">
        <v>1014.1815512415998</v>
      </c>
      <c r="JG131" s="2103">
        <f t="shared" si="13"/>
        <v>1.1358695652173914</v>
      </c>
      <c r="JI131" s="2155"/>
      <c r="JJ131" s="2104"/>
    </row>
    <row r="132" spans="2:270" ht="78.75">
      <c r="B132" s="2105">
        <v>112</v>
      </c>
      <c r="C132" s="2106">
        <v>24</v>
      </c>
      <c r="D132" s="2425" t="s">
        <v>1236</v>
      </c>
      <c r="E132" s="2128" t="s">
        <v>283</v>
      </c>
      <c r="F132" s="2106" t="s">
        <v>918</v>
      </c>
      <c r="G132" s="2425" t="s">
        <v>1112</v>
      </c>
      <c r="H132" s="2106" t="s">
        <v>223</v>
      </c>
      <c r="I132" s="2106" t="s">
        <v>930</v>
      </c>
      <c r="J132" s="2359" t="s">
        <v>284</v>
      </c>
      <c r="K132" s="2425"/>
      <c r="L132" s="2110">
        <v>111.25</v>
      </c>
      <c r="M132" s="2110">
        <v>115.22</v>
      </c>
      <c r="N132" s="2110">
        <v>135.13</v>
      </c>
      <c r="O132" s="2110">
        <v>146.26</v>
      </c>
      <c r="P132" s="2110">
        <v>180.65</v>
      </c>
      <c r="Q132" s="2110">
        <v>199.32</v>
      </c>
      <c r="R132" s="2110">
        <v>216.25</v>
      </c>
      <c r="S132" s="2110">
        <v>221.83</v>
      </c>
      <c r="T132" s="2110">
        <v>229.92</v>
      </c>
      <c r="U132" s="2110">
        <v>228.74</v>
      </c>
      <c r="V132" s="2110">
        <v>231.16</v>
      </c>
      <c r="W132" s="2110">
        <v>234.56</v>
      </c>
      <c r="X132" s="2110">
        <v>232.22</v>
      </c>
      <c r="Y132" s="2110">
        <v>231.46</v>
      </c>
      <c r="Z132" s="2110">
        <v>233.25</v>
      </c>
      <c r="AA132" s="2110">
        <v>235.72</v>
      </c>
      <c r="AB132" s="2110">
        <v>233.95</v>
      </c>
      <c r="AC132" s="2110">
        <v>232.31</v>
      </c>
      <c r="AD132" s="2110">
        <v>229.26</v>
      </c>
      <c r="AE132" s="2110">
        <v>228.38</v>
      </c>
      <c r="AF132" s="2110">
        <v>228.89</v>
      </c>
      <c r="AG132" s="2110">
        <v>230.34</v>
      </c>
      <c r="AH132" s="2110">
        <v>229.07</v>
      </c>
      <c r="AI132" s="2110">
        <v>230.01</v>
      </c>
      <c r="AJ132" s="2110">
        <v>231.13</v>
      </c>
      <c r="AK132" s="2110">
        <v>232.37</v>
      </c>
      <c r="AL132" s="2110">
        <v>235.06</v>
      </c>
      <c r="AM132" s="2110">
        <v>235.26</v>
      </c>
      <c r="AN132" s="2110">
        <v>235.83</v>
      </c>
      <c r="AO132" s="2110">
        <v>238.16</v>
      </c>
      <c r="AP132" s="2110">
        <v>240.37</v>
      </c>
      <c r="AQ132" s="2110">
        <v>242.22</v>
      </c>
      <c r="AR132" s="2110">
        <v>245.8</v>
      </c>
      <c r="AS132" s="2110">
        <v>253.62</v>
      </c>
      <c r="AT132" s="2110">
        <v>254.66</v>
      </c>
      <c r="AU132" s="2110">
        <v>257.19</v>
      </c>
      <c r="AV132" s="2110">
        <v>260.35000000000002</v>
      </c>
      <c r="AW132" s="2111">
        <v>262.27999999999997</v>
      </c>
      <c r="AX132" s="2111">
        <v>263.94</v>
      </c>
      <c r="AY132" s="2111">
        <v>263.33999999999997</v>
      </c>
      <c r="AZ132" s="2111">
        <v>265.91000000000003</v>
      </c>
      <c r="BA132" s="2111">
        <v>264.95</v>
      </c>
      <c r="BB132" s="2111">
        <v>264.92</v>
      </c>
      <c r="BC132" s="2111">
        <v>263.94</v>
      </c>
      <c r="BD132" s="2112">
        <v>264.39</v>
      </c>
      <c r="BE132" s="2111">
        <v>266.86</v>
      </c>
      <c r="BF132" s="2112">
        <v>272.70999999999998</v>
      </c>
      <c r="BG132" s="2112">
        <v>277.91000000000003</v>
      </c>
      <c r="BH132" s="2112">
        <v>279.98</v>
      </c>
      <c r="BI132" s="2108">
        <v>280.69</v>
      </c>
      <c r="BJ132" s="2108">
        <v>280.79000000000002</v>
      </c>
      <c r="BK132" s="2108">
        <v>281.89</v>
      </c>
      <c r="BL132" s="2108">
        <v>283.25</v>
      </c>
      <c r="BM132" s="2108">
        <v>284.74</v>
      </c>
      <c r="BN132" s="2108">
        <v>287.66000000000003</v>
      </c>
      <c r="BO132" s="2108">
        <v>289.72000000000003</v>
      </c>
      <c r="BP132" s="2108">
        <v>292</v>
      </c>
      <c r="BQ132" s="2108">
        <v>293.66000000000003</v>
      </c>
      <c r="BR132" s="2108">
        <v>294.68</v>
      </c>
      <c r="BS132" s="2108">
        <v>294.52</v>
      </c>
      <c r="BT132" s="2108">
        <v>293.93</v>
      </c>
      <c r="BU132" s="2108">
        <v>294.7</v>
      </c>
      <c r="BV132" s="2108">
        <v>295.04000000000002</v>
      </c>
      <c r="BW132" s="2108">
        <v>295.37</v>
      </c>
      <c r="BX132" s="2108">
        <v>299.14999999999998</v>
      </c>
      <c r="BY132" s="2108">
        <v>300.52999999999997</v>
      </c>
      <c r="BZ132" s="2108">
        <v>304.08</v>
      </c>
      <c r="CA132" s="2108">
        <v>308.13</v>
      </c>
      <c r="CB132" s="2108">
        <v>315.29000000000002</v>
      </c>
      <c r="CC132" s="2108">
        <v>319.24</v>
      </c>
      <c r="CD132" s="2108">
        <v>323.48</v>
      </c>
      <c r="CE132" s="2108">
        <v>329.22</v>
      </c>
      <c r="CF132" s="2108">
        <v>334.98</v>
      </c>
      <c r="CG132" s="2108">
        <v>340.09</v>
      </c>
      <c r="CH132" s="2108">
        <v>343.47</v>
      </c>
      <c r="CI132" s="2108">
        <v>348.68</v>
      </c>
      <c r="CJ132" s="2108">
        <v>355.34</v>
      </c>
      <c r="CK132" s="2108">
        <v>358.49</v>
      </c>
      <c r="CL132" s="2108">
        <v>361.82</v>
      </c>
      <c r="CM132" s="2108">
        <v>371.19</v>
      </c>
      <c r="CN132" s="2108">
        <v>378.03</v>
      </c>
      <c r="CO132" s="2108">
        <v>383.47</v>
      </c>
      <c r="CP132" s="2108">
        <v>388.51</v>
      </c>
      <c r="CQ132" s="2108">
        <v>387.95</v>
      </c>
      <c r="CR132" s="2108">
        <v>381.33</v>
      </c>
      <c r="CS132" s="2108">
        <v>373.13</v>
      </c>
      <c r="CT132" s="2108">
        <v>367.99</v>
      </c>
      <c r="CU132" s="2108">
        <v>370.78</v>
      </c>
      <c r="CV132" s="2108">
        <v>372.87</v>
      </c>
      <c r="CW132" s="2108">
        <v>374.91</v>
      </c>
      <c r="CX132" s="2108">
        <v>378.82</v>
      </c>
      <c r="CY132" s="2108">
        <v>383.26</v>
      </c>
      <c r="CZ132" s="2108">
        <v>390.71</v>
      </c>
      <c r="DA132" s="2108">
        <v>391.96</v>
      </c>
      <c r="DB132" s="2108">
        <v>398.91</v>
      </c>
      <c r="DC132" s="2108">
        <v>406.11</v>
      </c>
      <c r="DD132" s="2108">
        <v>412.14</v>
      </c>
      <c r="DE132" s="2108">
        <v>414.14</v>
      </c>
      <c r="DF132" s="2108">
        <v>420.9</v>
      </c>
      <c r="DG132" s="2108">
        <v>426.79</v>
      </c>
      <c r="DH132" s="2108">
        <v>433.21</v>
      </c>
      <c r="DI132" s="2108">
        <v>436.53</v>
      </c>
      <c r="DJ132" s="2108">
        <v>435.56</v>
      </c>
      <c r="DK132" s="2108">
        <v>436.41</v>
      </c>
      <c r="DL132" s="2108">
        <v>440.47</v>
      </c>
      <c r="DM132" s="2108">
        <v>443.96</v>
      </c>
      <c r="DN132" s="2108">
        <v>448.44</v>
      </c>
      <c r="DO132" s="2108">
        <v>457.08</v>
      </c>
      <c r="DP132" s="2108">
        <v>463.37</v>
      </c>
      <c r="DQ132" s="2108">
        <v>466.87</v>
      </c>
      <c r="DR132" s="2108">
        <v>469.23</v>
      </c>
      <c r="DS132" s="2108">
        <v>472.75</v>
      </c>
      <c r="DT132" s="2108">
        <v>476.6</v>
      </c>
      <c r="DU132" s="2108">
        <v>484.12</v>
      </c>
      <c r="DV132" s="2108">
        <v>487.78</v>
      </c>
      <c r="DW132" s="2108">
        <v>491.35</v>
      </c>
      <c r="DX132" s="2108">
        <v>499.1</v>
      </c>
      <c r="DY132" s="2108">
        <v>503.85</v>
      </c>
      <c r="DZ132" s="2108">
        <v>504.03</v>
      </c>
      <c r="EA132" s="2108">
        <v>505.85</v>
      </c>
      <c r="EB132" s="2108">
        <v>511.97</v>
      </c>
      <c r="EC132" s="2108">
        <v>516.37</v>
      </c>
      <c r="ED132" s="2108">
        <v>523.21</v>
      </c>
      <c r="EE132" s="2108">
        <v>526.20000000000005</v>
      </c>
      <c r="EF132" s="2108">
        <v>537.23</v>
      </c>
      <c r="EG132" s="2108">
        <v>542.58000000000004</v>
      </c>
      <c r="EH132" s="2108">
        <v>544.85</v>
      </c>
      <c r="EI132" s="2108">
        <v>544.51</v>
      </c>
      <c r="EJ132" s="2108">
        <v>554.47</v>
      </c>
      <c r="EK132" s="2108">
        <v>560.98</v>
      </c>
      <c r="EL132" s="2108">
        <v>566.63</v>
      </c>
      <c r="EM132" s="2108">
        <v>570.44000000000005</v>
      </c>
      <c r="EN132" s="2108">
        <v>577.84</v>
      </c>
      <c r="EO132" s="2108">
        <v>584.49</v>
      </c>
      <c r="EP132" s="2108">
        <v>588.23</v>
      </c>
      <c r="EQ132" s="2108">
        <v>592.61</v>
      </c>
      <c r="ER132" s="2108">
        <v>596.86</v>
      </c>
      <c r="ES132" s="2108">
        <v>606.91</v>
      </c>
      <c r="ET132" s="2108">
        <v>612.66</v>
      </c>
      <c r="EU132" s="2108">
        <v>617.86</v>
      </c>
      <c r="EV132" s="2108">
        <v>623.41</v>
      </c>
      <c r="EW132" s="2108">
        <v>632.32000000000005</v>
      </c>
      <c r="EX132" s="2108">
        <v>638.02</v>
      </c>
      <c r="EY132" s="2108">
        <v>644.27</v>
      </c>
      <c r="EZ132" s="2108">
        <v>659.38</v>
      </c>
      <c r="FA132" s="2108">
        <v>706.71</v>
      </c>
      <c r="FB132" s="2108">
        <v>738.53</v>
      </c>
      <c r="FC132" s="2108">
        <v>754.65</v>
      </c>
      <c r="FD132" s="2108">
        <v>765.43</v>
      </c>
      <c r="FE132" s="2108">
        <v>772.2</v>
      </c>
      <c r="FF132" s="2108">
        <v>783.97</v>
      </c>
      <c r="FG132" s="2108">
        <v>789.47</v>
      </c>
      <c r="FH132" s="2108">
        <v>798.91</v>
      </c>
      <c r="FI132" s="2108">
        <v>812.01</v>
      </c>
      <c r="FJ132" s="2108">
        <v>821.4</v>
      </c>
      <c r="FK132" s="2108">
        <v>825.9</v>
      </c>
      <c r="FL132" s="2108">
        <v>830</v>
      </c>
      <c r="FM132" s="2108">
        <v>823.06</v>
      </c>
      <c r="FN132" s="2108">
        <v>824.19</v>
      </c>
      <c r="FO132" s="2108">
        <v>825.55</v>
      </c>
      <c r="FP132" s="2108">
        <v>837.99</v>
      </c>
      <c r="FQ132" s="2108">
        <v>849.01</v>
      </c>
      <c r="FR132" s="2108">
        <v>856.82</v>
      </c>
      <c r="FS132" s="2108">
        <v>873.86</v>
      </c>
      <c r="FT132" s="2108">
        <v>884.28</v>
      </c>
      <c r="FU132" s="2108">
        <v>894.35</v>
      </c>
      <c r="FV132" s="2108">
        <v>902.26</v>
      </c>
      <c r="FW132" s="2113">
        <v>1239.8561553135437</v>
      </c>
      <c r="FX132" s="2113">
        <v>1254.0793253176705</v>
      </c>
      <c r="FY132" s="2113">
        <v>100</v>
      </c>
      <c r="FZ132" s="2113">
        <v>104.82017993927002</v>
      </c>
      <c r="GA132" s="2113">
        <v>109.13970040110428</v>
      </c>
      <c r="GB132" s="2113">
        <v>113.49509705880649</v>
      </c>
      <c r="GC132" s="2113">
        <v>114.58445195949882</v>
      </c>
      <c r="GD132" s="2113">
        <v>111.73454787765927</v>
      </c>
      <c r="GE132" s="2113">
        <v>113.91326692095569</v>
      </c>
      <c r="GF132" s="2114">
        <v>114.97938142680664</v>
      </c>
      <c r="GG132" s="1960">
        <v>112.86472557847904</v>
      </c>
      <c r="GH132" s="2114">
        <v>112.86472557847904</v>
      </c>
      <c r="GI132" s="2114">
        <v>113.64107850799122</v>
      </c>
      <c r="GJ132" s="2113">
        <v>115.33495023168187</v>
      </c>
      <c r="GK132" s="2113">
        <v>116.36620753647875</v>
      </c>
      <c r="GL132" s="2113">
        <v>119.37558466590997</v>
      </c>
      <c r="GM132" s="2114">
        <v>121.48894005836367</v>
      </c>
      <c r="GN132" s="2114">
        <v>122.83747382756525</v>
      </c>
      <c r="GO132" s="2115">
        <v>122.83747382756525</v>
      </c>
      <c r="GP132" s="2116">
        <v>122.83747382756525</v>
      </c>
      <c r="GQ132" s="2116">
        <v>124.49399018752264</v>
      </c>
      <c r="GR132" s="2116">
        <v>126.86264763460913</v>
      </c>
      <c r="GS132" s="2116">
        <v>122.1535232279072</v>
      </c>
      <c r="GT132" s="1960">
        <v>122.73449674773597</v>
      </c>
      <c r="GU132" s="1960">
        <v>122.73885681319986</v>
      </c>
      <c r="GV132" s="1960">
        <v>124.14352082083745</v>
      </c>
      <c r="GW132" s="1960">
        <v>126.09997147344102</v>
      </c>
      <c r="GX132" s="1960">
        <v>130.38890872750568</v>
      </c>
      <c r="GY132" s="1960">
        <v>131.81434728224141</v>
      </c>
      <c r="GZ132" s="1960">
        <v>145.51126634653934</v>
      </c>
      <c r="HA132" s="1960">
        <v>147.66217219461785</v>
      </c>
      <c r="HB132" s="1960">
        <v>152.83653944400231</v>
      </c>
      <c r="HC132" s="1960">
        <v>158.14203167978383</v>
      </c>
      <c r="HD132" s="1960">
        <v>173.62250954986399</v>
      </c>
      <c r="HE132" s="1960">
        <v>191.093371687683</v>
      </c>
      <c r="HF132" s="1960">
        <v>207.10285605246565</v>
      </c>
      <c r="HG132" s="1960">
        <v>227.60995206974349</v>
      </c>
      <c r="HH132" s="2117">
        <v>232.23060523206158</v>
      </c>
      <c r="HI132" s="1960">
        <v>234.89334904372834</v>
      </c>
      <c r="HJ132" s="1960">
        <v>252.34130109409548</v>
      </c>
      <c r="HK132" s="1960">
        <v>277.67800411192684</v>
      </c>
      <c r="HL132" s="1960">
        <v>289.0031905397679</v>
      </c>
      <c r="HM132" s="1960">
        <v>300.52156405735735</v>
      </c>
      <c r="HN132" s="1960">
        <v>313.88137545836912</v>
      </c>
      <c r="HO132" s="1960">
        <v>323.0000922722819</v>
      </c>
      <c r="HP132" s="1960">
        <v>366.80510566660809</v>
      </c>
      <c r="HQ132" s="1960">
        <v>389.63374810743096</v>
      </c>
      <c r="HR132" s="1960">
        <v>392.45803124087593</v>
      </c>
      <c r="HS132" s="1960">
        <v>411.16504533948978</v>
      </c>
      <c r="HT132" s="1962">
        <v>428.46101623162804</v>
      </c>
      <c r="HU132" s="1961">
        <v>437.40548554070659</v>
      </c>
      <c r="HV132" s="1960">
        <v>441.18750927106669</v>
      </c>
      <c r="HW132" s="1960">
        <v>444.59513502161246</v>
      </c>
      <c r="HX132" s="1960">
        <v>499.28595273422894</v>
      </c>
      <c r="HY132" s="1960">
        <v>503.34701864340792</v>
      </c>
      <c r="HZ132" s="1960">
        <v>524.97496963239917</v>
      </c>
      <c r="IA132" s="1960">
        <v>535.89982630740872</v>
      </c>
      <c r="IB132" s="1960">
        <v>542.03596267611931</v>
      </c>
      <c r="IC132" s="1960">
        <v>550.89074016344239</v>
      </c>
      <c r="ID132" s="1960">
        <v>566.54840868811334</v>
      </c>
      <c r="IE132" s="1960">
        <v>577.93847502563267</v>
      </c>
      <c r="IF132" s="1960">
        <v>590.75801637718905</v>
      </c>
      <c r="IG132" s="1961">
        <v>618.25573042935252</v>
      </c>
      <c r="IH132" s="1960">
        <v>645.10065142313408</v>
      </c>
      <c r="II132" s="1960">
        <v>656.46757076416168</v>
      </c>
      <c r="IJ132" s="1961">
        <v>673.68577416044513</v>
      </c>
      <c r="IK132" s="1960">
        <v>694.86594906190032</v>
      </c>
      <c r="IL132" s="1960">
        <v>705.58475823306128</v>
      </c>
      <c r="IM132" s="1960">
        <v>721.33213684305451</v>
      </c>
      <c r="IN132" s="1960">
        <v>737.47352784247619</v>
      </c>
      <c r="IO132" s="1960">
        <v>738.77119806164421</v>
      </c>
      <c r="IP132" s="1960">
        <v>768.32521651652962</v>
      </c>
      <c r="IQ132" s="1960">
        <v>773.2747675613291</v>
      </c>
      <c r="IR132" s="1960">
        <v>784.67016122385473</v>
      </c>
      <c r="IS132" s="2274">
        <v>806.42804550685491</v>
      </c>
      <c r="IT132" s="1960">
        <v>827.26292139455984</v>
      </c>
      <c r="IU132" s="1960">
        <v>864.46605795276332</v>
      </c>
      <c r="IV132" s="1960">
        <v>892.70983320223661</v>
      </c>
      <c r="IW132" s="1960">
        <v>945.3974313470809</v>
      </c>
      <c r="IX132" s="1960">
        <v>986.12494498340413</v>
      </c>
      <c r="IY132" s="1960">
        <v>1084.8399341289135</v>
      </c>
      <c r="IZ132" s="1960">
        <v>1120.4505343753888</v>
      </c>
      <c r="JA132" s="1960">
        <v>1184.5832273019478</v>
      </c>
      <c r="JB132" s="1960">
        <v>1263.7713024722755</v>
      </c>
      <c r="JC132" s="1960">
        <v>1336.8339243148182</v>
      </c>
      <c r="JD132" s="1960">
        <v>1490.0517126900652</v>
      </c>
      <c r="JE132" s="2274">
        <v>1580.3029659230369</v>
      </c>
      <c r="JF132" s="2117">
        <v>1627.0214747998841</v>
      </c>
      <c r="JG132" s="2103">
        <f t="shared" si="13"/>
        <v>1.0295630077803211</v>
      </c>
      <c r="JI132" s="2155"/>
      <c r="JJ132" s="2104"/>
    </row>
    <row r="133" spans="2:270" ht="94.5" hidden="1">
      <c r="B133" s="2105">
        <v>113</v>
      </c>
      <c r="C133" s="2425" t="s">
        <v>76</v>
      </c>
      <c r="D133" s="2425" t="s">
        <v>481</v>
      </c>
      <c r="E133" s="2128" t="s">
        <v>285</v>
      </c>
      <c r="F133" s="2106" t="s">
        <v>233</v>
      </c>
      <c r="G133" s="2106"/>
      <c r="H133" s="2106" t="s">
        <v>737</v>
      </c>
      <c r="I133" s="2106" t="s">
        <v>930</v>
      </c>
      <c r="J133" s="2359" t="s">
        <v>1123</v>
      </c>
      <c r="K133" s="2425" t="s">
        <v>850</v>
      </c>
      <c r="L133" s="2110">
        <v>12.29</v>
      </c>
      <c r="M133" s="2110">
        <v>12.29</v>
      </c>
      <c r="N133" s="2110">
        <v>12.29</v>
      </c>
      <c r="O133" s="2110">
        <v>12.29</v>
      </c>
      <c r="P133" s="2110">
        <v>13.72</v>
      </c>
      <c r="Q133" s="2110">
        <v>13.72</v>
      </c>
      <c r="R133" s="2110">
        <v>13.72</v>
      </c>
      <c r="S133" s="2110">
        <v>19.62</v>
      </c>
      <c r="T133" s="2110">
        <v>19.62</v>
      </c>
      <c r="U133" s="2110">
        <v>19.62</v>
      </c>
      <c r="V133" s="2110">
        <v>19.62</v>
      </c>
      <c r="W133" s="2110">
        <v>19.09</v>
      </c>
      <c r="X133" s="2110">
        <v>20.02</v>
      </c>
      <c r="Y133" s="2110">
        <v>20.02</v>
      </c>
      <c r="Z133" s="2110">
        <v>20.37</v>
      </c>
      <c r="AA133" s="2110">
        <v>20.37</v>
      </c>
      <c r="AB133" s="2110">
        <v>20.37</v>
      </c>
      <c r="AC133" s="2110">
        <v>23.96</v>
      </c>
      <c r="AD133" s="2110">
        <v>23.96</v>
      </c>
      <c r="AE133" s="2110">
        <v>23.96</v>
      </c>
      <c r="AF133" s="2110">
        <v>23.96</v>
      </c>
      <c r="AG133" s="2110">
        <v>23.96</v>
      </c>
      <c r="AH133" s="2110">
        <v>22.33</v>
      </c>
      <c r="AI133" s="2110">
        <v>22.33</v>
      </c>
      <c r="AJ133" s="2110">
        <v>22.33</v>
      </c>
      <c r="AK133" s="2110">
        <v>23.7</v>
      </c>
      <c r="AL133" s="2110">
        <v>23.7</v>
      </c>
      <c r="AM133" s="2110">
        <v>23.7</v>
      </c>
      <c r="AN133" s="2110">
        <v>23.7</v>
      </c>
      <c r="AO133" s="2110">
        <v>23.7</v>
      </c>
      <c r="AP133" s="2110">
        <v>23.7</v>
      </c>
      <c r="AQ133" s="2110">
        <v>23.7</v>
      </c>
      <c r="AR133" s="2110">
        <v>23.7</v>
      </c>
      <c r="AS133" s="2110">
        <v>23.7</v>
      </c>
      <c r="AT133" s="2110">
        <v>23.7</v>
      </c>
      <c r="AU133" s="2110">
        <v>23.7</v>
      </c>
      <c r="AV133" s="2110">
        <v>23.7</v>
      </c>
      <c r="AW133" s="2111">
        <v>23.7</v>
      </c>
      <c r="AX133" s="2111">
        <v>23.11</v>
      </c>
      <c r="AY133" s="2111">
        <v>23.11</v>
      </c>
      <c r="AZ133" s="2111">
        <v>23.11</v>
      </c>
      <c r="BA133" s="2111">
        <v>23.93</v>
      </c>
      <c r="BB133" s="2111">
        <v>23.93</v>
      </c>
      <c r="BC133" s="2111">
        <v>23.93</v>
      </c>
      <c r="BD133" s="2112">
        <v>23.93</v>
      </c>
      <c r="BE133" s="2111">
        <v>23.93</v>
      </c>
      <c r="BF133" s="2112">
        <v>23.93</v>
      </c>
      <c r="BG133" s="2112">
        <v>23.93</v>
      </c>
      <c r="BH133" s="2112">
        <v>23.93</v>
      </c>
      <c r="BI133" s="2108">
        <v>23.93</v>
      </c>
      <c r="BJ133" s="2108">
        <v>23.93</v>
      </c>
      <c r="BK133" s="2108">
        <v>23.93</v>
      </c>
      <c r="BL133" s="2108">
        <v>23.93</v>
      </c>
      <c r="BM133" s="2108">
        <v>23.93</v>
      </c>
      <c r="BN133" s="2108">
        <v>23.93</v>
      </c>
      <c r="BO133" s="2108">
        <v>23.93</v>
      </c>
      <c r="BP133" s="2108">
        <v>23.93</v>
      </c>
      <c r="BQ133" s="2108">
        <v>23.93</v>
      </c>
      <c r="BR133" s="2108">
        <v>23.93</v>
      </c>
      <c r="BS133" s="2108">
        <v>23.93</v>
      </c>
      <c r="BT133" s="2108">
        <v>23.93</v>
      </c>
      <c r="BU133" s="2108">
        <v>23.93</v>
      </c>
      <c r="BV133" s="2108">
        <v>23.93</v>
      </c>
      <c r="BW133" s="2108">
        <v>28.3</v>
      </c>
      <c r="BX133" s="2108">
        <v>28.3</v>
      </c>
      <c r="BY133" s="2108">
        <v>28.3</v>
      </c>
      <c r="BZ133" s="2108">
        <v>28.3</v>
      </c>
      <c r="CA133" s="2108">
        <v>28.3</v>
      </c>
      <c r="CB133" s="2108">
        <v>28.3</v>
      </c>
      <c r="CC133" s="2108">
        <v>28.3</v>
      </c>
      <c r="CD133" s="2108">
        <v>28.3</v>
      </c>
      <c r="CE133" s="2108">
        <v>28.3</v>
      </c>
      <c r="CF133" s="2108">
        <v>32.4</v>
      </c>
      <c r="CG133" s="2108">
        <v>32.4</v>
      </c>
      <c r="CH133" s="2108">
        <v>41.23</v>
      </c>
      <c r="CI133" s="2108">
        <v>41.23</v>
      </c>
      <c r="CJ133" s="2108">
        <v>41.23</v>
      </c>
      <c r="CK133" s="2108">
        <v>41.23</v>
      </c>
      <c r="CL133" s="2108">
        <v>41.23</v>
      </c>
      <c r="CM133" s="2108">
        <v>44.83</v>
      </c>
      <c r="CN133" s="2108">
        <v>44.83</v>
      </c>
      <c r="CO133" s="2108">
        <v>46.01</v>
      </c>
      <c r="CP133" s="2108">
        <v>46.01</v>
      </c>
      <c r="CQ133" s="2108">
        <v>46.01</v>
      </c>
      <c r="CR133" s="2108">
        <v>48.4</v>
      </c>
      <c r="CS133" s="2108">
        <v>48.4</v>
      </c>
      <c r="CT133" s="2108">
        <v>49.11</v>
      </c>
      <c r="CU133" s="2108">
        <v>49.11</v>
      </c>
      <c r="CV133" s="2108">
        <v>49.11</v>
      </c>
      <c r="CW133" s="2108">
        <v>49.11</v>
      </c>
      <c r="CX133" s="2108">
        <v>50.88</v>
      </c>
      <c r="CY133" s="2108">
        <v>50.88</v>
      </c>
      <c r="CZ133" s="2108">
        <v>51.13</v>
      </c>
      <c r="DA133" s="2108">
        <v>51.13</v>
      </c>
      <c r="DB133" s="2108">
        <v>51.13</v>
      </c>
      <c r="DC133" s="2108">
        <v>51.13</v>
      </c>
      <c r="DD133" s="2108">
        <v>56.220000000000006</v>
      </c>
      <c r="DE133" s="2108">
        <v>56.220000000000006</v>
      </c>
      <c r="DF133" s="2108">
        <v>57.040000000000006</v>
      </c>
      <c r="DG133" s="2108">
        <v>57.040000000000006</v>
      </c>
      <c r="DH133" s="2108">
        <v>57.040000000000006</v>
      </c>
      <c r="DI133" s="2108">
        <v>57.040000000000006</v>
      </c>
      <c r="DJ133" s="2108">
        <v>58.49</v>
      </c>
      <c r="DK133" s="2108">
        <v>58.49</v>
      </c>
      <c r="DL133" s="2108">
        <v>63.9</v>
      </c>
      <c r="DM133" s="2108">
        <v>63.9</v>
      </c>
      <c r="DN133" s="2108">
        <v>66.849999999999994</v>
      </c>
      <c r="DO133" s="2108">
        <v>66.849999999999994</v>
      </c>
      <c r="DP133" s="2108">
        <v>68.349999999999994</v>
      </c>
      <c r="DQ133" s="2108">
        <v>64.11</v>
      </c>
      <c r="DR133" s="2108">
        <v>64.11</v>
      </c>
      <c r="DS133" s="2108">
        <v>65.289999999999992</v>
      </c>
      <c r="DT133" s="2108">
        <v>65.289999999999992</v>
      </c>
      <c r="DU133" s="2108">
        <v>69.38</v>
      </c>
      <c r="DV133" s="2108">
        <v>76.06</v>
      </c>
      <c r="DW133" s="2108">
        <v>78.75</v>
      </c>
      <c r="DX133" s="2108">
        <v>80.289999999999992</v>
      </c>
      <c r="DY133" s="2108">
        <v>80.289999999999992</v>
      </c>
      <c r="DZ133" s="2108">
        <v>80.289999999999992</v>
      </c>
      <c r="EA133" s="2108">
        <v>85.61</v>
      </c>
      <c r="EB133" s="2108">
        <v>85.61</v>
      </c>
      <c r="EC133" s="2108">
        <v>85.61</v>
      </c>
      <c r="ED133" s="2108">
        <v>87.07</v>
      </c>
      <c r="EE133" s="2108">
        <v>91.039999999999992</v>
      </c>
      <c r="EF133" s="2108">
        <v>91.039999999999992</v>
      </c>
      <c r="EG133" s="2108">
        <v>91.039999999999992</v>
      </c>
      <c r="EH133" s="2108">
        <v>91.039999999999992</v>
      </c>
      <c r="EI133" s="2108">
        <v>91.039999999999992</v>
      </c>
      <c r="EJ133" s="2108">
        <v>91.039999999999992</v>
      </c>
      <c r="EK133" s="2108">
        <v>95.18</v>
      </c>
      <c r="EL133" s="2157" t="s">
        <v>853</v>
      </c>
      <c r="EM133" s="2157" t="s">
        <v>853</v>
      </c>
      <c r="EN133" s="2157" t="s">
        <v>853</v>
      </c>
      <c r="EO133" s="2157" t="s">
        <v>853</v>
      </c>
      <c r="EP133" s="2157" t="s">
        <v>853</v>
      </c>
      <c r="EQ133" s="2157" t="s">
        <v>853</v>
      </c>
      <c r="ER133" s="2157" t="s">
        <v>853</v>
      </c>
      <c r="ES133" s="2157" t="s">
        <v>853</v>
      </c>
      <c r="ET133" s="2157" t="s">
        <v>853</v>
      </c>
      <c r="EU133" s="2157" t="s">
        <v>853</v>
      </c>
      <c r="EV133" s="2157" t="s">
        <v>853</v>
      </c>
      <c r="EW133" s="2157" t="s">
        <v>853</v>
      </c>
      <c r="EX133" s="2157" t="s">
        <v>853</v>
      </c>
      <c r="EY133" s="2157" t="s">
        <v>853</v>
      </c>
      <c r="EZ133" s="2157" t="s">
        <v>853</v>
      </c>
      <c r="FA133" s="2157" t="s">
        <v>853</v>
      </c>
      <c r="FB133" s="2157" t="s">
        <v>853</v>
      </c>
      <c r="FC133" s="2157" t="s">
        <v>853</v>
      </c>
      <c r="FD133" s="2157" t="s">
        <v>853</v>
      </c>
      <c r="FE133" s="2157" t="s">
        <v>853</v>
      </c>
      <c r="FF133" s="2157" t="s">
        <v>853</v>
      </c>
      <c r="FG133" s="2157" t="s">
        <v>853</v>
      </c>
      <c r="FH133" s="2157" t="s">
        <v>853</v>
      </c>
      <c r="FI133" s="2157" t="s">
        <v>853</v>
      </c>
      <c r="FJ133" s="2157" t="s">
        <v>853</v>
      </c>
      <c r="FK133" s="2157" t="s">
        <v>853</v>
      </c>
      <c r="FL133" s="2157" t="s">
        <v>853</v>
      </c>
      <c r="FM133" s="2157" t="s">
        <v>853</v>
      </c>
      <c r="FN133" s="2157" t="s">
        <v>853</v>
      </c>
      <c r="FO133" s="2157" t="s">
        <v>853</v>
      </c>
      <c r="FP133" s="2157" t="s">
        <v>853</v>
      </c>
      <c r="FQ133" s="2157" t="s">
        <v>853</v>
      </c>
      <c r="FR133" s="2157" t="s">
        <v>853</v>
      </c>
      <c r="FS133" s="2157" t="s">
        <v>853</v>
      </c>
      <c r="FT133" s="2157" t="s">
        <v>853</v>
      </c>
      <c r="FU133" s="2157" t="s">
        <v>853</v>
      </c>
      <c r="FV133" s="2157" t="s">
        <v>853</v>
      </c>
      <c r="FW133" s="2157" t="s">
        <v>853</v>
      </c>
      <c r="FX133" s="2157" t="s">
        <v>853</v>
      </c>
      <c r="FY133" s="2157">
        <v>100</v>
      </c>
      <c r="FZ133" s="2157" t="s">
        <v>853</v>
      </c>
      <c r="GA133" s="2157" t="s">
        <v>853</v>
      </c>
      <c r="GB133" s="2157" t="s">
        <v>853</v>
      </c>
      <c r="GC133" s="2157" t="s">
        <v>853</v>
      </c>
      <c r="GD133" s="2157" t="s">
        <v>853</v>
      </c>
      <c r="GE133" s="2157" t="s">
        <v>853</v>
      </c>
      <c r="GF133" s="2158" t="s">
        <v>853</v>
      </c>
      <c r="GG133" s="1960" t="s">
        <v>853</v>
      </c>
      <c r="GH133" s="2114" t="s">
        <v>853</v>
      </c>
      <c r="GI133" s="2114" t="s">
        <v>853</v>
      </c>
      <c r="GJ133" s="2113" t="s">
        <v>853</v>
      </c>
      <c r="GK133" s="2113" t="s">
        <v>853</v>
      </c>
      <c r="GL133" s="2113" t="s">
        <v>853</v>
      </c>
      <c r="GM133" s="2114" t="s">
        <v>853</v>
      </c>
      <c r="GN133" s="2114" t="s">
        <v>853</v>
      </c>
      <c r="GO133" s="2115" t="s">
        <v>853</v>
      </c>
      <c r="GP133" s="2116" t="s">
        <v>853</v>
      </c>
      <c r="GQ133" s="2116" t="s">
        <v>853</v>
      </c>
      <c r="GR133" s="2116" t="s">
        <v>853</v>
      </c>
      <c r="GS133" s="2116" t="s">
        <v>853</v>
      </c>
      <c r="GT133" s="1960" t="s">
        <v>853</v>
      </c>
      <c r="GU133" s="1960" t="s">
        <v>853</v>
      </c>
      <c r="GV133" s="1960" t="s">
        <v>853</v>
      </c>
      <c r="GW133" s="1960" t="s">
        <v>853</v>
      </c>
      <c r="GX133" s="1960" t="s">
        <v>853</v>
      </c>
      <c r="GY133" s="1960" t="s">
        <v>853</v>
      </c>
      <c r="GZ133" s="1960" t="s">
        <v>853</v>
      </c>
      <c r="HA133" s="1960" t="s">
        <v>853</v>
      </c>
      <c r="HB133" s="1960" t="s">
        <v>853</v>
      </c>
      <c r="HC133" s="1960" t="s">
        <v>853</v>
      </c>
      <c r="HD133" s="1960" t="s">
        <v>853</v>
      </c>
      <c r="HE133" s="1960" t="s">
        <v>853</v>
      </c>
      <c r="HF133" s="1960" t="s">
        <v>853</v>
      </c>
      <c r="HG133" s="1960" t="s">
        <v>853</v>
      </c>
      <c r="HH133" s="2117" t="s">
        <v>853</v>
      </c>
      <c r="HI133" s="1960" t="s">
        <v>853</v>
      </c>
      <c r="HJ133" s="1960" t="s">
        <v>853</v>
      </c>
      <c r="HK133" s="1960" t="s">
        <v>853</v>
      </c>
      <c r="HL133" s="1960" t="s">
        <v>853</v>
      </c>
      <c r="HM133" s="1960" t="s">
        <v>853</v>
      </c>
      <c r="HN133" s="1960" t="s">
        <v>853</v>
      </c>
      <c r="HO133" s="1965" t="s">
        <v>944</v>
      </c>
      <c r="HP133" s="1960" t="s">
        <v>481</v>
      </c>
      <c r="HQ133" s="1960" t="s">
        <v>481</v>
      </c>
      <c r="HR133" s="1960" t="s">
        <v>481</v>
      </c>
      <c r="HS133" s="1960"/>
      <c r="HT133" s="1962"/>
      <c r="HU133" s="1961"/>
      <c r="HV133" s="1960">
        <v>0</v>
      </c>
      <c r="HW133" s="1960">
        <v>0</v>
      </c>
      <c r="HX133" s="1960">
        <v>0</v>
      </c>
      <c r="HY133" s="1960">
        <v>0</v>
      </c>
      <c r="HZ133" s="1960">
        <v>0</v>
      </c>
      <c r="IA133" s="1960">
        <v>0</v>
      </c>
      <c r="IB133" s="1960">
        <v>0</v>
      </c>
      <c r="IC133" s="1960">
        <v>0</v>
      </c>
      <c r="ID133" s="1960">
        <v>0</v>
      </c>
      <c r="IE133" s="1960">
        <v>0</v>
      </c>
      <c r="IF133" s="1960">
        <v>0</v>
      </c>
      <c r="IG133" s="1961">
        <v>0</v>
      </c>
      <c r="IH133" s="1960">
        <v>0</v>
      </c>
      <c r="II133" s="1960">
        <v>0</v>
      </c>
      <c r="IJ133" s="1961">
        <v>0</v>
      </c>
      <c r="IK133" s="1960">
        <v>0</v>
      </c>
      <c r="IL133" s="1960">
        <v>0</v>
      </c>
      <c r="IM133" s="1960">
        <v>0</v>
      </c>
      <c r="IN133" s="1960">
        <v>0</v>
      </c>
      <c r="IO133" s="1960">
        <v>0</v>
      </c>
      <c r="IP133" s="1960">
        <v>0</v>
      </c>
      <c r="IQ133" s="1960">
        <v>0</v>
      </c>
      <c r="IR133" s="1960">
        <v>0</v>
      </c>
      <c r="IS133" s="2274">
        <v>0</v>
      </c>
      <c r="IT133" s="1960">
        <v>0</v>
      </c>
      <c r="IU133" s="1960">
        <v>0</v>
      </c>
      <c r="IV133" s="1960">
        <v>0</v>
      </c>
      <c r="IW133" s="1960">
        <v>0</v>
      </c>
      <c r="IX133" s="1960">
        <v>0</v>
      </c>
      <c r="IY133" s="1960">
        <v>0</v>
      </c>
      <c r="IZ133" s="1960">
        <v>0</v>
      </c>
      <c r="JA133" s="1960">
        <v>0</v>
      </c>
      <c r="JB133" s="1960">
        <v>0</v>
      </c>
      <c r="JC133" s="1960">
        <v>0</v>
      </c>
      <c r="JD133" s="1960">
        <v>1</v>
      </c>
      <c r="JE133" s="2274">
        <v>0</v>
      </c>
      <c r="JF133" s="2117">
        <v>0</v>
      </c>
      <c r="JG133" s="2103" t="e">
        <f t="shared" si="13"/>
        <v>#DIV/0!</v>
      </c>
      <c r="JI133" s="2155"/>
      <c r="JJ133" s="2104"/>
    </row>
    <row r="134" spans="2:270" ht="47.25">
      <c r="B134" s="2105">
        <v>115</v>
      </c>
      <c r="C134" s="2106" t="s">
        <v>288</v>
      </c>
      <c r="D134" s="2425" t="s">
        <v>1237</v>
      </c>
      <c r="E134" s="2128" t="s">
        <v>484</v>
      </c>
      <c r="F134" s="2106" t="s">
        <v>918</v>
      </c>
      <c r="G134" s="2425" t="s">
        <v>1112</v>
      </c>
      <c r="H134" s="2106" t="s">
        <v>929</v>
      </c>
      <c r="I134" s="2106" t="s">
        <v>930</v>
      </c>
      <c r="J134" s="2359" t="s">
        <v>441</v>
      </c>
      <c r="K134" s="2425"/>
      <c r="L134" s="2110">
        <v>124.2</v>
      </c>
      <c r="M134" s="2110">
        <v>136.9</v>
      </c>
      <c r="N134" s="2110">
        <v>150.5</v>
      </c>
      <c r="O134" s="2110">
        <v>152.9</v>
      </c>
      <c r="P134" s="2110">
        <v>171.6</v>
      </c>
      <c r="Q134" s="2110">
        <v>162.9</v>
      </c>
      <c r="R134" s="2110">
        <v>169.4</v>
      </c>
      <c r="S134" s="2110">
        <v>168.6</v>
      </c>
      <c r="T134" s="2110">
        <v>175.8</v>
      </c>
      <c r="U134" s="2110">
        <v>175.8</v>
      </c>
      <c r="V134" s="2110">
        <v>169.8</v>
      </c>
      <c r="W134" s="2110">
        <v>183.5</v>
      </c>
      <c r="X134" s="2110">
        <v>182.5</v>
      </c>
      <c r="Y134" s="2110">
        <v>182.5</v>
      </c>
      <c r="Z134" s="2110">
        <v>189.6</v>
      </c>
      <c r="AA134" s="2110">
        <v>189</v>
      </c>
      <c r="AB134" s="2110">
        <v>192.8</v>
      </c>
      <c r="AC134" s="2110">
        <v>191.5</v>
      </c>
      <c r="AD134" s="2110">
        <v>191.5</v>
      </c>
      <c r="AE134" s="2110">
        <v>187.5</v>
      </c>
      <c r="AF134" s="2110">
        <v>188.9</v>
      </c>
      <c r="AG134" s="2110">
        <v>184</v>
      </c>
      <c r="AH134" s="2110">
        <v>184.6</v>
      </c>
      <c r="AI134" s="2110">
        <v>184.6</v>
      </c>
      <c r="AJ134" s="2110">
        <v>184.6</v>
      </c>
      <c r="AK134" s="2110">
        <v>190.4</v>
      </c>
      <c r="AL134" s="2110">
        <v>196.2</v>
      </c>
      <c r="AM134" s="2110">
        <v>194.6</v>
      </c>
      <c r="AN134" s="2110">
        <v>195.8</v>
      </c>
      <c r="AO134" s="2110">
        <v>197.1</v>
      </c>
      <c r="AP134" s="2110">
        <v>201.8</v>
      </c>
      <c r="AQ134" s="2110">
        <v>203.3</v>
      </c>
      <c r="AR134" s="2110">
        <v>207.1</v>
      </c>
      <c r="AS134" s="2110">
        <v>203.4</v>
      </c>
      <c r="AT134" s="2110">
        <v>206.2</v>
      </c>
      <c r="AU134" s="2110">
        <v>207.8</v>
      </c>
      <c r="AV134" s="2110">
        <v>212.6</v>
      </c>
      <c r="AW134" s="2111">
        <v>214.2</v>
      </c>
      <c r="AX134" s="2111">
        <v>220.9</v>
      </c>
      <c r="AY134" s="2111">
        <v>220.9</v>
      </c>
      <c r="AZ134" s="2111">
        <v>220</v>
      </c>
      <c r="BA134" s="2111">
        <v>218.2</v>
      </c>
      <c r="BB134" s="2111">
        <v>219</v>
      </c>
      <c r="BC134" s="2111">
        <v>218.8</v>
      </c>
      <c r="BD134" s="2112">
        <v>219</v>
      </c>
      <c r="BE134" s="2111">
        <v>220.5</v>
      </c>
      <c r="BF134" s="2112">
        <v>223.4</v>
      </c>
      <c r="BG134" s="2112">
        <v>225.8</v>
      </c>
      <c r="BH134" s="2112">
        <v>226.6</v>
      </c>
      <c r="BI134" s="2108">
        <v>226.2</v>
      </c>
      <c r="BJ134" s="2108">
        <v>230.8</v>
      </c>
      <c r="BK134" s="2108">
        <v>230.2</v>
      </c>
      <c r="BL134" s="2108">
        <v>230.2</v>
      </c>
      <c r="BM134" s="2108">
        <v>231.7</v>
      </c>
      <c r="BN134" s="2108">
        <v>234.2</v>
      </c>
      <c r="BO134" s="2108">
        <v>234.2</v>
      </c>
      <c r="BP134" s="2108">
        <v>234.2</v>
      </c>
      <c r="BQ134" s="2108">
        <v>238.9</v>
      </c>
      <c r="BR134" s="2108">
        <v>243.1</v>
      </c>
      <c r="BS134" s="2108">
        <v>244.4</v>
      </c>
      <c r="BT134" s="2108">
        <v>249.3</v>
      </c>
      <c r="BU134" s="2108">
        <v>249.3</v>
      </c>
      <c r="BV134" s="2108">
        <v>249.3</v>
      </c>
      <c r="BW134" s="2108">
        <v>256</v>
      </c>
      <c r="BX134" s="2108">
        <v>254.3</v>
      </c>
      <c r="BY134" s="2108">
        <v>260.10000000000002</v>
      </c>
      <c r="BZ134" s="2108">
        <v>273.3</v>
      </c>
      <c r="CA134" s="2108">
        <v>281.8</v>
      </c>
      <c r="CB134" s="2108">
        <v>291.3</v>
      </c>
      <c r="CC134" s="2108">
        <v>298.89999999999998</v>
      </c>
      <c r="CD134" s="2108">
        <v>314.3</v>
      </c>
      <c r="CE134" s="2108">
        <v>320.39999999999998</v>
      </c>
      <c r="CF134" s="2108">
        <v>321.89999999999998</v>
      </c>
      <c r="CG134" s="2108">
        <v>330.4</v>
      </c>
      <c r="CH134" s="2108">
        <v>320.89999999999998</v>
      </c>
      <c r="CI134" s="2108">
        <v>336.8</v>
      </c>
      <c r="CJ134" s="2108">
        <v>345.2</v>
      </c>
      <c r="CK134" s="2108">
        <v>354.1</v>
      </c>
      <c r="CL134" s="2108">
        <v>359.9</v>
      </c>
      <c r="CM134" s="2108">
        <v>363.1</v>
      </c>
      <c r="CN134" s="2108">
        <v>380.8</v>
      </c>
      <c r="CO134" s="2108">
        <v>386.1</v>
      </c>
      <c r="CP134" s="2108">
        <v>386.1</v>
      </c>
      <c r="CQ134" s="2108">
        <v>398</v>
      </c>
      <c r="CR134" s="2108">
        <v>397.9</v>
      </c>
      <c r="CS134" s="2108">
        <v>397.9</v>
      </c>
      <c r="CT134" s="2108">
        <v>395.5</v>
      </c>
      <c r="CU134" s="2108">
        <v>397.9</v>
      </c>
      <c r="CV134" s="2108">
        <v>386.1</v>
      </c>
      <c r="CW134" s="2108">
        <v>386.1</v>
      </c>
      <c r="CX134" s="2108">
        <v>380.1</v>
      </c>
      <c r="CY134" s="2108">
        <v>383.1</v>
      </c>
      <c r="CZ134" s="2108">
        <v>383.1</v>
      </c>
      <c r="DA134" s="2108">
        <v>391.8</v>
      </c>
      <c r="DB134" s="2108">
        <v>397.2</v>
      </c>
      <c r="DC134" s="2108">
        <v>397.2</v>
      </c>
      <c r="DD134" s="2108">
        <v>394.8</v>
      </c>
      <c r="DE134" s="2108">
        <v>392.1</v>
      </c>
      <c r="DF134" s="2108">
        <v>399.1</v>
      </c>
      <c r="DG134" s="2108">
        <v>408.1</v>
      </c>
      <c r="DH134" s="2108">
        <v>418.4</v>
      </c>
      <c r="DI134" s="2108">
        <v>421.6</v>
      </c>
      <c r="DJ134" s="2108">
        <v>423.7</v>
      </c>
      <c r="DK134" s="2108">
        <v>424.4</v>
      </c>
      <c r="DL134" s="2108">
        <v>441</v>
      </c>
      <c r="DM134" s="2108">
        <v>442.1</v>
      </c>
      <c r="DN134" s="2108">
        <v>442.1</v>
      </c>
      <c r="DO134" s="2108">
        <v>445.9</v>
      </c>
      <c r="DP134" s="2108">
        <v>446.4</v>
      </c>
      <c r="DQ134" s="2108">
        <v>453.3</v>
      </c>
      <c r="DR134" s="2108">
        <v>459.2</v>
      </c>
      <c r="DS134" s="2108">
        <v>470.6</v>
      </c>
      <c r="DT134" s="2108">
        <v>477.3</v>
      </c>
      <c r="DU134" s="2108">
        <v>504.6</v>
      </c>
      <c r="DV134" s="2108">
        <v>509.2</v>
      </c>
      <c r="DW134" s="2108">
        <v>513.1</v>
      </c>
      <c r="DX134" s="2108">
        <v>518.29999999999995</v>
      </c>
      <c r="DY134" s="2108">
        <v>531.9</v>
      </c>
      <c r="DZ134" s="2108">
        <v>547.5</v>
      </c>
      <c r="EA134" s="2108">
        <v>557.29999999999995</v>
      </c>
      <c r="EB134" s="2108">
        <v>560.6</v>
      </c>
      <c r="EC134" s="2108">
        <v>571.4</v>
      </c>
      <c r="ED134" s="2108">
        <v>580.4</v>
      </c>
      <c r="EE134" s="2108">
        <v>594.29999999999995</v>
      </c>
      <c r="EF134" s="2108">
        <v>602.5</v>
      </c>
      <c r="EG134" s="2108">
        <v>606.1</v>
      </c>
      <c r="EH134" s="2108">
        <v>607</v>
      </c>
      <c r="EI134" s="2108">
        <v>611.79999999999995</v>
      </c>
      <c r="EJ134" s="2108">
        <v>619.20000000000005</v>
      </c>
      <c r="EK134" s="2108">
        <v>627.4</v>
      </c>
      <c r="EL134" s="2108">
        <v>640.20000000000005</v>
      </c>
      <c r="EM134" s="2108">
        <v>643</v>
      </c>
      <c r="EN134" s="2108">
        <v>655.5</v>
      </c>
      <c r="EO134" s="2108">
        <v>660.6</v>
      </c>
      <c r="EP134" s="2108">
        <v>664.3</v>
      </c>
      <c r="EQ134" s="2108">
        <v>687.4</v>
      </c>
      <c r="ER134" s="2108">
        <v>690.4</v>
      </c>
      <c r="ES134" s="2108">
        <v>701.9</v>
      </c>
      <c r="ET134" s="2108">
        <v>725</v>
      </c>
      <c r="EU134" s="2108">
        <v>733.9</v>
      </c>
      <c r="EV134" s="2108">
        <v>744.5</v>
      </c>
      <c r="EW134" s="2108">
        <v>762.1</v>
      </c>
      <c r="EX134" s="2108">
        <v>771.2</v>
      </c>
      <c r="EY134" s="2108">
        <v>793.1</v>
      </c>
      <c r="EZ134" s="2108">
        <v>810.1</v>
      </c>
      <c r="FA134" s="2108">
        <v>827.1</v>
      </c>
      <c r="FB134" s="2108">
        <v>954.7</v>
      </c>
      <c r="FC134" s="2108">
        <v>1011.7</v>
      </c>
      <c r="FD134" s="2108">
        <v>993.7</v>
      </c>
      <c r="FE134" s="2108">
        <v>1017.3</v>
      </c>
      <c r="FF134" s="2108">
        <v>1006.1</v>
      </c>
      <c r="FG134" s="2108">
        <v>1021.1</v>
      </c>
      <c r="FH134" s="2108">
        <v>1028.5999999999999</v>
      </c>
      <c r="FI134" s="2108">
        <v>1030.5999999999999</v>
      </c>
      <c r="FJ134" s="2108">
        <v>1032.2</v>
      </c>
      <c r="FK134" s="2108">
        <v>1054.2</v>
      </c>
      <c r="FL134" s="2108">
        <v>1066.8</v>
      </c>
      <c r="FM134" s="2108">
        <v>1072.7</v>
      </c>
      <c r="FN134" s="2108">
        <v>1075.7</v>
      </c>
      <c r="FO134" s="2108">
        <v>1124.9000000000001</v>
      </c>
      <c r="FP134" s="2108">
        <v>1131.5999999999999</v>
      </c>
      <c r="FQ134" s="2108">
        <v>1165.7</v>
      </c>
      <c r="FR134" s="2108">
        <v>1167.7</v>
      </c>
      <c r="FS134" s="2108">
        <v>1187</v>
      </c>
      <c r="FT134" s="2108">
        <v>1199.9000000000001</v>
      </c>
      <c r="FU134" s="2108">
        <v>1216</v>
      </c>
      <c r="FV134" s="2108">
        <v>1253</v>
      </c>
      <c r="FW134" s="2113">
        <v>1302.6739663862315</v>
      </c>
      <c r="FX134" s="2113">
        <v>1349.3396396742066</v>
      </c>
      <c r="FY134" s="2113">
        <v>100</v>
      </c>
      <c r="FZ134" s="2113">
        <v>100.04210472106934</v>
      </c>
      <c r="GA134" s="2113">
        <v>101.21972055299011</v>
      </c>
      <c r="GB134" s="2113">
        <v>104.44590753228077</v>
      </c>
      <c r="GC134" s="2113">
        <v>107.26568038669751</v>
      </c>
      <c r="GD134" s="2113">
        <v>108.10116167573928</v>
      </c>
      <c r="GE134" s="2113">
        <v>108.28573734534758</v>
      </c>
      <c r="GF134" s="2114">
        <v>107.60164260035334</v>
      </c>
      <c r="GG134" s="1960">
        <v>108.24869360802138</v>
      </c>
      <c r="GH134" s="2114">
        <v>107.50530558209731</v>
      </c>
      <c r="GI134" s="2114">
        <v>107.6851857802363</v>
      </c>
      <c r="GJ134" s="2113">
        <v>108.45630884497109</v>
      </c>
      <c r="GK134" s="2113">
        <v>108.45630884497109</v>
      </c>
      <c r="GL134" s="2113">
        <v>109.1700284057336</v>
      </c>
      <c r="GM134" s="2114">
        <v>112.1380588809086</v>
      </c>
      <c r="GN134" s="2114">
        <v>114.24629675876024</v>
      </c>
      <c r="GO134" s="2115">
        <v>114.24629675876024</v>
      </c>
      <c r="GP134" s="2116">
        <v>116.24826760283243</v>
      </c>
      <c r="GQ134" s="2116">
        <v>116.95341163253349</v>
      </c>
      <c r="GR134" s="2116">
        <v>117.45713367584311</v>
      </c>
      <c r="GS134" s="2116">
        <v>117.86471735410893</v>
      </c>
      <c r="GT134" s="1960">
        <v>120.92302045256875</v>
      </c>
      <c r="GU134" s="1960">
        <v>121.53588044251475</v>
      </c>
      <c r="GV134" s="1960">
        <v>124.09777195003639</v>
      </c>
      <c r="GW134" s="1960">
        <v>125.27220684073214</v>
      </c>
      <c r="GX134" s="1960">
        <v>127.71898936503329</v>
      </c>
      <c r="GY134" s="1960">
        <v>130.15473125672952</v>
      </c>
      <c r="GZ134" s="1960">
        <v>131.34513870528477</v>
      </c>
      <c r="HA134" s="1960">
        <v>133.60120530724865</v>
      </c>
      <c r="HB134" s="1960">
        <v>137.70232806447279</v>
      </c>
      <c r="HC134" s="1960">
        <v>156.72688640609616</v>
      </c>
      <c r="HD134" s="1960">
        <v>137.06090725758455</v>
      </c>
      <c r="HE134" s="1960">
        <v>156.65683449179392</v>
      </c>
      <c r="HF134" s="1960">
        <v>163.67502644448479</v>
      </c>
      <c r="HG134" s="1960">
        <v>163.09742526654054</v>
      </c>
      <c r="HH134" s="2117">
        <v>165.68562786804603</v>
      </c>
      <c r="HI134" s="1960">
        <v>163.85248461928668</v>
      </c>
      <c r="HJ134" s="1960">
        <v>181.75979934396045</v>
      </c>
      <c r="HK134" s="1960">
        <v>192.27252119923403</v>
      </c>
      <c r="HL134" s="1960">
        <v>201.27057337962464</v>
      </c>
      <c r="HM134" s="1960">
        <v>200.89079424002153</v>
      </c>
      <c r="HN134" s="1960">
        <v>209.59207791188999</v>
      </c>
      <c r="HO134" s="1960">
        <v>212.15032277229625</v>
      </c>
      <c r="HP134" s="1960">
        <v>265.47397400488268</v>
      </c>
      <c r="HQ134" s="1960">
        <v>274.02519086778437</v>
      </c>
      <c r="HR134" s="1960">
        <v>281.00389910527309</v>
      </c>
      <c r="HS134" s="1960">
        <v>293.02713128928849</v>
      </c>
      <c r="HT134" s="1962">
        <v>295.98328427754268</v>
      </c>
      <c r="HU134" s="1961">
        <v>295.68177813629228</v>
      </c>
      <c r="HV134" s="1960">
        <v>304.81731523675683</v>
      </c>
      <c r="HW134" s="1960">
        <v>304.81731523675683</v>
      </c>
      <c r="HX134" s="1960">
        <v>304.81731523675683</v>
      </c>
      <c r="HY134" s="1960">
        <v>316.93315267574957</v>
      </c>
      <c r="HZ134" s="1960">
        <v>319.80759846316039</v>
      </c>
      <c r="IA134" s="1960">
        <v>343.40958162148257</v>
      </c>
      <c r="IB134" s="1960">
        <v>385.22639450530744</v>
      </c>
      <c r="IC134" s="1960">
        <v>388.39704248317724</v>
      </c>
      <c r="ID134" s="1960">
        <v>408.08522402029359</v>
      </c>
      <c r="IE134" s="1960">
        <v>410.48751050988812</v>
      </c>
      <c r="IF134" s="1960">
        <v>410.41746709921966</v>
      </c>
      <c r="IG134" s="1961">
        <v>436.20341312829856</v>
      </c>
      <c r="IH134" s="1960">
        <v>442.0173767147835</v>
      </c>
      <c r="II134" s="1960">
        <v>467.83587088447399</v>
      </c>
      <c r="IJ134" s="1961">
        <v>485.82619130031014</v>
      </c>
      <c r="IK134" s="1960">
        <v>500.15145350753647</v>
      </c>
      <c r="IL134" s="1960">
        <v>502.86848064616788</v>
      </c>
      <c r="IM134" s="1960">
        <v>529.64037492579882</v>
      </c>
      <c r="IN134" s="1960">
        <v>533.85410408257053</v>
      </c>
      <c r="IO134" s="1960">
        <v>556.01296433209382</v>
      </c>
      <c r="IP134" s="1960">
        <v>569.86225423186693</v>
      </c>
      <c r="IQ134" s="1960">
        <v>597.25857205814862</v>
      </c>
      <c r="IR134" s="1960">
        <v>605.84143091415342</v>
      </c>
      <c r="IS134" s="2274">
        <v>622.419582558907</v>
      </c>
      <c r="IT134" s="1960">
        <v>638.89542183156243</v>
      </c>
      <c r="IU134" s="1960">
        <v>664.90660139920908</v>
      </c>
      <c r="IV134" s="1960">
        <v>689.78326832455355</v>
      </c>
      <c r="IW134" s="1960">
        <v>726.59595314442015</v>
      </c>
      <c r="IX134" s="1960">
        <v>738.72353089425008</v>
      </c>
      <c r="IY134" s="1960">
        <v>795.0594198076617</v>
      </c>
      <c r="IZ134" s="1960">
        <v>809.45738465535112</v>
      </c>
      <c r="JA134" s="1960">
        <v>830.53406770078993</v>
      </c>
      <c r="JB134" s="1960">
        <v>864.04220784295046</v>
      </c>
      <c r="JC134" s="1960">
        <v>897.97014821492689</v>
      </c>
      <c r="JD134" s="1960">
        <v>939.3116162515671</v>
      </c>
      <c r="JE134" s="2274">
        <v>957.44831304819161</v>
      </c>
      <c r="JF134" s="2117">
        <v>1001.0464164519603</v>
      </c>
      <c r="JG134" s="2103">
        <f t="shared" ref="JG134:JG197" si="14">+JF134/JE134</f>
        <v>1.0455357253332738</v>
      </c>
      <c r="JI134" s="2155"/>
      <c r="JJ134" s="2104"/>
    </row>
    <row r="135" spans="2:270" ht="31.5">
      <c r="B135" s="2105">
        <v>117</v>
      </c>
      <c r="C135" s="2106" t="s">
        <v>292</v>
      </c>
      <c r="D135" s="2425">
        <v>301007</v>
      </c>
      <c r="E135" s="2128" t="s">
        <v>293</v>
      </c>
      <c r="F135" s="2106" t="s">
        <v>918</v>
      </c>
      <c r="G135" s="2425" t="s">
        <v>1112</v>
      </c>
      <c r="H135" s="2106" t="s">
        <v>919</v>
      </c>
      <c r="I135" s="2106" t="s">
        <v>920</v>
      </c>
      <c r="J135" s="2359" t="s">
        <v>294</v>
      </c>
      <c r="K135" s="2425"/>
      <c r="L135" s="2110">
        <v>106.96</v>
      </c>
      <c r="M135" s="2110">
        <v>113.47</v>
      </c>
      <c r="N135" s="2110">
        <v>120.35</v>
      </c>
      <c r="O135" s="2110">
        <v>123.04</v>
      </c>
      <c r="P135" s="2110">
        <v>143.91999999999999</v>
      </c>
      <c r="Q135" s="2110">
        <v>173.18</v>
      </c>
      <c r="R135" s="2110">
        <v>175.86</v>
      </c>
      <c r="S135" s="2110">
        <v>183.95</v>
      </c>
      <c r="T135" s="2110">
        <v>188.91</v>
      </c>
      <c r="U135" s="2110">
        <v>197.1</v>
      </c>
      <c r="V135" s="2110">
        <v>193.25</v>
      </c>
      <c r="W135" s="2110">
        <v>193.25</v>
      </c>
      <c r="X135" s="2110">
        <v>198.15</v>
      </c>
      <c r="Y135" s="2110">
        <v>196.7</v>
      </c>
      <c r="Z135" s="2110">
        <v>198.15</v>
      </c>
      <c r="AA135" s="2110">
        <v>198.15</v>
      </c>
      <c r="AB135" s="2110">
        <v>198.53</v>
      </c>
      <c r="AC135" s="2110">
        <v>201.75</v>
      </c>
      <c r="AD135" s="2110">
        <v>201.75</v>
      </c>
      <c r="AE135" s="2110">
        <v>201.75</v>
      </c>
      <c r="AF135" s="2110">
        <v>201.75</v>
      </c>
      <c r="AG135" s="2110">
        <v>201.75</v>
      </c>
      <c r="AH135" s="2110">
        <v>205.41</v>
      </c>
      <c r="AI135" s="2110">
        <v>205.26</v>
      </c>
      <c r="AJ135" s="2110">
        <v>205.23</v>
      </c>
      <c r="AK135" s="2110">
        <v>205.23</v>
      </c>
      <c r="AL135" s="2110">
        <v>220.15</v>
      </c>
      <c r="AM135" s="2110">
        <v>220.72</v>
      </c>
      <c r="AN135" s="2110">
        <v>232.93</v>
      </c>
      <c r="AO135" s="2110">
        <v>232.93</v>
      </c>
      <c r="AP135" s="2110">
        <v>247.92</v>
      </c>
      <c r="AQ135" s="2110">
        <v>240.66</v>
      </c>
      <c r="AR135" s="2110">
        <v>248.59</v>
      </c>
      <c r="AS135" s="2110">
        <v>248.59</v>
      </c>
      <c r="AT135" s="2110">
        <v>248.59</v>
      </c>
      <c r="AU135" s="2110">
        <v>258.08</v>
      </c>
      <c r="AV135" s="2110">
        <v>265.24</v>
      </c>
      <c r="AW135" s="2111">
        <v>265.24</v>
      </c>
      <c r="AX135" s="2111">
        <v>265.24</v>
      </c>
      <c r="AY135" s="2111">
        <v>265.24</v>
      </c>
      <c r="AZ135" s="2111">
        <v>265.24</v>
      </c>
      <c r="BA135" s="2111">
        <v>265.24</v>
      </c>
      <c r="BB135" s="2111">
        <v>265.24</v>
      </c>
      <c r="BC135" s="2111">
        <v>266.3</v>
      </c>
      <c r="BD135" s="2112">
        <v>267.95999999999998</v>
      </c>
      <c r="BE135" s="2111">
        <v>267.95999999999998</v>
      </c>
      <c r="BF135" s="2112">
        <v>270.95</v>
      </c>
      <c r="BG135" s="2112">
        <v>270.94</v>
      </c>
      <c r="BH135" s="2112">
        <v>276.43</v>
      </c>
      <c r="BI135" s="2108">
        <v>279.43</v>
      </c>
      <c r="BJ135" s="2108">
        <v>288.39</v>
      </c>
      <c r="BK135" s="2108">
        <v>288.39</v>
      </c>
      <c r="BL135" s="2108">
        <v>305.52999999999997</v>
      </c>
      <c r="BM135" s="2108">
        <v>308.26</v>
      </c>
      <c r="BN135" s="2108">
        <v>325.02</v>
      </c>
      <c r="BO135" s="2108">
        <v>325.02</v>
      </c>
      <c r="BP135" s="2108">
        <v>345.27</v>
      </c>
      <c r="BQ135" s="2108">
        <v>346.62</v>
      </c>
      <c r="BR135" s="2108">
        <v>346.62</v>
      </c>
      <c r="BS135" s="2108">
        <v>350.12</v>
      </c>
      <c r="BT135" s="2108">
        <v>350.12</v>
      </c>
      <c r="BU135" s="2108">
        <v>357.79</v>
      </c>
      <c r="BV135" s="2108">
        <v>366.45</v>
      </c>
      <c r="BW135" s="2108">
        <v>366.45</v>
      </c>
      <c r="BX135" s="2108">
        <v>369.18</v>
      </c>
      <c r="BY135" s="2108">
        <v>374.43</v>
      </c>
      <c r="BZ135" s="2108">
        <v>376.07</v>
      </c>
      <c r="CA135" s="2108">
        <v>390.25</v>
      </c>
      <c r="CB135" s="2108">
        <v>388.61</v>
      </c>
      <c r="CC135" s="2108">
        <v>390.52</v>
      </c>
      <c r="CD135" s="2108">
        <v>397.71</v>
      </c>
      <c r="CE135" s="2108">
        <v>410.91</v>
      </c>
      <c r="CF135" s="2108">
        <v>410.94</v>
      </c>
      <c r="CG135" s="2108">
        <v>421.59</v>
      </c>
      <c r="CH135" s="2108">
        <v>424.41</v>
      </c>
      <c r="CI135" s="2108">
        <v>425.26</v>
      </c>
      <c r="CJ135" s="2108">
        <v>426.99</v>
      </c>
      <c r="CK135" s="2108">
        <v>426.99</v>
      </c>
      <c r="CL135" s="2108">
        <v>433.93</v>
      </c>
      <c r="CM135" s="2108">
        <v>440.74</v>
      </c>
      <c r="CN135" s="2108">
        <v>448.01</v>
      </c>
      <c r="CO135" s="2108">
        <v>456.41</v>
      </c>
      <c r="CP135" s="2108">
        <v>463.56</v>
      </c>
      <c r="CQ135" s="2108">
        <v>472.56</v>
      </c>
      <c r="CR135" s="2108">
        <v>475.55</v>
      </c>
      <c r="CS135" s="2108">
        <v>475.55</v>
      </c>
      <c r="CT135" s="2108">
        <v>475.55</v>
      </c>
      <c r="CU135" s="2108">
        <v>475.55</v>
      </c>
      <c r="CV135" s="2108">
        <v>478.21</v>
      </c>
      <c r="CW135" s="2108">
        <v>487.3</v>
      </c>
      <c r="CX135" s="2108">
        <v>495.45</v>
      </c>
      <c r="CY135" s="2108">
        <v>509.43</v>
      </c>
      <c r="CZ135" s="2108">
        <v>512.71</v>
      </c>
      <c r="DA135" s="2108">
        <v>516.11</v>
      </c>
      <c r="DB135" s="2108">
        <v>523.08000000000004</v>
      </c>
      <c r="DC135" s="2108">
        <v>529.87</v>
      </c>
      <c r="DD135" s="2108">
        <v>532.11</v>
      </c>
      <c r="DE135" s="2108">
        <v>532.69000000000005</v>
      </c>
      <c r="DF135" s="2108">
        <v>551.19000000000005</v>
      </c>
      <c r="DG135" s="2108">
        <v>551.19000000000005</v>
      </c>
      <c r="DH135" s="2108">
        <v>551.19000000000005</v>
      </c>
      <c r="DI135" s="2108">
        <v>600.24</v>
      </c>
      <c r="DJ135" s="2108">
        <v>600.24</v>
      </c>
      <c r="DK135" s="2108">
        <v>611.23</v>
      </c>
      <c r="DL135" s="2108">
        <v>625.37</v>
      </c>
      <c r="DM135" s="2108">
        <v>635.16999999999996</v>
      </c>
      <c r="DN135" s="2108">
        <v>635.16999999999996</v>
      </c>
      <c r="DO135" s="2108">
        <v>648.73</v>
      </c>
      <c r="DP135" s="2108">
        <v>658.94</v>
      </c>
      <c r="DQ135" s="2108">
        <v>658.94</v>
      </c>
      <c r="DR135" s="2108">
        <v>658.94</v>
      </c>
      <c r="DS135" s="2108">
        <v>661.79</v>
      </c>
      <c r="DT135" s="2108">
        <v>673.79</v>
      </c>
      <c r="DU135" s="2108">
        <v>686.8</v>
      </c>
      <c r="DV135" s="2108">
        <v>686.8</v>
      </c>
      <c r="DW135" s="2108">
        <v>699.19</v>
      </c>
      <c r="DX135" s="2108">
        <v>704.28</v>
      </c>
      <c r="DY135" s="2108">
        <v>704.25</v>
      </c>
      <c r="DZ135" s="2108">
        <v>709.64</v>
      </c>
      <c r="EA135" s="2108">
        <v>709.64</v>
      </c>
      <c r="EB135" s="2108">
        <v>722.21</v>
      </c>
      <c r="EC135" s="2108">
        <v>722.21</v>
      </c>
      <c r="ED135" s="2108">
        <v>722.21</v>
      </c>
      <c r="EE135" s="2108">
        <v>722.21</v>
      </c>
      <c r="EF135" s="2108">
        <v>722.21</v>
      </c>
      <c r="EG135" s="2108">
        <v>766.95</v>
      </c>
      <c r="EH135" s="2108">
        <v>768.19</v>
      </c>
      <c r="EI135" s="2108">
        <v>768.19</v>
      </c>
      <c r="EJ135" s="2108">
        <v>768.19</v>
      </c>
      <c r="EK135" s="2108">
        <v>768.19</v>
      </c>
      <c r="EL135" s="2108">
        <v>789.97</v>
      </c>
      <c r="EM135" s="2108">
        <v>787.75</v>
      </c>
      <c r="EN135" s="2108">
        <v>806.82</v>
      </c>
      <c r="EO135" s="2108">
        <v>806.82</v>
      </c>
      <c r="EP135" s="2108">
        <v>806.82</v>
      </c>
      <c r="EQ135" s="2108">
        <v>806.82</v>
      </c>
      <c r="ER135" s="2108">
        <v>806.82</v>
      </c>
      <c r="ES135" s="2108">
        <v>806.82</v>
      </c>
      <c r="ET135" s="2108">
        <v>820.91</v>
      </c>
      <c r="EU135" s="2108">
        <v>841.3</v>
      </c>
      <c r="EV135" s="2108">
        <v>841.3</v>
      </c>
      <c r="EW135" s="2108">
        <v>841.3</v>
      </c>
      <c r="EX135" s="2108">
        <v>841.3</v>
      </c>
      <c r="EY135" s="2108">
        <v>856.02</v>
      </c>
      <c r="EZ135" s="2108">
        <v>891.82</v>
      </c>
      <c r="FA135" s="2108">
        <v>891.82</v>
      </c>
      <c r="FB135" s="2108">
        <v>918.05</v>
      </c>
      <c r="FC135" s="2108">
        <v>918.05</v>
      </c>
      <c r="FD135" s="2108">
        <v>918.05</v>
      </c>
      <c r="FE135" s="2108">
        <v>918.05</v>
      </c>
      <c r="FF135" s="2108">
        <v>938.19</v>
      </c>
      <c r="FG135" s="2108">
        <v>971.5</v>
      </c>
      <c r="FH135" s="2108">
        <v>1005.44</v>
      </c>
      <c r="FI135" s="2108">
        <v>1005.44</v>
      </c>
      <c r="FJ135" s="2108">
        <v>1035.81</v>
      </c>
      <c r="FK135" s="2108">
        <v>1051.1199999999999</v>
      </c>
      <c r="FL135" s="2108">
        <v>1051.1199999999999</v>
      </c>
      <c r="FM135" s="2108">
        <v>1069.8900000000001</v>
      </c>
      <c r="FN135" s="2108">
        <v>1079.68</v>
      </c>
      <c r="FO135" s="2108">
        <v>1079.68</v>
      </c>
      <c r="FP135" s="2108">
        <v>1079.68</v>
      </c>
      <c r="FQ135" s="2108">
        <v>1079.68</v>
      </c>
      <c r="FR135" s="2108">
        <v>1113.3900000000001</v>
      </c>
      <c r="FS135" s="2108">
        <v>1112.6300000000001</v>
      </c>
      <c r="FT135" s="2108">
        <v>1124.93</v>
      </c>
      <c r="FU135" s="2108">
        <v>1140.05</v>
      </c>
      <c r="FV135" s="2108">
        <v>1153.01</v>
      </c>
      <c r="FW135" s="2113">
        <v>1438.609517412365</v>
      </c>
      <c r="FX135" s="2113">
        <v>1438.609517412365</v>
      </c>
      <c r="FY135" s="2113">
        <v>100</v>
      </c>
      <c r="FZ135" s="2113">
        <v>100</v>
      </c>
      <c r="GA135" s="2113">
        <v>100</v>
      </c>
      <c r="GB135" s="2113">
        <v>100</v>
      </c>
      <c r="GC135" s="2113">
        <v>107.10958242416382</v>
      </c>
      <c r="GD135" s="2113">
        <v>104.04510800059585</v>
      </c>
      <c r="GE135" s="2113">
        <v>104.04510800059585</v>
      </c>
      <c r="GF135" s="2114">
        <v>107.34248367507705</v>
      </c>
      <c r="GG135" s="1960">
        <v>109.35278282457101</v>
      </c>
      <c r="GH135" s="2114">
        <v>113.1527382156636</v>
      </c>
      <c r="GI135" s="2114">
        <v>113.1527382156636</v>
      </c>
      <c r="GJ135" s="2113">
        <v>113.1527382156636</v>
      </c>
      <c r="GK135" s="2113">
        <v>113.1527382156636</v>
      </c>
      <c r="GL135" s="2113">
        <v>115.77592982904432</v>
      </c>
      <c r="GM135" s="2114">
        <v>117.45526301684004</v>
      </c>
      <c r="GN135" s="2114">
        <v>117.45526301684004</v>
      </c>
      <c r="GO135" s="2115">
        <v>117.45526301684004</v>
      </c>
      <c r="GP135" s="2116">
        <v>117.45526301684004</v>
      </c>
      <c r="GQ135" s="2116">
        <v>117.45526301684004</v>
      </c>
      <c r="GR135" s="2116">
        <v>117.45526301684004</v>
      </c>
      <c r="GS135" s="2116">
        <v>117.45526301684004</v>
      </c>
      <c r="GT135" s="1960">
        <v>117.45526301684004</v>
      </c>
      <c r="GU135" s="1960">
        <v>119.90684490705132</v>
      </c>
      <c r="GV135" s="1960">
        <v>119.90684490705132</v>
      </c>
      <c r="GW135" s="1960">
        <v>119.90684490705132</v>
      </c>
      <c r="GX135" s="1960">
        <v>119.90684490705132</v>
      </c>
      <c r="GY135" s="1960">
        <v>119.90684490705132</v>
      </c>
      <c r="GZ135" s="1960">
        <v>123.70919445225891</v>
      </c>
      <c r="HA135" s="1960">
        <v>147.45724918781025</v>
      </c>
      <c r="HB135" s="1960">
        <v>150.17070186239312</v>
      </c>
      <c r="HC135" s="1960">
        <v>182.46829203484523</v>
      </c>
      <c r="HD135" s="1960">
        <v>308.47393594691385</v>
      </c>
      <c r="HE135" s="1960">
        <v>342.6561829031935</v>
      </c>
      <c r="HF135" s="1960">
        <v>387.47241212642825</v>
      </c>
      <c r="HG135" s="1960">
        <v>431.46987175831174</v>
      </c>
      <c r="HH135" s="2117">
        <v>431.46987175831174</v>
      </c>
      <c r="HI135" s="1960">
        <v>470.59492149095018</v>
      </c>
      <c r="HJ135" s="1960">
        <v>470.59492149095018</v>
      </c>
      <c r="HK135" s="1960">
        <v>470.59492149095018</v>
      </c>
      <c r="HL135" s="1960">
        <v>470.59492149095018</v>
      </c>
      <c r="HM135" s="1960">
        <v>517.73569082855829</v>
      </c>
      <c r="HN135" s="1960">
        <v>567.30519421713291</v>
      </c>
      <c r="HO135" s="1960">
        <v>567.30519421713291</v>
      </c>
      <c r="HP135" s="1960">
        <v>662.83801759245216</v>
      </c>
      <c r="HQ135" s="1960">
        <v>734.87256422122869</v>
      </c>
      <c r="HR135" s="1960">
        <v>734.87256422122869</v>
      </c>
      <c r="HS135" s="1960">
        <v>764.68097060933371</v>
      </c>
      <c r="HT135" s="1962">
        <v>814.05105892189215</v>
      </c>
      <c r="HU135" s="1961">
        <v>814.05105892189215</v>
      </c>
      <c r="HV135" s="1960">
        <v>855.76373015657236</v>
      </c>
      <c r="HW135" s="1960">
        <v>855.76373015657236</v>
      </c>
      <c r="HX135" s="1960">
        <v>855.76373015657236</v>
      </c>
      <c r="HY135" s="1960">
        <v>855.76373015657236</v>
      </c>
      <c r="HZ135" s="1960">
        <v>855.76373015657236</v>
      </c>
      <c r="IA135" s="1960">
        <v>855.76373015657236</v>
      </c>
      <c r="IB135" s="1960">
        <v>907.9444454100219</v>
      </c>
      <c r="IC135" s="1960">
        <v>946.41871993546476</v>
      </c>
      <c r="ID135" s="1960">
        <v>993.99580795067823</v>
      </c>
      <c r="IE135" s="1960">
        <v>993.99580795067823</v>
      </c>
      <c r="IF135" s="1960">
        <v>993.99580795067823</v>
      </c>
      <c r="IG135" s="1961">
        <v>1040.0932997443501</v>
      </c>
      <c r="IH135" s="1960">
        <v>1040.0932997443501</v>
      </c>
      <c r="II135" s="1960">
        <v>1040.0932997443501</v>
      </c>
      <c r="IJ135" s="1961">
        <v>1040.0932997443501</v>
      </c>
      <c r="IK135" s="1960">
        <v>1039.7395265131447</v>
      </c>
      <c r="IL135" s="1960">
        <v>1039.7395265131447</v>
      </c>
      <c r="IM135" s="1960">
        <v>1072.2234560698162</v>
      </c>
      <c r="IN135" s="1960">
        <v>1074.4757597793121</v>
      </c>
      <c r="IO135" s="1960">
        <v>1074.5074568142254</v>
      </c>
      <c r="IP135" s="1960">
        <v>1074.1592485292574</v>
      </c>
      <c r="IQ135" s="1960">
        <v>1074.4761255075734</v>
      </c>
      <c r="IR135" s="1960">
        <v>1074.4761255075734</v>
      </c>
      <c r="IS135" s="2274">
        <v>1072.2285324102006</v>
      </c>
      <c r="IT135" s="1960">
        <v>1072.2285324102006</v>
      </c>
      <c r="IU135" s="1960">
        <v>1074.4808467830151</v>
      </c>
      <c r="IV135" s="1960">
        <v>1072.2332438096607</v>
      </c>
      <c r="IW135" s="1960">
        <v>1074.4855680792018</v>
      </c>
      <c r="IX135" s="1960">
        <v>1074.4855680792018</v>
      </c>
      <c r="IY135" s="1960">
        <v>1074.4855680792018</v>
      </c>
      <c r="IZ135" s="1960">
        <v>5695.816700691691</v>
      </c>
      <c r="JA135" s="1960">
        <v>5695.816700691691</v>
      </c>
      <c r="JB135" s="1960">
        <v>5695.816700691691</v>
      </c>
      <c r="JC135" s="1960">
        <v>5695.816700691691</v>
      </c>
      <c r="JD135" s="1960">
        <v>5695.816700691691</v>
      </c>
      <c r="JE135" s="2274">
        <v>5695.816700691691</v>
      </c>
      <c r="JF135" s="2117">
        <v>5695.816700691691</v>
      </c>
      <c r="JG135" s="2103">
        <f t="shared" si="14"/>
        <v>1</v>
      </c>
      <c r="JI135" s="2155"/>
      <c r="JJ135" s="2104"/>
    </row>
    <row r="136" spans="2:270" ht="31.5">
      <c r="B136" s="2105">
        <v>118</v>
      </c>
      <c r="C136" s="2106" t="s">
        <v>295</v>
      </c>
      <c r="D136" s="2425" t="s">
        <v>1238</v>
      </c>
      <c r="E136" s="2128" t="s">
        <v>296</v>
      </c>
      <c r="F136" s="2106" t="s">
        <v>918</v>
      </c>
      <c r="G136" s="2425" t="s">
        <v>1112</v>
      </c>
      <c r="H136" s="2106" t="s">
        <v>919</v>
      </c>
      <c r="I136" s="2106" t="s">
        <v>920</v>
      </c>
      <c r="J136" s="2359" t="s">
        <v>428</v>
      </c>
      <c r="K136" s="2425"/>
      <c r="L136" s="2110">
        <v>109.5</v>
      </c>
      <c r="M136" s="2110">
        <v>113.05</v>
      </c>
      <c r="N136" s="2110">
        <v>128.77000000000001</v>
      </c>
      <c r="O136" s="2110">
        <v>131.41</v>
      </c>
      <c r="P136" s="2110">
        <v>163.56</v>
      </c>
      <c r="Q136" s="2110">
        <v>176.19</v>
      </c>
      <c r="R136" s="2110">
        <v>203.93</v>
      </c>
      <c r="S136" s="2110">
        <v>210.6</v>
      </c>
      <c r="T136" s="2110">
        <v>245.08</v>
      </c>
      <c r="U136" s="2110">
        <v>245.08</v>
      </c>
      <c r="V136" s="2110">
        <v>245.08</v>
      </c>
      <c r="W136" s="2110">
        <v>245.08</v>
      </c>
      <c r="X136" s="2110">
        <v>245.08</v>
      </c>
      <c r="Y136" s="2110">
        <v>245.08</v>
      </c>
      <c r="Z136" s="2110">
        <v>245.08</v>
      </c>
      <c r="AA136" s="2110">
        <v>247.92</v>
      </c>
      <c r="AB136" s="2110">
        <v>247.99</v>
      </c>
      <c r="AC136" s="2110">
        <v>247.99</v>
      </c>
      <c r="AD136" s="2110">
        <v>247.99</v>
      </c>
      <c r="AE136" s="2110">
        <v>247.99</v>
      </c>
      <c r="AF136" s="2110">
        <v>247.99</v>
      </c>
      <c r="AG136" s="2110">
        <v>247.99</v>
      </c>
      <c r="AH136" s="2110">
        <v>247.99</v>
      </c>
      <c r="AI136" s="2110">
        <v>251.4</v>
      </c>
      <c r="AJ136" s="2110">
        <v>251.06</v>
      </c>
      <c r="AK136" s="2110">
        <v>251.06</v>
      </c>
      <c r="AL136" s="2110">
        <v>264.77999999999997</v>
      </c>
      <c r="AM136" s="2110">
        <v>276.06</v>
      </c>
      <c r="AN136" s="2110">
        <v>280.27999999999997</v>
      </c>
      <c r="AO136" s="2110">
        <v>323.83</v>
      </c>
      <c r="AP136" s="2110">
        <v>335.98</v>
      </c>
      <c r="AQ136" s="2110">
        <v>335.89</v>
      </c>
      <c r="AR136" s="2110">
        <v>335.89</v>
      </c>
      <c r="AS136" s="2110">
        <v>335.89</v>
      </c>
      <c r="AT136" s="2110">
        <v>335.89</v>
      </c>
      <c r="AU136" s="2110">
        <v>369.92</v>
      </c>
      <c r="AV136" s="2110">
        <v>369.92</v>
      </c>
      <c r="AW136" s="2111">
        <v>369.92</v>
      </c>
      <c r="AX136" s="2111">
        <v>369.92</v>
      </c>
      <c r="AY136" s="2111">
        <v>369.92</v>
      </c>
      <c r="AZ136" s="2111">
        <v>382.99</v>
      </c>
      <c r="BA136" s="2111">
        <v>382.99</v>
      </c>
      <c r="BB136" s="2111">
        <v>382.99</v>
      </c>
      <c r="BC136" s="2111">
        <v>387.31</v>
      </c>
      <c r="BD136" s="2112">
        <v>387.31</v>
      </c>
      <c r="BE136" s="2111">
        <v>387.31</v>
      </c>
      <c r="BF136" s="2112">
        <v>387.31</v>
      </c>
      <c r="BG136" s="2112">
        <v>387.31</v>
      </c>
      <c r="BH136" s="2112">
        <v>387.31</v>
      </c>
      <c r="BI136" s="2108">
        <v>387.31</v>
      </c>
      <c r="BJ136" s="2108">
        <v>387.31</v>
      </c>
      <c r="BK136" s="2108">
        <v>398.74</v>
      </c>
      <c r="BL136" s="2108">
        <v>398.74</v>
      </c>
      <c r="BM136" s="2108">
        <v>398.74</v>
      </c>
      <c r="BN136" s="2108">
        <v>398.74</v>
      </c>
      <c r="BO136" s="2108">
        <v>398.74</v>
      </c>
      <c r="BP136" s="2108">
        <v>398.74</v>
      </c>
      <c r="BQ136" s="2108">
        <v>398.74</v>
      </c>
      <c r="BR136" s="2108">
        <v>398.74</v>
      </c>
      <c r="BS136" s="2108">
        <v>398.74</v>
      </c>
      <c r="BT136" s="2108">
        <v>400.92</v>
      </c>
      <c r="BU136" s="2108">
        <v>400.92</v>
      </c>
      <c r="BV136" s="2108">
        <v>400.92</v>
      </c>
      <c r="BW136" s="2108">
        <v>408.63</v>
      </c>
      <c r="BX136" s="2108">
        <v>409.58</v>
      </c>
      <c r="BY136" s="2108">
        <v>411.22</v>
      </c>
      <c r="BZ136" s="2108">
        <v>411.22</v>
      </c>
      <c r="CA136" s="2108">
        <v>411.22</v>
      </c>
      <c r="CB136" s="2108">
        <v>411.22</v>
      </c>
      <c r="CC136" s="2108">
        <v>426.09</v>
      </c>
      <c r="CD136" s="2108">
        <v>426.09</v>
      </c>
      <c r="CE136" s="2108">
        <v>433.44</v>
      </c>
      <c r="CF136" s="2108">
        <v>434.48</v>
      </c>
      <c r="CG136" s="2108">
        <v>462.37</v>
      </c>
      <c r="CH136" s="2108">
        <v>468.42</v>
      </c>
      <c r="CI136" s="2108">
        <v>481.11</v>
      </c>
      <c r="CJ136" s="2108">
        <v>484.53</v>
      </c>
      <c r="CK136" s="2108">
        <v>485.75</v>
      </c>
      <c r="CL136" s="2108">
        <v>495.61</v>
      </c>
      <c r="CM136" s="2108">
        <v>487.5</v>
      </c>
      <c r="CN136" s="2108">
        <v>493.3</v>
      </c>
      <c r="CO136" s="2108">
        <v>495.8</v>
      </c>
      <c r="CP136" s="2108">
        <v>495.8</v>
      </c>
      <c r="CQ136" s="2108">
        <v>512.77</v>
      </c>
      <c r="CR136" s="2108">
        <v>512.77</v>
      </c>
      <c r="CS136" s="2108">
        <v>512.77</v>
      </c>
      <c r="CT136" s="2108">
        <v>512.77</v>
      </c>
      <c r="CU136" s="2108">
        <v>512.77</v>
      </c>
      <c r="CV136" s="2108">
        <v>512.77</v>
      </c>
      <c r="CW136" s="2108">
        <v>534.4</v>
      </c>
      <c r="CX136" s="2108">
        <v>534.4</v>
      </c>
      <c r="CY136" s="2108">
        <v>512.77</v>
      </c>
      <c r="CZ136" s="2108">
        <v>512.77</v>
      </c>
      <c r="DA136" s="2108">
        <v>533.47</v>
      </c>
      <c r="DB136" s="2108">
        <v>541.41</v>
      </c>
      <c r="DC136" s="2108">
        <v>541.6</v>
      </c>
      <c r="DD136" s="2108">
        <v>544.76</v>
      </c>
      <c r="DE136" s="2108">
        <v>544.57000000000005</v>
      </c>
      <c r="DF136" s="2108">
        <v>562.38</v>
      </c>
      <c r="DG136" s="2108">
        <v>562.38</v>
      </c>
      <c r="DH136" s="2108">
        <v>562.38</v>
      </c>
      <c r="DI136" s="2108">
        <v>562.77</v>
      </c>
      <c r="DJ136" s="2108">
        <v>562.38</v>
      </c>
      <c r="DK136" s="2108">
        <v>562.38</v>
      </c>
      <c r="DL136" s="2108">
        <v>556.23</v>
      </c>
      <c r="DM136" s="2108">
        <v>556.62</v>
      </c>
      <c r="DN136" s="2108">
        <v>556.62</v>
      </c>
      <c r="DO136" s="2108">
        <v>579.16</v>
      </c>
      <c r="DP136" s="2108">
        <v>579.16</v>
      </c>
      <c r="DQ136" s="2108">
        <v>579.16</v>
      </c>
      <c r="DR136" s="2108">
        <v>579.16</v>
      </c>
      <c r="DS136" s="2108">
        <v>579.16</v>
      </c>
      <c r="DT136" s="2108">
        <v>586.1</v>
      </c>
      <c r="DU136" s="2108">
        <v>590.65</v>
      </c>
      <c r="DV136" s="2108">
        <v>590.65</v>
      </c>
      <c r="DW136" s="2108">
        <v>607.87</v>
      </c>
      <c r="DX136" s="2108">
        <v>612.99</v>
      </c>
      <c r="DY136" s="2108">
        <v>622.64</v>
      </c>
      <c r="DZ136" s="2108">
        <v>622.64</v>
      </c>
      <c r="EA136" s="2108">
        <v>629.70000000000005</v>
      </c>
      <c r="EB136" s="2108">
        <v>629.70000000000005</v>
      </c>
      <c r="EC136" s="2108">
        <v>629.70000000000005</v>
      </c>
      <c r="ED136" s="2108">
        <v>629.70000000000005</v>
      </c>
      <c r="EE136" s="2108">
        <v>629.70000000000005</v>
      </c>
      <c r="EF136" s="2108">
        <v>629.70000000000005</v>
      </c>
      <c r="EG136" s="2108">
        <v>640.63</v>
      </c>
      <c r="EH136" s="2108">
        <v>667.72</v>
      </c>
      <c r="EI136" s="2108">
        <v>609.51</v>
      </c>
      <c r="EJ136" s="2108">
        <v>609.51</v>
      </c>
      <c r="EK136" s="2108">
        <v>609.51</v>
      </c>
      <c r="EL136" s="2108">
        <v>641.99</v>
      </c>
      <c r="EM136" s="2108">
        <v>698.02</v>
      </c>
      <c r="EN136" s="2108">
        <v>698.02</v>
      </c>
      <c r="EO136" s="2108">
        <v>698.02</v>
      </c>
      <c r="EP136" s="2108">
        <v>669.24</v>
      </c>
      <c r="EQ136" s="2108">
        <v>678.09</v>
      </c>
      <c r="ER136" s="2108">
        <v>698.17</v>
      </c>
      <c r="ES136" s="2108">
        <v>698.17</v>
      </c>
      <c r="ET136" s="2108">
        <v>716.34</v>
      </c>
      <c r="EU136" s="2108">
        <v>718.08</v>
      </c>
      <c r="EV136" s="2108">
        <v>718.08</v>
      </c>
      <c r="EW136" s="2108">
        <v>721.32</v>
      </c>
      <c r="EX136" s="2108">
        <v>731.76</v>
      </c>
      <c r="EY136" s="2108">
        <v>742.79</v>
      </c>
      <c r="EZ136" s="2108">
        <v>787</v>
      </c>
      <c r="FA136" s="2108">
        <v>889.1</v>
      </c>
      <c r="FB136" s="2108">
        <v>941.06</v>
      </c>
      <c r="FC136" s="2108">
        <v>942.94</v>
      </c>
      <c r="FD136" s="2108">
        <v>963.75</v>
      </c>
      <c r="FE136" s="2108">
        <v>970.38</v>
      </c>
      <c r="FF136" s="2108">
        <v>972.41</v>
      </c>
      <c r="FG136" s="2108">
        <v>972.78</v>
      </c>
      <c r="FH136" s="2108">
        <v>1022.19</v>
      </c>
      <c r="FI136" s="2108">
        <v>1024.52</v>
      </c>
      <c r="FJ136" s="2108">
        <v>1034.95</v>
      </c>
      <c r="FK136" s="2108">
        <v>1035.58</v>
      </c>
      <c r="FL136" s="2108">
        <v>1036.4100000000001</v>
      </c>
      <c r="FM136" s="2108">
        <v>1037.22</v>
      </c>
      <c r="FN136" s="2108">
        <v>1069.04</v>
      </c>
      <c r="FO136" s="2108">
        <v>1052.3</v>
      </c>
      <c r="FP136" s="2108">
        <v>1065.28</v>
      </c>
      <c r="FQ136" s="2108">
        <v>1072.67</v>
      </c>
      <c r="FR136" s="2108">
        <v>1074.4000000000001</v>
      </c>
      <c r="FS136" s="2108">
        <v>1145.8800000000001</v>
      </c>
      <c r="FT136" s="2108">
        <v>1147.8800000000001</v>
      </c>
      <c r="FU136" s="2108">
        <v>1150.3</v>
      </c>
      <c r="FV136" s="2108">
        <v>1152.32</v>
      </c>
      <c r="FW136" s="2113">
        <v>1355.2874246663073</v>
      </c>
      <c r="FX136" s="2113">
        <v>1396.4369981354973</v>
      </c>
      <c r="FY136" s="2113">
        <v>100</v>
      </c>
      <c r="FZ136" s="2113">
        <v>104.09826040267944</v>
      </c>
      <c r="GA136" s="2113">
        <v>103.23789256321092</v>
      </c>
      <c r="GB136" s="2113">
        <v>103.45418660887361</v>
      </c>
      <c r="GC136" s="2113">
        <v>102.26373573490486</v>
      </c>
      <c r="GD136" s="2113">
        <v>101.01280857474931</v>
      </c>
      <c r="GE136" s="2113">
        <v>103.15904272033245</v>
      </c>
      <c r="GF136" s="2114">
        <v>106.77842309135025</v>
      </c>
      <c r="GG136" s="1960">
        <v>108.13930379641388</v>
      </c>
      <c r="GH136" s="2114">
        <v>109.04387997250822</v>
      </c>
      <c r="GI136" s="2114">
        <v>108.60210098095139</v>
      </c>
      <c r="GJ136" s="2113">
        <v>109.10962494233512</v>
      </c>
      <c r="GK136" s="2113">
        <v>109.38724380767836</v>
      </c>
      <c r="GL136" s="2113">
        <v>112.01269945908014</v>
      </c>
      <c r="GM136" s="2114">
        <v>112.01269945908014</v>
      </c>
      <c r="GN136" s="2114">
        <v>111.75477379337356</v>
      </c>
      <c r="GO136" s="2115">
        <v>112.98887645621693</v>
      </c>
      <c r="GP136" s="2116">
        <v>112.98887645621693</v>
      </c>
      <c r="GQ136" s="2116">
        <v>113.70671059292442</v>
      </c>
      <c r="GR136" s="2116">
        <v>117.07868078797208</v>
      </c>
      <c r="GS136" s="2116">
        <v>117.07868078797208</v>
      </c>
      <c r="GT136" s="1960">
        <v>117.56331901539689</v>
      </c>
      <c r="GU136" s="1960">
        <v>117.56348719107373</v>
      </c>
      <c r="GV136" s="1960">
        <v>118.23543406913302</v>
      </c>
      <c r="GW136" s="1960">
        <v>121.32296217987725</v>
      </c>
      <c r="GX136" s="1960">
        <v>125.15459817601807</v>
      </c>
      <c r="GY136" s="1960">
        <v>130.11054306679318</v>
      </c>
      <c r="GZ136" s="1960">
        <v>132.02726996362341</v>
      </c>
      <c r="HA136" s="1960">
        <v>164.01910301221366</v>
      </c>
      <c r="HB136" s="1960">
        <v>164.01910301221366</v>
      </c>
      <c r="HC136" s="1960">
        <v>184.94779624273656</v>
      </c>
      <c r="HD136" s="1960">
        <v>166.55279285708951</v>
      </c>
      <c r="HE136" s="1960">
        <v>202.60537911578874</v>
      </c>
      <c r="HF136" s="1960">
        <v>242.68732607559184</v>
      </c>
      <c r="HG136" s="1960">
        <v>221.20912286358762</v>
      </c>
      <c r="HH136" s="2117">
        <v>218.66312124343978</v>
      </c>
      <c r="HI136" s="1960">
        <v>224.0411888130821</v>
      </c>
      <c r="HJ136" s="1960">
        <v>224.94500378354311</v>
      </c>
      <c r="HK136" s="1960">
        <v>238.11391014318585</v>
      </c>
      <c r="HL136" s="1960">
        <v>249.30603471497454</v>
      </c>
      <c r="HM136" s="1960">
        <v>273.2248446161073</v>
      </c>
      <c r="HN136" s="1960">
        <v>267.30910024627218</v>
      </c>
      <c r="HO136" s="1960">
        <v>260.81177083337491</v>
      </c>
      <c r="HP136" s="1960">
        <v>351.48336792786307</v>
      </c>
      <c r="HQ136" s="1960">
        <v>351.48336792786307</v>
      </c>
      <c r="HR136" s="1960">
        <v>351.48336792786307</v>
      </c>
      <c r="HS136" s="1960">
        <v>351.48336792786307</v>
      </c>
      <c r="HT136" s="1962">
        <v>351.48336792786307</v>
      </c>
      <c r="HU136" s="1961">
        <v>360.08349518591115</v>
      </c>
      <c r="HV136" s="1960">
        <v>370.82104152189379</v>
      </c>
      <c r="HW136" s="1960">
        <v>371.86150678235316</v>
      </c>
      <c r="HX136" s="1960">
        <v>371.86150678235316</v>
      </c>
      <c r="HY136" s="1960">
        <v>374.99143320851636</v>
      </c>
      <c r="HZ136" s="1960">
        <v>374.99143320851636</v>
      </c>
      <c r="IA136" s="1960">
        <v>374.99143320851636</v>
      </c>
      <c r="IB136" s="1960">
        <v>375.60013593670129</v>
      </c>
      <c r="IC136" s="1960">
        <v>383.86185727688741</v>
      </c>
      <c r="ID136" s="1960">
        <v>422.93481358583585</v>
      </c>
      <c r="IE136" s="1960">
        <v>440.0884182294821</v>
      </c>
      <c r="IF136" s="1960">
        <v>447.59043615917574</v>
      </c>
      <c r="IG136" s="1961">
        <v>486.0727459832741</v>
      </c>
      <c r="IH136" s="1960">
        <v>495.65325456806397</v>
      </c>
      <c r="II136" s="1960">
        <v>495.65325456806397</v>
      </c>
      <c r="IJ136" s="1961">
        <v>528.41416512646845</v>
      </c>
      <c r="IK136" s="1960">
        <v>584.09249978483069</v>
      </c>
      <c r="IL136" s="1960">
        <v>638.74683811034765</v>
      </c>
      <c r="IM136" s="1960">
        <v>629.95598143168934</v>
      </c>
      <c r="IN136" s="1960">
        <v>645.88433515544637</v>
      </c>
      <c r="IO136" s="1960">
        <v>656.95995973469189</v>
      </c>
      <c r="IP136" s="1960">
        <v>663.71956162636479</v>
      </c>
      <c r="IQ136" s="1960">
        <v>685.07739339993952</v>
      </c>
      <c r="IR136" s="1960">
        <v>740.91931846541627</v>
      </c>
      <c r="IS136" s="2274">
        <v>774.66970080782289</v>
      </c>
      <c r="IT136" s="1960">
        <v>793.04735941882507</v>
      </c>
      <c r="IU136" s="1960">
        <v>794.85546235191998</v>
      </c>
      <c r="IV136" s="1960">
        <v>835.17421768861163</v>
      </c>
      <c r="IW136" s="1960">
        <v>845.83367809858476</v>
      </c>
      <c r="IX136" s="1960">
        <v>896.22387084979471</v>
      </c>
      <c r="IY136" s="1960">
        <v>1011.2289125987128</v>
      </c>
      <c r="IZ136" s="1960">
        <v>1136.6374654464103</v>
      </c>
      <c r="JA136" s="1960">
        <v>1167.3332445675262</v>
      </c>
      <c r="JB136" s="1960">
        <v>1207.7525171514455</v>
      </c>
      <c r="JC136" s="1960">
        <v>1311.7592729413059</v>
      </c>
      <c r="JD136" s="1960">
        <v>1367.1825607306494</v>
      </c>
      <c r="JE136" s="2274">
        <v>1408.8018405762355</v>
      </c>
      <c r="JF136" s="2117">
        <v>1448.7653089724975</v>
      </c>
      <c r="JG136" s="2103">
        <f t="shared" si="14"/>
        <v>1.0283669904774655</v>
      </c>
      <c r="JI136" s="2155"/>
      <c r="JJ136" s="2104"/>
    </row>
    <row r="137" spans="2:270" ht="16.5" customHeight="1">
      <c r="B137" s="2105">
        <v>120</v>
      </c>
      <c r="C137" s="2425"/>
      <c r="D137" s="2425" t="s">
        <v>1239</v>
      </c>
      <c r="E137" s="2128" t="s">
        <v>1141</v>
      </c>
      <c r="F137" s="2106"/>
      <c r="G137" s="2425" t="s">
        <v>1112</v>
      </c>
      <c r="H137" s="2425"/>
      <c r="I137" s="2106"/>
      <c r="J137" s="2359"/>
      <c r="K137" s="2425"/>
      <c r="L137" s="2110"/>
      <c r="M137" s="2110"/>
      <c r="N137" s="2110"/>
      <c r="O137" s="2110"/>
      <c r="P137" s="2110"/>
      <c r="Q137" s="2110"/>
      <c r="R137" s="2110"/>
      <c r="S137" s="2110"/>
      <c r="T137" s="2110"/>
      <c r="U137" s="2110"/>
      <c r="V137" s="2110"/>
      <c r="W137" s="2110"/>
      <c r="X137" s="2110"/>
      <c r="Y137" s="2110"/>
      <c r="Z137" s="2110"/>
      <c r="AA137" s="2110"/>
      <c r="AB137" s="2110"/>
      <c r="AC137" s="2110"/>
      <c r="AD137" s="2110"/>
      <c r="AE137" s="2110"/>
      <c r="AF137" s="2110"/>
      <c r="AG137" s="2110"/>
      <c r="AH137" s="2110"/>
      <c r="AI137" s="2110"/>
      <c r="AJ137" s="2110"/>
      <c r="AK137" s="2110"/>
      <c r="AL137" s="2110"/>
      <c r="AM137" s="2110"/>
      <c r="AN137" s="2110"/>
      <c r="AO137" s="2110"/>
      <c r="AP137" s="2110"/>
      <c r="AQ137" s="2110"/>
      <c r="AR137" s="2110"/>
      <c r="AS137" s="2110"/>
      <c r="AT137" s="2110"/>
      <c r="AU137" s="2110"/>
      <c r="AV137" s="2110"/>
      <c r="AW137" s="2111"/>
      <c r="AX137" s="2111"/>
      <c r="AY137" s="2111"/>
      <c r="AZ137" s="2111"/>
      <c r="BA137" s="2111"/>
      <c r="BB137" s="2112"/>
      <c r="BC137" s="2112"/>
      <c r="BD137" s="2112"/>
      <c r="BE137" s="2111"/>
      <c r="BF137" s="2112"/>
      <c r="BG137" s="2112"/>
      <c r="BH137" s="2112"/>
      <c r="BI137" s="2108"/>
      <c r="BJ137" s="2108"/>
      <c r="BK137" s="2108"/>
      <c r="BL137" s="2108"/>
      <c r="BM137" s="2108"/>
      <c r="BN137" s="2108"/>
      <c r="BO137" s="2108"/>
      <c r="BP137" s="2108"/>
      <c r="BQ137" s="2108">
        <v>100</v>
      </c>
      <c r="BR137" s="2108">
        <v>101.32</v>
      </c>
      <c r="BS137" s="2108">
        <v>101.32</v>
      </c>
      <c r="BT137" s="2108">
        <v>102.63</v>
      </c>
      <c r="BU137" s="2108">
        <v>107.84</v>
      </c>
      <c r="BV137" s="2108">
        <v>109.48473131855123</v>
      </c>
      <c r="BW137" s="2108">
        <v>113.24673631563662</v>
      </c>
      <c r="BX137" s="2108">
        <v>112.28507859654526</v>
      </c>
      <c r="BY137" s="2108">
        <v>112.28507859654526</v>
      </c>
      <c r="BZ137" s="2108">
        <v>114.11222826281885</v>
      </c>
      <c r="CA137" s="2108">
        <v>114.11222826281885</v>
      </c>
      <c r="CB137" s="2108">
        <v>115.29122062642487</v>
      </c>
      <c r="CC137" s="2108">
        <v>117.38186450772946</v>
      </c>
      <c r="CD137" s="2108">
        <v>120.68843032311865</v>
      </c>
      <c r="CE137" s="2108">
        <v>120.70064970898483</v>
      </c>
      <c r="CF137" s="2108">
        <v>126.71689707567877</v>
      </c>
      <c r="CG137" s="2108">
        <v>126.71689707567877</v>
      </c>
      <c r="CH137" s="2108">
        <v>126.71689707567877</v>
      </c>
      <c r="CI137" s="2108">
        <v>127.9412149218206</v>
      </c>
      <c r="CJ137" s="2108">
        <v>132.34875916793118</v>
      </c>
      <c r="CK137" s="2108">
        <v>132.34875916793118</v>
      </c>
      <c r="CL137" s="2108">
        <v>134.2009240823779</v>
      </c>
      <c r="CM137" s="2108">
        <v>136.6127878558292</v>
      </c>
      <c r="CN137" s="2108">
        <v>137.175689222589</v>
      </c>
      <c r="CO137" s="2108">
        <v>138.36186623519325</v>
      </c>
      <c r="CP137" s="2108">
        <v>140.1695431795512</v>
      </c>
      <c r="CQ137" s="2108">
        <v>142.30040008842107</v>
      </c>
      <c r="CR137" s="2108">
        <v>144.60882840636344</v>
      </c>
      <c r="CS137" s="2108">
        <v>144.60882840636344</v>
      </c>
      <c r="CT137" s="2108">
        <v>147.36426068548553</v>
      </c>
      <c r="CU137" s="2108">
        <v>147.36426068548553</v>
      </c>
      <c r="CV137" s="2108">
        <v>147.36426068548553</v>
      </c>
      <c r="CW137" s="2108">
        <v>147.36426068548553</v>
      </c>
      <c r="CX137" s="2108">
        <v>147.36426068548553</v>
      </c>
      <c r="CY137" s="2108">
        <v>153.89511215930358</v>
      </c>
      <c r="CZ137" s="2108">
        <v>153.89511215930358</v>
      </c>
      <c r="DA137" s="2108">
        <v>156.86042014104919</v>
      </c>
      <c r="DB137" s="2108">
        <v>156.86042014104919</v>
      </c>
      <c r="DC137" s="2108">
        <v>158.886859994974</v>
      </c>
      <c r="DD137" s="2108">
        <v>158.886859994974</v>
      </c>
      <c r="DE137" s="2108">
        <v>158.886859994974</v>
      </c>
      <c r="DF137" s="2108">
        <v>162.37851439474107</v>
      </c>
      <c r="DG137" s="2108">
        <v>165.42167346142497</v>
      </c>
      <c r="DH137" s="2108">
        <v>168.38057559516483</v>
      </c>
      <c r="DI137" s="2108">
        <v>168.38057559516483</v>
      </c>
      <c r="DJ137" s="2108">
        <v>172.25994668826834</v>
      </c>
      <c r="DK137" s="2108">
        <v>174.28779975966336</v>
      </c>
      <c r="DL137" s="2108">
        <v>177.81979080488443</v>
      </c>
      <c r="DM137" s="2108">
        <v>179.19873089343307</v>
      </c>
      <c r="DN137" s="2108">
        <v>180.1456501102497</v>
      </c>
      <c r="DO137" s="2108">
        <v>185.21351943824038</v>
      </c>
      <c r="DP137" s="2108">
        <v>186.17983551052254</v>
      </c>
      <c r="DQ137" s="2108">
        <v>190.76454680237214</v>
      </c>
      <c r="DR137" s="2108">
        <v>190.76454680237214</v>
      </c>
      <c r="DS137" s="2108">
        <v>200.52381845003904</v>
      </c>
      <c r="DT137" s="2108">
        <v>202.87013666280282</v>
      </c>
      <c r="DU137" s="2108">
        <v>202.87013666280282</v>
      </c>
      <c r="DV137" s="2108">
        <v>202.87013666280282</v>
      </c>
      <c r="DW137" s="2108">
        <v>202.87013666280282</v>
      </c>
      <c r="DX137" s="2108">
        <v>214.62390260886718</v>
      </c>
      <c r="DY137" s="2108">
        <v>215.10545139342315</v>
      </c>
      <c r="DZ137" s="2108">
        <v>215.10545139342315</v>
      </c>
      <c r="EA137" s="2108">
        <v>216.98383317715206</v>
      </c>
      <c r="EB137" s="2108">
        <v>216.98383317715206</v>
      </c>
      <c r="EC137" s="2108">
        <v>218.91002831537591</v>
      </c>
      <c r="ED137" s="2108">
        <v>218.91002831537591</v>
      </c>
      <c r="EE137" s="2108">
        <v>224.97207861741018</v>
      </c>
      <c r="EF137" s="2108">
        <v>233.16353081427167</v>
      </c>
      <c r="EG137" s="2108">
        <v>233.16353081427167</v>
      </c>
      <c r="EH137" s="2108">
        <v>236.74953240139055</v>
      </c>
      <c r="EI137" s="2108">
        <v>236.74953240139055</v>
      </c>
      <c r="EJ137" s="2108">
        <v>250.79299766446937</v>
      </c>
      <c r="EK137" s="2108">
        <v>257.59103210176471</v>
      </c>
      <c r="EL137" s="2108">
        <v>257.59103210176471</v>
      </c>
      <c r="EM137" s="2108">
        <v>259.401109093358</v>
      </c>
      <c r="EN137" s="2108">
        <v>259.401109093358</v>
      </c>
      <c r="EO137" s="2108">
        <v>261.10872889674789</v>
      </c>
      <c r="EP137" s="2108">
        <v>261.10872889674789</v>
      </c>
      <c r="EQ137" s="2108">
        <v>265.46145177558884</v>
      </c>
      <c r="ER137" s="2108">
        <v>277.99708875227441</v>
      </c>
      <c r="ES137" s="2108">
        <v>277.99708875227441</v>
      </c>
      <c r="ET137" s="2108">
        <v>290.81448299651925</v>
      </c>
      <c r="EU137" s="2108">
        <v>290.81448299651925</v>
      </c>
      <c r="EV137" s="2108">
        <v>290.81448299651925</v>
      </c>
      <c r="EW137" s="2108">
        <v>288.19499421811912</v>
      </c>
      <c r="EX137" s="2108">
        <v>302.16332420984878</v>
      </c>
      <c r="EY137" s="2108">
        <v>343.00446704752585</v>
      </c>
      <c r="EZ137" s="2108">
        <v>401.59631774144123</v>
      </c>
      <c r="FA137" s="2157">
        <v>401.02597272710898</v>
      </c>
      <c r="FB137" s="2157">
        <v>423.64168940320531</v>
      </c>
      <c r="FC137" s="2157">
        <v>388.42032333848454</v>
      </c>
      <c r="FD137" s="2157">
        <v>388.42032333848454</v>
      </c>
      <c r="FE137" s="2157">
        <v>404.42925899526517</v>
      </c>
      <c r="FF137" s="2157">
        <v>404.42925899526517</v>
      </c>
      <c r="FG137" s="2157">
        <v>404.42925899526517</v>
      </c>
      <c r="FH137" s="2157">
        <v>433.04213642086688</v>
      </c>
      <c r="FI137" s="2157">
        <v>435.37303745249415</v>
      </c>
      <c r="FJ137" s="2157">
        <v>500.36163192990819</v>
      </c>
      <c r="FK137" s="2157">
        <v>524.12828435348922</v>
      </c>
      <c r="FL137" s="2157">
        <v>526.4404015672792</v>
      </c>
      <c r="FM137" s="2157">
        <v>526.4404015672792</v>
      </c>
      <c r="FN137" s="2157">
        <v>574.76604200321435</v>
      </c>
      <c r="FO137" s="2157">
        <v>592.69604993880864</v>
      </c>
      <c r="FP137" s="2157">
        <v>592.69604993880864</v>
      </c>
      <c r="FQ137" s="2157">
        <v>626.62816305196998</v>
      </c>
      <c r="FR137" s="2157">
        <v>656.13412563474469</v>
      </c>
      <c r="FS137" s="2157">
        <v>656.13412563474469</v>
      </c>
      <c r="FT137" s="2157">
        <v>656.13412563474469</v>
      </c>
      <c r="FU137" s="2157">
        <v>704.40341461716775</v>
      </c>
      <c r="FV137" s="2157">
        <v>729.21683798022696</v>
      </c>
      <c r="FW137" s="2157">
        <v>737.64564932975952</v>
      </c>
      <c r="FX137" s="2157">
        <v>749.42822597315012</v>
      </c>
      <c r="FY137" s="2157">
        <v>100</v>
      </c>
      <c r="FZ137" s="2157">
        <v>100.25433481907258</v>
      </c>
      <c r="GA137" s="2157">
        <v>100.25433481907258</v>
      </c>
      <c r="GB137" s="2157">
        <v>100.92493095869392</v>
      </c>
      <c r="GC137" s="2157">
        <v>100.92493095869392</v>
      </c>
      <c r="GD137" s="2157">
        <v>100.92493095869392</v>
      </c>
      <c r="GE137" s="2157">
        <v>100.92493095869392</v>
      </c>
      <c r="GF137" s="2158">
        <v>106.29923763137984</v>
      </c>
      <c r="GG137" s="1960">
        <v>107.59973633957091</v>
      </c>
      <c r="GH137" s="2114">
        <v>107.59973633957091</v>
      </c>
      <c r="GI137" s="2114">
        <v>107.59973633957091</v>
      </c>
      <c r="GJ137" s="2113">
        <v>108.63827018411725</v>
      </c>
      <c r="GK137" s="2113">
        <v>103.91506064825708</v>
      </c>
      <c r="GL137" s="2113">
        <v>103.91506064825708</v>
      </c>
      <c r="GM137" s="2114">
        <v>103.91506064825708</v>
      </c>
      <c r="GN137" s="2114">
        <v>107.68281904713463</v>
      </c>
      <c r="GO137" s="2115">
        <v>107.68281904713463</v>
      </c>
      <c r="GP137" s="2116">
        <v>107.68281904713463</v>
      </c>
      <c r="GQ137" s="2116">
        <v>107.68281904713463</v>
      </c>
      <c r="GR137" s="2116">
        <v>107.68281904713463</v>
      </c>
      <c r="GS137" s="2116">
        <v>110.45930748867683</v>
      </c>
      <c r="GT137" s="1960">
        <v>110.77722601251753</v>
      </c>
      <c r="GU137" s="1960">
        <v>116.03051170046142</v>
      </c>
      <c r="GV137" s="1960">
        <v>118.02937143268925</v>
      </c>
      <c r="GW137" s="1960">
        <v>118.02937143268925</v>
      </c>
      <c r="GX137" s="1960">
        <v>118.02937143268925</v>
      </c>
      <c r="GY137" s="1960">
        <v>119.80738376368903</v>
      </c>
      <c r="GZ137" s="1960">
        <v>126.23102995498044</v>
      </c>
      <c r="HA137" s="1960">
        <v>128.86439855150465</v>
      </c>
      <c r="HB137" s="1960">
        <v>128.86439855150465</v>
      </c>
      <c r="HC137" s="1960">
        <v>132.4579342184287</v>
      </c>
      <c r="HD137" s="1960">
        <v>132.4579342184287</v>
      </c>
      <c r="HE137" s="1960">
        <v>157.79982196613079</v>
      </c>
      <c r="HF137" s="1960">
        <v>169.41349903311828</v>
      </c>
      <c r="HG137" s="1960">
        <v>177.13245422912073</v>
      </c>
      <c r="HH137" s="2117">
        <v>169.06479745881606</v>
      </c>
      <c r="HI137" s="1960">
        <v>169.05248266207147</v>
      </c>
      <c r="HJ137" s="1960">
        <v>168.46016627115486</v>
      </c>
      <c r="HK137" s="1960">
        <v>176.58637741971631</v>
      </c>
      <c r="HL137" s="1960">
        <v>189.8359360818225</v>
      </c>
      <c r="HM137" s="1960">
        <v>192.13464603784016</v>
      </c>
      <c r="HN137" s="1960">
        <v>197.06091711127263</v>
      </c>
      <c r="HO137" s="1965">
        <v>201.68711234161529</v>
      </c>
      <c r="HP137" s="1960">
        <v>253.61190803806093</v>
      </c>
      <c r="HQ137" s="1960">
        <v>259.12101054956474</v>
      </c>
      <c r="HR137" s="1960">
        <v>285.5913087927799</v>
      </c>
      <c r="HS137" s="1960">
        <v>318.97025008448219</v>
      </c>
      <c r="HT137" s="1962">
        <v>319.02989354601129</v>
      </c>
      <c r="HU137" s="1961">
        <v>318.96262003683836</v>
      </c>
      <c r="HV137" s="1960">
        <v>324.55020434541473</v>
      </c>
      <c r="HW137" s="1960">
        <v>324.55020434541473</v>
      </c>
      <c r="HX137" s="1960">
        <v>324.55020434541473</v>
      </c>
      <c r="HY137" s="1960">
        <v>444.29335108802263</v>
      </c>
      <c r="HZ137" s="1960">
        <v>455.99053195049737</v>
      </c>
      <c r="IA137" s="1960">
        <v>455.99053195049737</v>
      </c>
      <c r="IB137" s="1960">
        <v>467.39026971850399</v>
      </c>
      <c r="IC137" s="1960">
        <v>516.56395045019099</v>
      </c>
      <c r="ID137" s="1960">
        <v>518.15640620075533</v>
      </c>
      <c r="IE137" s="1960">
        <v>538.8826247716022</v>
      </c>
      <c r="IF137" s="1960">
        <v>539.78983457761501</v>
      </c>
      <c r="IG137" s="1961">
        <v>539.78983457761501</v>
      </c>
      <c r="IH137" s="1960">
        <v>555.19239795077647</v>
      </c>
      <c r="II137" s="1960">
        <v>555.19239795077647</v>
      </c>
      <c r="IJ137" s="1961">
        <v>568.16000653679259</v>
      </c>
      <c r="IK137" s="1960">
        <v>585.84897334856544</v>
      </c>
      <c r="IL137" s="1960">
        <v>620.3641066621243</v>
      </c>
      <c r="IM137" s="1960">
        <v>620.50033066446554</v>
      </c>
      <c r="IN137" s="1960">
        <v>620.50033066446554</v>
      </c>
      <c r="IO137" s="1960">
        <v>620.50033066446554</v>
      </c>
      <c r="IP137" s="1960">
        <v>620.50033066446554</v>
      </c>
      <c r="IQ137" s="1960">
        <v>682.55036373091218</v>
      </c>
      <c r="IR137" s="1960">
        <v>719.98877839436739</v>
      </c>
      <c r="IS137" s="2274">
        <v>728.26451147936018</v>
      </c>
      <c r="IT137" s="1960">
        <v>776.74638360662311</v>
      </c>
      <c r="IU137" s="1960">
        <v>823.00594600808427</v>
      </c>
      <c r="IV137" s="1960">
        <v>852.05276720951463</v>
      </c>
      <c r="IW137" s="1960">
        <v>852.05276720951463</v>
      </c>
      <c r="IX137" s="1960">
        <v>904.92543729951365</v>
      </c>
      <c r="IY137" s="1960">
        <v>1031.0024943391986</v>
      </c>
      <c r="IZ137" s="1960">
        <v>1031.0024943391986</v>
      </c>
      <c r="JA137" s="1960">
        <v>1144.1265813616913</v>
      </c>
      <c r="JB137" s="1960">
        <v>1274.1567612532072</v>
      </c>
      <c r="JC137" s="1960">
        <v>1391.3287373656653</v>
      </c>
      <c r="JD137" s="1960">
        <v>1488.5370688694347</v>
      </c>
      <c r="JE137" s="2274">
        <v>1660.1792975283713</v>
      </c>
      <c r="JF137" s="2117">
        <v>1703.9039216955048</v>
      </c>
      <c r="JG137" s="2103">
        <f t="shared" si="14"/>
        <v>1.0263372903349834</v>
      </c>
      <c r="JI137" s="2155"/>
      <c r="JJ137" s="2104"/>
    </row>
    <row r="138" spans="2:270">
      <c r="B138" s="2105">
        <v>122</v>
      </c>
      <c r="C138" s="2106" t="s">
        <v>307</v>
      </c>
      <c r="D138" s="2425" t="s">
        <v>1201</v>
      </c>
      <c r="E138" s="2128" t="s">
        <v>308</v>
      </c>
      <c r="F138" s="2106" t="s">
        <v>918</v>
      </c>
      <c r="G138" s="2425" t="s">
        <v>1112</v>
      </c>
      <c r="H138" s="2106" t="s">
        <v>929</v>
      </c>
      <c r="I138" s="2106" t="s">
        <v>930</v>
      </c>
      <c r="J138" s="2359" t="s">
        <v>921</v>
      </c>
      <c r="K138" s="2425"/>
      <c r="L138" s="2110">
        <v>98.4</v>
      </c>
      <c r="M138" s="2110">
        <v>106</v>
      </c>
      <c r="N138" s="2110">
        <v>122.3</v>
      </c>
      <c r="O138" s="2110">
        <v>129.9</v>
      </c>
      <c r="P138" s="2110">
        <v>148.5</v>
      </c>
      <c r="Q138" s="2110">
        <v>159.19999999999999</v>
      </c>
      <c r="R138" s="2110">
        <v>167.4</v>
      </c>
      <c r="S138" s="2110">
        <v>168.4</v>
      </c>
      <c r="T138" s="2110">
        <v>176.5</v>
      </c>
      <c r="U138" s="2110">
        <v>177.5</v>
      </c>
      <c r="V138" s="2110">
        <v>185.3</v>
      </c>
      <c r="W138" s="2110">
        <v>185.3</v>
      </c>
      <c r="X138" s="2110">
        <v>185.3</v>
      </c>
      <c r="Y138" s="2110">
        <v>185.3</v>
      </c>
      <c r="Z138" s="2110">
        <v>185.3</v>
      </c>
      <c r="AA138" s="2110">
        <v>185.3</v>
      </c>
      <c r="AB138" s="2110">
        <v>185.3</v>
      </c>
      <c r="AC138" s="2110">
        <v>185.3</v>
      </c>
      <c r="AD138" s="2110">
        <v>185.3</v>
      </c>
      <c r="AE138" s="2110">
        <v>185.3</v>
      </c>
      <c r="AF138" s="2110">
        <v>186.4</v>
      </c>
      <c r="AG138" s="2110">
        <v>188.6</v>
      </c>
      <c r="AH138" s="2110">
        <v>190</v>
      </c>
      <c r="AI138" s="2110">
        <v>190.9</v>
      </c>
      <c r="AJ138" s="2110">
        <v>192.1</v>
      </c>
      <c r="AK138" s="2110">
        <v>191.9</v>
      </c>
      <c r="AL138" s="2110">
        <v>191.9</v>
      </c>
      <c r="AM138" s="2110">
        <v>196.1</v>
      </c>
      <c r="AN138" s="2110">
        <v>200.8</v>
      </c>
      <c r="AO138" s="2110">
        <v>200.8</v>
      </c>
      <c r="AP138" s="2110">
        <v>202.2</v>
      </c>
      <c r="AQ138" s="2110">
        <v>203.2</v>
      </c>
      <c r="AR138" s="2110">
        <v>208</v>
      </c>
      <c r="AS138" s="2110">
        <v>199.3</v>
      </c>
      <c r="AT138" s="2110">
        <v>202.5</v>
      </c>
      <c r="AU138" s="2110">
        <v>206.2</v>
      </c>
      <c r="AV138" s="2110">
        <v>206.6</v>
      </c>
      <c r="AW138" s="2111">
        <v>209</v>
      </c>
      <c r="AX138" s="2111">
        <v>209</v>
      </c>
      <c r="AY138" s="2111">
        <v>209</v>
      </c>
      <c r="AZ138" s="2111">
        <v>209.6</v>
      </c>
      <c r="BA138" s="2111">
        <v>213.3</v>
      </c>
      <c r="BB138" s="2111">
        <v>213.3</v>
      </c>
      <c r="BC138" s="2111">
        <v>215.5</v>
      </c>
      <c r="BD138" s="2112">
        <v>215.5</v>
      </c>
      <c r="BE138" s="2111">
        <v>217.4</v>
      </c>
      <c r="BF138" s="2112">
        <v>218.3</v>
      </c>
      <c r="BG138" s="2112">
        <v>225.9</v>
      </c>
      <c r="BH138" s="2112">
        <v>227.1</v>
      </c>
      <c r="BI138" s="2108">
        <v>227.1</v>
      </c>
      <c r="BJ138" s="2108">
        <v>228.9</v>
      </c>
      <c r="BK138" s="2108">
        <v>244.3</v>
      </c>
      <c r="BL138" s="2108">
        <v>244.3</v>
      </c>
      <c r="BM138" s="2108">
        <v>251.8</v>
      </c>
      <c r="BN138" s="2108">
        <v>251.8</v>
      </c>
      <c r="BO138" s="2108">
        <v>262.5</v>
      </c>
      <c r="BP138" s="2108">
        <v>264.2</v>
      </c>
      <c r="BQ138" s="2108">
        <v>268</v>
      </c>
      <c r="BR138" s="2108">
        <v>289</v>
      </c>
      <c r="BS138" s="2108">
        <v>289</v>
      </c>
      <c r="BT138" s="2108">
        <v>286.8</v>
      </c>
      <c r="BU138" s="2108">
        <v>299.7</v>
      </c>
      <c r="BV138" s="2108">
        <v>301.3</v>
      </c>
      <c r="BW138" s="2108">
        <v>301.3</v>
      </c>
      <c r="BX138" s="2108">
        <v>314.2</v>
      </c>
      <c r="BY138" s="2108">
        <v>314.2</v>
      </c>
      <c r="BZ138" s="2108">
        <v>314.60000000000002</v>
      </c>
      <c r="CA138" s="2108">
        <v>319.39999999999998</v>
      </c>
      <c r="CB138" s="2108">
        <v>327.2</v>
      </c>
      <c r="CC138" s="2108">
        <v>336.6</v>
      </c>
      <c r="CD138" s="2108">
        <v>365.2</v>
      </c>
      <c r="CE138" s="2108">
        <v>365.2</v>
      </c>
      <c r="CF138" s="2108">
        <v>370.5</v>
      </c>
      <c r="CG138" s="2108">
        <v>370.5</v>
      </c>
      <c r="CH138" s="2108">
        <v>378.7</v>
      </c>
      <c r="CI138" s="2108">
        <v>391</v>
      </c>
      <c r="CJ138" s="2108">
        <v>409.3</v>
      </c>
      <c r="CK138" s="2108">
        <v>428.7</v>
      </c>
      <c r="CL138" s="2108">
        <v>433.1</v>
      </c>
      <c r="CM138" s="2108">
        <v>433.1</v>
      </c>
      <c r="CN138" s="2108">
        <v>433.1</v>
      </c>
      <c r="CO138" s="2108">
        <v>437.7</v>
      </c>
      <c r="CP138" s="2108">
        <v>451.4</v>
      </c>
      <c r="CQ138" s="2108">
        <v>458.7</v>
      </c>
      <c r="CR138" s="2108">
        <v>458.7</v>
      </c>
      <c r="CS138" s="2108">
        <v>458.7</v>
      </c>
      <c r="CT138" s="2108">
        <v>458.7</v>
      </c>
      <c r="CU138" s="2108">
        <v>458.7</v>
      </c>
      <c r="CV138" s="2108">
        <v>458.7</v>
      </c>
      <c r="CW138" s="2108">
        <v>472.4</v>
      </c>
      <c r="CX138" s="2108">
        <v>472.4</v>
      </c>
      <c r="CY138" s="2108">
        <v>472.4</v>
      </c>
      <c r="CZ138" s="2108">
        <v>478.7</v>
      </c>
      <c r="DA138" s="2108">
        <v>485.4</v>
      </c>
      <c r="DB138" s="2108">
        <v>485.4</v>
      </c>
      <c r="DC138" s="2108">
        <v>485.4</v>
      </c>
      <c r="DD138" s="2108">
        <v>485.4</v>
      </c>
      <c r="DE138" s="2108">
        <v>494.1</v>
      </c>
      <c r="DF138" s="2108">
        <v>484</v>
      </c>
      <c r="DG138" s="2108">
        <v>484</v>
      </c>
      <c r="DH138" s="2108">
        <v>484</v>
      </c>
      <c r="DI138" s="2108">
        <v>505.1</v>
      </c>
      <c r="DJ138" s="2108">
        <v>509.6</v>
      </c>
      <c r="DK138" s="2108">
        <v>510.9</v>
      </c>
      <c r="DL138" s="2108">
        <v>521.4</v>
      </c>
      <c r="DM138" s="2108">
        <v>521.4</v>
      </c>
      <c r="DN138" s="2108">
        <v>524.29999999999995</v>
      </c>
      <c r="DO138" s="2108">
        <v>527.70000000000005</v>
      </c>
      <c r="DP138" s="2108">
        <v>537.4</v>
      </c>
      <c r="DQ138" s="2108">
        <v>541.1</v>
      </c>
      <c r="DR138" s="2108">
        <v>543.4</v>
      </c>
      <c r="DS138" s="2108">
        <v>560</v>
      </c>
      <c r="DT138" s="2108">
        <v>571.20000000000005</v>
      </c>
      <c r="DU138" s="2108">
        <v>571.20000000000005</v>
      </c>
      <c r="DV138" s="2108">
        <v>579</v>
      </c>
      <c r="DW138" s="2108">
        <v>593.4</v>
      </c>
      <c r="DX138" s="2108">
        <v>597.4</v>
      </c>
      <c r="DY138" s="2108">
        <v>609.5</v>
      </c>
      <c r="DZ138" s="2108">
        <v>609.5</v>
      </c>
      <c r="EA138" s="2108">
        <v>630.20000000000005</v>
      </c>
      <c r="EB138" s="2108">
        <v>630.20000000000005</v>
      </c>
      <c r="EC138" s="2108">
        <v>630.20000000000005</v>
      </c>
      <c r="ED138" s="2108">
        <v>630.20000000000005</v>
      </c>
      <c r="EE138" s="2108">
        <v>639.4</v>
      </c>
      <c r="EF138" s="2108">
        <v>644.5</v>
      </c>
      <c r="EG138" s="2108">
        <v>644.5</v>
      </c>
      <c r="EH138" s="2108">
        <v>607</v>
      </c>
      <c r="EI138" s="2108">
        <v>682.4</v>
      </c>
      <c r="EJ138" s="2108">
        <v>723.8</v>
      </c>
      <c r="EK138" s="2108">
        <v>730.2</v>
      </c>
      <c r="EL138" s="2108">
        <v>737</v>
      </c>
      <c r="EM138" s="2108">
        <v>743.3</v>
      </c>
      <c r="EN138" s="2108">
        <v>747.7</v>
      </c>
      <c r="EO138" s="2108">
        <v>747.7</v>
      </c>
      <c r="EP138" s="2108">
        <v>759</v>
      </c>
      <c r="EQ138" s="2108">
        <v>762.8</v>
      </c>
      <c r="ER138" s="2108">
        <v>762.9</v>
      </c>
      <c r="ES138" s="2108">
        <v>793.4</v>
      </c>
      <c r="ET138" s="2108">
        <v>804.7</v>
      </c>
      <c r="EU138" s="2108">
        <v>848.3</v>
      </c>
      <c r="EV138" s="2108">
        <v>854.5</v>
      </c>
      <c r="EW138" s="2108">
        <v>854.5</v>
      </c>
      <c r="EX138" s="2108">
        <v>862.2</v>
      </c>
      <c r="EY138" s="2108">
        <v>878.7</v>
      </c>
      <c r="EZ138" s="2108">
        <v>932.5</v>
      </c>
      <c r="FA138" s="2108">
        <v>937.6</v>
      </c>
      <c r="FB138" s="2108">
        <v>1066.8</v>
      </c>
      <c r="FC138" s="2108">
        <v>1128.4000000000001</v>
      </c>
      <c r="FD138" s="2108">
        <v>1157</v>
      </c>
      <c r="FE138" s="2108">
        <v>1209.0999999999999</v>
      </c>
      <c r="FF138" s="2108">
        <v>1215.9000000000001</v>
      </c>
      <c r="FG138" s="2108">
        <v>1220</v>
      </c>
      <c r="FH138" s="2108">
        <v>1198.0999999999999</v>
      </c>
      <c r="FI138" s="2108">
        <v>1251</v>
      </c>
      <c r="FJ138" s="2108">
        <v>1288</v>
      </c>
      <c r="FK138" s="2108">
        <v>1288</v>
      </c>
      <c r="FL138" s="2108">
        <v>1288</v>
      </c>
      <c r="FM138" s="2108">
        <v>1383.2</v>
      </c>
      <c r="FN138" s="2108">
        <v>1387.3</v>
      </c>
      <c r="FO138" s="2108">
        <v>1394.6</v>
      </c>
      <c r="FP138" s="2108">
        <v>1412</v>
      </c>
      <c r="FQ138" s="2108">
        <v>1431.6</v>
      </c>
      <c r="FR138" s="2108">
        <v>1440.2</v>
      </c>
      <c r="FS138" s="2108">
        <v>1448.9</v>
      </c>
      <c r="FT138" s="2108">
        <v>1463.3</v>
      </c>
      <c r="FU138" s="2108">
        <v>1496.5</v>
      </c>
      <c r="FV138" s="2108">
        <v>1496.5</v>
      </c>
      <c r="FW138" s="2113">
        <v>1694.200695192993</v>
      </c>
      <c r="FX138" s="2113">
        <v>1711.647597140842</v>
      </c>
      <c r="FY138" s="2113">
        <v>100</v>
      </c>
      <c r="FZ138" s="2113">
        <v>100.60058832168579</v>
      </c>
      <c r="GA138" s="2113">
        <v>102.41707204722275</v>
      </c>
      <c r="GB138" s="2113">
        <v>102.34367114004627</v>
      </c>
      <c r="GC138" s="2113">
        <v>102.67960685009986</v>
      </c>
      <c r="GD138" s="2113">
        <v>105.33685500992344</v>
      </c>
      <c r="GE138" s="2113">
        <v>118.95851749473495</v>
      </c>
      <c r="GF138" s="2114">
        <v>118.95851749473495</v>
      </c>
      <c r="GG138" s="1960">
        <v>119.08335248875376</v>
      </c>
      <c r="GH138" s="2114">
        <v>117.50443417510635</v>
      </c>
      <c r="GI138" s="2114">
        <v>117.50443417510635</v>
      </c>
      <c r="GJ138" s="2113">
        <v>118.53756619684167</v>
      </c>
      <c r="GK138" s="2113">
        <v>121.57992292660899</v>
      </c>
      <c r="GL138" s="2113">
        <v>122.0642797405505</v>
      </c>
      <c r="GM138" s="2114">
        <v>124.10508498900319</v>
      </c>
      <c r="GN138" s="2114">
        <v>124.10508498900319</v>
      </c>
      <c r="GO138" s="2115">
        <v>124.10508498900319</v>
      </c>
      <c r="GP138" s="2116">
        <v>122.7568641167145</v>
      </c>
      <c r="GQ138" s="2116">
        <v>127.40060935394827</v>
      </c>
      <c r="GR138" s="2116">
        <v>129.31271015997848</v>
      </c>
      <c r="GS138" s="2116">
        <v>128.74832606378789</v>
      </c>
      <c r="GT138" s="1960">
        <v>130.20552624167203</v>
      </c>
      <c r="GU138" s="1960">
        <v>133.58981742796053</v>
      </c>
      <c r="GV138" s="1960">
        <v>135.78541747612024</v>
      </c>
      <c r="GW138" s="1960">
        <v>138.51719681070799</v>
      </c>
      <c r="GX138" s="1960">
        <v>142.63127879763491</v>
      </c>
      <c r="GY138" s="1960">
        <v>141.22063560989668</v>
      </c>
      <c r="GZ138" s="1960">
        <v>142.51349863948789</v>
      </c>
      <c r="HA138" s="1960">
        <v>148.13923087694357</v>
      </c>
      <c r="HB138" s="1960">
        <v>157.0745507157288</v>
      </c>
      <c r="HC138" s="1960">
        <v>163.18840485020428</v>
      </c>
      <c r="HD138" s="1960">
        <v>176.64211106388638</v>
      </c>
      <c r="HE138" s="1960">
        <v>222.8431758419359</v>
      </c>
      <c r="HF138" s="1960">
        <v>228.4534906643357</v>
      </c>
      <c r="HG138" s="1960">
        <v>223.7297295342718</v>
      </c>
      <c r="HH138" s="2117">
        <v>223.7297295342718</v>
      </c>
      <c r="HI138" s="1960">
        <v>225.33352687860352</v>
      </c>
      <c r="HJ138" s="1960">
        <v>225.3336570061401</v>
      </c>
      <c r="HK138" s="1960">
        <v>227.58866969146752</v>
      </c>
      <c r="HL138" s="1960">
        <v>232.5599034890927</v>
      </c>
      <c r="HM138" s="1960">
        <v>237.60285721518818</v>
      </c>
      <c r="HN138" s="1960">
        <v>241.96509104150573</v>
      </c>
      <c r="HO138" s="1960">
        <v>241.96509104150573</v>
      </c>
      <c r="HP138" s="1960">
        <v>277.23933528305054</v>
      </c>
      <c r="HQ138" s="1960">
        <v>290.48837621941374</v>
      </c>
      <c r="HR138" s="1960">
        <v>298.63061490846468</v>
      </c>
      <c r="HS138" s="1960">
        <v>335.87596371828528</v>
      </c>
      <c r="HT138" s="1962">
        <v>335.901378061787</v>
      </c>
      <c r="HU138" s="1961">
        <v>346.80505362273311</v>
      </c>
      <c r="HV138" s="1960">
        <v>360.50240062953463</v>
      </c>
      <c r="HW138" s="1960">
        <v>360.50240062953463</v>
      </c>
      <c r="HX138" s="1960">
        <v>360.50240062953463</v>
      </c>
      <c r="HY138" s="1960">
        <v>360.50240062953463</v>
      </c>
      <c r="HZ138" s="1960">
        <v>360.50240062953463</v>
      </c>
      <c r="IA138" s="1960">
        <v>360.50240062953463</v>
      </c>
      <c r="IB138" s="1960">
        <v>394.72155145925097</v>
      </c>
      <c r="IC138" s="1960">
        <v>414.42219663210119</v>
      </c>
      <c r="ID138" s="1960">
        <v>466.02834589296288</v>
      </c>
      <c r="IE138" s="1960">
        <v>485.31405477096411</v>
      </c>
      <c r="IF138" s="1960">
        <v>492.59377787021413</v>
      </c>
      <c r="IG138" s="1961">
        <v>525.84583001744545</v>
      </c>
      <c r="IH138" s="1960">
        <v>597.82947266044721</v>
      </c>
      <c r="II138" s="1960">
        <v>603.86434430875454</v>
      </c>
      <c r="IJ138" s="1961">
        <v>601.855412712825</v>
      </c>
      <c r="IK138" s="1960">
        <v>599.26693951758659</v>
      </c>
      <c r="IL138" s="1960">
        <v>616.10102070205664</v>
      </c>
      <c r="IM138" s="1960">
        <v>614.97102936843362</v>
      </c>
      <c r="IN138" s="1960">
        <v>651.79303236330998</v>
      </c>
      <c r="IO138" s="1960">
        <v>672.21435986028484</v>
      </c>
      <c r="IP138" s="1960">
        <v>694.2101918775445</v>
      </c>
      <c r="IQ138" s="1960">
        <v>700.24496107553603</v>
      </c>
      <c r="IR138" s="1960">
        <v>739.03849572210618</v>
      </c>
      <c r="IS138" s="2274">
        <v>746.51329759601253</v>
      </c>
      <c r="IT138" s="1960">
        <v>780.31000622869226</v>
      </c>
      <c r="IU138" s="1960">
        <v>810.63376725415026</v>
      </c>
      <c r="IV138" s="1960">
        <v>846.44271109711394</v>
      </c>
      <c r="IW138" s="1960">
        <v>900.65645716250356</v>
      </c>
      <c r="IX138" s="1960">
        <v>933.36649832831381</v>
      </c>
      <c r="IY138" s="1960">
        <v>1036.7532021357706</v>
      </c>
      <c r="IZ138" s="1960">
        <v>1153.661579650319</v>
      </c>
      <c r="JA138" s="1960">
        <v>1172.887803872587</v>
      </c>
      <c r="JB138" s="1960">
        <v>1265.8250812910994</v>
      </c>
      <c r="JC138" s="1960">
        <v>1297.9710457412684</v>
      </c>
      <c r="JD138" s="1960">
        <v>1438.5164280218244</v>
      </c>
      <c r="JE138" s="2274">
        <v>1493.9073955267927</v>
      </c>
      <c r="JF138" s="2117">
        <v>1579.4802256842288</v>
      </c>
      <c r="JG138" s="2103">
        <f t="shared" si="14"/>
        <v>1.0572812146279393</v>
      </c>
      <c r="JI138" s="2155"/>
      <c r="JJ138" s="2104"/>
    </row>
    <row r="139" spans="2:270" ht="30.75" customHeight="1">
      <c r="B139" s="2105">
        <v>123</v>
      </c>
      <c r="C139" s="2106" t="s">
        <v>309</v>
      </c>
      <c r="D139" s="2425" t="s">
        <v>1240</v>
      </c>
      <c r="E139" s="2128" t="s">
        <v>310</v>
      </c>
      <c r="F139" s="2106" t="s">
        <v>918</v>
      </c>
      <c r="G139" s="2425" t="s">
        <v>1112</v>
      </c>
      <c r="H139" s="2425" t="s">
        <v>919</v>
      </c>
      <c r="I139" s="2106" t="s">
        <v>920</v>
      </c>
      <c r="J139" s="2359" t="s">
        <v>311</v>
      </c>
      <c r="K139" s="2425"/>
      <c r="L139" s="2110">
        <v>83.3</v>
      </c>
      <c r="M139" s="2110">
        <v>91.78</v>
      </c>
      <c r="N139" s="2110">
        <v>105.25</v>
      </c>
      <c r="O139" s="2110">
        <v>105.25</v>
      </c>
      <c r="P139" s="2110">
        <v>131.77000000000001</v>
      </c>
      <c r="Q139" s="2110">
        <v>144.78</v>
      </c>
      <c r="R139" s="2110">
        <v>176.83</v>
      </c>
      <c r="S139" s="2110">
        <v>176.83</v>
      </c>
      <c r="T139" s="2110">
        <v>184.11</v>
      </c>
      <c r="U139" s="2110">
        <v>184.11</v>
      </c>
      <c r="V139" s="2110">
        <v>190.93</v>
      </c>
      <c r="W139" s="2110">
        <v>190.93</v>
      </c>
      <c r="X139" s="2110">
        <v>190.93</v>
      </c>
      <c r="Y139" s="2110">
        <v>197.58</v>
      </c>
      <c r="Z139" s="2110">
        <v>197.58</v>
      </c>
      <c r="AA139" s="2110">
        <v>197.58</v>
      </c>
      <c r="AB139" s="2110">
        <v>197.58</v>
      </c>
      <c r="AC139" s="2110">
        <v>197.58</v>
      </c>
      <c r="AD139" s="2110">
        <v>197.58</v>
      </c>
      <c r="AE139" s="2110">
        <v>197.58</v>
      </c>
      <c r="AF139" s="2110">
        <v>197.58</v>
      </c>
      <c r="AG139" s="2110">
        <v>197.58</v>
      </c>
      <c r="AH139" s="2110">
        <v>197.58</v>
      </c>
      <c r="AI139" s="2110">
        <v>197.58</v>
      </c>
      <c r="AJ139" s="2110">
        <v>197.58</v>
      </c>
      <c r="AK139" s="2110">
        <v>197.58</v>
      </c>
      <c r="AL139" s="2110">
        <v>197.58</v>
      </c>
      <c r="AM139" s="2110">
        <v>197.58</v>
      </c>
      <c r="AN139" s="2110">
        <v>197.58</v>
      </c>
      <c r="AO139" s="2110">
        <v>197.58</v>
      </c>
      <c r="AP139" s="2110">
        <v>197.58</v>
      </c>
      <c r="AQ139" s="2110">
        <v>187.58</v>
      </c>
      <c r="AR139" s="2110">
        <v>204.6</v>
      </c>
      <c r="AS139" s="2110">
        <v>204.6</v>
      </c>
      <c r="AT139" s="2110">
        <v>204.6</v>
      </c>
      <c r="AU139" s="2110">
        <v>204.6</v>
      </c>
      <c r="AV139" s="2110">
        <v>204.6</v>
      </c>
      <c r="AW139" s="2111">
        <v>204.6</v>
      </c>
      <c r="AX139" s="2111">
        <v>204.6</v>
      </c>
      <c r="AY139" s="2111">
        <v>204.6</v>
      </c>
      <c r="AZ139" s="2111">
        <v>204.6</v>
      </c>
      <c r="BA139" s="2111">
        <v>204.6</v>
      </c>
      <c r="BB139" s="2112">
        <v>204.57</v>
      </c>
      <c r="BC139" s="2112">
        <v>204.57</v>
      </c>
      <c r="BD139" s="2112">
        <v>204.57</v>
      </c>
      <c r="BE139" s="2111">
        <v>204.57</v>
      </c>
      <c r="BF139" s="2112">
        <v>204.57</v>
      </c>
      <c r="BG139" s="2112">
        <v>204.57</v>
      </c>
      <c r="BH139" s="2112">
        <v>204.57</v>
      </c>
      <c r="BI139" s="2112">
        <v>204.57</v>
      </c>
      <c r="BJ139" s="2112">
        <v>204.57</v>
      </c>
      <c r="BK139" s="2112">
        <v>204.57</v>
      </c>
      <c r="BL139" s="2112">
        <v>204.57</v>
      </c>
      <c r="BM139" s="2112">
        <v>204.57</v>
      </c>
      <c r="BN139" s="2112">
        <v>204.57</v>
      </c>
      <c r="BO139" s="2112">
        <v>204.57</v>
      </c>
      <c r="BP139" s="2112">
        <v>205.34</v>
      </c>
      <c r="BQ139" s="2112">
        <v>205.34</v>
      </c>
      <c r="BR139" s="2112">
        <v>205.34</v>
      </c>
      <c r="BS139" s="2112">
        <v>205.34</v>
      </c>
      <c r="BT139" s="2112">
        <v>205.34</v>
      </c>
      <c r="BU139" s="2112">
        <v>205.34</v>
      </c>
      <c r="BV139" s="2112">
        <v>211.49</v>
      </c>
      <c r="BW139" s="2112">
        <v>211.49</v>
      </c>
      <c r="BX139" s="2112">
        <v>211.49</v>
      </c>
      <c r="BY139" s="2112">
        <v>211.49</v>
      </c>
      <c r="BZ139" s="2112">
        <v>218.93</v>
      </c>
      <c r="CA139" s="2112">
        <v>218.93</v>
      </c>
      <c r="CB139" s="2112">
        <v>218.93</v>
      </c>
      <c r="CC139" s="2112">
        <v>218.93</v>
      </c>
      <c r="CD139" s="2112">
        <v>223.54</v>
      </c>
      <c r="CE139" s="2112">
        <v>223.27</v>
      </c>
      <c r="CF139" s="2112">
        <v>227.76</v>
      </c>
      <c r="CG139" s="2112">
        <v>227.76</v>
      </c>
      <c r="CH139" s="2112">
        <v>227.76</v>
      </c>
      <c r="CI139" s="2108">
        <v>227.76</v>
      </c>
      <c r="CJ139" s="2108">
        <v>234.64</v>
      </c>
      <c r="CK139" s="2108">
        <v>234.64</v>
      </c>
      <c r="CL139" s="2108">
        <v>239</v>
      </c>
      <c r="CM139" s="2108">
        <v>239</v>
      </c>
      <c r="CN139" s="2108">
        <v>239</v>
      </c>
      <c r="CO139" s="2108">
        <v>239</v>
      </c>
      <c r="CP139" s="2108">
        <v>244.4</v>
      </c>
      <c r="CQ139" s="2108">
        <v>244.4</v>
      </c>
      <c r="CR139" s="2108">
        <v>244.4</v>
      </c>
      <c r="CS139" s="2108">
        <v>244.4</v>
      </c>
      <c r="CT139" s="2108">
        <v>244.4</v>
      </c>
      <c r="CU139" s="2108">
        <v>244.4</v>
      </c>
      <c r="CV139" s="2108">
        <v>244.4</v>
      </c>
      <c r="CW139" s="2108">
        <v>244.4</v>
      </c>
      <c r="CX139" s="2108">
        <v>244.4</v>
      </c>
      <c r="CY139" s="2108">
        <v>251.74</v>
      </c>
      <c r="CZ139" s="2108">
        <v>251.74</v>
      </c>
      <c r="DA139" s="2108">
        <v>251.74</v>
      </c>
      <c r="DB139" s="2108">
        <v>251.74</v>
      </c>
      <c r="DC139" s="2108">
        <v>261.74</v>
      </c>
      <c r="DD139" s="2108">
        <v>261.74</v>
      </c>
      <c r="DE139" s="2108">
        <v>261.74</v>
      </c>
      <c r="DF139" s="2108">
        <v>274.87</v>
      </c>
      <c r="DG139" s="2108">
        <v>274.87</v>
      </c>
      <c r="DH139" s="2108">
        <v>274.87</v>
      </c>
      <c r="DI139" s="2108">
        <v>274.87</v>
      </c>
      <c r="DJ139" s="2108">
        <v>274.87</v>
      </c>
      <c r="DK139" s="2108">
        <v>274.87</v>
      </c>
      <c r="DL139" s="2108">
        <v>274.87</v>
      </c>
      <c r="DM139" s="2108">
        <v>276.77</v>
      </c>
      <c r="DN139" s="2108">
        <v>283.20999999999998</v>
      </c>
      <c r="DO139" s="2108">
        <v>287.52</v>
      </c>
      <c r="DP139" s="2108">
        <v>287.52</v>
      </c>
      <c r="DQ139" s="2108">
        <v>287.52</v>
      </c>
      <c r="DR139" s="2108">
        <v>287.41000000000003</v>
      </c>
      <c r="DS139" s="2108">
        <v>292.95</v>
      </c>
      <c r="DT139" s="2108">
        <v>292.95</v>
      </c>
      <c r="DU139" s="2108">
        <v>292.95</v>
      </c>
      <c r="DV139" s="2108">
        <v>292.95</v>
      </c>
      <c r="DW139" s="2108">
        <v>292.95</v>
      </c>
      <c r="DX139" s="2108">
        <v>308.55</v>
      </c>
      <c r="DY139" s="2108">
        <v>308.55</v>
      </c>
      <c r="DZ139" s="2108">
        <v>308.55</v>
      </c>
      <c r="EA139" s="2108">
        <v>308.55</v>
      </c>
      <c r="EB139" s="2108">
        <v>308.55</v>
      </c>
      <c r="EC139" s="2108">
        <v>308.55</v>
      </c>
      <c r="ED139" s="2108">
        <v>308.55</v>
      </c>
      <c r="EE139" s="2108">
        <v>325.61</v>
      </c>
      <c r="EF139" s="2108">
        <v>325.61</v>
      </c>
      <c r="EG139" s="2108">
        <v>325.61</v>
      </c>
      <c r="EH139" s="2108">
        <v>325.61</v>
      </c>
      <c r="EI139" s="2108">
        <v>323.17</v>
      </c>
      <c r="EJ139" s="2108">
        <v>342.22</v>
      </c>
      <c r="EK139" s="2108">
        <v>342.22</v>
      </c>
      <c r="EL139" s="2108">
        <v>342.22</v>
      </c>
      <c r="EM139" s="2108">
        <v>342.22</v>
      </c>
      <c r="EN139" s="2108">
        <v>342.22</v>
      </c>
      <c r="EO139" s="2108">
        <v>342.22</v>
      </c>
      <c r="EP139" s="2108">
        <v>342.22</v>
      </c>
      <c r="EQ139" s="2108">
        <v>361.41</v>
      </c>
      <c r="ER139" s="2108">
        <v>361.41</v>
      </c>
      <c r="ES139" s="2108">
        <v>361.41</v>
      </c>
      <c r="ET139" s="2108">
        <v>361.41</v>
      </c>
      <c r="EU139" s="2108">
        <v>363.24</v>
      </c>
      <c r="EV139" s="2108">
        <v>361.41</v>
      </c>
      <c r="EW139" s="2108">
        <v>361.41</v>
      </c>
      <c r="EX139" s="2108">
        <v>361.41</v>
      </c>
      <c r="EY139" s="2108">
        <v>361.41</v>
      </c>
      <c r="EZ139" s="2108">
        <v>380.24</v>
      </c>
      <c r="FA139" s="2108">
        <v>399.54</v>
      </c>
      <c r="FB139" s="2108">
        <v>439.47</v>
      </c>
      <c r="FC139" s="2108">
        <v>439.56</v>
      </c>
      <c r="FD139" s="2108">
        <v>439.47</v>
      </c>
      <c r="FE139" s="2108">
        <v>467.84</v>
      </c>
      <c r="FF139" s="2108">
        <v>467.84</v>
      </c>
      <c r="FG139" s="2108">
        <v>467.84</v>
      </c>
      <c r="FH139" s="2108">
        <v>502.66</v>
      </c>
      <c r="FI139" s="2108">
        <v>502.66</v>
      </c>
      <c r="FJ139" s="2108">
        <v>555.19000000000005</v>
      </c>
      <c r="FK139" s="2108">
        <v>555.30999999999995</v>
      </c>
      <c r="FL139" s="2108">
        <v>555.19000000000005</v>
      </c>
      <c r="FM139" s="2108">
        <v>555.19000000000005</v>
      </c>
      <c r="FN139" s="2108">
        <v>589.28</v>
      </c>
      <c r="FO139" s="2108">
        <v>589.28</v>
      </c>
      <c r="FP139" s="2108">
        <v>589.28</v>
      </c>
      <c r="FQ139" s="2108">
        <v>589.28</v>
      </c>
      <c r="FR139" s="2108">
        <v>618.32000000000005</v>
      </c>
      <c r="FS139" s="2108">
        <v>618.32000000000005</v>
      </c>
      <c r="FT139" s="2108">
        <v>618.32000000000005</v>
      </c>
      <c r="FU139" s="2108">
        <v>661.48</v>
      </c>
      <c r="FV139" s="2108">
        <v>661.48</v>
      </c>
      <c r="FW139" s="2113">
        <v>760.93293726450622</v>
      </c>
      <c r="FX139" s="2113">
        <v>777.36038661876466</v>
      </c>
      <c r="FY139" s="2113">
        <v>100</v>
      </c>
      <c r="FZ139" s="2113">
        <v>100.11293888092041</v>
      </c>
      <c r="GA139" s="2113">
        <v>97.943045571098253</v>
      </c>
      <c r="GB139" s="2113">
        <v>98.874557934264274</v>
      </c>
      <c r="GC139" s="2113">
        <v>98.874557934264274</v>
      </c>
      <c r="GD139" s="2113">
        <v>98.874557934264274</v>
      </c>
      <c r="GE139" s="2113">
        <v>98.874557934264274</v>
      </c>
      <c r="GF139" s="2114">
        <v>102.17678538953399</v>
      </c>
      <c r="GG139" s="1960">
        <v>104.57775363189658</v>
      </c>
      <c r="GH139" s="2114">
        <v>104.57775363189658</v>
      </c>
      <c r="GI139" s="2114">
        <v>104.57775363189658</v>
      </c>
      <c r="GJ139" s="2113">
        <v>106.87885845681261</v>
      </c>
      <c r="GK139" s="2113">
        <v>104.52968158238158</v>
      </c>
      <c r="GL139" s="2113">
        <v>104.52968158238158</v>
      </c>
      <c r="GM139" s="2114">
        <v>104.52968158238158</v>
      </c>
      <c r="GN139" s="2114">
        <v>107.13112064886207</v>
      </c>
      <c r="GO139" s="2115">
        <v>108.1545522617635</v>
      </c>
      <c r="GP139" s="2116">
        <v>108.1545522617635</v>
      </c>
      <c r="GQ139" s="2116">
        <v>108.1545522617635</v>
      </c>
      <c r="GR139" s="2116">
        <v>108.87968190524023</v>
      </c>
      <c r="GS139" s="2116">
        <v>110.27441676214276</v>
      </c>
      <c r="GT139" s="1960">
        <v>112.14094022024288</v>
      </c>
      <c r="GU139" s="1960">
        <v>116.57720463419902</v>
      </c>
      <c r="GV139" s="1960">
        <v>119.99734692079765</v>
      </c>
      <c r="GW139" s="1960">
        <v>121.8956795071423</v>
      </c>
      <c r="GX139" s="1960">
        <v>125.47531362246012</v>
      </c>
      <c r="GY139" s="1960">
        <v>127.5388948825875</v>
      </c>
      <c r="GZ139" s="1960">
        <v>130.91400632108605</v>
      </c>
      <c r="HA139" s="1960">
        <v>137.98820319562313</v>
      </c>
      <c r="HB139" s="1960">
        <v>137.98820319562313</v>
      </c>
      <c r="HC139" s="1960">
        <v>141.94073255787893</v>
      </c>
      <c r="HD139" s="1960">
        <v>138.0898333847199</v>
      </c>
      <c r="HE139" s="1960">
        <v>164.30607378470873</v>
      </c>
      <c r="HF139" s="1960">
        <v>176.48506494085774</v>
      </c>
      <c r="HG139" s="1960">
        <v>184.86894828332433</v>
      </c>
      <c r="HH139" s="2117">
        <v>180.65893711194448</v>
      </c>
      <c r="HI139" s="1960">
        <v>184.86221529231526</v>
      </c>
      <c r="HJ139" s="1960">
        <v>180.05612189080341</v>
      </c>
      <c r="HK139" s="1960">
        <v>188.36241087756039</v>
      </c>
      <c r="HL139" s="1960">
        <v>200.6125955379257</v>
      </c>
      <c r="HM139" s="1960">
        <v>204.65302671662801</v>
      </c>
      <c r="HN139" s="1960">
        <v>205.04156086135211</v>
      </c>
      <c r="HO139" s="1960">
        <v>201.31664204684421</v>
      </c>
      <c r="HP139" s="1960">
        <v>254.04767034585072</v>
      </c>
      <c r="HQ139" s="1960">
        <v>259.59598004677474</v>
      </c>
      <c r="HR139" s="1960">
        <v>286.30146338617311</v>
      </c>
      <c r="HS139" s="1960">
        <v>291.52465444356244</v>
      </c>
      <c r="HT139" s="1962">
        <v>291.52465444356244</v>
      </c>
      <c r="HU139" s="1961">
        <v>291.52465444356244</v>
      </c>
      <c r="HV139" s="1960">
        <v>296.54130787211204</v>
      </c>
      <c r="HW139" s="1960">
        <v>296.54130787211204</v>
      </c>
      <c r="HX139" s="1960">
        <v>296.54130787211204</v>
      </c>
      <c r="HY139" s="1960">
        <v>352.28269974841902</v>
      </c>
      <c r="HZ139" s="1960">
        <v>362.66690898056913</v>
      </c>
      <c r="IA139" s="1960">
        <v>360.98789551306646</v>
      </c>
      <c r="IB139" s="1960">
        <v>372.52257779963708</v>
      </c>
      <c r="IC139" s="1960">
        <v>409.17686042158749</v>
      </c>
      <c r="ID139" s="1960">
        <v>404.67341761324946</v>
      </c>
      <c r="IE139" s="1960">
        <v>428.95366422180837</v>
      </c>
      <c r="IF139" s="1960">
        <v>430.16312004198267</v>
      </c>
      <c r="IG139" s="1961">
        <v>433.35711198586836</v>
      </c>
      <c r="IH139" s="1960">
        <v>447.3089720514177</v>
      </c>
      <c r="II139" s="1960">
        <v>454.01882024221334</v>
      </c>
      <c r="IJ139" s="1961">
        <v>451.67180780132196</v>
      </c>
      <c r="IK139" s="1960">
        <v>484.70020986558393</v>
      </c>
      <c r="IL139" s="1960">
        <v>506.18097370352024</v>
      </c>
      <c r="IM139" s="1960">
        <v>531.8100296825146</v>
      </c>
      <c r="IN139" s="1960">
        <v>531.58168917438127</v>
      </c>
      <c r="IO139" s="1960">
        <v>557.84302067839633</v>
      </c>
      <c r="IP139" s="1960">
        <v>571.96303542498185</v>
      </c>
      <c r="IQ139" s="1960">
        <v>578.09713879285243</v>
      </c>
      <c r="IR139" s="1960">
        <v>589.25524161622025</v>
      </c>
      <c r="IS139" s="2274">
        <v>604.32173763181686</v>
      </c>
      <c r="IT139" s="1960">
        <v>628.34668945390388</v>
      </c>
      <c r="IU139" s="1960">
        <v>642.11237124554236</v>
      </c>
      <c r="IV139" s="1960">
        <v>659.53346731202794</v>
      </c>
      <c r="IW139" s="1960">
        <v>688.31929581916756</v>
      </c>
      <c r="IX139" s="1960">
        <v>702.28999877724755</v>
      </c>
      <c r="IY139" s="1960">
        <v>792.69542289628623</v>
      </c>
      <c r="IZ139" s="1960">
        <v>820.34033627912083</v>
      </c>
      <c r="JA139" s="1960">
        <v>878.24327733620544</v>
      </c>
      <c r="JB139" s="1960">
        <v>900.64255298147498</v>
      </c>
      <c r="JC139" s="1960">
        <v>912.57119950854019</v>
      </c>
      <c r="JD139" s="1960">
        <v>972.10637516148154</v>
      </c>
      <c r="JE139" s="2274">
        <v>1032.5277542836175</v>
      </c>
      <c r="JF139" s="2117">
        <v>1045.0703394064137</v>
      </c>
      <c r="JG139" s="2103">
        <f t="shared" si="14"/>
        <v>1.0121474556696042</v>
      </c>
      <c r="JI139" s="2155"/>
      <c r="JJ139" s="2104"/>
    </row>
    <row r="140" spans="2:270" ht="31.5">
      <c r="B140" s="2105">
        <v>124</v>
      </c>
      <c r="C140" s="2106" t="s">
        <v>312</v>
      </c>
      <c r="D140" s="2425" t="s">
        <v>1241</v>
      </c>
      <c r="E140" s="2128" t="s">
        <v>313</v>
      </c>
      <c r="F140" s="2106" t="s">
        <v>918</v>
      </c>
      <c r="G140" s="2425" t="s">
        <v>1112</v>
      </c>
      <c r="H140" s="2106" t="s">
        <v>929</v>
      </c>
      <c r="I140" s="2106" t="s">
        <v>930</v>
      </c>
      <c r="J140" s="2359" t="s">
        <v>314</v>
      </c>
      <c r="K140" s="2425"/>
      <c r="L140" s="2110">
        <v>93.8</v>
      </c>
      <c r="M140" s="2110">
        <v>95.6</v>
      </c>
      <c r="N140" s="2110">
        <v>98</v>
      </c>
      <c r="O140" s="2110">
        <v>105.4</v>
      </c>
      <c r="P140" s="2110">
        <v>114.6</v>
      </c>
      <c r="Q140" s="2110">
        <v>114</v>
      </c>
      <c r="R140" s="2110">
        <v>121.7</v>
      </c>
      <c r="S140" s="2110">
        <v>137</v>
      </c>
      <c r="T140" s="2110">
        <v>145.5</v>
      </c>
      <c r="U140" s="2110">
        <v>151.30000000000001</v>
      </c>
      <c r="V140" s="2110">
        <v>159.30000000000001</v>
      </c>
      <c r="W140" s="2110">
        <v>166.7</v>
      </c>
      <c r="X140" s="2110">
        <v>164.6</v>
      </c>
      <c r="Y140" s="2110">
        <v>164.7</v>
      </c>
      <c r="Z140" s="2110">
        <v>162.1</v>
      </c>
      <c r="AA140" s="2110">
        <v>158.69999999999999</v>
      </c>
      <c r="AB140" s="2110">
        <v>160.19999999999999</v>
      </c>
      <c r="AC140" s="2110">
        <v>164</v>
      </c>
      <c r="AD140" s="2110">
        <v>168.5</v>
      </c>
      <c r="AE140" s="2110">
        <v>166.6</v>
      </c>
      <c r="AF140" s="2110">
        <v>167</v>
      </c>
      <c r="AG140" s="2110">
        <v>168</v>
      </c>
      <c r="AH140" s="2110">
        <v>167.3</v>
      </c>
      <c r="AI140" s="2110">
        <v>166.6</v>
      </c>
      <c r="AJ140" s="2110">
        <v>170.2</v>
      </c>
      <c r="AK140" s="2110">
        <v>169</v>
      </c>
      <c r="AL140" s="2110">
        <v>172.6</v>
      </c>
      <c r="AM140" s="2110">
        <v>179.1</v>
      </c>
      <c r="AN140" s="2110">
        <v>179.1</v>
      </c>
      <c r="AO140" s="2110">
        <v>182.6</v>
      </c>
      <c r="AP140" s="2110">
        <v>181.9</v>
      </c>
      <c r="AQ140" s="2110">
        <v>182.3</v>
      </c>
      <c r="AR140" s="2110">
        <v>185.1</v>
      </c>
      <c r="AS140" s="2110">
        <v>187.3</v>
      </c>
      <c r="AT140" s="2110">
        <v>185.8</v>
      </c>
      <c r="AU140" s="2110">
        <v>191.3</v>
      </c>
      <c r="AV140" s="2110">
        <v>195.8</v>
      </c>
      <c r="AW140" s="2111">
        <v>199.7</v>
      </c>
      <c r="AX140" s="2111">
        <v>205.2</v>
      </c>
      <c r="AY140" s="2111">
        <v>205.2</v>
      </c>
      <c r="AZ140" s="2111">
        <v>202.3</v>
      </c>
      <c r="BA140" s="2111">
        <v>204.3</v>
      </c>
      <c r="BB140" s="2111">
        <v>211.9</v>
      </c>
      <c r="BC140" s="2111">
        <v>212.9</v>
      </c>
      <c r="BD140" s="2112">
        <v>212.9</v>
      </c>
      <c r="BE140" s="2111">
        <v>214.9</v>
      </c>
      <c r="BF140" s="2112">
        <v>216.8</v>
      </c>
      <c r="BG140" s="2112">
        <v>217.5</v>
      </c>
      <c r="BH140" s="2112">
        <v>220.4</v>
      </c>
      <c r="BI140" s="2108">
        <v>221.2</v>
      </c>
      <c r="BJ140" s="2108">
        <v>223</v>
      </c>
      <c r="BK140" s="2108">
        <v>218.3</v>
      </c>
      <c r="BL140" s="2108">
        <v>225.9</v>
      </c>
      <c r="BM140" s="2108">
        <v>231.9</v>
      </c>
      <c r="BN140" s="2108">
        <v>234.1</v>
      </c>
      <c r="BO140" s="2108">
        <v>238.7</v>
      </c>
      <c r="BP140" s="2108">
        <v>240.4</v>
      </c>
      <c r="BQ140" s="2108">
        <v>240.4</v>
      </c>
      <c r="BR140" s="2108">
        <v>240.4</v>
      </c>
      <c r="BS140" s="2108">
        <v>247.3</v>
      </c>
      <c r="BT140" s="2108">
        <v>249.2</v>
      </c>
      <c r="BU140" s="2108">
        <v>262.60000000000002</v>
      </c>
      <c r="BV140" s="2108">
        <v>264.39999999999998</v>
      </c>
      <c r="BW140" s="2108">
        <v>277.89999999999998</v>
      </c>
      <c r="BX140" s="2108">
        <v>280.5</v>
      </c>
      <c r="BY140" s="2108">
        <v>280.7</v>
      </c>
      <c r="BZ140" s="2108">
        <v>285.7</v>
      </c>
      <c r="CA140" s="2108">
        <v>296</v>
      </c>
      <c r="CB140" s="2108">
        <v>297.7</v>
      </c>
      <c r="CC140" s="2108">
        <v>297.7</v>
      </c>
      <c r="CD140" s="2108">
        <v>301.60000000000002</v>
      </c>
      <c r="CE140" s="2108">
        <v>310.2</v>
      </c>
      <c r="CF140" s="2108">
        <v>309.3</v>
      </c>
      <c r="CG140" s="2108">
        <v>315.3</v>
      </c>
      <c r="CH140" s="2108">
        <v>316.39999999999998</v>
      </c>
      <c r="CI140" s="2108">
        <v>317</v>
      </c>
      <c r="CJ140" s="2108">
        <v>335.9</v>
      </c>
      <c r="CK140" s="2108">
        <v>339.2</v>
      </c>
      <c r="CL140" s="2108">
        <v>346.3</v>
      </c>
      <c r="CM140" s="2108">
        <v>359.9</v>
      </c>
      <c r="CN140" s="2108">
        <v>366.1</v>
      </c>
      <c r="CO140" s="2108">
        <v>366.1</v>
      </c>
      <c r="CP140" s="2108">
        <v>366.1</v>
      </c>
      <c r="CQ140" s="2108">
        <v>367.8</v>
      </c>
      <c r="CR140" s="2108">
        <v>367.8</v>
      </c>
      <c r="CS140" s="2108">
        <v>367.8</v>
      </c>
      <c r="CT140" s="2108">
        <v>367.9</v>
      </c>
      <c r="CU140" s="2108">
        <v>367.8</v>
      </c>
      <c r="CV140" s="2108">
        <v>367.8</v>
      </c>
      <c r="CW140" s="2108">
        <v>367.9</v>
      </c>
      <c r="CX140" s="2108">
        <v>370.1</v>
      </c>
      <c r="CY140" s="2108">
        <v>370.1</v>
      </c>
      <c r="CZ140" s="2108">
        <v>377.5</v>
      </c>
      <c r="DA140" s="2108">
        <v>379.6</v>
      </c>
      <c r="DB140" s="2108">
        <v>379.6</v>
      </c>
      <c r="DC140" s="2108">
        <v>379.6</v>
      </c>
      <c r="DD140" s="2108">
        <v>380</v>
      </c>
      <c r="DE140" s="2108">
        <v>381.8</v>
      </c>
      <c r="DF140" s="2108">
        <v>386.7</v>
      </c>
      <c r="DG140" s="2108">
        <v>393.7</v>
      </c>
      <c r="DH140" s="2108">
        <v>396</v>
      </c>
      <c r="DI140" s="2108">
        <v>400.9</v>
      </c>
      <c r="DJ140" s="2108">
        <v>400.9</v>
      </c>
      <c r="DK140" s="2108">
        <v>400.8</v>
      </c>
      <c r="DL140" s="2108">
        <v>407</v>
      </c>
      <c r="DM140" s="2108">
        <v>423.2</v>
      </c>
      <c r="DN140" s="2108">
        <v>423.2</v>
      </c>
      <c r="DO140" s="2108">
        <v>430.2</v>
      </c>
      <c r="DP140" s="2108">
        <v>436.3</v>
      </c>
      <c r="DQ140" s="2108">
        <v>441.8</v>
      </c>
      <c r="DR140" s="2108">
        <v>447.8</v>
      </c>
      <c r="DS140" s="2108">
        <v>457.5</v>
      </c>
      <c r="DT140" s="2108">
        <v>465.8</v>
      </c>
      <c r="DU140" s="2108">
        <v>469.2</v>
      </c>
      <c r="DV140" s="2108">
        <v>477.6</v>
      </c>
      <c r="DW140" s="2108">
        <v>476.5</v>
      </c>
      <c r="DX140" s="2108">
        <v>489.2</v>
      </c>
      <c r="DY140" s="2108">
        <v>498.4</v>
      </c>
      <c r="DZ140" s="2108">
        <v>501</v>
      </c>
      <c r="EA140" s="2108">
        <v>509.2</v>
      </c>
      <c r="EB140" s="2108">
        <v>523.79999999999995</v>
      </c>
      <c r="EC140" s="2108">
        <v>523.79999999999995</v>
      </c>
      <c r="ED140" s="2108">
        <v>536</v>
      </c>
      <c r="EE140" s="2108">
        <v>542.20000000000005</v>
      </c>
      <c r="EF140" s="2108">
        <v>542.9</v>
      </c>
      <c r="EG140" s="2108">
        <v>542.9</v>
      </c>
      <c r="EH140" s="2108">
        <v>557.79999999999995</v>
      </c>
      <c r="EI140" s="2108">
        <v>588.1</v>
      </c>
      <c r="EJ140" s="2108">
        <v>609.9</v>
      </c>
      <c r="EK140" s="2108">
        <v>612</v>
      </c>
      <c r="EL140" s="2108">
        <v>626.5</v>
      </c>
      <c r="EM140" s="2108">
        <v>653.5</v>
      </c>
      <c r="EN140" s="2108">
        <v>653.1</v>
      </c>
      <c r="EO140" s="2108">
        <v>652.29999999999995</v>
      </c>
      <c r="EP140" s="2108">
        <v>666.2</v>
      </c>
      <c r="EQ140" s="2108">
        <v>673.8</v>
      </c>
      <c r="ER140" s="2108">
        <v>695.4</v>
      </c>
      <c r="ES140" s="2108">
        <v>714.2</v>
      </c>
      <c r="ET140" s="2108">
        <v>745.4</v>
      </c>
      <c r="EU140" s="2108">
        <v>757.1</v>
      </c>
      <c r="EV140" s="2108">
        <v>777.6</v>
      </c>
      <c r="EW140" s="2108">
        <v>787.7</v>
      </c>
      <c r="EX140" s="2108">
        <v>796.5</v>
      </c>
      <c r="EY140" s="2108">
        <v>798.6</v>
      </c>
      <c r="EZ140" s="2108">
        <v>819.6</v>
      </c>
      <c r="FA140" s="2108">
        <v>851.7</v>
      </c>
      <c r="FB140" s="2108">
        <v>914.8</v>
      </c>
      <c r="FC140" s="2108">
        <v>906.4</v>
      </c>
      <c r="FD140" s="2108">
        <v>941.3</v>
      </c>
      <c r="FE140" s="2108">
        <v>962.1</v>
      </c>
      <c r="FF140" s="2108">
        <v>977</v>
      </c>
      <c r="FG140" s="2108">
        <v>986.9</v>
      </c>
      <c r="FH140" s="2108">
        <v>1007</v>
      </c>
      <c r="FI140" s="2108">
        <v>1049.9000000000001</v>
      </c>
      <c r="FJ140" s="2108">
        <v>1077.3</v>
      </c>
      <c r="FK140" s="2108">
        <v>1102.9000000000001</v>
      </c>
      <c r="FL140" s="2108">
        <v>1111.2</v>
      </c>
      <c r="FM140" s="2108">
        <v>1123.7</v>
      </c>
      <c r="FN140" s="2108">
        <v>1123.7</v>
      </c>
      <c r="FO140" s="2108">
        <v>1159.8</v>
      </c>
      <c r="FP140" s="2108">
        <v>1172.3</v>
      </c>
      <c r="FQ140" s="2108">
        <v>1175.7</v>
      </c>
      <c r="FR140" s="2108">
        <v>1208.5999999999999</v>
      </c>
      <c r="FS140" s="2108">
        <v>1286.8</v>
      </c>
      <c r="FT140" s="2108">
        <v>1259.3</v>
      </c>
      <c r="FU140" s="2108">
        <v>1299.2</v>
      </c>
      <c r="FV140" s="2108">
        <v>1308.0999999999999</v>
      </c>
      <c r="FW140" s="2113">
        <v>1561.1380164453242</v>
      </c>
      <c r="FX140" s="2113">
        <v>1584.5764661074361</v>
      </c>
      <c r="FY140" s="2113">
        <v>100</v>
      </c>
      <c r="FZ140" s="2113">
        <v>103.27601432800293</v>
      </c>
      <c r="GA140" s="2113">
        <v>108.35784041717034</v>
      </c>
      <c r="GB140" s="2113">
        <v>108.35784041717034</v>
      </c>
      <c r="GC140" s="2113">
        <v>111.9704625185764</v>
      </c>
      <c r="GD140" s="2113">
        <v>111.9704625185764</v>
      </c>
      <c r="GE140" s="2113">
        <v>116.67508349857212</v>
      </c>
      <c r="GF140" s="2114">
        <v>116.67508349857212</v>
      </c>
      <c r="GG140" s="1960">
        <v>116.67508349857212</v>
      </c>
      <c r="GH140" s="2114">
        <v>119.97088789314368</v>
      </c>
      <c r="GI140" s="2114">
        <v>121.52424668850352</v>
      </c>
      <c r="GJ140" s="2113">
        <v>122.82217875992822</v>
      </c>
      <c r="GK140" s="2113">
        <v>122.82217875992822</v>
      </c>
      <c r="GL140" s="2113">
        <v>123.891406842621</v>
      </c>
      <c r="GM140" s="2114">
        <v>123.891406842621</v>
      </c>
      <c r="GN140" s="2114">
        <v>126.34445022337241</v>
      </c>
      <c r="GO140" s="2115">
        <v>126.34445022337241</v>
      </c>
      <c r="GP140" s="2116">
        <v>131.98266722579032</v>
      </c>
      <c r="GQ140" s="2116">
        <v>134.21022464959978</v>
      </c>
      <c r="GR140" s="2116">
        <v>135.26362175686171</v>
      </c>
      <c r="GS140" s="2116">
        <v>135.26362175686171</v>
      </c>
      <c r="GT140" s="1960">
        <v>135.26362175686171</v>
      </c>
      <c r="GU140" s="1960">
        <v>138.12480114540381</v>
      </c>
      <c r="GV140" s="1960">
        <v>138.12480114540381</v>
      </c>
      <c r="GW140" s="1960">
        <v>144.16398065715379</v>
      </c>
      <c r="GX140" s="1960">
        <v>150.53084757165962</v>
      </c>
      <c r="GY140" s="1960">
        <v>150.53084757165962</v>
      </c>
      <c r="GZ140" s="1960">
        <v>150.42413058708857</v>
      </c>
      <c r="HA140" s="1960">
        <v>159.26001113200556</v>
      </c>
      <c r="HB140" s="1960">
        <v>168.50640853448527</v>
      </c>
      <c r="HC140" s="1960">
        <v>173.01071556746641</v>
      </c>
      <c r="HD140" s="1960">
        <v>173.78770300507793</v>
      </c>
      <c r="HE140" s="1960">
        <v>226.88771300117529</v>
      </c>
      <c r="HF140" s="1960">
        <v>238.56283328022874</v>
      </c>
      <c r="HG140" s="1960">
        <v>244.568690736088</v>
      </c>
      <c r="HH140" s="2117">
        <v>235.48013853296669</v>
      </c>
      <c r="HI140" s="1960">
        <v>244.568690736088</v>
      </c>
      <c r="HJ140" s="1960">
        <v>239.85099957302177</v>
      </c>
      <c r="HK140" s="1960">
        <v>241.85018168278842</v>
      </c>
      <c r="HL140" s="1960">
        <v>241.85018168278842</v>
      </c>
      <c r="HM140" s="1960">
        <v>241.85018168278842</v>
      </c>
      <c r="HN140" s="1960">
        <v>244.45073794517663</v>
      </c>
      <c r="HO140" s="1960">
        <v>244.45073794517663</v>
      </c>
      <c r="HP140" s="1960">
        <v>301.9374870834331</v>
      </c>
      <c r="HQ140" s="1960">
        <v>295.13785195114536</v>
      </c>
      <c r="HR140" s="1960">
        <v>320.56786915035519</v>
      </c>
      <c r="HS140" s="1960">
        <v>340.61072467114934</v>
      </c>
      <c r="HT140" s="1962">
        <v>343.26982902015936</v>
      </c>
      <c r="HU140" s="1961">
        <v>355.40571183899817</v>
      </c>
      <c r="HV140" s="1960">
        <v>371.83199705414387</v>
      </c>
      <c r="HW140" s="1960">
        <v>413.49742595400238</v>
      </c>
      <c r="HX140" s="1960">
        <v>423.22391642042987</v>
      </c>
      <c r="HY140" s="1960">
        <v>480.21236571096517</v>
      </c>
      <c r="HZ140" s="1960">
        <v>480.21236571096517</v>
      </c>
      <c r="IA140" s="1960">
        <v>488.88336337923835</v>
      </c>
      <c r="IB140" s="1960">
        <v>515.24814476147594</v>
      </c>
      <c r="IC140" s="1960">
        <v>528.2623015819953</v>
      </c>
      <c r="ID140" s="1960">
        <v>582.81782315659405</v>
      </c>
      <c r="IE140" s="1960">
        <v>606.92033593666815</v>
      </c>
      <c r="IF140" s="1960">
        <v>652.24230907479591</v>
      </c>
      <c r="IG140" s="1961">
        <v>666.56927430881933</v>
      </c>
      <c r="IH140" s="1960">
        <v>687.62037992413764</v>
      </c>
      <c r="II140" s="1960">
        <v>703.48515168839037</v>
      </c>
      <c r="IJ140" s="1961">
        <v>713.90527323902438</v>
      </c>
      <c r="IK140" s="1960">
        <v>746.39453020566111</v>
      </c>
      <c r="IL140" s="1960">
        <v>769.48201260585552</v>
      </c>
      <c r="IM140" s="1960">
        <v>817.42311303078429</v>
      </c>
      <c r="IN140" s="1960">
        <v>813.78643145817102</v>
      </c>
      <c r="IO140" s="1960">
        <v>842.02400684333816</v>
      </c>
      <c r="IP140" s="1960">
        <v>856.43817627868748</v>
      </c>
      <c r="IQ140" s="1960">
        <v>944.00641048865441</v>
      </c>
      <c r="IR140" s="1960">
        <v>960.49744364471985</v>
      </c>
      <c r="IS140" s="2274">
        <v>1006.4217114898723</v>
      </c>
      <c r="IT140" s="1960">
        <v>1049.5821459091162</v>
      </c>
      <c r="IU140" s="1960">
        <v>1065.4250710635706</v>
      </c>
      <c r="IV140" s="1960">
        <v>1129.4419489067891</v>
      </c>
      <c r="IW140" s="1960">
        <v>1190.0041751405797</v>
      </c>
      <c r="IX140" s="1960">
        <v>1235.3679613836027</v>
      </c>
      <c r="IY140" s="1960">
        <v>1305.3377790443474</v>
      </c>
      <c r="IZ140" s="1960">
        <v>1413.0299634630064</v>
      </c>
      <c r="JA140" s="1960">
        <v>1510.0527189304114</v>
      </c>
      <c r="JB140" s="1960">
        <v>1635.2455335084551</v>
      </c>
      <c r="JC140" s="1960">
        <v>1635.1527718929365</v>
      </c>
      <c r="JD140" s="1960">
        <v>1748.7752718233589</v>
      </c>
      <c r="JE140" s="2274">
        <v>1904.83421155468</v>
      </c>
      <c r="JF140" s="2117">
        <v>1975.9241711138231</v>
      </c>
      <c r="JG140" s="2103">
        <f t="shared" si="14"/>
        <v>1.0373208120307338</v>
      </c>
      <c r="JI140" s="2155"/>
      <c r="JJ140" s="2104"/>
    </row>
    <row r="141" spans="2:270" ht="19.5" customHeight="1">
      <c r="B141" s="2105">
        <v>125</v>
      </c>
      <c r="C141" s="2106" t="s">
        <v>315</v>
      </c>
      <c r="D141" s="2425" t="s">
        <v>1242</v>
      </c>
      <c r="E141" s="2128" t="s">
        <v>316</v>
      </c>
      <c r="F141" s="2106" t="s">
        <v>918</v>
      </c>
      <c r="G141" s="2425" t="s">
        <v>1112</v>
      </c>
      <c r="H141" s="2106" t="s">
        <v>929</v>
      </c>
      <c r="I141" s="2106" t="s">
        <v>930</v>
      </c>
      <c r="J141" s="2359" t="s">
        <v>921</v>
      </c>
      <c r="K141" s="2425"/>
      <c r="L141" s="2110">
        <v>99.7</v>
      </c>
      <c r="M141" s="2110">
        <v>104.7</v>
      </c>
      <c r="N141" s="2110">
        <v>109.4</v>
      </c>
      <c r="O141" s="2110">
        <v>107.5</v>
      </c>
      <c r="P141" s="2110">
        <v>116.8</v>
      </c>
      <c r="Q141" s="2110">
        <v>118.9</v>
      </c>
      <c r="R141" s="2110">
        <v>120.6</v>
      </c>
      <c r="S141" s="2110">
        <v>121.9</v>
      </c>
      <c r="T141" s="2110">
        <v>123.2</v>
      </c>
      <c r="U141" s="2110">
        <v>130.4</v>
      </c>
      <c r="V141" s="2110">
        <v>133.1</v>
      </c>
      <c r="W141" s="2110">
        <v>140.9</v>
      </c>
      <c r="X141" s="2110">
        <v>145.1</v>
      </c>
      <c r="Y141" s="2110">
        <v>144.5</v>
      </c>
      <c r="Z141" s="2110">
        <v>147.1</v>
      </c>
      <c r="AA141" s="2110">
        <v>151.30000000000001</v>
      </c>
      <c r="AB141" s="2110">
        <v>155</v>
      </c>
      <c r="AC141" s="2110">
        <v>154.19999999999999</v>
      </c>
      <c r="AD141" s="2110">
        <v>154.1</v>
      </c>
      <c r="AE141" s="2110">
        <v>157.1</v>
      </c>
      <c r="AF141" s="2110">
        <v>160.9</v>
      </c>
      <c r="AG141" s="2110">
        <v>164.9</v>
      </c>
      <c r="AH141" s="2110">
        <v>169.4</v>
      </c>
      <c r="AI141" s="2110">
        <v>171.3</v>
      </c>
      <c r="AJ141" s="2110">
        <v>172.8</v>
      </c>
      <c r="AK141" s="2110">
        <v>174.8</v>
      </c>
      <c r="AL141" s="2110">
        <v>186.2</v>
      </c>
      <c r="AM141" s="2110">
        <v>192.5</v>
      </c>
      <c r="AN141" s="2110">
        <v>203.6</v>
      </c>
      <c r="AO141" s="2110">
        <v>206.7</v>
      </c>
      <c r="AP141" s="2110">
        <v>211.4</v>
      </c>
      <c r="AQ141" s="2110">
        <v>214.3</v>
      </c>
      <c r="AR141" s="2110">
        <v>219.2</v>
      </c>
      <c r="AS141" s="2110">
        <v>219.9</v>
      </c>
      <c r="AT141" s="2110">
        <v>221.8</v>
      </c>
      <c r="AU141" s="2110">
        <v>223.9</v>
      </c>
      <c r="AV141" s="2110">
        <v>227.5</v>
      </c>
      <c r="AW141" s="2111">
        <v>229.4</v>
      </c>
      <c r="AX141" s="2111">
        <v>234.7</v>
      </c>
      <c r="AY141" s="2111">
        <v>243.2</v>
      </c>
      <c r="AZ141" s="2111">
        <v>244.2</v>
      </c>
      <c r="BA141" s="2111">
        <v>248</v>
      </c>
      <c r="BB141" s="2111">
        <v>250.2</v>
      </c>
      <c r="BC141" s="2111">
        <v>250.9</v>
      </c>
      <c r="BD141" s="2112">
        <v>251.3</v>
      </c>
      <c r="BE141" s="2111">
        <v>252.6</v>
      </c>
      <c r="BF141" s="2112">
        <v>253.4</v>
      </c>
      <c r="BG141" s="2112">
        <v>257.8</v>
      </c>
      <c r="BH141" s="2112">
        <v>258.89999999999998</v>
      </c>
      <c r="BI141" s="2108">
        <v>263.89999999999998</v>
      </c>
      <c r="BJ141" s="2108">
        <v>267.2</v>
      </c>
      <c r="BK141" s="2108">
        <v>271.7</v>
      </c>
      <c r="BL141" s="2108">
        <v>274.5</v>
      </c>
      <c r="BM141" s="2108">
        <v>279.60000000000002</v>
      </c>
      <c r="BN141" s="2108">
        <v>280.8</v>
      </c>
      <c r="BO141" s="2108">
        <v>281.39999999999998</v>
      </c>
      <c r="BP141" s="2108">
        <v>281</v>
      </c>
      <c r="BQ141" s="2108">
        <v>282.89999999999998</v>
      </c>
      <c r="BR141" s="2108">
        <v>281.3</v>
      </c>
      <c r="BS141" s="2108">
        <v>284.89999999999998</v>
      </c>
      <c r="BT141" s="2108">
        <v>285.60000000000002</v>
      </c>
      <c r="BU141" s="2108">
        <v>295.2</v>
      </c>
      <c r="BV141" s="2108">
        <v>300.10000000000002</v>
      </c>
      <c r="BW141" s="2108">
        <v>305.8</v>
      </c>
      <c r="BX141" s="2108">
        <v>313.3</v>
      </c>
      <c r="BY141" s="2108">
        <v>317.39999999999998</v>
      </c>
      <c r="BZ141" s="2108">
        <v>325.8</v>
      </c>
      <c r="CA141" s="2108">
        <v>335</v>
      </c>
      <c r="CB141" s="2108">
        <v>337.7</v>
      </c>
      <c r="CC141" s="2108">
        <v>338.9</v>
      </c>
      <c r="CD141" s="2108">
        <v>344.7</v>
      </c>
      <c r="CE141" s="2108">
        <v>349.3</v>
      </c>
      <c r="CF141" s="2108">
        <v>357.2</v>
      </c>
      <c r="CG141" s="2108">
        <v>358.2</v>
      </c>
      <c r="CH141" s="2108">
        <v>358.2</v>
      </c>
      <c r="CI141" s="2108">
        <v>361.1</v>
      </c>
      <c r="CJ141" s="2108">
        <v>368.5</v>
      </c>
      <c r="CK141" s="2108">
        <v>370.1</v>
      </c>
      <c r="CL141" s="2108">
        <v>376.3</v>
      </c>
      <c r="CM141" s="2108">
        <v>386.4</v>
      </c>
      <c r="CN141" s="2108">
        <v>391.4</v>
      </c>
      <c r="CO141" s="2108">
        <v>398.5</v>
      </c>
      <c r="CP141" s="2108">
        <v>400</v>
      </c>
      <c r="CQ141" s="2108">
        <v>407.4</v>
      </c>
      <c r="CR141" s="2108">
        <v>406.9</v>
      </c>
      <c r="CS141" s="2108">
        <v>409.3</v>
      </c>
      <c r="CT141" s="2108">
        <v>420.4</v>
      </c>
      <c r="CU141" s="2108">
        <v>417.1</v>
      </c>
      <c r="CV141" s="2108">
        <v>424.4</v>
      </c>
      <c r="CW141" s="2108">
        <v>426.1</v>
      </c>
      <c r="CX141" s="2108">
        <v>426.7</v>
      </c>
      <c r="CY141" s="2108">
        <v>428.6</v>
      </c>
      <c r="CZ141" s="2108">
        <v>437.3</v>
      </c>
      <c r="DA141" s="2108">
        <v>438.4</v>
      </c>
      <c r="DB141" s="2108">
        <v>438.4</v>
      </c>
      <c r="DC141" s="2108">
        <v>443.9</v>
      </c>
      <c r="DD141" s="2108">
        <v>451.6</v>
      </c>
      <c r="DE141" s="2108">
        <v>457.3</v>
      </c>
      <c r="DF141" s="2108">
        <v>462.2</v>
      </c>
      <c r="DG141" s="2108">
        <v>465.6</v>
      </c>
      <c r="DH141" s="2108">
        <v>466.1</v>
      </c>
      <c r="DI141" s="2108">
        <v>466.1</v>
      </c>
      <c r="DJ141" s="2108">
        <v>474.4</v>
      </c>
      <c r="DK141" s="2108">
        <v>481.3</v>
      </c>
      <c r="DL141" s="2108">
        <v>482.4</v>
      </c>
      <c r="DM141" s="2108">
        <v>487.2</v>
      </c>
      <c r="DN141" s="2108">
        <v>490.1</v>
      </c>
      <c r="DO141" s="2108">
        <v>497.7</v>
      </c>
      <c r="DP141" s="2108">
        <v>505.5</v>
      </c>
      <c r="DQ141" s="2108">
        <v>506.6</v>
      </c>
      <c r="DR141" s="2108">
        <v>509.7</v>
      </c>
      <c r="DS141" s="2108">
        <v>511.8</v>
      </c>
      <c r="DT141" s="2108">
        <v>515.70000000000005</v>
      </c>
      <c r="DU141" s="2108">
        <v>521.1</v>
      </c>
      <c r="DV141" s="2108">
        <v>528.29999999999995</v>
      </c>
      <c r="DW141" s="2108">
        <v>528.29999999999995</v>
      </c>
      <c r="DX141" s="2108">
        <v>538.1</v>
      </c>
      <c r="DY141" s="2108">
        <v>543.6</v>
      </c>
      <c r="DZ141" s="2108">
        <v>555.9</v>
      </c>
      <c r="EA141" s="2108">
        <v>567.79999999999995</v>
      </c>
      <c r="EB141" s="2108">
        <v>567.79999999999995</v>
      </c>
      <c r="EC141" s="2108">
        <v>576.20000000000005</v>
      </c>
      <c r="ED141" s="2108">
        <v>577.79999999999995</v>
      </c>
      <c r="EE141" s="2108">
        <v>581.6</v>
      </c>
      <c r="EF141" s="2108">
        <v>590.5</v>
      </c>
      <c r="EG141" s="2108">
        <v>600.9</v>
      </c>
      <c r="EH141" s="2108">
        <v>602.79999999999995</v>
      </c>
      <c r="EI141" s="2108">
        <v>612.6</v>
      </c>
      <c r="EJ141" s="2108">
        <v>612.6</v>
      </c>
      <c r="EK141" s="2108">
        <v>611.6</v>
      </c>
      <c r="EL141" s="2108">
        <v>621.70000000000005</v>
      </c>
      <c r="EM141" s="2108">
        <v>631.4</v>
      </c>
      <c r="EN141" s="2108">
        <v>641.9</v>
      </c>
      <c r="EO141" s="2108">
        <v>650.20000000000005</v>
      </c>
      <c r="EP141" s="2108">
        <v>664.7</v>
      </c>
      <c r="EQ141" s="2108">
        <v>667.6</v>
      </c>
      <c r="ER141" s="2108">
        <v>674.6</v>
      </c>
      <c r="ES141" s="2108">
        <v>683</v>
      </c>
      <c r="ET141" s="2108">
        <v>683</v>
      </c>
      <c r="EU141" s="2108">
        <v>687.1</v>
      </c>
      <c r="EV141" s="2108">
        <v>709.8</v>
      </c>
      <c r="EW141" s="2108">
        <v>709.8</v>
      </c>
      <c r="EX141" s="2108">
        <v>711.3</v>
      </c>
      <c r="EY141" s="2108">
        <v>724.4</v>
      </c>
      <c r="EZ141" s="2108">
        <v>727.8</v>
      </c>
      <c r="FA141" s="2108">
        <v>752.2</v>
      </c>
      <c r="FB141" s="2108">
        <v>773.6</v>
      </c>
      <c r="FC141" s="2108">
        <v>792.5</v>
      </c>
      <c r="FD141" s="2108">
        <v>799.5</v>
      </c>
      <c r="FE141" s="2108">
        <v>828.9</v>
      </c>
      <c r="FF141" s="2108">
        <v>848.4</v>
      </c>
      <c r="FG141" s="2108">
        <v>872.8</v>
      </c>
      <c r="FH141" s="2108">
        <v>900.2</v>
      </c>
      <c r="FI141" s="2108">
        <v>937.6</v>
      </c>
      <c r="FJ141" s="2108">
        <v>972.4</v>
      </c>
      <c r="FK141" s="2108">
        <v>989.2</v>
      </c>
      <c r="FL141" s="2108">
        <v>1016.8</v>
      </c>
      <c r="FM141" s="2108">
        <v>1020.1</v>
      </c>
      <c r="FN141" s="2108">
        <v>1078.0999999999999</v>
      </c>
      <c r="FO141" s="2108">
        <v>1084.5</v>
      </c>
      <c r="FP141" s="2108">
        <v>1115.2</v>
      </c>
      <c r="FQ141" s="2108">
        <v>1124.9000000000001</v>
      </c>
      <c r="FR141" s="2108">
        <v>1159.0999999999999</v>
      </c>
      <c r="FS141" s="2108">
        <v>1176.5</v>
      </c>
      <c r="FT141" s="2108">
        <v>1213</v>
      </c>
      <c r="FU141" s="2108">
        <v>1254.3</v>
      </c>
      <c r="FV141" s="2108">
        <v>1266.8</v>
      </c>
      <c r="FW141" s="2113">
        <v>1094.6015184616899</v>
      </c>
      <c r="FX141" s="2113">
        <v>1198.1167237492868</v>
      </c>
      <c r="FY141" s="2113">
        <v>100</v>
      </c>
      <c r="FZ141" s="2113">
        <v>108.74507427215576</v>
      </c>
      <c r="GA141" s="2113">
        <v>109.18308241003842</v>
      </c>
      <c r="GB141" s="2113">
        <v>112.77810566375489</v>
      </c>
      <c r="GC141" s="2113">
        <v>113.59653465225772</v>
      </c>
      <c r="GD141" s="2113">
        <v>115.70929330582408</v>
      </c>
      <c r="GE141" s="2113">
        <v>117.92208004486511</v>
      </c>
      <c r="GF141" s="2114">
        <v>121.05939816753015</v>
      </c>
      <c r="GG141" s="1960">
        <v>121.05939816753015</v>
      </c>
      <c r="GH141" s="2114">
        <v>122.12032289500412</v>
      </c>
      <c r="GI141" s="2114">
        <v>122.12032289500412</v>
      </c>
      <c r="GJ141" s="2113">
        <v>120.60470960654943</v>
      </c>
      <c r="GK141" s="2113">
        <v>126.02756007092168</v>
      </c>
      <c r="GL141" s="2113">
        <v>128.62076326848697</v>
      </c>
      <c r="GM141" s="2114">
        <v>130.89417134651157</v>
      </c>
      <c r="GN141" s="2114">
        <v>130.89417134651157</v>
      </c>
      <c r="GO141" s="2115">
        <v>130.89417134651157</v>
      </c>
      <c r="GP141" s="2116">
        <v>131.39583355420925</v>
      </c>
      <c r="GQ141" s="2116">
        <v>131.39583355420925</v>
      </c>
      <c r="GR141" s="2116">
        <v>131.39583355420925</v>
      </c>
      <c r="GS141" s="2116">
        <v>131.39583355420925</v>
      </c>
      <c r="GT141" s="1960">
        <v>134.88173729006414</v>
      </c>
      <c r="GU141" s="1960">
        <v>134.88173729006414</v>
      </c>
      <c r="GV141" s="1960">
        <v>134.88173729006414</v>
      </c>
      <c r="GW141" s="1960">
        <v>134.88173729006414</v>
      </c>
      <c r="GX141" s="1960">
        <v>141.58830505178025</v>
      </c>
      <c r="GY141" s="1960">
        <v>143.10392264317619</v>
      </c>
      <c r="GZ141" s="1960">
        <v>146.50051794455035</v>
      </c>
      <c r="HA141" s="1960">
        <v>149.08150301924584</v>
      </c>
      <c r="HB141" s="1960">
        <v>141.81005013611099</v>
      </c>
      <c r="HC141" s="1960">
        <v>141.81005013611099</v>
      </c>
      <c r="HD141" s="1960">
        <v>146.90066732048422</v>
      </c>
      <c r="HE141" s="1960">
        <v>148.04431290742548</v>
      </c>
      <c r="HF141" s="1960">
        <v>152.98062100396442</v>
      </c>
      <c r="HG141" s="1960">
        <v>153.92494582497653</v>
      </c>
      <c r="HH141" s="2117">
        <v>186.4307080528659</v>
      </c>
      <c r="HI141" s="1960">
        <v>153.92494582497656</v>
      </c>
      <c r="HJ141" s="1960">
        <v>201.28293116525995</v>
      </c>
      <c r="HK141" s="1960">
        <v>199.11033431979223</v>
      </c>
      <c r="HL141" s="1960">
        <v>216.13317703091121</v>
      </c>
      <c r="HM141" s="1960">
        <v>220.6682972989237</v>
      </c>
      <c r="HN141" s="1960">
        <v>240.58906298668214</v>
      </c>
      <c r="HO141" s="1960">
        <v>245.8314705848355</v>
      </c>
      <c r="HP141" s="1960">
        <v>263.00562295944769</v>
      </c>
      <c r="HQ141" s="1960">
        <v>274.24244912910734</v>
      </c>
      <c r="HR141" s="1960">
        <v>297.67682403873431</v>
      </c>
      <c r="HS141" s="1960">
        <v>315.84772142336567</v>
      </c>
      <c r="HT141" s="1962">
        <v>339.59128774684251</v>
      </c>
      <c r="HU141" s="1961">
        <v>341.5262808394171</v>
      </c>
      <c r="HV141" s="1960">
        <v>347.82415726005365</v>
      </c>
      <c r="HW141" s="1960">
        <v>352.91415605696864</v>
      </c>
      <c r="HX141" s="1960">
        <v>352.91415605696864</v>
      </c>
      <c r="HY141" s="1960">
        <v>352.91415605696864</v>
      </c>
      <c r="HZ141" s="1960">
        <v>352.91415605696864</v>
      </c>
      <c r="IA141" s="1960">
        <v>352.91415605696864</v>
      </c>
      <c r="IB141" s="1960">
        <v>358.88633579346987</v>
      </c>
      <c r="IC141" s="1960">
        <v>370.98362801122732</v>
      </c>
      <c r="ID141" s="1960">
        <v>370.98362801122732</v>
      </c>
      <c r="IE141" s="1960">
        <v>370.98362801122732</v>
      </c>
      <c r="IF141" s="1960">
        <v>374.23787036220301</v>
      </c>
      <c r="IG141" s="1961">
        <v>379.03579177710304</v>
      </c>
      <c r="IH141" s="1960">
        <v>416.92860661317638</v>
      </c>
      <c r="II141" s="1960">
        <v>432.96413026742567</v>
      </c>
      <c r="IJ141" s="1961">
        <v>449.06802197005709</v>
      </c>
      <c r="IK141" s="1960">
        <v>478.36266395781428</v>
      </c>
      <c r="IL141" s="1960">
        <v>517.33516506841056</v>
      </c>
      <c r="IM141" s="1960">
        <v>527.81802268408046</v>
      </c>
      <c r="IN141" s="1960">
        <v>541.68948871399891</v>
      </c>
      <c r="IO141" s="1960">
        <v>552.05525877003004</v>
      </c>
      <c r="IP141" s="1960">
        <v>543.99605791207341</v>
      </c>
      <c r="IQ141" s="1960">
        <v>536.66843101199777</v>
      </c>
      <c r="IR141" s="1960">
        <v>542.98217725919767</v>
      </c>
      <c r="IS141" s="2274">
        <v>547.31626662597796</v>
      </c>
      <c r="IT141" s="1960">
        <v>557.27628249950328</v>
      </c>
      <c r="IU141" s="1960">
        <v>579.27403049290479</v>
      </c>
      <c r="IV141" s="1960">
        <v>585.85668993032414</v>
      </c>
      <c r="IW141" s="1960">
        <v>620.09776575308865</v>
      </c>
      <c r="IX141" s="1960">
        <v>620.09776575308865</v>
      </c>
      <c r="IY141" s="1960">
        <v>678.64448858014771</v>
      </c>
      <c r="IZ141" s="1960">
        <v>815.22176156814271</v>
      </c>
      <c r="JA141" s="1960">
        <v>815.31446237046157</v>
      </c>
      <c r="JB141" s="1960">
        <v>913.60141958159215</v>
      </c>
      <c r="JC141" s="1960">
        <v>983.65297218748742</v>
      </c>
      <c r="JD141" s="1960">
        <v>1021.7567731867125</v>
      </c>
      <c r="JE141" s="2274">
        <v>1076.584429153226</v>
      </c>
      <c r="JF141" s="2117">
        <v>1076.584429153226</v>
      </c>
      <c r="JG141" s="2103">
        <f t="shared" si="14"/>
        <v>1</v>
      </c>
      <c r="JI141" s="2155"/>
      <c r="JJ141" s="2104"/>
    </row>
    <row r="142" spans="2:270" ht="21" customHeight="1">
      <c r="B142" s="2105">
        <v>126</v>
      </c>
      <c r="C142" s="2106" t="s">
        <v>317</v>
      </c>
      <c r="D142" s="2425" t="s">
        <v>1229</v>
      </c>
      <c r="E142" s="2128" t="s">
        <v>318</v>
      </c>
      <c r="F142" s="2106" t="s">
        <v>918</v>
      </c>
      <c r="G142" s="2425" t="s">
        <v>1112</v>
      </c>
      <c r="H142" s="2106" t="s">
        <v>929</v>
      </c>
      <c r="I142" s="2106" t="s">
        <v>930</v>
      </c>
      <c r="J142" s="2359" t="s">
        <v>921</v>
      </c>
      <c r="K142" s="2425"/>
      <c r="L142" s="2110">
        <v>100.3</v>
      </c>
      <c r="M142" s="2110">
        <v>111.4</v>
      </c>
      <c r="N142" s="2110">
        <v>149</v>
      </c>
      <c r="O142" s="2110">
        <v>186.9</v>
      </c>
      <c r="P142" s="2110">
        <v>229.7</v>
      </c>
      <c r="Q142" s="2110">
        <v>240.2</v>
      </c>
      <c r="R142" s="2110">
        <v>279.8</v>
      </c>
      <c r="S142" s="2110">
        <v>258.89999999999998</v>
      </c>
      <c r="T142" s="2110">
        <v>252.5</v>
      </c>
      <c r="U142" s="2110">
        <v>286.89999999999998</v>
      </c>
      <c r="V142" s="2110">
        <v>297.8</v>
      </c>
      <c r="W142" s="2110">
        <v>287.60000000000002</v>
      </c>
      <c r="X142" s="2110">
        <v>295.8</v>
      </c>
      <c r="Y142" s="2110">
        <v>277.5</v>
      </c>
      <c r="Z142" s="2110">
        <v>278.8</v>
      </c>
      <c r="AA142" s="2110">
        <v>271.89999999999998</v>
      </c>
      <c r="AB142" s="2110">
        <v>261.89999999999998</v>
      </c>
      <c r="AC142" s="2110">
        <v>272.60000000000002</v>
      </c>
      <c r="AD142" s="2110">
        <v>277.39999999999998</v>
      </c>
      <c r="AE142" s="2110">
        <v>269.8</v>
      </c>
      <c r="AF142" s="2110">
        <v>270.60000000000002</v>
      </c>
      <c r="AG142" s="2110">
        <v>286.60000000000002</v>
      </c>
      <c r="AH142" s="2110">
        <v>286</v>
      </c>
      <c r="AI142" s="2110">
        <v>286</v>
      </c>
      <c r="AJ142" s="2110">
        <v>292</v>
      </c>
      <c r="AK142" s="2110">
        <v>291.5</v>
      </c>
      <c r="AL142" s="2110">
        <v>289.8</v>
      </c>
      <c r="AM142" s="2110">
        <v>289.8</v>
      </c>
      <c r="AN142" s="2110">
        <v>286.39999999999998</v>
      </c>
      <c r="AO142" s="2110">
        <v>289.10000000000002</v>
      </c>
      <c r="AP142" s="2110">
        <v>289.10000000000002</v>
      </c>
      <c r="AQ142" s="2110">
        <v>289.10000000000002</v>
      </c>
      <c r="AR142" s="2110">
        <v>295.8</v>
      </c>
      <c r="AS142" s="2110">
        <v>295.8</v>
      </c>
      <c r="AT142" s="2110">
        <v>295.8</v>
      </c>
      <c r="AU142" s="2110">
        <v>304.8</v>
      </c>
      <c r="AV142" s="2110">
        <v>304.8</v>
      </c>
      <c r="AW142" s="2111">
        <v>312.3</v>
      </c>
      <c r="AX142" s="2111">
        <v>319.7</v>
      </c>
      <c r="AY142" s="2111">
        <v>318.2</v>
      </c>
      <c r="AZ142" s="2111">
        <v>322.89999999999998</v>
      </c>
      <c r="BA142" s="2111">
        <v>326.60000000000002</v>
      </c>
      <c r="BB142" s="2111">
        <v>324.39999999999998</v>
      </c>
      <c r="BC142" s="2111">
        <v>316.2</v>
      </c>
      <c r="BD142" s="2112">
        <v>318.7</v>
      </c>
      <c r="BE142" s="2111">
        <v>318.7</v>
      </c>
      <c r="BF142" s="2112">
        <v>327</v>
      </c>
      <c r="BG142" s="2112">
        <v>336.4</v>
      </c>
      <c r="BH142" s="2112">
        <v>325.5</v>
      </c>
      <c r="BI142" s="2108">
        <v>336.4</v>
      </c>
      <c r="BJ142" s="2108">
        <v>331</v>
      </c>
      <c r="BK142" s="2108">
        <v>334.2</v>
      </c>
      <c r="BL142" s="2108">
        <v>344</v>
      </c>
      <c r="BM142" s="2108">
        <v>344</v>
      </c>
      <c r="BN142" s="2108">
        <v>344</v>
      </c>
      <c r="BO142" s="2108">
        <v>344</v>
      </c>
      <c r="BP142" s="2108">
        <v>344</v>
      </c>
      <c r="BQ142" s="2108">
        <v>344</v>
      </c>
      <c r="BR142" s="2108">
        <v>344</v>
      </c>
      <c r="BS142" s="2108">
        <v>344</v>
      </c>
      <c r="BT142" s="2108">
        <v>375.7</v>
      </c>
      <c r="BU142" s="2108">
        <v>357.7</v>
      </c>
      <c r="BV142" s="2108">
        <v>357.7</v>
      </c>
      <c r="BW142" s="2108">
        <v>357.7</v>
      </c>
      <c r="BX142" s="2108">
        <v>375.9</v>
      </c>
      <c r="BY142" s="2108">
        <v>380</v>
      </c>
      <c r="BZ142" s="2108">
        <v>402.9</v>
      </c>
      <c r="CA142" s="2108">
        <v>389.9</v>
      </c>
      <c r="CB142" s="2108">
        <v>389.9</v>
      </c>
      <c r="CC142" s="2108">
        <v>389.9</v>
      </c>
      <c r="CD142" s="2108">
        <v>408.1</v>
      </c>
      <c r="CE142" s="2108">
        <v>408.1</v>
      </c>
      <c r="CF142" s="2108">
        <v>416.2</v>
      </c>
      <c r="CG142" s="2108">
        <v>425.3</v>
      </c>
      <c r="CH142" s="2108">
        <v>434.5</v>
      </c>
      <c r="CI142" s="2108">
        <v>425.3</v>
      </c>
      <c r="CJ142" s="2108">
        <v>434.5</v>
      </c>
      <c r="CK142" s="2108">
        <v>411.3</v>
      </c>
      <c r="CL142" s="2108">
        <v>418.4</v>
      </c>
      <c r="CM142" s="2108">
        <v>418.4</v>
      </c>
      <c r="CN142" s="2108">
        <v>418.4</v>
      </c>
      <c r="CO142" s="2108">
        <v>418.4</v>
      </c>
      <c r="CP142" s="2108">
        <v>408.4</v>
      </c>
      <c r="CQ142" s="2108">
        <v>408.4</v>
      </c>
      <c r="CR142" s="2108">
        <v>408.3</v>
      </c>
      <c r="CS142" s="2108">
        <v>408.3</v>
      </c>
      <c r="CT142" s="2108">
        <v>408.3</v>
      </c>
      <c r="CU142" s="2108">
        <v>408.3</v>
      </c>
      <c r="CV142" s="2108">
        <v>428</v>
      </c>
      <c r="CW142" s="2108">
        <v>408.3</v>
      </c>
      <c r="CX142" s="2108">
        <v>416.3</v>
      </c>
      <c r="CY142" s="2108">
        <v>415.4</v>
      </c>
      <c r="CZ142" s="2108">
        <v>408.3</v>
      </c>
      <c r="DA142" s="2108">
        <v>413.5</v>
      </c>
      <c r="DB142" s="2108">
        <v>416.6</v>
      </c>
      <c r="DC142" s="2108">
        <v>413.5</v>
      </c>
      <c r="DD142" s="2108">
        <v>413.5</v>
      </c>
      <c r="DE142" s="2108">
        <v>413.5</v>
      </c>
      <c r="DF142" s="2108">
        <v>423.7</v>
      </c>
      <c r="DG142" s="2108">
        <v>423.7</v>
      </c>
      <c r="DH142" s="2108">
        <v>434.9</v>
      </c>
      <c r="DI142" s="2108">
        <v>434.9</v>
      </c>
      <c r="DJ142" s="2108">
        <v>444.4</v>
      </c>
      <c r="DK142" s="2108">
        <v>444.4</v>
      </c>
      <c r="DL142" s="2108">
        <v>444.4</v>
      </c>
      <c r="DM142" s="2108">
        <v>448.4</v>
      </c>
      <c r="DN142" s="2108">
        <v>458.6</v>
      </c>
      <c r="DO142" s="2108">
        <v>465.7</v>
      </c>
      <c r="DP142" s="2108">
        <v>467.8</v>
      </c>
      <c r="DQ142" s="2108">
        <v>477.1</v>
      </c>
      <c r="DR142" s="2108">
        <v>493.3</v>
      </c>
      <c r="DS142" s="2108">
        <v>493.3</v>
      </c>
      <c r="DT142" s="2108">
        <v>501.5</v>
      </c>
      <c r="DU142" s="2108">
        <v>501.5</v>
      </c>
      <c r="DV142" s="2108">
        <v>505.8</v>
      </c>
      <c r="DW142" s="2108">
        <v>512.9</v>
      </c>
      <c r="DX142" s="2108">
        <v>520</v>
      </c>
      <c r="DY142" s="2108">
        <v>527.1</v>
      </c>
      <c r="DZ142" s="2108">
        <v>535.79999999999995</v>
      </c>
      <c r="EA142" s="2108">
        <v>535.79999999999995</v>
      </c>
      <c r="EB142" s="2108">
        <v>550</v>
      </c>
      <c r="EC142" s="2108">
        <v>550</v>
      </c>
      <c r="ED142" s="2108">
        <v>550</v>
      </c>
      <c r="EE142" s="2108">
        <v>565.20000000000005</v>
      </c>
      <c r="EF142" s="2108">
        <v>577.6</v>
      </c>
      <c r="EG142" s="2108">
        <v>577.6</v>
      </c>
      <c r="EH142" s="2108">
        <v>609.6</v>
      </c>
      <c r="EI142" s="2108">
        <v>609.6</v>
      </c>
      <c r="EJ142" s="2108">
        <v>628.9</v>
      </c>
      <c r="EK142" s="2108">
        <v>631.79999999999995</v>
      </c>
      <c r="EL142" s="2108">
        <v>632.70000000000005</v>
      </c>
      <c r="EM142" s="2108">
        <v>644.29999999999995</v>
      </c>
      <c r="EN142" s="2108">
        <v>671.7</v>
      </c>
      <c r="EO142" s="2108">
        <v>680.8</v>
      </c>
      <c r="EP142" s="2108">
        <v>671.7</v>
      </c>
      <c r="EQ142" s="2108">
        <v>684.1</v>
      </c>
      <c r="ER142" s="2108">
        <v>687.2</v>
      </c>
      <c r="ES142" s="2108">
        <v>704.5</v>
      </c>
      <c r="ET142" s="2108">
        <v>704.5</v>
      </c>
      <c r="EU142" s="2108">
        <v>711.5</v>
      </c>
      <c r="EV142" s="2108">
        <v>716.9</v>
      </c>
      <c r="EW142" s="2108">
        <v>716.9</v>
      </c>
      <c r="EX142" s="2108">
        <v>739.3</v>
      </c>
      <c r="EY142" s="2108">
        <v>751.9</v>
      </c>
      <c r="EZ142" s="2108">
        <v>767</v>
      </c>
      <c r="FA142" s="2108">
        <v>771.9</v>
      </c>
      <c r="FB142" s="2108">
        <v>865.3</v>
      </c>
      <c r="FC142" s="2108">
        <v>931.6</v>
      </c>
      <c r="FD142" s="2108">
        <v>936.3</v>
      </c>
      <c r="FE142" s="2108">
        <v>948.9</v>
      </c>
      <c r="FF142" s="2108">
        <v>952.5</v>
      </c>
      <c r="FG142" s="2108">
        <v>972.2</v>
      </c>
      <c r="FH142" s="2108">
        <v>976</v>
      </c>
      <c r="FI142" s="2108">
        <v>1032.4000000000001</v>
      </c>
      <c r="FJ142" s="2108">
        <v>1058.8</v>
      </c>
      <c r="FK142" s="2108">
        <v>1093.5</v>
      </c>
      <c r="FL142" s="2108">
        <v>1098.8</v>
      </c>
      <c r="FM142" s="2108">
        <v>1114.7</v>
      </c>
      <c r="FN142" s="2108">
        <v>1122.5999999999999</v>
      </c>
      <c r="FO142" s="2108">
        <v>1139.2</v>
      </c>
      <c r="FP142" s="2108">
        <v>1214.5</v>
      </c>
      <c r="FQ142" s="2108">
        <v>1219.7</v>
      </c>
      <c r="FR142" s="2108">
        <v>1230</v>
      </c>
      <c r="FS142" s="2108">
        <v>1264.5999999999999</v>
      </c>
      <c r="FT142" s="2108">
        <v>1288.3</v>
      </c>
      <c r="FU142" s="2108">
        <v>1317.3</v>
      </c>
      <c r="FV142" s="2108">
        <v>1323.2</v>
      </c>
      <c r="FW142" s="2113">
        <v>1256.8963045577748</v>
      </c>
      <c r="FX142" s="2113">
        <v>1301.7262525695398</v>
      </c>
      <c r="FY142" s="2113">
        <v>100</v>
      </c>
      <c r="FZ142" s="2113">
        <v>103.81107330322266</v>
      </c>
      <c r="GA142" s="2113">
        <v>104.3495078072965</v>
      </c>
      <c r="GB142" s="2113">
        <v>106.50325839765041</v>
      </c>
      <c r="GC142" s="2113">
        <v>112.26455533776284</v>
      </c>
      <c r="GD142" s="2113">
        <v>112.26455533776284</v>
      </c>
      <c r="GE142" s="2113">
        <v>117.1105048634402</v>
      </c>
      <c r="GF142" s="2114">
        <v>117.91815697060264</v>
      </c>
      <c r="GG142" s="1960">
        <v>118.45659398954571</v>
      </c>
      <c r="GH142" s="2114">
        <v>121.95644456515241</v>
      </c>
      <c r="GI142" s="2114">
        <v>121.95644456515241</v>
      </c>
      <c r="GJ142" s="2113">
        <v>121.1487888321452</v>
      </c>
      <c r="GK142" s="2113">
        <v>121.68723219414625</v>
      </c>
      <c r="GL142" s="2113">
        <v>121.68723219414625</v>
      </c>
      <c r="GM142" s="2114">
        <v>121.95645366000699</v>
      </c>
      <c r="GN142" s="2114">
        <v>121.95645366000699</v>
      </c>
      <c r="GO142" s="2115">
        <v>121.95645366000699</v>
      </c>
      <c r="GP142" s="2116">
        <v>126.80240295777615</v>
      </c>
      <c r="GQ142" s="2116">
        <v>127.6100672558858</v>
      </c>
      <c r="GR142" s="2116">
        <v>129.22538591084813</v>
      </c>
      <c r="GS142" s="2116">
        <v>138.91729601610831</v>
      </c>
      <c r="GT142" s="1960">
        <v>139.72495509899807</v>
      </c>
      <c r="GU142" s="1960">
        <v>139.72495509899807</v>
      </c>
      <c r="GV142" s="1960">
        <v>140.80183195354419</v>
      </c>
      <c r="GW142" s="1960">
        <v>141.07104474578611</v>
      </c>
      <c r="GX142" s="1960">
        <v>144.6785894512696</v>
      </c>
      <c r="GY142" s="1960">
        <v>149.14764034727202</v>
      </c>
      <c r="GZ142" s="1960">
        <v>149.14764034727202</v>
      </c>
      <c r="HA142" s="1960">
        <v>149.91250888566353</v>
      </c>
      <c r="HB142" s="1960">
        <v>151.61605849836755</v>
      </c>
      <c r="HC142" s="1960">
        <v>159.16177247694719</v>
      </c>
      <c r="HD142" s="1960">
        <v>164.4671572838966</v>
      </c>
      <c r="HE142" s="1960">
        <v>169.03568943067148</v>
      </c>
      <c r="HF142" s="1960">
        <v>169.03568943067148</v>
      </c>
      <c r="HG142" s="1960">
        <v>188.60824294369658</v>
      </c>
      <c r="HH142" s="2117">
        <v>191.8979215996913</v>
      </c>
      <c r="HI142" s="1960">
        <v>190.72743668463698</v>
      </c>
      <c r="HJ142" s="1960">
        <v>196.89736121662361</v>
      </c>
      <c r="HK142" s="1960">
        <v>197.58822915071701</v>
      </c>
      <c r="HL142" s="1960">
        <v>208.13854637246411</v>
      </c>
      <c r="HM142" s="1960">
        <v>210.24095593178194</v>
      </c>
      <c r="HN142" s="1960">
        <v>221.64618426010736</v>
      </c>
      <c r="HO142" s="1960">
        <v>223.75710030067981</v>
      </c>
      <c r="HP142" s="1960">
        <v>232.04440031181608</v>
      </c>
      <c r="HQ142" s="1960">
        <v>261.23952910921776</v>
      </c>
      <c r="HR142" s="1960">
        <v>274.6364280378956</v>
      </c>
      <c r="HS142" s="1960">
        <v>298.69814166928592</v>
      </c>
      <c r="HT142" s="1962">
        <v>303.36530013286853</v>
      </c>
      <c r="HU142" s="1961">
        <v>307.82655454658715</v>
      </c>
      <c r="HV142" s="1960">
        <v>312.1019233597342</v>
      </c>
      <c r="HW142" s="1960">
        <v>325.10617016638975</v>
      </c>
      <c r="HX142" s="1960">
        <v>325.10617016638975</v>
      </c>
      <c r="HY142" s="1960">
        <v>325.10617016638975</v>
      </c>
      <c r="HZ142" s="1960">
        <v>329.81785379198959</v>
      </c>
      <c r="IA142" s="1960">
        <v>346.43530321561008</v>
      </c>
      <c r="IB142" s="1960">
        <v>360.87010751626053</v>
      </c>
      <c r="IC142" s="1960">
        <v>393.40415002786159</v>
      </c>
      <c r="ID142" s="1960">
        <v>428.08228528163505</v>
      </c>
      <c r="IE142" s="1960">
        <v>452.70917811388824</v>
      </c>
      <c r="IF142" s="1960">
        <v>461.50467071724376</v>
      </c>
      <c r="IG142" s="1961">
        <v>476.80459195545467</v>
      </c>
      <c r="IH142" s="1960">
        <v>530.50021901492244</v>
      </c>
      <c r="II142" s="1960">
        <v>551.13078308772504</v>
      </c>
      <c r="IJ142" s="1961">
        <v>580.8131124054496</v>
      </c>
      <c r="IK142" s="1960">
        <v>598.26639396778523</v>
      </c>
      <c r="IL142" s="1960">
        <v>615.87494386116339</v>
      </c>
      <c r="IM142" s="1960">
        <v>655.16460694646014</v>
      </c>
      <c r="IN142" s="1960">
        <v>665.85738779568055</v>
      </c>
      <c r="IO142" s="1960">
        <v>728.63841746138417</v>
      </c>
      <c r="IP142" s="1960">
        <v>780.98674575316818</v>
      </c>
      <c r="IQ142" s="1960">
        <v>844.74650367645677</v>
      </c>
      <c r="IR142" s="1960">
        <v>858.15941276422666</v>
      </c>
      <c r="IS142" s="2274">
        <v>935.44414667000819</v>
      </c>
      <c r="IT142" s="1960">
        <v>1025.2329047179949</v>
      </c>
      <c r="IU142" s="1960">
        <v>1091.0936584325957</v>
      </c>
      <c r="IV142" s="1960">
        <v>1105.624689336707</v>
      </c>
      <c r="IW142" s="1960">
        <v>1165.2968149220744</v>
      </c>
      <c r="IX142" s="1960">
        <v>1213.1744107013417</v>
      </c>
      <c r="IY142" s="1960">
        <v>1271.7386333216427</v>
      </c>
      <c r="IZ142" s="1960">
        <v>1289.2217466037457</v>
      </c>
      <c r="JA142" s="1960">
        <v>1345.9750750543706</v>
      </c>
      <c r="JB142" s="1960">
        <v>1483.2656577543839</v>
      </c>
      <c r="JC142" s="1960">
        <v>1536.5879248603949</v>
      </c>
      <c r="JD142" s="1960">
        <v>1614.2794267894981</v>
      </c>
      <c r="JE142" s="2274">
        <v>1670.1958850175288</v>
      </c>
      <c r="JF142" s="2117">
        <v>1754.5817604104807</v>
      </c>
      <c r="JG142" s="2103">
        <f t="shared" si="14"/>
        <v>1.0505245379598491</v>
      </c>
      <c r="JI142" s="2155"/>
      <c r="JJ142" s="2104"/>
    </row>
    <row r="143" spans="2:270" ht="21" customHeight="1">
      <c r="B143" s="2105">
        <v>127</v>
      </c>
      <c r="C143" s="2106" t="s">
        <v>319</v>
      </c>
      <c r="D143" s="2425" t="s">
        <v>1243</v>
      </c>
      <c r="E143" s="2128" t="s">
        <v>320</v>
      </c>
      <c r="F143" s="2106" t="s">
        <v>918</v>
      </c>
      <c r="G143" s="2425" t="s">
        <v>1112</v>
      </c>
      <c r="H143" s="2106" t="s">
        <v>929</v>
      </c>
      <c r="I143" s="2106" t="s">
        <v>930</v>
      </c>
      <c r="J143" s="2359" t="s">
        <v>921</v>
      </c>
      <c r="K143" s="2425"/>
      <c r="L143" s="2110">
        <v>100.9</v>
      </c>
      <c r="M143" s="2110">
        <v>100.9</v>
      </c>
      <c r="N143" s="2110">
        <v>102.8</v>
      </c>
      <c r="O143" s="2110">
        <v>102.1</v>
      </c>
      <c r="P143" s="2110">
        <v>107.2</v>
      </c>
      <c r="Q143" s="2110">
        <v>111.9</v>
      </c>
      <c r="R143" s="2110">
        <v>114.2</v>
      </c>
      <c r="S143" s="2110">
        <v>115.5</v>
      </c>
      <c r="T143" s="2110">
        <v>118.2</v>
      </c>
      <c r="U143" s="2110">
        <v>120</v>
      </c>
      <c r="V143" s="2110">
        <v>119.9</v>
      </c>
      <c r="W143" s="2110">
        <v>119.9</v>
      </c>
      <c r="X143" s="2110">
        <v>122.9</v>
      </c>
      <c r="Y143" s="2110">
        <v>122.8</v>
      </c>
      <c r="Z143" s="2110">
        <v>122.9</v>
      </c>
      <c r="AA143" s="2110">
        <v>125.5</v>
      </c>
      <c r="AB143" s="2110">
        <v>125.5</v>
      </c>
      <c r="AC143" s="2110">
        <v>125.5</v>
      </c>
      <c r="AD143" s="2110">
        <v>125.5</v>
      </c>
      <c r="AE143" s="2110">
        <v>125.5</v>
      </c>
      <c r="AF143" s="2110">
        <v>125.5</v>
      </c>
      <c r="AG143" s="2110">
        <v>125.5</v>
      </c>
      <c r="AH143" s="2110">
        <v>125.5</v>
      </c>
      <c r="AI143" s="2110">
        <v>125.5</v>
      </c>
      <c r="AJ143" s="2110">
        <v>125.5</v>
      </c>
      <c r="AK143" s="2110">
        <v>125.5</v>
      </c>
      <c r="AL143" s="2110">
        <v>125.9</v>
      </c>
      <c r="AM143" s="2110">
        <v>129.4</v>
      </c>
      <c r="AN143" s="2110">
        <v>129.4</v>
      </c>
      <c r="AO143" s="2110">
        <v>134.5</v>
      </c>
      <c r="AP143" s="2110">
        <v>134.5</v>
      </c>
      <c r="AQ143" s="2110">
        <v>134.5</v>
      </c>
      <c r="AR143" s="2110">
        <v>134.5</v>
      </c>
      <c r="AS143" s="2110">
        <v>134.5</v>
      </c>
      <c r="AT143" s="2110">
        <v>134.5</v>
      </c>
      <c r="AU143" s="2110">
        <v>137.19999999999999</v>
      </c>
      <c r="AV143" s="2110">
        <v>143.5</v>
      </c>
      <c r="AW143" s="2111">
        <v>143.5</v>
      </c>
      <c r="AX143" s="2111">
        <v>148.6</v>
      </c>
      <c r="AY143" s="2111">
        <v>148.6</v>
      </c>
      <c r="AZ143" s="2111">
        <v>151.6</v>
      </c>
      <c r="BA143" s="2111">
        <v>151.6</v>
      </c>
      <c r="BB143" s="2111">
        <v>152.80000000000001</v>
      </c>
      <c r="BC143" s="2111">
        <v>152.80000000000001</v>
      </c>
      <c r="BD143" s="2112">
        <v>161.69999999999999</v>
      </c>
      <c r="BE143" s="2111">
        <v>163.6</v>
      </c>
      <c r="BF143" s="2112">
        <v>165</v>
      </c>
      <c r="BG143" s="2112">
        <v>169.9</v>
      </c>
      <c r="BH143" s="2112">
        <v>169.3</v>
      </c>
      <c r="BI143" s="2108">
        <v>170.2</v>
      </c>
      <c r="BJ143" s="2108">
        <v>172</v>
      </c>
      <c r="BK143" s="2108">
        <v>172</v>
      </c>
      <c r="BL143" s="2108">
        <v>172</v>
      </c>
      <c r="BM143" s="2108">
        <v>174.8</v>
      </c>
      <c r="BN143" s="2108">
        <v>174.8</v>
      </c>
      <c r="BO143" s="2108">
        <v>177</v>
      </c>
      <c r="BP143" s="2108">
        <v>180.2</v>
      </c>
      <c r="BQ143" s="2108">
        <v>180.2</v>
      </c>
      <c r="BR143" s="2108">
        <v>180.2</v>
      </c>
      <c r="BS143" s="2108">
        <v>180.2</v>
      </c>
      <c r="BT143" s="2108">
        <v>191.6</v>
      </c>
      <c r="BU143" s="2108">
        <v>204.6</v>
      </c>
      <c r="BV143" s="2108">
        <v>204.6</v>
      </c>
      <c r="BW143" s="2108">
        <v>211.9</v>
      </c>
      <c r="BX143" s="2108">
        <v>220.3</v>
      </c>
      <c r="BY143" s="2108">
        <v>223</v>
      </c>
      <c r="BZ143" s="2108">
        <v>232</v>
      </c>
      <c r="CA143" s="2108">
        <v>232</v>
      </c>
      <c r="CB143" s="2108">
        <v>236.2</v>
      </c>
      <c r="CC143" s="2108">
        <v>238.7</v>
      </c>
      <c r="CD143" s="2108">
        <v>238.7</v>
      </c>
      <c r="CE143" s="2108">
        <v>245.7</v>
      </c>
      <c r="CF143" s="2108">
        <v>246.8</v>
      </c>
      <c r="CG143" s="2108">
        <v>253.3</v>
      </c>
      <c r="CH143" s="2108">
        <v>258.5</v>
      </c>
      <c r="CI143" s="2108">
        <v>261.60000000000002</v>
      </c>
      <c r="CJ143" s="2108">
        <v>261.60000000000002</v>
      </c>
      <c r="CK143" s="2108">
        <v>266.2</v>
      </c>
      <c r="CL143" s="2108">
        <v>275.7</v>
      </c>
      <c r="CM143" s="2108">
        <v>275.7</v>
      </c>
      <c r="CN143" s="2108">
        <v>275.7</v>
      </c>
      <c r="CO143" s="2108">
        <v>275.7</v>
      </c>
      <c r="CP143" s="2108">
        <v>275.7</v>
      </c>
      <c r="CQ143" s="2108">
        <v>279.7</v>
      </c>
      <c r="CR143" s="2108">
        <v>283.39999999999998</v>
      </c>
      <c r="CS143" s="2108">
        <v>291.3</v>
      </c>
      <c r="CT143" s="2108">
        <v>287.3</v>
      </c>
      <c r="CU143" s="2108">
        <v>287.3</v>
      </c>
      <c r="CV143" s="2108">
        <v>287.3</v>
      </c>
      <c r="CW143" s="2108">
        <v>287.3</v>
      </c>
      <c r="CX143" s="2108">
        <v>287.3</v>
      </c>
      <c r="CY143" s="2108">
        <v>287.3</v>
      </c>
      <c r="CZ143" s="2108">
        <v>294.5</v>
      </c>
      <c r="DA143" s="2108">
        <v>294.5</v>
      </c>
      <c r="DB143" s="2108">
        <v>294.5</v>
      </c>
      <c r="DC143" s="2108">
        <v>297.60000000000002</v>
      </c>
      <c r="DD143" s="2108">
        <v>297.60000000000002</v>
      </c>
      <c r="DE143" s="2108">
        <v>305.2</v>
      </c>
      <c r="DF143" s="2108">
        <v>305.2</v>
      </c>
      <c r="DG143" s="2108">
        <v>314.39999999999998</v>
      </c>
      <c r="DH143" s="2108">
        <v>314.39999999999998</v>
      </c>
      <c r="DI143" s="2108">
        <v>327.2</v>
      </c>
      <c r="DJ143" s="2108">
        <v>318.39999999999998</v>
      </c>
      <c r="DK143" s="2108">
        <v>325.8</v>
      </c>
      <c r="DL143" s="2108">
        <v>325.8</v>
      </c>
      <c r="DM143" s="2108">
        <v>331.7</v>
      </c>
      <c r="DN143" s="2108">
        <v>334.8</v>
      </c>
      <c r="DO143" s="2108">
        <v>340.7</v>
      </c>
      <c r="DP143" s="2108">
        <v>344.2</v>
      </c>
      <c r="DQ143" s="2108">
        <v>344.2</v>
      </c>
      <c r="DR143" s="2108">
        <v>367</v>
      </c>
      <c r="DS143" s="2108">
        <v>373.9</v>
      </c>
      <c r="DT143" s="2108">
        <v>385.4</v>
      </c>
      <c r="DU143" s="2108">
        <v>400.5</v>
      </c>
      <c r="DV143" s="2108">
        <v>419</v>
      </c>
      <c r="DW143" s="2108">
        <v>419</v>
      </c>
      <c r="DX143" s="2108">
        <v>424.3</v>
      </c>
      <c r="DY143" s="2108">
        <v>427.8</v>
      </c>
      <c r="DZ143" s="2108">
        <v>432.4</v>
      </c>
      <c r="EA143" s="2108">
        <v>441.5</v>
      </c>
      <c r="EB143" s="2108">
        <v>445</v>
      </c>
      <c r="EC143" s="2108">
        <v>462.5</v>
      </c>
      <c r="ED143" s="2108">
        <v>466</v>
      </c>
      <c r="EE143" s="2108">
        <v>466.1</v>
      </c>
      <c r="EF143" s="2108">
        <v>483.6</v>
      </c>
      <c r="EG143" s="2108">
        <v>506.5</v>
      </c>
      <c r="EH143" s="2108">
        <v>506.5</v>
      </c>
      <c r="EI143" s="2108">
        <v>515.20000000000005</v>
      </c>
      <c r="EJ143" s="2108">
        <v>519.29999999999995</v>
      </c>
      <c r="EK143" s="2108">
        <v>519.29999999999995</v>
      </c>
      <c r="EL143" s="2108">
        <v>527.5</v>
      </c>
      <c r="EM143" s="2108">
        <v>527.5</v>
      </c>
      <c r="EN143" s="2108">
        <v>527.5</v>
      </c>
      <c r="EO143" s="2108">
        <v>527.5</v>
      </c>
      <c r="EP143" s="2108">
        <v>532.9</v>
      </c>
      <c r="EQ143" s="2108">
        <v>548.4</v>
      </c>
      <c r="ER143" s="2108">
        <v>554.70000000000005</v>
      </c>
      <c r="ES143" s="2108">
        <v>554.70000000000005</v>
      </c>
      <c r="ET143" s="2108">
        <v>565.6</v>
      </c>
      <c r="EU143" s="2108">
        <v>568</v>
      </c>
      <c r="EV143" s="2108">
        <v>580.5</v>
      </c>
      <c r="EW143" s="2108">
        <v>580.5</v>
      </c>
      <c r="EX143" s="2108">
        <v>592.5</v>
      </c>
      <c r="EY143" s="2108">
        <v>601.9</v>
      </c>
      <c r="EZ143" s="2108">
        <v>623.70000000000005</v>
      </c>
      <c r="FA143" s="2108">
        <v>631.9</v>
      </c>
      <c r="FB143" s="2108">
        <v>695.3</v>
      </c>
      <c r="FC143" s="2108">
        <v>695.3</v>
      </c>
      <c r="FD143" s="2108">
        <v>707.1</v>
      </c>
      <c r="FE143" s="2108">
        <v>717.1</v>
      </c>
      <c r="FF143" s="2108">
        <v>744.4</v>
      </c>
      <c r="FG143" s="2108">
        <v>751.9</v>
      </c>
      <c r="FH143" s="2108">
        <v>772</v>
      </c>
      <c r="FI143" s="2108">
        <v>799.9</v>
      </c>
      <c r="FJ143" s="2108">
        <v>809.7</v>
      </c>
      <c r="FK143" s="2108">
        <v>836.2</v>
      </c>
      <c r="FL143" s="2108">
        <v>836.2</v>
      </c>
      <c r="FM143" s="2108">
        <v>841.3</v>
      </c>
      <c r="FN143" s="2108">
        <v>863.6</v>
      </c>
      <c r="FO143" s="2108">
        <v>894.4</v>
      </c>
      <c r="FP143" s="2108">
        <v>908.5</v>
      </c>
      <c r="FQ143" s="2108">
        <v>929.2</v>
      </c>
      <c r="FR143" s="2108">
        <v>960.2</v>
      </c>
      <c r="FS143" s="2108">
        <v>912.5</v>
      </c>
      <c r="FT143" s="2108">
        <v>1011.6</v>
      </c>
      <c r="FU143" s="2108">
        <v>1048.5</v>
      </c>
      <c r="FV143" s="2108">
        <v>1063.5999999999999</v>
      </c>
      <c r="FW143" s="2113">
        <v>844.0547950234444</v>
      </c>
      <c r="FX143" s="2113">
        <v>894.61170317768051</v>
      </c>
      <c r="FY143" s="2113">
        <v>100</v>
      </c>
      <c r="FZ143" s="2113">
        <v>101.09763145446777</v>
      </c>
      <c r="GA143" s="2113">
        <v>104.23370866348591</v>
      </c>
      <c r="GB143" s="2113">
        <v>105.17452738873384</v>
      </c>
      <c r="GC143" s="2113">
        <v>105.17452738873384</v>
      </c>
      <c r="GD143" s="2113">
        <v>107.3697799473253</v>
      </c>
      <c r="GE143" s="2113">
        <v>107.3697799473253</v>
      </c>
      <c r="GF143" s="2114">
        <v>108.62420531247737</v>
      </c>
      <c r="GG143" s="1960">
        <v>108.62420531247737</v>
      </c>
      <c r="GH143" s="2114">
        <v>110.97626427779777</v>
      </c>
      <c r="GI143" s="2114">
        <v>112.54430556379593</v>
      </c>
      <c r="GJ143" s="2113">
        <v>113.48512547428182</v>
      </c>
      <c r="GK143" s="2113">
        <v>115.2099662395905</v>
      </c>
      <c r="GL143" s="2113">
        <v>115.2099662395905</v>
      </c>
      <c r="GM143" s="2114">
        <v>115.2099662395905</v>
      </c>
      <c r="GN143" s="2114">
        <v>118.34367543149544</v>
      </c>
      <c r="GO143" s="2115">
        <v>118.34367543149544</v>
      </c>
      <c r="GP143" s="2116">
        <v>118.34367543149544</v>
      </c>
      <c r="GQ143" s="2116">
        <v>118.34367543149544</v>
      </c>
      <c r="GR143" s="2116">
        <v>122.4204944916444</v>
      </c>
      <c r="GS143" s="2116">
        <v>130.26052979807309</v>
      </c>
      <c r="GT143" s="1960">
        <v>135.90534924030544</v>
      </c>
      <c r="GU143" s="1960">
        <v>140.60936189078603</v>
      </c>
      <c r="GV143" s="1960">
        <v>140.60936189078603</v>
      </c>
      <c r="GW143" s="1960">
        <v>140.60936189078603</v>
      </c>
      <c r="GX143" s="1960">
        <v>140.60936189078603</v>
      </c>
      <c r="GY143" s="1960">
        <v>142.35141377495412</v>
      </c>
      <c r="GZ143" s="1960">
        <v>153.31054122239109</v>
      </c>
      <c r="HA143" s="1960">
        <v>155.68986240901236</v>
      </c>
      <c r="HB143" s="1960">
        <v>177.19002430356289</v>
      </c>
      <c r="HC143" s="1960">
        <v>189.0740760405937</v>
      </c>
      <c r="HD143" s="1960">
        <v>189.07408338171606</v>
      </c>
      <c r="HE143" s="1960">
        <v>210.65112636891746</v>
      </c>
      <c r="HF143" s="1960">
        <v>230.57209441888315</v>
      </c>
      <c r="HG143" s="1960">
        <v>230.57209441888315</v>
      </c>
      <c r="HH143" s="2117">
        <v>242.1021764084999</v>
      </c>
      <c r="HI143" s="1960">
        <v>237.81418403063043</v>
      </c>
      <c r="HJ143" s="1960">
        <v>261.47655504960477</v>
      </c>
      <c r="HK143" s="1960">
        <v>274.96771120209354</v>
      </c>
      <c r="HL143" s="1960">
        <v>275.96486755609629</v>
      </c>
      <c r="HM143" s="1960">
        <v>296.41765232819677</v>
      </c>
      <c r="HN143" s="1960">
        <v>299.14690620081905</v>
      </c>
      <c r="HO143" s="1960">
        <v>301.54746779378854</v>
      </c>
      <c r="HP143" s="1960">
        <v>342.95169673290218</v>
      </c>
      <c r="HQ143" s="1960">
        <v>375.62358154091118</v>
      </c>
      <c r="HR143" s="1960">
        <v>375.62358154091118</v>
      </c>
      <c r="HS143" s="1960">
        <v>375.62358154091118</v>
      </c>
      <c r="HT143" s="1962">
        <v>375.62358154091118</v>
      </c>
      <c r="HU143" s="1961">
        <v>395.69463991913818</v>
      </c>
      <c r="HV143" s="1960">
        <v>399.72831068535123</v>
      </c>
      <c r="HW143" s="1960">
        <v>399.72831068535123</v>
      </c>
      <c r="HX143" s="1960">
        <v>399.72831068535123</v>
      </c>
      <c r="HY143" s="1960">
        <v>399.72831068535123</v>
      </c>
      <c r="HZ143" s="1960">
        <v>399.72831068535123</v>
      </c>
      <c r="IA143" s="1960">
        <v>399.72831068535123</v>
      </c>
      <c r="IB143" s="1960">
        <v>399.72831068535123</v>
      </c>
      <c r="IC143" s="1960">
        <v>399.72831068535123</v>
      </c>
      <c r="ID143" s="1960">
        <v>472.7964390216336</v>
      </c>
      <c r="IE143" s="1960">
        <v>478.92340440000299</v>
      </c>
      <c r="IF143" s="1960">
        <v>509.69730378293696</v>
      </c>
      <c r="IG143" s="1961">
        <v>557.35881520367047</v>
      </c>
      <c r="IH143" s="1960">
        <v>564.20579375239697</v>
      </c>
      <c r="II143" s="1960">
        <v>596.63881357255639</v>
      </c>
      <c r="IJ143" s="1961">
        <v>602.60595505597053</v>
      </c>
      <c r="IK143" s="1960">
        <v>623.34268939172011</v>
      </c>
      <c r="IL143" s="1960">
        <v>637.49346097260025</v>
      </c>
      <c r="IM143" s="1960">
        <v>662.9928495069837</v>
      </c>
      <c r="IN143" s="1960">
        <v>650.19769719955389</v>
      </c>
      <c r="IO143" s="1960">
        <v>690.08732592274657</v>
      </c>
      <c r="IP143" s="1960">
        <v>724.29191623578276</v>
      </c>
      <c r="IQ143" s="1960">
        <v>795.99029731587916</v>
      </c>
      <c r="IR143" s="1960">
        <v>847.07647090738317</v>
      </c>
      <c r="IS143" s="2274">
        <v>864.79847912584171</v>
      </c>
      <c r="IT143" s="1960">
        <v>892.38530505138294</v>
      </c>
      <c r="IU143" s="1960">
        <v>924.80235716731966</v>
      </c>
      <c r="IV143" s="1960">
        <v>951.61561100956681</v>
      </c>
      <c r="IW143" s="1960">
        <v>994.11041502583157</v>
      </c>
      <c r="IX143" s="1960">
        <v>1070.6001939115656</v>
      </c>
      <c r="IY143" s="1960">
        <v>1192.9376402575065</v>
      </c>
      <c r="IZ143" s="1960">
        <v>1247.9440137629049</v>
      </c>
      <c r="JA143" s="1960">
        <v>1346.0052379722827</v>
      </c>
      <c r="JB143" s="1960">
        <v>1454.5533903366359</v>
      </c>
      <c r="JC143" s="1960">
        <v>1500.6102266109144</v>
      </c>
      <c r="JD143" s="1960">
        <v>1536.995392843495</v>
      </c>
      <c r="JE143" s="2274">
        <v>1538.7909482089663</v>
      </c>
      <c r="JF143" s="2117">
        <v>1743.5871680810158</v>
      </c>
      <c r="JG143" s="2103">
        <f t="shared" si="14"/>
        <v>1.1330890463778829</v>
      </c>
      <c r="JI143" s="2155"/>
      <c r="JJ143" s="2104"/>
    </row>
    <row r="144" spans="2:270" ht="31.15" hidden="1" customHeight="1">
      <c r="B144" s="2105">
        <v>128</v>
      </c>
      <c r="C144" s="2106">
        <v>31</v>
      </c>
      <c r="D144" s="2425">
        <v>0</v>
      </c>
      <c r="E144" s="2128" t="s">
        <v>227</v>
      </c>
      <c r="F144" s="2106"/>
      <c r="G144" s="2425"/>
      <c r="H144" s="2425" t="s">
        <v>405</v>
      </c>
      <c r="I144" s="2106" t="s">
        <v>229</v>
      </c>
      <c r="J144" s="2359" t="s">
        <v>777</v>
      </c>
      <c r="K144" s="2425" t="s">
        <v>321</v>
      </c>
      <c r="L144" s="2110"/>
      <c r="M144" s="2110"/>
      <c r="N144" s="2110"/>
      <c r="O144" s="2110"/>
      <c r="P144" s="2110"/>
      <c r="Q144" s="2110"/>
      <c r="R144" s="2110"/>
      <c r="S144" s="2110"/>
      <c r="T144" s="2110"/>
      <c r="U144" s="2110"/>
      <c r="V144" s="2110"/>
      <c r="W144" s="2110"/>
      <c r="X144" s="2110"/>
      <c r="Y144" s="2110">
        <v>281</v>
      </c>
      <c r="Z144" s="2110">
        <v>298.8</v>
      </c>
      <c r="AA144" s="2110">
        <v>292.36</v>
      </c>
      <c r="AB144" s="2110">
        <v>277.93</v>
      </c>
      <c r="AC144" s="2110">
        <v>268.61</v>
      </c>
      <c r="AD144" s="2110">
        <v>271.61</v>
      </c>
      <c r="AE144" s="2110">
        <v>268.2</v>
      </c>
      <c r="AF144" s="2110">
        <v>278.31</v>
      </c>
      <c r="AG144" s="2110">
        <v>277.72000000000003</v>
      </c>
      <c r="AH144" s="2110">
        <v>273.72000000000003</v>
      </c>
      <c r="AI144" s="2110">
        <v>277.72000000000003</v>
      </c>
      <c r="AJ144" s="2110">
        <v>281.13</v>
      </c>
      <c r="AK144" s="2110">
        <v>276.54000000000002</v>
      </c>
      <c r="AL144" s="2110">
        <v>279.49</v>
      </c>
      <c r="AM144" s="2110">
        <v>278.31</v>
      </c>
      <c r="AN144" s="2110">
        <v>272.54000000000002</v>
      </c>
      <c r="AO144" s="2110">
        <v>278.89999999999998</v>
      </c>
      <c r="AP144" s="2110">
        <v>281.70999999999998</v>
      </c>
      <c r="AQ144" s="2110">
        <v>281.01</v>
      </c>
      <c r="AR144" s="2110">
        <v>285.60000000000002</v>
      </c>
      <c r="AS144" s="2110">
        <v>284.42</v>
      </c>
      <c r="AT144" s="2110">
        <v>283.23</v>
      </c>
      <c r="AU144" s="2110">
        <v>247.45</v>
      </c>
      <c r="AV144" s="2110">
        <v>282.64999999999998</v>
      </c>
      <c r="AW144" s="2111">
        <v>281.47000000000003</v>
      </c>
      <c r="AX144" s="2111">
        <v>279.24</v>
      </c>
      <c r="AY144" s="2111">
        <v>279.24</v>
      </c>
      <c r="AZ144" s="2111">
        <v>278.06</v>
      </c>
      <c r="BA144" s="2111">
        <v>278.06</v>
      </c>
      <c r="BB144" s="2111">
        <v>276.24</v>
      </c>
      <c r="BC144" s="2111">
        <v>274.58</v>
      </c>
      <c r="BD144" s="2112">
        <v>275.18</v>
      </c>
      <c r="BE144" s="2111">
        <v>278.02999999999997</v>
      </c>
      <c r="BF144" s="2112">
        <v>282.77</v>
      </c>
      <c r="BG144" s="2112">
        <v>282.18</v>
      </c>
      <c r="BH144" s="2112">
        <v>283.83</v>
      </c>
      <c r="BI144" s="2108">
        <v>287.95</v>
      </c>
      <c r="BJ144" s="2108">
        <v>290.83</v>
      </c>
      <c r="BK144" s="2108">
        <v>278.58</v>
      </c>
      <c r="BL144" s="2108">
        <v>278.58</v>
      </c>
      <c r="BM144" s="2108">
        <v>276.35000000000002</v>
      </c>
      <c r="BN144" s="2108">
        <v>279.18</v>
      </c>
      <c r="BO144" s="2108">
        <v>279.18</v>
      </c>
      <c r="BP144" s="2108">
        <v>278.58</v>
      </c>
      <c r="BQ144" s="2108">
        <v>280.35000000000002</v>
      </c>
      <c r="BR144" s="2108">
        <v>280.97000000000003</v>
      </c>
      <c r="BS144" s="2108">
        <v>279.79000000000002</v>
      </c>
      <c r="BT144" s="2108">
        <v>278.14</v>
      </c>
      <c r="BU144" s="2108">
        <v>279.79000000000002</v>
      </c>
      <c r="BV144" s="2108">
        <v>280.38</v>
      </c>
      <c r="BW144" s="2108">
        <v>280.97000000000003</v>
      </c>
      <c r="BX144" s="2108">
        <v>280.38</v>
      </c>
      <c r="BY144" s="2108">
        <v>279.79000000000002</v>
      </c>
      <c r="BZ144" s="2108">
        <v>279.2</v>
      </c>
      <c r="CA144" s="2108">
        <v>281.58999999999997</v>
      </c>
      <c r="CB144" s="2108">
        <v>285</v>
      </c>
      <c r="CC144" s="2108">
        <v>285</v>
      </c>
      <c r="CD144" s="2108">
        <v>305.94</v>
      </c>
      <c r="CE144" s="2108">
        <v>303.72000000000003</v>
      </c>
      <c r="CF144" s="2108">
        <v>304.77</v>
      </c>
      <c r="CG144" s="2108">
        <v>303.72000000000003</v>
      </c>
      <c r="CH144" s="2108">
        <v>285</v>
      </c>
      <c r="CI144" s="2108">
        <v>285</v>
      </c>
      <c r="CJ144" s="2108">
        <v>285</v>
      </c>
      <c r="CK144" s="2108">
        <v>285.38</v>
      </c>
      <c r="CL144" s="2108">
        <v>276.5</v>
      </c>
      <c r="CM144" s="2108">
        <v>280.23</v>
      </c>
      <c r="CN144" s="2108">
        <v>280.23</v>
      </c>
      <c r="CO144" s="2108">
        <v>283.31</v>
      </c>
      <c r="CP144" s="2108">
        <v>291.48</v>
      </c>
      <c r="CQ144" s="2108">
        <v>300.83</v>
      </c>
      <c r="CR144" s="2108">
        <v>309.24</v>
      </c>
      <c r="CS144" s="2108">
        <v>311.79000000000002</v>
      </c>
      <c r="CT144" s="2108">
        <v>315.57</v>
      </c>
      <c r="CU144" s="2108">
        <v>327.07</v>
      </c>
      <c r="CV144" s="2108">
        <v>330.23</v>
      </c>
      <c r="CW144" s="2108">
        <v>333.4</v>
      </c>
      <c r="CX144" s="2108">
        <v>336.55</v>
      </c>
      <c r="CY144" s="2108">
        <v>339.11</v>
      </c>
      <c r="CZ144" s="2108">
        <v>342.03</v>
      </c>
      <c r="DA144" s="2108">
        <v>342.57</v>
      </c>
      <c r="DB144" s="2108">
        <v>341.1</v>
      </c>
      <c r="DC144" s="2108">
        <v>340.67</v>
      </c>
      <c r="DD144" s="2108">
        <v>340.03</v>
      </c>
      <c r="DE144" s="2108">
        <v>340.03</v>
      </c>
      <c r="DF144" s="2108">
        <v>343.11</v>
      </c>
      <c r="DG144" s="2108">
        <v>343.65</v>
      </c>
      <c r="DH144" s="2108">
        <v>344.58</v>
      </c>
      <c r="DI144" s="2108">
        <v>345.65</v>
      </c>
      <c r="DJ144" s="2108">
        <v>348.59</v>
      </c>
      <c r="DK144" s="2108">
        <v>341.38</v>
      </c>
      <c r="DL144" s="2108">
        <v>341.38</v>
      </c>
      <c r="DM144" s="2108">
        <v>350.6</v>
      </c>
      <c r="DN144" s="2108">
        <v>350.91</v>
      </c>
      <c r="DO144" s="2108">
        <v>351.44</v>
      </c>
      <c r="DP144" s="2108">
        <v>352.92</v>
      </c>
      <c r="DQ144" s="2108">
        <v>352.92</v>
      </c>
      <c r="DR144" s="2108">
        <v>355.47</v>
      </c>
      <c r="DS144" s="2108">
        <v>356.93</v>
      </c>
      <c r="DT144" s="2108">
        <v>358.94</v>
      </c>
      <c r="DU144" s="2108">
        <v>361.15</v>
      </c>
      <c r="DV144" s="2108">
        <v>364.18</v>
      </c>
      <c r="DW144" s="2108">
        <v>365.25</v>
      </c>
      <c r="DX144" s="2108">
        <v>367.73</v>
      </c>
      <c r="DY144" s="2108">
        <v>372.83</v>
      </c>
      <c r="DZ144" s="2108">
        <v>372.83</v>
      </c>
      <c r="EA144" s="2108">
        <v>376.52</v>
      </c>
      <c r="EB144" s="2108">
        <v>377.46</v>
      </c>
      <c r="EC144" s="2108">
        <v>380.09</v>
      </c>
      <c r="ED144" s="2108">
        <v>382.01</v>
      </c>
      <c r="EE144" s="2108">
        <v>400.44</v>
      </c>
      <c r="EF144" s="2108">
        <v>403.02</v>
      </c>
      <c r="EG144" s="2108">
        <v>408.35</v>
      </c>
      <c r="EH144" s="2108">
        <v>412.27</v>
      </c>
      <c r="EI144" s="2108">
        <v>415.91</v>
      </c>
      <c r="EJ144" s="2108">
        <v>423.89</v>
      </c>
      <c r="EK144" s="2108">
        <v>428.44</v>
      </c>
      <c r="EL144" s="2108">
        <v>433.08</v>
      </c>
      <c r="EM144" s="2108">
        <v>437.94</v>
      </c>
      <c r="EN144" s="2108">
        <v>444.23</v>
      </c>
      <c r="EO144" s="2108">
        <v>449.54</v>
      </c>
      <c r="EP144" s="2108">
        <v>463.43</v>
      </c>
      <c r="EQ144" s="2108">
        <v>470.13</v>
      </c>
      <c r="ER144" s="2108">
        <v>475.29</v>
      </c>
      <c r="ES144" s="2108">
        <v>481.59</v>
      </c>
      <c r="ET144" s="2108">
        <v>489.63</v>
      </c>
      <c r="EU144" s="2108">
        <v>497.69</v>
      </c>
      <c r="EV144" s="2108">
        <v>509.31</v>
      </c>
      <c r="EW144" s="2108">
        <v>522.46</v>
      </c>
      <c r="EX144" s="2108">
        <v>531.29</v>
      </c>
      <c r="EY144" s="2108">
        <v>543.41</v>
      </c>
      <c r="EZ144" s="2108">
        <v>563.83000000000004</v>
      </c>
      <c r="FA144" s="2108">
        <v>604.17999999999995</v>
      </c>
      <c r="FB144" s="2108">
        <v>677.67</v>
      </c>
      <c r="FC144" s="2108">
        <v>697.78</v>
      </c>
      <c r="FD144" s="2108">
        <v>707.22</v>
      </c>
      <c r="FE144" s="2108">
        <v>709</v>
      </c>
      <c r="FF144" s="2108">
        <v>717.43</v>
      </c>
      <c r="FG144" s="2108">
        <v>717.68</v>
      </c>
      <c r="FH144" s="2108">
        <v>728.81</v>
      </c>
      <c r="FI144" s="2108">
        <v>738.27</v>
      </c>
      <c r="FJ144" s="2108">
        <v>745.12</v>
      </c>
      <c r="FK144" s="2108">
        <v>748.49</v>
      </c>
      <c r="FL144" s="2108">
        <v>752.37</v>
      </c>
      <c r="FM144" s="2108">
        <v>756.97</v>
      </c>
      <c r="FN144" s="2108">
        <v>763.77</v>
      </c>
      <c r="FO144" s="2108">
        <v>762.29</v>
      </c>
      <c r="FP144" s="2108">
        <v>767.57</v>
      </c>
      <c r="FQ144" s="2108">
        <v>776.29</v>
      </c>
      <c r="FR144" s="2108">
        <v>785.16</v>
      </c>
      <c r="FS144" s="2108">
        <v>794.87</v>
      </c>
      <c r="FT144" s="2108">
        <v>805.69</v>
      </c>
      <c r="FU144" s="2108">
        <v>816.5</v>
      </c>
      <c r="FV144" s="2108">
        <v>827.8</v>
      </c>
      <c r="FW144" s="2113" t="s">
        <v>521</v>
      </c>
      <c r="FX144" s="2113" t="s">
        <v>521</v>
      </c>
      <c r="FY144" s="2113">
        <v>100</v>
      </c>
      <c r="FZ144" s="2113" t="s">
        <v>521</v>
      </c>
      <c r="GA144" s="2113" t="s">
        <v>521</v>
      </c>
      <c r="GB144" s="2113" t="s">
        <v>521</v>
      </c>
      <c r="GC144" s="2113" t="s">
        <v>521</v>
      </c>
      <c r="GD144" s="2113" t="s">
        <v>521</v>
      </c>
      <c r="GE144" s="2113" t="s">
        <v>521</v>
      </c>
      <c r="GF144" s="2114" t="s">
        <v>521</v>
      </c>
      <c r="GG144" s="1960" t="s">
        <v>521</v>
      </c>
      <c r="GH144" s="2114" t="s">
        <v>521</v>
      </c>
      <c r="GI144" s="2114" t="s">
        <v>521</v>
      </c>
      <c r="GJ144" s="2113" t="s">
        <v>521</v>
      </c>
      <c r="GK144" s="2113" t="s">
        <v>521</v>
      </c>
      <c r="GL144" s="2113" t="s">
        <v>521</v>
      </c>
      <c r="GM144" s="2114" t="s">
        <v>521</v>
      </c>
      <c r="GN144" s="2114" t="s">
        <v>521</v>
      </c>
      <c r="GO144" s="2115" t="s">
        <v>521</v>
      </c>
      <c r="GP144" s="2116" t="s">
        <v>521</v>
      </c>
      <c r="GQ144" s="2116" t="s">
        <v>521</v>
      </c>
      <c r="GR144" s="2116" t="s">
        <v>521</v>
      </c>
      <c r="GS144" s="2116" t="s">
        <v>521</v>
      </c>
      <c r="GT144" s="1960" t="s">
        <v>521</v>
      </c>
      <c r="GU144" s="1960" t="s">
        <v>521</v>
      </c>
      <c r="GV144" s="1960" t="s">
        <v>521</v>
      </c>
      <c r="GW144" s="1960" t="s">
        <v>521</v>
      </c>
      <c r="GX144" s="1960" t="s">
        <v>521</v>
      </c>
      <c r="GY144" s="1960" t="s">
        <v>521</v>
      </c>
      <c r="GZ144" s="1960" t="s">
        <v>521</v>
      </c>
      <c r="HA144" s="1960" t="s">
        <v>521</v>
      </c>
      <c r="HB144" s="1960" t="s">
        <v>521</v>
      </c>
      <c r="HC144" s="1960" t="s">
        <v>521</v>
      </c>
      <c r="HD144" s="1960" t="s">
        <v>521</v>
      </c>
      <c r="HE144" s="1960" t="s">
        <v>521</v>
      </c>
      <c r="HF144" s="1960" t="s">
        <v>521</v>
      </c>
      <c r="HG144" s="1960" t="s">
        <v>521</v>
      </c>
      <c r="HH144" s="2117" t="s">
        <v>521</v>
      </c>
      <c r="HI144" s="1960" t="s">
        <v>521</v>
      </c>
      <c r="HJ144" s="1960" t="s">
        <v>521</v>
      </c>
      <c r="HK144" s="1960" t="s">
        <v>521</v>
      </c>
      <c r="HL144" s="1960" t="s">
        <v>521</v>
      </c>
      <c r="HM144" s="1960" t="s">
        <v>521</v>
      </c>
      <c r="HN144" s="1960" t="s">
        <v>521</v>
      </c>
      <c r="HO144" s="1960" t="s">
        <v>521</v>
      </c>
      <c r="HP144" s="1960" t="s">
        <v>521</v>
      </c>
      <c r="HQ144" s="1960" t="s">
        <v>521</v>
      </c>
      <c r="HR144" s="1960" t="s">
        <v>521</v>
      </c>
      <c r="HS144" s="1960" t="s">
        <v>521</v>
      </c>
      <c r="HT144" s="1962" t="s">
        <v>521</v>
      </c>
      <c r="HU144" s="1961" t="s">
        <v>521</v>
      </c>
      <c r="HV144" s="1960" t="s">
        <v>521</v>
      </c>
      <c r="HW144" s="1960" t="s">
        <v>521</v>
      </c>
      <c r="HX144" s="1960" t="s">
        <v>521</v>
      </c>
      <c r="HY144" s="1960" t="s">
        <v>521</v>
      </c>
      <c r="HZ144" s="1960" t="s">
        <v>521</v>
      </c>
      <c r="IA144" s="1960" t="s">
        <v>521</v>
      </c>
      <c r="IB144" s="1960" t="s">
        <v>521</v>
      </c>
      <c r="IC144" s="1960" t="s">
        <v>521</v>
      </c>
      <c r="ID144" s="1960" t="s">
        <v>521</v>
      </c>
      <c r="IE144" s="1960" t="s">
        <v>521</v>
      </c>
      <c r="IF144" s="1960" t="s">
        <v>521</v>
      </c>
      <c r="IG144" s="1961" t="s">
        <v>521</v>
      </c>
      <c r="IH144" s="1960" t="s">
        <v>521</v>
      </c>
      <c r="II144" s="1960" t="s">
        <v>521</v>
      </c>
      <c r="IJ144" s="1961" t="s">
        <v>521</v>
      </c>
      <c r="IK144" s="1960" t="s">
        <v>521</v>
      </c>
      <c r="IL144" s="1960" t="s">
        <v>521</v>
      </c>
      <c r="IM144" s="1960" t="s">
        <v>521</v>
      </c>
      <c r="IN144" s="1960" t="s">
        <v>521</v>
      </c>
      <c r="IO144" s="1960" t="s">
        <v>521</v>
      </c>
      <c r="IP144" s="1960" t="s">
        <v>521</v>
      </c>
      <c r="IQ144" s="1960" t="s">
        <v>521</v>
      </c>
      <c r="IR144" s="1960" t="s">
        <v>521</v>
      </c>
      <c r="IS144" s="2274" t="s">
        <v>521</v>
      </c>
      <c r="IT144" s="1960" t="s">
        <v>521</v>
      </c>
      <c r="IU144" s="1960" t="s">
        <v>521</v>
      </c>
      <c r="IV144" s="1960" t="s">
        <v>521</v>
      </c>
      <c r="IW144" s="1960">
        <v>0</v>
      </c>
      <c r="IX144" s="1960">
        <v>0</v>
      </c>
      <c r="IY144" s="1960">
        <v>0</v>
      </c>
      <c r="IZ144" s="1960">
        <v>0</v>
      </c>
      <c r="JA144" s="1960">
        <v>0</v>
      </c>
      <c r="JB144" s="1960">
        <v>0</v>
      </c>
      <c r="JC144" s="1960">
        <v>0</v>
      </c>
      <c r="JD144" s="1960">
        <v>0</v>
      </c>
      <c r="JE144" s="2274">
        <v>0</v>
      </c>
      <c r="JF144" s="2117">
        <v>0</v>
      </c>
      <c r="JG144" s="2103" t="e">
        <f t="shared" si="14"/>
        <v>#DIV/0!</v>
      </c>
      <c r="JI144" s="2155"/>
      <c r="JJ144" s="2104"/>
    </row>
    <row r="145" spans="2:270" ht="34.15" hidden="1" customHeight="1">
      <c r="B145" s="2105">
        <v>129</v>
      </c>
      <c r="C145" s="2106">
        <v>3311</v>
      </c>
      <c r="D145" s="2425"/>
      <c r="E145" s="2128" t="s">
        <v>322</v>
      </c>
      <c r="F145" s="2106"/>
      <c r="G145" s="2425"/>
      <c r="H145" s="2425" t="s">
        <v>403</v>
      </c>
      <c r="I145" s="2106"/>
      <c r="J145" s="2359" t="s">
        <v>323</v>
      </c>
      <c r="K145" s="2425" t="s">
        <v>324</v>
      </c>
      <c r="L145" s="2110"/>
      <c r="M145" s="2110"/>
      <c r="N145" s="2110"/>
      <c r="O145" s="2110"/>
      <c r="P145" s="2110"/>
      <c r="Q145" s="2110"/>
      <c r="R145" s="2110"/>
      <c r="S145" s="2110"/>
      <c r="T145" s="2110"/>
      <c r="U145" s="2110"/>
      <c r="V145" s="2110"/>
      <c r="W145" s="2110"/>
      <c r="X145" s="2110"/>
      <c r="Y145" s="2110">
        <v>172.74</v>
      </c>
      <c r="Z145" s="2110">
        <v>174.67</v>
      </c>
      <c r="AA145" s="2110">
        <v>174.03</v>
      </c>
      <c r="AB145" s="2110">
        <v>173.12</v>
      </c>
      <c r="AC145" s="2110">
        <v>172.63</v>
      </c>
      <c r="AD145" s="2110">
        <v>172.22</v>
      </c>
      <c r="AE145" s="2110">
        <v>171.04</v>
      </c>
      <c r="AF145" s="2110">
        <v>172.07</v>
      </c>
      <c r="AG145" s="2110">
        <v>171.9</v>
      </c>
      <c r="AH145" s="2110">
        <v>171.92</v>
      </c>
      <c r="AI145" s="2110">
        <v>172.02</v>
      </c>
      <c r="AJ145" s="2110">
        <v>172.36</v>
      </c>
      <c r="AK145" s="2110">
        <v>172.43</v>
      </c>
      <c r="AL145" s="2110">
        <v>174.48</v>
      </c>
      <c r="AM145" s="2110">
        <v>175.49</v>
      </c>
      <c r="AN145" s="2110">
        <v>177.04</v>
      </c>
      <c r="AO145" s="2110">
        <v>177.37</v>
      </c>
      <c r="AP145" s="2110">
        <v>177.32</v>
      </c>
      <c r="AQ145" s="2110">
        <v>177.79</v>
      </c>
      <c r="AR145" s="2110">
        <v>178.85</v>
      </c>
      <c r="AS145" s="2110">
        <v>177.1</v>
      </c>
      <c r="AT145" s="2110">
        <v>177.21</v>
      </c>
      <c r="AU145" s="2110">
        <v>177.42</v>
      </c>
      <c r="AV145" s="2110">
        <v>177.46</v>
      </c>
      <c r="AW145" s="2111">
        <v>179.64</v>
      </c>
      <c r="AX145" s="2111">
        <v>179.61</v>
      </c>
      <c r="AY145" s="2111">
        <v>180.21</v>
      </c>
      <c r="AZ145" s="2111">
        <v>180.28</v>
      </c>
      <c r="BA145" s="2111">
        <v>180.91</v>
      </c>
      <c r="BB145" s="2111">
        <v>180.89</v>
      </c>
      <c r="BC145" s="2111">
        <v>187.11</v>
      </c>
      <c r="BD145" s="2112">
        <v>187.87</v>
      </c>
      <c r="BE145" s="2111">
        <v>188.56</v>
      </c>
      <c r="BF145" s="2112">
        <v>189.23</v>
      </c>
      <c r="BG145" s="2112">
        <v>188.69</v>
      </c>
      <c r="BH145" s="2112">
        <v>190.14</v>
      </c>
      <c r="BI145" s="2108">
        <v>189.9</v>
      </c>
      <c r="BJ145" s="2108">
        <v>190.82</v>
      </c>
      <c r="BK145" s="2108">
        <v>190.85</v>
      </c>
      <c r="BL145" s="2108">
        <v>191.97</v>
      </c>
      <c r="BM145" s="2108">
        <v>197.61</v>
      </c>
      <c r="BN145" s="2108">
        <v>197.89</v>
      </c>
      <c r="BO145" s="2108">
        <v>201.4</v>
      </c>
      <c r="BP145" s="2108">
        <v>201.63</v>
      </c>
      <c r="BQ145" s="2108">
        <v>201.66</v>
      </c>
      <c r="BR145" s="2108">
        <v>202.39</v>
      </c>
      <c r="BS145" s="2108">
        <v>203.01</v>
      </c>
      <c r="BT145" s="2108">
        <v>202.46</v>
      </c>
      <c r="BU145" s="2108">
        <v>202.43</v>
      </c>
      <c r="BV145" s="2108">
        <v>202.65</v>
      </c>
      <c r="BW145" s="2108">
        <v>203.67</v>
      </c>
      <c r="BX145" s="2108">
        <v>207.55</v>
      </c>
      <c r="BY145" s="2108">
        <v>213.82</v>
      </c>
      <c r="BZ145" s="2108">
        <v>215.35</v>
      </c>
      <c r="CA145" s="2108">
        <v>216.21</v>
      </c>
      <c r="CB145" s="2108">
        <v>222.28</v>
      </c>
      <c r="CC145" s="2108">
        <v>222.86</v>
      </c>
      <c r="CD145" s="2108">
        <v>224.29</v>
      </c>
      <c r="CE145" s="2108">
        <v>224.98</v>
      </c>
      <c r="CF145" s="2108">
        <v>226.22</v>
      </c>
      <c r="CG145" s="2108">
        <v>226.28</v>
      </c>
      <c r="CH145" s="2108">
        <v>230.01</v>
      </c>
      <c r="CI145" s="2108">
        <v>230.46</v>
      </c>
      <c r="CJ145" s="2108">
        <v>235.66</v>
      </c>
      <c r="CK145" s="2108">
        <v>236.94</v>
      </c>
      <c r="CL145" s="2108">
        <v>243.88</v>
      </c>
      <c r="CM145" s="2108">
        <v>258.69</v>
      </c>
      <c r="CN145" s="2108">
        <v>264.14</v>
      </c>
      <c r="CO145" s="2108">
        <v>264.69</v>
      </c>
      <c r="CP145" s="2108">
        <v>265.37</v>
      </c>
      <c r="CQ145" s="2108">
        <v>265.57</v>
      </c>
      <c r="CR145" s="2108">
        <v>266.89999999999998</v>
      </c>
      <c r="CS145" s="2108">
        <v>267.55</v>
      </c>
      <c r="CT145" s="2108">
        <v>267.97000000000003</v>
      </c>
      <c r="CU145" s="2108">
        <v>269.63</v>
      </c>
      <c r="CV145" s="2108">
        <v>270.49</v>
      </c>
      <c r="CW145" s="2108">
        <v>270.8</v>
      </c>
      <c r="CX145" s="2108">
        <v>273.39999999999998</v>
      </c>
      <c r="CY145" s="2108">
        <v>273.39</v>
      </c>
      <c r="CZ145" s="2108">
        <v>276.66000000000003</v>
      </c>
      <c r="DA145" s="2108">
        <v>277.75</v>
      </c>
      <c r="DB145" s="2108">
        <v>284.45999999999998</v>
      </c>
      <c r="DC145" s="2108">
        <v>287.85000000000002</v>
      </c>
      <c r="DD145" s="2108">
        <v>287.87</v>
      </c>
      <c r="DE145" s="2108">
        <v>295.19</v>
      </c>
      <c r="DF145" s="2108">
        <v>290.3</v>
      </c>
      <c r="DG145" s="2108">
        <v>294.32</v>
      </c>
      <c r="DH145" s="2108">
        <v>294.36</v>
      </c>
      <c r="DI145" s="2108">
        <v>303.23</v>
      </c>
      <c r="DJ145" s="2108">
        <v>303.26</v>
      </c>
      <c r="DK145" s="2108">
        <v>304.22000000000003</v>
      </c>
      <c r="DL145" s="2108">
        <v>307.42</v>
      </c>
      <c r="DM145" s="2108">
        <v>314.29000000000002</v>
      </c>
      <c r="DN145" s="2108">
        <v>316.73</v>
      </c>
      <c r="DO145" s="2108">
        <v>319.36</v>
      </c>
      <c r="DP145" s="2108">
        <v>325.99</v>
      </c>
      <c r="DQ145" s="2108">
        <v>333.21</v>
      </c>
      <c r="DR145" s="2108">
        <v>331.85</v>
      </c>
      <c r="DS145" s="2108">
        <v>335.12</v>
      </c>
      <c r="DT145" s="2108">
        <v>339.49</v>
      </c>
      <c r="DU145" s="2108">
        <v>346.08</v>
      </c>
      <c r="DV145" s="2108">
        <v>348.39</v>
      </c>
      <c r="DW145" s="2108">
        <v>348.62</v>
      </c>
      <c r="DX145" s="2108">
        <v>344.2</v>
      </c>
      <c r="DY145" s="2108">
        <v>347.72</v>
      </c>
      <c r="DZ145" s="2108">
        <v>349.81</v>
      </c>
      <c r="EA145" s="2108">
        <v>364.41</v>
      </c>
      <c r="EB145" s="2108">
        <v>362.32</v>
      </c>
      <c r="EC145" s="2108">
        <v>368.96</v>
      </c>
      <c r="ED145" s="2108">
        <v>368.72</v>
      </c>
      <c r="EE145" s="2108">
        <v>379.09</v>
      </c>
      <c r="EF145" s="2108">
        <v>380.95</v>
      </c>
      <c r="EG145" s="2108">
        <v>390.31</v>
      </c>
      <c r="EH145" s="2108">
        <v>393.46</v>
      </c>
      <c r="EI145" s="2108">
        <v>403.69</v>
      </c>
      <c r="EJ145" s="2108">
        <v>398.38</v>
      </c>
      <c r="EK145" s="2108">
        <v>398.67</v>
      </c>
      <c r="EL145" s="2108">
        <v>404.47</v>
      </c>
      <c r="EM145" s="2108">
        <v>409.38</v>
      </c>
      <c r="EN145" s="2108">
        <v>409.96</v>
      </c>
      <c r="EO145" s="2108">
        <v>414.87</v>
      </c>
      <c r="EP145" s="2108">
        <v>415.45</v>
      </c>
      <c r="EQ145" s="2108">
        <v>432.45</v>
      </c>
      <c r="ER145" s="2108">
        <v>438.69</v>
      </c>
      <c r="ES145" s="2108">
        <v>451.08</v>
      </c>
      <c r="ET145" s="2108">
        <v>451.15</v>
      </c>
      <c r="EU145" s="2108">
        <v>456.73</v>
      </c>
      <c r="EV145" s="2108">
        <v>458.2</v>
      </c>
      <c r="EW145" s="2108">
        <v>462.75</v>
      </c>
      <c r="EX145" s="2108">
        <v>469.42</v>
      </c>
      <c r="EY145" s="2108">
        <v>475.87</v>
      </c>
      <c r="EZ145" s="2108">
        <v>481.01</v>
      </c>
      <c r="FA145" s="2108">
        <v>492.54</v>
      </c>
      <c r="FB145" s="2108">
        <v>524.64</v>
      </c>
      <c r="FC145" s="2108">
        <v>549.65</v>
      </c>
      <c r="FD145" s="2108">
        <v>551.96</v>
      </c>
      <c r="FE145" s="2108">
        <v>553.6</v>
      </c>
      <c r="FF145" s="2108">
        <v>564.16</v>
      </c>
      <c r="FG145" s="2108">
        <v>568.17999999999995</v>
      </c>
      <c r="FH145" s="2108">
        <v>580.9</v>
      </c>
      <c r="FI145" s="2108">
        <v>589.08000000000004</v>
      </c>
      <c r="FJ145" s="2108">
        <v>618.53</v>
      </c>
      <c r="FK145" s="2108">
        <v>617.07000000000005</v>
      </c>
      <c r="FL145" s="2108">
        <v>617.91</v>
      </c>
      <c r="FM145" s="2108">
        <v>619.57000000000005</v>
      </c>
      <c r="FN145" s="2108">
        <v>627.64</v>
      </c>
      <c r="FO145" s="2108">
        <v>628.80999999999995</v>
      </c>
      <c r="FP145" s="2108">
        <v>643.34</v>
      </c>
      <c r="FQ145" s="2108">
        <v>657.36</v>
      </c>
      <c r="FR145" s="2108">
        <v>661.48</v>
      </c>
      <c r="FS145" s="2108">
        <v>663.74</v>
      </c>
      <c r="FT145" s="2108">
        <v>676.14</v>
      </c>
      <c r="FU145" s="2108">
        <v>678.83</v>
      </c>
      <c r="FV145" s="2108">
        <v>693.07</v>
      </c>
      <c r="FW145" s="2113" t="s">
        <v>521</v>
      </c>
      <c r="FX145" s="2113" t="s">
        <v>521</v>
      </c>
      <c r="FY145" s="2113">
        <v>100</v>
      </c>
      <c r="FZ145" s="2113" t="s">
        <v>521</v>
      </c>
      <c r="GA145" s="2113" t="s">
        <v>521</v>
      </c>
      <c r="GB145" s="2113" t="s">
        <v>521</v>
      </c>
      <c r="GC145" s="2113" t="s">
        <v>521</v>
      </c>
      <c r="GD145" s="2113" t="s">
        <v>521</v>
      </c>
      <c r="GE145" s="2113" t="s">
        <v>521</v>
      </c>
      <c r="GF145" s="2114" t="s">
        <v>521</v>
      </c>
      <c r="GG145" s="1960" t="s">
        <v>521</v>
      </c>
      <c r="GH145" s="2114" t="s">
        <v>521</v>
      </c>
      <c r="GI145" s="2114" t="s">
        <v>521</v>
      </c>
      <c r="GJ145" s="2113" t="s">
        <v>521</v>
      </c>
      <c r="GK145" s="2113" t="s">
        <v>521</v>
      </c>
      <c r="GL145" s="2113" t="s">
        <v>521</v>
      </c>
      <c r="GM145" s="2114" t="s">
        <v>521</v>
      </c>
      <c r="GN145" s="2114" t="s">
        <v>521</v>
      </c>
      <c r="GO145" s="2115" t="s">
        <v>521</v>
      </c>
      <c r="GP145" s="2116" t="s">
        <v>521</v>
      </c>
      <c r="GQ145" s="2116" t="s">
        <v>521</v>
      </c>
      <c r="GR145" s="2116" t="s">
        <v>521</v>
      </c>
      <c r="GS145" s="2116" t="s">
        <v>521</v>
      </c>
      <c r="GT145" s="1960" t="s">
        <v>521</v>
      </c>
      <c r="GU145" s="1960" t="s">
        <v>521</v>
      </c>
      <c r="GV145" s="1960" t="s">
        <v>521</v>
      </c>
      <c r="GW145" s="1960" t="s">
        <v>521</v>
      </c>
      <c r="GX145" s="1960" t="s">
        <v>521</v>
      </c>
      <c r="GY145" s="1960" t="s">
        <v>521</v>
      </c>
      <c r="GZ145" s="1960" t="s">
        <v>521</v>
      </c>
      <c r="HA145" s="1960" t="s">
        <v>521</v>
      </c>
      <c r="HB145" s="1960" t="s">
        <v>521</v>
      </c>
      <c r="HC145" s="1960" t="s">
        <v>521</v>
      </c>
      <c r="HD145" s="1960" t="s">
        <v>521</v>
      </c>
      <c r="HE145" s="1960" t="s">
        <v>521</v>
      </c>
      <c r="HF145" s="1960" t="s">
        <v>521</v>
      </c>
      <c r="HG145" s="1960" t="s">
        <v>521</v>
      </c>
      <c r="HH145" s="2117" t="s">
        <v>521</v>
      </c>
      <c r="HI145" s="1960" t="s">
        <v>521</v>
      </c>
      <c r="HJ145" s="1960" t="s">
        <v>521</v>
      </c>
      <c r="HK145" s="1960" t="s">
        <v>521</v>
      </c>
      <c r="HL145" s="1960" t="s">
        <v>521</v>
      </c>
      <c r="HM145" s="1960" t="s">
        <v>521</v>
      </c>
      <c r="HN145" s="1960" t="s">
        <v>521</v>
      </c>
      <c r="HO145" s="1960" t="s">
        <v>521</v>
      </c>
      <c r="HP145" s="1960" t="s">
        <v>521</v>
      </c>
      <c r="HQ145" s="1960" t="s">
        <v>521</v>
      </c>
      <c r="HR145" s="1960" t="s">
        <v>521</v>
      </c>
      <c r="HS145" s="1960" t="s">
        <v>521</v>
      </c>
      <c r="HT145" s="1962" t="s">
        <v>521</v>
      </c>
      <c r="HU145" s="1961" t="s">
        <v>521</v>
      </c>
      <c r="HV145" s="1960" t="s">
        <v>521</v>
      </c>
      <c r="HW145" s="1960" t="s">
        <v>521</v>
      </c>
      <c r="HX145" s="1960" t="s">
        <v>521</v>
      </c>
      <c r="HY145" s="1960" t="s">
        <v>521</v>
      </c>
      <c r="HZ145" s="1960" t="s">
        <v>521</v>
      </c>
      <c r="IA145" s="1960" t="s">
        <v>521</v>
      </c>
      <c r="IB145" s="1960" t="s">
        <v>521</v>
      </c>
      <c r="IC145" s="1960" t="s">
        <v>521</v>
      </c>
      <c r="ID145" s="1960" t="s">
        <v>521</v>
      </c>
      <c r="IE145" s="1960" t="s">
        <v>521</v>
      </c>
      <c r="IF145" s="1960" t="s">
        <v>521</v>
      </c>
      <c r="IG145" s="1961" t="s">
        <v>521</v>
      </c>
      <c r="IH145" s="1960" t="s">
        <v>521</v>
      </c>
      <c r="II145" s="1960" t="s">
        <v>521</v>
      </c>
      <c r="IJ145" s="1961" t="s">
        <v>521</v>
      </c>
      <c r="IK145" s="1960" t="s">
        <v>521</v>
      </c>
      <c r="IL145" s="1960" t="s">
        <v>521</v>
      </c>
      <c r="IM145" s="1960" t="s">
        <v>521</v>
      </c>
      <c r="IN145" s="1960" t="s">
        <v>521</v>
      </c>
      <c r="IO145" s="1960" t="s">
        <v>521</v>
      </c>
      <c r="IP145" s="1960" t="s">
        <v>521</v>
      </c>
      <c r="IQ145" s="1960" t="s">
        <v>521</v>
      </c>
      <c r="IR145" s="1960" t="s">
        <v>521</v>
      </c>
      <c r="IS145" s="2274" t="s">
        <v>521</v>
      </c>
      <c r="IT145" s="1960" t="s">
        <v>521</v>
      </c>
      <c r="IU145" s="1960" t="s">
        <v>521</v>
      </c>
      <c r="IV145" s="1960" t="s">
        <v>521</v>
      </c>
      <c r="IW145" s="1960">
        <v>0</v>
      </c>
      <c r="IX145" s="1960">
        <v>0</v>
      </c>
      <c r="IY145" s="1960">
        <v>0</v>
      </c>
      <c r="IZ145" s="1960">
        <v>0</v>
      </c>
      <c r="JA145" s="1960">
        <v>0</v>
      </c>
      <c r="JB145" s="1960">
        <v>0</v>
      </c>
      <c r="JC145" s="1960">
        <v>0</v>
      </c>
      <c r="JD145" s="1960">
        <v>0</v>
      </c>
      <c r="JE145" s="2274">
        <v>0</v>
      </c>
      <c r="JF145" s="2117">
        <v>0</v>
      </c>
      <c r="JG145" s="2103" t="e">
        <f t="shared" si="14"/>
        <v>#DIV/0!</v>
      </c>
      <c r="JI145" s="2155"/>
      <c r="JJ145" s="2104"/>
    </row>
    <row r="146" spans="2:270" ht="29.45" hidden="1" customHeight="1">
      <c r="B146" s="2105">
        <v>130</v>
      </c>
      <c r="C146" s="2106">
        <v>33</v>
      </c>
      <c r="D146" s="2425">
        <v>0</v>
      </c>
      <c r="E146" s="2128" t="s">
        <v>325</v>
      </c>
      <c r="F146" s="2106"/>
      <c r="G146" s="2425"/>
      <c r="H146" s="2425" t="s">
        <v>404</v>
      </c>
      <c r="I146" s="2106"/>
      <c r="J146" s="2359" t="s">
        <v>326</v>
      </c>
      <c r="K146" s="2425" t="s">
        <v>327</v>
      </c>
      <c r="L146" s="2110"/>
      <c r="M146" s="2110"/>
      <c r="N146" s="2110"/>
      <c r="O146" s="2110"/>
      <c r="P146" s="2110"/>
      <c r="Q146" s="2110"/>
      <c r="R146" s="2110"/>
      <c r="S146" s="2110"/>
      <c r="T146" s="2110"/>
      <c r="U146" s="2110"/>
      <c r="V146" s="2110"/>
      <c r="W146" s="2110"/>
      <c r="X146" s="2110"/>
      <c r="Y146" s="2110">
        <v>150.91999999999999</v>
      </c>
      <c r="Z146" s="2110">
        <v>151.65</v>
      </c>
      <c r="AA146" s="2110">
        <v>151.31</v>
      </c>
      <c r="AB146" s="2110">
        <v>150.82</v>
      </c>
      <c r="AC146" s="2110">
        <v>150.56</v>
      </c>
      <c r="AD146" s="2110">
        <v>150.34</v>
      </c>
      <c r="AE146" s="2110">
        <v>149.69999999999999</v>
      </c>
      <c r="AF146" s="2110">
        <v>151.1</v>
      </c>
      <c r="AG146" s="2110">
        <v>151</v>
      </c>
      <c r="AH146" s="2110">
        <v>151.02000000000001</v>
      </c>
      <c r="AI146" s="2110">
        <v>151.07</v>
      </c>
      <c r="AJ146" s="2110">
        <v>151.25</v>
      </c>
      <c r="AK146" s="2110">
        <v>151.29</v>
      </c>
      <c r="AL146" s="2110">
        <v>152.38999999999999</v>
      </c>
      <c r="AM146" s="2110">
        <v>152.93</v>
      </c>
      <c r="AN146" s="2110">
        <v>153.76</v>
      </c>
      <c r="AO146" s="2110">
        <v>153.94</v>
      </c>
      <c r="AP146" s="2110">
        <v>153.91</v>
      </c>
      <c r="AQ146" s="2110">
        <v>154.16999999999999</v>
      </c>
      <c r="AR146" s="2110">
        <v>154.72999999999999</v>
      </c>
      <c r="AS146" s="2110">
        <v>152.79</v>
      </c>
      <c r="AT146" s="2110">
        <v>152.21</v>
      </c>
      <c r="AU146" s="2110">
        <v>152.96</v>
      </c>
      <c r="AV146" s="2110">
        <v>152.99</v>
      </c>
      <c r="AW146" s="2111">
        <v>154.15</v>
      </c>
      <c r="AX146" s="2111">
        <v>154.13999999999999</v>
      </c>
      <c r="AY146" s="2111">
        <v>154.47</v>
      </c>
      <c r="AZ146" s="2111">
        <v>154.5</v>
      </c>
      <c r="BA146" s="2111">
        <v>155.05000000000001</v>
      </c>
      <c r="BB146" s="2111">
        <v>155.24</v>
      </c>
      <c r="BC146" s="2111">
        <v>158.37</v>
      </c>
      <c r="BD146" s="2112">
        <v>158.57</v>
      </c>
      <c r="BE146" s="2111">
        <v>158.94</v>
      </c>
      <c r="BF146" s="2112">
        <v>159.22999999999999</v>
      </c>
      <c r="BG146" s="2112">
        <v>159.16</v>
      </c>
      <c r="BH146" s="2112">
        <v>159.63999999999999</v>
      </c>
      <c r="BI146" s="2108">
        <v>159.96</v>
      </c>
      <c r="BJ146" s="2108">
        <v>160.49</v>
      </c>
      <c r="BK146" s="2108">
        <v>162.32</v>
      </c>
      <c r="BL146" s="2108">
        <v>163.29</v>
      </c>
      <c r="BM146" s="2108">
        <v>166.17</v>
      </c>
      <c r="BN146" s="2108">
        <v>166.71</v>
      </c>
      <c r="BO146" s="2108">
        <v>166.8</v>
      </c>
      <c r="BP146" s="2108">
        <v>167</v>
      </c>
      <c r="BQ146" s="2108">
        <v>166.88</v>
      </c>
      <c r="BR146" s="2108">
        <v>167.44</v>
      </c>
      <c r="BS146" s="2108">
        <v>167.56</v>
      </c>
      <c r="BT146" s="2108">
        <v>167.26</v>
      </c>
      <c r="BU146" s="2108">
        <v>167.92</v>
      </c>
      <c r="BV146" s="2108">
        <v>167.22</v>
      </c>
      <c r="BW146" s="2108">
        <v>168.46</v>
      </c>
      <c r="BX146" s="2108">
        <v>173.26</v>
      </c>
      <c r="BY146" s="2108">
        <v>177.77</v>
      </c>
      <c r="BZ146" s="2108">
        <v>178.55</v>
      </c>
      <c r="CA146" s="2108">
        <v>179</v>
      </c>
      <c r="CB146" s="2108">
        <v>184.9</v>
      </c>
      <c r="CC146" s="2108">
        <v>187.38</v>
      </c>
      <c r="CD146" s="2108">
        <v>189.45</v>
      </c>
      <c r="CE146" s="2108">
        <v>189.61</v>
      </c>
      <c r="CF146" s="2108">
        <v>190.6</v>
      </c>
      <c r="CG146" s="2108">
        <v>191.63</v>
      </c>
      <c r="CH146" s="2108">
        <v>193.03</v>
      </c>
      <c r="CI146" s="2108">
        <v>196.94</v>
      </c>
      <c r="CJ146" s="2108">
        <v>199.73</v>
      </c>
      <c r="CK146" s="2108">
        <v>200.9</v>
      </c>
      <c r="CL146" s="2108">
        <v>204.83</v>
      </c>
      <c r="CM146" s="2108">
        <v>212.32</v>
      </c>
      <c r="CN146" s="2108">
        <v>215.18</v>
      </c>
      <c r="CO146" s="2108">
        <v>217.95</v>
      </c>
      <c r="CP146" s="2108">
        <v>219.35</v>
      </c>
      <c r="CQ146" s="2108">
        <v>219.89</v>
      </c>
      <c r="CR146" s="2108">
        <v>224.11</v>
      </c>
      <c r="CS146" s="2108">
        <v>224.45</v>
      </c>
      <c r="CT146" s="2108">
        <v>226.92</v>
      </c>
      <c r="CU146" s="2108">
        <v>228.06</v>
      </c>
      <c r="CV146" s="2108">
        <v>230.07</v>
      </c>
      <c r="CW146" s="2108">
        <v>230.45</v>
      </c>
      <c r="CX146" s="2108">
        <v>232.42</v>
      </c>
      <c r="CY146" s="2108">
        <v>232.19</v>
      </c>
      <c r="CZ146" s="2108">
        <v>234.5</v>
      </c>
      <c r="DA146" s="2108">
        <v>236.21</v>
      </c>
      <c r="DB146" s="2108">
        <v>239.89</v>
      </c>
      <c r="DC146" s="2108">
        <v>242.01</v>
      </c>
      <c r="DD146" s="2108">
        <v>242.56</v>
      </c>
      <c r="DE146" s="2108">
        <v>247.55</v>
      </c>
      <c r="DF146" s="2108">
        <v>245.08</v>
      </c>
      <c r="DG146" s="2108">
        <v>249.13</v>
      </c>
      <c r="DH146" s="2108">
        <v>249.2</v>
      </c>
      <c r="DI146" s="2108">
        <v>253.4</v>
      </c>
      <c r="DJ146" s="2108">
        <v>253.45</v>
      </c>
      <c r="DK146" s="2108">
        <v>254.51</v>
      </c>
      <c r="DL146" s="2108">
        <v>256.37</v>
      </c>
      <c r="DM146" s="2108">
        <v>259.33</v>
      </c>
      <c r="DN146" s="2108">
        <v>262.27</v>
      </c>
      <c r="DO146" s="2108">
        <v>264.25</v>
      </c>
      <c r="DP146" s="2108">
        <v>267.58999999999997</v>
      </c>
      <c r="DQ146" s="2108">
        <v>271.33999999999997</v>
      </c>
      <c r="DR146" s="2108">
        <v>270.51</v>
      </c>
      <c r="DS146" s="2108">
        <v>272.5</v>
      </c>
      <c r="DT146" s="2108">
        <v>274.31</v>
      </c>
      <c r="DU146" s="2108">
        <v>279.11</v>
      </c>
      <c r="DV146" s="2108">
        <v>283.10000000000002</v>
      </c>
      <c r="DW146" s="2108">
        <v>285.75</v>
      </c>
      <c r="DX146" s="2108">
        <v>284.11</v>
      </c>
      <c r="DY146" s="2108">
        <v>286.16000000000003</v>
      </c>
      <c r="DZ146" s="2108">
        <v>287.73</v>
      </c>
      <c r="EA146" s="2108">
        <v>295.58999999999997</v>
      </c>
      <c r="EB146" s="2108">
        <v>294.66000000000003</v>
      </c>
      <c r="EC146" s="2108">
        <v>298.74</v>
      </c>
      <c r="ED146" s="2108">
        <v>299.88</v>
      </c>
      <c r="EE146" s="2108">
        <v>305.2</v>
      </c>
      <c r="EF146" s="2108">
        <v>306.64999999999998</v>
      </c>
      <c r="EG146" s="2108">
        <v>322.68</v>
      </c>
      <c r="EH146" s="2108">
        <v>325.26</v>
      </c>
      <c r="EI146" s="2108">
        <v>333.06</v>
      </c>
      <c r="EJ146" s="2108">
        <v>330.33</v>
      </c>
      <c r="EK146" s="2108">
        <v>330.31</v>
      </c>
      <c r="EL146" s="2108">
        <v>336.83</v>
      </c>
      <c r="EM146" s="2108">
        <v>339.14</v>
      </c>
      <c r="EN146" s="2108">
        <v>343.75</v>
      </c>
      <c r="EO146" s="2108">
        <v>346.63</v>
      </c>
      <c r="EP146" s="2108">
        <v>347.15</v>
      </c>
      <c r="EQ146" s="2108">
        <v>355.92</v>
      </c>
      <c r="ER146" s="2108">
        <v>359.7</v>
      </c>
      <c r="ES146" s="2108">
        <v>368.48</v>
      </c>
      <c r="ET146" s="2108">
        <v>368.74</v>
      </c>
      <c r="EU146" s="2108">
        <v>373.89</v>
      </c>
      <c r="EV146" s="2108">
        <v>378.24</v>
      </c>
      <c r="EW146" s="2108">
        <v>380.04</v>
      </c>
      <c r="EX146" s="2108">
        <v>385.87</v>
      </c>
      <c r="EY146" s="2108">
        <v>386.3</v>
      </c>
      <c r="EZ146" s="2108">
        <v>391.99</v>
      </c>
      <c r="FA146" s="2108">
        <v>398.17</v>
      </c>
      <c r="FB146" s="2108">
        <v>419.76</v>
      </c>
      <c r="FC146" s="2108">
        <v>436.63</v>
      </c>
      <c r="FD146" s="2108">
        <v>438.48</v>
      </c>
      <c r="FE146" s="2108">
        <v>439.36</v>
      </c>
      <c r="FF146" s="2108">
        <v>447.49</v>
      </c>
      <c r="FG146" s="2108">
        <v>463.71</v>
      </c>
      <c r="FH146" s="2108">
        <v>471.12</v>
      </c>
      <c r="FI146" s="2108">
        <v>475.92</v>
      </c>
      <c r="FJ146" s="2108">
        <v>492.04</v>
      </c>
      <c r="FK146" s="2108">
        <v>491.14</v>
      </c>
      <c r="FL146" s="2108">
        <v>492.09</v>
      </c>
      <c r="FM146" s="2108">
        <v>494.89</v>
      </c>
      <c r="FN146" s="2108">
        <v>505.27</v>
      </c>
      <c r="FO146" s="2108">
        <v>506.24</v>
      </c>
      <c r="FP146" s="2108">
        <v>512.88</v>
      </c>
      <c r="FQ146" s="2108">
        <v>521.58000000000004</v>
      </c>
      <c r="FR146" s="2108">
        <v>525.65</v>
      </c>
      <c r="FS146" s="2108">
        <v>528.45000000000005</v>
      </c>
      <c r="FT146" s="2108">
        <v>535.49</v>
      </c>
      <c r="FU146" s="2108">
        <v>542.04999999999995</v>
      </c>
      <c r="FV146" s="2108">
        <v>553.07000000000005</v>
      </c>
      <c r="FW146" s="2113" t="s">
        <v>521</v>
      </c>
      <c r="FX146" s="2113" t="s">
        <v>521</v>
      </c>
      <c r="FY146" s="2113">
        <v>100</v>
      </c>
      <c r="FZ146" s="2113" t="s">
        <v>521</v>
      </c>
      <c r="GA146" s="2113" t="s">
        <v>521</v>
      </c>
      <c r="GB146" s="2113" t="s">
        <v>521</v>
      </c>
      <c r="GC146" s="2113" t="s">
        <v>521</v>
      </c>
      <c r="GD146" s="2113" t="s">
        <v>521</v>
      </c>
      <c r="GE146" s="2113" t="s">
        <v>521</v>
      </c>
      <c r="GF146" s="2114" t="s">
        <v>521</v>
      </c>
      <c r="GG146" s="1960" t="s">
        <v>521</v>
      </c>
      <c r="GH146" s="2114" t="s">
        <v>521</v>
      </c>
      <c r="GI146" s="2114" t="s">
        <v>521</v>
      </c>
      <c r="GJ146" s="2113" t="s">
        <v>521</v>
      </c>
      <c r="GK146" s="2113" t="s">
        <v>521</v>
      </c>
      <c r="GL146" s="2113" t="s">
        <v>521</v>
      </c>
      <c r="GM146" s="2114" t="s">
        <v>521</v>
      </c>
      <c r="GN146" s="2114" t="s">
        <v>521</v>
      </c>
      <c r="GO146" s="2115" t="s">
        <v>521</v>
      </c>
      <c r="GP146" s="2116" t="s">
        <v>521</v>
      </c>
      <c r="GQ146" s="2116" t="s">
        <v>521</v>
      </c>
      <c r="GR146" s="2116" t="s">
        <v>521</v>
      </c>
      <c r="GS146" s="2116" t="s">
        <v>521</v>
      </c>
      <c r="GT146" s="1960" t="s">
        <v>521</v>
      </c>
      <c r="GU146" s="1960" t="s">
        <v>521</v>
      </c>
      <c r="GV146" s="1960" t="s">
        <v>521</v>
      </c>
      <c r="GW146" s="1960" t="s">
        <v>521</v>
      </c>
      <c r="GX146" s="1960" t="s">
        <v>521</v>
      </c>
      <c r="GY146" s="1960" t="s">
        <v>521</v>
      </c>
      <c r="GZ146" s="1960" t="s">
        <v>521</v>
      </c>
      <c r="HA146" s="1960" t="s">
        <v>521</v>
      </c>
      <c r="HB146" s="1960" t="s">
        <v>521</v>
      </c>
      <c r="HC146" s="1960" t="s">
        <v>521</v>
      </c>
      <c r="HD146" s="1960" t="s">
        <v>521</v>
      </c>
      <c r="HE146" s="1960" t="s">
        <v>521</v>
      </c>
      <c r="HF146" s="1960" t="s">
        <v>521</v>
      </c>
      <c r="HG146" s="1960" t="s">
        <v>521</v>
      </c>
      <c r="HH146" s="2117" t="s">
        <v>521</v>
      </c>
      <c r="HI146" s="1960" t="s">
        <v>521</v>
      </c>
      <c r="HJ146" s="1960" t="s">
        <v>521</v>
      </c>
      <c r="HK146" s="1960" t="s">
        <v>521</v>
      </c>
      <c r="HL146" s="1960" t="s">
        <v>521</v>
      </c>
      <c r="HM146" s="1960" t="s">
        <v>521</v>
      </c>
      <c r="HN146" s="1960" t="s">
        <v>521</v>
      </c>
      <c r="HO146" s="1960" t="s">
        <v>521</v>
      </c>
      <c r="HP146" s="1960" t="s">
        <v>521</v>
      </c>
      <c r="HQ146" s="1960" t="s">
        <v>521</v>
      </c>
      <c r="HR146" s="1960" t="s">
        <v>521</v>
      </c>
      <c r="HS146" s="1960" t="s">
        <v>521</v>
      </c>
      <c r="HT146" s="1962" t="s">
        <v>521</v>
      </c>
      <c r="HU146" s="1961" t="s">
        <v>521</v>
      </c>
      <c r="HV146" s="1960" t="s">
        <v>521</v>
      </c>
      <c r="HW146" s="1960" t="s">
        <v>521</v>
      </c>
      <c r="HX146" s="1960" t="s">
        <v>521</v>
      </c>
      <c r="HY146" s="1960" t="s">
        <v>521</v>
      </c>
      <c r="HZ146" s="1960" t="s">
        <v>521</v>
      </c>
      <c r="IA146" s="1960" t="s">
        <v>521</v>
      </c>
      <c r="IB146" s="1960" t="s">
        <v>521</v>
      </c>
      <c r="IC146" s="1960" t="s">
        <v>521</v>
      </c>
      <c r="ID146" s="1960" t="s">
        <v>521</v>
      </c>
      <c r="IE146" s="1960" t="s">
        <v>521</v>
      </c>
      <c r="IF146" s="1960" t="s">
        <v>521</v>
      </c>
      <c r="IG146" s="1961" t="s">
        <v>521</v>
      </c>
      <c r="IH146" s="1960" t="s">
        <v>521</v>
      </c>
      <c r="II146" s="1960" t="s">
        <v>521</v>
      </c>
      <c r="IJ146" s="1961" t="s">
        <v>521</v>
      </c>
      <c r="IK146" s="1960" t="s">
        <v>521</v>
      </c>
      <c r="IL146" s="1960" t="s">
        <v>521</v>
      </c>
      <c r="IM146" s="1960" t="s">
        <v>521</v>
      </c>
      <c r="IN146" s="1960" t="s">
        <v>521</v>
      </c>
      <c r="IO146" s="1960" t="s">
        <v>521</v>
      </c>
      <c r="IP146" s="1960" t="s">
        <v>521</v>
      </c>
      <c r="IQ146" s="1960" t="s">
        <v>521</v>
      </c>
      <c r="IR146" s="1960" t="s">
        <v>521</v>
      </c>
      <c r="IS146" s="2274" t="s">
        <v>521</v>
      </c>
      <c r="IT146" s="1960" t="s">
        <v>521</v>
      </c>
      <c r="IU146" s="1960" t="s">
        <v>521</v>
      </c>
      <c r="IV146" s="1960" t="s">
        <v>521</v>
      </c>
      <c r="IW146" s="1960">
        <v>0</v>
      </c>
      <c r="IX146" s="1960">
        <v>0</v>
      </c>
      <c r="IY146" s="1960">
        <v>0</v>
      </c>
      <c r="IZ146" s="1960">
        <v>0</v>
      </c>
      <c r="JA146" s="1960">
        <v>0</v>
      </c>
      <c r="JB146" s="1960">
        <v>0</v>
      </c>
      <c r="JC146" s="1960">
        <v>0</v>
      </c>
      <c r="JD146" s="1960">
        <v>0</v>
      </c>
      <c r="JE146" s="2274">
        <v>0</v>
      </c>
      <c r="JF146" s="2117">
        <v>0</v>
      </c>
      <c r="JG146" s="2103" t="e">
        <f t="shared" si="14"/>
        <v>#DIV/0!</v>
      </c>
      <c r="JI146" s="2155"/>
      <c r="JJ146" s="2104"/>
    </row>
    <row r="147" spans="2:270" hidden="1">
      <c r="B147" s="2105"/>
      <c r="C147" s="2106"/>
      <c r="D147" s="2425"/>
      <c r="E147" s="2128"/>
      <c r="F147" s="2106"/>
      <c r="G147" s="2106"/>
      <c r="H147" s="2106"/>
      <c r="I147" s="2106"/>
      <c r="J147" s="2359"/>
      <c r="K147" s="2425"/>
      <c r="L147" s="2110"/>
      <c r="M147" s="2110"/>
      <c r="N147" s="2110"/>
      <c r="O147" s="2110"/>
      <c r="P147" s="2110"/>
      <c r="Q147" s="2110"/>
      <c r="R147" s="2110"/>
      <c r="S147" s="2110"/>
      <c r="T147" s="2110"/>
      <c r="U147" s="2110"/>
      <c r="V147" s="2110"/>
      <c r="W147" s="2110"/>
      <c r="X147" s="2110"/>
      <c r="Y147" s="2110"/>
      <c r="Z147" s="2110"/>
      <c r="AA147" s="2110"/>
      <c r="AB147" s="2110"/>
      <c r="AC147" s="2110"/>
      <c r="AD147" s="2110"/>
      <c r="AE147" s="2110"/>
      <c r="AF147" s="2110"/>
      <c r="AG147" s="2110"/>
      <c r="AH147" s="2110"/>
      <c r="AI147" s="2110"/>
      <c r="AJ147" s="2110"/>
      <c r="AK147" s="2110"/>
      <c r="AL147" s="2110"/>
      <c r="AM147" s="2110"/>
      <c r="AN147" s="2110"/>
      <c r="AO147" s="2110"/>
      <c r="AP147" s="2110"/>
      <c r="AQ147" s="2110"/>
      <c r="AR147" s="2110"/>
      <c r="AS147" s="2110"/>
      <c r="AT147" s="2110"/>
      <c r="AU147" s="2110"/>
      <c r="AV147" s="2110"/>
      <c r="AW147" s="2111"/>
      <c r="AX147" s="2111"/>
      <c r="AY147" s="2111"/>
      <c r="AZ147" s="2111"/>
      <c r="BA147" s="2111"/>
      <c r="BB147" s="2111"/>
      <c r="BC147" s="2111"/>
      <c r="BD147" s="2112"/>
      <c r="BE147" s="2111"/>
      <c r="BF147" s="2112"/>
      <c r="BG147" s="2112"/>
      <c r="BH147" s="2112"/>
      <c r="BI147" s="2108"/>
      <c r="BJ147" s="2108"/>
      <c r="BK147" s="2108"/>
      <c r="BL147" s="2108"/>
      <c r="BM147" s="2108"/>
      <c r="BN147" s="2108"/>
      <c r="BO147" s="2108"/>
      <c r="BP147" s="2108"/>
      <c r="BQ147" s="2108"/>
      <c r="BR147" s="2108"/>
      <c r="BS147" s="2108"/>
      <c r="BT147" s="2108"/>
      <c r="BU147" s="2108"/>
      <c r="BV147" s="2108"/>
      <c r="BW147" s="2108"/>
      <c r="BX147" s="2108"/>
      <c r="BY147" s="2108"/>
      <c r="BZ147" s="2108"/>
      <c r="CA147" s="2108"/>
      <c r="CB147" s="2108"/>
      <c r="CC147" s="2108"/>
      <c r="CD147" s="2108"/>
      <c r="CE147" s="2108"/>
      <c r="CF147" s="2108"/>
      <c r="CG147" s="2108"/>
      <c r="CH147" s="2108"/>
      <c r="CI147" s="2108"/>
      <c r="CJ147" s="2108"/>
      <c r="CK147" s="2108"/>
      <c r="CL147" s="2108"/>
      <c r="CM147" s="2108"/>
      <c r="CN147" s="2108"/>
      <c r="CO147" s="2108"/>
      <c r="CP147" s="2108"/>
      <c r="CQ147" s="2108"/>
      <c r="CR147" s="2108"/>
      <c r="CS147" s="2108"/>
      <c r="CT147" s="2108"/>
      <c r="CU147" s="2108"/>
      <c r="CV147" s="2108"/>
      <c r="CW147" s="2108"/>
      <c r="CX147" s="2108"/>
      <c r="CY147" s="2108"/>
      <c r="CZ147" s="2108"/>
      <c r="DA147" s="2108"/>
      <c r="DB147" s="2108"/>
      <c r="DC147" s="2108"/>
      <c r="DD147" s="2108"/>
      <c r="DE147" s="2108"/>
      <c r="DF147" s="2108"/>
      <c r="DG147" s="2108"/>
      <c r="DH147" s="2108"/>
      <c r="DI147" s="2108"/>
      <c r="DJ147" s="2108"/>
      <c r="DK147" s="2108"/>
      <c r="DL147" s="2108"/>
      <c r="DM147" s="2108"/>
      <c r="DN147" s="2108"/>
      <c r="DO147" s="2108"/>
      <c r="DP147" s="2108"/>
      <c r="DQ147" s="2108"/>
      <c r="DR147" s="2108"/>
      <c r="DS147" s="2108"/>
      <c r="DT147" s="2108"/>
      <c r="DU147" s="2108"/>
      <c r="DV147" s="2108"/>
      <c r="DW147" s="2108"/>
      <c r="DX147" s="2108"/>
      <c r="DY147" s="2108"/>
      <c r="DZ147" s="2108"/>
      <c r="EA147" s="2108"/>
      <c r="EB147" s="2108"/>
      <c r="EC147" s="2108"/>
      <c r="ED147" s="2108"/>
      <c r="EE147" s="2108"/>
      <c r="EF147" s="2108"/>
      <c r="EG147" s="2108"/>
      <c r="EH147" s="2108"/>
      <c r="EI147" s="2108"/>
      <c r="EJ147" s="2108"/>
      <c r="EK147" s="2108"/>
      <c r="EL147" s="2108"/>
      <c r="EM147" s="2108"/>
      <c r="EN147" s="2108"/>
      <c r="EO147" s="2108"/>
      <c r="EP147" s="2108"/>
      <c r="EQ147" s="2108"/>
      <c r="ER147" s="2108"/>
      <c r="ES147" s="2108"/>
      <c r="ET147" s="2108"/>
      <c r="EU147" s="2108"/>
      <c r="EV147" s="2108"/>
      <c r="EW147" s="2108"/>
      <c r="EX147" s="2108"/>
      <c r="EY147" s="2108"/>
      <c r="EZ147" s="2108"/>
      <c r="FA147" s="2108"/>
      <c r="FB147" s="2108"/>
      <c r="FC147" s="2108"/>
      <c r="FD147" s="2108"/>
      <c r="FE147" s="2108"/>
      <c r="FF147" s="2108"/>
      <c r="FG147" s="2108"/>
      <c r="FH147" s="2108"/>
      <c r="FI147" s="2108"/>
      <c r="FJ147" s="2108"/>
      <c r="FK147" s="2108"/>
      <c r="FL147" s="2108"/>
      <c r="FM147" s="2108"/>
      <c r="FN147" s="2108"/>
      <c r="FO147" s="2108"/>
      <c r="FP147" s="2108"/>
      <c r="FQ147" s="2108"/>
      <c r="FR147" s="2108"/>
      <c r="FS147" s="2108"/>
      <c r="FT147" s="2108"/>
      <c r="FU147" s="2108"/>
      <c r="FV147" s="2108"/>
      <c r="FW147" s="2113"/>
      <c r="FX147" s="2113"/>
      <c r="FY147" s="2113">
        <v>100</v>
      </c>
      <c r="FZ147" s="2113"/>
      <c r="GA147" s="2113"/>
      <c r="GB147" s="2113"/>
      <c r="GC147" s="2113"/>
      <c r="GD147" s="2113"/>
      <c r="GE147" s="2113"/>
      <c r="GF147" s="2114"/>
      <c r="GG147" s="1960"/>
      <c r="GH147" s="2114"/>
      <c r="GI147" s="2114" t="s">
        <v>481</v>
      </c>
      <c r="GJ147" s="2113"/>
      <c r="GK147" s="2113"/>
      <c r="GL147" s="2113"/>
      <c r="GM147" s="2114"/>
      <c r="GN147" s="2114"/>
      <c r="GO147" s="2115"/>
      <c r="GP147" s="2116"/>
      <c r="GQ147" s="2116"/>
      <c r="GR147" s="2116"/>
      <c r="GS147" s="2116"/>
      <c r="GT147" s="1960"/>
      <c r="GU147" s="1960"/>
      <c r="GV147" s="1960"/>
      <c r="GW147" s="1960"/>
      <c r="GX147" s="1960"/>
      <c r="GY147" s="1960"/>
      <c r="GZ147" s="1960"/>
      <c r="HA147" s="1960"/>
      <c r="HB147" s="1960"/>
      <c r="HC147" s="1960"/>
      <c r="HD147" s="1960"/>
      <c r="HE147" s="1960"/>
      <c r="HF147" s="1960"/>
      <c r="HG147" s="1960"/>
      <c r="HH147" s="2117"/>
      <c r="HI147" s="1960"/>
      <c r="HJ147" s="1960"/>
      <c r="HK147" s="1960"/>
      <c r="HL147" s="1960"/>
      <c r="HM147" s="1960"/>
      <c r="HN147" s="1960"/>
      <c r="HO147" s="1960"/>
      <c r="HP147" s="1960"/>
      <c r="HQ147" s="1960"/>
      <c r="HR147" s="1960"/>
      <c r="HS147" s="1960"/>
      <c r="HT147" s="1962"/>
      <c r="HU147" s="1961"/>
      <c r="HV147" s="1960"/>
      <c r="HW147" s="1960"/>
      <c r="HX147" s="1960"/>
      <c r="HY147" s="1960"/>
      <c r="HZ147" s="1960"/>
      <c r="IA147" s="1960"/>
      <c r="IB147" s="1960"/>
      <c r="IC147" s="1960"/>
      <c r="ID147" s="1960"/>
      <c r="IE147" s="1960"/>
      <c r="IF147" s="1960"/>
      <c r="IG147" s="1961"/>
      <c r="IH147" s="1960"/>
      <c r="II147" s="1960"/>
      <c r="IJ147" s="1961"/>
      <c r="IK147" s="1960"/>
      <c r="IL147" s="1960"/>
      <c r="IM147" s="1960"/>
      <c r="IN147" s="1960"/>
      <c r="IO147" s="1960"/>
      <c r="IP147" s="1960"/>
      <c r="IQ147" s="1960"/>
      <c r="IR147" s="1960"/>
      <c r="IS147" s="2274"/>
      <c r="IT147" s="1960"/>
      <c r="IU147" s="1960"/>
      <c r="IV147" s="1960"/>
      <c r="IW147" s="1960" t="e">
        <v>#N/A</v>
      </c>
      <c r="IX147" s="1960" t="e">
        <v>#N/A</v>
      </c>
      <c r="IY147" s="1960" t="e">
        <v>#N/A</v>
      </c>
      <c r="IZ147" s="1960" t="e">
        <v>#N/A</v>
      </c>
      <c r="JA147" s="1960" t="e">
        <v>#N/A</v>
      </c>
      <c r="JB147" s="1960" t="e">
        <v>#N/A</v>
      </c>
      <c r="JC147" s="1960" t="e">
        <v>#N/A</v>
      </c>
      <c r="JD147" s="1960" t="e">
        <v>#N/A</v>
      </c>
      <c r="JE147" s="2274" t="e">
        <v>#N/A</v>
      </c>
      <c r="JF147" s="2117" t="e">
        <v>#N/A</v>
      </c>
      <c r="JG147" s="2103" t="e">
        <f t="shared" si="14"/>
        <v>#N/A</v>
      </c>
      <c r="JI147" s="2155"/>
      <c r="JJ147" s="2104"/>
    </row>
    <row r="148" spans="2:270" ht="32.25" thickBot="1">
      <c r="B148" s="2167">
        <v>131</v>
      </c>
      <c r="C148" s="2168"/>
      <c r="D148" s="2427">
        <v>0</v>
      </c>
      <c r="E148" s="2169" t="s">
        <v>328</v>
      </c>
      <c r="F148" s="2168"/>
      <c r="G148" s="2427" t="s">
        <v>1342</v>
      </c>
      <c r="H148" s="2168" t="s">
        <v>900</v>
      </c>
      <c r="I148" s="2168"/>
      <c r="J148" s="2170" t="s">
        <v>430</v>
      </c>
      <c r="K148" s="2564" t="s">
        <v>1144</v>
      </c>
      <c r="L148" s="2409">
        <v>100</v>
      </c>
      <c r="M148" s="2409">
        <v>104.37057546329473</v>
      </c>
      <c r="N148" s="2409">
        <v>106.62529245673582</v>
      </c>
      <c r="O148" s="2409">
        <v>110.80928041801189</v>
      </c>
      <c r="P148" s="2409">
        <v>148.52108926290339</v>
      </c>
      <c r="Q148" s="2409">
        <v>176.74287182652893</v>
      </c>
      <c r="R148" s="2409">
        <v>203.76250318085769</v>
      </c>
      <c r="S148" s="2409">
        <v>214.86549871576145</v>
      </c>
      <c r="T148" s="2409">
        <v>219.03486108947766</v>
      </c>
      <c r="U148" s="2409">
        <v>225.58399917142199</v>
      </c>
      <c r="V148" s="2409">
        <v>230.22145055504089</v>
      </c>
      <c r="W148" s="2409">
        <v>231.02317013100028</v>
      </c>
      <c r="X148" s="2409">
        <v>231.43180172947612</v>
      </c>
      <c r="Y148" s="2409">
        <v>233.96</v>
      </c>
      <c r="Z148" s="2409">
        <v>233.41</v>
      </c>
      <c r="AA148" s="2409">
        <v>233.69</v>
      </c>
      <c r="AB148" s="2409">
        <v>232.84</v>
      </c>
      <c r="AC148" s="2409">
        <v>232.63</v>
      </c>
      <c r="AD148" s="2409">
        <v>232.7</v>
      </c>
      <c r="AE148" s="2409">
        <v>234.84</v>
      </c>
      <c r="AF148" s="2409">
        <v>236.86</v>
      </c>
      <c r="AG148" s="2409">
        <v>235.85</v>
      </c>
      <c r="AH148" s="2409">
        <v>236.42</v>
      </c>
      <c r="AI148" s="2409">
        <v>237.29</v>
      </c>
      <c r="AJ148" s="2409">
        <v>240.36</v>
      </c>
      <c r="AK148" s="2409">
        <v>243.02</v>
      </c>
      <c r="AL148" s="2409">
        <v>246.28</v>
      </c>
      <c r="AM148" s="2409">
        <v>249.48</v>
      </c>
      <c r="AN148" s="2409">
        <v>251.02</v>
      </c>
      <c r="AO148" s="2409">
        <v>255.4</v>
      </c>
      <c r="AP148" s="2409">
        <v>257.58999999999997</v>
      </c>
      <c r="AQ148" s="2409">
        <v>258.29000000000002</v>
      </c>
      <c r="AR148" s="2409">
        <v>263.47000000000003</v>
      </c>
      <c r="AS148" s="2409">
        <v>264.89999999999998</v>
      </c>
      <c r="AT148" s="2409">
        <v>265.3</v>
      </c>
      <c r="AU148" s="2409">
        <v>265.38</v>
      </c>
      <c r="AV148" s="2409">
        <v>266.81</v>
      </c>
      <c r="AW148" s="2410">
        <v>255.51</v>
      </c>
      <c r="AX148" s="2410">
        <v>274.48</v>
      </c>
      <c r="AY148" s="2410">
        <v>285.08</v>
      </c>
      <c r="AZ148" s="2410">
        <v>286.47000000000003</v>
      </c>
      <c r="BA148" s="2410">
        <v>286.82</v>
      </c>
      <c r="BB148" s="2410">
        <v>286.17</v>
      </c>
      <c r="BC148" s="2410">
        <v>286.63</v>
      </c>
      <c r="BD148" s="2411">
        <v>287.73</v>
      </c>
      <c r="BE148" s="2410">
        <v>290.23</v>
      </c>
      <c r="BF148" s="2411">
        <v>291.54000000000002</v>
      </c>
      <c r="BG148" s="2411">
        <v>299.19</v>
      </c>
      <c r="BH148" s="2411">
        <v>301.79000000000002</v>
      </c>
      <c r="BI148" s="2412">
        <v>305.11</v>
      </c>
      <c r="BJ148" s="2412">
        <v>306.18</v>
      </c>
      <c r="BK148" s="2412">
        <v>309.91000000000003</v>
      </c>
      <c r="BL148" s="2412">
        <v>309.91000000000003</v>
      </c>
      <c r="BM148" s="2412">
        <v>314.08999999999997</v>
      </c>
      <c r="BN148" s="2412">
        <v>316.25</v>
      </c>
      <c r="BO148" s="2412">
        <v>320.33999999999997</v>
      </c>
      <c r="BP148" s="2412">
        <v>322.19</v>
      </c>
      <c r="BQ148" s="2412">
        <v>313</v>
      </c>
      <c r="BR148" s="2412">
        <v>329.04</v>
      </c>
      <c r="BS148" s="2412">
        <v>328.71</v>
      </c>
      <c r="BT148" s="2412">
        <v>329.53</v>
      </c>
      <c r="BU148" s="2412">
        <v>333.82</v>
      </c>
      <c r="BV148" s="2412">
        <v>335.28</v>
      </c>
      <c r="BW148" s="2412">
        <v>335.83</v>
      </c>
      <c r="BX148" s="2412">
        <v>337.63</v>
      </c>
      <c r="BY148" s="2412">
        <v>346.66</v>
      </c>
      <c r="BZ148" s="2412">
        <v>348.41</v>
      </c>
      <c r="CA148" s="2412">
        <v>355.64</v>
      </c>
      <c r="CB148" s="2412">
        <v>359.37</v>
      </c>
      <c r="CC148" s="2412">
        <v>361.83</v>
      </c>
      <c r="CD148" s="2412">
        <v>364.72</v>
      </c>
      <c r="CE148" s="2412">
        <v>368.02</v>
      </c>
      <c r="CF148" s="2412">
        <v>380.08</v>
      </c>
      <c r="CG148" s="2412">
        <v>376.75</v>
      </c>
      <c r="CH148" s="2412">
        <v>371.39</v>
      </c>
      <c r="CI148" s="2412">
        <v>375.08</v>
      </c>
      <c r="CJ148" s="2412">
        <v>385.93</v>
      </c>
      <c r="CK148" s="2412">
        <v>392.9</v>
      </c>
      <c r="CL148" s="2412">
        <v>397.75</v>
      </c>
      <c r="CM148" s="2412">
        <v>407.69</v>
      </c>
      <c r="CN148" s="2412">
        <v>409.17</v>
      </c>
      <c r="CO148" s="2412">
        <v>414.6</v>
      </c>
      <c r="CP148" s="2412">
        <v>418.7</v>
      </c>
      <c r="CQ148" s="2412">
        <v>422.74</v>
      </c>
      <c r="CR148" s="2412">
        <v>425.11</v>
      </c>
      <c r="CS148" s="2412">
        <v>428.89</v>
      </c>
      <c r="CT148" s="2412">
        <v>432.17</v>
      </c>
      <c r="CU148" s="2412">
        <v>437.04</v>
      </c>
      <c r="CV148" s="2412">
        <v>443.7</v>
      </c>
      <c r="CW148" s="2412">
        <v>452.42</v>
      </c>
      <c r="CX148" s="2412">
        <v>461.64</v>
      </c>
      <c r="CY148" s="2412">
        <v>469.59</v>
      </c>
      <c r="CZ148" s="2412">
        <v>474.19</v>
      </c>
      <c r="DA148" s="2412">
        <v>476.98</v>
      </c>
      <c r="DB148" s="2412">
        <v>487.52</v>
      </c>
      <c r="DC148" s="2412">
        <v>489.46</v>
      </c>
      <c r="DD148" s="2412">
        <v>490.87</v>
      </c>
      <c r="DE148" s="2412">
        <v>491.52</v>
      </c>
      <c r="DF148" s="2412">
        <v>496.5</v>
      </c>
      <c r="DG148" s="2412">
        <v>507.87</v>
      </c>
      <c r="DH148" s="2412">
        <v>517.70000000000005</v>
      </c>
      <c r="DI148" s="2412">
        <v>532.33000000000004</v>
      </c>
      <c r="DJ148" s="2412">
        <v>541.04</v>
      </c>
      <c r="DK148" s="2412">
        <v>548.22</v>
      </c>
      <c r="DL148" s="2412">
        <v>561.04</v>
      </c>
      <c r="DM148" s="2412">
        <v>566.73</v>
      </c>
      <c r="DN148" s="2412">
        <v>571.92999999999995</v>
      </c>
      <c r="DO148" s="2412">
        <v>579.13</v>
      </c>
      <c r="DP148" s="2412">
        <v>597.75</v>
      </c>
      <c r="DQ148" s="2412">
        <v>606.65</v>
      </c>
      <c r="DR148" s="2412">
        <v>609.39</v>
      </c>
      <c r="DS148" s="2412">
        <v>616.48</v>
      </c>
      <c r="DT148" s="2412">
        <v>646.78</v>
      </c>
      <c r="DU148" s="2412">
        <v>652.73</v>
      </c>
      <c r="DV148" s="2412">
        <v>661.79</v>
      </c>
      <c r="DW148" s="2412">
        <v>677.73</v>
      </c>
      <c r="DX148" s="2412">
        <v>690.28</v>
      </c>
      <c r="DY148" s="2412">
        <v>698.17</v>
      </c>
      <c r="DZ148" s="2412">
        <v>706.24</v>
      </c>
      <c r="EA148" s="2412">
        <v>720.02</v>
      </c>
      <c r="EB148" s="2412">
        <v>725.4</v>
      </c>
      <c r="EC148" s="2412">
        <v>734.22</v>
      </c>
      <c r="ED148" s="2412">
        <v>741.88</v>
      </c>
      <c r="EE148" s="2412">
        <v>751.24</v>
      </c>
      <c r="EF148" s="2412">
        <v>756.46</v>
      </c>
      <c r="EG148" s="2412">
        <v>764.51</v>
      </c>
      <c r="EH148" s="2412">
        <v>808.98</v>
      </c>
      <c r="EI148" s="2412">
        <v>820.93</v>
      </c>
      <c r="EJ148" s="2412">
        <v>826.36</v>
      </c>
      <c r="EK148" s="2412">
        <v>834.96</v>
      </c>
      <c r="EL148" s="2412">
        <v>838.57</v>
      </c>
      <c r="EM148" s="2412">
        <v>847.92</v>
      </c>
      <c r="EN148" s="2412">
        <v>851.9</v>
      </c>
      <c r="EO148" s="2412">
        <v>861.13</v>
      </c>
      <c r="EP148" s="2412">
        <v>868.45</v>
      </c>
      <c r="EQ148" s="2412">
        <v>878.76</v>
      </c>
      <c r="ER148" s="2412">
        <v>891.18</v>
      </c>
      <c r="ES148" s="2412">
        <v>901.46</v>
      </c>
      <c r="ET148" s="2412">
        <v>949.34</v>
      </c>
      <c r="EU148" s="2412">
        <v>961.34</v>
      </c>
      <c r="EV148" s="2412">
        <v>968.81</v>
      </c>
      <c r="EW148" s="2412">
        <v>991.03</v>
      </c>
      <c r="EX148" s="2412">
        <v>996.08</v>
      </c>
      <c r="EY148" s="2412">
        <v>1004.53</v>
      </c>
      <c r="EZ148" s="2412">
        <v>1014.77</v>
      </c>
      <c r="FA148" s="2412">
        <v>1048.8599999999999</v>
      </c>
      <c r="FB148" s="2412">
        <v>1090.79</v>
      </c>
      <c r="FC148" s="2412">
        <v>1127.49</v>
      </c>
      <c r="FD148" s="2412">
        <v>1205.92</v>
      </c>
      <c r="FE148" s="2412">
        <v>1219.4100000000001</v>
      </c>
      <c r="FF148" s="2412">
        <v>1231.94</v>
      </c>
      <c r="FG148" s="2412">
        <v>1287.67</v>
      </c>
      <c r="FH148" s="2412">
        <v>1294.77</v>
      </c>
      <c r="FI148" s="2412">
        <v>1306.8499999999999</v>
      </c>
      <c r="FJ148" s="2412">
        <v>1319.26</v>
      </c>
      <c r="FK148" s="2412">
        <v>1326.01</v>
      </c>
      <c r="FL148" s="2412">
        <v>1337.03</v>
      </c>
      <c r="FM148" s="2412">
        <v>1329.31</v>
      </c>
      <c r="FN148" s="2412">
        <v>1334.91</v>
      </c>
      <c r="FO148" s="2412">
        <v>1354.66</v>
      </c>
      <c r="FP148" s="2412">
        <v>1415.87</v>
      </c>
      <c r="FQ148" s="2412">
        <v>1424.63</v>
      </c>
      <c r="FR148" s="2412">
        <v>1439.62</v>
      </c>
      <c r="FS148" s="2412">
        <v>1454.48</v>
      </c>
      <c r="FT148" s="2412">
        <v>1507.57</v>
      </c>
      <c r="FU148" s="2412">
        <v>1517.08</v>
      </c>
      <c r="FV148" s="2412">
        <v>1528.66</v>
      </c>
      <c r="FW148" s="2413" t="e">
        <f>+'ANEXO D'!FH30</f>
        <v>#REF!</v>
      </c>
      <c r="FX148" s="2413" t="e">
        <f>+'ANEXO D'!FI30</f>
        <v>#REF!</v>
      </c>
      <c r="FY148" s="2416">
        <f>+'ANEXO D'!FJ30</f>
        <v>100</v>
      </c>
      <c r="FZ148" s="2417">
        <f>+'ANEXO D'!FK30</f>
        <v>103.87</v>
      </c>
      <c r="GA148" s="2417">
        <f>+'ANEXO D'!FL30</f>
        <v>109.71</v>
      </c>
      <c r="GB148" s="2417">
        <f>+'ANEXO D'!FM30</f>
        <v>116.15</v>
      </c>
      <c r="GC148" s="2417">
        <f>+'ANEXO D'!FN30</f>
        <v>123.21</v>
      </c>
      <c r="GD148" s="2417">
        <f>+'ANEXO D'!FO30</f>
        <v>126.06</v>
      </c>
      <c r="GE148" s="2417">
        <f>+'ANEXO D'!FP30</f>
        <v>126.06</v>
      </c>
      <c r="GF148" s="2417">
        <f>+'ANEXO D'!FQ30</f>
        <v>126.96</v>
      </c>
      <c r="GG148" s="2417">
        <f>+'ANEXO D'!FR30</f>
        <v>128.25</v>
      </c>
      <c r="GH148" s="2417">
        <f>+'ANEXO D'!FS30</f>
        <v>129.88999999999999</v>
      </c>
      <c r="GI148" s="2417">
        <f>+'ANEXO D'!FT30</f>
        <v>134.54</v>
      </c>
      <c r="GJ148" s="2417">
        <f>+'ANEXO D'!FU30</f>
        <v>134.56</v>
      </c>
      <c r="GK148" s="2417">
        <f>+'ANEXO D'!FV30</f>
        <v>137</v>
      </c>
      <c r="GL148" s="2417">
        <f>+'ANEXO D'!FW30</f>
        <v>141.87</v>
      </c>
      <c r="GM148" s="2417">
        <f>+'ANEXO D'!FX30</f>
        <v>142.66</v>
      </c>
      <c r="GN148" s="2417">
        <f>+'ANEXO D'!FY30</f>
        <v>146.19999999999999</v>
      </c>
      <c r="GO148" s="2417">
        <f>+'ANEXO D'!FZ30</f>
        <v>145.66999999999999</v>
      </c>
      <c r="GP148" s="2417">
        <f>+'ANEXO D'!GA30</f>
        <v>145.76</v>
      </c>
      <c r="GQ148" s="2417">
        <f>+'ANEXO D'!GB30</f>
        <v>149.69999999999999</v>
      </c>
      <c r="GR148" s="2417">
        <f>+'ANEXO D'!GC30</f>
        <v>149.69999999999999</v>
      </c>
      <c r="GS148" s="2417">
        <f>+'ANEXO D'!GD30</f>
        <v>149.69999999999999</v>
      </c>
      <c r="GT148" s="2417">
        <f>+'ANEXO D'!GE30</f>
        <v>151.62</v>
      </c>
      <c r="GU148" s="2417">
        <f>+'ANEXO D'!GF30</f>
        <v>154.22999999999999</v>
      </c>
      <c r="GV148" s="2417">
        <f>+'ANEXO D'!GG30</f>
        <v>157.01</v>
      </c>
      <c r="GW148" s="2417">
        <f>+'ANEXO D'!GH30</f>
        <v>159.62</v>
      </c>
      <c r="GX148" s="2417">
        <f>+'ANEXO D'!GI30</f>
        <v>166.21</v>
      </c>
      <c r="GY148" s="2417">
        <f>+'ANEXO D'!GJ30</f>
        <v>166.46</v>
      </c>
      <c r="GZ148" s="2417">
        <f>+'ANEXO D'!GK30</f>
        <v>171.08</v>
      </c>
      <c r="HA148" s="2417">
        <f>+'ANEXO D'!GL30</f>
        <v>186.64</v>
      </c>
      <c r="HB148" s="2417">
        <f>+'ANEXO D'!GM30</f>
        <v>188.11</v>
      </c>
      <c r="HC148" s="2417">
        <f>+'ANEXO D'!GN30</f>
        <v>202.85</v>
      </c>
      <c r="HD148" s="2417">
        <f>+'ANEXO D'!GO30</f>
        <v>207.19</v>
      </c>
      <c r="HE148" s="2417">
        <f>+'ANEXO D'!GP30</f>
        <v>250.88</v>
      </c>
      <c r="HF148" s="2417">
        <f>+'ANEXO D'!GQ30</f>
        <v>258.35000000000002</v>
      </c>
      <c r="HG148" s="2417">
        <f>+'ANEXO D'!GR30</f>
        <v>261.8</v>
      </c>
      <c r="HH148" s="2417">
        <f>+'ANEXO D'!GS30</f>
        <v>265.58</v>
      </c>
      <c r="HI148" s="2417">
        <f>+'ANEXO D'!GT30</f>
        <v>262.14999999999998</v>
      </c>
      <c r="HJ148" s="2417">
        <f>+'ANEXO D'!GU30</f>
        <v>270.45999999999998</v>
      </c>
      <c r="HK148" s="2417">
        <f>+'ANEXO D'!GV30</f>
        <v>274.45</v>
      </c>
      <c r="HL148" s="2417">
        <f>+'ANEXO D'!GW30</f>
        <v>283.2</v>
      </c>
      <c r="HM148" s="2417">
        <f>+'ANEXO D'!GX30</f>
        <v>288.83</v>
      </c>
      <c r="HN148" s="2417">
        <f>+'ANEXO D'!GY30</f>
        <v>292.58</v>
      </c>
      <c r="HO148" s="2417">
        <f>+'ANEXO D'!GZ30</f>
        <v>299.85000000000002</v>
      </c>
      <c r="HP148" s="2417">
        <f>+'ANEXO D'!HA30</f>
        <v>328.66</v>
      </c>
      <c r="HQ148" s="2417">
        <f>+'ANEXO D'!HB30</f>
        <v>333.07</v>
      </c>
      <c r="HR148" s="2417">
        <f>+'ANEXO D'!HC30</f>
        <v>350.13</v>
      </c>
      <c r="HS148" s="2417">
        <f>+'ANEXO D'!HD30</f>
        <v>366.34</v>
      </c>
      <c r="HT148" s="2417">
        <f>+'ANEXO D'!HE30</f>
        <v>387.02</v>
      </c>
      <c r="HU148" s="2417">
        <f>+'ANEXO D'!HF30</f>
        <v>395.07</v>
      </c>
      <c r="HV148" s="2417">
        <f>+'ANEXO D'!HG30</f>
        <v>401.42</v>
      </c>
      <c r="HW148" s="2417">
        <f>+'ANEXO D'!HH30</f>
        <v>401.75</v>
      </c>
      <c r="HX148" s="2417">
        <f>+'ANEXO D'!HI30</f>
        <v>402.35</v>
      </c>
      <c r="HY148" s="2417">
        <f>+'ANEXO D'!HJ30</f>
        <v>403.87</v>
      </c>
      <c r="HZ148" s="2417">
        <f>+'ANEXO D'!HK30</f>
        <v>404.74</v>
      </c>
      <c r="IA148" s="2417">
        <f>+'ANEXO D'!HL30</f>
        <v>405.45</v>
      </c>
      <c r="IB148" s="2417">
        <f>+'ANEXO D'!HM30</f>
        <v>409.7</v>
      </c>
      <c r="IC148" s="2417">
        <f>+'ANEXO D'!HN30</f>
        <v>416.21</v>
      </c>
      <c r="ID148" s="2417">
        <f>+'ANEXO D'!HO30</f>
        <v>422.3</v>
      </c>
      <c r="IE148" s="2417">
        <f>+'ANEXO D'!HP30</f>
        <v>435.03</v>
      </c>
      <c r="IF148" s="2417">
        <f>+'ANEXO D'!HQ30</f>
        <v>446.71</v>
      </c>
      <c r="IG148" s="2417">
        <f>+'ANEXO D'!HR30</f>
        <v>467.74</v>
      </c>
      <c r="IH148" s="2417">
        <f>+'ANEXO D'!HS30</f>
        <v>487.66</v>
      </c>
      <c r="II148" s="2417">
        <f>+'ANEXO D'!HT30</f>
        <v>511.21</v>
      </c>
      <c r="IJ148" s="2417">
        <f>+'ANEXO D'!HU30</f>
        <v>530.36</v>
      </c>
      <c r="IK148" s="2417">
        <f>+'ANEXO D'!HV30</f>
        <v>553.28</v>
      </c>
      <c r="IL148" s="2417">
        <f>+'ANEXO D'!HW30</f>
        <v>554.04999999999995</v>
      </c>
      <c r="IM148" s="2417">
        <f>+'ANEXO D'!HX30</f>
        <v>561.85</v>
      </c>
      <c r="IN148" s="2417">
        <f>+'ANEXO D'!HY30</f>
        <v>585.6</v>
      </c>
      <c r="IO148" s="2417">
        <f>+'ANEXO D'!HZ30</f>
        <v>593.96</v>
      </c>
      <c r="IP148" s="2417">
        <f>+'ANEXO D'!IA30</f>
        <v>600.64</v>
      </c>
      <c r="IQ148" s="2417">
        <f>+'ANEXO D'!IB30</f>
        <v>606.01</v>
      </c>
      <c r="IR148" s="2417">
        <f>+'ANEXO D'!IC30</f>
        <v>616.97</v>
      </c>
      <c r="IS148" s="2417">
        <f>+'ANEXO D'!ID30</f>
        <v>624.03</v>
      </c>
      <c r="IT148" s="2417">
        <f>+'ANEXO D'!IE30</f>
        <v>654.83000000000004</v>
      </c>
      <c r="IU148" s="2417">
        <f>+'ANEXO D'!IF30</f>
        <v>692.91</v>
      </c>
      <c r="IV148" s="2417">
        <f>+'ANEXO D'!IG30</f>
        <v>720.95</v>
      </c>
      <c r="IW148" s="2417">
        <f>+'ANEXO D'!IH30</f>
        <v>779.45</v>
      </c>
      <c r="IX148" s="2417">
        <f>+'ANEXO D'!II30</f>
        <v>841.59</v>
      </c>
      <c r="IY148" s="2417">
        <f>+'ANEXO D'!IJ30</f>
        <v>895.6</v>
      </c>
      <c r="IZ148" s="2417">
        <f>+'ANEXO D'!IK30</f>
        <v>936.17</v>
      </c>
      <c r="JA148" s="2417">
        <f>+'ANEXO D'!IL30</f>
        <v>960.75</v>
      </c>
      <c r="JB148" s="2417">
        <f>+'ANEXO D'!IM30</f>
        <v>1029.3699999999999</v>
      </c>
      <c r="JC148" s="2417">
        <f>+'ANEXO D'!IN30</f>
        <v>1129.69</v>
      </c>
      <c r="JD148" s="2415">
        <f>+'ANEXO D'!IO30</f>
        <v>1223.08</v>
      </c>
      <c r="JE148" s="2422">
        <f>+'ANEXO D'!IP30</f>
        <v>1265.22</v>
      </c>
      <c r="JF148" s="2418">
        <f>+'ANEXO D'!IQ30</f>
        <v>1378.37</v>
      </c>
      <c r="JG148" s="2103">
        <f t="shared" si="14"/>
        <v>1.0894310870836692</v>
      </c>
      <c r="JI148" s="2155"/>
      <c r="JJ148" s="2104"/>
    </row>
    <row r="149" spans="2:270" ht="31.5">
      <c r="B149" s="2276">
        <v>132</v>
      </c>
      <c r="C149" s="2277"/>
      <c r="D149" s="2278">
        <v>0</v>
      </c>
      <c r="E149" s="2303" t="s">
        <v>329</v>
      </c>
      <c r="F149" s="2277"/>
      <c r="G149" s="2278" t="s">
        <v>1342</v>
      </c>
      <c r="H149" s="2277" t="s">
        <v>900</v>
      </c>
      <c r="I149" s="2277"/>
      <c r="J149" s="2280" t="s">
        <v>429</v>
      </c>
      <c r="K149" s="2564"/>
      <c r="L149" s="2409">
        <v>100</v>
      </c>
      <c r="M149" s="2409">
        <v>103.7934543201402</v>
      </c>
      <c r="N149" s="2409">
        <v>106.87457893866952</v>
      </c>
      <c r="O149" s="2409">
        <v>112.60697926410184</v>
      </c>
      <c r="P149" s="2409">
        <v>150.95807763445018</v>
      </c>
      <c r="Q149" s="2409">
        <v>182.26659300128304</v>
      </c>
      <c r="R149" s="2409">
        <v>212.45694019125477</v>
      </c>
      <c r="S149" s="2409">
        <v>225.07458964888869</v>
      </c>
      <c r="T149" s="2409">
        <v>230.91151752008113</v>
      </c>
      <c r="U149" s="2409">
        <v>240.53172543539068</v>
      </c>
      <c r="V149" s="2409">
        <v>245.87571233649248</v>
      </c>
      <c r="W149" s="2409">
        <v>246.99320770677079</v>
      </c>
      <c r="X149" s="2409">
        <v>247.22168600781256</v>
      </c>
      <c r="Y149" s="2409">
        <v>252.63</v>
      </c>
      <c r="Z149" s="2409">
        <v>252.47</v>
      </c>
      <c r="AA149" s="2409">
        <v>253</v>
      </c>
      <c r="AB149" s="2409">
        <v>252.4</v>
      </c>
      <c r="AC149" s="2409">
        <v>252.16</v>
      </c>
      <c r="AD149" s="2409">
        <v>251.88</v>
      </c>
      <c r="AE149" s="2409">
        <v>253.28</v>
      </c>
      <c r="AF149" s="2409">
        <v>254.14</v>
      </c>
      <c r="AG149" s="2409">
        <v>254.05</v>
      </c>
      <c r="AH149" s="2409">
        <v>254.45</v>
      </c>
      <c r="AI149" s="2409">
        <v>255.04</v>
      </c>
      <c r="AJ149" s="2409">
        <v>257.42</v>
      </c>
      <c r="AK149" s="2409">
        <v>259.52</v>
      </c>
      <c r="AL149" s="2409">
        <v>262.14</v>
      </c>
      <c r="AM149" s="2409">
        <v>264.74</v>
      </c>
      <c r="AN149" s="2409">
        <v>266.5</v>
      </c>
      <c r="AO149" s="2409">
        <v>270.61</v>
      </c>
      <c r="AP149" s="2409">
        <v>272.95</v>
      </c>
      <c r="AQ149" s="2409">
        <v>273.8</v>
      </c>
      <c r="AR149" s="2409">
        <v>280.14</v>
      </c>
      <c r="AS149" s="2409">
        <v>282.02</v>
      </c>
      <c r="AT149" s="2409">
        <v>282.33</v>
      </c>
      <c r="AU149" s="2409">
        <v>282.41000000000003</v>
      </c>
      <c r="AV149" s="2409">
        <v>283.58999999999997</v>
      </c>
      <c r="AW149" s="2410">
        <v>274.52999999999997</v>
      </c>
      <c r="AX149" s="2410">
        <v>289.41000000000003</v>
      </c>
      <c r="AY149" s="2410">
        <v>297.60000000000002</v>
      </c>
      <c r="AZ149" s="2410">
        <v>298.52999999999997</v>
      </c>
      <c r="BA149" s="2410">
        <v>298.66000000000003</v>
      </c>
      <c r="BB149" s="2410">
        <v>297.56</v>
      </c>
      <c r="BC149" s="2410">
        <v>297.58999999999997</v>
      </c>
      <c r="BD149" s="2411">
        <v>298.42</v>
      </c>
      <c r="BE149" s="2410">
        <v>300.43</v>
      </c>
      <c r="BF149" s="2411">
        <v>301.58</v>
      </c>
      <c r="BG149" s="2411">
        <v>307.43</v>
      </c>
      <c r="BH149" s="2411">
        <v>309.67</v>
      </c>
      <c r="BI149" s="2412">
        <v>312.11</v>
      </c>
      <c r="BJ149" s="2412">
        <v>312.97000000000003</v>
      </c>
      <c r="BK149" s="2412">
        <v>317.39999999999998</v>
      </c>
      <c r="BL149" s="2412">
        <v>315.7</v>
      </c>
      <c r="BM149" s="2412">
        <v>318.86</v>
      </c>
      <c r="BN149" s="2412">
        <v>320.68</v>
      </c>
      <c r="BO149" s="2412">
        <v>323.76</v>
      </c>
      <c r="BP149" s="2412">
        <v>325.2</v>
      </c>
      <c r="BQ149" s="2412">
        <v>319.02</v>
      </c>
      <c r="BR149" s="2412">
        <v>330.18</v>
      </c>
      <c r="BS149" s="2412">
        <v>330</v>
      </c>
      <c r="BT149" s="2412">
        <v>330.71</v>
      </c>
      <c r="BU149" s="2412">
        <v>333.96</v>
      </c>
      <c r="BV149" s="2412">
        <v>335.15</v>
      </c>
      <c r="BW149" s="2412">
        <v>335.61</v>
      </c>
      <c r="BX149" s="2412">
        <v>337</v>
      </c>
      <c r="BY149" s="2412">
        <v>344.55</v>
      </c>
      <c r="BZ149" s="2412">
        <v>346.3</v>
      </c>
      <c r="CA149" s="2412">
        <v>352.67</v>
      </c>
      <c r="CB149" s="2412">
        <v>355.28</v>
      </c>
      <c r="CC149" s="2412">
        <v>357.85</v>
      </c>
      <c r="CD149" s="2412">
        <v>360.5</v>
      </c>
      <c r="CE149" s="2412">
        <v>363.83</v>
      </c>
      <c r="CF149" s="2412">
        <v>374.17</v>
      </c>
      <c r="CG149" s="2412">
        <v>371.24</v>
      </c>
      <c r="CH149" s="2412">
        <v>363.27</v>
      </c>
      <c r="CI149" s="2412">
        <v>366.39</v>
      </c>
      <c r="CJ149" s="2412">
        <v>375.54</v>
      </c>
      <c r="CK149" s="2412">
        <v>383.43</v>
      </c>
      <c r="CL149" s="2412">
        <v>389.57</v>
      </c>
      <c r="CM149" s="2412">
        <v>398.65</v>
      </c>
      <c r="CN149" s="2412">
        <v>399.95</v>
      </c>
      <c r="CO149" s="2412">
        <v>404.52</v>
      </c>
      <c r="CP149" s="2412">
        <v>407.99</v>
      </c>
      <c r="CQ149" s="2412">
        <v>411.81</v>
      </c>
      <c r="CR149" s="2412">
        <v>414.31</v>
      </c>
      <c r="CS149" s="2412">
        <v>418.66</v>
      </c>
      <c r="CT149" s="2412">
        <v>422.92</v>
      </c>
      <c r="CU149" s="2412">
        <v>428.88</v>
      </c>
      <c r="CV149" s="2412">
        <v>437.65</v>
      </c>
      <c r="CW149" s="2412">
        <v>446.67</v>
      </c>
      <c r="CX149" s="2412">
        <v>456.51</v>
      </c>
      <c r="CY149" s="2412">
        <v>466.98</v>
      </c>
      <c r="CZ149" s="2412">
        <v>471.14</v>
      </c>
      <c r="DA149" s="2412">
        <v>473.86</v>
      </c>
      <c r="DB149" s="2412">
        <v>484.62</v>
      </c>
      <c r="DC149" s="2412">
        <v>486.64</v>
      </c>
      <c r="DD149" s="2412">
        <v>488.27</v>
      </c>
      <c r="DE149" s="2412">
        <v>488.93</v>
      </c>
      <c r="DF149" s="2412">
        <v>493.43</v>
      </c>
      <c r="DG149" s="2412">
        <v>503.29</v>
      </c>
      <c r="DH149" s="2412">
        <v>514.30999999999995</v>
      </c>
      <c r="DI149" s="2412">
        <v>528.45000000000005</v>
      </c>
      <c r="DJ149" s="2412">
        <v>539.11</v>
      </c>
      <c r="DK149" s="2412">
        <v>547.04</v>
      </c>
      <c r="DL149" s="2412">
        <v>559.29</v>
      </c>
      <c r="DM149" s="2412">
        <v>565.58000000000004</v>
      </c>
      <c r="DN149" s="2412">
        <v>571.22</v>
      </c>
      <c r="DO149" s="2412">
        <v>578.04</v>
      </c>
      <c r="DP149" s="2412">
        <v>595.89</v>
      </c>
      <c r="DQ149" s="2412">
        <v>607.46</v>
      </c>
      <c r="DR149" s="2412">
        <v>610.01</v>
      </c>
      <c r="DS149" s="2412">
        <v>616.82000000000005</v>
      </c>
      <c r="DT149" s="2412">
        <v>645.44000000000005</v>
      </c>
      <c r="DU149" s="2412">
        <v>652.25</v>
      </c>
      <c r="DV149" s="2412">
        <v>660.54</v>
      </c>
      <c r="DW149" s="2412">
        <v>676.28</v>
      </c>
      <c r="DX149" s="2412">
        <v>687.2</v>
      </c>
      <c r="DY149" s="2412">
        <v>695.23</v>
      </c>
      <c r="DZ149" s="2412">
        <v>702.78</v>
      </c>
      <c r="EA149" s="2412">
        <v>713.65</v>
      </c>
      <c r="EB149" s="2412">
        <v>719.13</v>
      </c>
      <c r="EC149" s="2412">
        <v>731.6</v>
      </c>
      <c r="ED149" s="2412">
        <v>738.45</v>
      </c>
      <c r="EE149" s="2412">
        <v>747.73</v>
      </c>
      <c r="EF149" s="2412">
        <v>753.54</v>
      </c>
      <c r="EG149" s="2412">
        <v>763.17</v>
      </c>
      <c r="EH149" s="2412">
        <v>794.67</v>
      </c>
      <c r="EI149" s="2412">
        <v>808.13</v>
      </c>
      <c r="EJ149" s="2412">
        <v>813.51</v>
      </c>
      <c r="EK149" s="2412">
        <v>820.75</v>
      </c>
      <c r="EL149" s="2412">
        <v>823.9</v>
      </c>
      <c r="EM149" s="2412">
        <v>833.05</v>
      </c>
      <c r="EN149" s="2412">
        <v>836.36</v>
      </c>
      <c r="EO149" s="2412">
        <v>845.45</v>
      </c>
      <c r="EP149" s="2412">
        <v>852.54</v>
      </c>
      <c r="EQ149" s="2412">
        <v>864.19</v>
      </c>
      <c r="ER149" s="2412">
        <v>877.46</v>
      </c>
      <c r="ES149" s="2412">
        <v>888.06</v>
      </c>
      <c r="ET149" s="2412">
        <v>925.55</v>
      </c>
      <c r="EU149" s="2412">
        <v>937.19</v>
      </c>
      <c r="EV149" s="2412">
        <v>944.42</v>
      </c>
      <c r="EW149" s="2412">
        <v>961.54</v>
      </c>
      <c r="EX149" s="2412">
        <v>965.59</v>
      </c>
      <c r="EY149" s="2412">
        <v>972.53</v>
      </c>
      <c r="EZ149" s="2412">
        <v>983.15</v>
      </c>
      <c r="FA149" s="2412">
        <v>1017.47</v>
      </c>
      <c r="FB149" s="2412">
        <v>1056.5999999999999</v>
      </c>
      <c r="FC149" s="2412">
        <v>1095.83</v>
      </c>
      <c r="FD149" s="2412">
        <v>1169.44</v>
      </c>
      <c r="FE149" s="2412">
        <v>1182.1300000000001</v>
      </c>
      <c r="FF149" s="2412">
        <v>1193.6099999999999</v>
      </c>
      <c r="FG149" s="2412">
        <v>1246.46</v>
      </c>
      <c r="FH149" s="2412">
        <v>1253.44</v>
      </c>
      <c r="FI149" s="2412">
        <v>1267.6099999999999</v>
      </c>
      <c r="FJ149" s="2412">
        <v>1279.4100000000001</v>
      </c>
      <c r="FK149" s="2412">
        <v>1285.8900000000001</v>
      </c>
      <c r="FL149" s="2412">
        <v>1295.17</v>
      </c>
      <c r="FM149" s="2412">
        <v>1278.8699999999999</v>
      </c>
      <c r="FN149" s="2412">
        <v>1286.6300000000001</v>
      </c>
      <c r="FO149" s="2412">
        <v>1305.07</v>
      </c>
      <c r="FP149" s="2412">
        <v>1349.16</v>
      </c>
      <c r="FQ149" s="2412">
        <v>1359.89</v>
      </c>
      <c r="FR149" s="2412">
        <v>1376.45</v>
      </c>
      <c r="FS149" s="2412">
        <v>1391.61</v>
      </c>
      <c r="FT149" s="2412">
        <v>1434.5</v>
      </c>
      <c r="FU149" s="2412">
        <v>1443.02</v>
      </c>
      <c r="FV149" s="2412">
        <v>1452.47</v>
      </c>
      <c r="FW149" s="2413" t="e">
        <f>+'ANEXO D'!FH55</f>
        <v>#REF!</v>
      </c>
      <c r="FX149" s="2413" t="e">
        <f>+'ANEXO D'!FI55</f>
        <v>#REF!</v>
      </c>
      <c r="FY149" s="2416">
        <f>+'ANEXO D'!FJ55</f>
        <v>100</v>
      </c>
      <c r="FZ149" s="2417">
        <f>+'ANEXO D'!FK55</f>
        <v>102.64</v>
      </c>
      <c r="GA149" s="2417">
        <f>+'ANEXO D'!FL55</f>
        <v>108.45</v>
      </c>
      <c r="GB149" s="2417">
        <f>+'ANEXO D'!FM55</f>
        <v>114.62</v>
      </c>
      <c r="GC149" s="2417">
        <f>+'ANEXO D'!FN55</f>
        <v>122.32</v>
      </c>
      <c r="GD149" s="2417">
        <f>+'ANEXO D'!FO55</f>
        <v>124.59</v>
      </c>
      <c r="GE149" s="2417">
        <f>+'ANEXO D'!FP55</f>
        <v>124.59</v>
      </c>
      <c r="GF149" s="2417">
        <f>+'ANEXO D'!FQ55</f>
        <v>125.26</v>
      </c>
      <c r="GG149" s="2417">
        <f>+'ANEXO D'!FR55</f>
        <v>126.29</v>
      </c>
      <c r="GH149" s="2417">
        <f>+'ANEXO D'!FS55</f>
        <v>127.48</v>
      </c>
      <c r="GI149" s="2417">
        <f>+'ANEXO D'!FT55</f>
        <v>131.15</v>
      </c>
      <c r="GJ149" s="2417">
        <f>+'ANEXO D'!FU55</f>
        <v>131.18</v>
      </c>
      <c r="GK149" s="2417">
        <f>+'ANEXO D'!FV55</f>
        <v>133.68</v>
      </c>
      <c r="GL149" s="2417">
        <f>+'ANEXO D'!FW55</f>
        <v>138.87</v>
      </c>
      <c r="GM149" s="2417">
        <f>+'ANEXO D'!FX55</f>
        <v>139.47999999999999</v>
      </c>
      <c r="GN149" s="2417">
        <f>+'ANEXO D'!FY55</f>
        <v>142.11000000000001</v>
      </c>
      <c r="GO149" s="2417">
        <f>+'ANEXO D'!FZ55</f>
        <v>141.03</v>
      </c>
      <c r="GP149" s="2417">
        <f>+'ANEXO D'!GA55</f>
        <v>141.16</v>
      </c>
      <c r="GQ149" s="2417">
        <f>+'ANEXO D'!GB55</f>
        <v>145.71</v>
      </c>
      <c r="GR149" s="2417">
        <f>+'ANEXO D'!GC55</f>
        <v>145.71</v>
      </c>
      <c r="GS149" s="2417">
        <f>+'ANEXO D'!GD55</f>
        <v>145.71</v>
      </c>
      <c r="GT149" s="2417">
        <f>+'ANEXO D'!GE55</f>
        <v>148.28</v>
      </c>
      <c r="GU149" s="2417">
        <f>+'ANEXO D'!GF55</f>
        <v>152</v>
      </c>
      <c r="GV149" s="2417">
        <f>+'ANEXO D'!GG55</f>
        <v>156.01</v>
      </c>
      <c r="GW149" s="2417">
        <f>+'ANEXO D'!GH55</f>
        <v>158.13999999999999</v>
      </c>
      <c r="GX149" s="2417">
        <f>+'ANEXO D'!GI55</f>
        <v>167.05</v>
      </c>
      <c r="GY149" s="2417">
        <f>+'ANEXO D'!GJ55</f>
        <v>167.23</v>
      </c>
      <c r="GZ149" s="2417">
        <f>+'ANEXO D'!GK55</f>
        <v>171.53</v>
      </c>
      <c r="HA149" s="2417">
        <f>+'ANEXO D'!GL55</f>
        <v>184.85</v>
      </c>
      <c r="HB149" s="2417">
        <f>+'ANEXO D'!GM55</f>
        <v>186.7</v>
      </c>
      <c r="HC149" s="2417">
        <f>+'ANEXO D'!GN55</f>
        <v>204.22</v>
      </c>
      <c r="HD149" s="2417">
        <f>+'ANEXO D'!GO55</f>
        <v>209.3</v>
      </c>
      <c r="HE149" s="2417">
        <f>+'ANEXO D'!GP55</f>
        <v>248.83</v>
      </c>
      <c r="HF149" s="2417">
        <f>+'ANEXO D'!GQ55</f>
        <v>259.13</v>
      </c>
      <c r="HG149" s="2417">
        <f>+'ANEXO D'!GR55</f>
        <v>263.60000000000002</v>
      </c>
      <c r="HH149" s="2417">
        <f>+'ANEXO D'!GS55</f>
        <v>268.37</v>
      </c>
      <c r="HI149" s="2417">
        <f>+'ANEXO D'!GT55</f>
        <v>263.67</v>
      </c>
      <c r="HJ149" s="2417">
        <f>+'ANEXO D'!GU55</f>
        <v>274.94</v>
      </c>
      <c r="HK149" s="2417">
        <f>+'ANEXO D'!GV55</f>
        <v>278.01</v>
      </c>
      <c r="HL149" s="2417">
        <f>+'ANEXO D'!GW55</f>
        <v>287.83</v>
      </c>
      <c r="HM149" s="2417">
        <f>+'ANEXO D'!GX55</f>
        <v>294.88</v>
      </c>
      <c r="HN149" s="2417">
        <f>+'ANEXO D'!GY55</f>
        <v>298.69</v>
      </c>
      <c r="HO149" s="2417">
        <f>+'ANEXO D'!GZ55</f>
        <v>305.32</v>
      </c>
      <c r="HP149" s="2417">
        <f>+'ANEXO D'!HA55</f>
        <v>330.61</v>
      </c>
      <c r="HQ149" s="2417">
        <f>+'ANEXO D'!HB55</f>
        <v>336.93</v>
      </c>
      <c r="HR149" s="2417">
        <f>+'ANEXO D'!HC55</f>
        <v>350.19</v>
      </c>
      <c r="HS149" s="2417">
        <f>+'ANEXO D'!HD55</f>
        <v>369.84</v>
      </c>
      <c r="HT149" s="2417">
        <f>+'ANEXO D'!HE55</f>
        <v>390.92</v>
      </c>
      <c r="HU149" s="2417">
        <f>+'ANEXO D'!HF55</f>
        <v>397.2</v>
      </c>
      <c r="HV149" s="2417">
        <f>+'ANEXO D'!HG55</f>
        <v>402.19</v>
      </c>
      <c r="HW149" s="2417">
        <f>+'ANEXO D'!HH55</f>
        <v>402.69</v>
      </c>
      <c r="HX149" s="2417">
        <f>+'ANEXO D'!HI55</f>
        <v>403.6</v>
      </c>
      <c r="HY149" s="2417">
        <f>+'ANEXO D'!HJ55</f>
        <v>405.01</v>
      </c>
      <c r="HZ149" s="2417">
        <f>+'ANEXO D'!HK55</f>
        <v>406.33</v>
      </c>
      <c r="IA149" s="2417">
        <f>+'ANEXO D'!HL55</f>
        <v>407.4</v>
      </c>
      <c r="IB149" s="2417">
        <f>+'ANEXO D'!HM55</f>
        <v>413.53</v>
      </c>
      <c r="IC149" s="2417">
        <f>+'ANEXO D'!HN55</f>
        <v>422.94</v>
      </c>
      <c r="ID149" s="2417">
        <f>+'ANEXO D'!HO55</f>
        <v>431.75</v>
      </c>
      <c r="IE149" s="2417">
        <f>+'ANEXO D'!HP55</f>
        <v>443.02</v>
      </c>
      <c r="IF149" s="2417">
        <f>+'ANEXO D'!HQ55</f>
        <v>459.93</v>
      </c>
      <c r="IG149" s="2417">
        <f>+'ANEXO D'!HR55</f>
        <v>481.21</v>
      </c>
      <c r="IH149" s="2417">
        <f>+'ANEXO D'!HS55</f>
        <v>507.64</v>
      </c>
      <c r="II149" s="2417">
        <f>+'ANEXO D'!HT55</f>
        <v>541.53</v>
      </c>
      <c r="IJ149" s="2417">
        <f>+'ANEXO D'!HU55</f>
        <v>564.55999999999995</v>
      </c>
      <c r="IK149" s="2417">
        <f>+'ANEXO D'!HV55</f>
        <v>595.17999999999995</v>
      </c>
      <c r="IL149" s="2417">
        <f>+'ANEXO D'!HW55</f>
        <v>597.34</v>
      </c>
      <c r="IM149" s="2417">
        <f>+'ANEXO D'!HX55</f>
        <v>604.36</v>
      </c>
      <c r="IN149" s="2417">
        <f>+'ANEXO D'!HY55</f>
        <v>627.42999999999995</v>
      </c>
      <c r="IO149" s="2417">
        <f>+'ANEXO D'!HZ55</f>
        <v>631.88</v>
      </c>
      <c r="IP149" s="2417">
        <f>+'ANEXO D'!IA55</f>
        <v>638.16999999999996</v>
      </c>
      <c r="IQ149" s="2417">
        <f>+'ANEXO D'!IB55</f>
        <v>643.52</v>
      </c>
      <c r="IR149" s="2417">
        <f>+'ANEXO D'!IC55</f>
        <v>653.4</v>
      </c>
      <c r="IS149" s="2417">
        <f>+'ANEXO D'!ID55</f>
        <v>660.75</v>
      </c>
      <c r="IT149" s="2417">
        <f>+'ANEXO D'!IE55</f>
        <v>699.55</v>
      </c>
      <c r="IU149" s="2417">
        <f>+'ANEXO D'!IF55</f>
        <v>748.3</v>
      </c>
      <c r="IV149" s="2417">
        <f>+'ANEXO D'!IG55</f>
        <v>777.91</v>
      </c>
      <c r="IW149" s="2417">
        <f>+'ANEXO D'!IH55</f>
        <v>847.33</v>
      </c>
      <c r="IX149" s="2417">
        <f>+'ANEXO D'!II55</f>
        <v>924.8</v>
      </c>
      <c r="IY149" s="2417">
        <f>+'ANEXO D'!IJ55</f>
        <v>978.14</v>
      </c>
      <c r="IZ149" s="2417">
        <f>+'ANEXO D'!IK55</f>
        <v>1020.32</v>
      </c>
      <c r="JA149" s="2417">
        <f>+'ANEXO D'!IL55</f>
        <v>1043.58</v>
      </c>
      <c r="JB149" s="2417">
        <f>+'ANEXO D'!IM55</f>
        <v>1119.03</v>
      </c>
      <c r="JC149" s="2417">
        <f>+'ANEXO D'!IN55</f>
        <v>1252.33</v>
      </c>
      <c r="JD149" s="2415">
        <f>+'ANEXO D'!IO55</f>
        <v>1362.67</v>
      </c>
      <c r="JE149" s="2422">
        <f>+'ANEXO D'!IP55</f>
        <v>1405.05</v>
      </c>
      <c r="JF149" s="2418">
        <f>+'ANEXO D'!IQ55</f>
        <v>1527.18</v>
      </c>
      <c r="JG149" s="2103">
        <f t="shared" si="14"/>
        <v>1.0869221735881287</v>
      </c>
      <c r="JI149" s="2155"/>
      <c r="JJ149" s="2104"/>
    </row>
    <row r="150" spans="2:270" ht="32.25" thickBot="1">
      <c r="B150" s="2105">
        <v>133</v>
      </c>
      <c r="C150" s="2106"/>
      <c r="D150" s="2425">
        <v>0</v>
      </c>
      <c r="E150" s="2128" t="s">
        <v>750</v>
      </c>
      <c r="F150" s="2106"/>
      <c r="G150" s="2425" t="s">
        <v>1342</v>
      </c>
      <c r="H150" s="2106" t="s">
        <v>900</v>
      </c>
      <c r="I150" s="2106"/>
      <c r="J150" s="2359" t="s">
        <v>353</v>
      </c>
      <c r="K150" s="2565"/>
      <c r="L150" s="2409">
        <v>100</v>
      </c>
      <c r="M150" s="2409">
        <v>106.76745057688221</v>
      </c>
      <c r="N150" s="2409">
        <v>125.96171214809937</v>
      </c>
      <c r="O150" s="2409">
        <v>145.55408379314167</v>
      </c>
      <c r="P150" s="2409">
        <v>177.43446161807776</v>
      </c>
      <c r="Q150" s="2409">
        <v>225.62009710889765</v>
      </c>
      <c r="R150" s="2409">
        <v>252.18389523141474</v>
      </c>
      <c r="S150" s="2409">
        <v>263.37354795093842</v>
      </c>
      <c r="T150" s="2409">
        <v>278.13928333934348</v>
      </c>
      <c r="U150" s="2409">
        <v>284.00878190010491</v>
      </c>
      <c r="V150" s="2409">
        <v>287.57535718044227</v>
      </c>
      <c r="W150" s="2409">
        <v>276.87501132936205</v>
      </c>
      <c r="X150" s="2409">
        <v>275.06840960501353</v>
      </c>
      <c r="Y150" s="2409">
        <v>275.49</v>
      </c>
      <c r="Z150" s="2409">
        <v>274.63</v>
      </c>
      <c r="AA150" s="2409">
        <v>268.68</v>
      </c>
      <c r="AB150" s="2409">
        <v>263.27999999999997</v>
      </c>
      <c r="AC150" s="2409">
        <v>260.02999999999997</v>
      </c>
      <c r="AD150" s="2409">
        <v>258.91000000000003</v>
      </c>
      <c r="AE150" s="2409">
        <v>257.7</v>
      </c>
      <c r="AF150" s="2409">
        <v>260.16000000000003</v>
      </c>
      <c r="AG150" s="2409">
        <v>261.08999999999997</v>
      </c>
      <c r="AH150" s="2409">
        <v>260</v>
      </c>
      <c r="AI150" s="2409">
        <v>261.02</v>
      </c>
      <c r="AJ150" s="2409">
        <v>264.16000000000003</v>
      </c>
      <c r="AK150" s="2409">
        <v>265.13</v>
      </c>
      <c r="AL150" s="2409">
        <v>266.5</v>
      </c>
      <c r="AM150" s="2409">
        <v>266.17</v>
      </c>
      <c r="AN150" s="2409">
        <v>265.67</v>
      </c>
      <c r="AO150" s="2409">
        <v>268.89999999999998</v>
      </c>
      <c r="AP150" s="2409">
        <v>271.39999999999998</v>
      </c>
      <c r="AQ150" s="2409">
        <v>271.89</v>
      </c>
      <c r="AR150" s="2409">
        <v>276.85000000000002</v>
      </c>
      <c r="AS150" s="2409">
        <v>275.92</v>
      </c>
      <c r="AT150" s="2409">
        <v>275.66000000000003</v>
      </c>
      <c r="AU150" s="2409">
        <v>275.74</v>
      </c>
      <c r="AV150" s="2409">
        <v>276.77999999999997</v>
      </c>
      <c r="AW150" s="2410">
        <v>277.73</v>
      </c>
      <c r="AX150" s="2410">
        <v>276.69</v>
      </c>
      <c r="AY150" s="2410">
        <v>285.75</v>
      </c>
      <c r="AZ150" s="2410">
        <v>286.99</v>
      </c>
      <c r="BA150" s="2410">
        <v>286.69</v>
      </c>
      <c r="BB150" s="2410">
        <v>284.73</v>
      </c>
      <c r="BC150" s="2410">
        <v>283.41000000000003</v>
      </c>
      <c r="BD150" s="2411">
        <v>283.87</v>
      </c>
      <c r="BE150" s="2410">
        <v>284.45</v>
      </c>
      <c r="BF150" s="2411">
        <v>285.77</v>
      </c>
      <c r="BG150" s="2411">
        <v>292.45999999999998</v>
      </c>
      <c r="BH150" s="2411">
        <v>294.37</v>
      </c>
      <c r="BI150" s="2412">
        <v>297.16000000000003</v>
      </c>
      <c r="BJ150" s="2412">
        <v>297.88</v>
      </c>
      <c r="BK150" s="2412">
        <v>301.3</v>
      </c>
      <c r="BL150" s="2412">
        <v>297.47000000000003</v>
      </c>
      <c r="BM150" s="2412">
        <v>301.13</v>
      </c>
      <c r="BN150" s="2412">
        <v>301.64</v>
      </c>
      <c r="BO150" s="2412">
        <v>303.61</v>
      </c>
      <c r="BP150" s="2412">
        <v>305.39</v>
      </c>
      <c r="BQ150" s="2412">
        <v>297.95</v>
      </c>
      <c r="BR150" s="2412">
        <v>308.5</v>
      </c>
      <c r="BS150" s="2412">
        <v>306.64999999999998</v>
      </c>
      <c r="BT150" s="2412">
        <v>307.02</v>
      </c>
      <c r="BU150" s="2412">
        <v>311.25</v>
      </c>
      <c r="BV150" s="2412">
        <v>312.58999999999997</v>
      </c>
      <c r="BW150" s="2412">
        <v>311.89999999999998</v>
      </c>
      <c r="BX150" s="2412">
        <v>312.18</v>
      </c>
      <c r="BY150" s="2412">
        <v>319.77</v>
      </c>
      <c r="BZ150" s="2412">
        <v>320.72000000000003</v>
      </c>
      <c r="CA150" s="2412">
        <v>326.45999999999998</v>
      </c>
      <c r="CB150" s="2412">
        <v>327.22000000000003</v>
      </c>
      <c r="CC150" s="2412">
        <v>328.69</v>
      </c>
      <c r="CD150" s="2412">
        <v>330.34</v>
      </c>
      <c r="CE150" s="2412">
        <v>331.82</v>
      </c>
      <c r="CF150" s="2412">
        <v>341.91</v>
      </c>
      <c r="CG150" s="2412">
        <v>333.8</v>
      </c>
      <c r="CH150" s="2412">
        <v>329.11</v>
      </c>
      <c r="CI150" s="2412">
        <v>332.33</v>
      </c>
      <c r="CJ150" s="2412">
        <v>342.36</v>
      </c>
      <c r="CK150" s="2412">
        <v>348.66</v>
      </c>
      <c r="CL150" s="2412">
        <v>351.55</v>
      </c>
      <c r="CM150" s="2412">
        <v>359.26</v>
      </c>
      <c r="CN150" s="2412">
        <v>359.59</v>
      </c>
      <c r="CO150" s="2412">
        <v>362.09</v>
      </c>
      <c r="CP150" s="2412">
        <v>366.49</v>
      </c>
      <c r="CQ150" s="2412">
        <v>368.38</v>
      </c>
      <c r="CR150" s="2412">
        <v>371.37</v>
      </c>
      <c r="CS150" s="2412">
        <v>374.55</v>
      </c>
      <c r="CT150" s="2412">
        <v>379.25</v>
      </c>
      <c r="CU150" s="2412">
        <v>385.26</v>
      </c>
      <c r="CV150" s="2412">
        <v>393.78</v>
      </c>
      <c r="CW150" s="2412">
        <v>401.7</v>
      </c>
      <c r="CX150" s="2412">
        <v>409.83</v>
      </c>
      <c r="CY150" s="2412">
        <v>418.31</v>
      </c>
      <c r="CZ150" s="2412">
        <v>421.15</v>
      </c>
      <c r="DA150" s="2412">
        <v>423.21</v>
      </c>
      <c r="DB150" s="2412">
        <v>433.29</v>
      </c>
      <c r="DC150" s="2412">
        <v>434.2</v>
      </c>
      <c r="DD150" s="2412">
        <v>435.37</v>
      </c>
      <c r="DE150" s="2412">
        <v>436.24</v>
      </c>
      <c r="DF150" s="2412">
        <v>439.42</v>
      </c>
      <c r="DG150" s="2412">
        <v>446.84</v>
      </c>
      <c r="DH150" s="2412">
        <v>453.59</v>
      </c>
      <c r="DI150" s="2412">
        <v>467.19</v>
      </c>
      <c r="DJ150" s="2412">
        <v>474.05</v>
      </c>
      <c r="DK150" s="2412">
        <v>479.35</v>
      </c>
      <c r="DL150" s="2412">
        <v>488.83</v>
      </c>
      <c r="DM150" s="2412">
        <v>493.07</v>
      </c>
      <c r="DN150" s="2412">
        <v>500.31</v>
      </c>
      <c r="DO150" s="2412">
        <v>502.87</v>
      </c>
      <c r="DP150" s="2412">
        <v>517.38</v>
      </c>
      <c r="DQ150" s="2412">
        <v>526.59</v>
      </c>
      <c r="DR150" s="2412">
        <v>528.32000000000005</v>
      </c>
      <c r="DS150" s="2412">
        <v>530.58000000000004</v>
      </c>
      <c r="DT150" s="2412">
        <v>554.25</v>
      </c>
      <c r="DU150" s="2412">
        <v>558.55999999999995</v>
      </c>
      <c r="DV150" s="2412">
        <v>562.35</v>
      </c>
      <c r="DW150" s="2412">
        <v>570.86</v>
      </c>
      <c r="DX150" s="2412">
        <v>581.22</v>
      </c>
      <c r="DY150" s="2412">
        <v>585.57000000000005</v>
      </c>
      <c r="DZ150" s="2412">
        <v>588.53</v>
      </c>
      <c r="EA150" s="2412">
        <v>597.46</v>
      </c>
      <c r="EB150" s="2412">
        <v>601.61</v>
      </c>
      <c r="EC150" s="2412">
        <v>612.4</v>
      </c>
      <c r="ED150" s="2412">
        <v>614.33000000000004</v>
      </c>
      <c r="EE150" s="2412">
        <v>620.87</v>
      </c>
      <c r="EF150" s="2412">
        <v>626.74</v>
      </c>
      <c r="EG150" s="2412">
        <v>633.71</v>
      </c>
      <c r="EH150" s="2412">
        <v>668.56</v>
      </c>
      <c r="EI150" s="2412">
        <v>678.95</v>
      </c>
      <c r="EJ150" s="2412">
        <v>682.73</v>
      </c>
      <c r="EK150" s="2412">
        <v>685.67</v>
      </c>
      <c r="EL150" s="2412">
        <v>687.49</v>
      </c>
      <c r="EM150" s="2412">
        <v>692.13</v>
      </c>
      <c r="EN150" s="2412">
        <v>693.6</v>
      </c>
      <c r="EO150" s="2412">
        <v>699.94</v>
      </c>
      <c r="EP150" s="2412">
        <v>704.24</v>
      </c>
      <c r="EQ150" s="2412">
        <v>712.3</v>
      </c>
      <c r="ER150" s="2412">
        <v>721.18</v>
      </c>
      <c r="ES150" s="2412">
        <v>728.12</v>
      </c>
      <c r="ET150" s="2412">
        <v>762.04</v>
      </c>
      <c r="EU150" s="2412">
        <v>768.39</v>
      </c>
      <c r="EV150" s="2412">
        <v>772.88</v>
      </c>
      <c r="EW150" s="2412">
        <v>786.24</v>
      </c>
      <c r="EX150" s="2412">
        <v>787.34</v>
      </c>
      <c r="EY150" s="2412">
        <v>790.03</v>
      </c>
      <c r="EZ150" s="2412">
        <v>800.8</v>
      </c>
      <c r="FA150" s="2412">
        <v>820.53</v>
      </c>
      <c r="FB150" s="2412">
        <v>850.62</v>
      </c>
      <c r="FC150" s="2412">
        <v>875.16</v>
      </c>
      <c r="FD150" s="2412">
        <v>938.47</v>
      </c>
      <c r="FE150" s="2412">
        <v>943.69</v>
      </c>
      <c r="FF150" s="2412">
        <v>948.39</v>
      </c>
      <c r="FG150" s="2412">
        <v>990.9</v>
      </c>
      <c r="FH150" s="2412">
        <v>1001.65</v>
      </c>
      <c r="FI150" s="2412">
        <v>1013.26</v>
      </c>
      <c r="FJ150" s="2412">
        <v>1021.07</v>
      </c>
      <c r="FK150" s="2412">
        <v>1027.83</v>
      </c>
      <c r="FL150" s="2412">
        <v>1030.32</v>
      </c>
      <c r="FM150" s="2412">
        <v>1013.45</v>
      </c>
      <c r="FN150" s="2412">
        <v>1021.51</v>
      </c>
      <c r="FO150" s="2412">
        <v>1032.96</v>
      </c>
      <c r="FP150" s="2412">
        <v>1084.8699999999999</v>
      </c>
      <c r="FQ150" s="2412">
        <v>1097.8</v>
      </c>
      <c r="FR150" s="2412">
        <v>1112.24</v>
      </c>
      <c r="FS150" s="2412">
        <v>1124.6300000000001</v>
      </c>
      <c r="FT150" s="2412">
        <v>1161.71</v>
      </c>
      <c r="FU150" s="2412">
        <v>1165.6199999999999</v>
      </c>
      <c r="FV150" s="2412">
        <v>1170.55</v>
      </c>
      <c r="FW150" s="2413" t="e">
        <f>+'ANEXO D'!FH74</f>
        <v>#REF!</v>
      </c>
      <c r="FX150" s="2413" t="e">
        <f>+'ANEXO D'!FI74</f>
        <v>#REF!</v>
      </c>
      <c r="FY150" s="2416">
        <f>+'ANEXO D'!FJ74</f>
        <v>100</v>
      </c>
      <c r="FZ150" s="2417">
        <f>+'ANEXO D'!FK74</f>
        <v>105</v>
      </c>
      <c r="GA150" s="2417">
        <f>+'ANEXO D'!FL74</f>
        <v>104.58</v>
      </c>
      <c r="GB150" s="2417">
        <f>+'ANEXO D'!FM74</f>
        <v>108.06</v>
      </c>
      <c r="GC150" s="2417">
        <f>+'ANEXO D'!FN74</f>
        <v>110.87</v>
      </c>
      <c r="GD150" s="2417">
        <f>+'ANEXO D'!FO74</f>
        <v>114.71</v>
      </c>
      <c r="GE150" s="2417">
        <f>+'ANEXO D'!FP74</f>
        <v>114.71</v>
      </c>
      <c r="GF150" s="2417">
        <f>+'ANEXO D'!FQ74</f>
        <v>114.71</v>
      </c>
      <c r="GG150" s="2417">
        <f>+'ANEXO D'!FR74</f>
        <v>115.05</v>
      </c>
      <c r="GH150" s="2417">
        <f>+'ANEXO D'!FS74</f>
        <v>116.97</v>
      </c>
      <c r="GI150" s="2417">
        <f>+'ANEXO D'!FT74</f>
        <v>117.98</v>
      </c>
      <c r="GJ150" s="2417">
        <f>+'ANEXO D'!FU74</f>
        <v>119.07</v>
      </c>
      <c r="GK150" s="2417">
        <f>+'ANEXO D'!FV74</f>
        <v>120.82</v>
      </c>
      <c r="GL150" s="2417">
        <f>+'ANEXO D'!FW74</f>
        <v>121.56</v>
      </c>
      <c r="GM150" s="2417">
        <f>+'ANEXO D'!FX74</f>
        <v>121.7</v>
      </c>
      <c r="GN150" s="2417">
        <f>+'ANEXO D'!FY74</f>
        <v>123.12</v>
      </c>
      <c r="GO150" s="2417">
        <f>+'ANEXO D'!FZ74</f>
        <v>123.78</v>
      </c>
      <c r="GP150" s="2417">
        <f>+'ANEXO D'!GA74</f>
        <v>124.9</v>
      </c>
      <c r="GQ150" s="2417">
        <f>+'ANEXO D'!GB74</f>
        <v>136.74</v>
      </c>
      <c r="GR150" s="2417">
        <f>+'ANEXO D'!GC74</f>
        <v>137.79</v>
      </c>
      <c r="GS150" s="2417">
        <f>+'ANEXO D'!GD74</f>
        <v>136.59</v>
      </c>
      <c r="GT150" s="2417">
        <f>+'ANEXO D'!GE74</f>
        <v>139.66</v>
      </c>
      <c r="GU150" s="2417">
        <f>+'ANEXO D'!GF74</f>
        <v>144.05000000000001</v>
      </c>
      <c r="GV150" s="2417">
        <f>+'ANEXO D'!GG74</f>
        <v>149.41999999999999</v>
      </c>
      <c r="GW150" s="2417">
        <f>+'ANEXO D'!GH74</f>
        <v>153.12</v>
      </c>
      <c r="GX150" s="2417">
        <f>+'ANEXO D'!GI74</f>
        <v>162.32</v>
      </c>
      <c r="GY150" s="2417">
        <f>+'ANEXO D'!GJ74</f>
        <v>164.83</v>
      </c>
      <c r="GZ150" s="2417">
        <f>+'ANEXO D'!GK74</f>
        <v>167.8</v>
      </c>
      <c r="HA150" s="2417">
        <f>+'ANEXO D'!GL74</f>
        <v>188.72</v>
      </c>
      <c r="HB150" s="2417">
        <f>+'ANEXO D'!GM74</f>
        <v>204.04</v>
      </c>
      <c r="HC150" s="2417">
        <f>+'ANEXO D'!GN74</f>
        <v>216.78</v>
      </c>
      <c r="HD150" s="2417">
        <f>+'ANEXO D'!GO74</f>
        <v>225.11</v>
      </c>
      <c r="HE150" s="2417">
        <f>+'ANEXO D'!GP74</f>
        <v>274.33</v>
      </c>
      <c r="HF150" s="2417">
        <f>+'ANEXO D'!GQ74</f>
        <v>275.74</v>
      </c>
      <c r="HG150" s="2417">
        <f>+'ANEXO D'!GR74</f>
        <v>271.41000000000003</v>
      </c>
      <c r="HH150" s="2417">
        <f>+'ANEXO D'!GS74</f>
        <v>286</v>
      </c>
      <c r="HI150" s="2417">
        <f>+'ANEXO D'!GT74</f>
        <v>277.48</v>
      </c>
      <c r="HJ150" s="2417">
        <f>+'ANEXO D'!GU74</f>
        <v>296.93</v>
      </c>
      <c r="HK150" s="2417">
        <f>+'ANEXO D'!GV74</f>
        <v>303.35000000000002</v>
      </c>
      <c r="HL150" s="2417">
        <f>+'ANEXO D'!GW74</f>
        <v>321.83</v>
      </c>
      <c r="HM150" s="2417">
        <f>+'ANEXO D'!GX74</f>
        <v>341.62</v>
      </c>
      <c r="HN150" s="2417">
        <f>+'ANEXO D'!GY74</f>
        <v>334.22</v>
      </c>
      <c r="HO150" s="2417">
        <f>+'ANEXO D'!GZ74</f>
        <v>336.49</v>
      </c>
      <c r="HP150" s="2417">
        <f>+'ANEXO D'!HA74</f>
        <v>395.46</v>
      </c>
      <c r="HQ150" s="2417">
        <f>+'ANEXO D'!HB74</f>
        <v>411.23</v>
      </c>
      <c r="HR150" s="2417">
        <f>+'ANEXO D'!HC74</f>
        <v>423.04</v>
      </c>
      <c r="HS150" s="2417">
        <f>+'ANEXO D'!HD74</f>
        <v>429.3</v>
      </c>
      <c r="HT150" s="2417">
        <f>+'ANEXO D'!HE74</f>
        <v>438.02</v>
      </c>
      <c r="HU150" s="2417">
        <f>+'ANEXO D'!HF74</f>
        <v>451.8</v>
      </c>
      <c r="HV150" s="2417">
        <f>+'ANEXO D'!HG74</f>
        <v>456.93</v>
      </c>
      <c r="HW150" s="2417">
        <f>+'ANEXO D'!HH74</f>
        <v>464.52</v>
      </c>
      <c r="HX150" s="2417">
        <f>+'ANEXO D'!HI74</f>
        <v>477.5</v>
      </c>
      <c r="HY150" s="2417">
        <f>+'ANEXO D'!HJ74</f>
        <v>484.81</v>
      </c>
      <c r="HZ150" s="2417">
        <f>+'ANEXO D'!HK74</f>
        <v>498.55</v>
      </c>
      <c r="IA150" s="2417">
        <f>+'ANEXO D'!HL74</f>
        <v>510.81</v>
      </c>
      <c r="IB150" s="2417">
        <f>+'ANEXO D'!HM74</f>
        <v>523.37</v>
      </c>
      <c r="IC150" s="2417">
        <f>+'ANEXO D'!HN74</f>
        <v>539.83000000000004</v>
      </c>
      <c r="ID150" s="2417">
        <f>+'ANEXO D'!HO74</f>
        <v>561.79999999999995</v>
      </c>
      <c r="IE150" s="2417">
        <f>+'ANEXO D'!HP74</f>
        <v>586.35</v>
      </c>
      <c r="IF150" s="2417">
        <f>+'ANEXO D'!HQ74</f>
        <v>613.08000000000004</v>
      </c>
      <c r="IG150" s="2417">
        <f>+'ANEXO D'!HR74</f>
        <v>634.26</v>
      </c>
      <c r="IH150" s="2417">
        <f>+'ANEXO D'!HS74</f>
        <v>668.14</v>
      </c>
      <c r="II150" s="2417">
        <f>+'ANEXO D'!HT74</f>
        <v>708.66</v>
      </c>
      <c r="IJ150" s="2417">
        <f>+'ANEXO D'!HU74</f>
        <v>734.95</v>
      </c>
      <c r="IK150" s="2417">
        <f>+'ANEXO D'!HV74</f>
        <v>765.19</v>
      </c>
      <c r="IL150" s="2417">
        <f>+'ANEXO D'!HW74</f>
        <v>772.84</v>
      </c>
      <c r="IM150" s="2417">
        <f>+'ANEXO D'!HX74</f>
        <v>785.03</v>
      </c>
      <c r="IN150" s="2417">
        <f>+'ANEXO D'!HY74</f>
        <v>798.69</v>
      </c>
      <c r="IO150" s="2417">
        <f>+'ANEXO D'!HZ74</f>
        <v>802.7</v>
      </c>
      <c r="IP150" s="2417">
        <f>+'ANEXO D'!IA74</f>
        <v>814.52</v>
      </c>
      <c r="IQ150" s="2417">
        <f>+'ANEXO D'!IB74</f>
        <v>820.85</v>
      </c>
      <c r="IR150" s="2417">
        <f>+'ANEXO D'!IC74</f>
        <v>833.11</v>
      </c>
      <c r="IS150" s="2417">
        <f>+'ANEXO D'!ID74</f>
        <v>850.56</v>
      </c>
      <c r="IT150" s="2417">
        <f>+'ANEXO D'!IE74</f>
        <v>891.83</v>
      </c>
      <c r="IU150" s="2417">
        <f>+'ANEXO D'!IF74</f>
        <v>945.92</v>
      </c>
      <c r="IV150" s="2417">
        <f>+'ANEXO D'!IG74</f>
        <v>979.1</v>
      </c>
      <c r="IW150" s="2417">
        <f>+'ANEXO D'!IH74</f>
        <v>1051.53</v>
      </c>
      <c r="IX150" s="2417">
        <f>+'ANEXO D'!II74</f>
        <v>1131.81</v>
      </c>
      <c r="IY150" s="2417">
        <f>+'ANEXO D'!IJ74</f>
        <v>1185.2</v>
      </c>
      <c r="IZ150" s="2417">
        <f>+'ANEXO D'!IK74</f>
        <v>1231.8399999999999</v>
      </c>
      <c r="JA150" s="2417">
        <f>+'ANEXO D'!IL74</f>
        <v>1298.71</v>
      </c>
      <c r="JB150" s="2417">
        <f>+'ANEXO D'!IM74</f>
        <v>1391.07</v>
      </c>
      <c r="JC150" s="2417">
        <f>+'ANEXO D'!IN74</f>
        <v>1549.88</v>
      </c>
      <c r="JD150" s="2415">
        <f>+'ANEXO D'!IO74</f>
        <v>1657.6</v>
      </c>
      <c r="JE150" s="2422">
        <f>+'ANEXO D'!IP74</f>
        <v>1721.91</v>
      </c>
      <c r="JF150" s="2418">
        <f>+'ANEXO D'!IQ74</f>
        <v>1851</v>
      </c>
      <c r="JG150" s="2103">
        <f t="shared" si="14"/>
        <v>1.074969075038765</v>
      </c>
      <c r="JI150" s="2155"/>
      <c r="JJ150" s="2104"/>
    </row>
    <row r="151" spans="2:270" ht="28.5" hidden="1" customHeight="1">
      <c r="B151" s="2105">
        <v>134</v>
      </c>
      <c r="C151" s="2106">
        <v>30</v>
      </c>
      <c r="D151" s="2425" t="s">
        <v>1155</v>
      </c>
      <c r="E151" s="2127" t="s">
        <v>751</v>
      </c>
      <c r="F151" s="2106" t="s">
        <v>918</v>
      </c>
      <c r="G151" s="2425" t="s">
        <v>1143</v>
      </c>
      <c r="H151" s="2106" t="s">
        <v>223</v>
      </c>
      <c r="I151" s="2106" t="s">
        <v>229</v>
      </c>
      <c r="J151" s="2359" t="s">
        <v>334</v>
      </c>
      <c r="K151" s="2278"/>
      <c r="L151" s="2110">
        <v>78.05</v>
      </c>
      <c r="M151" s="2110">
        <v>86.74</v>
      </c>
      <c r="N151" s="2110">
        <v>140.44999999999999</v>
      </c>
      <c r="O151" s="2110">
        <v>157</v>
      </c>
      <c r="P151" s="2110">
        <v>193.97</v>
      </c>
      <c r="Q151" s="2110">
        <v>225.26</v>
      </c>
      <c r="R151" s="2110">
        <v>242.12</v>
      </c>
      <c r="S151" s="2110">
        <v>237.06</v>
      </c>
      <c r="T151" s="2110">
        <v>239.77</v>
      </c>
      <c r="U151" s="2110">
        <v>239.92</v>
      </c>
      <c r="V151" s="2110">
        <v>241.07</v>
      </c>
      <c r="W151" s="2110">
        <v>236.94</v>
      </c>
      <c r="X151" s="2110">
        <v>237.86</v>
      </c>
      <c r="Y151" s="2110">
        <v>222.83</v>
      </c>
      <c r="Z151" s="2110">
        <v>219.15</v>
      </c>
      <c r="AA151" s="2110">
        <v>215.07</v>
      </c>
      <c r="AB151" s="2110">
        <v>208.48</v>
      </c>
      <c r="AC151" s="2110">
        <v>205.67</v>
      </c>
      <c r="AD151" s="2110">
        <v>202.31</v>
      </c>
      <c r="AE151" s="2110">
        <v>201.34</v>
      </c>
      <c r="AF151" s="2110">
        <v>197.95</v>
      </c>
      <c r="AG151" s="2110">
        <v>197.77</v>
      </c>
      <c r="AH151" s="2110">
        <v>196.43</v>
      </c>
      <c r="AI151" s="2110">
        <v>196.45</v>
      </c>
      <c r="AJ151" s="2110">
        <v>199.56</v>
      </c>
      <c r="AK151" s="2110">
        <v>193.39</v>
      </c>
      <c r="AL151" s="2110">
        <v>194.33</v>
      </c>
      <c r="AM151" s="2110">
        <v>194.33</v>
      </c>
      <c r="AN151" s="2110">
        <v>191.17</v>
      </c>
      <c r="AO151" s="2110">
        <v>193.7</v>
      </c>
      <c r="AP151" s="2110">
        <v>195.19</v>
      </c>
      <c r="AQ151" s="2110">
        <v>194.81</v>
      </c>
      <c r="AR151" s="2110">
        <v>197.38</v>
      </c>
      <c r="AS151" s="2110">
        <v>196.63</v>
      </c>
      <c r="AT151" s="2110">
        <v>195.85</v>
      </c>
      <c r="AU151" s="2110">
        <v>194.85</v>
      </c>
      <c r="AV151" s="2110">
        <v>195.81</v>
      </c>
      <c r="AW151" s="2111">
        <v>194.59</v>
      </c>
      <c r="AX151" s="2111">
        <v>184.52</v>
      </c>
      <c r="AY151" s="2111">
        <v>193.91</v>
      </c>
      <c r="AZ151" s="2111">
        <v>193.23</v>
      </c>
      <c r="BA151" s="2111">
        <v>192.89</v>
      </c>
      <c r="BB151" s="2111">
        <v>192.21</v>
      </c>
      <c r="BC151" s="2111">
        <v>192.03</v>
      </c>
      <c r="BD151" s="2112">
        <v>192.45</v>
      </c>
      <c r="BE151" s="2111">
        <v>192.99</v>
      </c>
      <c r="BF151" s="2112">
        <v>194.66</v>
      </c>
      <c r="BG151" s="2112">
        <v>194.44</v>
      </c>
      <c r="BH151" s="2112">
        <v>196.03</v>
      </c>
      <c r="BI151" s="2108">
        <v>194.25</v>
      </c>
      <c r="BJ151" s="2108">
        <v>192.09</v>
      </c>
      <c r="BK151" s="2108">
        <v>192.14</v>
      </c>
      <c r="BL151" s="2108">
        <v>192.24</v>
      </c>
      <c r="BM151" s="2108">
        <v>191.79</v>
      </c>
      <c r="BN151" s="2108">
        <v>192.27</v>
      </c>
      <c r="BO151" s="2108">
        <v>192.3</v>
      </c>
      <c r="BP151" s="2108">
        <v>192.25</v>
      </c>
      <c r="BQ151" s="2108">
        <v>192.73</v>
      </c>
      <c r="BR151" s="2108">
        <v>192.68</v>
      </c>
      <c r="BS151" s="2108">
        <v>189.53</v>
      </c>
      <c r="BT151" s="2108">
        <v>189.39</v>
      </c>
      <c r="BU151" s="2108">
        <v>190.15</v>
      </c>
      <c r="BV151" s="2108">
        <v>192.8</v>
      </c>
      <c r="BW151" s="2108">
        <v>192.8</v>
      </c>
      <c r="BX151" s="2108">
        <v>192.64</v>
      </c>
      <c r="BY151" s="2108">
        <v>193.04</v>
      </c>
      <c r="BZ151" s="2108">
        <v>192.98</v>
      </c>
      <c r="CA151" s="2108">
        <v>194.29</v>
      </c>
      <c r="CB151" s="2108">
        <v>198.82</v>
      </c>
      <c r="CC151" s="2108">
        <v>195.37</v>
      </c>
      <c r="CD151" s="2108">
        <v>206.96</v>
      </c>
      <c r="CE151" s="2108">
        <v>205.72</v>
      </c>
      <c r="CF151" s="2108">
        <v>205.82</v>
      </c>
      <c r="CG151" s="2108">
        <v>205.77</v>
      </c>
      <c r="CH151" s="2108">
        <v>206.35</v>
      </c>
      <c r="CI151" s="2108">
        <v>208.17</v>
      </c>
      <c r="CJ151" s="2108">
        <v>207.26</v>
      </c>
      <c r="CK151" s="2108">
        <v>207.26</v>
      </c>
      <c r="CL151" s="2108">
        <v>205.51</v>
      </c>
      <c r="CM151" s="2108">
        <v>205.06</v>
      </c>
      <c r="CN151" s="2108">
        <v>205.06</v>
      </c>
      <c r="CO151" s="2108">
        <v>211.43</v>
      </c>
      <c r="CP151" s="2108">
        <v>215.13</v>
      </c>
      <c r="CQ151" s="2108">
        <v>221.99</v>
      </c>
      <c r="CR151" s="2108">
        <v>226.09</v>
      </c>
      <c r="CS151" s="2108">
        <v>227.36</v>
      </c>
      <c r="CT151" s="2108">
        <v>228.32</v>
      </c>
      <c r="CU151" s="2108">
        <v>243.72</v>
      </c>
      <c r="CV151" s="2108">
        <v>235.78</v>
      </c>
      <c r="CW151" s="2108">
        <v>239.88</v>
      </c>
      <c r="CX151" s="2108">
        <v>241.58</v>
      </c>
      <c r="CY151" s="2108">
        <v>243.56</v>
      </c>
      <c r="CZ151" s="2108">
        <v>245.7</v>
      </c>
      <c r="DA151" s="2108">
        <v>245.14</v>
      </c>
      <c r="DB151" s="2108">
        <v>245.14</v>
      </c>
      <c r="DC151" s="2108">
        <v>244.23</v>
      </c>
      <c r="DD151" s="2108">
        <v>244.28</v>
      </c>
      <c r="DE151" s="2108">
        <v>244.33</v>
      </c>
      <c r="DF151" s="2108">
        <v>246.38</v>
      </c>
      <c r="DG151" s="2108">
        <v>246.58</v>
      </c>
      <c r="DH151" s="2108">
        <v>248.43</v>
      </c>
      <c r="DI151" s="2108">
        <v>248.15</v>
      </c>
      <c r="DJ151" s="2108">
        <v>249.05</v>
      </c>
      <c r="DK151" s="2108">
        <v>249.33</v>
      </c>
      <c r="DL151" s="2108">
        <v>249.34</v>
      </c>
      <c r="DM151" s="2108">
        <v>249.62</v>
      </c>
      <c r="DN151" s="2108">
        <v>250.2</v>
      </c>
      <c r="DO151" s="2108">
        <v>250.38</v>
      </c>
      <c r="DP151" s="2108">
        <v>250.7</v>
      </c>
      <c r="DQ151" s="2108">
        <v>252.36</v>
      </c>
      <c r="DR151" s="2108">
        <v>254.51</v>
      </c>
      <c r="DS151" s="2108">
        <v>255.03</v>
      </c>
      <c r="DT151" s="2108">
        <v>256.83999999999997</v>
      </c>
      <c r="DU151" s="2108">
        <v>258.11</v>
      </c>
      <c r="DV151" s="2108">
        <v>258.7</v>
      </c>
      <c r="DW151" s="2108">
        <v>261.35000000000002</v>
      </c>
      <c r="DX151" s="2108">
        <v>262.93</v>
      </c>
      <c r="DY151" s="2108">
        <v>265.41000000000003</v>
      </c>
      <c r="DZ151" s="2108">
        <v>265.92</v>
      </c>
      <c r="EA151" s="2108">
        <v>269.52</v>
      </c>
      <c r="EB151" s="2108">
        <v>270.10000000000002</v>
      </c>
      <c r="EC151" s="2108">
        <v>273.58</v>
      </c>
      <c r="ED151" s="2108">
        <v>274.25</v>
      </c>
      <c r="EE151" s="2108">
        <v>278.82</v>
      </c>
      <c r="EF151" s="2108">
        <v>280.39</v>
      </c>
      <c r="EG151" s="2108">
        <v>286.41000000000003</v>
      </c>
      <c r="EH151" s="2108">
        <v>294.81</v>
      </c>
      <c r="EI151" s="2108">
        <v>299.54000000000002</v>
      </c>
      <c r="EJ151" s="2108">
        <v>302.19</v>
      </c>
      <c r="EK151" s="2108">
        <v>305.06</v>
      </c>
      <c r="EL151" s="2108">
        <v>308.56</v>
      </c>
      <c r="EM151" s="2108">
        <v>311.18</v>
      </c>
      <c r="EN151" s="2108">
        <v>316.61</v>
      </c>
      <c r="EO151" s="2108">
        <v>321.41000000000003</v>
      </c>
      <c r="EP151" s="2108">
        <v>326.23</v>
      </c>
      <c r="EQ151" s="2108">
        <v>330.44</v>
      </c>
      <c r="ER151" s="2108">
        <v>331.92</v>
      </c>
      <c r="ES151" s="2108">
        <v>340.84</v>
      </c>
      <c r="ET151" s="2108">
        <v>346.29</v>
      </c>
      <c r="EU151" s="2108">
        <v>353.74</v>
      </c>
      <c r="EV151" s="2108">
        <v>358.66</v>
      </c>
      <c r="EW151" s="2108">
        <v>367.34</v>
      </c>
      <c r="EX151" s="2108">
        <v>372.22</v>
      </c>
      <c r="EY151" s="2108">
        <v>380.16</v>
      </c>
      <c r="EZ151" s="2108">
        <v>390.66</v>
      </c>
      <c r="FA151" s="2108">
        <v>413.41</v>
      </c>
      <c r="FB151" s="2108">
        <v>470.18</v>
      </c>
      <c r="FC151" s="2108">
        <v>469.74</v>
      </c>
      <c r="FD151" s="2108">
        <v>476.56</v>
      </c>
      <c r="FE151" s="2108">
        <v>477.99</v>
      </c>
      <c r="FF151" s="2108">
        <v>481.83</v>
      </c>
      <c r="FG151" s="2108">
        <v>482.41</v>
      </c>
      <c r="FH151" s="2108">
        <v>486.33</v>
      </c>
      <c r="FI151" s="2108">
        <v>499.39</v>
      </c>
      <c r="FJ151" s="2108">
        <v>501.06</v>
      </c>
      <c r="FK151" s="2108">
        <v>506.58</v>
      </c>
      <c r="FL151" s="2108">
        <v>508.11</v>
      </c>
      <c r="FM151" s="2108">
        <v>509.52</v>
      </c>
      <c r="FN151" s="2108">
        <v>515.39</v>
      </c>
      <c r="FO151" s="2108">
        <v>519.44000000000005</v>
      </c>
      <c r="FP151" s="2108">
        <v>522.85</v>
      </c>
      <c r="FQ151" s="2108">
        <v>529.04999999999995</v>
      </c>
      <c r="FR151" s="2108">
        <v>531.21</v>
      </c>
      <c r="FS151" s="2108">
        <v>536.05999999999995</v>
      </c>
      <c r="FT151" s="2108">
        <v>544.45000000000005</v>
      </c>
      <c r="FU151" s="2108">
        <v>550.54999999999995</v>
      </c>
      <c r="FV151" s="2108">
        <v>558.6</v>
      </c>
      <c r="FW151" s="2113" t="s">
        <v>521</v>
      </c>
      <c r="FX151" s="2113" t="s">
        <v>521</v>
      </c>
      <c r="FY151" s="2113">
        <v>100</v>
      </c>
      <c r="FZ151" s="2113" t="s">
        <v>521</v>
      </c>
      <c r="GA151" s="2113" t="s">
        <v>521</v>
      </c>
      <c r="GB151" s="2113" t="s">
        <v>521</v>
      </c>
      <c r="GC151" s="2113" t="s">
        <v>521</v>
      </c>
      <c r="GD151" s="2113" t="s">
        <v>521</v>
      </c>
      <c r="GE151" s="2113" t="s">
        <v>521</v>
      </c>
      <c r="GF151" s="2114" t="s">
        <v>521</v>
      </c>
      <c r="GG151" s="1960" t="s">
        <v>521</v>
      </c>
      <c r="GH151" s="2114" t="s">
        <v>521</v>
      </c>
      <c r="GI151" s="2114" t="s">
        <v>521</v>
      </c>
      <c r="GJ151" s="2113" t="s">
        <v>521</v>
      </c>
      <c r="GK151" s="2113" t="s">
        <v>521</v>
      </c>
      <c r="GL151" s="2113" t="s">
        <v>521</v>
      </c>
      <c r="GM151" s="2114" t="s">
        <v>521</v>
      </c>
      <c r="GN151" s="2114" t="s">
        <v>521</v>
      </c>
      <c r="GO151" s="2115" t="s">
        <v>521</v>
      </c>
      <c r="GP151" s="2116" t="s">
        <v>521</v>
      </c>
      <c r="GQ151" s="2116" t="s">
        <v>521</v>
      </c>
      <c r="GR151" s="2116" t="s">
        <v>521</v>
      </c>
      <c r="GS151" s="2116" t="s">
        <v>521</v>
      </c>
      <c r="GT151" s="1960" t="s">
        <v>521</v>
      </c>
      <c r="GU151" s="1960" t="s">
        <v>521</v>
      </c>
      <c r="GV151" s="1960" t="s">
        <v>521</v>
      </c>
      <c r="GW151" s="1960" t="s">
        <v>521</v>
      </c>
      <c r="GX151" s="1960" t="s">
        <v>521</v>
      </c>
      <c r="GY151" s="1960" t="s">
        <v>521</v>
      </c>
      <c r="GZ151" s="1960">
        <v>100</v>
      </c>
      <c r="HA151" s="1960">
        <v>108.05690628291714</v>
      </c>
      <c r="HB151" s="1960">
        <v>126.4083493035299</v>
      </c>
      <c r="HC151" s="1960">
        <v>131.22443213129526</v>
      </c>
      <c r="HD151" s="1960">
        <v>139.5440454953108</v>
      </c>
      <c r="HE151" s="1960">
        <v>162.00904807370213</v>
      </c>
      <c r="HF151" s="1960">
        <v>164.36784179233166</v>
      </c>
      <c r="HG151" s="1960">
        <v>163.64321620758477</v>
      </c>
      <c r="HH151" s="1960">
        <v>164.37369046424072</v>
      </c>
      <c r="HI151" s="1960">
        <v>163.85972801141259</v>
      </c>
      <c r="HJ151" s="1960">
        <v>164.53637622539799</v>
      </c>
      <c r="HK151" s="1960">
        <v>165.49915097316614</v>
      </c>
      <c r="HL151" s="1960">
        <v>171.94401942506786</v>
      </c>
      <c r="HM151" s="1960">
        <v>171.94401942506786</v>
      </c>
      <c r="HN151" s="1960">
        <v>178.34232233355209</v>
      </c>
      <c r="HO151" s="1960">
        <v>168.66888577958906</v>
      </c>
      <c r="HP151" s="1960">
        <v>201.4542316821711</v>
      </c>
      <c r="HQ151" s="1960">
        <v>216.74024468380594</v>
      </c>
      <c r="HR151" s="1960">
        <v>219.95426961060247</v>
      </c>
      <c r="HS151" s="1960">
        <v>219.95426961060247</v>
      </c>
      <c r="HT151" s="1962">
        <v>219.95426961060247</v>
      </c>
      <c r="HU151" s="1961"/>
      <c r="HV151" s="1960">
        <v>0</v>
      </c>
      <c r="HW151" s="1960">
        <v>0</v>
      </c>
      <c r="HX151" s="1960">
        <v>0</v>
      </c>
      <c r="HY151" s="1960">
        <v>0</v>
      </c>
      <c r="HZ151" s="1960">
        <v>0</v>
      </c>
      <c r="IA151" s="1960">
        <v>0</v>
      </c>
      <c r="IB151" s="1960">
        <v>0</v>
      </c>
      <c r="IC151" s="1960">
        <v>0</v>
      </c>
      <c r="ID151" s="1960">
        <v>0</v>
      </c>
      <c r="IE151" s="1960">
        <v>0</v>
      </c>
      <c r="IF151" s="1960">
        <v>0</v>
      </c>
      <c r="IG151" s="1961">
        <v>0</v>
      </c>
      <c r="IH151" s="1960">
        <v>0</v>
      </c>
      <c r="II151" s="1960">
        <v>0</v>
      </c>
      <c r="IJ151" s="1961">
        <v>0</v>
      </c>
      <c r="IK151" s="1960">
        <v>0</v>
      </c>
      <c r="IL151" s="1960">
        <v>0</v>
      </c>
      <c r="IM151" s="1960">
        <v>0</v>
      </c>
      <c r="IN151" s="1960">
        <v>0</v>
      </c>
      <c r="IO151" s="1960">
        <v>0</v>
      </c>
      <c r="IP151" s="1960">
        <v>0</v>
      </c>
      <c r="IQ151" s="1960">
        <v>0</v>
      </c>
      <c r="IR151" s="1960">
        <v>0</v>
      </c>
      <c r="IS151" s="2274">
        <v>0</v>
      </c>
      <c r="IT151" s="1960">
        <v>0</v>
      </c>
      <c r="IU151" s="1960">
        <v>0</v>
      </c>
      <c r="IV151" s="1960">
        <v>0</v>
      </c>
      <c r="IW151" s="1960">
        <v>0</v>
      </c>
      <c r="IX151" s="1960">
        <v>0</v>
      </c>
      <c r="IY151" s="1960">
        <v>0</v>
      </c>
      <c r="IZ151" s="1960">
        <v>0</v>
      </c>
      <c r="JA151" s="1960">
        <v>0</v>
      </c>
      <c r="JB151" s="1960">
        <v>0</v>
      </c>
      <c r="JC151" s="1960">
        <v>0</v>
      </c>
      <c r="JD151" s="1960">
        <v>0</v>
      </c>
      <c r="JE151" s="2274">
        <v>0</v>
      </c>
      <c r="JF151" s="2117">
        <v>0</v>
      </c>
      <c r="JG151" s="2103" t="e">
        <f t="shared" si="14"/>
        <v>#DIV/0!</v>
      </c>
      <c r="JI151" s="2155"/>
      <c r="JJ151" s="2104"/>
    </row>
    <row r="152" spans="2:270" ht="18" customHeight="1">
      <c r="B152" s="2105">
        <v>136</v>
      </c>
      <c r="C152" s="2106" t="s">
        <v>471</v>
      </c>
      <c r="D152" s="2425" t="s">
        <v>1244</v>
      </c>
      <c r="E152" s="2127" t="s">
        <v>472</v>
      </c>
      <c r="F152" s="2106" t="s">
        <v>918</v>
      </c>
      <c r="G152" s="2425" t="s">
        <v>1112</v>
      </c>
      <c r="H152" s="2106" t="s">
        <v>929</v>
      </c>
      <c r="I152" s="2106"/>
      <c r="J152" s="2359" t="s">
        <v>470</v>
      </c>
      <c r="K152" s="2425"/>
      <c r="L152" s="2110">
        <v>92.4</v>
      </c>
      <c r="M152" s="2110"/>
      <c r="N152" s="2110">
        <v>93.4</v>
      </c>
      <c r="O152" s="2110">
        <v>93.3</v>
      </c>
      <c r="P152" s="2110">
        <v>95.6</v>
      </c>
      <c r="Q152" s="2110">
        <v>103.6</v>
      </c>
      <c r="R152" s="2110">
        <v>103.6</v>
      </c>
      <c r="S152" s="2110">
        <v>107.2</v>
      </c>
      <c r="T152" s="2110">
        <v>107.3</v>
      </c>
      <c r="U152" s="2110">
        <v>106.8</v>
      </c>
      <c r="V152" s="2110">
        <v>107.2</v>
      </c>
      <c r="W152" s="2110">
        <v>114.7</v>
      </c>
      <c r="X152" s="2110">
        <v>117.6</v>
      </c>
      <c r="Y152" s="2110">
        <v>120.5</v>
      </c>
      <c r="Z152" s="2110">
        <v>125.8</v>
      </c>
      <c r="AA152" s="2110">
        <v>123.3</v>
      </c>
      <c r="AB152" s="2110">
        <v>122.2</v>
      </c>
      <c r="AC152" s="2110">
        <v>123.5</v>
      </c>
      <c r="AD152" s="2110">
        <v>130.30000000000001</v>
      </c>
      <c r="AE152" s="2110">
        <v>135.30000000000001</v>
      </c>
      <c r="AF152" s="2110">
        <v>138.80000000000001</v>
      </c>
      <c r="AG152" s="2110">
        <v>140.4</v>
      </c>
      <c r="AH152" s="2110">
        <v>151.80000000000001</v>
      </c>
      <c r="AI152" s="2110">
        <v>162.9</v>
      </c>
      <c r="AJ152" s="2110">
        <v>162.9</v>
      </c>
      <c r="AK152" s="2110">
        <v>174</v>
      </c>
      <c r="AL152" s="2110">
        <v>183.1</v>
      </c>
      <c r="AM152" s="2110">
        <v>184.6</v>
      </c>
      <c r="AN152" s="2110">
        <v>184.7</v>
      </c>
      <c r="AO152" s="2110">
        <v>187.7</v>
      </c>
      <c r="AP152" s="2110">
        <v>188</v>
      </c>
      <c r="AQ152" s="2110">
        <v>190</v>
      </c>
      <c r="AR152" s="2110">
        <v>190</v>
      </c>
      <c r="AS152" s="2110">
        <v>190</v>
      </c>
      <c r="AT152" s="2110">
        <v>192.9</v>
      </c>
      <c r="AU152" s="2110">
        <v>192.9</v>
      </c>
      <c r="AV152" s="2110">
        <v>192.6</v>
      </c>
      <c r="AW152" s="2111">
        <v>195.5</v>
      </c>
      <c r="AX152" s="2111">
        <v>195.5</v>
      </c>
      <c r="AY152" s="2112">
        <v>195.5</v>
      </c>
      <c r="AZ152" s="2111">
        <v>195.5</v>
      </c>
      <c r="BA152" s="2111">
        <v>199.8</v>
      </c>
      <c r="BB152" s="2111">
        <v>199.8</v>
      </c>
      <c r="BC152" s="2111">
        <v>201.4</v>
      </c>
      <c r="BD152" s="2112">
        <v>202.5</v>
      </c>
      <c r="BE152" s="2111">
        <v>203.1</v>
      </c>
      <c r="BF152" s="2112">
        <v>206.4</v>
      </c>
      <c r="BG152" s="2112">
        <v>214.1</v>
      </c>
      <c r="BH152" s="2112">
        <v>216.6</v>
      </c>
      <c r="BI152" s="2108">
        <v>217.9</v>
      </c>
      <c r="BJ152" s="2108">
        <v>219</v>
      </c>
      <c r="BK152" s="2108">
        <v>219</v>
      </c>
      <c r="BL152" s="2108">
        <v>226.2</v>
      </c>
      <c r="BM152" s="2108">
        <v>229.2</v>
      </c>
      <c r="BN152" s="2108">
        <v>236.5</v>
      </c>
      <c r="BO152" s="2108">
        <v>238.5</v>
      </c>
      <c r="BP152" s="2108">
        <v>238.5</v>
      </c>
      <c r="BQ152" s="2108">
        <v>239.7</v>
      </c>
      <c r="BR152" s="2108">
        <v>239.7</v>
      </c>
      <c r="BS152" s="2108">
        <v>246.8</v>
      </c>
      <c r="BT152" s="2108">
        <v>250.1</v>
      </c>
      <c r="BU152" s="2108">
        <v>250.4</v>
      </c>
      <c r="BV152" s="2108">
        <v>250.4</v>
      </c>
      <c r="BW152" s="2108">
        <v>252.2</v>
      </c>
      <c r="BX152" s="2108">
        <v>257.7</v>
      </c>
      <c r="BY152" s="2108">
        <v>261.60000000000002</v>
      </c>
      <c r="BZ152" s="2108">
        <v>282.89999999999998</v>
      </c>
      <c r="CA152" s="2108">
        <v>285</v>
      </c>
      <c r="CB152" s="2108">
        <v>287.7</v>
      </c>
      <c r="CC152" s="2108">
        <v>287.7</v>
      </c>
      <c r="CD152" s="2108">
        <v>287.7</v>
      </c>
      <c r="CE152" s="2108">
        <v>287.7</v>
      </c>
      <c r="CF152" s="2108">
        <v>296.3</v>
      </c>
      <c r="CG152" s="2108">
        <v>300.7</v>
      </c>
      <c r="CH152" s="2108">
        <v>300.7</v>
      </c>
      <c r="CI152" s="2108">
        <v>300.7</v>
      </c>
      <c r="CJ152" s="2108">
        <v>300.7</v>
      </c>
      <c r="CK152" s="2108">
        <v>300.7</v>
      </c>
      <c r="CL152" s="2108">
        <v>371.9</v>
      </c>
      <c r="CM152" s="2108">
        <v>372.8</v>
      </c>
      <c r="CN152" s="2108">
        <v>372.8</v>
      </c>
      <c r="CO152" s="2108">
        <v>372.8</v>
      </c>
      <c r="CP152" s="2108">
        <v>372.8</v>
      </c>
      <c r="CQ152" s="2108">
        <v>372.8</v>
      </c>
      <c r="CR152" s="2108">
        <v>372.8</v>
      </c>
      <c r="CS152" s="2108">
        <v>372.8</v>
      </c>
      <c r="CT152" s="2108">
        <v>372.8</v>
      </c>
      <c r="CU152" s="2108">
        <v>372.8</v>
      </c>
      <c r="CV152" s="2108">
        <v>372.8</v>
      </c>
      <c r="CW152" s="2108">
        <v>372.8</v>
      </c>
      <c r="CX152" s="2108">
        <v>372.8</v>
      </c>
      <c r="CY152" s="2108">
        <v>372.8</v>
      </c>
      <c r="CZ152" s="2108">
        <v>372.8</v>
      </c>
      <c r="DA152" s="2108">
        <v>372.8</v>
      </c>
      <c r="DB152" s="2108">
        <v>372.8</v>
      </c>
      <c r="DC152" s="2108">
        <v>372.8</v>
      </c>
      <c r="DD152" s="2108">
        <v>372.8</v>
      </c>
      <c r="DE152" s="2108">
        <v>376.1</v>
      </c>
      <c r="DF152" s="2108">
        <v>376.1</v>
      </c>
      <c r="DG152" s="2108">
        <v>373.1</v>
      </c>
      <c r="DH152" s="2108">
        <v>376.9</v>
      </c>
      <c r="DI152" s="2108">
        <v>378.2</v>
      </c>
      <c r="DJ152" s="2108">
        <v>379</v>
      </c>
      <c r="DK152" s="2108">
        <v>379</v>
      </c>
      <c r="DL152" s="2108">
        <v>383.2</v>
      </c>
      <c r="DM152" s="2108">
        <v>383.2</v>
      </c>
      <c r="DN152" s="2108">
        <v>384.6</v>
      </c>
      <c r="DO152" s="2108">
        <v>384.6</v>
      </c>
      <c r="DP152" s="2108">
        <v>391.5</v>
      </c>
      <c r="DQ152" s="2108">
        <v>398.5</v>
      </c>
      <c r="DR152" s="2108">
        <v>397.5</v>
      </c>
      <c r="DS152" s="2108">
        <v>401.6</v>
      </c>
      <c r="DT152" s="2108">
        <v>403.8</v>
      </c>
      <c r="DU152" s="2108">
        <v>403.8</v>
      </c>
      <c r="DV152" s="2108">
        <v>408</v>
      </c>
      <c r="DW152" s="2108">
        <v>416.8</v>
      </c>
      <c r="DX152" s="2108">
        <v>431.3</v>
      </c>
      <c r="DY152" s="2108">
        <v>440.7</v>
      </c>
      <c r="DZ152" s="2108">
        <v>460.3</v>
      </c>
      <c r="EA152" s="2108">
        <v>468.3</v>
      </c>
      <c r="EB152" s="2108">
        <v>485.4</v>
      </c>
      <c r="EC152" s="2108">
        <v>493.9</v>
      </c>
      <c r="ED152" s="2108">
        <v>497</v>
      </c>
      <c r="EE152" s="2108">
        <v>507.2</v>
      </c>
      <c r="EF152" s="2108">
        <v>517.6</v>
      </c>
      <c r="EG152" s="2108">
        <v>523.5</v>
      </c>
      <c r="EH152" s="2108">
        <v>530.29999999999995</v>
      </c>
      <c r="EI152" s="2108">
        <v>534.79999999999995</v>
      </c>
      <c r="EJ152" s="2108">
        <v>537.9</v>
      </c>
      <c r="EK152" s="2108">
        <v>538</v>
      </c>
      <c r="EL152" s="2108">
        <v>550</v>
      </c>
      <c r="EM152" s="2108">
        <v>553.79999999999995</v>
      </c>
      <c r="EN152" s="2108">
        <v>560.29999999999995</v>
      </c>
      <c r="EO152" s="2108">
        <v>570.1</v>
      </c>
      <c r="EP152" s="2108">
        <v>582.5</v>
      </c>
      <c r="EQ152" s="2108">
        <v>589.70000000000005</v>
      </c>
      <c r="ER152" s="2108">
        <v>606.70000000000005</v>
      </c>
      <c r="ES152" s="2108">
        <v>612.70000000000005</v>
      </c>
      <c r="ET152" s="2108">
        <v>617.6</v>
      </c>
      <c r="EU152" s="2108">
        <v>633.1</v>
      </c>
      <c r="EV152" s="2108">
        <v>636.6</v>
      </c>
      <c r="EW152" s="2108">
        <v>649.5</v>
      </c>
      <c r="EX152" s="2108">
        <v>653.5</v>
      </c>
      <c r="EY152" s="2108">
        <v>666.6</v>
      </c>
      <c r="EZ152" s="2108">
        <v>677.4</v>
      </c>
      <c r="FA152" s="2108">
        <v>700.8</v>
      </c>
      <c r="FB152" s="2108">
        <v>773.9</v>
      </c>
      <c r="FC152" s="2108">
        <v>778.7</v>
      </c>
      <c r="FD152" s="2108">
        <v>805.2</v>
      </c>
      <c r="FE152" s="2108">
        <v>818.9</v>
      </c>
      <c r="FF152" s="2108">
        <v>830.7</v>
      </c>
      <c r="FG152" s="2108">
        <v>842.8</v>
      </c>
      <c r="FH152" s="2108">
        <v>852</v>
      </c>
      <c r="FI152" s="2108">
        <v>854</v>
      </c>
      <c r="FJ152" s="2108">
        <v>865.3</v>
      </c>
      <c r="FK152" s="2108">
        <v>878.4</v>
      </c>
      <c r="FL152" s="2108">
        <v>913.9</v>
      </c>
      <c r="FM152" s="2108">
        <v>927.4</v>
      </c>
      <c r="FN152" s="2108">
        <v>935.6</v>
      </c>
      <c r="FO152" s="2108">
        <v>952.8</v>
      </c>
      <c r="FP152" s="2108">
        <v>963.3</v>
      </c>
      <c r="FQ152" s="2108">
        <v>979.9</v>
      </c>
      <c r="FR152" s="2108">
        <v>997.6</v>
      </c>
      <c r="FS152" s="2108">
        <v>1021.9</v>
      </c>
      <c r="FT152" s="2108">
        <v>1050.5</v>
      </c>
      <c r="FU152" s="2108">
        <v>1054.5</v>
      </c>
      <c r="FV152" s="2108">
        <v>1094.5999999999999</v>
      </c>
      <c r="FW152" s="2113">
        <v>1139.4931642509137</v>
      </c>
      <c r="FX152" s="2113">
        <v>1147.5410325038119</v>
      </c>
      <c r="FY152" s="2113">
        <v>100</v>
      </c>
      <c r="FZ152" s="2113">
        <v>101.85825824737549</v>
      </c>
      <c r="GA152" s="2113">
        <v>108.47073328316981</v>
      </c>
      <c r="GB152" s="2113">
        <v>113.09243088664235</v>
      </c>
      <c r="GC152" s="2113">
        <v>118.35402944287206</v>
      </c>
      <c r="GD152" s="2113">
        <v>120.275943768909</v>
      </c>
      <c r="GE152" s="2113">
        <v>120.275943768909</v>
      </c>
      <c r="GF152" s="2114">
        <v>123.34333155890441</v>
      </c>
      <c r="GG152" s="1960">
        <v>125.92731057642045</v>
      </c>
      <c r="GH152" s="2114">
        <v>127.50459044481632</v>
      </c>
      <c r="GI152" s="2114">
        <v>127.50459044481632</v>
      </c>
      <c r="GJ152" s="2113">
        <v>127.50459044481632</v>
      </c>
      <c r="GK152" s="2113">
        <v>127.50459044481632</v>
      </c>
      <c r="GL152" s="2113">
        <v>127.50459044481632</v>
      </c>
      <c r="GM152" s="2114">
        <v>127.50459044481632</v>
      </c>
      <c r="GN152" s="2114">
        <v>127.50459044481632</v>
      </c>
      <c r="GO152" s="2115">
        <v>129.94799290536466</v>
      </c>
      <c r="GP152" s="2116">
        <v>129.94799290536466</v>
      </c>
      <c r="GQ152" s="2116">
        <v>129.94799290536466</v>
      </c>
      <c r="GR152" s="2116">
        <v>132.86062770413693</v>
      </c>
      <c r="GS152" s="2116">
        <v>135.22853677862636</v>
      </c>
      <c r="GT152" s="1960">
        <v>137.8515190955718</v>
      </c>
      <c r="GU152" s="1960">
        <v>137.8515190955718</v>
      </c>
      <c r="GV152" s="1960">
        <v>137.8515190955718</v>
      </c>
      <c r="GW152" s="1960">
        <v>137.8515190955718</v>
      </c>
      <c r="GX152" s="1960">
        <v>143.82171042397101</v>
      </c>
      <c r="GY152" s="1960">
        <v>147.00649262659934</v>
      </c>
      <c r="GZ152" s="1960">
        <v>150.74919101276427</v>
      </c>
      <c r="HA152" s="1960">
        <v>148.02335869455391</v>
      </c>
      <c r="HB152" s="1960">
        <v>151.15230475613151</v>
      </c>
      <c r="HC152" s="1960">
        <v>151.15230475613151</v>
      </c>
      <c r="HD152" s="1960">
        <v>157.33356896194266</v>
      </c>
      <c r="HE152" s="1960">
        <v>164.71714811751667</v>
      </c>
      <c r="HF152" s="1960">
        <v>173.54410654132118</v>
      </c>
      <c r="HG152" s="1960">
        <v>183.59635443233668</v>
      </c>
      <c r="HH152" s="2117">
        <v>189.07055766082379</v>
      </c>
      <c r="HI152" s="1960">
        <v>183.59635443233671</v>
      </c>
      <c r="HJ152" s="1960">
        <v>212.09020479996016</v>
      </c>
      <c r="HK152" s="1960">
        <v>216.80102412106021</v>
      </c>
      <c r="HL152" s="1960">
        <v>216.80102412106021</v>
      </c>
      <c r="HM152" s="1960">
        <v>222.83841241321792</v>
      </c>
      <c r="HN152" s="1960">
        <v>225.73712346899961</v>
      </c>
      <c r="HO152" s="1960">
        <v>229.48238494435253</v>
      </c>
      <c r="HP152" s="1960">
        <v>254.66947597483028</v>
      </c>
      <c r="HQ152" s="1960">
        <v>272.5174804373064</v>
      </c>
      <c r="HR152" s="1960">
        <v>272.5174804373064</v>
      </c>
      <c r="HS152" s="1960">
        <v>284.90463863900214</v>
      </c>
      <c r="HT152" s="1962">
        <v>313.36786496574757</v>
      </c>
      <c r="HU152" s="1961">
        <v>369.67420245560902</v>
      </c>
      <c r="HV152" s="1960">
        <v>394.37693345205651</v>
      </c>
      <c r="HW152" s="1960">
        <v>395.39599529560189</v>
      </c>
      <c r="HX152" s="1960">
        <v>395.39599529560189</v>
      </c>
      <c r="HY152" s="1960">
        <v>392.63098833549282</v>
      </c>
      <c r="HZ152" s="1960">
        <v>401.16644460365575</v>
      </c>
      <c r="IA152" s="1960">
        <v>400.14626389554786</v>
      </c>
      <c r="IB152" s="1960">
        <v>453.94689007572276</v>
      </c>
      <c r="IC152" s="1960">
        <v>453.94689007572276</v>
      </c>
      <c r="ID152" s="1960">
        <v>453.02909786367695</v>
      </c>
      <c r="IE152" s="1960">
        <v>453.02909786367695</v>
      </c>
      <c r="IF152" s="1960">
        <v>453.02909786367695</v>
      </c>
      <c r="IG152" s="1961">
        <v>453.02909786367695</v>
      </c>
      <c r="IH152" s="1960">
        <v>453.02909786367695</v>
      </c>
      <c r="II152" s="1960">
        <v>453.02909786367695</v>
      </c>
      <c r="IJ152" s="1961">
        <v>453.02909786367695</v>
      </c>
      <c r="IK152" s="1960">
        <v>453.02909786367695</v>
      </c>
      <c r="IL152" s="1960">
        <v>453.02909786367695</v>
      </c>
      <c r="IM152" s="1960">
        <v>453.02909786367695</v>
      </c>
      <c r="IN152" s="1960">
        <v>440.3035614068321</v>
      </c>
      <c r="IO152" s="1960">
        <v>437.60450057540828</v>
      </c>
      <c r="IP152" s="1960">
        <v>406.66292524914149</v>
      </c>
      <c r="IQ152" s="1960">
        <v>402.92162633684933</v>
      </c>
      <c r="IR152" s="1960">
        <v>427.19255500758339</v>
      </c>
      <c r="IS152" s="2274">
        <v>427.19255500758339</v>
      </c>
      <c r="IT152" s="1960">
        <v>480.90194681310544</v>
      </c>
      <c r="IU152" s="1960">
        <v>542.00013693594065</v>
      </c>
      <c r="IV152" s="1960">
        <v>539.17721955606589</v>
      </c>
      <c r="IW152" s="1960">
        <v>632.18017218834461</v>
      </c>
      <c r="IX152" s="1960">
        <v>701.2439307557645</v>
      </c>
      <c r="IY152" s="1960">
        <v>736.50237400763001</v>
      </c>
      <c r="IZ152" s="1960">
        <v>850.43992075581889</v>
      </c>
      <c r="JA152" s="1960">
        <v>836.04251404133049</v>
      </c>
      <c r="JB152" s="1960">
        <v>840.98835214349026</v>
      </c>
      <c r="JC152" s="1960">
        <v>979.43259188404284</v>
      </c>
      <c r="JD152" s="1960">
        <v>1028.3609220709998</v>
      </c>
      <c r="JE152" s="2274">
        <v>1028.3609220709998</v>
      </c>
      <c r="JF152" s="2117">
        <v>1078.1777141436435</v>
      </c>
      <c r="JG152" s="2103">
        <f t="shared" si="14"/>
        <v>1.0484429065743945</v>
      </c>
      <c r="JI152" s="2155"/>
      <c r="JJ152" s="2104"/>
    </row>
    <row r="153" spans="2:270" ht="30.6" customHeight="1">
      <c r="B153" s="2276">
        <v>137</v>
      </c>
      <c r="C153" s="2277"/>
      <c r="D153" s="2278" t="s">
        <v>1051</v>
      </c>
      <c r="E153" s="2304" t="s">
        <v>105</v>
      </c>
      <c r="F153" s="2277" t="s">
        <v>918</v>
      </c>
      <c r="G153" s="2278" t="s">
        <v>1343</v>
      </c>
      <c r="H153" s="2277" t="s">
        <v>1006</v>
      </c>
      <c r="I153" s="2277"/>
      <c r="J153" s="2280" t="s">
        <v>1124</v>
      </c>
      <c r="K153" s="2278" t="s">
        <v>1039</v>
      </c>
      <c r="L153" s="2409">
        <v>185</v>
      </c>
      <c r="M153" s="2409">
        <v>185</v>
      </c>
      <c r="N153" s="2409">
        <v>185</v>
      </c>
      <c r="O153" s="2409">
        <v>205</v>
      </c>
      <c r="P153" s="2409">
        <v>290</v>
      </c>
      <c r="Q153" s="2409">
        <v>400</v>
      </c>
      <c r="R153" s="2409">
        <v>460</v>
      </c>
      <c r="S153" s="2409">
        <v>540</v>
      </c>
      <c r="T153" s="2409">
        <v>540</v>
      </c>
      <c r="U153" s="2409">
        <v>540</v>
      </c>
      <c r="V153" s="2409">
        <v>540</v>
      </c>
      <c r="W153" s="2409">
        <v>540</v>
      </c>
      <c r="X153" s="2409">
        <v>540</v>
      </c>
      <c r="Y153" s="2409">
        <v>540</v>
      </c>
      <c r="Z153" s="2409">
        <v>620</v>
      </c>
      <c r="AA153" s="2409">
        <v>710</v>
      </c>
      <c r="AB153" s="2409">
        <v>600</v>
      </c>
      <c r="AC153" s="2409">
        <v>540</v>
      </c>
      <c r="AD153" s="2409">
        <v>540</v>
      </c>
      <c r="AE153" s="2409">
        <v>540</v>
      </c>
      <c r="AF153" s="2409">
        <v>540</v>
      </c>
      <c r="AG153" s="2409">
        <v>540</v>
      </c>
      <c r="AH153" s="2409">
        <v>540</v>
      </c>
      <c r="AI153" s="2409">
        <v>540</v>
      </c>
      <c r="AJ153" s="2409">
        <v>540</v>
      </c>
      <c r="AK153" s="2409">
        <v>700</v>
      </c>
      <c r="AL153" s="2409">
        <v>700</v>
      </c>
      <c r="AM153" s="2409">
        <v>700</v>
      </c>
      <c r="AN153" s="2409">
        <v>700</v>
      </c>
      <c r="AO153" s="2409">
        <v>700</v>
      </c>
      <c r="AP153" s="2409">
        <v>750</v>
      </c>
      <c r="AQ153" s="2409">
        <v>600</v>
      </c>
      <c r="AR153" s="2409">
        <v>600</v>
      </c>
      <c r="AS153" s="2409">
        <v>600</v>
      </c>
      <c r="AT153" s="2409">
        <v>600</v>
      </c>
      <c r="AU153" s="2409">
        <v>700</v>
      </c>
      <c r="AV153" s="2409">
        <v>700</v>
      </c>
      <c r="AW153" s="2410">
        <v>700</v>
      </c>
      <c r="AX153" s="2410">
        <v>700</v>
      </c>
      <c r="AY153" s="2410">
        <v>700</v>
      </c>
      <c r="AZ153" s="2410">
        <v>700</v>
      </c>
      <c r="BA153" s="2410">
        <v>750</v>
      </c>
      <c r="BB153" s="2410">
        <v>750</v>
      </c>
      <c r="BC153" s="2410">
        <v>750</v>
      </c>
      <c r="BD153" s="2411">
        <v>750</v>
      </c>
      <c r="BE153" s="2410">
        <v>970</v>
      </c>
      <c r="BF153" s="2411">
        <v>970</v>
      </c>
      <c r="BG153" s="2411">
        <v>970</v>
      </c>
      <c r="BH153" s="2411">
        <v>970</v>
      </c>
      <c r="BI153" s="2412">
        <v>970</v>
      </c>
      <c r="BJ153" s="2412">
        <v>970</v>
      </c>
      <c r="BK153" s="2412">
        <v>970</v>
      </c>
      <c r="BL153" s="2412">
        <v>970</v>
      </c>
      <c r="BM153" s="2412">
        <v>970</v>
      </c>
      <c r="BN153" s="2412">
        <v>970</v>
      </c>
      <c r="BO153" s="2412">
        <v>970</v>
      </c>
      <c r="BP153" s="2412">
        <v>970</v>
      </c>
      <c r="BQ153" s="2412">
        <v>970</v>
      </c>
      <c r="BR153" s="2412">
        <v>970</v>
      </c>
      <c r="BS153" s="2412">
        <v>970</v>
      </c>
      <c r="BT153" s="2412">
        <v>970</v>
      </c>
      <c r="BU153" s="2412">
        <v>970</v>
      </c>
      <c r="BV153" s="2412">
        <v>970</v>
      </c>
      <c r="BW153" s="2412">
        <v>970</v>
      </c>
      <c r="BX153" s="2412">
        <v>970</v>
      </c>
      <c r="BY153" s="2412">
        <v>970</v>
      </c>
      <c r="BZ153" s="2412">
        <v>970</v>
      </c>
      <c r="CA153" s="2412">
        <v>970</v>
      </c>
      <c r="CB153" s="2412">
        <v>970</v>
      </c>
      <c r="CC153" s="2412">
        <v>970</v>
      </c>
      <c r="CD153" s="2412">
        <v>970</v>
      </c>
      <c r="CE153" s="2412">
        <v>1180</v>
      </c>
      <c r="CF153" s="2412">
        <v>1180</v>
      </c>
      <c r="CG153" s="2412">
        <v>1180</v>
      </c>
      <c r="CH153" s="2412">
        <v>1180</v>
      </c>
      <c r="CI153" s="2412">
        <v>1180</v>
      </c>
      <c r="CJ153" s="2412">
        <v>1280</v>
      </c>
      <c r="CK153" s="2412">
        <v>1370</v>
      </c>
      <c r="CL153" s="2412">
        <v>1370</v>
      </c>
      <c r="CM153" s="2412">
        <v>1370</v>
      </c>
      <c r="CN153" s="2412">
        <v>1370</v>
      </c>
      <c r="CO153" s="2412">
        <v>1370</v>
      </c>
      <c r="CP153" s="2412">
        <v>1370</v>
      </c>
      <c r="CQ153" s="2412">
        <v>1370</v>
      </c>
      <c r="CR153" s="2412">
        <v>1370</v>
      </c>
      <c r="CS153" s="2412">
        <v>1300</v>
      </c>
      <c r="CT153" s="2412">
        <v>1300</v>
      </c>
      <c r="CU153" s="2412">
        <v>1300</v>
      </c>
      <c r="CV153" s="2412">
        <v>1300</v>
      </c>
      <c r="CW153" s="2412">
        <v>1300</v>
      </c>
      <c r="CX153" s="2412">
        <v>1300</v>
      </c>
      <c r="CY153" s="2412">
        <v>1300</v>
      </c>
      <c r="CZ153" s="2412">
        <v>1300</v>
      </c>
      <c r="DA153" s="2412">
        <v>1520</v>
      </c>
      <c r="DB153" s="2412">
        <v>1520</v>
      </c>
      <c r="DC153" s="2412">
        <v>1520</v>
      </c>
      <c r="DD153" s="2412">
        <v>1520</v>
      </c>
      <c r="DE153" s="2412">
        <v>1520</v>
      </c>
      <c r="DF153" s="2412">
        <v>1520</v>
      </c>
      <c r="DG153" s="2412">
        <v>1520</v>
      </c>
      <c r="DH153" s="2412">
        <v>1520</v>
      </c>
      <c r="DI153" s="2412">
        <v>1520</v>
      </c>
      <c r="DJ153" s="2412">
        <v>1590</v>
      </c>
      <c r="DK153" s="2412">
        <v>1590</v>
      </c>
      <c r="DL153" s="2412">
        <v>1590</v>
      </c>
      <c r="DM153" s="2412">
        <v>1590</v>
      </c>
      <c r="DN153" s="2412">
        <v>1590</v>
      </c>
      <c r="DO153" s="2412">
        <v>1590</v>
      </c>
      <c r="DP153" s="2412">
        <v>1750</v>
      </c>
      <c r="DQ153" s="2412">
        <v>1750</v>
      </c>
      <c r="DR153" s="2412">
        <v>1750</v>
      </c>
      <c r="DS153" s="2412">
        <v>1750</v>
      </c>
      <c r="DT153" s="2412">
        <v>1750</v>
      </c>
      <c r="DU153" s="2412">
        <v>1800</v>
      </c>
      <c r="DV153" s="2412">
        <v>1800</v>
      </c>
      <c r="DW153" s="2412">
        <v>1800</v>
      </c>
      <c r="DX153" s="2412">
        <v>1890</v>
      </c>
      <c r="DY153" s="2412">
        <v>1890</v>
      </c>
      <c r="DZ153" s="2412">
        <v>1890</v>
      </c>
      <c r="EA153" s="2412">
        <v>1890</v>
      </c>
      <c r="EB153" s="2412">
        <v>1890</v>
      </c>
      <c r="EC153" s="2412">
        <v>1890</v>
      </c>
      <c r="ED153" s="2412">
        <v>1890</v>
      </c>
      <c r="EE153" s="2412">
        <v>2040</v>
      </c>
      <c r="EF153" s="2412">
        <v>2040</v>
      </c>
      <c r="EG153" s="2412">
        <v>2040</v>
      </c>
      <c r="EH153" s="2412">
        <v>2150</v>
      </c>
      <c r="EI153" s="2412">
        <v>2150</v>
      </c>
      <c r="EJ153" s="2412">
        <v>2150</v>
      </c>
      <c r="EK153" s="2412">
        <v>2260</v>
      </c>
      <c r="EL153" s="2412">
        <v>2260</v>
      </c>
      <c r="EM153" s="2412">
        <v>2370</v>
      </c>
      <c r="EN153" s="2412">
        <v>2370</v>
      </c>
      <c r="EO153" s="2412">
        <v>2370</v>
      </c>
      <c r="EP153" s="2412">
        <v>2370</v>
      </c>
      <c r="EQ153" s="2412">
        <v>2480</v>
      </c>
      <c r="ER153" s="2412">
        <v>2480</v>
      </c>
      <c r="ES153" s="2412">
        <v>2480</v>
      </c>
      <c r="ET153" s="2412">
        <v>2610</v>
      </c>
      <c r="EU153" s="2412">
        <v>2610</v>
      </c>
      <c r="EV153" s="2412">
        <v>2610</v>
      </c>
      <c r="EW153" s="2412">
        <v>2870</v>
      </c>
      <c r="EX153" s="2412">
        <v>2870</v>
      </c>
      <c r="EY153" s="2412">
        <v>2870</v>
      </c>
      <c r="EZ153" s="2412">
        <v>2870</v>
      </c>
      <c r="FA153" s="2412">
        <v>3010</v>
      </c>
      <c r="FB153" s="2412">
        <v>3310</v>
      </c>
      <c r="FC153" s="2412">
        <v>3650</v>
      </c>
      <c r="FD153" s="2412">
        <v>4010</v>
      </c>
      <c r="FE153" s="2412">
        <v>4010</v>
      </c>
      <c r="FF153" s="2412">
        <v>4010</v>
      </c>
      <c r="FG153" s="2412">
        <v>4150</v>
      </c>
      <c r="FH153" s="2412">
        <v>4300</v>
      </c>
      <c r="FI153" s="2412">
        <v>4300</v>
      </c>
      <c r="FJ153" s="2412">
        <v>4830</v>
      </c>
      <c r="FK153" s="2412">
        <v>4830</v>
      </c>
      <c r="FL153" s="2412">
        <v>4830</v>
      </c>
      <c r="FM153" s="2412">
        <v>4830</v>
      </c>
      <c r="FN153" s="2412">
        <v>4830</v>
      </c>
      <c r="FO153" s="2412">
        <v>4830</v>
      </c>
      <c r="FP153" s="2412">
        <v>4830</v>
      </c>
      <c r="FQ153" s="2412">
        <v>4830</v>
      </c>
      <c r="FR153" s="2412">
        <v>4980</v>
      </c>
      <c r="FS153" s="2412">
        <v>4980</v>
      </c>
      <c r="FT153" s="2412">
        <v>4980</v>
      </c>
      <c r="FU153" s="2412">
        <v>4980</v>
      </c>
      <c r="FV153" s="2412">
        <v>5230</v>
      </c>
      <c r="FW153" s="2413">
        <f>+D.P.V.!M76</f>
        <v>5320.78295285886</v>
      </c>
      <c r="FX153" s="2413">
        <f>+D.P.V.!N76</f>
        <v>5322.7453915792321</v>
      </c>
      <c r="FY153" s="2413">
        <f>+D.P.V.!C83</f>
        <v>100</v>
      </c>
      <c r="FZ153" s="2413">
        <f>+D.P.V.!D83</f>
        <v>106.37648241353146</v>
      </c>
      <c r="GA153" s="2413">
        <f>+D.P.V.!E83</f>
        <v>108.55182744596706</v>
      </c>
      <c r="GB153" s="2413">
        <f>+D.P.V.!F83</f>
        <v>113.62270542138761</v>
      </c>
      <c r="GC153" s="2413">
        <f>+D.P.V.!G83</f>
        <v>118.5226352695513</v>
      </c>
      <c r="GD153" s="2413">
        <f>+D.P.V.!H83</f>
        <v>118.56509250885169</v>
      </c>
      <c r="GE153" s="2413">
        <f>+D.P.V.!I83</f>
        <v>120.69507677779123</v>
      </c>
      <c r="GF153" s="2413">
        <f>+D.P.V.!J83</f>
        <v>121.08991173801749</v>
      </c>
      <c r="GG153" s="2413">
        <f>+D.P.V.!K83</f>
        <v>121.09954355552175</v>
      </c>
      <c r="GH153" s="2413">
        <f>+D.P.V.!L83</f>
        <v>124.27421489474069</v>
      </c>
      <c r="GI153" s="2413">
        <f>+D.P.V.!M83</f>
        <v>126.05942280752625</v>
      </c>
      <c r="GJ153" s="2413">
        <f>+D.P.V.!N83</f>
        <v>129.21313462330366</v>
      </c>
      <c r="GK153" s="2413">
        <f>+D.P.V.!C90</f>
        <v>132.44769767853958</v>
      </c>
      <c r="GL153" s="2413">
        <f>+D.P.V.!D90</f>
        <v>132.49466935755294</v>
      </c>
      <c r="GM153" s="2413">
        <f>+D.P.V.!E90</f>
        <v>133.78387182901807</v>
      </c>
      <c r="GN153" s="2413">
        <f>+D.P.V.!F90</f>
        <v>134.26989286748056</v>
      </c>
      <c r="GO153" s="2413">
        <f>+D.P.V.!G90</f>
        <v>134.27656909490068</v>
      </c>
      <c r="GP153" s="2413">
        <f>+D.P.V.!H90</f>
        <v>135.55455149016802</v>
      </c>
      <c r="GQ153" s="2413">
        <f>+D.P.V.!I90</f>
        <v>142.54473581620618</v>
      </c>
      <c r="GR153" s="2413">
        <f>+D.P.V.!J90</f>
        <v>147.26281486800085</v>
      </c>
      <c r="GS153" s="2413">
        <f>+D.P.V.!K90</f>
        <v>147.71409349373707</v>
      </c>
      <c r="GT153" s="2413">
        <f>+D.P.V.!L90</f>
        <v>149.28013896984945</v>
      </c>
      <c r="GU153" s="2413">
        <f>+D.P.V.!M90</f>
        <v>151.68242553522592</v>
      </c>
      <c r="GV153" s="2413">
        <f>+D.P.V.!N90</f>
        <v>154.72092365114023</v>
      </c>
      <c r="GW153" s="2415">
        <f>+D.P.V.!C97</f>
        <v>159.52586751288791</v>
      </c>
      <c r="GX153" s="2415">
        <f>+D.P.V.!D97</f>
        <v>160.13350559419987</v>
      </c>
      <c r="GY153" s="2415">
        <f>+D.P.V.!E97</f>
        <v>164.30194811358621</v>
      </c>
      <c r="GZ153" s="2415">
        <f>+D.P.V.!F97</f>
        <v>182.5633880105824</v>
      </c>
      <c r="HA153" s="2415">
        <f>+D.P.V.!G97</f>
        <v>185.57060073984618</v>
      </c>
      <c r="HB153" s="2415">
        <f>+D.P.V.!H97</f>
        <v>195.26898691978585</v>
      </c>
      <c r="HC153" s="2415">
        <f>+D.P.V.!I97</f>
        <v>205.28346601340979</v>
      </c>
      <c r="HD153" s="2415">
        <f>+D.P.V.!J97</f>
        <v>208.17552871133694</v>
      </c>
      <c r="HE153" s="2415">
        <f>+D.P.V.!K97</f>
        <v>240.23220169148769</v>
      </c>
      <c r="HF153" s="2415">
        <f>+D.P.V.!L97</f>
        <v>264.5477835766697</v>
      </c>
      <c r="HG153" s="2415">
        <f>+D.P.V.!M97</f>
        <v>288.54108951211418</v>
      </c>
      <c r="HH153" s="2415">
        <f>+D.P.V.!N97</f>
        <v>279.99186971027171</v>
      </c>
      <c r="HI153" s="2415">
        <f>+D.P.V.!C104</f>
        <v>280.0023706401783</v>
      </c>
      <c r="HJ153" s="2415">
        <f>+D.P.V.!D104</f>
        <v>283.28345627607683</v>
      </c>
      <c r="HK153" s="2415">
        <f>+D.P.V.!E104</f>
        <v>305.16490628110807</v>
      </c>
      <c r="HL153" s="2415">
        <f>+D.P.V.!F104</f>
        <v>321.87220768289785</v>
      </c>
      <c r="HM153" s="2415">
        <f>+D.P.V.!G104</f>
        <v>336.31852356520335</v>
      </c>
      <c r="HN153" s="2415">
        <f>+D.P.V.!H104</f>
        <v>355.94240214063927</v>
      </c>
      <c r="HO153" s="2415">
        <f>+D.P.V.!I104</f>
        <v>358.51681796779104</v>
      </c>
      <c r="HP153" s="2415">
        <f>+D.P.V.!J104</f>
        <v>402.6021735711937</v>
      </c>
      <c r="HQ153" s="2415">
        <f>+D.P.V.!K104</f>
        <v>419.26620485707411</v>
      </c>
      <c r="HR153" s="2415">
        <f>+D.P.V.!L104</f>
        <v>466.37664889563075</v>
      </c>
      <c r="HS153" s="2415">
        <f>+D.P.V.!M104</f>
        <v>481.62753267427041</v>
      </c>
      <c r="HT153" s="2415">
        <f>+D.P.V.!N104</f>
        <v>494.47372309399037</v>
      </c>
      <c r="HU153" s="2420">
        <f>+D.P.V.!C111</f>
        <v>512.17106503624859</v>
      </c>
      <c r="HV153" s="2417">
        <f>+D.P.V.!D111</f>
        <v>513.54150058076436</v>
      </c>
      <c r="HW153" s="2417">
        <f>+D.P.V.!E111</f>
        <v>526.09089155806919</v>
      </c>
      <c r="HX153" s="2417">
        <f>+D.P.V.!F111</f>
        <v>534.77774478326432</v>
      </c>
      <c r="HY153" s="2417">
        <f>+D.P.V.!G111</f>
        <v>545.50008571093008</v>
      </c>
      <c r="HZ153" s="2417">
        <f>+D.P.V.!H111</f>
        <v>545.59085335582506</v>
      </c>
      <c r="IA153" s="2417">
        <f>+D.P.V.!I111</f>
        <v>545.8191178708546</v>
      </c>
      <c r="IB153" s="2417">
        <f>+D.P.V.!J111</f>
        <v>549.77312500489961</v>
      </c>
      <c r="IC153" s="2417">
        <f>+D.P.V.!K111</f>
        <v>554.96135090320092</v>
      </c>
      <c r="ID153" s="2417">
        <f>+D.P.V.!L111</f>
        <v>559.61434778619423</v>
      </c>
      <c r="IE153" s="2417">
        <f>+D.P.V.!M111</f>
        <v>577.43188471727115</v>
      </c>
      <c r="IF153" s="2419">
        <f>+D.P.V.!N111</f>
        <v>589.03994120427956</v>
      </c>
      <c r="IG153" s="2420">
        <f>+D.P.V.!C118</f>
        <v>617.02722832616837</v>
      </c>
      <c r="IH153" s="2417">
        <f>+D.P.V.!D118</f>
        <v>690.19745518196305</v>
      </c>
      <c r="II153" s="2417">
        <f>+D.P.V.!E118</f>
        <v>726.58613906314656</v>
      </c>
      <c r="IJ153" s="2417">
        <f>+D.P.V.!F118</f>
        <v>789.97052682341223</v>
      </c>
      <c r="IK153" s="2417">
        <f>+D.P.V.!G118</f>
        <v>830.26681985630216</v>
      </c>
      <c r="IL153" s="2417">
        <f>+D.P.V.!H118</f>
        <v>841.49464517861736</v>
      </c>
      <c r="IM153" s="2417">
        <f>+D.P.V.!I118</f>
        <v>883.42379754441765</v>
      </c>
      <c r="IN153" s="2417">
        <f>+D.P.V.!J118</f>
        <v>904.67908814846396</v>
      </c>
      <c r="IO153" s="2417">
        <f>+D.P.V.!K118</f>
        <v>929.27773874752666</v>
      </c>
      <c r="IP153" s="2417">
        <f>+D.P.V.!L118</f>
        <v>944.71375394600068</v>
      </c>
      <c r="IQ153" s="2417">
        <f>+D.P.V.!M118</f>
        <v>985.8144758776283</v>
      </c>
      <c r="IR153" s="2419">
        <f>+D.P.V.!N118</f>
        <v>1002.7793664385384</v>
      </c>
      <c r="IS153" s="2420">
        <f>+D.P.V.!C125</f>
        <v>1052.1590022062937</v>
      </c>
      <c r="IT153" s="2417">
        <f>+D.P.V.!D125</f>
        <v>1071.2878900154101</v>
      </c>
      <c r="IU153" s="2417">
        <f>+D.P.V.!E125</f>
        <v>1118.4404270769908</v>
      </c>
      <c r="IV153" s="2417">
        <f>+D.P.V.!F125</f>
        <v>1120.6932939903286</v>
      </c>
      <c r="IW153" s="2417">
        <f>+D.P.V.!G125</f>
        <v>1203.8125936672247</v>
      </c>
      <c r="IX153" s="2417">
        <f>+D.P.V.!H125</f>
        <v>1292.0376099754392</v>
      </c>
      <c r="IY153" s="2417">
        <f>+D.P.V.!I125</f>
        <v>1347.5153945911527</v>
      </c>
      <c r="IZ153" s="2417">
        <f>+D.P.V.!J125</f>
        <v>1386.9911149523132</v>
      </c>
      <c r="JA153" s="2417">
        <f>+D.P.V.!K125</f>
        <v>1430.9452613493838</v>
      </c>
      <c r="JB153" s="2417">
        <f>+D.P.V.!L125</f>
        <v>1564.164861586466</v>
      </c>
      <c r="JC153" s="2417">
        <f>+D.P.V.!M125</f>
        <v>1619.5725120606937</v>
      </c>
      <c r="JD153" s="2415">
        <f>+D.P.V.!N125</f>
        <v>1724.2846861573562</v>
      </c>
      <c r="JE153" s="2422">
        <f>+D.P.V.!C132</f>
        <v>1909.3623518054155</v>
      </c>
      <c r="JF153" s="2418">
        <f>+D.P.V.!D132</f>
        <v>2320.2192120802169</v>
      </c>
      <c r="JG153" s="2103">
        <f t="shared" si="14"/>
        <v>1.2151801411011964</v>
      </c>
      <c r="JI153" s="2155"/>
      <c r="JJ153" s="2104"/>
    </row>
    <row r="154" spans="2:270" ht="29.45" customHeight="1">
      <c r="B154" s="2105">
        <v>138</v>
      </c>
      <c r="C154" s="2106"/>
      <c r="D154" s="2425" t="s">
        <v>1052</v>
      </c>
      <c r="E154" s="2127" t="s">
        <v>504</v>
      </c>
      <c r="F154" s="2106" t="s">
        <v>918</v>
      </c>
      <c r="G154" s="2425" t="s">
        <v>1098</v>
      </c>
      <c r="H154" s="2106" t="s">
        <v>1006</v>
      </c>
      <c r="I154" s="2106"/>
      <c r="J154" s="2359" t="s">
        <v>1042</v>
      </c>
      <c r="K154" s="2425" t="s">
        <v>1039</v>
      </c>
      <c r="L154" s="2409">
        <v>235</v>
      </c>
      <c r="M154" s="2409">
        <v>235</v>
      </c>
      <c r="N154" s="2409">
        <v>235</v>
      </c>
      <c r="O154" s="2409">
        <v>275</v>
      </c>
      <c r="P154" s="2409">
        <v>350</v>
      </c>
      <c r="Q154" s="2409">
        <v>530</v>
      </c>
      <c r="R154" s="2409">
        <v>600</v>
      </c>
      <c r="S154" s="2409">
        <v>690</v>
      </c>
      <c r="T154" s="2409">
        <v>690</v>
      </c>
      <c r="U154" s="2409">
        <v>690</v>
      </c>
      <c r="V154" s="2409">
        <v>690</v>
      </c>
      <c r="W154" s="2409">
        <v>690</v>
      </c>
      <c r="X154" s="2409">
        <v>690</v>
      </c>
      <c r="Y154" s="2409">
        <v>690</v>
      </c>
      <c r="Z154" s="2409">
        <v>790</v>
      </c>
      <c r="AA154" s="2409">
        <v>900</v>
      </c>
      <c r="AB154" s="2409">
        <v>780</v>
      </c>
      <c r="AC154" s="2409">
        <v>700</v>
      </c>
      <c r="AD154" s="2409">
        <v>700</v>
      </c>
      <c r="AE154" s="2409">
        <v>700</v>
      </c>
      <c r="AF154" s="2409">
        <v>700</v>
      </c>
      <c r="AG154" s="2409">
        <v>700</v>
      </c>
      <c r="AH154" s="2409">
        <v>700</v>
      </c>
      <c r="AI154" s="2409">
        <v>700</v>
      </c>
      <c r="AJ154" s="2409">
        <v>700</v>
      </c>
      <c r="AK154" s="2409">
        <v>660</v>
      </c>
      <c r="AL154" s="2409">
        <v>660</v>
      </c>
      <c r="AM154" s="2409">
        <v>660</v>
      </c>
      <c r="AN154" s="2409">
        <v>660</v>
      </c>
      <c r="AO154" s="2409">
        <v>660</v>
      </c>
      <c r="AP154" s="2409">
        <v>720</v>
      </c>
      <c r="AQ154" s="2409">
        <v>750</v>
      </c>
      <c r="AR154" s="2409">
        <v>750</v>
      </c>
      <c r="AS154" s="2409">
        <v>750</v>
      </c>
      <c r="AT154" s="2409">
        <v>750</v>
      </c>
      <c r="AU154" s="2409">
        <v>850</v>
      </c>
      <c r="AV154" s="2409">
        <v>850</v>
      </c>
      <c r="AW154" s="2410">
        <v>850</v>
      </c>
      <c r="AX154" s="2410">
        <v>850</v>
      </c>
      <c r="AY154" s="2410">
        <v>850</v>
      </c>
      <c r="AZ154" s="2410">
        <v>850</v>
      </c>
      <c r="BA154" s="2410">
        <v>1000</v>
      </c>
      <c r="BB154" s="2410">
        <v>1000</v>
      </c>
      <c r="BC154" s="2410">
        <v>1000</v>
      </c>
      <c r="BD154" s="2411">
        <v>1000</v>
      </c>
      <c r="BE154" s="2410">
        <v>1320</v>
      </c>
      <c r="BF154" s="2411">
        <v>1270</v>
      </c>
      <c r="BG154" s="2411">
        <v>1270</v>
      </c>
      <c r="BH154" s="2411">
        <v>1270</v>
      </c>
      <c r="BI154" s="2412">
        <v>1270</v>
      </c>
      <c r="BJ154" s="2412">
        <v>1270</v>
      </c>
      <c r="BK154" s="2412">
        <v>1270</v>
      </c>
      <c r="BL154" s="2412">
        <v>1270</v>
      </c>
      <c r="BM154" s="2412">
        <v>1270</v>
      </c>
      <c r="BN154" s="2412">
        <v>1270</v>
      </c>
      <c r="BO154" s="2412">
        <v>1270</v>
      </c>
      <c r="BP154" s="2412">
        <v>1270</v>
      </c>
      <c r="BQ154" s="2412">
        <v>1270</v>
      </c>
      <c r="BR154" s="2412">
        <v>1270</v>
      </c>
      <c r="BS154" s="2412">
        <v>1270</v>
      </c>
      <c r="BT154" s="2412">
        <v>1270</v>
      </c>
      <c r="BU154" s="2412">
        <v>1270</v>
      </c>
      <c r="BV154" s="2412">
        <v>1270</v>
      </c>
      <c r="BW154" s="2412">
        <v>1270</v>
      </c>
      <c r="BX154" s="2412">
        <v>1270</v>
      </c>
      <c r="BY154" s="2412">
        <v>1270</v>
      </c>
      <c r="BZ154" s="2412">
        <v>1270</v>
      </c>
      <c r="CA154" s="2412">
        <v>1270</v>
      </c>
      <c r="CB154" s="2412">
        <v>1270</v>
      </c>
      <c r="CC154" s="2412">
        <v>1270</v>
      </c>
      <c r="CD154" s="2412">
        <v>1270</v>
      </c>
      <c r="CE154" s="2412">
        <v>1910</v>
      </c>
      <c r="CF154" s="2412">
        <v>1910</v>
      </c>
      <c r="CG154" s="2412">
        <v>1910</v>
      </c>
      <c r="CH154" s="2412">
        <v>1910</v>
      </c>
      <c r="CI154" s="2412">
        <v>1910</v>
      </c>
      <c r="CJ154" s="2412">
        <v>2050</v>
      </c>
      <c r="CK154" s="2412">
        <v>2240</v>
      </c>
      <c r="CL154" s="2412">
        <v>2240</v>
      </c>
      <c r="CM154" s="2412">
        <v>2240</v>
      </c>
      <c r="CN154" s="2412">
        <v>2240</v>
      </c>
      <c r="CO154" s="2412">
        <v>2240</v>
      </c>
      <c r="CP154" s="2412">
        <v>2240</v>
      </c>
      <c r="CQ154" s="2412">
        <v>2240</v>
      </c>
      <c r="CR154" s="2412">
        <v>2240</v>
      </c>
      <c r="CS154" s="2412">
        <v>2130</v>
      </c>
      <c r="CT154" s="2412">
        <v>2130</v>
      </c>
      <c r="CU154" s="2412">
        <v>2130</v>
      </c>
      <c r="CV154" s="2412">
        <v>2130</v>
      </c>
      <c r="CW154" s="2412">
        <v>2130</v>
      </c>
      <c r="CX154" s="2412">
        <v>2130</v>
      </c>
      <c r="CY154" s="2412">
        <v>2130</v>
      </c>
      <c r="CZ154" s="2412">
        <v>2130</v>
      </c>
      <c r="DA154" s="2412">
        <v>2480</v>
      </c>
      <c r="DB154" s="2412">
        <v>2480</v>
      </c>
      <c r="DC154" s="2412">
        <v>2480</v>
      </c>
      <c r="DD154" s="2412">
        <v>2480</v>
      </c>
      <c r="DE154" s="2412">
        <v>2480</v>
      </c>
      <c r="DF154" s="2412">
        <v>2480</v>
      </c>
      <c r="DG154" s="2412">
        <v>2480</v>
      </c>
      <c r="DH154" s="2412">
        <v>2480</v>
      </c>
      <c r="DI154" s="2412">
        <v>2480</v>
      </c>
      <c r="DJ154" s="2412">
        <v>2520</v>
      </c>
      <c r="DK154" s="2412">
        <v>2520</v>
      </c>
      <c r="DL154" s="2412">
        <v>2520</v>
      </c>
      <c r="DM154" s="2412">
        <v>2520</v>
      </c>
      <c r="DN154" s="2412">
        <v>2520</v>
      </c>
      <c r="DO154" s="2412">
        <v>2520</v>
      </c>
      <c r="DP154" s="2412">
        <v>2750</v>
      </c>
      <c r="DQ154" s="2412">
        <v>2750</v>
      </c>
      <c r="DR154" s="2412">
        <v>2750</v>
      </c>
      <c r="DS154" s="2412">
        <v>2750</v>
      </c>
      <c r="DT154" s="2412">
        <v>2750</v>
      </c>
      <c r="DU154" s="2412">
        <v>2840</v>
      </c>
      <c r="DV154" s="2412">
        <v>2840</v>
      </c>
      <c r="DW154" s="2412">
        <v>2840</v>
      </c>
      <c r="DX154" s="2412">
        <v>2980</v>
      </c>
      <c r="DY154" s="2412">
        <v>2980</v>
      </c>
      <c r="DZ154" s="2412">
        <v>2980</v>
      </c>
      <c r="EA154" s="2412">
        <v>2980</v>
      </c>
      <c r="EB154" s="2412">
        <v>2980</v>
      </c>
      <c r="EC154" s="2412">
        <v>2980</v>
      </c>
      <c r="ED154" s="2412">
        <v>2980</v>
      </c>
      <c r="EE154" s="2412">
        <v>3210</v>
      </c>
      <c r="EF154" s="2412">
        <v>3210</v>
      </c>
      <c r="EG154" s="2412">
        <v>3210</v>
      </c>
      <c r="EH154" s="2412">
        <v>3388</v>
      </c>
      <c r="EI154" s="2412">
        <v>3388</v>
      </c>
      <c r="EJ154" s="2412">
        <v>3388</v>
      </c>
      <c r="EK154" s="2412">
        <v>3556</v>
      </c>
      <c r="EL154" s="2412">
        <v>3556</v>
      </c>
      <c r="EM154" s="2412">
        <v>3728.93</v>
      </c>
      <c r="EN154" s="2412">
        <v>3728.93</v>
      </c>
      <c r="EO154" s="2412">
        <v>3728.93</v>
      </c>
      <c r="EP154" s="2412">
        <v>3728.93</v>
      </c>
      <c r="EQ154" s="2412">
        <v>3910.65</v>
      </c>
      <c r="ER154" s="2412">
        <v>3910.65</v>
      </c>
      <c r="ES154" s="2412">
        <v>3910.65</v>
      </c>
      <c r="ET154" s="2412">
        <v>4202.63</v>
      </c>
      <c r="EU154" s="2412">
        <v>4202.63</v>
      </c>
      <c r="EV154" s="2412">
        <v>4202.63</v>
      </c>
      <c r="EW154" s="2412">
        <v>4590</v>
      </c>
      <c r="EX154" s="2412">
        <v>4590</v>
      </c>
      <c r="EY154" s="2412">
        <v>4590</v>
      </c>
      <c r="EZ154" s="2412">
        <v>4590</v>
      </c>
      <c r="FA154" s="2412">
        <v>4830</v>
      </c>
      <c r="FB154" s="2412">
        <v>5300</v>
      </c>
      <c r="FC154" s="2412">
        <v>5840</v>
      </c>
      <c r="FD154" s="2412">
        <v>6420</v>
      </c>
      <c r="FE154" s="2412">
        <v>6420</v>
      </c>
      <c r="FF154" s="2412">
        <v>6420</v>
      </c>
      <c r="FG154" s="2412">
        <v>6570</v>
      </c>
      <c r="FH154" s="2412">
        <v>6570</v>
      </c>
      <c r="FI154" s="2412">
        <v>6730</v>
      </c>
      <c r="FJ154" s="2412">
        <v>7440</v>
      </c>
      <c r="FK154" s="2412">
        <v>7440</v>
      </c>
      <c r="FL154" s="2412">
        <v>7440</v>
      </c>
      <c r="FM154" s="2412">
        <v>7440</v>
      </c>
      <c r="FN154" s="2412">
        <v>7440</v>
      </c>
      <c r="FO154" s="2412">
        <v>7440</v>
      </c>
      <c r="FP154" s="2412">
        <v>7440</v>
      </c>
      <c r="FQ154" s="2412">
        <v>7440</v>
      </c>
      <c r="FR154" s="2412">
        <v>7680</v>
      </c>
      <c r="FS154" s="2412">
        <v>7680</v>
      </c>
      <c r="FT154" s="2412">
        <v>7680</v>
      </c>
      <c r="FU154" s="2412">
        <v>7680</v>
      </c>
      <c r="FV154" s="2412">
        <v>8060</v>
      </c>
      <c r="FW154" s="2413">
        <f>+D.P.V.!M141</f>
        <v>8092.2467943286438</v>
      </c>
      <c r="FX154" s="2413">
        <f>+D.P.V.!N141</f>
        <v>8094.7990453595439</v>
      </c>
      <c r="FY154" s="2413">
        <f>+D.P.V.!C150</f>
        <v>100</v>
      </c>
      <c r="FZ154" s="2413">
        <f>+D.P.V.!D150</f>
        <v>106.58160981426815</v>
      </c>
      <c r="GA154" s="2413">
        <f>+D.P.V.!E150</f>
        <v>108.49603737148492</v>
      </c>
      <c r="GB154" s="2413">
        <f>+D.P.V.!F150</f>
        <v>113.45571222269174</v>
      </c>
      <c r="GC154" s="2413">
        <f>+D.P.V.!G150</f>
        <v>117.4060355233499</v>
      </c>
      <c r="GD154" s="2413">
        <f>+D.P.V.!H150</f>
        <v>117.44214294118008</v>
      </c>
      <c r="GE154" s="2413">
        <f>+D.P.V.!I150</f>
        <v>119.49930477330273</v>
      </c>
      <c r="GF154" s="2413">
        <f>+D.P.V.!J150</f>
        <v>120.0211756340164</v>
      </c>
      <c r="GG154" s="2413">
        <f>+D.P.V.!K150</f>
        <v>120.02936693577837</v>
      </c>
      <c r="GH154" s="2413">
        <f>+D.P.V.!L150</f>
        <v>123.13854723641036</v>
      </c>
      <c r="GI154" s="2413">
        <f>+D.P.V.!M150</f>
        <v>124.74412993117154</v>
      </c>
      <c r="GJ154" s="2413">
        <f>+D.P.V.!N150</f>
        <v>129.94716710597933</v>
      </c>
      <c r="GK154" s="2413">
        <f>+D.P.V.!C159</f>
        <v>131.27919868853087</v>
      </c>
      <c r="GL154" s="2413">
        <f>+D.P.V.!D159</f>
        <v>131.31914537532134</v>
      </c>
      <c r="GM154" s="2413">
        <f>+D.P.V.!E159</f>
        <v>132.59829840156485</v>
      </c>
      <c r="GN154" s="2413">
        <f>+D.P.V.!F159</f>
        <v>133.01163108638374</v>
      </c>
      <c r="GO154" s="2413">
        <f>+D.P.V.!G159</f>
        <v>133.01730883031999</v>
      </c>
      <c r="GP154" s="2413">
        <f>+D.P.V.!H159</f>
        <v>134.1041586841003</v>
      </c>
      <c r="GQ154" s="2413">
        <f>+D.P.V.!I159</f>
        <v>140.99507990244032</v>
      </c>
      <c r="GR154" s="2413">
        <f>+D.P.V.!J159</f>
        <v>145.79571354624011</v>
      </c>
      <c r="GS154" s="2413">
        <f>+D.P.V.!K159</f>
        <v>146.1794998254658</v>
      </c>
      <c r="GT154" s="2413">
        <f>+D.P.V.!L159</f>
        <v>147.59481961020052</v>
      </c>
      <c r="GU154" s="2413">
        <f>+D.P.V.!M159</f>
        <v>150.0490203211252</v>
      </c>
      <c r="GV154" s="2413">
        <f>+D.P.V.!N159</f>
        <v>153.54841054002083</v>
      </c>
      <c r="GW154" s="2415">
        <f>+D.P.V.!C168</f>
        <v>158.35864354132823</v>
      </c>
      <c r="GX154" s="2415">
        <f>+D.P.V.!D168</f>
        <v>158.87540446250438</v>
      </c>
      <c r="GY154" s="2415">
        <f>+D.P.V.!E168</f>
        <v>163.10155605039046</v>
      </c>
      <c r="GZ154" s="2415">
        <f>+D.P.V.!F168</f>
        <v>179.56679119371552</v>
      </c>
      <c r="HA154" s="2415">
        <f>+D.P.V.!G168</f>
        <v>182.61025744886467</v>
      </c>
      <c r="HB154" s="2415">
        <f>+D.P.V.!H168</f>
        <v>192.34385615352798</v>
      </c>
      <c r="HC154" s="2415">
        <f>+D.P.V.!I168</f>
        <v>201.91176593891771</v>
      </c>
      <c r="HD154" s="2415">
        <f>+D.P.V.!J168</f>
        <v>204.37129740977809</v>
      </c>
      <c r="HE154" s="2415">
        <f>+D.P.V.!K168</f>
        <v>236.00585436360583</v>
      </c>
      <c r="HF154" s="2415">
        <f>+D.P.V.!L168</f>
        <v>260.82709958095597</v>
      </c>
      <c r="HG154" s="2415">
        <f>+D.P.V.!M168</f>
        <v>270.73470354508544</v>
      </c>
      <c r="HH154" s="2415">
        <f>+D.P.V.!N168</f>
        <v>275.47747913537944</v>
      </c>
      <c r="HI154" s="2415">
        <f>+D.P.V.!C177</f>
        <v>275.48640956679685</v>
      </c>
      <c r="HJ154" s="2415">
        <f>+D.P.V.!D177</f>
        <v>278.27678246772479</v>
      </c>
      <c r="HK154" s="2415">
        <f>+D.P.V.!E177</f>
        <v>300.2399953600646</v>
      </c>
      <c r="HL154" s="2415">
        <f>+D.P.V.!F177</f>
        <v>316.60660153849352</v>
      </c>
      <c r="HM154" s="2415">
        <f>+D.P.V.!G177</f>
        <v>330.82161810608602</v>
      </c>
      <c r="HN154" s="2415">
        <f>+D.P.V.!H177</f>
        <v>349.52445780882147</v>
      </c>
      <c r="HO154" s="2415">
        <f>+D.P.V.!I177</f>
        <v>351.71387119680759</v>
      </c>
      <c r="HP154" s="2415">
        <f>+D.P.V.!J177</f>
        <v>396.22830082645186</v>
      </c>
      <c r="HQ154" s="2415">
        <f>+D.P.V.!K177</f>
        <v>433.63138752029823</v>
      </c>
      <c r="HR154" s="2415">
        <f>+D.P.V.!L177</f>
        <v>509.5874008683989</v>
      </c>
      <c r="HS154" s="2415">
        <f>+D.P.V.!M177</f>
        <v>525.12263806645115</v>
      </c>
      <c r="HT154" s="2415">
        <f>+D.P.V.!N177</f>
        <v>553.21510590218338</v>
      </c>
      <c r="HU154" s="2420">
        <f>+D.P.V.!C186</f>
        <v>563.66809974227317</v>
      </c>
      <c r="HV154" s="2417">
        <f>+D.P.V.!D186</f>
        <v>564.83357563355946</v>
      </c>
      <c r="HW154" s="2417">
        <f>+D.P.V.!E186</f>
        <v>578.28370804241956</v>
      </c>
      <c r="HX154" s="2417">
        <f>+D.P.V.!F186</f>
        <v>588.44390495151947</v>
      </c>
      <c r="HY154" s="2417">
        <f>+D.P.V.!G186</f>
        <v>600.9645426834827</v>
      </c>
      <c r="HZ154" s="2417">
        <f>+D.P.V.!H186</f>
        <v>601.04173529736181</v>
      </c>
      <c r="IA154" s="2417">
        <f>+D.P.V.!I186</f>
        <v>601.23586101904777</v>
      </c>
      <c r="IB154" s="2417">
        <f>+D.P.V.!J186</f>
        <v>617.71341817315238</v>
      </c>
      <c r="IC154" s="2417">
        <f>+D.P.V.!K186</f>
        <v>622.125703177883</v>
      </c>
      <c r="ID154" s="2417">
        <f>+D.P.V.!L186</f>
        <v>632.71246356474342</v>
      </c>
      <c r="IE154" s="2417">
        <f>+D.P.V.!M186</f>
        <v>640.62278485461616</v>
      </c>
      <c r="IF154" s="2419">
        <f>+D.P.V.!N186</f>
        <v>662.65829771745166</v>
      </c>
      <c r="IG154" s="2420">
        <f>+D.P.V.!C195</f>
        <v>677.86333815737157</v>
      </c>
      <c r="IH154" s="2417">
        <f>+D.P.V.!D195</f>
        <v>733.28931723423113</v>
      </c>
      <c r="II154" s="2417">
        <f>+D.P.V.!E195</f>
        <v>772.36460056298324</v>
      </c>
      <c r="IJ154" s="2417">
        <f>+D.P.V.!F195</f>
        <v>840.80225443617212</v>
      </c>
      <c r="IK154" s="2417">
        <f>+D.P.V.!G195</f>
        <v>884.45957483313134</v>
      </c>
      <c r="IL154" s="2417">
        <f>+D.P.V.!H195</f>
        <v>903.57402454869225</v>
      </c>
      <c r="IM154" s="2417">
        <f>+D.P.V.!I195</f>
        <v>949.9712511714572</v>
      </c>
      <c r="IN154" s="2417">
        <f>+D.P.V.!J195</f>
        <v>973.89254277265479</v>
      </c>
      <c r="IO154" s="2417">
        <f>+D.P.V.!K195</f>
        <v>1014.6162442737267</v>
      </c>
      <c r="IP154" s="2417">
        <f>+D.P.V.!L195</f>
        <v>1017.2721734514995</v>
      </c>
      <c r="IQ154" s="2417">
        <f>+D.P.V.!M195</f>
        <v>1063.4868346028697</v>
      </c>
      <c r="IR154" s="2419">
        <f>+D.P.V.!N195</f>
        <v>1071.491986060649</v>
      </c>
      <c r="IS154" s="2420">
        <f>+D.P.V.!C204</f>
        <v>1130.231724734009</v>
      </c>
      <c r="IT154" s="2417">
        <f>+D.P.V.!D204</f>
        <v>1144.7916732941858</v>
      </c>
      <c r="IU154" s="2417">
        <f>+D.P.V.!E204</f>
        <v>1189.7585093714754</v>
      </c>
      <c r="IV154" s="2417">
        <f>+D.P.V.!F204</f>
        <v>1191.674441926114</v>
      </c>
      <c r="IW154" s="2417">
        <f>+D.P.V.!G204</f>
        <v>1260.7246329943423</v>
      </c>
      <c r="IX154" s="2417">
        <f>+D.P.V.!H204</f>
        <v>1339.1802082880449</v>
      </c>
      <c r="IY154" s="2417">
        <f>+D.P.V.!I204</f>
        <v>1405.7591520116562</v>
      </c>
      <c r="IZ154" s="2417">
        <f>+D.P.V.!J204</f>
        <v>1439.3309610297483</v>
      </c>
      <c r="JA154" s="2417">
        <f>+D.P.V.!K204</f>
        <v>1481.2072833200052</v>
      </c>
      <c r="JB154" s="2417">
        <f>+D.P.V.!L204</f>
        <v>1622.071583292807</v>
      </c>
      <c r="JC154" s="2417">
        <f>+D.P.V.!M204</f>
        <v>1679.7509817749651</v>
      </c>
      <c r="JD154" s="2415">
        <f>+D.P.V.!N204</f>
        <v>1858.0914280190273</v>
      </c>
      <c r="JE154" s="2422">
        <f>+D.P.V.!C213</f>
        <v>2075.2772199620081</v>
      </c>
      <c r="JF154" s="2418">
        <f>+D.P.V.!D213</f>
        <v>2371.881963395992</v>
      </c>
      <c r="JG154" s="2103">
        <f t="shared" si="14"/>
        <v>1.1429229505248526</v>
      </c>
      <c r="JI154" s="2155"/>
      <c r="JJ154" s="2104"/>
    </row>
    <row r="155" spans="2:270" ht="31.5" hidden="1">
      <c r="B155" s="2105">
        <v>201</v>
      </c>
      <c r="C155" s="2128"/>
      <c r="D155" s="2425">
        <v>0</v>
      </c>
      <c r="E155" s="2128" t="s">
        <v>335</v>
      </c>
      <c r="F155" s="2106" t="s">
        <v>918</v>
      </c>
      <c r="G155" s="2106"/>
      <c r="H155" s="2106" t="s">
        <v>336</v>
      </c>
      <c r="I155" s="2106"/>
      <c r="J155" s="2127" t="s">
        <v>337</v>
      </c>
      <c r="K155" s="2425" t="s">
        <v>200</v>
      </c>
      <c r="L155" s="2110">
        <v>100</v>
      </c>
      <c r="M155" s="2110">
        <v>106.48</v>
      </c>
      <c r="N155" s="2110">
        <v>118.6</v>
      </c>
      <c r="O155" s="2110">
        <v>131</v>
      </c>
      <c r="P155" s="2110">
        <v>142.25</v>
      </c>
      <c r="Q155" s="2110">
        <v>168.02</v>
      </c>
      <c r="R155" s="2110">
        <v>183.54</v>
      </c>
      <c r="S155" s="2110">
        <v>188.03</v>
      </c>
      <c r="T155" s="2110">
        <v>190.68</v>
      </c>
      <c r="U155" s="2110">
        <v>191.63</v>
      </c>
      <c r="V155" s="2110">
        <v>192.56</v>
      </c>
      <c r="W155" s="2110">
        <v>193</v>
      </c>
      <c r="X155" s="2110">
        <v>193.23</v>
      </c>
      <c r="Y155" s="2110">
        <v>191.72</v>
      </c>
      <c r="Z155" s="2110">
        <v>190.49</v>
      </c>
      <c r="AA155" s="2110">
        <v>190.77</v>
      </c>
      <c r="AB155" s="2110">
        <v>189.3</v>
      </c>
      <c r="AC155" s="2110">
        <v>188.4</v>
      </c>
      <c r="AD155" s="2110">
        <v>188.12</v>
      </c>
      <c r="AE155" s="2110">
        <v>188.61</v>
      </c>
      <c r="AF155" s="2110">
        <v>189.51</v>
      </c>
      <c r="AG155" s="2110">
        <v>188.71</v>
      </c>
      <c r="AH155" s="2110">
        <v>188.54</v>
      </c>
      <c r="AI155" s="2110">
        <v>189.29</v>
      </c>
      <c r="AJ155" s="2110">
        <v>190.95</v>
      </c>
      <c r="AK155" s="2110">
        <v>191.92</v>
      </c>
      <c r="AL155" s="2110">
        <v>195.63</v>
      </c>
      <c r="AM155" s="2110">
        <v>199.15</v>
      </c>
      <c r="AN155" s="2110">
        <v>201.68</v>
      </c>
      <c r="AO155" s="2110">
        <v>204.2</v>
      </c>
      <c r="AP155" s="2110">
        <v>206.31</v>
      </c>
      <c r="AQ155" s="2110">
        <v>206.98</v>
      </c>
      <c r="AR155" s="2110">
        <v>209.02</v>
      </c>
      <c r="AS155" s="2110">
        <v>210.28</v>
      </c>
      <c r="AT155" s="2110">
        <v>211.58</v>
      </c>
      <c r="AU155" s="2110">
        <v>212.11</v>
      </c>
      <c r="AV155" s="2110">
        <v>214.59</v>
      </c>
      <c r="AW155" s="2111">
        <v>208.38</v>
      </c>
      <c r="AX155" s="2111">
        <v>220.94</v>
      </c>
      <c r="AY155" s="2111">
        <v>223.85</v>
      </c>
      <c r="AZ155" s="2111">
        <v>225.95</v>
      </c>
      <c r="BA155" s="2111">
        <v>226.98</v>
      </c>
      <c r="BB155" s="2111">
        <v>227.97</v>
      </c>
      <c r="BC155" s="2111">
        <v>230.76</v>
      </c>
      <c r="BD155" s="2111">
        <v>232.49</v>
      </c>
      <c r="BE155" s="2111">
        <v>235.98</v>
      </c>
      <c r="BF155" s="2111">
        <v>238.92</v>
      </c>
      <c r="BG155" s="2111">
        <v>239.37</v>
      </c>
      <c r="BH155" s="2111">
        <v>243.78</v>
      </c>
      <c r="BI155" s="2108">
        <v>247.41</v>
      </c>
      <c r="BJ155" s="2108">
        <v>248.83</v>
      </c>
      <c r="BK155" s="2108">
        <v>251.27</v>
      </c>
      <c r="BL155" s="2108">
        <v>253.01</v>
      </c>
      <c r="BM155" s="2108">
        <v>255.17</v>
      </c>
      <c r="BN155" s="2108">
        <v>258.57</v>
      </c>
      <c r="BO155" s="2108">
        <v>261.3</v>
      </c>
      <c r="BP155" s="2108">
        <v>264.72000000000003</v>
      </c>
      <c r="BQ155" s="2108">
        <v>267.42</v>
      </c>
      <c r="BR155" s="2108">
        <v>268.43</v>
      </c>
      <c r="BS155" s="2108">
        <v>268.52999999999997</v>
      </c>
      <c r="BT155" s="2108">
        <v>269.64</v>
      </c>
      <c r="BU155" s="2108">
        <v>270.35000000000002</v>
      </c>
      <c r="BV155" s="2108">
        <v>273.06</v>
      </c>
      <c r="BW155" s="2108">
        <v>275.76</v>
      </c>
      <c r="BX155" s="2108">
        <v>279.29000000000002</v>
      </c>
      <c r="BY155" s="2108">
        <v>283.44</v>
      </c>
      <c r="BZ155" s="2108">
        <v>290.08999999999997</v>
      </c>
      <c r="CA155" s="2108">
        <v>292.67</v>
      </c>
      <c r="CB155" s="2108">
        <v>299.24</v>
      </c>
      <c r="CC155" s="2108">
        <v>301.43</v>
      </c>
      <c r="CD155" s="2108">
        <v>305.10000000000002</v>
      </c>
      <c r="CE155" s="2108">
        <v>308.81</v>
      </c>
      <c r="CF155" s="2108">
        <v>311.77</v>
      </c>
      <c r="CG155" s="2108">
        <v>316.19</v>
      </c>
      <c r="CH155" s="2108">
        <v>319.54000000000002</v>
      </c>
      <c r="CI155" s="2108">
        <v>324.24</v>
      </c>
      <c r="CJ155" s="2108">
        <v>328.8</v>
      </c>
      <c r="CK155" s="2108">
        <v>330.41</v>
      </c>
      <c r="CL155" s="2108">
        <v>336.71</v>
      </c>
      <c r="CM155" s="2108">
        <v>341.26</v>
      </c>
      <c r="CN155" s="2108">
        <v>344.04</v>
      </c>
      <c r="CO155" s="2108">
        <v>346.55</v>
      </c>
      <c r="CP155" s="2108">
        <v>348.91</v>
      </c>
      <c r="CQ155" s="2108">
        <v>351.05</v>
      </c>
      <c r="CR155" s="2108">
        <v>351.82</v>
      </c>
      <c r="CS155" s="2108">
        <v>353.4</v>
      </c>
      <c r="CT155" s="2108">
        <v>353.5</v>
      </c>
      <c r="CU155" s="2108">
        <v>354.66</v>
      </c>
      <c r="CV155" s="2108">
        <v>356.57</v>
      </c>
      <c r="CW155" s="2108">
        <v>360.45</v>
      </c>
      <c r="CX155" s="2108">
        <v>364.13</v>
      </c>
      <c r="CY155" s="2108">
        <v>366.46</v>
      </c>
      <c r="CZ155" s="2108">
        <v>369.12</v>
      </c>
      <c r="DA155" s="2108">
        <v>371.11</v>
      </c>
      <c r="DB155" s="2108">
        <v>377.74</v>
      </c>
      <c r="DC155" s="2108">
        <v>382.1</v>
      </c>
      <c r="DD155" s="2108">
        <v>383.88</v>
      </c>
      <c r="DE155" s="2108">
        <v>386.57</v>
      </c>
      <c r="DF155" s="2108">
        <v>393.22</v>
      </c>
      <c r="DG155" s="2108">
        <v>400.5</v>
      </c>
      <c r="DH155" s="2108">
        <v>404.39</v>
      </c>
      <c r="DI155" s="2108">
        <v>412.68</v>
      </c>
      <c r="DJ155" s="2108">
        <v>418.8</v>
      </c>
      <c r="DK155" s="2108">
        <v>422.56</v>
      </c>
      <c r="DL155" s="2108">
        <v>427</v>
      </c>
      <c r="DM155" s="2108">
        <v>431.87</v>
      </c>
      <c r="DN155" s="2108">
        <v>437.29</v>
      </c>
      <c r="DO155" s="2108">
        <v>441.85</v>
      </c>
      <c r="DP155" s="2108">
        <v>447.86</v>
      </c>
      <c r="DQ155" s="2108">
        <v>453.6</v>
      </c>
      <c r="DR155" s="2108">
        <v>458.94</v>
      </c>
      <c r="DS155" s="2108">
        <v>462.92</v>
      </c>
      <c r="DT155" s="2108">
        <v>469.13</v>
      </c>
      <c r="DU155" s="2108">
        <v>477.91</v>
      </c>
      <c r="DV155" s="2108">
        <v>485.14</v>
      </c>
      <c r="DW155" s="2108">
        <v>494.14</v>
      </c>
      <c r="DX155" s="2108">
        <v>497.81</v>
      </c>
      <c r="DY155" s="2108">
        <v>507.88</v>
      </c>
      <c r="DZ155" s="2108">
        <v>516.12</v>
      </c>
      <c r="EA155" s="2108">
        <v>524.11</v>
      </c>
      <c r="EB155" s="2108">
        <v>531.42999999999995</v>
      </c>
      <c r="EC155" s="2108">
        <v>534.17999999999995</v>
      </c>
      <c r="ED155" s="2108">
        <v>540.12</v>
      </c>
      <c r="EE155" s="2108">
        <v>544.11</v>
      </c>
      <c r="EF155" s="2108">
        <v>547.54999999999995</v>
      </c>
      <c r="EG155" s="2108">
        <v>554.07000000000005</v>
      </c>
      <c r="EH155" s="2108">
        <v>569.35</v>
      </c>
      <c r="EI155" s="2108">
        <v>577.94000000000005</v>
      </c>
      <c r="EJ155" s="2108">
        <v>582.95000000000005</v>
      </c>
      <c r="EK155" s="2108">
        <v>589.14</v>
      </c>
      <c r="EL155" s="2108">
        <v>596.65</v>
      </c>
      <c r="EM155" s="2108">
        <v>605.47</v>
      </c>
      <c r="EN155" s="2108">
        <v>611.72</v>
      </c>
      <c r="EO155" s="2108">
        <v>615.03</v>
      </c>
      <c r="EP155" s="2108">
        <v>620.16</v>
      </c>
      <c r="EQ155" s="2108">
        <v>625.72</v>
      </c>
      <c r="ER155" s="2108">
        <v>635.64</v>
      </c>
      <c r="ES155" s="2108">
        <v>642.47</v>
      </c>
      <c r="ET155" s="2108">
        <v>658.69</v>
      </c>
      <c r="EU155" s="2108">
        <v>670.41</v>
      </c>
      <c r="EV155" s="2108">
        <v>678.3</v>
      </c>
      <c r="EW155" s="2108">
        <v>689.36</v>
      </c>
      <c r="EX155" s="2108">
        <v>694.87</v>
      </c>
      <c r="EY155" s="2108">
        <v>701.28</v>
      </c>
      <c r="EZ155" s="2108">
        <v>711.14</v>
      </c>
      <c r="FA155" s="2157" t="s">
        <v>872</v>
      </c>
      <c r="FB155" s="2157" t="s">
        <v>872</v>
      </c>
      <c r="FC155" s="2157" t="s">
        <v>872</v>
      </c>
      <c r="FD155" s="2157" t="s">
        <v>872</v>
      </c>
      <c r="FE155" s="2157" t="s">
        <v>872</v>
      </c>
      <c r="FF155" s="2157" t="s">
        <v>872</v>
      </c>
      <c r="FG155" s="2157" t="s">
        <v>872</v>
      </c>
      <c r="FH155" s="2157" t="s">
        <v>872</v>
      </c>
      <c r="FI155" s="2157" t="s">
        <v>872</v>
      </c>
      <c r="FJ155" s="2157" t="s">
        <v>872</v>
      </c>
      <c r="FK155" s="2157" t="s">
        <v>872</v>
      </c>
      <c r="FL155" s="2157" t="s">
        <v>872</v>
      </c>
      <c r="FM155" s="2157" t="s">
        <v>872</v>
      </c>
      <c r="FN155" s="2157" t="s">
        <v>872</v>
      </c>
      <c r="FO155" s="2157" t="s">
        <v>872</v>
      </c>
      <c r="FP155" s="2157" t="s">
        <v>872</v>
      </c>
      <c r="FQ155" s="2157" t="s">
        <v>872</v>
      </c>
      <c r="FR155" s="2157" t="s">
        <v>872</v>
      </c>
      <c r="FS155" s="2157" t="s">
        <v>872</v>
      </c>
      <c r="FT155" s="2157" t="s">
        <v>872</v>
      </c>
      <c r="FU155" s="2157" t="s">
        <v>872</v>
      </c>
      <c r="FV155" s="2157" t="s">
        <v>872</v>
      </c>
      <c r="FW155" s="2157" t="s">
        <v>872</v>
      </c>
      <c r="FX155" s="2157" t="s">
        <v>872</v>
      </c>
      <c r="FY155" s="2157" t="s">
        <v>872</v>
      </c>
      <c r="FZ155" s="2157" t="s">
        <v>872</v>
      </c>
      <c r="GA155" s="2157" t="s">
        <v>872</v>
      </c>
      <c r="GB155" s="2157" t="s">
        <v>872</v>
      </c>
      <c r="GC155" s="2157" t="s">
        <v>872</v>
      </c>
      <c r="GD155" s="2157" t="s">
        <v>872</v>
      </c>
      <c r="GE155" s="2157" t="s">
        <v>872</v>
      </c>
      <c r="GF155" s="2158" t="s">
        <v>872</v>
      </c>
      <c r="GG155" s="1960" t="s">
        <v>872</v>
      </c>
      <c r="GH155" s="2114" t="s">
        <v>872</v>
      </c>
      <c r="GI155" s="2114" t="s">
        <v>872</v>
      </c>
      <c r="GJ155" s="2113" t="s">
        <v>872</v>
      </c>
      <c r="GK155" s="2113" t="s">
        <v>872</v>
      </c>
      <c r="GL155" s="2113" t="s">
        <v>872</v>
      </c>
      <c r="GM155" s="2114" t="s">
        <v>872</v>
      </c>
      <c r="GN155" s="2114" t="s">
        <v>853</v>
      </c>
      <c r="GO155" s="2115" t="s">
        <v>853</v>
      </c>
      <c r="GP155" s="2116" t="s">
        <v>853</v>
      </c>
      <c r="GQ155" s="2116" t="s">
        <v>853</v>
      </c>
      <c r="GR155" s="2116" t="s">
        <v>853</v>
      </c>
      <c r="GS155" s="2116" t="s">
        <v>853</v>
      </c>
      <c r="GT155" s="1960" t="s">
        <v>853</v>
      </c>
      <c r="GU155" s="1960" t="s">
        <v>853</v>
      </c>
      <c r="GV155" s="1960" t="s">
        <v>853</v>
      </c>
      <c r="GW155" s="1960" t="s">
        <v>853</v>
      </c>
      <c r="GX155" s="1960" t="s">
        <v>853</v>
      </c>
      <c r="GY155" s="1960" t="s">
        <v>853</v>
      </c>
      <c r="GZ155" s="1960" t="s">
        <v>853</v>
      </c>
      <c r="HA155" s="1960" t="s">
        <v>853</v>
      </c>
      <c r="HB155" s="1960" t="s">
        <v>853</v>
      </c>
      <c r="HC155" s="1960" t="s">
        <v>853</v>
      </c>
      <c r="HD155" s="1960" t="s">
        <v>853</v>
      </c>
      <c r="HE155" s="1960" t="s">
        <v>853</v>
      </c>
      <c r="HF155" s="1960" t="s">
        <v>853</v>
      </c>
      <c r="HG155" s="1960" t="s">
        <v>853</v>
      </c>
      <c r="HH155" s="2117" t="s">
        <v>853</v>
      </c>
      <c r="HI155" s="1960" t="s">
        <v>853</v>
      </c>
      <c r="HJ155" s="1960" t="s">
        <v>853</v>
      </c>
      <c r="HK155" s="1960" t="s">
        <v>853</v>
      </c>
      <c r="HL155" s="1960" t="s">
        <v>853</v>
      </c>
      <c r="HM155" s="1960" t="s">
        <v>853</v>
      </c>
      <c r="HN155" s="1960" t="s">
        <v>853</v>
      </c>
      <c r="HO155" s="1960" t="s">
        <v>853</v>
      </c>
      <c r="HP155" s="1960" t="s">
        <v>853</v>
      </c>
      <c r="HQ155" s="1960" t="s">
        <v>481</v>
      </c>
      <c r="HR155" s="1960" t="s">
        <v>481</v>
      </c>
      <c r="HS155" s="1960"/>
      <c r="HT155" s="1962"/>
      <c r="HU155" s="1961"/>
      <c r="HV155" s="1960">
        <v>0</v>
      </c>
      <c r="HW155" s="1960">
        <v>0</v>
      </c>
      <c r="HX155" s="1960">
        <v>0</v>
      </c>
      <c r="HY155" s="1960">
        <v>0</v>
      </c>
      <c r="HZ155" s="1960">
        <v>0</v>
      </c>
      <c r="IA155" s="1960">
        <v>0</v>
      </c>
      <c r="IB155" s="1960">
        <v>0</v>
      </c>
      <c r="IC155" s="1960">
        <v>0</v>
      </c>
      <c r="ID155" s="1960">
        <v>0</v>
      </c>
      <c r="IE155" s="1960">
        <v>0</v>
      </c>
      <c r="IF155" s="1960">
        <v>0</v>
      </c>
      <c r="IG155" s="1961">
        <v>0</v>
      </c>
      <c r="IH155" s="1960">
        <v>0</v>
      </c>
      <c r="II155" s="1960">
        <v>0</v>
      </c>
      <c r="IJ155" s="1961">
        <v>0</v>
      </c>
      <c r="IK155" s="1960">
        <v>0</v>
      </c>
      <c r="IL155" s="1960">
        <v>0</v>
      </c>
      <c r="IM155" s="1960">
        <v>0</v>
      </c>
      <c r="IN155" s="1960">
        <v>0</v>
      </c>
      <c r="IO155" s="1960">
        <v>0</v>
      </c>
      <c r="IP155" s="1960">
        <v>0</v>
      </c>
      <c r="IQ155" s="1960">
        <v>0</v>
      </c>
      <c r="IR155" s="1960">
        <v>0</v>
      </c>
      <c r="IS155" s="2274">
        <v>0</v>
      </c>
      <c r="IT155" s="1960">
        <v>0</v>
      </c>
      <c r="IU155" s="1960">
        <v>0</v>
      </c>
      <c r="IV155" s="1960">
        <v>0</v>
      </c>
      <c r="IW155" s="1960">
        <v>0</v>
      </c>
      <c r="IX155" s="1960">
        <v>0</v>
      </c>
      <c r="IY155" s="1960">
        <v>0</v>
      </c>
      <c r="IZ155" s="1960">
        <v>0</v>
      </c>
      <c r="JA155" s="1960">
        <v>0</v>
      </c>
      <c r="JB155" s="1960">
        <v>0</v>
      </c>
      <c r="JC155" s="1960">
        <v>0</v>
      </c>
      <c r="JD155" s="1960">
        <v>0</v>
      </c>
      <c r="JE155" s="2274">
        <v>0</v>
      </c>
      <c r="JF155" s="2117">
        <v>0</v>
      </c>
      <c r="JG155" s="2103" t="e">
        <f t="shared" si="14"/>
        <v>#DIV/0!</v>
      </c>
      <c r="JI155" s="2155"/>
      <c r="JJ155" s="2104"/>
    </row>
    <row r="156" spans="2:270" ht="31.5" hidden="1">
      <c r="B156" s="2105">
        <v>202</v>
      </c>
      <c r="C156" s="2128"/>
      <c r="D156" s="2425">
        <v>0</v>
      </c>
      <c r="E156" s="2128" t="s">
        <v>338</v>
      </c>
      <c r="F156" s="2106" t="s">
        <v>918</v>
      </c>
      <c r="G156" s="2106"/>
      <c r="H156" s="2106" t="s">
        <v>336</v>
      </c>
      <c r="I156" s="2106"/>
      <c r="J156" s="2127" t="s">
        <v>339</v>
      </c>
      <c r="K156" s="2425" t="s">
        <v>201</v>
      </c>
      <c r="L156" s="2110">
        <v>100</v>
      </c>
      <c r="M156" s="2110">
        <v>109.79300000000001</v>
      </c>
      <c r="N156" s="2110">
        <v>135.72</v>
      </c>
      <c r="O156" s="2110">
        <v>162.22</v>
      </c>
      <c r="P156" s="2110">
        <v>191.06800000000001</v>
      </c>
      <c r="Q156" s="2110">
        <v>242.53899999999996</v>
      </c>
      <c r="R156" s="2110">
        <v>260.56</v>
      </c>
      <c r="S156" s="2110">
        <v>266.82299999999998</v>
      </c>
      <c r="T156" s="2110">
        <v>285.76099999999997</v>
      </c>
      <c r="U156" s="2110">
        <v>283.66699999999997</v>
      </c>
      <c r="V156" s="2110">
        <v>284.83</v>
      </c>
      <c r="W156" s="2110">
        <v>266.58699999999999</v>
      </c>
      <c r="X156" s="2110">
        <v>263.81700000000001</v>
      </c>
      <c r="Y156" s="2110">
        <v>254.98599999999999</v>
      </c>
      <c r="Z156" s="2110">
        <v>252.86099999999999</v>
      </c>
      <c r="AA156" s="2110">
        <v>241.81</v>
      </c>
      <c r="AB156" s="2110">
        <v>232.339</v>
      </c>
      <c r="AC156" s="2110">
        <v>226.11099999999999</v>
      </c>
      <c r="AD156" s="2110">
        <v>224.58199999999997</v>
      </c>
      <c r="AE156" s="2110">
        <v>220.75700000000001</v>
      </c>
      <c r="AF156" s="2110">
        <v>226.01899999999998</v>
      </c>
      <c r="AG156" s="2110">
        <v>226.00599999999997</v>
      </c>
      <c r="AH156" s="2110">
        <v>223.786</v>
      </c>
      <c r="AI156" s="2110">
        <v>225.34299999999996</v>
      </c>
      <c r="AJ156" s="2110">
        <v>230.2</v>
      </c>
      <c r="AK156" s="2110">
        <v>228.77099999999999</v>
      </c>
      <c r="AL156" s="2110">
        <v>230.55899999999997</v>
      </c>
      <c r="AM156" s="2110">
        <v>230.12199999999999</v>
      </c>
      <c r="AN156" s="2110">
        <v>227.38899999999998</v>
      </c>
      <c r="AO156" s="2110">
        <v>231.12799999999999</v>
      </c>
      <c r="AP156" s="2110">
        <v>232.83799999999997</v>
      </c>
      <c r="AQ156" s="2110">
        <v>232.46499999999997</v>
      </c>
      <c r="AR156" s="2110">
        <v>236.864</v>
      </c>
      <c r="AS156" s="2110">
        <v>233.84099999999998</v>
      </c>
      <c r="AT156" s="2110">
        <v>233.73199999999997</v>
      </c>
      <c r="AU156" s="2110">
        <v>232.86099999999999</v>
      </c>
      <c r="AV156" s="2110">
        <v>235.05700000000002</v>
      </c>
      <c r="AW156" s="2111">
        <v>233.60599999999999</v>
      </c>
      <c r="AX156" s="2111">
        <v>232.94299999999998</v>
      </c>
      <c r="AY156" s="2111">
        <v>235.40600000000001</v>
      </c>
      <c r="AZ156" s="2111">
        <v>236.47099999999998</v>
      </c>
      <c r="BA156" s="2111">
        <v>236.36700000000002</v>
      </c>
      <c r="BB156" s="2111">
        <v>235.22699999999998</v>
      </c>
      <c r="BC156" s="2111">
        <v>235.86099999999999</v>
      </c>
      <c r="BD156" s="2111">
        <v>237.47999999999996</v>
      </c>
      <c r="BE156" s="2111">
        <v>239.51799999999997</v>
      </c>
      <c r="BF156" s="2111">
        <v>242.14599999999999</v>
      </c>
      <c r="BG156" s="2111">
        <v>242.27699999999999</v>
      </c>
      <c r="BH156" s="2111">
        <v>244.85599999999999</v>
      </c>
      <c r="BI156" s="2112">
        <v>247.416</v>
      </c>
      <c r="BJ156" s="2112">
        <v>248.50799999999998</v>
      </c>
      <c r="BK156" s="2112">
        <v>250.512</v>
      </c>
      <c r="BL156" s="2112">
        <v>247.76899999999998</v>
      </c>
      <c r="BM156" s="2112">
        <v>248.33499999999998</v>
      </c>
      <c r="BN156" s="2112">
        <v>249.33199999999999</v>
      </c>
      <c r="BO156" s="2112">
        <v>250.87099999999998</v>
      </c>
      <c r="BP156" s="2112">
        <v>253.48199999999997</v>
      </c>
      <c r="BQ156" s="2112">
        <v>255.05699999999999</v>
      </c>
      <c r="BR156" s="2112">
        <v>253.18699999999998</v>
      </c>
      <c r="BS156" s="2112">
        <v>250.12799999999999</v>
      </c>
      <c r="BT156" s="2112">
        <v>250.86199999999997</v>
      </c>
      <c r="BU156" s="2112">
        <v>251.78099999999995</v>
      </c>
      <c r="BV156" s="2112">
        <v>254.40799999999996</v>
      </c>
      <c r="BW156" s="2112">
        <v>253.74299999999999</v>
      </c>
      <c r="BX156" s="2108">
        <v>255.73399999999998</v>
      </c>
      <c r="BY156" s="2108">
        <v>258.65899999999999</v>
      </c>
      <c r="BZ156" s="2108">
        <v>260.86599999999999</v>
      </c>
      <c r="CA156" s="2108">
        <v>263.81099999999998</v>
      </c>
      <c r="CB156" s="2108">
        <v>266.37900000000002</v>
      </c>
      <c r="CC156" s="2108">
        <v>267.202</v>
      </c>
      <c r="CD156" s="2108">
        <v>269.53800000000001</v>
      </c>
      <c r="CE156" s="2108">
        <v>270.02699999999999</v>
      </c>
      <c r="CF156" s="2108">
        <v>272.24299999999999</v>
      </c>
      <c r="CG156" s="2108">
        <v>271.971</v>
      </c>
      <c r="CH156" s="2108">
        <v>275.77199999999999</v>
      </c>
      <c r="CI156" s="2108">
        <v>276.86399999999998</v>
      </c>
      <c r="CJ156" s="2108">
        <v>279.64299999999997</v>
      </c>
      <c r="CK156" s="2108">
        <v>280.37099999999998</v>
      </c>
      <c r="CL156" s="2108">
        <v>279.07599999999996</v>
      </c>
      <c r="CM156" s="2108">
        <v>278.91499999999996</v>
      </c>
      <c r="CN156" s="2108">
        <v>279.89499999999998</v>
      </c>
      <c r="CO156" s="2108">
        <v>280.03499999999997</v>
      </c>
      <c r="CP156" s="2108">
        <v>283.96199999999999</v>
      </c>
      <c r="CQ156" s="2108">
        <v>284.55999999999995</v>
      </c>
      <c r="CR156" s="2108">
        <v>287.09399999999999</v>
      </c>
      <c r="CS156" s="2108">
        <v>288.34199999999998</v>
      </c>
      <c r="CT156" s="2108">
        <v>290.827</v>
      </c>
      <c r="CU156" s="2108">
        <v>293.96300000000002</v>
      </c>
      <c r="CV156" s="2108">
        <v>298.22399999999999</v>
      </c>
      <c r="CW156" s="2108">
        <v>300.11199999999997</v>
      </c>
      <c r="CX156" s="2108">
        <v>303.05799999999999</v>
      </c>
      <c r="CY156" s="2108">
        <v>304.84699999999998</v>
      </c>
      <c r="CZ156" s="2108">
        <v>308.02600000000001</v>
      </c>
      <c r="DA156" s="2108">
        <v>309.32199999999995</v>
      </c>
      <c r="DB156" s="2108">
        <v>312.88299999999998</v>
      </c>
      <c r="DC156" s="2108">
        <v>313.94200000000001</v>
      </c>
      <c r="DD156" s="2108">
        <v>314.46699999999998</v>
      </c>
      <c r="DE156" s="2108">
        <v>315.75599999999997</v>
      </c>
      <c r="DF156" s="2108">
        <v>319.89400000000001</v>
      </c>
      <c r="DG156" s="2108">
        <v>324.53199999999998</v>
      </c>
      <c r="DH156" s="2108">
        <v>322.49299999999999</v>
      </c>
      <c r="DI156" s="2108">
        <v>330.255</v>
      </c>
      <c r="DJ156" s="2108">
        <v>331.27300000000002</v>
      </c>
      <c r="DK156" s="2108">
        <v>334.27299999999997</v>
      </c>
      <c r="DL156" s="2108">
        <v>336.91199999999998</v>
      </c>
      <c r="DM156" s="2108">
        <v>339.31799999999998</v>
      </c>
      <c r="DN156" s="2108">
        <v>344.26799999999997</v>
      </c>
      <c r="DO156" s="2108">
        <v>345.28399999999999</v>
      </c>
      <c r="DP156" s="2108">
        <v>349.02499999999998</v>
      </c>
      <c r="DQ156" s="2108">
        <v>355.59100000000001</v>
      </c>
      <c r="DR156" s="2108">
        <v>358.93699999999995</v>
      </c>
      <c r="DS156" s="2108">
        <v>359.83799999999997</v>
      </c>
      <c r="DT156" s="2108">
        <v>363.86599999999999</v>
      </c>
      <c r="DU156" s="2108">
        <v>365.39699999999999</v>
      </c>
      <c r="DV156" s="2108">
        <v>367.13</v>
      </c>
      <c r="DW156" s="2108">
        <v>371.92099999999999</v>
      </c>
      <c r="DX156" s="2108">
        <v>376.02299999999997</v>
      </c>
      <c r="DY156" s="2108">
        <v>378.97399999999999</v>
      </c>
      <c r="DZ156" s="2108">
        <v>382.16999999999996</v>
      </c>
      <c r="EA156" s="2108">
        <v>385.23500000000001</v>
      </c>
      <c r="EB156" s="2108">
        <v>389.76799999999997</v>
      </c>
      <c r="EC156" s="2108">
        <v>398.08199999999999</v>
      </c>
      <c r="ED156" s="2108">
        <v>400.09399999999994</v>
      </c>
      <c r="EE156" s="2108">
        <v>405.95</v>
      </c>
      <c r="EF156" s="2108">
        <v>409.87699999999995</v>
      </c>
      <c r="EG156" s="2108">
        <v>404.71100000000001</v>
      </c>
      <c r="EH156" s="2108">
        <v>427.14199999999994</v>
      </c>
      <c r="EI156" s="2108">
        <v>434.65</v>
      </c>
      <c r="EJ156" s="2108">
        <v>439.411</v>
      </c>
      <c r="EK156" s="2108">
        <v>442.68999999999994</v>
      </c>
      <c r="EL156" s="2108">
        <v>444.88699999999994</v>
      </c>
      <c r="EM156" s="2108">
        <v>450.60199999999998</v>
      </c>
      <c r="EN156" s="2108">
        <v>452.43399999999997</v>
      </c>
      <c r="EO156" s="2108">
        <v>456.55799999999999</v>
      </c>
      <c r="EP156" s="2108">
        <v>460.69599999999997</v>
      </c>
      <c r="EQ156" s="2108">
        <v>465.49099999999999</v>
      </c>
      <c r="ER156" s="2108">
        <v>474.75699999999995</v>
      </c>
      <c r="ES156" s="2108">
        <v>479.12599999999998</v>
      </c>
      <c r="ET156" s="2108">
        <v>496.21199999999999</v>
      </c>
      <c r="EU156" s="2108">
        <v>497.92600000000004</v>
      </c>
      <c r="EV156" s="2108">
        <v>502.59899999999993</v>
      </c>
      <c r="EW156" s="2108">
        <v>512.89199999999994</v>
      </c>
      <c r="EX156" s="2108">
        <v>515.452</v>
      </c>
      <c r="EY156" s="2108">
        <v>518.7059999999999</v>
      </c>
      <c r="EZ156" s="2108">
        <v>528.37299999999993</v>
      </c>
      <c r="FA156" s="2157" t="s">
        <v>872</v>
      </c>
      <c r="FB156" s="2157" t="s">
        <v>872</v>
      </c>
      <c r="FC156" s="2157" t="s">
        <v>872</v>
      </c>
      <c r="FD156" s="2157" t="s">
        <v>872</v>
      </c>
      <c r="FE156" s="2157" t="s">
        <v>872</v>
      </c>
      <c r="FF156" s="2157" t="s">
        <v>872</v>
      </c>
      <c r="FG156" s="2157" t="s">
        <v>872</v>
      </c>
      <c r="FH156" s="2157" t="s">
        <v>872</v>
      </c>
      <c r="FI156" s="2157" t="s">
        <v>872</v>
      </c>
      <c r="FJ156" s="2157" t="s">
        <v>872</v>
      </c>
      <c r="FK156" s="2157" t="s">
        <v>872</v>
      </c>
      <c r="FL156" s="2157" t="s">
        <v>872</v>
      </c>
      <c r="FM156" s="2157" t="s">
        <v>872</v>
      </c>
      <c r="FN156" s="2157" t="s">
        <v>872</v>
      </c>
      <c r="FO156" s="2157" t="s">
        <v>872</v>
      </c>
      <c r="FP156" s="2157" t="s">
        <v>872</v>
      </c>
      <c r="FQ156" s="2157" t="s">
        <v>872</v>
      </c>
      <c r="FR156" s="2157" t="s">
        <v>872</v>
      </c>
      <c r="FS156" s="2157" t="s">
        <v>872</v>
      </c>
      <c r="FT156" s="2157" t="s">
        <v>872</v>
      </c>
      <c r="FU156" s="2157" t="s">
        <v>872</v>
      </c>
      <c r="FV156" s="2157" t="s">
        <v>872</v>
      </c>
      <c r="FW156" s="2157" t="s">
        <v>872</v>
      </c>
      <c r="FX156" s="2157" t="s">
        <v>872</v>
      </c>
      <c r="FY156" s="2157" t="s">
        <v>872</v>
      </c>
      <c r="FZ156" s="2157" t="s">
        <v>872</v>
      </c>
      <c r="GA156" s="2157" t="s">
        <v>872</v>
      </c>
      <c r="GB156" s="2157" t="s">
        <v>872</v>
      </c>
      <c r="GC156" s="2157" t="s">
        <v>872</v>
      </c>
      <c r="GD156" s="2157" t="s">
        <v>872</v>
      </c>
      <c r="GE156" s="2157" t="s">
        <v>872</v>
      </c>
      <c r="GF156" s="2158" t="s">
        <v>872</v>
      </c>
      <c r="GG156" s="1960" t="s">
        <v>872</v>
      </c>
      <c r="GH156" s="2114" t="s">
        <v>872</v>
      </c>
      <c r="GI156" s="2114" t="s">
        <v>872</v>
      </c>
      <c r="GJ156" s="2113" t="s">
        <v>872</v>
      </c>
      <c r="GK156" s="2113" t="s">
        <v>872</v>
      </c>
      <c r="GL156" s="2113" t="s">
        <v>872</v>
      </c>
      <c r="GM156" s="2114" t="s">
        <v>872</v>
      </c>
      <c r="GN156" s="2114" t="s">
        <v>853</v>
      </c>
      <c r="GO156" s="2115" t="s">
        <v>853</v>
      </c>
      <c r="GP156" s="2116" t="s">
        <v>853</v>
      </c>
      <c r="GQ156" s="2116" t="s">
        <v>853</v>
      </c>
      <c r="GR156" s="2116" t="s">
        <v>853</v>
      </c>
      <c r="GS156" s="2116" t="s">
        <v>853</v>
      </c>
      <c r="GT156" s="1960" t="s">
        <v>853</v>
      </c>
      <c r="GU156" s="1960" t="s">
        <v>853</v>
      </c>
      <c r="GV156" s="1960" t="s">
        <v>853</v>
      </c>
      <c r="GW156" s="1960" t="s">
        <v>853</v>
      </c>
      <c r="GX156" s="1960" t="s">
        <v>853</v>
      </c>
      <c r="GY156" s="1960" t="s">
        <v>853</v>
      </c>
      <c r="GZ156" s="1960" t="s">
        <v>853</v>
      </c>
      <c r="HA156" s="1960" t="s">
        <v>853</v>
      </c>
      <c r="HB156" s="1960" t="s">
        <v>853</v>
      </c>
      <c r="HC156" s="1960" t="s">
        <v>853</v>
      </c>
      <c r="HD156" s="1960" t="s">
        <v>853</v>
      </c>
      <c r="HE156" s="1960" t="s">
        <v>853</v>
      </c>
      <c r="HF156" s="1960" t="s">
        <v>853</v>
      </c>
      <c r="HG156" s="1960" t="s">
        <v>853</v>
      </c>
      <c r="HH156" s="2117" t="s">
        <v>853</v>
      </c>
      <c r="HI156" s="1960" t="s">
        <v>853</v>
      </c>
      <c r="HJ156" s="1960" t="s">
        <v>853</v>
      </c>
      <c r="HK156" s="1960" t="s">
        <v>853</v>
      </c>
      <c r="HL156" s="1960" t="s">
        <v>853</v>
      </c>
      <c r="HM156" s="1960" t="s">
        <v>853</v>
      </c>
      <c r="HN156" s="1960" t="s">
        <v>853</v>
      </c>
      <c r="HO156" s="1960" t="s">
        <v>853</v>
      </c>
      <c r="HP156" s="1960" t="s">
        <v>853</v>
      </c>
      <c r="HQ156" s="1960" t="s">
        <v>481</v>
      </c>
      <c r="HR156" s="1960" t="s">
        <v>481</v>
      </c>
      <c r="HS156" s="1960"/>
      <c r="HT156" s="1962"/>
      <c r="HU156" s="1961"/>
      <c r="HV156" s="1960">
        <v>0</v>
      </c>
      <c r="HW156" s="1960">
        <v>0</v>
      </c>
      <c r="HX156" s="1960">
        <v>0</v>
      </c>
      <c r="HY156" s="1960">
        <v>0</v>
      </c>
      <c r="HZ156" s="1960">
        <v>0</v>
      </c>
      <c r="IA156" s="1960">
        <v>0</v>
      </c>
      <c r="IB156" s="1960">
        <v>0</v>
      </c>
      <c r="IC156" s="1960">
        <v>0</v>
      </c>
      <c r="ID156" s="1960">
        <v>0</v>
      </c>
      <c r="IE156" s="1960">
        <v>0</v>
      </c>
      <c r="IF156" s="1960">
        <v>0</v>
      </c>
      <c r="IG156" s="1961">
        <v>0</v>
      </c>
      <c r="IH156" s="1960">
        <v>0</v>
      </c>
      <c r="II156" s="1960">
        <v>0</v>
      </c>
      <c r="IJ156" s="1961">
        <v>0</v>
      </c>
      <c r="IK156" s="1960">
        <v>0</v>
      </c>
      <c r="IL156" s="1960">
        <v>0</v>
      </c>
      <c r="IM156" s="1960">
        <v>0</v>
      </c>
      <c r="IN156" s="1960">
        <v>0</v>
      </c>
      <c r="IO156" s="1960">
        <v>0</v>
      </c>
      <c r="IP156" s="1960">
        <v>0</v>
      </c>
      <c r="IQ156" s="1960">
        <v>0</v>
      </c>
      <c r="IR156" s="1960">
        <v>0</v>
      </c>
      <c r="IS156" s="2274">
        <v>0</v>
      </c>
      <c r="IT156" s="1960">
        <v>0</v>
      </c>
      <c r="IU156" s="1960">
        <v>0</v>
      </c>
      <c r="IV156" s="1960">
        <v>0</v>
      </c>
      <c r="IW156" s="1960">
        <v>0</v>
      </c>
      <c r="IX156" s="1960">
        <v>0</v>
      </c>
      <c r="IY156" s="1960">
        <v>0</v>
      </c>
      <c r="IZ156" s="1960">
        <v>0</v>
      </c>
      <c r="JA156" s="1960">
        <v>0</v>
      </c>
      <c r="JB156" s="1960">
        <v>0</v>
      </c>
      <c r="JC156" s="1960">
        <v>0</v>
      </c>
      <c r="JD156" s="1960">
        <v>0</v>
      </c>
      <c r="JE156" s="2274">
        <v>0</v>
      </c>
      <c r="JF156" s="2117">
        <v>0</v>
      </c>
      <c r="JG156" s="2103" t="e">
        <f t="shared" si="14"/>
        <v>#DIV/0!</v>
      </c>
      <c r="JI156" s="2155"/>
      <c r="JJ156" s="2104"/>
    </row>
    <row r="157" spans="2:270" ht="31.5" hidden="1">
      <c r="B157" s="2105">
        <v>203</v>
      </c>
      <c r="C157" s="2128"/>
      <c r="D157" s="2425">
        <v>0</v>
      </c>
      <c r="E157" s="2128" t="s">
        <v>340</v>
      </c>
      <c r="F157" s="2106" t="s">
        <v>918</v>
      </c>
      <c r="G157" s="2106"/>
      <c r="H157" s="2106" t="s">
        <v>336</v>
      </c>
      <c r="I157" s="2106"/>
      <c r="J157" s="2127" t="s">
        <v>339</v>
      </c>
      <c r="K157" s="2425" t="s">
        <v>202</v>
      </c>
      <c r="L157" s="2110">
        <v>100</v>
      </c>
      <c r="M157" s="2110">
        <v>106.82</v>
      </c>
      <c r="N157" s="2110">
        <v>125</v>
      </c>
      <c r="O157" s="2110">
        <v>143.65</v>
      </c>
      <c r="P157" s="2110">
        <v>164.04</v>
      </c>
      <c r="Q157" s="2110">
        <v>200.39</v>
      </c>
      <c r="R157" s="2110">
        <v>212.88</v>
      </c>
      <c r="S157" s="2110">
        <v>218.45</v>
      </c>
      <c r="T157" s="2110">
        <v>232.67</v>
      </c>
      <c r="U157" s="2110">
        <v>231.85</v>
      </c>
      <c r="V157" s="2110">
        <v>232.76</v>
      </c>
      <c r="W157" s="2110">
        <v>220.02</v>
      </c>
      <c r="X157" s="2110">
        <v>217.89</v>
      </c>
      <c r="Y157" s="2110">
        <v>212</v>
      </c>
      <c r="Z157" s="2110">
        <v>210.96</v>
      </c>
      <c r="AA157" s="2110">
        <v>203.58</v>
      </c>
      <c r="AB157" s="2110">
        <v>196.56</v>
      </c>
      <c r="AC157" s="2110">
        <v>193.27</v>
      </c>
      <c r="AD157" s="2110">
        <v>192.2</v>
      </c>
      <c r="AE157" s="2110">
        <v>190.19</v>
      </c>
      <c r="AF157" s="2110">
        <v>194.97</v>
      </c>
      <c r="AG157" s="2110">
        <v>195.61</v>
      </c>
      <c r="AH157" s="2110">
        <v>194.95</v>
      </c>
      <c r="AI157" s="2110">
        <v>196.53</v>
      </c>
      <c r="AJ157" s="2110">
        <v>200.48</v>
      </c>
      <c r="AK157" s="2110">
        <v>201.15</v>
      </c>
      <c r="AL157" s="2110">
        <v>203.3</v>
      </c>
      <c r="AM157" s="2110">
        <v>203.09</v>
      </c>
      <c r="AN157" s="2110">
        <v>201.27</v>
      </c>
      <c r="AO157" s="2110">
        <v>203.8</v>
      </c>
      <c r="AP157" s="2110">
        <v>204.83</v>
      </c>
      <c r="AQ157" s="2110">
        <v>205.7</v>
      </c>
      <c r="AR157" s="2110">
        <v>208.42</v>
      </c>
      <c r="AS157" s="2110">
        <v>206.18</v>
      </c>
      <c r="AT157" s="2110">
        <v>206.42</v>
      </c>
      <c r="AU157" s="2110">
        <v>205.75</v>
      </c>
      <c r="AV157" s="2110">
        <v>207.35</v>
      </c>
      <c r="AW157" s="2111">
        <v>208.69</v>
      </c>
      <c r="AX157" s="2111">
        <v>208.32</v>
      </c>
      <c r="AY157" s="2111">
        <v>210.23</v>
      </c>
      <c r="AZ157" s="2111">
        <v>214.65</v>
      </c>
      <c r="BA157" s="2111">
        <v>215.28</v>
      </c>
      <c r="BB157" s="2111">
        <v>214.91</v>
      </c>
      <c r="BC157" s="2111">
        <v>215.61</v>
      </c>
      <c r="BD157" s="2111">
        <v>217.19</v>
      </c>
      <c r="BE157" s="2111">
        <v>218.81</v>
      </c>
      <c r="BF157" s="2111">
        <v>221.59</v>
      </c>
      <c r="BG157" s="2111">
        <v>224.51</v>
      </c>
      <c r="BH157" s="2111">
        <v>226.67</v>
      </c>
      <c r="BI157" s="2112">
        <v>230.39</v>
      </c>
      <c r="BJ157" s="2112">
        <v>233.21</v>
      </c>
      <c r="BK157" s="2112">
        <v>235.07</v>
      </c>
      <c r="BL157" s="2112">
        <v>234.53</v>
      </c>
      <c r="BM157" s="2112">
        <v>235.51</v>
      </c>
      <c r="BN157" s="2112">
        <v>240.36</v>
      </c>
      <c r="BO157" s="2112">
        <v>242.01</v>
      </c>
      <c r="BP157" s="2112">
        <v>244.1</v>
      </c>
      <c r="BQ157" s="2112">
        <v>248.23</v>
      </c>
      <c r="BR157" s="2112">
        <v>247.85</v>
      </c>
      <c r="BS157" s="2112">
        <v>246.16</v>
      </c>
      <c r="BT157" s="2112">
        <v>247.58</v>
      </c>
      <c r="BU157" s="2112">
        <v>251.08</v>
      </c>
      <c r="BV157" s="2112">
        <v>253.12</v>
      </c>
      <c r="BW157" s="2112">
        <v>252.52</v>
      </c>
      <c r="BX157" s="2108">
        <v>255.08</v>
      </c>
      <c r="BY157" s="2108">
        <v>261.12</v>
      </c>
      <c r="BZ157" s="2108">
        <v>263.69</v>
      </c>
      <c r="CA157" s="2108">
        <v>269</v>
      </c>
      <c r="CB157" s="2108">
        <v>271.22000000000003</v>
      </c>
      <c r="CC157" s="2108">
        <v>272.54000000000002</v>
      </c>
      <c r="CD157" s="2108">
        <v>278.06</v>
      </c>
      <c r="CE157" s="2108">
        <v>276.77</v>
      </c>
      <c r="CF157" s="2108">
        <v>279.08999999999997</v>
      </c>
      <c r="CG157" s="2108">
        <v>278.89999999999998</v>
      </c>
      <c r="CH157" s="2108">
        <v>281.85000000000002</v>
      </c>
      <c r="CI157" s="2108">
        <v>282.83999999999997</v>
      </c>
      <c r="CJ157" s="2108">
        <v>285.08</v>
      </c>
      <c r="CK157" s="2108">
        <v>293.57</v>
      </c>
      <c r="CL157" s="2108">
        <v>291.08</v>
      </c>
      <c r="CM157" s="2108">
        <v>295.8</v>
      </c>
      <c r="CN157" s="2108">
        <v>295.83999999999997</v>
      </c>
      <c r="CO157" s="2108">
        <v>298.61</v>
      </c>
      <c r="CP157" s="2108">
        <v>301.68</v>
      </c>
      <c r="CQ157" s="2108">
        <v>302.23</v>
      </c>
      <c r="CR157" s="2108">
        <v>304.02999999999997</v>
      </c>
      <c r="CS157" s="2108">
        <v>305.64999999999998</v>
      </c>
      <c r="CT157" s="2108">
        <v>308</v>
      </c>
      <c r="CU157" s="2108">
        <v>310.13</v>
      </c>
      <c r="CV157" s="2108">
        <v>314.08</v>
      </c>
      <c r="CW157" s="2108">
        <v>316.27</v>
      </c>
      <c r="CX157" s="2108">
        <v>323.93</v>
      </c>
      <c r="CY157" s="2108">
        <v>326.44</v>
      </c>
      <c r="CZ157" s="2108">
        <v>328.92</v>
      </c>
      <c r="DA157" s="2108">
        <v>329.57</v>
      </c>
      <c r="DB157" s="2108">
        <v>337.31</v>
      </c>
      <c r="DC157" s="2108">
        <v>339.89</v>
      </c>
      <c r="DD157" s="2108">
        <v>340.71</v>
      </c>
      <c r="DE157" s="2108">
        <v>341.8</v>
      </c>
      <c r="DF157" s="2108">
        <v>348.04</v>
      </c>
      <c r="DG157" s="2108">
        <v>358.47</v>
      </c>
      <c r="DH157" s="2108">
        <v>349.45</v>
      </c>
      <c r="DI157" s="2108">
        <v>365.21</v>
      </c>
      <c r="DJ157" s="2108">
        <v>367.15</v>
      </c>
      <c r="DK157" s="2108">
        <v>371.89</v>
      </c>
      <c r="DL157" s="2108">
        <v>377.63</v>
      </c>
      <c r="DM157" s="2108">
        <v>380.89</v>
      </c>
      <c r="DN157" s="2108">
        <v>386.03</v>
      </c>
      <c r="DO157" s="2108">
        <v>387.55</v>
      </c>
      <c r="DP157" s="2108">
        <v>396.41</v>
      </c>
      <c r="DQ157" s="2108">
        <v>410.86</v>
      </c>
      <c r="DR157" s="2108">
        <v>416.35</v>
      </c>
      <c r="DS157" s="2108">
        <v>418.82</v>
      </c>
      <c r="DT157" s="2108">
        <v>424.15</v>
      </c>
      <c r="DU157" s="2108">
        <v>425.8</v>
      </c>
      <c r="DV157" s="2108">
        <v>424.95</v>
      </c>
      <c r="DW157" s="2108">
        <v>431.69</v>
      </c>
      <c r="DX157" s="2108">
        <v>439.39</v>
      </c>
      <c r="DY157" s="2108">
        <v>444.03</v>
      </c>
      <c r="DZ157" s="2108">
        <v>450.16</v>
      </c>
      <c r="EA157" s="2108">
        <v>458.06</v>
      </c>
      <c r="EB157" s="2108">
        <v>462.62</v>
      </c>
      <c r="EC157" s="2108">
        <v>481.77</v>
      </c>
      <c r="ED157" s="2108">
        <v>484.59</v>
      </c>
      <c r="EE157" s="2108">
        <v>490.14</v>
      </c>
      <c r="EF157" s="2108">
        <v>493.95</v>
      </c>
      <c r="EG157" s="2108">
        <v>474.82</v>
      </c>
      <c r="EH157" s="2108">
        <v>490.52</v>
      </c>
      <c r="EI157" s="2108">
        <v>545.16</v>
      </c>
      <c r="EJ157" s="2108">
        <v>552.13</v>
      </c>
      <c r="EK157" s="2108">
        <v>554.61</v>
      </c>
      <c r="EL157" s="2108">
        <v>556.12</v>
      </c>
      <c r="EM157" s="2108">
        <v>567.27</v>
      </c>
      <c r="EN157" s="2108">
        <v>567.61</v>
      </c>
      <c r="EO157" s="2108">
        <v>570.79</v>
      </c>
      <c r="EP157" s="2108">
        <v>574.21</v>
      </c>
      <c r="EQ157" s="2108">
        <v>581.16</v>
      </c>
      <c r="ER157" s="2108">
        <v>597.08000000000004</v>
      </c>
      <c r="ES157" s="2108">
        <v>599.4</v>
      </c>
      <c r="ET157" s="2108">
        <v>641.78</v>
      </c>
      <c r="EU157" s="2108">
        <v>641.37</v>
      </c>
      <c r="EV157" s="2108">
        <v>646.35</v>
      </c>
      <c r="EW157" s="2108">
        <v>668.04</v>
      </c>
      <c r="EX157" s="2108">
        <v>670.22</v>
      </c>
      <c r="EY157" s="2108">
        <v>672.4</v>
      </c>
      <c r="EZ157" s="2108">
        <v>680.06</v>
      </c>
      <c r="FA157" s="2157" t="s">
        <v>872</v>
      </c>
      <c r="FB157" s="2157" t="s">
        <v>872</v>
      </c>
      <c r="FC157" s="2157" t="s">
        <v>872</v>
      </c>
      <c r="FD157" s="2157" t="s">
        <v>872</v>
      </c>
      <c r="FE157" s="2157" t="s">
        <v>872</v>
      </c>
      <c r="FF157" s="2157" t="s">
        <v>872</v>
      </c>
      <c r="FG157" s="2157" t="s">
        <v>872</v>
      </c>
      <c r="FH157" s="2157" t="s">
        <v>872</v>
      </c>
      <c r="FI157" s="2157" t="s">
        <v>872</v>
      </c>
      <c r="FJ157" s="2157" t="s">
        <v>872</v>
      </c>
      <c r="FK157" s="2157" t="s">
        <v>872</v>
      </c>
      <c r="FL157" s="2157" t="s">
        <v>872</v>
      </c>
      <c r="FM157" s="2157" t="s">
        <v>872</v>
      </c>
      <c r="FN157" s="2157" t="s">
        <v>872</v>
      </c>
      <c r="FO157" s="2157" t="s">
        <v>872</v>
      </c>
      <c r="FP157" s="2157" t="s">
        <v>872</v>
      </c>
      <c r="FQ157" s="2157" t="s">
        <v>872</v>
      </c>
      <c r="FR157" s="2157" t="s">
        <v>872</v>
      </c>
      <c r="FS157" s="2157" t="s">
        <v>872</v>
      </c>
      <c r="FT157" s="2157" t="s">
        <v>872</v>
      </c>
      <c r="FU157" s="2157" t="s">
        <v>872</v>
      </c>
      <c r="FV157" s="2157" t="s">
        <v>872</v>
      </c>
      <c r="FW157" s="2157" t="s">
        <v>872</v>
      </c>
      <c r="FX157" s="2157" t="s">
        <v>872</v>
      </c>
      <c r="FY157" s="2157" t="s">
        <v>872</v>
      </c>
      <c r="FZ157" s="2157" t="s">
        <v>872</v>
      </c>
      <c r="GA157" s="2157" t="s">
        <v>872</v>
      </c>
      <c r="GB157" s="2157" t="s">
        <v>872</v>
      </c>
      <c r="GC157" s="2157" t="s">
        <v>872</v>
      </c>
      <c r="GD157" s="2157" t="s">
        <v>872</v>
      </c>
      <c r="GE157" s="2157" t="s">
        <v>872</v>
      </c>
      <c r="GF157" s="2158" t="s">
        <v>872</v>
      </c>
      <c r="GG157" s="1960" t="s">
        <v>872</v>
      </c>
      <c r="GH157" s="2114" t="s">
        <v>872</v>
      </c>
      <c r="GI157" s="2114" t="s">
        <v>872</v>
      </c>
      <c r="GJ157" s="2113" t="s">
        <v>872</v>
      </c>
      <c r="GK157" s="2113" t="s">
        <v>872</v>
      </c>
      <c r="GL157" s="2113" t="s">
        <v>872</v>
      </c>
      <c r="GM157" s="2114" t="s">
        <v>872</v>
      </c>
      <c r="GN157" s="2114" t="s">
        <v>853</v>
      </c>
      <c r="GO157" s="2115" t="s">
        <v>853</v>
      </c>
      <c r="GP157" s="2116" t="s">
        <v>853</v>
      </c>
      <c r="GQ157" s="2116" t="s">
        <v>853</v>
      </c>
      <c r="GR157" s="2116" t="s">
        <v>853</v>
      </c>
      <c r="GS157" s="2116" t="s">
        <v>853</v>
      </c>
      <c r="GT157" s="1960" t="s">
        <v>853</v>
      </c>
      <c r="GU157" s="1960" t="s">
        <v>853</v>
      </c>
      <c r="GV157" s="1960" t="s">
        <v>853</v>
      </c>
      <c r="GW157" s="1960" t="s">
        <v>853</v>
      </c>
      <c r="GX157" s="1960" t="s">
        <v>853</v>
      </c>
      <c r="GY157" s="1960" t="s">
        <v>853</v>
      </c>
      <c r="GZ157" s="1960" t="s">
        <v>853</v>
      </c>
      <c r="HA157" s="1960" t="s">
        <v>853</v>
      </c>
      <c r="HB157" s="1960" t="s">
        <v>853</v>
      </c>
      <c r="HC157" s="1960" t="s">
        <v>853</v>
      </c>
      <c r="HD157" s="1960" t="s">
        <v>853</v>
      </c>
      <c r="HE157" s="1960" t="s">
        <v>853</v>
      </c>
      <c r="HF157" s="1960" t="s">
        <v>853</v>
      </c>
      <c r="HG157" s="1960" t="s">
        <v>853</v>
      </c>
      <c r="HH157" s="2117" t="s">
        <v>853</v>
      </c>
      <c r="HI157" s="1960" t="s">
        <v>853</v>
      </c>
      <c r="HJ157" s="1960" t="s">
        <v>853</v>
      </c>
      <c r="HK157" s="1960" t="s">
        <v>853</v>
      </c>
      <c r="HL157" s="1960" t="s">
        <v>853</v>
      </c>
      <c r="HM157" s="1960" t="s">
        <v>853</v>
      </c>
      <c r="HN157" s="1960" t="s">
        <v>853</v>
      </c>
      <c r="HO157" s="1960" t="s">
        <v>853</v>
      </c>
      <c r="HP157" s="1960" t="s">
        <v>853</v>
      </c>
      <c r="HQ157" s="1960" t="s">
        <v>481</v>
      </c>
      <c r="HR157" s="1960" t="s">
        <v>481</v>
      </c>
      <c r="HS157" s="1960"/>
      <c r="HT157" s="1962"/>
      <c r="HU157" s="1961"/>
      <c r="HV157" s="1960">
        <v>0</v>
      </c>
      <c r="HW157" s="1960">
        <v>0</v>
      </c>
      <c r="HX157" s="1960">
        <v>0</v>
      </c>
      <c r="HY157" s="1960">
        <v>0</v>
      </c>
      <c r="HZ157" s="1960">
        <v>0</v>
      </c>
      <c r="IA157" s="1960">
        <v>0</v>
      </c>
      <c r="IB157" s="1960">
        <v>0</v>
      </c>
      <c r="IC157" s="1960">
        <v>0</v>
      </c>
      <c r="ID157" s="1960">
        <v>0</v>
      </c>
      <c r="IE157" s="1960">
        <v>0</v>
      </c>
      <c r="IF157" s="1960">
        <v>0</v>
      </c>
      <c r="IG157" s="1961">
        <v>0</v>
      </c>
      <c r="IH157" s="1960">
        <v>0</v>
      </c>
      <c r="II157" s="1960">
        <v>0</v>
      </c>
      <c r="IJ157" s="1961">
        <v>0</v>
      </c>
      <c r="IK157" s="1960">
        <v>0</v>
      </c>
      <c r="IL157" s="1960">
        <v>0</v>
      </c>
      <c r="IM157" s="1960">
        <v>0</v>
      </c>
      <c r="IN157" s="1960">
        <v>0</v>
      </c>
      <c r="IO157" s="1960">
        <v>0</v>
      </c>
      <c r="IP157" s="1960">
        <v>0</v>
      </c>
      <c r="IQ157" s="1960">
        <v>0</v>
      </c>
      <c r="IR157" s="1960">
        <v>0</v>
      </c>
      <c r="IS157" s="2274">
        <v>0</v>
      </c>
      <c r="IT157" s="1960">
        <v>0</v>
      </c>
      <c r="IU157" s="1960">
        <v>0</v>
      </c>
      <c r="IV157" s="1960">
        <v>0</v>
      </c>
      <c r="IW157" s="1960">
        <v>0</v>
      </c>
      <c r="IX157" s="1960">
        <v>0</v>
      </c>
      <c r="IY157" s="1960">
        <v>0</v>
      </c>
      <c r="IZ157" s="1960">
        <v>0</v>
      </c>
      <c r="JA157" s="1960">
        <v>0</v>
      </c>
      <c r="JB157" s="1960">
        <v>0</v>
      </c>
      <c r="JC157" s="1960">
        <v>0</v>
      </c>
      <c r="JD157" s="1960">
        <v>0</v>
      </c>
      <c r="JE157" s="2274">
        <v>0</v>
      </c>
      <c r="JF157" s="2117">
        <v>0</v>
      </c>
      <c r="JG157" s="2103" t="e">
        <f t="shared" si="14"/>
        <v>#DIV/0!</v>
      </c>
      <c r="JI157" s="2155"/>
      <c r="JJ157" s="2104"/>
    </row>
    <row r="158" spans="2:270" ht="31.5" hidden="1">
      <c r="B158" s="2105">
        <v>204</v>
      </c>
      <c r="C158" s="2106" t="s">
        <v>341</v>
      </c>
      <c r="D158" s="2425"/>
      <c r="E158" s="2128" t="s">
        <v>342</v>
      </c>
      <c r="F158" s="2106" t="s">
        <v>918</v>
      </c>
      <c r="G158" s="2425" t="s">
        <v>1112</v>
      </c>
      <c r="H158" s="2106" t="s">
        <v>919</v>
      </c>
      <c r="I158" s="2106" t="s">
        <v>920</v>
      </c>
      <c r="J158" s="2359" t="s">
        <v>125</v>
      </c>
      <c r="K158" s="2425"/>
      <c r="L158" s="2110">
        <v>103.78</v>
      </c>
      <c r="M158" s="2110">
        <v>103.78</v>
      </c>
      <c r="N158" s="2110">
        <v>103.78</v>
      </c>
      <c r="O158" s="2110">
        <v>111.62</v>
      </c>
      <c r="P158" s="2110">
        <v>151.4</v>
      </c>
      <c r="Q158" s="2110">
        <v>159.16999999999999</v>
      </c>
      <c r="R158" s="2110">
        <v>192.07</v>
      </c>
      <c r="S158" s="2110">
        <v>197.91</v>
      </c>
      <c r="T158" s="2110">
        <v>197.91</v>
      </c>
      <c r="U158" s="2110">
        <v>197.91</v>
      </c>
      <c r="V158" s="2110">
        <v>197.91</v>
      </c>
      <c r="W158" s="2110">
        <v>196</v>
      </c>
      <c r="X158" s="2110">
        <v>196</v>
      </c>
      <c r="Y158" s="2110">
        <v>196.76</v>
      </c>
      <c r="Z158" s="2110">
        <v>208.47</v>
      </c>
      <c r="AA158" s="2110">
        <v>208.47</v>
      </c>
      <c r="AB158" s="2110">
        <v>203.49</v>
      </c>
      <c r="AC158" s="2110">
        <v>206.36</v>
      </c>
      <c r="AD158" s="2110">
        <v>206.36</v>
      </c>
      <c r="AE158" s="2110">
        <v>206.36</v>
      </c>
      <c r="AF158" s="2110">
        <v>206.36</v>
      </c>
      <c r="AG158" s="2110">
        <v>206.36</v>
      </c>
      <c r="AH158" s="2110">
        <v>206.36</v>
      </c>
      <c r="AI158" s="2110">
        <v>206.36</v>
      </c>
      <c r="AJ158" s="2110">
        <v>206.36</v>
      </c>
      <c r="AK158" s="2110">
        <v>206.24</v>
      </c>
      <c r="AL158" s="2110">
        <v>211.52</v>
      </c>
      <c r="AM158" s="2110">
        <v>211.52</v>
      </c>
      <c r="AN158" s="2110">
        <v>211.52</v>
      </c>
      <c r="AO158" s="2110">
        <v>211.52</v>
      </c>
      <c r="AP158" s="2110">
        <v>218.67</v>
      </c>
      <c r="AQ158" s="2110">
        <v>226.17</v>
      </c>
      <c r="AR158" s="2110">
        <v>226.17</v>
      </c>
      <c r="AS158" s="2110">
        <v>226.17</v>
      </c>
      <c r="AT158" s="2110">
        <v>226.17</v>
      </c>
      <c r="AU158" s="2110">
        <v>231.67</v>
      </c>
      <c r="AV158" s="2110">
        <v>231.67</v>
      </c>
      <c r="AW158" s="2111">
        <v>231.67</v>
      </c>
      <c r="AX158" s="2111">
        <v>231.67</v>
      </c>
      <c r="AY158" s="2111">
        <v>244.87</v>
      </c>
      <c r="AZ158" s="2111">
        <v>244.87</v>
      </c>
      <c r="BA158" s="2111">
        <v>244.87</v>
      </c>
      <c r="BB158" s="2111">
        <v>244.87</v>
      </c>
      <c r="BC158" s="2111">
        <v>251.01</v>
      </c>
      <c r="BD158" s="2112">
        <v>251.01</v>
      </c>
      <c r="BE158" s="2111">
        <v>251.01</v>
      </c>
      <c r="BF158" s="2112">
        <v>251.01</v>
      </c>
      <c r="BG158" s="2112">
        <v>251.01</v>
      </c>
      <c r="BH158" s="2159">
        <v>251.01</v>
      </c>
      <c r="BI158" s="2108">
        <v>259.14999999999998</v>
      </c>
      <c r="BJ158" s="2108">
        <v>259.14999999999998</v>
      </c>
      <c r="BK158" s="2108">
        <v>259.14999999999998</v>
      </c>
      <c r="BL158" s="2108">
        <v>259.14999999999998</v>
      </c>
      <c r="BM158" s="2108">
        <v>259.14999999999998</v>
      </c>
      <c r="BN158" s="2108">
        <v>260.7</v>
      </c>
      <c r="BO158" s="2108">
        <v>269.64999999999998</v>
      </c>
      <c r="BP158" s="2108">
        <v>269.64999999999998</v>
      </c>
      <c r="BQ158" s="2108">
        <v>269.64999999999998</v>
      </c>
      <c r="BR158" s="2108">
        <v>269.64999999999998</v>
      </c>
      <c r="BS158" s="2108">
        <v>276.24</v>
      </c>
      <c r="BT158" s="2108">
        <v>276.24</v>
      </c>
      <c r="BU158" s="2108">
        <v>276.24</v>
      </c>
      <c r="BV158" s="2108">
        <v>276.24</v>
      </c>
      <c r="BW158" s="2108">
        <v>289.23</v>
      </c>
      <c r="BX158" s="2108">
        <v>289.23</v>
      </c>
      <c r="BY158" s="2108">
        <v>289.23</v>
      </c>
      <c r="BZ158" s="2108">
        <v>295.64999999999998</v>
      </c>
      <c r="CA158" s="2108">
        <v>296.24</v>
      </c>
      <c r="CB158" s="2108">
        <v>295.64999999999998</v>
      </c>
      <c r="CC158" s="2108">
        <v>295.64999999999998</v>
      </c>
      <c r="CD158" s="2108">
        <v>296.63</v>
      </c>
      <c r="CE158" s="2108">
        <v>296.63</v>
      </c>
      <c r="CF158" s="2108">
        <v>296.63</v>
      </c>
      <c r="CG158" s="2108">
        <v>296.63</v>
      </c>
      <c r="CH158" s="2108">
        <v>309.93</v>
      </c>
      <c r="CI158" s="2108">
        <v>309.93</v>
      </c>
      <c r="CJ158" s="2108">
        <v>309.93</v>
      </c>
      <c r="CK158" s="2108">
        <v>309.93</v>
      </c>
      <c r="CL158" s="2108">
        <v>312.08999999999997</v>
      </c>
      <c r="CM158" s="2108">
        <v>312.07</v>
      </c>
      <c r="CN158" s="2108">
        <v>342.37</v>
      </c>
      <c r="CO158" s="2108">
        <v>361.54</v>
      </c>
      <c r="CP158" s="2108">
        <v>361.54</v>
      </c>
      <c r="CQ158" s="2108">
        <v>361.53</v>
      </c>
      <c r="CR158" s="2108">
        <v>361.53</v>
      </c>
      <c r="CS158" s="2108">
        <v>361.53</v>
      </c>
      <c r="CT158" s="2108">
        <v>361.53</v>
      </c>
      <c r="CU158" s="2108">
        <v>361.53</v>
      </c>
      <c r="CV158" s="2108">
        <v>377.89</v>
      </c>
      <c r="CW158" s="2108">
        <v>377.89</v>
      </c>
      <c r="CX158" s="2108">
        <v>377.89</v>
      </c>
      <c r="CY158" s="2108">
        <v>377.89</v>
      </c>
      <c r="CZ158" s="2108">
        <v>383.99</v>
      </c>
      <c r="DA158" s="2108">
        <v>383.99</v>
      </c>
      <c r="DB158" s="2108">
        <v>399.44</v>
      </c>
      <c r="DC158" s="2108">
        <v>417.28</v>
      </c>
      <c r="DD158" s="2108">
        <v>417.28</v>
      </c>
      <c r="DE158" s="2108">
        <v>436.06</v>
      </c>
      <c r="DF158" s="2108">
        <v>451.8</v>
      </c>
      <c r="DG158" s="2108">
        <v>446.87</v>
      </c>
      <c r="DH158" s="2108">
        <v>451.8</v>
      </c>
      <c r="DI158" s="2108">
        <v>451.8</v>
      </c>
      <c r="DJ158" s="2108">
        <v>442.39</v>
      </c>
      <c r="DK158" s="2108">
        <v>442.39</v>
      </c>
      <c r="DL158" s="2108">
        <v>442.39</v>
      </c>
      <c r="DM158" s="2108">
        <v>442.39</v>
      </c>
      <c r="DN158" s="2108">
        <v>492.72</v>
      </c>
      <c r="DO158" s="2108">
        <v>492.72</v>
      </c>
      <c r="DP158" s="2108">
        <v>500.37</v>
      </c>
      <c r="DQ158" s="2108">
        <v>500.37</v>
      </c>
      <c r="DR158" s="2108">
        <v>500.37</v>
      </c>
      <c r="DS158" s="2108">
        <v>500.37</v>
      </c>
      <c r="DT158" s="2108">
        <v>504.15</v>
      </c>
      <c r="DU158" s="2108">
        <v>519.42999999999995</v>
      </c>
      <c r="DV158" s="2108">
        <v>531.44000000000005</v>
      </c>
      <c r="DW158" s="2108">
        <v>551.41</v>
      </c>
      <c r="DX158" s="2108">
        <v>551.41</v>
      </c>
      <c r="DY158" s="2108">
        <v>548.72</v>
      </c>
      <c r="DZ158" s="2108">
        <v>560.74</v>
      </c>
      <c r="EA158" s="2108">
        <v>560.74</v>
      </c>
      <c r="EB158" s="2108">
        <v>560.74</v>
      </c>
      <c r="EC158" s="2108">
        <v>523.57000000000005</v>
      </c>
      <c r="ED158" s="2108">
        <v>523.57000000000005</v>
      </c>
      <c r="EE158" s="2108">
        <v>523.57000000000005</v>
      </c>
      <c r="EF158" s="2108">
        <v>531.54</v>
      </c>
      <c r="EG158" s="2108">
        <v>545.79</v>
      </c>
      <c r="EH158" s="2108">
        <v>568.65</v>
      </c>
      <c r="EI158" s="2108">
        <v>568.65</v>
      </c>
      <c r="EJ158" s="2108">
        <v>568.65</v>
      </c>
      <c r="EK158" s="2108">
        <v>568.65</v>
      </c>
      <c r="EL158" s="2108">
        <v>581.08000000000004</v>
      </c>
      <c r="EM158" s="2108">
        <v>581.08000000000004</v>
      </c>
      <c r="EN158" s="2108">
        <v>589.45000000000005</v>
      </c>
      <c r="EO158" s="2108">
        <v>589.45000000000005</v>
      </c>
      <c r="EP158" s="2108">
        <v>589.45000000000005</v>
      </c>
      <c r="EQ158" s="2108">
        <v>611.24</v>
      </c>
      <c r="ER158" s="2108">
        <v>611.24</v>
      </c>
      <c r="ES158" s="2108">
        <v>611.24</v>
      </c>
      <c r="ET158" s="2108">
        <v>611.24</v>
      </c>
      <c r="EU158" s="2108">
        <v>645.34</v>
      </c>
      <c r="EV158" s="2108">
        <v>645.34</v>
      </c>
      <c r="EW158" s="2108">
        <v>652.22</v>
      </c>
      <c r="EX158" s="2108">
        <v>652.22</v>
      </c>
      <c r="EY158" s="2108">
        <v>688.77</v>
      </c>
      <c r="EZ158" s="2108">
        <v>679.46</v>
      </c>
      <c r="FA158" s="2108">
        <v>688.25</v>
      </c>
      <c r="FB158" s="2108">
        <v>712.34</v>
      </c>
      <c r="FC158" s="2108">
        <v>712.34</v>
      </c>
      <c r="FD158" s="2108">
        <v>804.13</v>
      </c>
      <c r="FE158" s="2108">
        <v>804.13</v>
      </c>
      <c r="FF158" s="2108">
        <v>789.07</v>
      </c>
      <c r="FG158" s="2108">
        <v>838.28</v>
      </c>
      <c r="FH158" s="2108">
        <v>831.79</v>
      </c>
      <c r="FI158" s="2108">
        <v>846.17</v>
      </c>
      <c r="FJ158" s="2108">
        <v>863.76</v>
      </c>
      <c r="FK158" s="2108">
        <v>934.64</v>
      </c>
      <c r="FL158" s="2108">
        <v>934.64</v>
      </c>
      <c r="FM158" s="2108">
        <v>934.64</v>
      </c>
      <c r="FN158" s="2108">
        <v>977.26</v>
      </c>
      <c r="FO158" s="2108">
        <v>993.8</v>
      </c>
      <c r="FP158" s="2108">
        <v>993.8</v>
      </c>
      <c r="FQ158" s="2108">
        <v>993.8</v>
      </c>
      <c r="FR158" s="2108">
        <v>1057.02</v>
      </c>
      <c r="FS158" s="2108">
        <v>1057.02</v>
      </c>
      <c r="FT158" s="2108">
        <v>1057.02</v>
      </c>
      <c r="FU158" s="2108">
        <v>1057.02</v>
      </c>
      <c r="FV158" s="2108">
        <v>1075.6199999999999</v>
      </c>
      <c r="FW158" s="2113">
        <v>823.46902674547005</v>
      </c>
      <c r="FX158" s="2113">
        <v>823.46902674547005</v>
      </c>
      <c r="FY158" s="2113">
        <v>915.73141529649524</v>
      </c>
      <c r="FZ158" s="2113">
        <v>915.73141529649524</v>
      </c>
      <c r="GA158" s="2113">
        <v>915.73141529649524</v>
      </c>
      <c r="GB158" s="2113">
        <v>915.73141529649524</v>
      </c>
      <c r="GC158" s="2113">
        <v>940.31507860806857</v>
      </c>
      <c r="GD158" s="2113">
        <v>940.31507860806857</v>
      </c>
      <c r="GE158" s="2113">
        <v>940.31507860806857</v>
      </c>
      <c r="GF158" s="2114">
        <v>940.31507860806857</v>
      </c>
      <c r="GG158" s="1960">
        <v>940.31507860806857</v>
      </c>
      <c r="GH158" s="2114">
        <v>940.31507860806857</v>
      </c>
      <c r="GI158" s="2114">
        <v>940.31507860806857</v>
      </c>
      <c r="GJ158" s="2113">
        <v>940.31507860806857</v>
      </c>
      <c r="GK158" s="2113">
        <v>940.31507860806857</v>
      </c>
      <c r="GL158" s="2113">
        <v>940.31507860806857</v>
      </c>
      <c r="GM158" s="2114">
        <v>940.31507860806857</v>
      </c>
      <c r="GN158" s="2114">
        <v>940.31507860806857</v>
      </c>
      <c r="GO158" s="2115">
        <v>940.31507860806857</v>
      </c>
      <c r="GP158" s="2116">
        <v>940.31507860806857</v>
      </c>
      <c r="GQ158" s="2116">
        <v>940.31507860806857</v>
      </c>
      <c r="GR158" s="2116">
        <v>940.31507860806857</v>
      </c>
      <c r="GS158" s="2116">
        <v>940.31507860806857</v>
      </c>
      <c r="GT158" s="1960">
        <v>940.31507860806857</v>
      </c>
      <c r="GU158" s="1960">
        <v>940.31507860806857</v>
      </c>
      <c r="GV158" s="1960">
        <v>940.31507860806857</v>
      </c>
      <c r="GW158" s="1960">
        <v>940.31507860806857</v>
      </c>
      <c r="GX158" s="1960">
        <v>940.31507860806857</v>
      </c>
      <c r="GY158" s="1960">
        <v>940.31507860806857</v>
      </c>
      <c r="GZ158" s="1960">
        <v>940.31507860806857</v>
      </c>
      <c r="HA158" s="1960">
        <v>1021.0505443858409</v>
      </c>
      <c r="HB158" s="1960">
        <v>1021.0505443858409</v>
      </c>
      <c r="HC158" s="1960" t="s">
        <v>521</v>
      </c>
      <c r="HD158" s="1960" t="s">
        <v>521</v>
      </c>
      <c r="HE158" s="1960" t="s">
        <v>521</v>
      </c>
      <c r="HF158" s="1960" t="s">
        <v>521</v>
      </c>
      <c r="HG158" s="1960" t="s">
        <v>521</v>
      </c>
      <c r="HH158" s="2117" t="s">
        <v>521</v>
      </c>
      <c r="HI158" s="1960" t="s">
        <v>521</v>
      </c>
      <c r="HJ158" s="1960" t="s">
        <v>521</v>
      </c>
      <c r="HK158" s="1960" t="s">
        <v>521</v>
      </c>
      <c r="HL158" s="1960" t="s">
        <v>521</v>
      </c>
      <c r="HM158" s="1960" t="s">
        <v>521</v>
      </c>
      <c r="HN158" s="1960" t="s">
        <v>521</v>
      </c>
      <c r="HO158" s="1960" t="s">
        <v>521</v>
      </c>
      <c r="HP158" s="1960" t="s">
        <v>521</v>
      </c>
      <c r="HQ158" s="1960" t="s">
        <v>521</v>
      </c>
      <c r="HR158" s="1960" t="s">
        <v>521</v>
      </c>
      <c r="HS158" s="1960" t="s">
        <v>521</v>
      </c>
      <c r="HT158" s="1962" t="s">
        <v>521</v>
      </c>
      <c r="HU158" s="1961" t="s">
        <v>521</v>
      </c>
      <c r="HV158" s="1960" t="s">
        <v>521</v>
      </c>
      <c r="HW158" s="1960" t="s">
        <v>521</v>
      </c>
      <c r="HX158" s="1960" t="s">
        <v>521</v>
      </c>
      <c r="HY158" s="1960" t="s">
        <v>521</v>
      </c>
      <c r="HZ158" s="1960" t="s">
        <v>521</v>
      </c>
      <c r="IA158" s="1960" t="s">
        <v>521</v>
      </c>
      <c r="IB158" s="1960" t="s">
        <v>521</v>
      </c>
      <c r="IC158" s="1960" t="s">
        <v>521</v>
      </c>
      <c r="ID158" s="1960" t="s">
        <v>521</v>
      </c>
      <c r="IE158" s="1960" t="s">
        <v>521</v>
      </c>
      <c r="IF158" s="1960" t="s">
        <v>521</v>
      </c>
      <c r="IG158" s="1961" t="s">
        <v>521</v>
      </c>
      <c r="IH158" s="1960" t="s">
        <v>521</v>
      </c>
      <c r="II158" s="1960" t="s">
        <v>521</v>
      </c>
      <c r="IJ158" s="1961" t="s">
        <v>521</v>
      </c>
      <c r="IK158" s="1960" t="s">
        <v>521</v>
      </c>
      <c r="IL158" s="1960" t="s">
        <v>521</v>
      </c>
      <c r="IM158" s="1960" t="s">
        <v>521</v>
      </c>
      <c r="IN158" s="1960" t="s">
        <v>521</v>
      </c>
      <c r="IO158" s="1960" t="s">
        <v>521</v>
      </c>
      <c r="IP158" s="1960" t="s">
        <v>521</v>
      </c>
      <c r="IQ158" s="1960" t="s">
        <v>521</v>
      </c>
      <c r="IR158" s="1960" t="s">
        <v>521</v>
      </c>
      <c r="IS158" s="2274" t="s">
        <v>521</v>
      </c>
      <c r="IT158" s="1960" t="s">
        <v>521</v>
      </c>
      <c r="IU158" s="1960" t="s">
        <v>521</v>
      </c>
      <c r="IV158" s="1960" t="s">
        <v>521</v>
      </c>
      <c r="IW158" s="1960">
        <v>0</v>
      </c>
      <c r="IX158" s="1960">
        <v>0</v>
      </c>
      <c r="IY158" s="1960">
        <v>0</v>
      </c>
      <c r="IZ158" s="1960">
        <v>0</v>
      </c>
      <c r="JA158" s="1960">
        <v>0</v>
      </c>
      <c r="JB158" s="1960">
        <v>0</v>
      </c>
      <c r="JC158" s="1960">
        <v>0</v>
      </c>
      <c r="JD158" s="1960">
        <v>0</v>
      </c>
      <c r="JE158" s="2274">
        <v>0</v>
      </c>
      <c r="JF158" s="2117">
        <v>0</v>
      </c>
      <c r="JG158" s="2103" t="e">
        <f t="shared" si="14"/>
        <v>#DIV/0!</v>
      </c>
      <c r="JI158" s="2155"/>
      <c r="JJ158" s="2104"/>
    </row>
    <row r="159" spans="2:270" ht="31.5" hidden="1">
      <c r="B159" s="2105">
        <v>205</v>
      </c>
      <c r="C159" s="2106" t="s">
        <v>343</v>
      </c>
      <c r="D159" s="2425" t="s">
        <v>957</v>
      </c>
      <c r="E159" s="2128" t="s">
        <v>344</v>
      </c>
      <c r="F159" s="2106" t="s">
        <v>918</v>
      </c>
      <c r="G159" s="2106"/>
      <c r="H159" s="2106" t="s">
        <v>919</v>
      </c>
      <c r="I159" s="2106"/>
      <c r="J159" s="2359" t="s">
        <v>116</v>
      </c>
      <c r="K159" s="2425" t="s">
        <v>345</v>
      </c>
      <c r="L159" s="2110">
        <v>100</v>
      </c>
      <c r="M159" s="2110">
        <v>100</v>
      </c>
      <c r="N159" s="2110">
        <v>100</v>
      </c>
      <c r="O159" s="2110">
        <v>104.75</v>
      </c>
      <c r="P159" s="2110">
        <v>154.56</v>
      </c>
      <c r="Q159" s="2110">
        <v>158.52000000000001</v>
      </c>
      <c r="R159" s="2110">
        <v>180.28</v>
      </c>
      <c r="S159" s="2110">
        <v>183.33</v>
      </c>
      <c r="T159" s="2110">
        <v>183.33</v>
      </c>
      <c r="U159" s="2110">
        <v>198.23</v>
      </c>
      <c r="V159" s="2110">
        <v>286.47000000000003</v>
      </c>
      <c r="W159" s="2110">
        <v>300.83999999999997</v>
      </c>
      <c r="X159" s="2110">
        <v>300.83999999999997</v>
      </c>
      <c r="Y159" s="2110">
        <v>282.47000000000003</v>
      </c>
      <c r="Z159" s="2110">
        <v>276.35000000000002</v>
      </c>
      <c r="AA159" s="2110">
        <v>262.36</v>
      </c>
      <c r="AB159" s="2110">
        <v>257.98</v>
      </c>
      <c r="AC159" s="2110">
        <v>237.98</v>
      </c>
      <c r="AD159" s="2110">
        <v>238.75</v>
      </c>
      <c r="AE159" s="2110">
        <v>238.68</v>
      </c>
      <c r="AF159" s="2110">
        <v>249.11</v>
      </c>
      <c r="AG159" s="2110">
        <v>248.97</v>
      </c>
      <c r="AH159" s="2110">
        <v>245.51</v>
      </c>
      <c r="AI159" s="2110">
        <v>246.54</v>
      </c>
      <c r="AJ159" s="2110">
        <v>254.03</v>
      </c>
      <c r="AK159" s="2110">
        <v>250.56</v>
      </c>
      <c r="AL159" s="2110">
        <v>252.27</v>
      </c>
      <c r="AM159" s="2110">
        <v>251.82</v>
      </c>
      <c r="AN159" s="2110">
        <v>245.85</v>
      </c>
      <c r="AO159" s="2110">
        <v>257.06</v>
      </c>
      <c r="AP159" s="2110">
        <v>257.75</v>
      </c>
      <c r="AQ159" s="2110">
        <v>266.06</v>
      </c>
      <c r="AR159" s="2110">
        <v>268.13</v>
      </c>
      <c r="AS159" s="2110">
        <v>267.25</v>
      </c>
      <c r="AT159" s="2110">
        <v>266.22000000000003</v>
      </c>
      <c r="AU159" s="2110">
        <v>266.22000000000003</v>
      </c>
      <c r="AV159" s="2110">
        <v>266.73</v>
      </c>
      <c r="AW159" s="2111">
        <v>264.45</v>
      </c>
      <c r="AX159" s="2111">
        <v>263.24</v>
      </c>
      <c r="AY159" s="2111">
        <v>263.89</v>
      </c>
      <c r="AZ159" s="2111">
        <v>262.58999999999997</v>
      </c>
      <c r="BA159" s="2111">
        <v>262.31</v>
      </c>
      <c r="BB159" s="2111">
        <v>262.31</v>
      </c>
      <c r="BC159" s="2111">
        <v>274.61</v>
      </c>
      <c r="BD159" s="2112">
        <v>274.61</v>
      </c>
      <c r="BE159" s="2111">
        <v>277.12</v>
      </c>
      <c r="BF159" s="2112">
        <v>280.48</v>
      </c>
      <c r="BG159" s="2112">
        <v>281.04000000000002</v>
      </c>
      <c r="BH159" s="2159">
        <v>285.05</v>
      </c>
      <c r="BI159" s="2108">
        <v>284.19</v>
      </c>
      <c r="BJ159" s="2108">
        <v>289.49</v>
      </c>
      <c r="BK159" s="2108">
        <v>296.64999999999998</v>
      </c>
      <c r="BL159" s="2108">
        <v>298.62</v>
      </c>
      <c r="BM159" s="2108">
        <v>299.47000000000003</v>
      </c>
      <c r="BN159" s="2108">
        <v>300.77999999999997</v>
      </c>
      <c r="BO159" s="2108">
        <v>304.18</v>
      </c>
      <c r="BP159" s="2108">
        <v>303.27999999999997</v>
      </c>
      <c r="BQ159" s="2108">
        <v>303.27999999999997</v>
      </c>
      <c r="BR159" s="2108">
        <v>304.36</v>
      </c>
      <c r="BS159" s="2108">
        <v>306.32</v>
      </c>
      <c r="BT159" s="2108">
        <v>304.42</v>
      </c>
      <c r="BU159" s="2108">
        <v>308.14</v>
      </c>
      <c r="BV159" s="2108">
        <v>309.37</v>
      </c>
      <c r="BW159" s="2108">
        <v>308.52</v>
      </c>
      <c r="BX159" s="2108">
        <v>308.64999999999998</v>
      </c>
      <c r="BY159" s="2108">
        <v>308.61</v>
      </c>
      <c r="BZ159" s="2108">
        <v>315.58999999999997</v>
      </c>
      <c r="CA159" s="2108">
        <v>316.98</v>
      </c>
      <c r="CB159" s="2108">
        <v>322.99</v>
      </c>
      <c r="CC159" s="2108">
        <v>323.57</v>
      </c>
      <c r="CD159" s="2108">
        <v>332.39</v>
      </c>
      <c r="CE159" s="2108">
        <v>339.39</v>
      </c>
      <c r="CF159" s="2108">
        <v>344.38</v>
      </c>
      <c r="CG159" s="2108">
        <v>354.14</v>
      </c>
      <c r="CH159" s="2108">
        <v>368.14</v>
      </c>
      <c r="CI159" s="2108">
        <v>361.09</v>
      </c>
      <c r="CJ159" s="2108">
        <v>372.15</v>
      </c>
      <c r="CK159" s="2108">
        <v>372.37</v>
      </c>
      <c r="CL159" s="2108">
        <v>369.09</v>
      </c>
      <c r="CM159" s="2108">
        <v>372.4</v>
      </c>
      <c r="CN159" s="2108">
        <v>383.53</v>
      </c>
      <c r="CO159" s="2108">
        <v>386.61</v>
      </c>
      <c r="CP159" s="2108">
        <v>402.33</v>
      </c>
      <c r="CQ159" s="2108">
        <v>413.44</v>
      </c>
      <c r="CR159" s="2108">
        <v>419.58</v>
      </c>
      <c r="CS159" s="2108">
        <v>421.56</v>
      </c>
      <c r="CT159" s="2108">
        <v>429.71</v>
      </c>
      <c r="CU159" s="2108">
        <v>439.51</v>
      </c>
      <c r="CV159" s="2108">
        <v>444.34</v>
      </c>
      <c r="CW159" s="2108">
        <v>446.52</v>
      </c>
      <c r="CX159" s="2108">
        <v>448.72</v>
      </c>
      <c r="CY159" s="2108">
        <v>457.84</v>
      </c>
      <c r="CZ159" s="2108">
        <v>460.7</v>
      </c>
      <c r="DA159" s="2108">
        <v>464.77</v>
      </c>
      <c r="DB159" s="2108">
        <v>470.54</v>
      </c>
      <c r="DC159" s="2108">
        <v>470.78</v>
      </c>
      <c r="DD159" s="2108">
        <v>470.78</v>
      </c>
      <c r="DE159" s="2108">
        <v>470.78</v>
      </c>
      <c r="DF159" s="2108">
        <v>473.42</v>
      </c>
      <c r="DG159" s="2108">
        <v>495.45</v>
      </c>
      <c r="DH159" s="2108">
        <v>506.48</v>
      </c>
      <c r="DI159" s="2108">
        <v>509.63</v>
      </c>
      <c r="DJ159" s="2108">
        <v>509.63</v>
      </c>
      <c r="DK159" s="2108">
        <v>511.82</v>
      </c>
      <c r="DL159" s="2108">
        <v>523.80999999999995</v>
      </c>
      <c r="DM159" s="2108">
        <v>523.80999999999995</v>
      </c>
      <c r="DN159" s="2108">
        <v>524.29999999999995</v>
      </c>
      <c r="DO159" s="2108">
        <v>528.1</v>
      </c>
      <c r="DP159" s="2108">
        <v>528.1</v>
      </c>
      <c r="DQ159" s="2108">
        <v>531.84</v>
      </c>
      <c r="DR159" s="2108">
        <v>531.84</v>
      </c>
      <c r="DS159" s="2108">
        <v>531.84</v>
      </c>
      <c r="DT159" s="2108">
        <v>531.84</v>
      </c>
      <c r="DU159" s="2108">
        <v>558.98</v>
      </c>
      <c r="DV159" s="2108">
        <v>559.76</v>
      </c>
      <c r="DW159" s="2108">
        <v>564.94000000000005</v>
      </c>
      <c r="DX159" s="2108">
        <v>572.53</v>
      </c>
      <c r="DY159" s="2108">
        <v>576.67999999999995</v>
      </c>
      <c r="DZ159" s="2108">
        <v>577.73</v>
      </c>
      <c r="EA159" s="2108">
        <v>584.38</v>
      </c>
      <c r="EB159" s="2108">
        <v>587.29</v>
      </c>
      <c r="EC159" s="2108">
        <v>591.39</v>
      </c>
      <c r="ED159" s="2108">
        <v>595.22</v>
      </c>
      <c r="EE159" s="2108">
        <v>595.22</v>
      </c>
      <c r="EF159" s="2108">
        <v>596.83000000000004</v>
      </c>
      <c r="EG159" s="2108">
        <v>622.51</v>
      </c>
      <c r="EH159" s="2108">
        <v>605.15</v>
      </c>
      <c r="EI159" s="2108">
        <v>609.03</v>
      </c>
      <c r="EJ159" s="2108">
        <v>619.48</v>
      </c>
      <c r="EK159" s="2108">
        <v>622.47</v>
      </c>
      <c r="EL159" s="2108">
        <v>624.6</v>
      </c>
      <c r="EM159" s="2108">
        <v>633.95000000000005</v>
      </c>
      <c r="EN159" s="2108">
        <v>637.79999999999995</v>
      </c>
      <c r="EO159" s="2108">
        <v>650.64</v>
      </c>
      <c r="EP159" s="2108">
        <v>653.21</v>
      </c>
      <c r="EQ159" s="2108">
        <v>675.14</v>
      </c>
      <c r="ER159" s="2108">
        <v>679.12</v>
      </c>
      <c r="ES159" s="2108">
        <v>691.89</v>
      </c>
      <c r="ET159" s="2108">
        <v>694.97</v>
      </c>
      <c r="EU159" s="2108">
        <v>717.91</v>
      </c>
      <c r="EV159" s="2108">
        <v>736.43</v>
      </c>
      <c r="EW159" s="2108">
        <v>757.6</v>
      </c>
      <c r="EX159" s="2108">
        <v>772.6</v>
      </c>
      <c r="EY159" s="2108">
        <v>779.63</v>
      </c>
      <c r="EZ159" s="2108">
        <v>793.69</v>
      </c>
      <c r="FA159" s="2157" t="s">
        <v>872</v>
      </c>
      <c r="FB159" s="2157" t="s">
        <v>872</v>
      </c>
      <c r="FC159" s="2157" t="s">
        <v>872</v>
      </c>
      <c r="FD159" s="2157" t="s">
        <v>872</v>
      </c>
      <c r="FE159" s="2157" t="s">
        <v>872</v>
      </c>
      <c r="FF159" s="2157" t="s">
        <v>872</v>
      </c>
      <c r="FG159" s="2157" t="s">
        <v>872</v>
      </c>
      <c r="FH159" s="2157" t="s">
        <v>872</v>
      </c>
      <c r="FI159" s="2157" t="s">
        <v>872</v>
      </c>
      <c r="FJ159" s="2157" t="s">
        <v>872</v>
      </c>
      <c r="FK159" s="2157" t="s">
        <v>872</v>
      </c>
      <c r="FL159" s="2157" t="s">
        <v>872</v>
      </c>
      <c r="FM159" s="2157" t="s">
        <v>872</v>
      </c>
      <c r="FN159" s="2157" t="s">
        <v>872</v>
      </c>
      <c r="FO159" s="2157" t="s">
        <v>872</v>
      </c>
      <c r="FP159" s="2157" t="s">
        <v>872</v>
      </c>
      <c r="FQ159" s="2157" t="s">
        <v>872</v>
      </c>
      <c r="FR159" s="2157" t="s">
        <v>872</v>
      </c>
      <c r="FS159" s="2157" t="s">
        <v>872</v>
      </c>
      <c r="FT159" s="2157" t="s">
        <v>872</v>
      </c>
      <c r="FU159" s="2157" t="s">
        <v>872</v>
      </c>
      <c r="FV159" s="2157" t="s">
        <v>872</v>
      </c>
      <c r="FW159" s="2157" t="s">
        <v>872</v>
      </c>
      <c r="FX159" s="2157" t="s">
        <v>872</v>
      </c>
      <c r="FY159" s="2157" t="s">
        <v>872</v>
      </c>
      <c r="FZ159" s="2157" t="s">
        <v>872</v>
      </c>
      <c r="GA159" s="2157" t="s">
        <v>872</v>
      </c>
      <c r="GB159" s="2157" t="s">
        <v>872</v>
      </c>
      <c r="GC159" s="2157" t="s">
        <v>872</v>
      </c>
      <c r="GD159" s="2157" t="s">
        <v>872</v>
      </c>
      <c r="GE159" s="2157" t="s">
        <v>872</v>
      </c>
      <c r="GF159" s="2158" t="s">
        <v>872</v>
      </c>
      <c r="GG159" s="1960" t="s">
        <v>872</v>
      </c>
      <c r="GH159" s="2114" t="s">
        <v>872</v>
      </c>
      <c r="GI159" s="2114" t="s">
        <v>872</v>
      </c>
      <c r="GJ159" s="2113" t="s">
        <v>872</v>
      </c>
      <c r="GK159" s="2113" t="s">
        <v>872</v>
      </c>
      <c r="GL159" s="2113" t="s">
        <v>872</v>
      </c>
      <c r="GM159" s="2114" t="s">
        <v>872</v>
      </c>
      <c r="GN159" s="2114" t="s">
        <v>853</v>
      </c>
      <c r="GO159" s="2115" t="s">
        <v>853</v>
      </c>
      <c r="GP159" s="2116" t="s">
        <v>853</v>
      </c>
      <c r="GQ159" s="2116" t="s">
        <v>853</v>
      </c>
      <c r="GR159" s="2116" t="s">
        <v>853</v>
      </c>
      <c r="GS159" s="2116" t="s">
        <v>853</v>
      </c>
      <c r="GT159" s="1960" t="s">
        <v>853</v>
      </c>
      <c r="GU159" s="1960" t="s">
        <v>853</v>
      </c>
      <c r="GV159" s="1960" t="s">
        <v>853</v>
      </c>
      <c r="GW159" s="1960" t="s">
        <v>853</v>
      </c>
      <c r="GX159" s="1960" t="s">
        <v>853</v>
      </c>
      <c r="GY159" s="1960" t="s">
        <v>853</v>
      </c>
      <c r="GZ159" s="1960" t="s">
        <v>853</v>
      </c>
      <c r="HA159" s="1960" t="s">
        <v>853</v>
      </c>
      <c r="HB159" s="1960" t="s">
        <v>853</v>
      </c>
      <c r="HC159" s="1960" t="s">
        <v>853</v>
      </c>
      <c r="HD159" s="1960" t="s">
        <v>853</v>
      </c>
      <c r="HE159" s="1960" t="s">
        <v>853</v>
      </c>
      <c r="HF159" s="1960" t="s">
        <v>853</v>
      </c>
      <c r="HG159" s="1960" t="s">
        <v>853</v>
      </c>
      <c r="HH159" s="2117" t="s">
        <v>853</v>
      </c>
      <c r="HI159" s="1960" t="s">
        <v>853</v>
      </c>
      <c r="HJ159" s="1960" t="s">
        <v>853</v>
      </c>
      <c r="HK159" s="1960" t="s">
        <v>853</v>
      </c>
      <c r="HL159" s="1960" t="s">
        <v>853</v>
      </c>
      <c r="HM159" s="1960" t="s">
        <v>853</v>
      </c>
      <c r="HN159" s="1960" t="s">
        <v>853</v>
      </c>
      <c r="HO159" s="1965" t="s">
        <v>853</v>
      </c>
      <c r="HP159" s="1965" t="s">
        <v>853</v>
      </c>
      <c r="HQ159" s="1965" t="s">
        <v>481</v>
      </c>
      <c r="HR159" s="1965" t="s">
        <v>481</v>
      </c>
      <c r="HS159" s="1965"/>
      <c r="HT159" s="1967"/>
      <c r="HU159" s="1966"/>
      <c r="HV159" s="1965">
        <v>0</v>
      </c>
      <c r="HW159" s="1965">
        <v>0</v>
      </c>
      <c r="HX159" s="1965">
        <v>0</v>
      </c>
      <c r="HY159" s="1965">
        <v>0</v>
      </c>
      <c r="HZ159" s="1965">
        <v>0</v>
      </c>
      <c r="IA159" s="1965">
        <v>0</v>
      </c>
      <c r="IB159" s="1965">
        <v>0</v>
      </c>
      <c r="IC159" s="1965">
        <v>0</v>
      </c>
      <c r="ID159" s="1965">
        <v>0</v>
      </c>
      <c r="IE159" s="1965">
        <v>0</v>
      </c>
      <c r="IF159" s="1965">
        <v>0</v>
      </c>
      <c r="IG159" s="1966">
        <v>0</v>
      </c>
      <c r="IH159" s="1965">
        <v>0</v>
      </c>
      <c r="II159" s="1965">
        <v>0</v>
      </c>
      <c r="IJ159" s="1966">
        <v>0</v>
      </c>
      <c r="IK159" s="1965">
        <v>0</v>
      </c>
      <c r="IL159" s="1965">
        <v>0</v>
      </c>
      <c r="IM159" s="1965">
        <v>0</v>
      </c>
      <c r="IN159" s="1965">
        <v>0</v>
      </c>
      <c r="IO159" s="1965">
        <v>0</v>
      </c>
      <c r="IP159" s="1965">
        <v>0</v>
      </c>
      <c r="IQ159" s="1965">
        <v>0</v>
      </c>
      <c r="IR159" s="1965">
        <v>0</v>
      </c>
      <c r="IS159" s="2275">
        <v>0</v>
      </c>
      <c r="IT159" s="1965">
        <v>0</v>
      </c>
      <c r="IU159" s="1965">
        <v>0</v>
      </c>
      <c r="IV159" s="1965">
        <v>0</v>
      </c>
      <c r="IW159" s="1965">
        <v>0</v>
      </c>
      <c r="IX159" s="1965">
        <v>0</v>
      </c>
      <c r="IY159" s="1965">
        <v>0</v>
      </c>
      <c r="IZ159" s="1965">
        <v>0</v>
      </c>
      <c r="JA159" s="1965">
        <v>0</v>
      </c>
      <c r="JB159" s="1965">
        <v>0</v>
      </c>
      <c r="JC159" s="1965">
        <v>0</v>
      </c>
      <c r="JD159" s="1965">
        <v>0</v>
      </c>
      <c r="JE159" s="2275">
        <v>0</v>
      </c>
      <c r="JF159" s="2525">
        <v>0</v>
      </c>
      <c r="JG159" s="2103" t="e">
        <f t="shared" si="14"/>
        <v>#DIV/0!</v>
      </c>
      <c r="JI159" s="2155"/>
      <c r="JJ159" s="2104"/>
    </row>
    <row r="160" spans="2:270" ht="31.5" hidden="1">
      <c r="B160" s="2105">
        <v>206</v>
      </c>
      <c r="C160" s="2106" t="s">
        <v>346</v>
      </c>
      <c r="D160" s="2425">
        <v>0</v>
      </c>
      <c r="E160" s="2128" t="s">
        <v>347</v>
      </c>
      <c r="F160" s="2106" t="s">
        <v>918</v>
      </c>
      <c r="G160" s="2106"/>
      <c r="H160" s="2106" t="s">
        <v>919</v>
      </c>
      <c r="I160" s="2106"/>
      <c r="J160" s="2359" t="s">
        <v>1125</v>
      </c>
      <c r="K160" s="2425" t="s">
        <v>345</v>
      </c>
      <c r="L160" s="2110">
        <v>89.1</v>
      </c>
      <c r="M160" s="2110">
        <v>89.1</v>
      </c>
      <c r="N160" s="2110">
        <v>89.1</v>
      </c>
      <c r="O160" s="2110">
        <v>90.84</v>
      </c>
      <c r="P160" s="2110">
        <v>144.85</v>
      </c>
      <c r="Q160" s="2110">
        <v>144.85</v>
      </c>
      <c r="R160" s="2110">
        <v>154.69999999999999</v>
      </c>
      <c r="S160" s="2110">
        <v>155.21</v>
      </c>
      <c r="T160" s="2110">
        <v>155.21</v>
      </c>
      <c r="U160" s="2110">
        <v>176.92</v>
      </c>
      <c r="V160" s="2110">
        <v>176.92</v>
      </c>
      <c r="W160" s="2110">
        <v>176.92</v>
      </c>
      <c r="X160" s="2110">
        <v>176.92</v>
      </c>
      <c r="Y160" s="2110">
        <v>176.92</v>
      </c>
      <c r="Z160" s="2110">
        <v>176.92</v>
      </c>
      <c r="AA160" s="2110">
        <v>191.03</v>
      </c>
      <c r="AB160" s="2110">
        <v>191.03</v>
      </c>
      <c r="AC160" s="2110">
        <v>191.03</v>
      </c>
      <c r="AD160" s="2110">
        <v>191.03</v>
      </c>
      <c r="AE160" s="2110">
        <v>176.02</v>
      </c>
      <c r="AF160" s="2110">
        <v>176.02</v>
      </c>
      <c r="AG160" s="2110">
        <v>176.02</v>
      </c>
      <c r="AH160" s="2110">
        <v>176.02</v>
      </c>
      <c r="AI160" s="2110">
        <v>176.02</v>
      </c>
      <c r="AJ160" s="2110">
        <v>176.02</v>
      </c>
      <c r="AK160" s="2110">
        <v>176.02</v>
      </c>
      <c r="AL160" s="2110">
        <v>176.02</v>
      </c>
      <c r="AM160" s="2110">
        <v>176.02</v>
      </c>
      <c r="AN160" s="2110">
        <v>176.02</v>
      </c>
      <c r="AO160" s="2110">
        <v>176.02</v>
      </c>
      <c r="AP160" s="2110">
        <v>176.02</v>
      </c>
      <c r="AQ160" s="2110">
        <v>176.02</v>
      </c>
      <c r="AR160" s="2110">
        <v>176.02</v>
      </c>
      <c r="AS160" s="2110">
        <v>184.48</v>
      </c>
      <c r="AT160" s="2110">
        <v>184.48</v>
      </c>
      <c r="AU160" s="2110">
        <v>184.48</v>
      </c>
      <c r="AV160" s="2110">
        <v>184.48</v>
      </c>
      <c r="AW160" s="2111">
        <v>184.48</v>
      </c>
      <c r="AX160" s="2111">
        <v>184.48</v>
      </c>
      <c r="AY160" s="2111">
        <v>184.48</v>
      </c>
      <c r="AZ160" s="2111">
        <v>184.48</v>
      </c>
      <c r="BA160" s="2111">
        <v>184.48</v>
      </c>
      <c r="BB160" s="2111">
        <v>184.48</v>
      </c>
      <c r="BC160" s="2111">
        <v>184.48</v>
      </c>
      <c r="BD160" s="2112">
        <v>184.48</v>
      </c>
      <c r="BE160" s="2111">
        <v>184.48</v>
      </c>
      <c r="BF160" s="2112">
        <v>188.45</v>
      </c>
      <c r="BG160" s="2112">
        <v>188.45</v>
      </c>
      <c r="BH160" s="2159">
        <v>188.45</v>
      </c>
      <c r="BI160" s="2108">
        <v>188.45</v>
      </c>
      <c r="BJ160" s="2108">
        <v>188.45</v>
      </c>
      <c r="BK160" s="2108">
        <v>192.17</v>
      </c>
      <c r="BL160" s="2108">
        <v>192.17</v>
      </c>
      <c r="BM160" s="2108">
        <v>192.17</v>
      </c>
      <c r="BN160" s="2108">
        <v>192.17</v>
      </c>
      <c r="BO160" s="2108">
        <v>199.49</v>
      </c>
      <c r="BP160" s="2108">
        <v>199.49</v>
      </c>
      <c r="BQ160" s="2108">
        <v>199.49</v>
      </c>
      <c r="BR160" s="2108">
        <v>199.49</v>
      </c>
      <c r="BS160" s="2108">
        <v>199.49</v>
      </c>
      <c r="BT160" s="2108">
        <v>199.49</v>
      </c>
      <c r="BU160" s="2108">
        <v>199.49</v>
      </c>
      <c r="BV160" s="2108">
        <v>199.49</v>
      </c>
      <c r="BW160" s="2108">
        <v>199.49</v>
      </c>
      <c r="BX160" s="2108">
        <v>199.49</v>
      </c>
      <c r="BY160" s="2108">
        <v>199.49</v>
      </c>
      <c r="BZ160" s="2108">
        <v>211.44</v>
      </c>
      <c r="CA160" s="2108">
        <v>211.44</v>
      </c>
      <c r="CB160" s="2108">
        <v>227.75</v>
      </c>
      <c r="CC160" s="2108">
        <v>227.74</v>
      </c>
      <c r="CD160" s="2108">
        <v>227.73</v>
      </c>
      <c r="CE160" s="2108">
        <v>227.73</v>
      </c>
      <c r="CF160" s="2108">
        <v>227.73</v>
      </c>
      <c r="CG160" s="2108">
        <v>227.73</v>
      </c>
      <c r="CH160" s="2108">
        <v>231.94</v>
      </c>
      <c r="CI160" s="2108">
        <v>231.94</v>
      </c>
      <c r="CJ160" s="2108">
        <v>231.94</v>
      </c>
      <c r="CK160" s="2108">
        <v>240.36</v>
      </c>
      <c r="CL160" s="2108">
        <v>240.36</v>
      </c>
      <c r="CM160" s="2108">
        <v>240.36</v>
      </c>
      <c r="CN160" s="2108">
        <v>247.34</v>
      </c>
      <c r="CO160" s="2108">
        <v>252.12</v>
      </c>
      <c r="CP160" s="2108">
        <v>252.12</v>
      </c>
      <c r="CQ160" s="2108">
        <v>264.25</v>
      </c>
      <c r="CR160" s="2108">
        <v>264.25</v>
      </c>
      <c r="CS160" s="2108">
        <v>265.04000000000002</v>
      </c>
      <c r="CT160" s="2108">
        <v>265.95999999999998</v>
      </c>
      <c r="CU160" s="2108">
        <v>265.95999999999998</v>
      </c>
      <c r="CV160" s="2108">
        <v>266.52</v>
      </c>
      <c r="CW160" s="2108">
        <v>266.52</v>
      </c>
      <c r="CX160" s="2108">
        <v>266.52</v>
      </c>
      <c r="CY160" s="2108">
        <v>266.89</v>
      </c>
      <c r="CZ160" s="2108">
        <v>266.89</v>
      </c>
      <c r="DA160" s="2108">
        <v>267.74</v>
      </c>
      <c r="DB160" s="2108">
        <v>268.57</v>
      </c>
      <c r="DC160" s="2108">
        <v>268.57</v>
      </c>
      <c r="DD160" s="2108">
        <v>275.8</v>
      </c>
      <c r="DE160" s="2108">
        <v>275.8</v>
      </c>
      <c r="DF160" s="2108">
        <v>275.8</v>
      </c>
      <c r="DG160" s="2108">
        <v>275.8</v>
      </c>
      <c r="DH160" s="2108">
        <v>275.8</v>
      </c>
      <c r="DI160" s="2108">
        <v>275.8</v>
      </c>
      <c r="DJ160" s="2108">
        <v>287.26</v>
      </c>
      <c r="DK160" s="2108">
        <v>287.26</v>
      </c>
      <c r="DL160" s="2108">
        <v>296.77999999999997</v>
      </c>
      <c r="DM160" s="2108">
        <v>296.77999999999997</v>
      </c>
      <c r="DN160" s="2108">
        <v>349.74</v>
      </c>
      <c r="DO160" s="2108">
        <v>357.12</v>
      </c>
      <c r="DP160" s="2108">
        <v>357.12</v>
      </c>
      <c r="DQ160" s="2108">
        <v>357.16</v>
      </c>
      <c r="DR160" s="2108">
        <v>368.42</v>
      </c>
      <c r="DS160" s="2108">
        <v>368.42</v>
      </c>
      <c r="DT160" s="2108">
        <v>368.42</v>
      </c>
      <c r="DU160" s="2108">
        <v>368.42</v>
      </c>
      <c r="DV160" s="2108">
        <v>368.42</v>
      </c>
      <c r="DW160" s="2108">
        <v>368.42</v>
      </c>
      <c r="DX160" s="2108">
        <v>383.2</v>
      </c>
      <c r="DY160" s="2108">
        <v>383.2</v>
      </c>
      <c r="DZ160" s="2108">
        <v>394.17</v>
      </c>
      <c r="EA160" s="2108">
        <v>427.87</v>
      </c>
      <c r="EB160" s="2108">
        <v>427.87</v>
      </c>
      <c r="EC160" s="2108">
        <v>429.95</v>
      </c>
      <c r="ED160" s="2108">
        <v>429.95</v>
      </c>
      <c r="EE160" s="2108">
        <v>448.45</v>
      </c>
      <c r="EF160" s="2108">
        <v>448.45</v>
      </c>
      <c r="EG160" s="2108">
        <v>459.29</v>
      </c>
      <c r="EH160" s="2108">
        <v>460.97</v>
      </c>
      <c r="EI160" s="2108">
        <v>478.62</v>
      </c>
      <c r="EJ160" s="2108">
        <v>489.57</v>
      </c>
      <c r="EK160" s="2108">
        <v>489.57</v>
      </c>
      <c r="EL160" s="2108">
        <v>495.04</v>
      </c>
      <c r="EM160" s="2108">
        <v>496.88</v>
      </c>
      <c r="EN160" s="2108">
        <v>496.88</v>
      </c>
      <c r="EO160" s="2108">
        <v>536.64</v>
      </c>
      <c r="EP160" s="2108">
        <v>553.73</v>
      </c>
      <c r="EQ160" s="2108">
        <v>553.73</v>
      </c>
      <c r="ER160" s="2108">
        <v>560.53</v>
      </c>
      <c r="ES160" s="2108">
        <v>560.53</v>
      </c>
      <c r="ET160" s="2108">
        <v>565.48</v>
      </c>
      <c r="EU160" s="2108">
        <v>565.87</v>
      </c>
      <c r="EV160" s="2108">
        <v>584.94000000000005</v>
      </c>
      <c r="EW160" s="2108">
        <v>566.99</v>
      </c>
      <c r="EX160" s="2108">
        <v>597.41</v>
      </c>
      <c r="EY160" s="2108">
        <v>599.07000000000005</v>
      </c>
      <c r="EZ160" s="2108">
        <v>602.41999999999996</v>
      </c>
      <c r="FA160" s="2157" t="s">
        <v>872</v>
      </c>
      <c r="FB160" s="2157" t="s">
        <v>872</v>
      </c>
      <c r="FC160" s="2157" t="s">
        <v>872</v>
      </c>
      <c r="FD160" s="2157" t="s">
        <v>872</v>
      </c>
      <c r="FE160" s="2157" t="s">
        <v>872</v>
      </c>
      <c r="FF160" s="2157" t="s">
        <v>872</v>
      </c>
      <c r="FG160" s="2157" t="s">
        <v>872</v>
      </c>
      <c r="FH160" s="2157" t="s">
        <v>872</v>
      </c>
      <c r="FI160" s="2157" t="s">
        <v>872</v>
      </c>
      <c r="FJ160" s="2157" t="s">
        <v>872</v>
      </c>
      <c r="FK160" s="2157" t="s">
        <v>872</v>
      </c>
      <c r="FL160" s="2157" t="s">
        <v>872</v>
      </c>
      <c r="FM160" s="2157" t="s">
        <v>872</v>
      </c>
      <c r="FN160" s="2157" t="s">
        <v>872</v>
      </c>
      <c r="FO160" s="2157" t="s">
        <v>872</v>
      </c>
      <c r="FP160" s="2157" t="s">
        <v>872</v>
      </c>
      <c r="FQ160" s="2157" t="s">
        <v>872</v>
      </c>
      <c r="FR160" s="2157" t="s">
        <v>872</v>
      </c>
      <c r="FS160" s="2157" t="s">
        <v>872</v>
      </c>
      <c r="FT160" s="2157" t="s">
        <v>872</v>
      </c>
      <c r="FU160" s="2157" t="s">
        <v>872</v>
      </c>
      <c r="FV160" s="2157" t="s">
        <v>872</v>
      </c>
      <c r="FW160" s="2157" t="s">
        <v>872</v>
      </c>
      <c r="FX160" s="2157" t="s">
        <v>872</v>
      </c>
      <c r="FY160" s="2157" t="s">
        <v>872</v>
      </c>
      <c r="FZ160" s="2157" t="s">
        <v>872</v>
      </c>
      <c r="GA160" s="2157" t="s">
        <v>872</v>
      </c>
      <c r="GB160" s="2157" t="s">
        <v>872</v>
      </c>
      <c r="GC160" s="2157" t="s">
        <v>872</v>
      </c>
      <c r="GD160" s="2157" t="s">
        <v>872</v>
      </c>
      <c r="GE160" s="2157" t="s">
        <v>872</v>
      </c>
      <c r="GF160" s="2158" t="s">
        <v>872</v>
      </c>
      <c r="GG160" s="1960" t="s">
        <v>872</v>
      </c>
      <c r="GH160" s="2114" t="s">
        <v>872</v>
      </c>
      <c r="GI160" s="2114" t="s">
        <v>872</v>
      </c>
      <c r="GJ160" s="2113" t="s">
        <v>872</v>
      </c>
      <c r="GK160" s="2113" t="s">
        <v>872</v>
      </c>
      <c r="GL160" s="2113" t="s">
        <v>872</v>
      </c>
      <c r="GM160" s="2114" t="s">
        <v>872</v>
      </c>
      <c r="GN160" s="2114" t="s">
        <v>853</v>
      </c>
      <c r="GO160" s="2115" t="s">
        <v>853</v>
      </c>
      <c r="GP160" s="2116" t="s">
        <v>853</v>
      </c>
      <c r="GQ160" s="2116" t="s">
        <v>853</v>
      </c>
      <c r="GR160" s="2116" t="s">
        <v>853</v>
      </c>
      <c r="GS160" s="2116" t="s">
        <v>853</v>
      </c>
      <c r="GT160" s="1960" t="s">
        <v>853</v>
      </c>
      <c r="GU160" s="1960" t="s">
        <v>853</v>
      </c>
      <c r="GV160" s="1960" t="s">
        <v>853</v>
      </c>
      <c r="GW160" s="1960" t="s">
        <v>853</v>
      </c>
      <c r="GX160" s="1960" t="s">
        <v>853</v>
      </c>
      <c r="GY160" s="1960" t="s">
        <v>853</v>
      </c>
      <c r="GZ160" s="1960" t="s">
        <v>853</v>
      </c>
      <c r="HA160" s="1960" t="s">
        <v>853</v>
      </c>
      <c r="HB160" s="1960" t="s">
        <v>853</v>
      </c>
      <c r="HC160" s="1960" t="s">
        <v>853</v>
      </c>
      <c r="HD160" s="1960" t="s">
        <v>853</v>
      </c>
      <c r="HE160" s="1960" t="s">
        <v>853</v>
      </c>
      <c r="HF160" s="1960" t="s">
        <v>853</v>
      </c>
      <c r="HG160" s="1960" t="s">
        <v>853</v>
      </c>
      <c r="HH160" s="2117" t="s">
        <v>853</v>
      </c>
      <c r="HI160" s="1960" t="s">
        <v>853</v>
      </c>
      <c r="HJ160" s="1960" t="s">
        <v>853</v>
      </c>
      <c r="HK160" s="1960" t="s">
        <v>853</v>
      </c>
      <c r="HL160" s="1960" t="s">
        <v>853</v>
      </c>
      <c r="HM160" s="1960" t="s">
        <v>853</v>
      </c>
      <c r="HN160" s="1960" t="s">
        <v>853</v>
      </c>
      <c r="HO160" s="1960" t="s">
        <v>853</v>
      </c>
      <c r="HP160" s="1960" t="s">
        <v>853</v>
      </c>
      <c r="HQ160" s="1960" t="s">
        <v>481</v>
      </c>
      <c r="HR160" s="1960" t="s">
        <v>481</v>
      </c>
      <c r="HS160" s="1960"/>
      <c r="HT160" s="1962"/>
      <c r="HU160" s="1961"/>
      <c r="HV160" s="1960">
        <v>0</v>
      </c>
      <c r="HW160" s="1960">
        <v>0</v>
      </c>
      <c r="HX160" s="1960">
        <v>0</v>
      </c>
      <c r="HY160" s="1960">
        <v>0</v>
      </c>
      <c r="HZ160" s="1960">
        <v>0</v>
      </c>
      <c r="IA160" s="1960">
        <v>0</v>
      </c>
      <c r="IB160" s="1960">
        <v>0</v>
      </c>
      <c r="IC160" s="1960">
        <v>0</v>
      </c>
      <c r="ID160" s="1960">
        <v>0</v>
      </c>
      <c r="IE160" s="1960">
        <v>0</v>
      </c>
      <c r="IF160" s="1960">
        <v>0</v>
      </c>
      <c r="IG160" s="1961">
        <v>0</v>
      </c>
      <c r="IH160" s="1960">
        <v>0</v>
      </c>
      <c r="II160" s="1960">
        <v>0</v>
      </c>
      <c r="IJ160" s="1961">
        <v>0</v>
      </c>
      <c r="IK160" s="1960">
        <v>0</v>
      </c>
      <c r="IL160" s="1960">
        <v>0</v>
      </c>
      <c r="IM160" s="1960">
        <v>0</v>
      </c>
      <c r="IN160" s="1960">
        <v>0</v>
      </c>
      <c r="IO160" s="1960">
        <v>0</v>
      </c>
      <c r="IP160" s="1960">
        <v>0</v>
      </c>
      <c r="IQ160" s="1960">
        <v>0</v>
      </c>
      <c r="IR160" s="1960">
        <v>0</v>
      </c>
      <c r="IS160" s="2274">
        <v>0</v>
      </c>
      <c r="IT160" s="1960">
        <v>0</v>
      </c>
      <c r="IU160" s="1960">
        <v>0</v>
      </c>
      <c r="IV160" s="1960">
        <v>0</v>
      </c>
      <c r="IW160" s="1960">
        <v>0</v>
      </c>
      <c r="IX160" s="1960">
        <v>0</v>
      </c>
      <c r="IY160" s="1960">
        <v>0</v>
      </c>
      <c r="IZ160" s="1960">
        <v>0</v>
      </c>
      <c r="JA160" s="1960">
        <v>0</v>
      </c>
      <c r="JB160" s="1960">
        <v>0</v>
      </c>
      <c r="JC160" s="1960">
        <v>0</v>
      </c>
      <c r="JD160" s="1960">
        <v>0</v>
      </c>
      <c r="JE160" s="2274">
        <v>0</v>
      </c>
      <c r="JF160" s="2117">
        <v>0</v>
      </c>
      <c r="JG160" s="2103" t="e">
        <f t="shared" si="14"/>
        <v>#DIV/0!</v>
      </c>
      <c r="JI160" s="2155"/>
      <c r="JJ160" s="2104"/>
    </row>
    <row r="161" spans="2:271" hidden="1">
      <c r="B161" s="2105">
        <v>207</v>
      </c>
      <c r="C161" s="2106" t="s">
        <v>348</v>
      </c>
      <c r="D161" s="2425">
        <v>0</v>
      </c>
      <c r="E161" s="2128" t="s">
        <v>349</v>
      </c>
      <c r="F161" s="2106" t="s">
        <v>918</v>
      </c>
      <c r="G161" s="2106"/>
      <c r="H161" s="2106" t="s">
        <v>738</v>
      </c>
      <c r="I161" s="2106"/>
      <c r="J161" s="2127"/>
      <c r="K161" s="2425" t="s">
        <v>203</v>
      </c>
      <c r="L161" s="2110">
        <v>73.599999999999994</v>
      </c>
      <c r="M161" s="2110">
        <v>73.599999999999994</v>
      </c>
      <c r="N161" s="2110">
        <v>73.599999999999994</v>
      </c>
      <c r="O161" s="2110">
        <v>73.599999999999994</v>
      </c>
      <c r="P161" s="2110">
        <v>92.9</v>
      </c>
      <c r="Q161" s="2110">
        <v>97.8</v>
      </c>
      <c r="R161" s="2110">
        <v>97.8</v>
      </c>
      <c r="S161" s="2110">
        <v>104.5</v>
      </c>
      <c r="T161" s="2110">
        <v>104.5</v>
      </c>
      <c r="U161" s="2110">
        <v>109.4</v>
      </c>
      <c r="V161" s="2110">
        <v>109.4</v>
      </c>
      <c r="W161" s="2110">
        <v>109.4</v>
      </c>
      <c r="X161" s="2110">
        <v>109.4</v>
      </c>
      <c r="Y161" s="2110">
        <v>109.4</v>
      </c>
      <c r="Z161" s="2110">
        <v>123.9</v>
      </c>
      <c r="AA161" s="2110">
        <v>123.9</v>
      </c>
      <c r="AB161" s="2110">
        <v>125.8</v>
      </c>
      <c r="AC161" s="2110">
        <v>130.69999999999999</v>
      </c>
      <c r="AD161" s="2110">
        <v>130.69999999999999</v>
      </c>
      <c r="AE161" s="2110">
        <v>130.69999999999999</v>
      </c>
      <c r="AF161" s="2110">
        <v>135.5</v>
      </c>
      <c r="AG161" s="2110">
        <v>135.5</v>
      </c>
      <c r="AH161" s="2110">
        <v>135.5</v>
      </c>
      <c r="AI161" s="2110">
        <v>135.5</v>
      </c>
      <c r="AJ161" s="2110">
        <v>135.5</v>
      </c>
      <c r="AK161" s="2110">
        <v>135.5</v>
      </c>
      <c r="AL161" s="2110">
        <v>135.5</v>
      </c>
      <c r="AM161" s="2110">
        <v>135.5</v>
      </c>
      <c r="AN161" s="2110">
        <v>140.30000000000001</v>
      </c>
      <c r="AO161" s="2110">
        <v>142.30000000000001</v>
      </c>
      <c r="AP161" s="2110">
        <v>142.30000000000001</v>
      </c>
      <c r="AQ161" s="2110">
        <v>142.30000000000001</v>
      </c>
      <c r="AR161" s="2110">
        <v>142.30000000000001</v>
      </c>
      <c r="AS161" s="2110">
        <v>142.30000000000001</v>
      </c>
      <c r="AT161" s="2110">
        <v>142.30000000000001</v>
      </c>
      <c r="AU161" s="2110">
        <v>142.30000000000001</v>
      </c>
      <c r="AV161" s="2110">
        <v>142.30000000000001</v>
      </c>
      <c r="AW161" s="2111">
        <v>142.30000000000001</v>
      </c>
      <c r="AX161" s="2111">
        <v>142.30000000000001</v>
      </c>
      <c r="AY161" s="2111">
        <v>151</v>
      </c>
      <c r="AZ161" s="2111">
        <v>151</v>
      </c>
      <c r="BA161" s="2111">
        <v>156.80000000000001</v>
      </c>
      <c r="BB161" s="2111">
        <v>156.80000000000001</v>
      </c>
      <c r="BC161" s="2111">
        <v>156.80000000000001</v>
      </c>
      <c r="BD161" s="2112">
        <v>166.5</v>
      </c>
      <c r="BE161" s="2111">
        <v>166.5</v>
      </c>
      <c r="BF161" s="2112">
        <v>172.3</v>
      </c>
      <c r="BG161" s="2112">
        <v>172.3</v>
      </c>
      <c r="BH161" s="2159">
        <v>172.3</v>
      </c>
      <c r="BI161" s="2108">
        <v>180</v>
      </c>
      <c r="BJ161" s="2108">
        <v>180</v>
      </c>
      <c r="BK161" s="2108">
        <v>180</v>
      </c>
      <c r="BL161" s="2108">
        <v>180</v>
      </c>
      <c r="BM161" s="2108">
        <v>180</v>
      </c>
      <c r="BN161" s="2108">
        <v>180</v>
      </c>
      <c r="BO161" s="2108">
        <v>180</v>
      </c>
      <c r="BP161" s="2108">
        <v>180</v>
      </c>
      <c r="BQ161" s="2108">
        <v>180</v>
      </c>
      <c r="BR161" s="2108">
        <v>180</v>
      </c>
      <c r="BS161" s="2108">
        <v>180</v>
      </c>
      <c r="BT161" s="2108">
        <v>185</v>
      </c>
      <c r="BU161" s="2108">
        <v>185</v>
      </c>
      <c r="BV161" s="2108">
        <v>185</v>
      </c>
      <c r="BW161" s="2108">
        <v>191.1</v>
      </c>
      <c r="BX161" s="2108">
        <v>191.1</v>
      </c>
      <c r="BY161" s="2108">
        <v>191.1</v>
      </c>
      <c r="BZ161" s="2108">
        <v>228.1</v>
      </c>
      <c r="CA161" s="2108">
        <v>228.1</v>
      </c>
      <c r="CB161" s="2108">
        <v>228.1</v>
      </c>
      <c r="CC161" s="2108">
        <v>228.1</v>
      </c>
      <c r="CD161" s="2108">
        <v>228.1</v>
      </c>
      <c r="CE161" s="2108">
        <v>241.7</v>
      </c>
      <c r="CF161" s="2108">
        <v>241.7</v>
      </c>
      <c r="CG161" s="2108">
        <v>265.10000000000002</v>
      </c>
      <c r="CH161" s="2108">
        <v>265.10000000000002</v>
      </c>
      <c r="CI161" s="2108">
        <v>265.10000000000002</v>
      </c>
      <c r="CJ161" s="2108">
        <v>282.39999999999998</v>
      </c>
      <c r="CK161" s="2108">
        <v>282.39999999999998</v>
      </c>
      <c r="CL161" s="2108">
        <v>282.39999999999998</v>
      </c>
      <c r="CM161" s="2108">
        <v>302.10000000000002</v>
      </c>
      <c r="CN161" s="2108">
        <v>302.10000000000002</v>
      </c>
      <c r="CO161" s="2108">
        <v>305.8</v>
      </c>
      <c r="CP161" s="2108">
        <v>318.10000000000002</v>
      </c>
      <c r="CQ161" s="2108">
        <v>328.9</v>
      </c>
      <c r="CR161" s="2108">
        <v>328.9</v>
      </c>
      <c r="CS161" s="2108">
        <v>344</v>
      </c>
      <c r="CT161" s="2108">
        <v>344</v>
      </c>
      <c r="CU161" s="2108">
        <v>356.3</v>
      </c>
      <c r="CV161" s="2108">
        <v>373.6</v>
      </c>
      <c r="CW161" s="2108">
        <v>373.6</v>
      </c>
      <c r="CX161" s="2108">
        <v>373.6</v>
      </c>
      <c r="CY161" s="2108">
        <v>393.3</v>
      </c>
      <c r="CZ161" s="2108">
        <v>430.3</v>
      </c>
      <c r="DA161" s="2108">
        <v>442.7</v>
      </c>
      <c r="DB161" s="2108">
        <v>442.7</v>
      </c>
      <c r="DC161" s="2108">
        <v>465.6</v>
      </c>
      <c r="DD161" s="2108">
        <v>465.6</v>
      </c>
      <c r="DE161" s="2108">
        <v>465.6</v>
      </c>
      <c r="DF161" s="2108">
        <v>484.6</v>
      </c>
      <c r="DG161" s="2108">
        <v>484.6</v>
      </c>
      <c r="DH161" s="2108">
        <v>484.6</v>
      </c>
      <c r="DI161" s="2108">
        <v>484.6</v>
      </c>
      <c r="DJ161" s="2108">
        <v>508</v>
      </c>
      <c r="DK161" s="2108">
        <v>508</v>
      </c>
      <c r="DL161" s="2108">
        <v>532.70000000000005</v>
      </c>
      <c r="DM161" s="2108">
        <v>532.70000000000005</v>
      </c>
      <c r="DN161" s="2108">
        <v>553.6</v>
      </c>
      <c r="DO161" s="2108">
        <v>553.6</v>
      </c>
      <c r="DP161" s="2108">
        <v>553.6</v>
      </c>
      <c r="DQ161" s="2108">
        <v>556.5</v>
      </c>
      <c r="DR161" s="2108">
        <v>615.29999999999995</v>
      </c>
      <c r="DS161" s="2108">
        <v>615.29999999999995</v>
      </c>
      <c r="DT161" s="2108">
        <v>685.6</v>
      </c>
      <c r="DU161" s="2108">
        <v>685.6</v>
      </c>
      <c r="DV161" s="2108">
        <v>685.6</v>
      </c>
      <c r="DW161" s="2108">
        <v>716.4</v>
      </c>
      <c r="DX161" s="2108">
        <v>716.4</v>
      </c>
      <c r="DY161" s="2108">
        <v>781.7</v>
      </c>
      <c r="DZ161" s="2108">
        <v>781.7</v>
      </c>
      <c r="EA161" s="2108">
        <v>781.7</v>
      </c>
      <c r="EB161" s="2108">
        <v>881.6</v>
      </c>
      <c r="EC161" s="2108">
        <v>881.6</v>
      </c>
      <c r="ED161" s="2108">
        <v>944.5</v>
      </c>
      <c r="EE161" s="2108">
        <v>944.5</v>
      </c>
      <c r="EF161" s="2108">
        <v>1016</v>
      </c>
      <c r="EG161" s="2108">
        <v>1016</v>
      </c>
      <c r="EH161" s="2108">
        <v>1028.3</v>
      </c>
      <c r="EI161" s="2108">
        <v>1028.3</v>
      </c>
      <c r="EJ161" s="2108">
        <v>1083.8</v>
      </c>
      <c r="EK161" s="2108">
        <v>1103.5999999999999</v>
      </c>
      <c r="EL161" s="2108">
        <v>1103.5999999999999</v>
      </c>
      <c r="EM161" s="2108">
        <v>1103.5999999999999</v>
      </c>
      <c r="EN161" s="2108">
        <v>1103.5999999999999</v>
      </c>
      <c r="EO161" s="2108">
        <v>1103.5999999999999</v>
      </c>
      <c r="EP161" s="2108">
        <v>1193.5999999999999</v>
      </c>
      <c r="EQ161" s="2108">
        <v>1205.9000000000001</v>
      </c>
      <c r="ER161" s="2108">
        <v>1205.9000000000001</v>
      </c>
      <c r="ES161" s="2108">
        <v>1292.2</v>
      </c>
      <c r="ET161" s="2108">
        <v>1292.2</v>
      </c>
      <c r="EU161" s="2108">
        <v>1292.2</v>
      </c>
      <c r="EV161" s="2108">
        <v>1292.2</v>
      </c>
      <c r="EW161" s="2108">
        <v>1379.8</v>
      </c>
      <c r="EX161" s="2108">
        <v>1379.8</v>
      </c>
      <c r="EY161" s="2108">
        <v>1379.8</v>
      </c>
      <c r="EZ161" s="2108">
        <v>1392.1</v>
      </c>
      <c r="FA161" s="2157" t="s">
        <v>872</v>
      </c>
      <c r="FB161" s="2157" t="s">
        <v>872</v>
      </c>
      <c r="FC161" s="2157" t="s">
        <v>872</v>
      </c>
      <c r="FD161" s="2157" t="s">
        <v>872</v>
      </c>
      <c r="FE161" s="2157" t="s">
        <v>872</v>
      </c>
      <c r="FF161" s="2157" t="s">
        <v>872</v>
      </c>
      <c r="FG161" s="2157" t="s">
        <v>872</v>
      </c>
      <c r="FH161" s="2157" t="s">
        <v>872</v>
      </c>
      <c r="FI161" s="2157" t="s">
        <v>872</v>
      </c>
      <c r="FJ161" s="2157" t="s">
        <v>872</v>
      </c>
      <c r="FK161" s="2157" t="s">
        <v>872</v>
      </c>
      <c r="FL161" s="2157" t="s">
        <v>872</v>
      </c>
      <c r="FM161" s="2157" t="s">
        <v>872</v>
      </c>
      <c r="FN161" s="2157" t="s">
        <v>872</v>
      </c>
      <c r="FO161" s="2157" t="s">
        <v>872</v>
      </c>
      <c r="FP161" s="2157" t="s">
        <v>872</v>
      </c>
      <c r="FQ161" s="2157" t="s">
        <v>872</v>
      </c>
      <c r="FR161" s="2157" t="s">
        <v>872</v>
      </c>
      <c r="FS161" s="2157" t="s">
        <v>872</v>
      </c>
      <c r="FT161" s="2157" t="s">
        <v>872</v>
      </c>
      <c r="FU161" s="2157" t="s">
        <v>872</v>
      </c>
      <c r="FV161" s="2157" t="s">
        <v>872</v>
      </c>
      <c r="FW161" s="2157" t="s">
        <v>872</v>
      </c>
      <c r="FX161" s="2157" t="s">
        <v>872</v>
      </c>
      <c r="FY161" s="2157" t="s">
        <v>872</v>
      </c>
      <c r="FZ161" s="2157" t="s">
        <v>872</v>
      </c>
      <c r="GA161" s="2157" t="s">
        <v>872</v>
      </c>
      <c r="GB161" s="2157" t="s">
        <v>872</v>
      </c>
      <c r="GC161" s="2157" t="s">
        <v>872</v>
      </c>
      <c r="GD161" s="2157" t="s">
        <v>872</v>
      </c>
      <c r="GE161" s="2157" t="s">
        <v>872</v>
      </c>
      <c r="GF161" s="2158" t="s">
        <v>872</v>
      </c>
      <c r="GG161" s="1960" t="s">
        <v>872</v>
      </c>
      <c r="GH161" s="2114" t="s">
        <v>872</v>
      </c>
      <c r="GI161" s="2114" t="s">
        <v>872</v>
      </c>
      <c r="GJ161" s="2113" t="s">
        <v>872</v>
      </c>
      <c r="GK161" s="2113" t="s">
        <v>872</v>
      </c>
      <c r="GL161" s="2113" t="s">
        <v>872</v>
      </c>
      <c r="GM161" s="2114" t="s">
        <v>872</v>
      </c>
      <c r="GN161" s="2114" t="s">
        <v>853</v>
      </c>
      <c r="GO161" s="2115" t="s">
        <v>853</v>
      </c>
      <c r="GP161" s="2116" t="s">
        <v>853</v>
      </c>
      <c r="GQ161" s="2116" t="s">
        <v>853</v>
      </c>
      <c r="GR161" s="2116" t="s">
        <v>853</v>
      </c>
      <c r="GS161" s="2116" t="s">
        <v>853</v>
      </c>
      <c r="GT161" s="1960" t="s">
        <v>853</v>
      </c>
      <c r="GU161" s="1960" t="s">
        <v>853</v>
      </c>
      <c r="GV161" s="1960" t="s">
        <v>853</v>
      </c>
      <c r="GW161" s="1960" t="s">
        <v>853</v>
      </c>
      <c r="GX161" s="1960" t="s">
        <v>853</v>
      </c>
      <c r="GY161" s="1960" t="s">
        <v>853</v>
      </c>
      <c r="GZ161" s="1960" t="s">
        <v>853</v>
      </c>
      <c r="HA161" s="1960" t="s">
        <v>853</v>
      </c>
      <c r="HB161" s="1960" t="s">
        <v>853</v>
      </c>
      <c r="HC161" s="1960" t="s">
        <v>853</v>
      </c>
      <c r="HD161" s="1960" t="s">
        <v>853</v>
      </c>
      <c r="HE161" s="1960" t="s">
        <v>853</v>
      </c>
      <c r="HF161" s="1960" t="s">
        <v>853</v>
      </c>
      <c r="HG161" s="1960" t="s">
        <v>853</v>
      </c>
      <c r="HH161" s="2117" t="s">
        <v>853</v>
      </c>
      <c r="HI161" s="1960" t="s">
        <v>853</v>
      </c>
      <c r="HJ161" s="1960" t="s">
        <v>853</v>
      </c>
      <c r="HK161" s="1960" t="s">
        <v>853</v>
      </c>
      <c r="HL161" s="1960" t="s">
        <v>853</v>
      </c>
      <c r="HM161" s="1960" t="s">
        <v>853</v>
      </c>
      <c r="HN161" s="1960" t="s">
        <v>853</v>
      </c>
      <c r="HO161" s="1960" t="s">
        <v>853</v>
      </c>
      <c r="HP161" s="1960" t="s">
        <v>853</v>
      </c>
      <c r="HQ161" s="1960" t="s">
        <v>481</v>
      </c>
      <c r="HR161" s="1960" t="s">
        <v>481</v>
      </c>
      <c r="HS161" s="1960"/>
      <c r="HT161" s="1962"/>
      <c r="HU161" s="1961"/>
      <c r="HV161" s="1960">
        <v>0</v>
      </c>
      <c r="HW161" s="1960">
        <v>0</v>
      </c>
      <c r="HX161" s="1960">
        <v>0</v>
      </c>
      <c r="HY161" s="1960">
        <v>0</v>
      </c>
      <c r="HZ161" s="1960">
        <v>0</v>
      </c>
      <c r="IA161" s="1960">
        <v>0</v>
      </c>
      <c r="IB161" s="1960">
        <v>0</v>
      </c>
      <c r="IC161" s="1960">
        <v>0</v>
      </c>
      <c r="ID161" s="1960">
        <v>0</v>
      </c>
      <c r="IE161" s="1960">
        <v>0</v>
      </c>
      <c r="IF161" s="1960">
        <v>0</v>
      </c>
      <c r="IG161" s="1961">
        <v>0</v>
      </c>
      <c r="IH161" s="1960">
        <v>0</v>
      </c>
      <c r="II161" s="1960">
        <v>0</v>
      </c>
      <c r="IJ161" s="1961">
        <v>0</v>
      </c>
      <c r="IK161" s="1960">
        <v>0</v>
      </c>
      <c r="IL161" s="1960">
        <v>0</v>
      </c>
      <c r="IM161" s="1960">
        <v>0</v>
      </c>
      <c r="IN161" s="1960">
        <v>0</v>
      </c>
      <c r="IO161" s="1960">
        <v>0</v>
      </c>
      <c r="IP161" s="1960">
        <v>0</v>
      </c>
      <c r="IQ161" s="1960">
        <v>0</v>
      </c>
      <c r="IR161" s="1960">
        <v>0</v>
      </c>
      <c r="IS161" s="2274">
        <v>0</v>
      </c>
      <c r="IT161" s="1960">
        <v>0</v>
      </c>
      <c r="IU161" s="1960">
        <v>0</v>
      </c>
      <c r="IV161" s="1960">
        <v>0</v>
      </c>
      <c r="IW161" s="1960">
        <v>0</v>
      </c>
      <c r="IX161" s="1960">
        <v>0</v>
      </c>
      <c r="IY161" s="1960">
        <v>0</v>
      </c>
      <c r="IZ161" s="1960">
        <v>0</v>
      </c>
      <c r="JA161" s="1960">
        <v>0</v>
      </c>
      <c r="JB161" s="1960">
        <v>0</v>
      </c>
      <c r="JC161" s="1960">
        <v>0</v>
      </c>
      <c r="JD161" s="1960">
        <v>0</v>
      </c>
      <c r="JE161" s="2274">
        <v>0</v>
      </c>
      <c r="JF161" s="2117">
        <v>0</v>
      </c>
      <c r="JG161" s="2103" t="e">
        <f t="shared" si="14"/>
        <v>#DIV/0!</v>
      </c>
      <c r="JI161" s="2155"/>
      <c r="JJ161" s="2104"/>
    </row>
    <row r="162" spans="2:271" hidden="1">
      <c r="B162" s="2105">
        <v>208</v>
      </c>
      <c r="C162" s="2106" t="s">
        <v>350</v>
      </c>
      <c r="D162" s="2425">
        <v>0</v>
      </c>
      <c r="E162" s="2128" t="s">
        <v>298</v>
      </c>
      <c r="F162" s="2106" t="s">
        <v>918</v>
      </c>
      <c r="G162" s="2106"/>
      <c r="H162" s="2106" t="s">
        <v>738</v>
      </c>
      <c r="I162" s="2106"/>
      <c r="J162" s="2127" t="s">
        <v>355</v>
      </c>
      <c r="K162" s="2425" t="s">
        <v>204</v>
      </c>
      <c r="L162" s="2110">
        <v>84</v>
      </c>
      <c r="M162" s="2110">
        <v>84</v>
      </c>
      <c r="N162" s="2110">
        <v>82.8</v>
      </c>
      <c r="O162" s="2110">
        <v>85.3</v>
      </c>
      <c r="P162" s="2110">
        <v>86.6</v>
      </c>
      <c r="Q162" s="2110">
        <v>91.7</v>
      </c>
      <c r="R162" s="2110">
        <v>94.2</v>
      </c>
      <c r="S162" s="2110">
        <v>96.8</v>
      </c>
      <c r="T162" s="2110">
        <v>96.8</v>
      </c>
      <c r="U162" s="2110">
        <v>96.8</v>
      </c>
      <c r="V162" s="2110">
        <v>96.8</v>
      </c>
      <c r="W162" s="2110">
        <v>96.8</v>
      </c>
      <c r="X162" s="2110">
        <v>96.8</v>
      </c>
      <c r="Y162" s="2110">
        <v>96.8</v>
      </c>
      <c r="Z162" s="2110">
        <v>96.8</v>
      </c>
      <c r="AA162" s="2110">
        <v>96.8</v>
      </c>
      <c r="AB162" s="2110">
        <v>96.8</v>
      </c>
      <c r="AC162" s="2110">
        <v>96.8</v>
      </c>
      <c r="AD162" s="2110">
        <v>100.6</v>
      </c>
      <c r="AE162" s="2110">
        <v>100.6</v>
      </c>
      <c r="AF162" s="2110">
        <v>100.6</v>
      </c>
      <c r="AG162" s="2110">
        <v>100.6</v>
      </c>
      <c r="AH162" s="2110">
        <v>100.6</v>
      </c>
      <c r="AI162" s="2110">
        <v>100.6</v>
      </c>
      <c r="AJ162" s="2110">
        <v>100.6</v>
      </c>
      <c r="AK162" s="2110">
        <v>100.6</v>
      </c>
      <c r="AL162" s="2110">
        <v>100.6</v>
      </c>
      <c r="AM162" s="2110">
        <v>100.6</v>
      </c>
      <c r="AN162" s="2110">
        <v>104.4</v>
      </c>
      <c r="AO162" s="2110">
        <v>104.4</v>
      </c>
      <c r="AP162" s="2110">
        <v>108.2</v>
      </c>
      <c r="AQ162" s="2110">
        <v>108.2</v>
      </c>
      <c r="AR162" s="2110">
        <v>108.2</v>
      </c>
      <c r="AS162" s="2110">
        <v>108.2</v>
      </c>
      <c r="AT162" s="2110">
        <v>108.2</v>
      </c>
      <c r="AU162" s="2110">
        <v>110.8</v>
      </c>
      <c r="AV162" s="2110">
        <v>113.3</v>
      </c>
      <c r="AW162" s="2111">
        <v>113.3</v>
      </c>
      <c r="AX162" s="2111">
        <v>113.3</v>
      </c>
      <c r="AY162" s="2111">
        <v>117.2</v>
      </c>
      <c r="AZ162" s="2111">
        <v>118.4</v>
      </c>
      <c r="BA162" s="2111">
        <v>119.7</v>
      </c>
      <c r="BB162" s="2111">
        <v>119.7</v>
      </c>
      <c r="BC162" s="2111">
        <v>119.7</v>
      </c>
      <c r="BD162" s="2112">
        <v>121</v>
      </c>
      <c r="BE162" s="2111">
        <v>121</v>
      </c>
      <c r="BF162" s="2112">
        <v>123.5</v>
      </c>
      <c r="BG162" s="2112">
        <v>127.3</v>
      </c>
      <c r="BH162" s="2159">
        <v>129.9</v>
      </c>
      <c r="BI162" s="2108">
        <v>129.9</v>
      </c>
      <c r="BJ162" s="2108">
        <v>132.4</v>
      </c>
      <c r="BK162" s="2108">
        <v>135</v>
      </c>
      <c r="BL162" s="2108">
        <v>135</v>
      </c>
      <c r="BM162" s="2108">
        <v>135</v>
      </c>
      <c r="BN162" s="2108">
        <v>135</v>
      </c>
      <c r="BO162" s="2108">
        <v>135</v>
      </c>
      <c r="BP162" s="2108">
        <v>135</v>
      </c>
      <c r="BQ162" s="2108">
        <v>135</v>
      </c>
      <c r="BR162" s="2108">
        <v>142.6</v>
      </c>
      <c r="BS162" s="2108">
        <v>142.6</v>
      </c>
      <c r="BT162" s="2108">
        <v>149</v>
      </c>
      <c r="BU162" s="2108">
        <v>151.5</v>
      </c>
      <c r="BV162" s="2108">
        <v>151.5</v>
      </c>
      <c r="BW162" s="2108">
        <v>151.5</v>
      </c>
      <c r="BX162" s="2108">
        <v>155.4</v>
      </c>
      <c r="BY162" s="2108">
        <v>157.9</v>
      </c>
      <c r="BZ162" s="2108">
        <v>165.5</v>
      </c>
      <c r="CA162" s="2108">
        <v>165.5</v>
      </c>
      <c r="CB162" s="2108">
        <v>168.1</v>
      </c>
      <c r="CC162" s="2108">
        <v>174.5</v>
      </c>
      <c r="CD162" s="2108">
        <v>187.2</v>
      </c>
      <c r="CE162" s="2108">
        <v>192.3</v>
      </c>
      <c r="CF162" s="2108">
        <v>201.2</v>
      </c>
      <c r="CG162" s="2108">
        <v>217.8</v>
      </c>
      <c r="CH162" s="2108">
        <v>217.8</v>
      </c>
      <c r="CI162" s="2108">
        <v>230.5</v>
      </c>
      <c r="CJ162" s="2108">
        <v>234.3</v>
      </c>
      <c r="CK162" s="2108">
        <v>240.7</v>
      </c>
      <c r="CL162" s="2108">
        <v>240.7</v>
      </c>
      <c r="CM162" s="2108">
        <v>243.2</v>
      </c>
      <c r="CN162" s="2108">
        <v>252.1</v>
      </c>
      <c r="CO162" s="2108">
        <v>258.5</v>
      </c>
      <c r="CP162" s="2108">
        <v>271.2</v>
      </c>
      <c r="CQ162" s="2108">
        <v>277.3</v>
      </c>
      <c r="CR162" s="2108">
        <v>277.3</v>
      </c>
      <c r="CS162" s="2108">
        <v>287.3</v>
      </c>
      <c r="CT162" s="2108">
        <v>287.7</v>
      </c>
      <c r="CU162" s="2108">
        <v>287.7</v>
      </c>
      <c r="CV162" s="2108">
        <v>300.7</v>
      </c>
      <c r="CW162" s="2108">
        <v>309.39999999999998</v>
      </c>
      <c r="CX162" s="2108">
        <v>309.39999999999998</v>
      </c>
      <c r="CY162" s="2108">
        <v>329.4</v>
      </c>
      <c r="CZ162" s="2108">
        <v>329.4</v>
      </c>
      <c r="DA162" s="2108">
        <v>333.9</v>
      </c>
      <c r="DB162" s="2108">
        <v>338.4</v>
      </c>
      <c r="DC162" s="2108">
        <v>357</v>
      </c>
      <c r="DD162" s="2108">
        <v>361.5</v>
      </c>
      <c r="DE162" s="2108">
        <v>368.2</v>
      </c>
      <c r="DF162" s="2108">
        <v>392.3</v>
      </c>
      <c r="DG162" s="2108">
        <v>399</v>
      </c>
      <c r="DH162" s="2108">
        <v>410.3</v>
      </c>
      <c r="DI162" s="2108">
        <v>421.6</v>
      </c>
      <c r="DJ162" s="2108">
        <v>446.4</v>
      </c>
      <c r="DK162" s="2108">
        <v>446.4</v>
      </c>
      <c r="DL162" s="2108">
        <v>446.4</v>
      </c>
      <c r="DM162" s="2108">
        <v>446.4</v>
      </c>
      <c r="DN162" s="2108">
        <v>468.9</v>
      </c>
      <c r="DO162" s="2108">
        <v>480.2</v>
      </c>
      <c r="DP162" s="2108">
        <v>491.5</v>
      </c>
      <c r="DQ162" s="2108">
        <v>529.79999999999995</v>
      </c>
      <c r="DR162" s="2108">
        <v>552.29999999999995</v>
      </c>
      <c r="DS162" s="2108">
        <v>563.6</v>
      </c>
      <c r="DT162" s="2108">
        <v>597.4</v>
      </c>
      <c r="DU162" s="2108">
        <v>597.4</v>
      </c>
      <c r="DV162" s="2108">
        <v>597.4</v>
      </c>
      <c r="DW162" s="2108">
        <v>662.8</v>
      </c>
      <c r="DX162" s="2108">
        <v>662.8</v>
      </c>
      <c r="DY162" s="2108">
        <v>703.4</v>
      </c>
      <c r="DZ162" s="2108">
        <v>703.4</v>
      </c>
      <c r="EA162" s="2108">
        <v>714.7</v>
      </c>
      <c r="EB162" s="2108">
        <v>753</v>
      </c>
      <c r="EC162" s="2108">
        <v>786.8</v>
      </c>
      <c r="ED162" s="2108">
        <v>902.2</v>
      </c>
      <c r="EE162" s="2108">
        <v>902.2</v>
      </c>
      <c r="EF162" s="2108">
        <v>966</v>
      </c>
      <c r="EG162" s="2108">
        <v>966</v>
      </c>
      <c r="EH162" s="2108">
        <v>977.8</v>
      </c>
      <c r="EI162" s="2108">
        <v>977.8</v>
      </c>
      <c r="EJ162" s="2108">
        <v>1036.9000000000001</v>
      </c>
      <c r="EK162" s="2108">
        <v>1036.9000000000001</v>
      </c>
      <c r="EL162" s="2108">
        <v>1048.7</v>
      </c>
      <c r="EM162" s="2108">
        <v>1048.7</v>
      </c>
      <c r="EN162" s="2108">
        <v>1072.3</v>
      </c>
      <c r="EO162" s="2108">
        <v>1072.3</v>
      </c>
      <c r="EP162" s="2108">
        <v>1150.2</v>
      </c>
      <c r="EQ162" s="2108">
        <v>1173.9000000000001</v>
      </c>
      <c r="ER162" s="2108">
        <v>1197.5</v>
      </c>
      <c r="ES162" s="2108">
        <v>1256.5</v>
      </c>
      <c r="ET162" s="2108">
        <v>1256.5</v>
      </c>
      <c r="EU162" s="2108">
        <v>1256.5</v>
      </c>
      <c r="EV162" s="2108">
        <v>1315.6</v>
      </c>
      <c r="EW162" s="2108">
        <v>1419.5</v>
      </c>
      <c r="EX162" s="2108">
        <v>1419.5</v>
      </c>
      <c r="EY162" s="2108">
        <v>1419.5</v>
      </c>
      <c r="EZ162" s="2108">
        <v>1419.5</v>
      </c>
      <c r="FA162" s="2157" t="s">
        <v>872</v>
      </c>
      <c r="FB162" s="2157" t="s">
        <v>872</v>
      </c>
      <c r="FC162" s="2157" t="s">
        <v>872</v>
      </c>
      <c r="FD162" s="2157" t="s">
        <v>872</v>
      </c>
      <c r="FE162" s="2157" t="s">
        <v>872</v>
      </c>
      <c r="FF162" s="2157" t="s">
        <v>872</v>
      </c>
      <c r="FG162" s="2157" t="s">
        <v>872</v>
      </c>
      <c r="FH162" s="2157" t="s">
        <v>872</v>
      </c>
      <c r="FI162" s="2157" t="s">
        <v>872</v>
      </c>
      <c r="FJ162" s="2157" t="s">
        <v>872</v>
      </c>
      <c r="FK162" s="2157" t="s">
        <v>872</v>
      </c>
      <c r="FL162" s="2157" t="s">
        <v>872</v>
      </c>
      <c r="FM162" s="2157" t="s">
        <v>872</v>
      </c>
      <c r="FN162" s="2157" t="s">
        <v>872</v>
      </c>
      <c r="FO162" s="2157" t="s">
        <v>872</v>
      </c>
      <c r="FP162" s="2157" t="s">
        <v>872</v>
      </c>
      <c r="FQ162" s="2157" t="s">
        <v>872</v>
      </c>
      <c r="FR162" s="2157" t="s">
        <v>872</v>
      </c>
      <c r="FS162" s="2157" t="s">
        <v>872</v>
      </c>
      <c r="FT162" s="2157" t="s">
        <v>872</v>
      </c>
      <c r="FU162" s="2157" t="s">
        <v>872</v>
      </c>
      <c r="FV162" s="2157" t="s">
        <v>872</v>
      </c>
      <c r="FW162" s="2157" t="s">
        <v>872</v>
      </c>
      <c r="FX162" s="2157" t="s">
        <v>872</v>
      </c>
      <c r="FY162" s="2157" t="s">
        <v>872</v>
      </c>
      <c r="FZ162" s="2157" t="s">
        <v>872</v>
      </c>
      <c r="GA162" s="2157" t="s">
        <v>872</v>
      </c>
      <c r="GB162" s="2157" t="s">
        <v>872</v>
      </c>
      <c r="GC162" s="2157" t="s">
        <v>872</v>
      </c>
      <c r="GD162" s="2157" t="s">
        <v>872</v>
      </c>
      <c r="GE162" s="2157" t="s">
        <v>872</v>
      </c>
      <c r="GF162" s="2158" t="s">
        <v>872</v>
      </c>
      <c r="GG162" s="1960" t="s">
        <v>872</v>
      </c>
      <c r="GH162" s="2114" t="s">
        <v>872</v>
      </c>
      <c r="GI162" s="2114" t="s">
        <v>872</v>
      </c>
      <c r="GJ162" s="2113" t="s">
        <v>872</v>
      </c>
      <c r="GK162" s="2113" t="s">
        <v>872</v>
      </c>
      <c r="GL162" s="2113" t="s">
        <v>872</v>
      </c>
      <c r="GM162" s="2114" t="s">
        <v>872</v>
      </c>
      <c r="GN162" s="2114" t="s">
        <v>853</v>
      </c>
      <c r="GO162" s="2115" t="s">
        <v>853</v>
      </c>
      <c r="GP162" s="2116" t="s">
        <v>853</v>
      </c>
      <c r="GQ162" s="2116" t="s">
        <v>853</v>
      </c>
      <c r="GR162" s="2116" t="s">
        <v>853</v>
      </c>
      <c r="GS162" s="2116" t="s">
        <v>853</v>
      </c>
      <c r="GT162" s="1960" t="s">
        <v>853</v>
      </c>
      <c r="GU162" s="1960" t="s">
        <v>853</v>
      </c>
      <c r="GV162" s="1960" t="s">
        <v>853</v>
      </c>
      <c r="GW162" s="1960" t="s">
        <v>853</v>
      </c>
      <c r="GX162" s="1960" t="s">
        <v>853</v>
      </c>
      <c r="GY162" s="1960" t="s">
        <v>853</v>
      </c>
      <c r="GZ162" s="1960" t="s">
        <v>853</v>
      </c>
      <c r="HA162" s="1960" t="s">
        <v>853</v>
      </c>
      <c r="HB162" s="1960" t="s">
        <v>853</v>
      </c>
      <c r="HC162" s="1960" t="s">
        <v>853</v>
      </c>
      <c r="HD162" s="1960" t="s">
        <v>853</v>
      </c>
      <c r="HE162" s="1960" t="s">
        <v>853</v>
      </c>
      <c r="HF162" s="1960" t="s">
        <v>853</v>
      </c>
      <c r="HG162" s="1960" t="s">
        <v>853</v>
      </c>
      <c r="HH162" s="2117" t="s">
        <v>853</v>
      </c>
      <c r="HI162" s="1960" t="s">
        <v>853</v>
      </c>
      <c r="HJ162" s="1960" t="s">
        <v>853</v>
      </c>
      <c r="HK162" s="1960" t="s">
        <v>853</v>
      </c>
      <c r="HL162" s="1960" t="s">
        <v>853</v>
      </c>
      <c r="HM162" s="1960" t="s">
        <v>853</v>
      </c>
      <c r="HN162" s="1960" t="s">
        <v>853</v>
      </c>
      <c r="HO162" s="1960" t="s">
        <v>853</v>
      </c>
      <c r="HP162" s="1960" t="s">
        <v>853</v>
      </c>
      <c r="HQ162" s="1960" t="s">
        <v>481</v>
      </c>
      <c r="HR162" s="1960" t="s">
        <v>481</v>
      </c>
      <c r="HS162" s="1960"/>
      <c r="HT162" s="1962"/>
      <c r="HU162" s="1961"/>
      <c r="HV162" s="1960">
        <v>0</v>
      </c>
      <c r="HW162" s="1960">
        <v>0</v>
      </c>
      <c r="HX162" s="1960">
        <v>0</v>
      </c>
      <c r="HY162" s="1960">
        <v>0</v>
      </c>
      <c r="HZ162" s="1960">
        <v>0</v>
      </c>
      <c r="IA162" s="1960">
        <v>0</v>
      </c>
      <c r="IB162" s="1960">
        <v>0</v>
      </c>
      <c r="IC162" s="1960">
        <v>0</v>
      </c>
      <c r="ID162" s="1960">
        <v>0</v>
      </c>
      <c r="IE162" s="1960">
        <v>0</v>
      </c>
      <c r="IF162" s="1960">
        <v>0</v>
      </c>
      <c r="IG162" s="1961">
        <v>0</v>
      </c>
      <c r="IH162" s="1960">
        <v>0</v>
      </c>
      <c r="II162" s="1960">
        <v>0</v>
      </c>
      <c r="IJ162" s="1961">
        <v>0</v>
      </c>
      <c r="IK162" s="1960">
        <v>0</v>
      </c>
      <c r="IL162" s="1960">
        <v>0</v>
      </c>
      <c r="IM162" s="1960">
        <v>0</v>
      </c>
      <c r="IN162" s="1960">
        <v>0</v>
      </c>
      <c r="IO162" s="1960">
        <v>0</v>
      </c>
      <c r="IP162" s="1960">
        <v>0</v>
      </c>
      <c r="IQ162" s="1960">
        <v>0</v>
      </c>
      <c r="IR162" s="1960">
        <v>0</v>
      </c>
      <c r="IS162" s="2274">
        <v>0</v>
      </c>
      <c r="IT162" s="1960">
        <v>0</v>
      </c>
      <c r="IU162" s="1960">
        <v>0</v>
      </c>
      <c r="IV162" s="1960">
        <v>0</v>
      </c>
      <c r="IW162" s="1960">
        <v>0</v>
      </c>
      <c r="IX162" s="1960">
        <v>0</v>
      </c>
      <c r="IY162" s="1960">
        <v>0</v>
      </c>
      <c r="IZ162" s="1960">
        <v>0</v>
      </c>
      <c r="JA162" s="1960">
        <v>0</v>
      </c>
      <c r="JB162" s="1960">
        <v>0</v>
      </c>
      <c r="JC162" s="1960">
        <v>0</v>
      </c>
      <c r="JD162" s="1960">
        <v>0</v>
      </c>
      <c r="JE162" s="2274">
        <v>0</v>
      </c>
      <c r="JF162" s="2117">
        <v>0</v>
      </c>
      <c r="JG162" s="2103" t="e">
        <f t="shared" si="14"/>
        <v>#DIV/0!</v>
      </c>
      <c r="JI162" s="2155"/>
      <c r="JJ162" s="2104"/>
    </row>
    <row r="163" spans="2:271" ht="29.45" customHeight="1">
      <c r="B163" s="2105">
        <v>209</v>
      </c>
      <c r="C163" s="2106" t="s">
        <v>357</v>
      </c>
      <c r="D163" s="2425" t="s">
        <v>1245</v>
      </c>
      <c r="E163" s="2128" t="s">
        <v>358</v>
      </c>
      <c r="F163" s="2106" t="s">
        <v>918</v>
      </c>
      <c r="G163" s="2425" t="s">
        <v>1112</v>
      </c>
      <c r="H163" s="2106" t="s">
        <v>919</v>
      </c>
      <c r="I163" s="2106"/>
      <c r="J163" s="2127" t="s">
        <v>431</v>
      </c>
      <c r="K163" s="2425"/>
      <c r="L163" s="2110">
        <v>79.19</v>
      </c>
      <c r="M163" s="2110">
        <v>79.19</v>
      </c>
      <c r="N163" s="2110">
        <v>86.36</v>
      </c>
      <c r="O163" s="2110">
        <v>96.83</v>
      </c>
      <c r="P163" s="2110">
        <v>108.06</v>
      </c>
      <c r="Q163" s="2110">
        <v>116.17</v>
      </c>
      <c r="R163" s="2110">
        <v>123.32</v>
      </c>
      <c r="S163" s="2110">
        <v>127.11</v>
      </c>
      <c r="T163" s="2110">
        <v>125.13</v>
      </c>
      <c r="U163" s="2110">
        <v>130.59</v>
      </c>
      <c r="V163" s="2110">
        <v>130.59</v>
      </c>
      <c r="W163" s="2110">
        <v>130.59</v>
      </c>
      <c r="X163" s="2110">
        <v>130.59</v>
      </c>
      <c r="Y163" s="2110">
        <v>130.59</v>
      </c>
      <c r="Z163" s="2110">
        <v>129.09</v>
      </c>
      <c r="AA163" s="2110">
        <v>134.30000000000001</v>
      </c>
      <c r="AB163" s="2110">
        <v>134.30000000000001</v>
      </c>
      <c r="AC163" s="2110">
        <v>134.30000000000001</v>
      </c>
      <c r="AD163" s="2110">
        <v>134.30000000000001</v>
      </c>
      <c r="AE163" s="2110">
        <v>134.30000000000001</v>
      </c>
      <c r="AF163" s="2110">
        <v>134.30000000000001</v>
      </c>
      <c r="AG163" s="2110">
        <v>134.30000000000001</v>
      </c>
      <c r="AH163" s="2110">
        <v>134.30000000000001</v>
      </c>
      <c r="AI163" s="2110">
        <v>134.30000000000001</v>
      </c>
      <c r="AJ163" s="2110">
        <v>134.30000000000001</v>
      </c>
      <c r="AK163" s="2110">
        <v>136.22999999999999</v>
      </c>
      <c r="AL163" s="2110">
        <v>139.13999999999999</v>
      </c>
      <c r="AM163" s="2110">
        <v>139.13999999999999</v>
      </c>
      <c r="AN163" s="2110">
        <v>148.38</v>
      </c>
      <c r="AO163" s="2110">
        <v>148.38</v>
      </c>
      <c r="AP163" s="2110">
        <v>152.79</v>
      </c>
      <c r="AQ163" s="2110">
        <v>157.22</v>
      </c>
      <c r="AR163" s="2110">
        <v>155.32</v>
      </c>
      <c r="AS163" s="2110">
        <v>158.15</v>
      </c>
      <c r="AT163" s="2110">
        <v>158.15</v>
      </c>
      <c r="AU163" s="2110">
        <v>158.15</v>
      </c>
      <c r="AV163" s="2110">
        <v>158.15</v>
      </c>
      <c r="AW163" s="2111">
        <v>163.25</v>
      </c>
      <c r="AX163" s="2111">
        <v>166.82</v>
      </c>
      <c r="AY163" s="2111">
        <v>166.82</v>
      </c>
      <c r="AZ163" s="2111">
        <v>170.79</v>
      </c>
      <c r="BA163" s="2111">
        <v>171.48</v>
      </c>
      <c r="BB163" s="2111">
        <v>171.48</v>
      </c>
      <c r="BC163" s="2111">
        <v>171.48</v>
      </c>
      <c r="BD163" s="2112">
        <v>173.44</v>
      </c>
      <c r="BE163" s="2111">
        <v>173.44</v>
      </c>
      <c r="BF163" s="2112">
        <v>178.02</v>
      </c>
      <c r="BG163" s="2112">
        <v>182.22</v>
      </c>
      <c r="BH163" s="2159">
        <v>182.22</v>
      </c>
      <c r="BI163" s="2108">
        <v>189.27</v>
      </c>
      <c r="BJ163" s="2108">
        <v>189.27</v>
      </c>
      <c r="BK163" s="2108">
        <v>193.76</v>
      </c>
      <c r="BL163" s="2108">
        <v>193.76</v>
      </c>
      <c r="BM163" s="2108">
        <v>193.76</v>
      </c>
      <c r="BN163" s="2108">
        <v>193.76</v>
      </c>
      <c r="BO163" s="2108">
        <v>200.08</v>
      </c>
      <c r="BP163" s="2108">
        <v>202.16</v>
      </c>
      <c r="BQ163" s="2108">
        <v>204.45</v>
      </c>
      <c r="BR163" s="2108">
        <v>204.45</v>
      </c>
      <c r="BS163" s="2108">
        <v>204.45</v>
      </c>
      <c r="BT163" s="2108">
        <v>204.45</v>
      </c>
      <c r="BU163" s="2108">
        <v>210.04</v>
      </c>
      <c r="BV163" s="2108">
        <v>210.04</v>
      </c>
      <c r="BW163" s="2108">
        <v>211.7</v>
      </c>
      <c r="BX163" s="2108">
        <v>211.39</v>
      </c>
      <c r="BY163" s="2108">
        <v>216.62</v>
      </c>
      <c r="BZ163" s="2108">
        <v>216.62</v>
      </c>
      <c r="CA163" s="2108">
        <v>231.48</v>
      </c>
      <c r="CB163" s="2108">
        <v>231.48</v>
      </c>
      <c r="CC163" s="2108">
        <v>232.93</v>
      </c>
      <c r="CD163" s="2108">
        <v>233.85</v>
      </c>
      <c r="CE163" s="2108">
        <v>238.11</v>
      </c>
      <c r="CF163" s="2108">
        <v>244.67</v>
      </c>
      <c r="CG163" s="2108">
        <v>263.70999999999998</v>
      </c>
      <c r="CH163" s="2108">
        <v>263.70999999999998</v>
      </c>
      <c r="CI163" s="2108">
        <v>265.42</v>
      </c>
      <c r="CJ163" s="2108">
        <v>268.27999999999997</v>
      </c>
      <c r="CK163" s="2108">
        <v>269.70999999999998</v>
      </c>
      <c r="CL163" s="2108">
        <v>279.39999999999998</v>
      </c>
      <c r="CM163" s="2108">
        <v>286.8</v>
      </c>
      <c r="CN163" s="2108">
        <v>289.92</v>
      </c>
      <c r="CO163" s="2108">
        <v>291.45</v>
      </c>
      <c r="CP163" s="2108">
        <v>291.45</v>
      </c>
      <c r="CQ163" s="2108">
        <v>294.33</v>
      </c>
      <c r="CR163" s="2108">
        <v>294.33</v>
      </c>
      <c r="CS163" s="2108">
        <v>294.33</v>
      </c>
      <c r="CT163" s="2108">
        <v>294.33</v>
      </c>
      <c r="CU163" s="2108">
        <v>300.77999999999997</v>
      </c>
      <c r="CV163" s="2108">
        <v>301.83</v>
      </c>
      <c r="CW163" s="2108">
        <v>301.83</v>
      </c>
      <c r="CX163" s="2108">
        <v>301.83</v>
      </c>
      <c r="CY163" s="2108">
        <v>314.93</v>
      </c>
      <c r="CZ163" s="2108">
        <v>317.88</v>
      </c>
      <c r="DA163" s="2108">
        <v>317.88</v>
      </c>
      <c r="DB163" s="2108">
        <v>320.95999999999998</v>
      </c>
      <c r="DC163" s="2108">
        <v>307.20999999999998</v>
      </c>
      <c r="DD163" s="2108">
        <v>307.20999999999998</v>
      </c>
      <c r="DE163" s="2108">
        <v>307.77</v>
      </c>
      <c r="DF163" s="2108">
        <v>307.77</v>
      </c>
      <c r="DG163" s="2108">
        <v>309.66000000000003</v>
      </c>
      <c r="DH163" s="2108">
        <v>317.17</v>
      </c>
      <c r="DI163" s="2108">
        <v>331.7</v>
      </c>
      <c r="DJ163" s="2108">
        <v>331.7</v>
      </c>
      <c r="DK163" s="2108">
        <v>334.58</v>
      </c>
      <c r="DL163" s="2108">
        <v>334.58</v>
      </c>
      <c r="DM163" s="2108">
        <v>337.3</v>
      </c>
      <c r="DN163" s="2108">
        <v>358.48</v>
      </c>
      <c r="DO163" s="2108">
        <v>361.33</v>
      </c>
      <c r="DP163" s="2108">
        <v>368.93</v>
      </c>
      <c r="DQ163" s="2108">
        <v>368.93</v>
      </c>
      <c r="DR163" s="2108">
        <v>381.37</v>
      </c>
      <c r="DS163" s="2108">
        <v>381.75</v>
      </c>
      <c r="DT163" s="2108">
        <v>382.78</v>
      </c>
      <c r="DU163" s="2108">
        <v>389.51</v>
      </c>
      <c r="DV163" s="2108">
        <v>392.91</v>
      </c>
      <c r="DW163" s="2108">
        <v>420.11</v>
      </c>
      <c r="DX163" s="2108">
        <v>420.11</v>
      </c>
      <c r="DY163" s="2108">
        <v>422.77</v>
      </c>
      <c r="DZ163" s="2108">
        <v>422.77</v>
      </c>
      <c r="EA163" s="2108">
        <v>432.34</v>
      </c>
      <c r="EB163" s="2108">
        <v>435.52</v>
      </c>
      <c r="EC163" s="2108">
        <v>438.67</v>
      </c>
      <c r="ED163" s="2108">
        <v>467.54</v>
      </c>
      <c r="EE163" s="2108">
        <v>444.53</v>
      </c>
      <c r="EF163" s="2108">
        <v>454.36</v>
      </c>
      <c r="EG163" s="2108">
        <v>457.28</v>
      </c>
      <c r="EH163" s="2108">
        <v>484.27</v>
      </c>
      <c r="EI163" s="2108">
        <v>484.27</v>
      </c>
      <c r="EJ163" s="2108">
        <v>489.4</v>
      </c>
      <c r="EK163" s="2108">
        <v>491.73</v>
      </c>
      <c r="EL163" s="2108">
        <v>491.73</v>
      </c>
      <c r="EM163" s="2108">
        <v>502.84</v>
      </c>
      <c r="EN163" s="2108">
        <v>516.54999999999995</v>
      </c>
      <c r="EO163" s="2108">
        <v>522.12</v>
      </c>
      <c r="EP163" s="2108">
        <v>530.07000000000005</v>
      </c>
      <c r="EQ163" s="2108">
        <v>531.16</v>
      </c>
      <c r="ER163" s="2108">
        <v>535</v>
      </c>
      <c r="ES163" s="2108">
        <v>536.80999999999995</v>
      </c>
      <c r="ET163" s="2108">
        <v>540.07000000000005</v>
      </c>
      <c r="EU163" s="2108">
        <v>540.07000000000005</v>
      </c>
      <c r="EV163" s="2108">
        <v>542.11</v>
      </c>
      <c r="EW163" s="2108">
        <v>544.49</v>
      </c>
      <c r="EX163" s="2108">
        <v>544.49</v>
      </c>
      <c r="EY163" s="2108">
        <v>556.04999999999995</v>
      </c>
      <c r="EZ163" s="2108">
        <v>560.4</v>
      </c>
      <c r="FA163" s="2108">
        <v>561.89</v>
      </c>
      <c r="FB163" s="2108">
        <v>613.33000000000004</v>
      </c>
      <c r="FC163" s="2108">
        <v>618.67999999999995</v>
      </c>
      <c r="FD163" s="2108">
        <v>620.4</v>
      </c>
      <c r="FE163" s="2108">
        <v>626.86</v>
      </c>
      <c r="FF163" s="2108">
        <v>655.81</v>
      </c>
      <c r="FG163" s="2108">
        <v>663.84</v>
      </c>
      <c r="FH163" s="2108">
        <v>670.85</v>
      </c>
      <c r="FI163" s="2108">
        <v>677.06</v>
      </c>
      <c r="FJ163" s="2108">
        <v>677.06</v>
      </c>
      <c r="FK163" s="2108">
        <v>687.97</v>
      </c>
      <c r="FL163" s="2108">
        <v>687.97</v>
      </c>
      <c r="FM163" s="2108">
        <v>752.32</v>
      </c>
      <c r="FN163" s="2108">
        <v>759.22</v>
      </c>
      <c r="FO163" s="2108">
        <v>765.79</v>
      </c>
      <c r="FP163" s="2108">
        <v>773.39</v>
      </c>
      <c r="FQ163" s="2108">
        <v>823.11</v>
      </c>
      <c r="FR163" s="2108">
        <v>840.17</v>
      </c>
      <c r="FS163" s="2108">
        <v>852.88</v>
      </c>
      <c r="FT163" s="2108">
        <v>857.55</v>
      </c>
      <c r="FU163" s="2108">
        <v>885.04</v>
      </c>
      <c r="FV163" s="2108">
        <v>908.07</v>
      </c>
      <c r="FW163" s="2113" t="s">
        <v>521</v>
      </c>
      <c r="FX163" s="2113" t="s">
        <v>521</v>
      </c>
      <c r="FY163" s="2113" t="s">
        <v>521</v>
      </c>
      <c r="FZ163" s="2113" t="s">
        <v>521</v>
      </c>
      <c r="GA163" s="2113" t="s">
        <v>521</v>
      </c>
      <c r="GB163" s="2113" t="s">
        <v>521</v>
      </c>
      <c r="GC163" s="2113" t="s">
        <v>521</v>
      </c>
      <c r="GD163" s="2113" t="s">
        <v>521</v>
      </c>
      <c r="GE163" s="2113" t="s">
        <v>521</v>
      </c>
      <c r="GF163" s="2114" t="s">
        <v>521</v>
      </c>
      <c r="GG163" s="1960" t="s">
        <v>521</v>
      </c>
      <c r="GH163" s="2114" t="s">
        <v>521</v>
      </c>
      <c r="GI163" s="2114" t="s">
        <v>521</v>
      </c>
      <c r="GJ163" s="2113" t="s">
        <v>521</v>
      </c>
      <c r="GK163" s="2113" t="s">
        <v>521</v>
      </c>
      <c r="GL163" s="2113" t="s">
        <v>521</v>
      </c>
      <c r="GM163" s="2114" t="s">
        <v>521</v>
      </c>
      <c r="GN163" s="2114" t="s">
        <v>521</v>
      </c>
      <c r="GO163" s="2115" t="s">
        <v>521</v>
      </c>
      <c r="GP163" s="2116" t="s">
        <v>521</v>
      </c>
      <c r="GQ163" s="2116" t="s">
        <v>521</v>
      </c>
      <c r="GR163" s="2116" t="s">
        <v>521</v>
      </c>
      <c r="GS163" s="2116" t="s">
        <v>521</v>
      </c>
      <c r="GT163" s="1960" t="s">
        <v>521</v>
      </c>
      <c r="GU163" s="1960" t="s">
        <v>521</v>
      </c>
      <c r="GV163" s="1960" t="s">
        <v>521</v>
      </c>
      <c r="GW163" s="1960" t="s">
        <v>521</v>
      </c>
      <c r="GX163" s="1960" t="s">
        <v>521</v>
      </c>
      <c r="GY163" s="1960" t="s">
        <v>521</v>
      </c>
      <c r="GZ163" s="1960">
        <v>100</v>
      </c>
      <c r="HA163" s="1960">
        <v>109.60666382848122</v>
      </c>
      <c r="HB163" s="1960">
        <v>114.74202558331888</v>
      </c>
      <c r="HC163" s="1960">
        <v>116.53635288934552</v>
      </c>
      <c r="HD163" s="1960">
        <v>126.39031207256733</v>
      </c>
      <c r="HE163" s="1960">
        <v>138.03179273299548</v>
      </c>
      <c r="HF163" s="1960">
        <v>142.7899017958031</v>
      </c>
      <c r="HG163" s="1960">
        <v>141.8281543532932</v>
      </c>
      <c r="HH163" s="1960">
        <v>144.88298098295726</v>
      </c>
      <c r="HI163" s="1960">
        <v>144.29169614005622</v>
      </c>
      <c r="HJ163" s="1960">
        <v>146.79986659059901</v>
      </c>
      <c r="HK163" s="1960">
        <v>149.77102769447606</v>
      </c>
      <c r="HL163" s="1960">
        <v>155.96994166742954</v>
      </c>
      <c r="HM163" s="1960">
        <v>154.37941281192457</v>
      </c>
      <c r="HN163" s="1960">
        <v>157.50989113891029</v>
      </c>
      <c r="HO163" s="1960">
        <v>161.74166557090689</v>
      </c>
      <c r="HP163" s="1960">
        <v>202.98235700309482</v>
      </c>
      <c r="HQ163" s="1960">
        <v>213.49860571769682</v>
      </c>
      <c r="HR163" s="1960">
        <v>218.70141931108759</v>
      </c>
      <c r="HS163" s="1960">
        <v>222.03989072257519</v>
      </c>
      <c r="HT163" s="1962">
        <v>223.91408868668145</v>
      </c>
      <c r="HU163" s="1961">
        <v>233.19212995253304</v>
      </c>
      <c r="HV163" s="1960">
        <v>234.62664438976043</v>
      </c>
      <c r="HW163" s="1960">
        <v>240.37204086844284</v>
      </c>
      <c r="HX163" s="1960">
        <v>240.53080393547785</v>
      </c>
      <c r="HY163" s="1960">
        <v>240.4627272420818</v>
      </c>
      <c r="HZ163" s="1960">
        <v>244.59795747571454</v>
      </c>
      <c r="IA163" s="1960">
        <v>260.65088888485258</v>
      </c>
      <c r="IB163" s="1960">
        <v>267.36713895224443</v>
      </c>
      <c r="IC163" s="1960">
        <v>275.55126835147229</v>
      </c>
      <c r="ID163" s="1960">
        <v>321.42941675986503</v>
      </c>
      <c r="IE163" s="1960">
        <v>341.0565543605174</v>
      </c>
      <c r="IF163" s="1960">
        <v>351.60425654232603</v>
      </c>
      <c r="IG163" s="1961">
        <v>351.60432527409876</v>
      </c>
      <c r="IH163" s="1960">
        <v>394.32504573326418</v>
      </c>
      <c r="II163" s="1960">
        <v>410.17180572902686</v>
      </c>
      <c r="IJ163" s="1961">
        <v>432.63601811383137</v>
      </c>
      <c r="IK163" s="1960">
        <v>453.70142223204772</v>
      </c>
      <c r="IL163" s="1960">
        <v>474.7009912705301</v>
      </c>
      <c r="IM163" s="1960">
        <v>489.0955452239964</v>
      </c>
      <c r="IN163" s="1960">
        <v>530.55146673488616</v>
      </c>
      <c r="IO163" s="1960">
        <v>536.8914506520747</v>
      </c>
      <c r="IP163" s="1960">
        <v>556.80749464724818</v>
      </c>
      <c r="IQ163" s="1960">
        <v>569.31980539936376</v>
      </c>
      <c r="IR163" s="1960">
        <v>591.74182574992381</v>
      </c>
      <c r="IS163" s="2274">
        <v>642.09480194079504</v>
      </c>
      <c r="IT163" s="1960">
        <v>667.97358071646011</v>
      </c>
      <c r="IU163" s="1960">
        <v>682.27636540412641</v>
      </c>
      <c r="IV163" s="1960">
        <v>707.31623870381748</v>
      </c>
      <c r="IW163" s="1960">
        <v>744.46821587116983</v>
      </c>
      <c r="IX163" s="1960">
        <v>774.57955975025232</v>
      </c>
      <c r="IY163" s="1960">
        <v>860.60410873069293</v>
      </c>
      <c r="IZ163" s="1960">
        <v>936.68454304286035</v>
      </c>
      <c r="JA163" s="1960">
        <v>1207.3560341110303</v>
      </c>
      <c r="JB163" s="1960">
        <v>1248.7332065447017</v>
      </c>
      <c r="JC163" s="1960">
        <v>1386.5506248335878</v>
      </c>
      <c r="JD163" s="1960">
        <v>1449.3371480914041</v>
      </c>
      <c r="JE163" s="2274">
        <v>1502.511246033718</v>
      </c>
      <c r="JF163" s="2117">
        <v>1552.1758916952904</v>
      </c>
      <c r="JG163" s="2103">
        <f t="shared" si="14"/>
        <v>1.033054425244853</v>
      </c>
      <c r="JI163" s="2155"/>
      <c r="JJ163" s="2104"/>
    </row>
    <row r="164" spans="2:271" s="2164" customFormat="1" ht="10.15" hidden="1" customHeight="1">
      <c r="B164" s="2142">
        <v>210</v>
      </c>
      <c r="C164" s="2143"/>
      <c r="D164" s="2425" t="s">
        <v>481</v>
      </c>
      <c r="E164" s="2160" t="s">
        <v>359</v>
      </c>
      <c r="F164" s="2143" t="s">
        <v>918</v>
      </c>
      <c r="G164" s="2143"/>
      <c r="H164" s="2143" t="s">
        <v>336</v>
      </c>
      <c r="I164" s="2143"/>
      <c r="J164" s="2161" t="s">
        <v>337</v>
      </c>
      <c r="K164" s="2145" t="s">
        <v>205</v>
      </c>
      <c r="L164" s="2147">
        <v>100</v>
      </c>
      <c r="M164" s="2147">
        <v>104.52</v>
      </c>
      <c r="N164" s="2147">
        <v>112.91</v>
      </c>
      <c r="O164" s="2147">
        <v>121.36</v>
      </c>
      <c r="P164" s="2147">
        <v>127.51</v>
      </c>
      <c r="Q164" s="2147">
        <v>146.6</v>
      </c>
      <c r="R164" s="2147">
        <v>158.15</v>
      </c>
      <c r="S164" s="2147">
        <v>161.47999999999999</v>
      </c>
      <c r="T164" s="2147">
        <v>163.51</v>
      </c>
      <c r="U164" s="2147">
        <v>163.81</v>
      </c>
      <c r="V164" s="2147">
        <v>164.21</v>
      </c>
      <c r="W164" s="2147">
        <v>164.58</v>
      </c>
      <c r="X164" s="2147">
        <v>164.91</v>
      </c>
      <c r="Y164" s="2147">
        <v>164.36</v>
      </c>
      <c r="Z164" s="2147">
        <v>163.69</v>
      </c>
      <c r="AA164" s="2147">
        <v>164.47</v>
      </c>
      <c r="AB164" s="2147">
        <v>163.36000000000001</v>
      </c>
      <c r="AC164" s="2147">
        <v>163.85</v>
      </c>
      <c r="AD164" s="2147">
        <v>163.65</v>
      </c>
      <c r="AE164" s="2147">
        <v>164.74</v>
      </c>
      <c r="AF164" s="2147">
        <v>166.22</v>
      </c>
      <c r="AG164" s="2147">
        <v>166.25</v>
      </c>
      <c r="AH164" s="2147">
        <v>166.87</v>
      </c>
      <c r="AI164" s="2147">
        <v>167.69</v>
      </c>
      <c r="AJ164" s="2147">
        <v>169.14</v>
      </c>
      <c r="AK164" s="2147">
        <v>171.7</v>
      </c>
      <c r="AL164" s="2147">
        <v>175.27</v>
      </c>
      <c r="AM164" s="2147">
        <v>178.15</v>
      </c>
      <c r="AN164" s="2147">
        <v>180.11</v>
      </c>
      <c r="AO164" s="2147">
        <v>181.73</v>
      </c>
      <c r="AP164" s="2147">
        <v>183.24</v>
      </c>
      <c r="AQ164" s="2147">
        <v>184.65</v>
      </c>
      <c r="AR164" s="2147">
        <v>185.27</v>
      </c>
      <c r="AS164" s="2147">
        <v>186.11</v>
      </c>
      <c r="AT164" s="2147">
        <v>187.33</v>
      </c>
      <c r="AU164" s="2147">
        <v>188.1</v>
      </c>
      <c r="AV164" s="2147">
        <v>189.91</v>
      </c>
      <c r="AW164" s="2148">
        <v>187.49</v>
      </c>
      <c r="AX164" s="2148">
        <v>197.58</v>
      </c>
      <c r="AY164" s="2148">
        <v>199.53</v>
      </c>
      <c r="AZ164" s="2148">
        <v>204.52</v>
      </c>
      <c r="BA164" s="2148">
        <v>206.09</v>
      </c>
      <c r="BB164" s="2148">
        <v>207.32</v>
      </c>
      <c r="BC164" s="2148">
        <v>209.44</v>
      </c>
      <c r="BD164" s="2148">
        <v>210.93</v>
      </c>
      <c r="BE164" s="2148">
        <v>213.45</v>
      </c>
      <c r="BF164" s="2148">
        <v>216.4</v>
      </c>
      <c r="BG164" s="2148">
        <v>219.56</v>
      </c>
      <c r="BH164" s="2148">
        <v>223.24</v>
      </c>
      <c r="BI164" s="2150">
        <v>227.77</v>
      </c>
      <c r="BJ164" s="2150">
        <v>231</v>
      </c>
      <c r="BK164" s="2150">
        <v>233.09</v>
      </c>
      <c r="BL164" s="2150">
        <v>235.42</v>
      </c>
      <c r="BM164" s="2150">
        <v>237.69</v>
      </c>
      <c r="BN164" s="2150">
        <v>244.35</v>
      </c>
      <c r="BO164" s="2150">
        <v>246.94</v>
      </c>
      <c r="BP164" s="2150">
        <v>250.01</v>
      </c>
      <c r="BQ164" s="2150">
        <v>255.06</v>
      </c>
      <c r="BR164" s="2150">
        <v>256.81</v>
      </c>
      <c r="BS164" s="2150">
        <v>257.33999999999997</v>
      </c>
      <c r="BT164" s="2150">
        <v>258.94</v>
      </c>
      <c r="BU164" s="2150">
        <v>262.26</v>
      </c>
      <c r="BV164" s="2150">
        <v>264.41000000000003</v>
      </c>
      <c r="BW164" s="2150">
        <v>266.3</v>
      </c>
      <c r="BX164" s="2150">
        <v>269.72000000000003</v>
      </c>
      <c r="BY164" s="2150">
        <v>276.58999999999997</v>
      </c>
      <c r="BZ164" s="2150">
        <v>282.36</v>
      </c>
      <c r="CA164" s="2150">
        <v>286.93</v>
      </c>
      <c r="CB164" s="2150">
        <v>292.44</v>
      </c>
      <c r="CC164" s="2150">
        <v>294.60000000000002</v>
      </c>
      <c r="CD164" s="2150">
        <v>301.08999999999997</v>
      </c>
      <c r="CE164" s="2150">
        <v>302.14</v>
      </c>
      <c r="CF164" s="2150">
        <v>305.08999999999997</v>
      </c>
      <c r="CG164" s="2150">
        <v>308.39999999999998</v>
      </c>
      <c r="CH164" s="2150">
        <v>311.45</v>
      </c>
      <c r="CI164" s="2150">
        <v>315.54000000000002</v>
      </c>
      <c r="CJ164" s="2150">
        <v>319.58999999999997</v>
      </c>
      <c r="CK164" s="2150">
        <v>328.9</v>
      </c>
      <c r="CL164" s="2150">
        <v>332.51</v>
      </c>
      <c r="CM164" s="2150">
        <v>341.08</v>
      </c>
      <c r="CN164" s="2150">
        <v>342.73</v>
      </c>
      <c r="CO164" s="2150">
        <v>347.47</v>
      </c>
      <c r="CP164" s="2150">
        <v>349.74</v>
      </c>
      <c r="CQ164" s="2150">
        <v>351.83</v>
      </c>
      <c r="CR164" s="2150">
        <v>352.5</v>
      </c>
      <c r="CS164" s="2150">
        <v>354.35</v>
      </c>
      <c r="CT164" s="2150">
        <v>355.05</v>
      </c>
      <c r="CU164" s="2150">
        <v>355.94</v>
      </c>
      <c r="CV164" s="2150">
        <v>357.99</v>
      </c>
      <c r="CW164" s="2150">
        <v>361.82</v>
      </c>
      <c r="CX164" s="2150">
        <v>369.34</v>
      </c>
      <c r="CY164" s="2150">
        <v>372.17</v>
      </c>
      <c r="CZ164" s="2150">
        <v>374.33</v>
      </c>
      <c r="DA164" s="2150">
        <v>375.57</v>
      </c>
      <c r="DB164" s="2150">
        <v>385.13</v>
      </c>
      <c r="DC164" s="2150">
        <v>390.06</v>
      </c>
      <c r="DD164" s="2150">
        <v>391.8</v>
      </c>
      <c r="DE164" s="2150">
        <v>393.99</v>
      </c>
      <c r="DF164" s="2150">
        <v>401.95</v>
      </c>
      <c r="DG164" s="2150">
        <v>413.53</v>
      </c>
      <c r="DH164" s="2150">
        <v>410.31</v>
      </c>
      <c r="DI164" s="2150">
        <v>425.29</v>
      </c>
      <c r="DJ164" s="2150">
        <v>431.06</v>
      </c>
      <c r="DK164" s="2150">
        <v>436.13</v>
      </c>
      <c r="DL164" s="2150">
        <v>442.76</v>
      </c>
      <c r="DM164" s="2150">
        <v>447.86</v>
      </c>
      <c r="DN164" s="2150">
        <v>453.37</v>
      </c>
      <c r="DO164" s="2150">
        <v>457.56</v>
      </c>
      <c r="DP164" s="2150">
        <v>467.36</v>
      </c>
      <c r="DQ164" s="2150">
        <v>479.8</v>
      </c>
      <c r="DR164" s="2150">
        <v>486.54</v>
      </c>
      <c r="DS164" s="2150">
        <v>491.08</v>
      </c>
      <c r="DT164" s="2150">
        <v>497.97</v>
      </c>
      <c r="DU164" s="2150">
        <v>505.39</v>
      </c>
      <c r="DV164" s="2150">
        <v>509.41</v>
      </c>
      <c r="DW164" s="2150">
        <v>519.24</v>
      </c>
      <c r="DX164" s="2150">
        <v>525.92999999999995</v>
      </c>
      <c r="DY164" s="2150">
        <v>535.96</v>
      </c>
      <c r="DZ164" s="2150">
        <v>545.63</v>
      </c>
      <c r="EA164" s="2150">
        <v>556.69000000000005</v>
      </c>
      <c r="EB164" s="2150">
        <v>563.33000000000004</v>
      </c>
      <c r="EC164" s="2150">
        <v>575.95000000000005</v>
      </c>
      <c r="ED164" s="2150">
        <v>581.64</v>
      </c>
      <c r="EE164" s="2150">
        <v>585.77</v>
      </c>
      <c r="EF164" s="2150">
        <v>589</v>
      </c>
      <c r="EG164" s="2150">
        <v>581.49</v>
      </c>
      <c r="EH164" s="2150">
        <v>585.5</v>
      </c>
      <c r="EI164" s="2150">
        <v>640.61</v>
      </c>
      <c r="EJ164" s="2150">
        <v>647.26</v>
      </c>
      <c r="EK164" s="2150">
        <v>652.14</v>
      </c>
      <c r="EL164" s="2150">
        <v>657.94</v>
      </c>
      <c r="EM164" s="2150">
        <v>670.72</v>
      </c>
      <c r="EN164" s="2150">
        <v>674.78</v>
      </c>
      <c r="EO164" s="2150">
        <v>677.42</v>
      </c>
      <c r="EP164" s="2150">
        <v>681.53</v>
      </c>
      <c r="EQ164" s="2150">
        <v>688.64</v>
      </c>
      <c r="ER164" s="2150">
        <v>703.93</v>
      </c>
      <c r="ES164" s="2150">
        <v>708.37</v>
      </c>
      <c r="ET164" s="2150">
        <v>746</v>
      </c>
      <c r="EU164" s="2150">
        <v>754.09</v>
      </c>
      <c r="EV164" s="2150">
        <v>761.42</v>
      </c>
      <c r="EW164" s="2150">
        <v>781.91</v>
      </c>
      <c r="EX164" s="2150">
        <v>786.27</v>
      </c>
      <c r="EY164" s="2150">
        <v>790.92</v>
      </c>
      <c r="EZ164" s="2150">
        <v>798.7</v>
      </c>
      <c r="FA164" s="2162" t="s">
        <v>872</v>
      </c>
      <c r="FB164" s="2162" t="s">
        <v>872</v>
      </c>
      <c r="FC164" s="2162" t="s">
        <v>872</v>
      </c>
      <c r="FD164" s="2162" t="s">
        <v>872</v>
      </c>
      <c r="FE164" s="2162" t="s">
        <v>872</v>
      </c>
      <c r="FF164" s="2162" t="s">
        <v>872</v>
      </c>
      <c r="FG164" s="2162" t="s">
        <v>872</v>
      </c>
      <c r="FH164" s="2162" t="s">
        <v>872</v>
      </c>
      <c r="FI164" s="2162" t="s">
        <v>872</v>
      </c>
      <c r="FJ164" s="2162" t="s">
        <v>872</v>
      </c>
      <c r="FK164" s="2162" t="s">
        <v>872</v>
      </c>
      <c r="FL164" s="2162" t="s">
        <v>872</v>
      </c>
      <c r="FM164" s="2162" t="s">
        <v>872</v>
      </c>
      <c r="FN164" s="2162" t="s">
        <v>872</v>
      </c>
      <c r="FO164" s="2162" t="s">
        <v>872</v>
      </c>
      <c r="FP164" s="2162" t="s">
        <v>872</v>
      </c>
      <c r="FQ164" s="2162" t="s">
        <v>872</v>
      </c>
      <c r="FR164" s="2162" t="s">
        <v>872</v>
      </c>
      <c r="FS164" s="2162" t="s">
        <v>872</v>
      </c>
      <c r="FT164" s="2162" t="s">
        <v>872</v>
      </c>
      <c r="FU164" s="2162" t="s">
        <v>872</v>
      </c>
      <c r="FV164" s="2162" t="s">
        <v>872</v>
      </c>
      <c r="FW164" s="2162" t="s">
        <v>872</v>
      </c>
      <c r="FX164" s="2162" t="s">
        <v>872</v>
      </c>
      <c r="FY164" s="2162" t="s">
        <v>872</v>
      </c>
      <c r="FZ164" s="2162" t="s">
        <v>872</v>
      </c>
      <c r="GA164" s="2162" t="s">
        <v>872</v>
      </c>
      <c r="GB164" s="2162" t="s">
        <v>872</v>
      </c>
      <c r="GC164" s="2162" t="s">
        <v>872</v>
      </c>
      <c r="GD164" s="2162" t="s">
        <v>872</v>
      </c>
      <c r="GE164" s="2162" t="s">
        <v>872</v>
      </c>
      <c r="GF164" s="2163" t="s">
        <v>872</v>
      </c>
      <c r="GG164" s="1964" t="s">
        <v>872</v>
      </c>
      <c r="GH164" s="2151" t="s">
        <v>872</v>
      </c>
      <c r="GI164" s="2151" t="s">
        <v>872</v>
      </c>
      <c r="GJ164" s="2150" t="s">
        <v>872</v>
      </c>
      <c r="GK164" s="2150" t="s">
        <v>872</v>
      </c>
      <c r="GL164" s="2150" t="s">
        <v>872</v>
      </c>
      <c r="GM164" s="2151" t="s">
        <v>872</v>
      </c>
      <c r="GN164" s="2151" t="s">
        <v>853</v>
      </c>
      <c r="GO164" s="2152" t="s">
        <v>853</v>
      </c>
      <c r="GP164" s="2153" t="s">
        <v>853</v>
      </c>
      <c r="GQ164" s="2153" t="s">
        <v>853</v>
      </c>
      <c r="GR164" s="2153" t="s">
        <v>853</v>
      </c>
      <c r="GS164" s="2153" t="s">
        <v>853</v>
      </c>
      <c r="GT164" s="1964" t="s">
        <v>853</v>
      </c>
      <c r="GU164" s="1964" t="s">
        <v>853</v>
      </c>
      <c r="GV164" s="1964" t="s">
        <v>853</v>
      </c>
      <c r="GW164" s="1964" t="s">
        <v>853</v>
      </c>
      <c r="GX164" s="1964" t="s">
        <v>853</v>
      </c>
      <c r="GY164" s="1964" t="s">
        <v>853</v>
      </c>
      <c r="GZ164" s="1964" t="s">
        <v>853</v>
      </c>
      <c r="HA164" s="1964" t="s">
        <v>853</v>
      </c>
      <c r="HB164" s="1964" t="s">
        <v>853</v>
      </c>
      <c r="HC164" s="1964" t="s">
        <v>853</v>
      </c>
      <c r="HD164" s="1964" t="s">
        <v>853</v>
      </c>
      <c r="HE164" s="1964" t="s">
        <v>853</v>
      </c>
      <c r="HF164" s="1964" t="s">
        <v>853</v>
      </c>
      <c r="HG164" s="1964" t="s">
        <v>853</v>
      </c>
      <c r="HH164" s="2154" t="s">
        <v>853</v>
      </c>
      <c r="HI164" s="1964" t="s">
        <v>853</v>
      </c>
      <c r="HJ164" s="1964" t="s">
        <v>853</v>
      </c>
      <c r="HK164" s="1964" t="s">
        <v>853</v>
      </c>
      <c r="HL164" s="1964" t="s">
        <v>853</v>
      </c>
      <c r="HM164" s="1964" t="s">
        <v>853</v>
      </c>
      <c r="HN164" s="1964" t="s">
        <v>853</v>
      </c>
      <c r="HO164" s="1964" t="s">
        <v>853</v>
      </c>
      <c r="HP164" s="1960" t="s">
        <v>481</v>
      </c>
      <c r="HQ164" s="1960" t="s">
        <v>481</v>
      </c>
      <c r="HR164" s="1960" t="s">
        <v>481</v>
      </c>
      <c r="HS164" s="1960"/>
      <c r="HT164" s="1962"/>
      <c r="HU164" s="1961"/>
      <c r="HV164" s="1960">
        <v>0</v>
      </c>
      <c r="HW164" s="1960">
        <v>0</v>
      </c>
      <c r="HX164" s="1960">
        <v>0</v>
      </c>
      <c r="HY164" s="1960">
        <v>0</v>
      </c>
      <c r="HZ164" s="1960">
        <v>0</v>
      </c>
      <c r="IA164" s="1960">
        <v>0</v>
      </c>
      <c r="IB164" s="1960">
        <v>0</v>
      </c>
      <c r="IC164" s="1960">
        <v>0</v>
      </c>
      <c r="ID164" s="1960">
        <v>0</v>
      </c>
      <c r="IE164" s="1960">
        <v>0</v>
      </c>
      <c r="IF164" s="1960">
        <v>0</v>
      </c>
      <c r="IG164" s="1961">
        <v>0</v>
      </c>
      <c r="IH164" s="1960">
        <v>0</v>
      </c>
      <c r="II164" s="1960">
        <v>0</v>
      </c>
      <c r="IJ164" s="1961">
        <v>0</v>
      </c>
      <c r="IK164" s="1960">
        <v>0</v>
      </c>
      <c r="IL164" s="1960">
        <v>0</v>
      </c>
      <c r="IM164" s="1960">
        <v>0</v>
      </c>
      <c r="IN164" s="1960">
        <v>0</v>
      </c>
      <c r="IO164" s="1960">
        <v>0</v>
      </c>
      <c r="IP164" s="1960">
        <v>0</v>
      </c>
      <c r="IQ164" s="1960">
        <v>0</v>
      </c>
      <c r="IR164" s="1960">
        <v>0</v>
      </c>
      <c r="IS164" s="2274">
        <v>0</v>
      </c>
      <c r="IT164" s="1960">
        <v>0</v>
      </c>
      <c r="IU164" s="1960">
        <v>0</v>
      </c>
      <c r="IV164" s="1960">
        <v>0</v>
      </c>
      <c r="IW164" s="1960">
        <v>0</v>
      </c>
      <c r="IX164" s="1960">
        <v>0</v>
      </c>
      <c r="IY164" s="1960">
        <v>0</v>
      </c>
      <c r="IZ164" s="1960">
        <v>0</v>
      </c>
      <c r="JA164" s="1960">
        <v>0</v>
      </c>
      <c r="JB164" s="1960">
        <v>0</v>
      </c>
      <c r="JC164" s="1960">
        <v>0</v>
      </c>
      <c r="JD164" s="1960">
        <v>0</v>
      </c>
      <c r="JE164" s="2274">
        <v>0</v>
      </c>
      <c r="JF164" s="2117">
        <v>0</v>
      </c>
      <c r="JG164" s="2103" t="e">
        <f t="shared" si="14"/>
        <v>#DIV/0!</v>
      </c>
      <c r="JI164" s="2528"/>
      <c r="JJ164" s="2104"/>
      <c r="JK164" s="2528"/>
    </row>
    <row r="165" spans="2:271" ht="23.25" customHeight="1">
      <c r="B165" s="2105">
        <v>211</v>
      </c>
      <c r="C165" s="2106" t="s">
        <v>759</v>
      </c>
      <c r="D165" s="2425" t="s">
        <v>1246</v>
      </c>
      <c r="E165" s="2128" t="s">
        <v>760</v>
      </c>
      <c r="F165" s="2106" t="s">
        <v>918</v>
      </c>
      <c r="G165" s="2425" t="s">
        <v>1112</v>
      </c>
      <c r="H165" s="2106" t="s">
        <v>919</v>
      </c>
      <c r="I165" s="2106"/>
      <c r="J165" s="2127" t="s">
        <v>687</v>
      </c>
      <c r="K165" s="2425"/>
      <c r="L165" s="2409"/>
      <c r="M165" s="2409"/>
      <c r="N165" s="2409"/>
      <c r="O165" s="2409"/>
      <c r="P165" s="2409"/>
      <c r="Q165" s="2409"/>
      <c r="R165" s="2409"/>
      <c r="S165" s="2409"/>
      <c r="T165" s="2409"/>
      <c r="U165" s="2409"/>
      <c r="V165" s="2409"/>
      <c r="W165" s="2409"/>
      <c r="X165" s="2409"/>
      <c r="Y165" s="2409"/>
      <c r="Z165" s="2409"/>
      <c r="AA165" s="2409"/>
      <c r="AB165" s="2409"/>
      <c r="AC165" s="2409"/>
      <c r="AD165" s="2409"/>
      <c r="AE165" s="2409"/>
      <c r="AF165" s="2409"/>
      <c r="AG165" s="2409"/>
      <c r="AH165" s="2409"/>
      <c r="AI165" s="2409"/>
      <c r="AJ165" s="2409"/>
      <c r="AK165" s="2409"/>
      <c r="AL165" s="2409"/>
      <c r="AM165" s="2409"/>
      <c r="AN165" s="2409"/>
      <c r="AO165" s="2409"/>
      <c r="AP165" s="2409"/>
      <c r="AQ165" s="2409"/>
      <c r="AR165" s="2409"/>
      <c r="AS165" s="2409"/>
      <c r="AT165" s="2409"/>
      <c r="AU165" s="2409"/>
      <c r="AV165" s="2409"/>
      <c r="AW165" s="2410"/>
      <c r="AX165" s="2410"/>
      <c r="AY165" s="2410"/>
      <c r="AZ165" s="2410"/>
      <c r="BA165" s="2410"/>
      <c r="BB165" s="2410"/>
      <c r="BC165" s="2410"/>
      <c r="BD165" s="2411"/>
      <c r="BE165" s="2410"/>
      <c r="BF165" s="2411"/>
      <c r="BG165" s="2411"/>
      <c r="BH165" s="2411"/>
      <c r="BI165" s="2412"/>
      <c r="BJ165" s="2412"/>
      <c r="BK165" s="2412"/>
      <c r="BL165" s="2412"/>
      <c r="BM165" s="2412"/>
      <c r="BN165" s="2412"/>
      <c r="BO165" s="2412"/>
      <c r="BP165" s="2412"/>
      <c r="BQ165" s="2412"/>
      <c r="BR165" s="2412"/>
      <c r="BS165" s="2412"/>
      <c r="BT165" s="2412"/>
      <c r="BU165" s="2412"/>
      <c r="BV165" s="2412"/>
      <c r="BW165" s="2412"/>
      <c r="BX165" s="2412"/>
      <c r="BY165" s="2412"/>
      <c r="BZ165" s="2412"/>
      <c r="CA165" s="2412"/>
      <c r="CB165" s="2412"/>
      <c r="CC165" s="2412"/>
      <c r="CD165" s="2412"/>
      <c r="CE165" s="2412"/>
      <c r="CF165" s="2412"/>
      <c r="CG165" s="2412">
        <v>292.89999999999998</v>
      </c>
      <c r="CH165" s="2412">
        <v>292.94</v>
      </c>
      <c r="CI165" s="2412">
        <v>294.37</v>
      </c>
      <c r="CJ165" s="2412">
        <v>295.27</v>
      </c>
      <c r="CK165" s="2412">
        <v>294.26</v>
      </c>
      <c r="CL165" s="2412">
        <v>292.99</v>
      </c>
      <c r="CM165" s="2412">
        <v>293.77999999999997</v>
      </c>
      <c r="CN165" s="2412">
        <v>301.74</v>
      </c>
      <c r="CO165" s="2412">
        <v>303.58999999999997</v>
      </c>
      <c r="CP165" s="2412">
        <v>311.73</v>
      </c>
      <c r="CQ165" s="2412">
        <v>307.27</v>
      </c>
      <c r="CR165" s="2412">
        <v>308.02999999999997</v>
      </c>
      <c r="CS165" s="2412">
        <v>295.29000000000002</v>
      </c>
      <c r="CT165" s="2412">
        <v>268.10000000000002</v>
      </c>
      <c r="CU165" s="2412">
        <v>270.92</v>
      </c>
      <c r="CV165" s="2412">
        <v>271.91000000000003</v>
      </c>
      <c r="CW165" s="2412">
        <v>272.70999999999998</v>
      </c>
      <c r="CX165" s="2412">
        <v>276.54000000000002</v>
      </c>
      <c r="CY165" s="2412">
        <v>279.42</v>
      </c>
      <c r="CZ165" s="2412">
        <v>281.92</v>
      </c>
      <c r="DA165" s="2412">
        <v>282.45</v>
      </c>
      <c r="DB165" s="2412">
        <v>281.87</v>
      </c>
      <c r="DC165" s="2412">
        <v>281.64</v>
      </c>
      <c r="DD165" s="2412">
        <v>281.52999999999997</v>
      </c>
      <c r="DE165" s="2412">
        <v>282.7</v>
      </c>
      <c r="DF165" s="2412">
        <v>295.43</v>
      </c>
      <c r="DG165" s="2412">
        <v>284.10000000000002</v>
      </c>
      <c r="DH165" s="2412">
        <v>286.88</v>
      </c>
      <c r="DI165" s="2412">
        <v>287.61</v>
      </c>
      <c r="DJ165" s="2412">
        <v>288.45</v>
      </c>
      <c r="DK165" s="2412">
        <v>289.02999999999997</v>
      </c>
      <c r="DL165" s="2412">
        <v>302.35000000000002</v>
      </c>
      <c r="DM165" s="2412">
        <v>319.02</v>
      </c>
      <c r="DN165" s="2412">
        <v>320.29000000000002</v>
      </c>
      <c r="DO165" s="2412">
        <v>323.69</v>
      </c>
      <c r="DP165" s="2412">
        <v>329.01</v>
      </c>
      <c r="DQ165" s="2412">
        <v>332.48</v>
      </c>
      <c r="DR165" s="2412">
        <v>332.48</v>
      </c>
      <c r="DS165" s="2412">
        <v>336.07</v>
      </c>
      <c r="DT165" s="2412">
        <v>338.12</v>
      </c>
      <c r="DU165" s="2412">
        <v>340.67</v>
      </c>
      <c r="DV165" s="2412">
        <v>344.02</v>
      </c>
      <c r="DW165" s="2412">
        <v>340.09</v>
      </c>
      <c r="DX165" s="2412">
        <v>343.03</v>
      </c>
      <c r="DY165" s="2412">
        <v>345.25</v>
      </c>
      <c r="DZ165" s="2412">
        <v>347.07</v>
      </c>
      <c r="EA165" s="2412">
        <v>348.9</v>
      </c>
      <c r="EB165" s="2412">
        <v>349.19</v>
      </c>
      <c r="EC165" s="2412">
        <v>350.51</v>
      </c>
      <c r="ED165" s="2412">
        <v>351.08</v>
      </c>
      <c r="EE165" s="2412">
        <v>352.25</v>
      </c>
      <c r="EF165" s="2412">
        <v>353.03</v>
      </c>
      <c r="EG165" s="2412">
        <v>355.87</v>
      </c>
      <c r="EH165" s="2412">
        <v>376.14</v>
      </c>
      <c r="EI165" s="2412">
        <v>433.39</v>
      </c>
      <c r="EJ165" s="2412">
        <v>435.94</v>
      </c>
      <c r="EK165" s="2412">
        <v>438.37</v>
      </c>
      <c r="EL165" s="2412">
        <v>440.73</v>
      </c>
      <c r="EM165" s="2412">
        <v>453.1</v>
      </c>
      <c r="EN165" s="2412">
        <v>456.9</v>
      </c>
      <c r="EO165" s="2412">
        <v>478.88</v>
      </c>
      <c r="EP165" s="2412">
        <v>488.01</v>
      </c>
      <c r="EQ165" s="2412">
        <v>491.71</v>
      </c>
      <c r="ER165" s="2412">
        <v>494.2</v>
      </c>
      <c r="ES165" s="2412">
        <v>495.97</v>
      </c>
      <c r="ET165" s="2412">
        <v>501.75</v>
      </c>
      <c r="EU165" s="2412">
        <v>503.76</v>
      </c>
      <c r="EV165" s="2412">
        <v>518.15</v>
      </c>
      <c r="EW165" s="2412">
        <v>521.28</v>
      </c>
      <c r="EX165" s="2412">
        <v>523.42999999999995</v>
      </c>
      <c r="EY165" s="2412">
        <v>529.82000000000005</v>
      </c>
      <c r="EZ165" s="2412">
        <v>559.94000000000005</v>
      </c>
      <c r="FA165" s="2412">
        <v>587</v>
      </c>
      <c r="FB165" s="2412">
        <v>598</v>
      </c>
      <c r="FC165" s="2412">
        <v>621.73</v>
      </c>
      <c r="FD165" s="2412">
        <v>667.33</v>
      </c>
      <c r="FE165" s="2412">
        <v>707.41</v>
      </c>
      <c r="FF165" s="2412">
        <v>708.1</v>
      </c>
      <c r="FG165" s="2412">
        <v>708.1</v>
      </c>
      <c r="FH165" s="2412">
        <v>708.55</v>
      </c>
      <c r="FI165" s="2412">
        <v>734.1</v>
      </c>
      <c r="FJ165" s="2412">
        <v>735.21</v>
      </c>
      <c r="FK165" s="2412">
        <v>724.4</v>
      </c>
      <c r="FL165" s="2412">
        <v>726.51</v>
      </c>
      <c r="FM165" s="2412">
        <v>727.27</v>
      </c>
      <c r="FN165" s="2412">
        <v>729.01</v>
      </c>
      <c r="FO165" s="2412">
        <v>732.83</v>
      </c>
      <c r="FP165" s="2412">
        <v>736.59</v>
      </c>
      <c r="FQ165" s="2412">
        <v>740.41</v>
      </c>
      <c r="FR165" s="2412">
        <v>744.97</v>
      </c>
      <c r="FS165" s="2412">
        <v>753.47</v>
      </c>
      <c r="FT165" s="2412">
        <v>759.63</v>
      </c>
      <c r="FU165" s="2412">
        <v>763.51</v>
      </c>
      <c r="FV165" s="2412">
        <v>773.44</v>
      </c>
      <c r="FW165" s="2413">
        <v>908.68085549967736</v>
      </c>
      <c r="FX165" s="2413">
        <v>1306.3733412517349</v>
      </c>
      <c r="FY165" s="2413">
        <v>100</v>
      </c>
      <c r="FZ165" s="2413">
        <v>107.12251663208008</v>
      </c>
      <c r="GA165" s="2413">
        <v>108.09100613402052</v>
      </c>
      <c r="GB165" s="2413">
        <v>104.61126403753627</v>
      </c>
      <c r="GC165" s="2413">
        <v>114.25964427543431</v>
      </c>
      <c r="GD165" s="2413">
        <v>116.94366594904299</v>
      </c>
      <c r="GE165" s="2413">
        <v>115.95814403065455</v>
      </c>
      <c r="GF165" s="2414">
        <v>111.1716716040886</v>
      </c>
      <c r="GG165" s="2415">
        <v>111.1716716040886</v>
      </c>
      <c r="GH165" s="2414">
        <v>110.70689292936794</v>
      </c>
      <c r="GI165" s="2414">
        <v>112.7825759064273</v>
      </c>
      <c r="GJ165" s="2413">
        <v>115.29383649437062</v>
      </c>
      <c r="GK165" s="2413">
        <v>116.16499229666336</v>
      </c>
      <c r="GL165" s="2413">
        <v>108.75533017832947</v>
      </c>
      <c r="GM165" s="2414">
        <v>109.05463198769962</v>
      </c>
      <c r="GN165" s="2414">
        <v>108.42211416534703</v>
      </c>
      <c r="GO165" s="2416">
        <v>109.01101244116533</v>
      </c>
      <c r="GP165" s="2417">
        <v>109.01101244116533</v>
      </c>
      <c r="GQ165" s="2417">
        <v>110.80689977865109</v>
      </c>
      <c r="GR165" s="2417">
        <v>112.49571071648491</v>
      </c>
      <c r="GS165" s="2417">
        <v>112.49571071648491</v>
      </c>
      <c r="GT165" s="2415">
        <v>112.7025547890761</v>
      </c>
      <c r="GU165" s="2415">
        <v>114.56901189601957</v>
      </c>
      <c r="GV165" s="2415">
        <v>116.88078088064489</v>
      </c>
      <c r="GW165" s="2415">
        <v>121.68926549789695</v>
      </c>
      <c r="GX165" s="2415">
        <v>124.44635464919176</v>
      </c>
      <c r="GY165" s="2415">
        <v>127.68527095944181</v>
      </c>
      <c r="GZ165" s="2415">
        <v>147.81010411049238</v>
      </c>
      <c r="HA165" s="2415">
        <v>164.74439376939054</v>
      </c>
      <c r="HB165" s="2415">
        <v>176.61487137602327</v>
      </c>
      <c r="HC165" s="2415">
        <v>178.93844763978487</v>
      </c>
      <c r="HD165" s="2415">
        <v>170.19395111565925</v>
      </c>
      <c r="HE165" s="2415">
        <v>251.23895235586977</v>
      </c>
      <c r="HF165" s="2415">
        <v>264.46976614026499</v>
      </c>
      <c r="HG165" s="2415">
        <v>251.87535415685588</v>
      </c>
      <c r="HH165" s="2418">
        <v>250.07658031897913</v>
      </c>
      <c r="HI165" s="2415">
        <v>258.02217105511068</v>
      </c>
      <c r="HJ165" s="2415">
        <v>258.82160766055068</v>
      </c>
      <c r="HK165" s="2415">
        <v>288.06743087656753</v>
      </c>
      <c r="HL165" s="2415">
        <v>297.75705314623605</v>
      </c>
      <c r="HM165" s="2415">
        <v>303.02520510947585</v>
      </c>
      <c r="HN165" s="2415">
        <v>287.94008899836712</v>
      </c>
      <c r="HO165" s="2415">
        <v>297.6755463417241</v>
      </c>
      <c r="HP165" s="2415">
        <v>351.79710693802139</v>
      </c>
      <c r="HQ165" s="2415">
        <v>351.79710693802139</v>
      </c>
      <c r="HR165" s="2415">
        <v>352.62415253106064</v>
      </c>
      <c r="HS165" s="2415">
        <v>366.30750279775503</v>
      </c>
      <c r="HT165" s="2419">
        <v>369.5842084361409</v>
      </c>
      <c r="HU165" s="2420">
        <f>+'Productos basico de aluminio'!C16</f>
        <v>383.96528227169603</v>
      </c>
      <c r="HV165" s="2417">
        <f>+'Productos basico de aluminio'!D16</f>
        <v>392.32368966591741</v>
      </c>
      <c r="HW165" s="2417">
        <f>+'Productos basico de aluminio'!E16</f>
        <v>422.26696822887641</v>
      </c>
      <c r="HX165" s="2417">
        <f>+'Productos basico de aluminio'!F16</f>
        <v>445.10206861858592</v>
      </c>
      <c r="HY165" s="2417">
        <f>+'Productos basico de aluminio'!G16</f>
        <v>462.90323313963739</v>
      </c>
      <c r="HZ165" s="2417">
        <f>+'Productos basico de aluminio'!H16</f>
        <v>475.15977264593516</v>
      </c>
      <c r="IA165" s="2417">
        <f>+'Productos basico de aluminio'!I16</f>
        <v>493.25275953618427</v>
      </c>
      <c r="IB165" s="2417">
        <f>+'Productos basico de aluminio'!J16</f>
        <v>509.15707865745151</v>
      </c>
      <c r="IC165" s="2417">
        <f>+'Productos basico de aluminio'!K16</f>
        <v>524.55070863262301</v>
      </c>
      <c r="ID165" s="2417">
        <f>+'Productos basico de aluminio'!L16</f>
        <v>544.9782744764525</v>
      </c>
      <c r="IE165" s="2417">
        <f>+'Productos basico de aluminio'!M16</f>
        <v>566.5731297970724</v>
      </c>
      <c r="IF165" s="2419">
        <f>+'Productos basico de aluminio'!N16</f>
        <v>588.31389630229103</v>
      </c>
      <c r="IG165" s="2420">
        <f>+'Productos basico de aluminio'!C25</f>
        <v>610.43121585669519</v>
      </c>
      <c r="IH165" s="2417">
        <f>+'Productos basico de aluminio'!D25</f>
        <v>636.90232077368557</v>
      </c>
      <c r="II165" s="2417">
        <f>+'Productos basico de aluminio'!E25</f>
        <v>654.11984055634196</v>
      </c>
      <c r="IJ165" s="2417">
        <f>+'Productos basico de aluminio'!F25</f>
        <v>676.00651824615932</v>
      </c>
      <c r="IK165" s="2417">
        <f>+'Productos basico de aluminio'!G25</f>
        <v>681.70168793128778</v>
      </c>
      <c r="IL165" s="2417">
        <f>+'Productos basico de aluminio'!H25</f>
        <v>702.63530943543708</v>
      </c>
      <c r="IM165" s="2417">
        <f>+'Productos basico de aluminio'!I25</f>
        <v>707.92899451448079</v>
      </c>
      <c r="IN165" s="2417">
        <f>+'Productos basico de aluminio'!J25</f>
        <v>716.35096078772256</v>
      </c>
      <c r="IO165" s="2417">
        <f>+'Productos basico de aluminio'!K25</f>
        <v>734.51690327027097</v>
      </c>
      <c r="IP165" s="2417">
        <f>+'Productos basico de aluminio'!L25</f>
        <v>751.95328982982562</v>
      </c>
      <c r="IQ165" s="2417">
        <f>+'Productos basico de aluminio'!M25</f>
        <v>763.84505137462634</v>
      </c>
      <c r="IR165" s="2419">
        <f>+'Productos basico de aluminio'!N25</f>
        <v>778.58208101910338</v>
      </c>
      <c r="IS165" s="2420">
        <f>+'Productos basico de aluminio'!C34</f>
        <v>808.78569623105136</v>
      </c>
      <c r="IT165" s="2417">
        <f>+'Productos basico de aluminio'!D34</f>
        <v>833.00695287444921</v>
      </c>
      <c r="IU165" s="2417">
        <f>+'Productos basico de aluminio'!E34</f>
        <v>868.53632632425285</v>
      </c>
      <c r="IV165" s="2417">
        <f>+'Productos basico de aluminio'!F34</f>
        <v>896.5512737672193</v>
      </c>
      <c r="IW165" s="2417">
        <f>+'Productos basico de aluminio'!G34</f>
        <v>938.35482815477053</v>
      </c>
      <c r="IX165" s="2417">
        <f>+'Productos basico de aluminio'!H34</f>
        <v>972.13326738938872</v>
      </c>
      <c r="IY165" s="2417">
        <f>+'Productos basico de aluminio'!I34</f>
        <v>1023.2021819989625</v>
      </c>
      <c r="IZ165" s="2417">
        <f>+'Productos basico de aluminio'!J34</f>
        <v>1089.3729042145103</v>
      </c>
      <c r="JA165" s="2417">
        <f>+'Productos basico de aluminio'!K34</f>
        <v>1154.5222481378667</v>
      </c>
      <c r="JB165" s="2417">
        <f>+'Productos basico de aluminio'!L34</f>
        <v>1232.2199539367182</v>
      </c>
      <c r="JC165" s="2417">
        <f>+'Productos basico de aluminio'!M34</f>
        <v>1294.5240297603984</v>
      </c>
      <c r="JD165" s="2415">
        <f>+'Productos basico de aluminio'!N34</f>
        <v>1372.5865135207471</v>
      </c>
      <c r="JE165" s="2422">
        <f>+'Productos basico de aluminio'!C43</f>
        <v>1456.2665778881487</v>
      </c>
      <c r="JF165" s="2418">
        <f>+'Productos basico de aluminio'!D43</f>
        <v>1575.1841933361563</v>
      </c>
      <c r="JG165" s="2103">
        <f t="shared" si="14"/>
        <v>1.0816592355092429</v>
      </c>
      <c r="JI165" s="2155"/>
      <c r="JJ165" s="2104"/>
    </row>
    <row r="166" spans="2:271" ht="31.15" customHeight="1">
      <c r="B166" s="2105">
        <v>212</v>
      </c>
      <c r="C166" s="2106" t="s">
        <v>126</v>
      </c>
      <c r="D166" s="2425" t="s">
        <v>1247</v>
      </c>
      <c r="E166" s="2128" t="s">
        <v>127</v>
      </c>
      <c r="F166" s="2106" t="s">
        <v>233</v>
      </c>
      <c r="G166" s="2425" t="s">
        <v>1112</v>
      </c>
      <c r="H166" s="2106" t="s">
        <v>737</v>
      </c>
      <c r="I166" s="2106" t="s">
        <v>930</v>
      </c>
      <c r="J166" s="2359" t="s">
        <v>1126</v>
      </c>
      <c r="K166" s="2425"/>
      <c r="L166" s="2110"/>
      <c r="M166" s="2110"/>
      <c r="N166" s="2110"/>
      <c r="O166" s="2110"/>
      <c r="P166" s="2110"/>
      <c r="Q166" s="2110"/>
      <c r="R166" s="2110"/>
      <c r="S166" s="2110"/>
      <c r="T166" s="2110"/>
      <c r="U166" s="2110"/>
      <c r="V166" s="2110"/>
      <c r="W166" s="2110"/>
      <c r="X166" s="2110"/>
      <c r="Y166" s="2110"/>
      <c r="Z166" s="2110"/>
      <c r="AA166" s="2110"/>
      <c r="AB166" s="2110"/>
      <c r="AC166" s="2110"/>
      <c r="AD166" s="2110"/>
      <c r="AE166" s="2110"/>
      <c r="AF166" s="2110"/>
      <c r="AG166" s="2110"/>
      <c r="AH166" s="2110"/>
      <c r="AI166" s="2110"/>
      <c r="AJ166" s="2110"/>
      <c r="AK166" s="2110"/>
      <c r="AL166" s="2110"/>
      <c r="AM166" s="2110"/>
      <c r="AN166" s="2110"/>
      <c r="AO166" s="2110"/>
      <c r="AP166" s="2110"/>
      <c r="AQ166" s="2110"/>
      <c r="AR166" s="2110"/>
      <c r="AS166" s="2110"/>
      <c r="AT166" s="2110"/>
      <c r="AU166" s="2110"/>
      <c r="AV166" s="2110"/>
      <c r="AW166" s="2111"/>
      <c r="AX166" s="2111"/>
      <c r="AY166" s="2111"/>
      <c r="AZ166" s="2111"/>
      <c r="BA166" s="2111"/>
      <c r="BB166" s="2111"/>
      <c r="BC166" s="2111"/>
      <c r="BD166" s="2112"/>
      <c r="BE166" s="2111"/>
      <c r="BF166" s="2112"/>
      <c r="BG166" s="2112"/>
      <c r="BH166" s="2112"/>
      <c r="BI166" s="2108"/>
      <c r="BJ166" s="2108"/>
      <c r="BK166" s="2108"/>
      <c r="BL166" s="2108"/>
      <c r="BM166" s="2108"/>
      <c r="BN166" s="2108"/>
      <c r="BO166" s="2108"/>
      <c r="BP166" s="2108"/>
      <c r="BQ166" s="2108"/>
      <c r="BR166" s="2108"/>
      <c r="BS166" s="2108"/>
      <c r="BT166" s="2108"/>
      <c r="BU166" s="2108"/>
      <c r="BV166" s="2108"/>
      <c r="BW166" s="2108"/>
      <c r="BX166" s="2108"/>
      <c r="BY166" s="2108"/>
      <c r="BZ166" s="2108"/>
      <c r="CA166" s="2108"/>
      <c r="CB166" s="2108"/>
      <c r="CC166" s="2108"/>
      <c r="CD166" s="2108"/>
      <c r="CE166" s="2108"/>
      <c r="CF166" s="2108"/>
      <c r="CG166" s="2108"/>
      <c r="CH166" s="2108"/>
      <c r="CI166" s="2108"/>
      <c r="CJ166" s="2108"/>
      <c r="CK166" s="2108"/>
      <c r="CL166" s="2108"/>
      <c r="CM166" s="2108">
        <v>34.11</v>
      </c>
      <c r="CN166" s="2108">
        <v>34.11</v>
      </c>
      <c r="CO166" s="2108">
        <v>34.11</v>
      </c>
      <c r="CP166" s="2108">
        <v>34.11</v>
      </c>
      <c r="CQ166" s="2108">
        <v>34.11</v>
      </c>
      <c r="CR166" s="2108">
        <v>36.5</v>
      </c>
      <c r="CS166" s="2108">
        <v>36.5</v>
      </c>
      <c r="CT166" s="2108">
        <v>36.5</v>
      </c>
      <c r="CU166" s="2108">
        <v>36.5</v>
      </c>
      <c r="CV166" s="2108">
        <v>36.5</v>
      </c>
      <c r="CW166" s="2108">
        <v>36.5</v>
      </c>
      <c r="CX166" s="2108">
        <v>38.270000000000003</v>
      </c>
      <c r="CY166" s="2108">
        <v>38.270000000000003</v>
      </c>
      <c r="CZ166" s="2108">
        <v>38.270000000000003</v>
      </c>
      <c r="DA166" s="2108">
        <v>38.270000000000003</v>
      </c>
      <c r="DB166" s="2108">
        <v>38.270000000000003</v>
      </c>
      <c r="DC166" s="2108">
        <v>38.270000000000003</v>
      </c>
      <c r="DD166" s="2108">
        <v>42.59</v>
      </c>
      <c r="DE166" s="2108">
        <v>42.59</v>
      </c>
      <c r="DF166" s="2108">
        <v>42.59</v>
      </c>
      <c r="DG166" s="2108">
        <v>42.59</v>
      </c>
      <c r="DH166" s="2108">
        <v>42.59</v>
      </c>
      <c r="DI166" s="2108">
        <v>42.59</v>
      </c>
      <c r="DJ166" s="2108">
        <v>42.59</v>
      </c>
      <c r="DK166" s="2108">
        <v>42.59</v>
      </c>
      <c r="DL166" s="2108">
        <v>48</v>
      </c>
      <c r="DM166" s="2108">
        <v>48</v>
      </c>
      <c r="DN166" s="2108">
        <v>50</v>
      </c>
      <c r="DO166" s="2108">
        <v>50</v>
      </c>
      <c r="DP166" s="2108">
        <v>51.5</v>
      </c>
      <c r="DQ166" s="2108">
        <v>51.5</v>
      </c>
      <c r="DR166" s="2108">
        <v>51.5</v>
      </c>
      <c r="DS166" s="2108">
        <v>52.68</v>
      </c>
      <c r="DT166" s="2108">
        <v>52.68</v>
      </c>
      <c r="DU166" s="2108">
        <v>56.77</v>
      </c>
      <c r="DV166" s="2108">
        <v>56.77</v>
      </c>
      <c r="DW166" s="2108">
        <v>59.46</v>
      </c>
      <c r="DX166" s="2108">
        <v>59.46</v>
      </c>
      <c r="DY166" s="2108">
        <v>59.46</v>
      </c>
      <c r="DZ166" s="2108">
        <v>59.46</v>
      </c>
      <c r="EA166" s="2108">
        <v>64.78</v>
      </c>
      <c r="EB166" s="2108">
        <v>64.78</v>
      </c>
      <c r="EC166" s="2108">
        <v>64.78</v>
      </c>
      <c r="ED166" s="2108">
        <v>64.78</v>
      </c>
      <c r="EE166" s="2108">
        <v>68.75</v>
      </c>
      <c r="EF166" s="2108">
        <v>68.75</v>
      </c>
      <c r="EG166" s="2108">
        <v>68.75</v>
      </c>
      <c r="EH166" s="2108">
        <v>68.75</v>
      </c>
      <c r="EI166" s="2108">
        <v>68.75</v>
      </c>
      <c r="EJ166" s="2108">
        <v>68.75</v>
      </c>
      <c r="EK166" s="2108">
        <v>72.89</v>
      </c>
      <c r="EL166" s="2108">
        <v>73.87</v>
      </c>
      <c r="EM166" s="2108">
        <v>73.87</v>
      </c>
      <c r="EN166" s="2108">
        <v>73.87</v>
      </c>
      <c r="EO166" s="2108">
        <v>73.87</v>
      </c>
      <c r="EP166" s="2108">
        <v>77.34</v>
      </c>
      <c r="EQ166" s="2108">
        <v>77.34</v>
      </c>
      <c r="ER166" s="2108">
        <v>77.34</v>
      </c>
      <c r="ES166" s="2108">
        <v>77.34</v>
      </c>
      <c r="ET166" s="2108">
        <v>80.099999999999994</v>
      </c>
      <c r="EU166" s="2108">
        <v>80.099999999999994</v>
      </c>
      <c r="EV166" s="2108">
        <v>80.099999999999994</v>
      </c>
      <c r="EW166" s="2108">
        <v>80.099999999999994</v>
      </c>
      <c r="EX166" s="2108">
        <v>80.099999999999994</v>
      </c>
      <c r="EY166" s="2108">
        <v>80.099999999999994</v>
      </c>
      <c r="EZ166" s="2108">
        <v>102.98</v>
      </c>
      <c r="FA166" s="2108">
        <v>102.98</v>
      </c>
      <c r="FB166" s="2108">
        <v>102.98</v>
      </c>
      <c r="FC166" s="2108">
        <v>124.68</v>
      </c>
      <c r="FD166" s="2108">
        <v>124.68</v>
      </c>
      <c r="FE166" s="2156">
        <v>124.58</v>
      </c>
      <c r="FF166" s="2156">
        <v>125.81</v>
      </c>
      <c r="FG166" s="2156">
        <v>125.61</v>
      </c>
      <c r="FH166" s="2108">
        <v>141.5</v>
      </c>
      <c r="FI166" s="2108">
        <v>145.74</v>
      </c>
      <c r="FJ166" s="2108">
        <v>145.74</v>
      </c>
      <c r="FK166" s="2108">
        <v>145.74</v>
      </c>
      <c r="FL166" s="2108">
        <v>145.74</v>
      </c>
      <c r="FM166" s="2108">
        <v>145.74</v>
      </c>
      <c r="FN166" s="2108">
        <v>145.74</v>
      </c>
      <c r="FO166" s="2108">
        <v>145.74</v>
      </c>
      <c r="FP166" s="2108">
        <v>152.25</v>
      </c>
      <c r="FQ166" s="2108">
        <v>152.25</v>
      </c>
      <c r="FR166" s="2108">
        <v>152.25</v>
      </c>
      <c r="FS166" s="2108">
        <v>152.25</v>
      </c>
      <c r="FT166" s="2108">
        <v>158.34</v>
      </c>
      <c r="FU166" s="2108">
        <v>166.26</v>
      </c>
      <c r="FV166" s="2108">
        <v>166.26</v>
      </c>
      <c r="FW166" s="2113">
        <v>179.45025557838733</v>
      </c>
      <c r="FX166" s="2113">
        <v>185.54074686311012</v>
      </c>
      <c r="FY166" s="2113">
        <v>100</v>
      </c>
      <c r="FZ166" s="2113">
        <v>102.42244005203247</v>
      </c>
      <c r="GA166" s="2113">
        <v>106.80666476566358</v>
      </c>
      <c r="GB166" s="2113">
        <v>107.79209746512973</v>
      </c>
      <c r="GC166" s="2113">
        <v>110.37149310413984</v>
      </c>
      <c r="GD166" s="2113">
        <v>111.19832460820469</v>
      </c>
      <c r="GE166" s="2113">
        <v>111.7279762808118</v>
      </c>
      <c r="GF166" s="2114">
        <v>113.42572418851741</v>
      </c>
      <c r="GG166" s="1960">
        <v>114.03689146839518</v>
      </c>
      <c r="GH166" s="2114">
        <v>114.5664693368619</v>
      </c>
      <c r="GI166" s="2114">
        <v>115.62864532836559</v>
      </c>
      <c r="GJ166" s="2113">
        <v>118.46500835862145</v>
      </c>
      <c r="GK166" s="2113">
        <v>118.46500835862145</v>
      </c>
      <c r="GL166" s="2113">
        <v>121.33038843073405</v>
      </c>
      <c r="GM166" s="2114">
        <v>121.33038843073405</v>
      </c>
      <c r="GN166" s="2114">
        <v>121.48204042385332</v>
      </c>
      <c r="GO166" s="2115">
        <v>123.05056285311781</v>
      </c>
      <c r="GP166" s="2116">
        <v>123.05056285311781</v>
      </c>
      <c r="GQ166" s="2116">
        <v>125.89485205911986</v>
      </c>
      <c r="GR166" s="2116">
        <v>126.3315500673253</v>
      </c>
      <c r="GS166" s="2116">
        <v>128.06212770462656</v>
      </c>
      <c r="GT166" s="1960">
        <v>128.03520576928196</v>
      </c>
      <c r="GU166" s="1960">
        <v>131.11603947667768</v>
      </c>
      <c r="GV166" s="1960">
        <v>131.11603947667768</v>
      </c>
      <c r="GW166" s="1960">
        <v>131.95894759407909</v>
      </c>
      <c r="GX166" s="1960">
        <v>132.67814094833449</v>
      </c>
      <c r="GY166" s="1960">
        <v>134.65152989317991</v>
      </c>
      <c r="GZ166" s="1960">
        <v>138.49713513849457</v>
      </c>
      <c r="HA166" s="1960">
        <v>161.62241656439627</v>
      </c>
      <c r="HB166" s="1960">
        <v>168.57583841198894</v>
      </c>
      <c r="HC166" s="1960">
        <v>173.03254558106181</v>
      </c>
      <c r="HD166" s="1960">
        <v>167.74955035858031</v>
      </c>
      <c r="HE166" s="1960">
        <v>210.86708283606274</v>
      </c>
      <c r="HF166" s="1960">
        <v>223.60180077988772</v>
      </c>
      <c r="HG166" s="1960">
        <v>223.60771548615639</v>
      </c>
      <c r="HH166" s="2117">
        <v>222.01216412912206</v>
      </c>
      <c r="HI166" s="1960">
        <v>223.90506617164331</v>
      </c>
      <c r="HJ166" s="1960">
        <v>222.30739307078312</v>
      </c>
      <c r="HK166" s="1960">
        <v>229.30431189216125</v>
      </c>
      <c r="HL166" s="1960">
        <v>238.07969787929815</v>
      </c>
      <c r="HM166" s="1960">
        <v>248.03992824748977</v>
      </c>
      <c r="HN166" s="1960">
        <v>252.59879467917452</v>
      </c>
      <c r="HO166" s="1960">
        <v>291.58009015435579</v>
      </c>
      <c r="HP166" s="1960">
        <v>318.55890532839948</v>
      </c>
      <c r="HQ166" s="1960">
        <v>336.03487564555905</v>
      </c>
      <c r="HR166" s="1960">
        <v>341.12131976417038</v>
      </c>
      <c r="HS166" s="1960">
        <v>346.25067560873623</v>
      </c>
      <c r="HT166" s="1962">
        <v>366.00234538602018</v>
      </c>
      <c r="HU166" s="1961">
        <v>373.00786672904701</v>
      </c>
      <c r="HV166" s="1960">
        <v>385.58190492228249</v>
      </c>
      <c r="HW166" s="1960">
        <v>385.58190492228249</v>
      </c>
      <c r="HX166" s="1960">
        <v>385.58190492228249</v>
      </c>
      <c r="HY166" s="1960">
        <v>406.8657432549665</v>
      </c>
      <c r="HZ166" s="1960">
        <v>406.8657432549665</v>
      </c>
      <c r="IA166" s="1960">
        <v>410.30065439372726</v>
      </c>
      <c r="IB166" s="1960">
        <v>442.5012123598915</v>
      </c>
      <c r="IC166" s="1960">
        <v>442.5012123598915</v>
      </c>
      <c r="ID166" s="1960">
        <v>467.36022923100171</v>
      </c>
      <c r="IE166" s="1960">
        <v>471.96768301765911</v>
      </c>
      <c r="IF166" s="1960">
        <v>476.39868743088522</v>
      </c>
      <c r="IG166" s="1961">
        <v>476.40449695222685</v>
      </c>
      <c r="IH166" s="1960">
        <v>489.17732945349462</v>
      </c>
      <c r="II166" s="1960">
        <v>495.69051986624345</v>
      </c>
      <c r="IJ166" s="1961">
        <v>512.80770377785518</v>
      </c>
      <c r="IK166" s="1960">
        <v>534.7836819528884</v>
      </c>
      <c r="IL166" s="1960">
        <v>544.80603694055549</v>
      </c>
      <c r="IM166" s="1960">
        <v>561.26116100741933</v>
      </c>
      <c r="IN166" s="1960">
        <v>563.65570728793637</v>
      </c>
      <c r="IO166" s="1960">
        <v>580.58266394826467</v>
      </c>
      <c r="IP166" s="1960">
        <v>605.17965442760351</v>
      </c>
      <c r="IQ166" s="1960">
        <v>616.99982171133206</v>
      </c>
      <c r="IR166" s="1960">
        <v>646.65899058811397</v>
      </c>
      <c r="IS166" s="2274">
        <v>659.26295672848198</v>
      </c>
      <c r="IT166" s="1960">
        <v>663.81380733436754</v>
      </c>
      <c r="IU166" s="1960">
        <v>698.35656489813471</v>
      </c>
      <c r="IV166" s="1960">
        <v>713.41446536836736</v>
      </c>
      <c r="IW166" s="1960">
        <v>769.61923728577676</v>
      </c>
      <c r="IX166" s="1960">
        <v>776.61240040810287</v>
      </c>
      <c r="IY166" s="1960">
        <v>820.68901812440106</v>
      </c>
      <c r="IZ166" s="1960">
        <v>882.37797974555758</v>
      </c>
      <c r="JA166" s="1960">
        <v>938.37841868550231</v>
      </c>
      <c r="JB166" s="1960">
        <v>982.23999523788905</v>
      </c>
      <c r="JC166" s="1960">
        <v>1032.6159666157489</v>
      </c>
      <c r="JD166" s="1960">
        <v>1138.236543510372</v>
      </c>
      <c r="JE166" s="2274">
        <v>1170.6411002491541</v>
      </c>
      <c r="JF166" s="2117">
        <v>1234.3235310797143</v>
      </c>
      <c r="JG166" s="2103">
        <f t="shared" si="14"/>
        <v>1.0543996198467713</v>
      </c>
      <c r="JI166" s="2155"/>
      <c r="JJ166" s="2104"/>
    </row>
    <row r="167" spans="2:271" ht="31.5">
      <c r="B167" s="2105">
        <v>221</v>
      </c>
      <c r="C167" s="2106"/>
      <c r="D167" s="2425">
        <v>0</v>
      </c>
      <c r="E167" s="2128" t="s">
        <v>1145</v>
      </c>
      <c r="F167" s="2106" t="s">
        <v>918</v>
      </c>
      <c r="G167" s="2425" t="s">
        <v>1113</v>
      </c>
      <c r="H167" s="2106" t="s">
        <v>336</v>
      </c>
      <c r="I167" s="2106"/>
      <c r="J167" s="2127" t="s">
        <v>432</v>
      </c>
      <c r="K167" s="2425" t="s">
        <v>1146</v>
      </c>
      <c r="L167" s="2409">
        <v>100</v>
      </c>
      <c r="M167" s="2409">
        <v>106.95</v>
      </c>
      <c r="N167" s="2409">
        <v>107.7</v>
      </c>
      <c r="O167" s="2409">
        <v>108.45</v>
      </c>
      <c r="P167" s="2409">
        <v>152.11000000000001</v>
      </c>
      <c r="Q167" s="2409">
        <v>177.42</v>
      </c>
      <c r="R167" s="2409">
        <v>201.2</v>
      </c>
      <c r="S167" s="2409">
        <v>206.56</v>
      </c>
      <c r="T167" s="2409">
        <v>206.81</v>
      </c>
      <c r="U167" s="2409">
        <v>206.23</v>
      </c>
      <c r="V167" s="2409">
        <v>209.81</v>
      </c>
      <c r="W167" s="2409">
        <v>209.93</v>
      </c>
      <c r="X167" s="2409">
        <v>210.93</v>
      </c>
      <c r="Y167" s="2409">
        <v>204.96</v>
      </c>
      <c r="Z167" s="2409">
        <v>203.25</v>
      </c>
      <c r="AA167" s="2409">
        <v>202.15</v>
      </c>
      <c r="AB167" s="2409">
        <v>200.5</v>
      </c>
      <c r="AC167" s="2409">
        <v>198.52</v>
      </c>
      <c r="AD167" s="2409">
        <v>199.59</v>
      </c>
      <c r="AE167" s="2409">
        <v>200.97</v>
      </c>
      <c r="AF167" s="2409">
        <v>203.74</v>
      </c>
      <c r="AG167" s="2409">
        <v>202.12</v>
      </c>
      <c r="AH167" s="2409">
        <v>201.73</v>
      </c>
      <c r="AI167" s="2409">
        <v>202.19</v>
      </c>
      <c r="AJ167" s="2409">
        <v>206.43</v>
      </c>
      <c r="AK167" s="2409">
        <v>207.76</v>
      </c>
      <c r="AL167" s="2409">
        <v>212.22</v>
      </c>
      <c r="AM167" s="2409">
        <v>217.73</v>
      </c>
      <c r="AN167" s="2409">
        <v>218.98</v>
      </c>
      <c r="AO167" s="2409">
        <v>224.86</v>
      </c>
      <c r="AP167" s="2409">
        <v>227.2</v>
      </c>
      <c r="AQ167" s="2409">
        <v>227.69</v>
      </c>
      <c r="AR167" s="2409">
        <v>230.61</v>
      </c>
      <c r="AS167" s="2409">
        <v>231.13</v>
      </c>
      <c r="AT167" s="2409">
        <v>231.66</v>
      </c>
      <c r="AU167" s="2409">
        <v>231.77</v>
      </c>
      <c r="AV167" s="2409">
        <v>234.27</v>
      </c>
      <c r="AW167" s="2410">
        <v>210.88</v>
      </c>
      <c r="AX167" s="2410">
        <v>244.75</v>
      </c>
      <c r="AY167" s="2410">
        <v>245.85</v>
      </c>
      <c r="AZ167" s="2410">
        <v>245.73</v>
      </c>
      <c r="BA167" s="2410">
        <v>246.67</v>
      </c>
      <c r="BB167" s="2410">
        <v>247.2</v>
      </c>
      <c r="BC167" s="2410">
        <v>248.76</v>
      </c>
      <c r="BD167" s="2411">
        <v>250.77</v>
      </c>
      <c r="BE167" s="2410">
        <v>255.07</v>
      </c>
      <c r="BF167" s="2411">
        <v>257.17</v>
      </c>
      <c r="BG167" s="2411">
        <v>257.77</v>
      </c>
      <c r="BH167" s="2411">
        <v>261.87</v>
      </c>
      <c r="BI167" s="2412">
        <v>264.17</v>
      </c>
      <c r="BJ167" s="2412">
        <v>266.12</v>
      </c>
      <c r="BK167" s="2412">
        <v>268.56</v>
      </c>
      <c r="BL167" s="2412">
        <v>269.23</v>
      </c>
      <c r="BM167" s="2412">
        <v>269.91000000000003</v>
      </c>
      <c r="BN167" s="2412">
        <v>273.51</v>
      </c>
      <c r="BO167" s="2412">
        <v>277.93</v>
      </c>
      <c r="BP167" s="2412">
        <v>281.19</v>
      </c>
      <c r="BQ167" s="2412">
        <v>283.33999999999997</v>
      </c>
      <c r="BR167" s="2412">
        <v>285.17</v>
      </c>
      <c r="BS167" s="2412">
        <v>284.43</v>
      </c>
      <c r="BT167" s="2412">
        <v>285.69</v>
      </c>
      <c r="BU167" s="2412">
        <v>285.86</v>
      </c>
      <c r="BV167" s="2412">
        <v>288.51</v>
      </c>
      <c r="BW167" s="2412">
        <v>289.39</v>
      </c>
      <c r="BX167" s="2412">
        <v>292.55</v>
      </c>
      <c r="BY167" s="2412">
        <v>296.19</v>
      </c>
      <c r="BZ167" s="2412">
        <v>298.33</v>
      </c>
      <c r="CA167" s="2412">
        <v>301.55</v>
      </c>
      <c r="CB167" s="2412">
        <v>309.32</v>
      </c>
      <c r="CC167" s="2412">
        <v>312.04000000000002</v>
      </c>
      <c r="CD167" s="2412">
        <v>316.22000000000003</v>
      </c>
      <c r="CE167" s="2412">
        <v>320.13</v>
      </c>
      <c r="CF167" s="2412">
        <v>324.36</v>
      </c>
      <c r="CG167" s="2412">
        <v>334.34</v>
      </c>
      <c r="CH167" s="2412">
        <v>335.32</v>
      </c>
      <c r="CI167" s="2412">
        <v>341.37</v>
      </c>
      <c r="CJ167" s="2412">
        <v>345.57</v>
      </c>
      <c r="CK167" s="2412">
        <v>348.69</v>
      </c>
      <c r="CL167" s="2412">
        <v>353.86</v>
      </c>
      <c r="CM167" s="2412">
        <v>358.99</v>
      </c>
      <c r="CN167" s="2412">
        <v>364.2</v>
      </c>
      <c r="CO167" s="2412">
        <v>369.4</v>
      </c>
      <c r="CP167" s="2412">
        <v>373.73</v>
      </c>
      <c r="CQ167" s="2412">
        <v>379.24</v>
      </c>
      <c r="CR167" s="2412">
        <v>381.48</v>
      </c>
      <c r="CS167" s="2412">
        <v>384.48</v>
      </c>
      <c r="CT167" s="2412">
        <v>385.84</v>
      </c>
      <c r="CU167" s="2412">
        <v>388.64</v>
      </c>
      <c r="CV167" s="2412">
        <v>390.67</v>
      </c>
      <c r="CW167" s="2412">
        <v>393.57</v>
      </c>
      <c r="CX167" s="2412">
        <v>395.24</v>
      </c>
      <c r="CY167" s="2412">
        <v>397.65</v>
      </c>
      <c r="CZ167" s="2412">
        <v>404.51</v>
      </c>
      <c r="DA167" s="2412">
        <v>408.01</v>
      </c>
      <c r="DB167" s="2412">
        <v>409.55</v>
      </c>
      <c r="DC167" s="2412">
        <v>411.82</v>
      </c>
      <c r="DD167" s="2412">
        <v>412.89</v>
      </c>
      <c r="DE167" s="2412">
        <v>413.74</v>
      </c>
      <c r="DF167" s="2412">
        <v>420.98</v>
      </c>
      <c r="DG167" s="2412">
        <v>429.56</v>
      </c>
      <c r="DH167" s="2412">
        <v>438.05</v>
      </c>
      <c r="DI167" s="2412">
        <v>442.28</v>
      </c>
      <c r="DJ167" s="2412">
        <v>447.41</v>
      </c>
      <c r="DK167" s="2412">
        <v>453.88</v>
      </c>
      <c r="DL167" s="2412">
        <v>460.09</v>
      </c>
      <c r="DM167" s="2412">
        <v>465.16</v>
      </c>
      <c r="DN167" s="2412">
        <v>470.56</v>
      </c>
      <c r="DO167" s="2412">
        <v>480.42</v>
      </c>
      <c r="DP167" s="2412">
        <v>489.71</v>
      </c>
      <c r="DQ167" s="2412">
        <v>492.89</v>
      </c>
      <c r="DR167" s="2412">
        <v>496.8</v>
      </c>
      <c r="DS167" s="2412">
        <v>506</v>
      </c>
      <c r="DT167" s="2412">
        <v>518.59</v>
      </c>
      <c r="DU167" s="2412">
        <v>523.44000000000005</v>
      </c>
      <c r="DV167" s="2412">
        <v>536.30999999999995</v>
      </c>
      <c r="DW167" s="2412">
        <v>556.1</v>
      </c>
      <c r="DX167" s="2412">
        <v>559.92999999999995</v>
      </c>
      <c r="DY167" s="2412">
        <v>569.12</v>
      </c>
      <c r="DZ167" s="2412">
        <v>580.1</v>
      </c>
      <c r="EA167" s="2412">
        <v>588.07000000000005</v>
      </c>
      <c r="EB167" s="2412">
        <v>594.29999999999995</v>
      </c>
      <c r="EC167" s="2412">
        <v>594.77</v>
      </c>
      <c r="ED167" s="2412">
        <v>606.20000000000005</v>
      </c>
      <c r="EE167" s="2412">
        <v>617.58000000000004</v>
      </c>
      <c r="EF167" s="2412">
        <v>622.51</v>
      </c>
      <c r="EG167" s="2412">
        <v>627.69000000000005</v>
      </c>
      <c r="EH167" s="2412">
        <v>632.13</v>
      </c>
      <c r="EI167" s="2412">
        <v>642.23</v>
      </c>
      <c r="EJ167" s="2412">
        <v>649.03</v>
      </c>
      <c r="EK167" s="2412">
        <v>663.14</v>
      </c>
      <c r="EL167" s="2412">
        <v>668.84</v>
      </c>
      <c r="EM167" s="2412">
        <v>680.38</v>
      </c>
      <c r="EN167" s="2412">
        <v>686.96</v>
      </c>
      <c r="EO167" s="2412">
        <v>698.58</v>
      </c>
      <c r="EP167" s="2412">
        <v>707.98</v>
      </c>
      <c r="EQ167" s="2412">
        <v>716.6</v>
      </c>
      <c r="ER167" s="2412">
        <v>729.18</v>
      </c>
      <c r="ES167" s="2412">
        <v>740.55</v>
      </c>
      <c r="ET167" s="2412">
        <v>758.12</v>
      </c>
      <c r="EU167" s="2412">
        <v>773.5</v>
      </c>
      <c r="EV167" s="2412">
        <v>783.05</v>
      </c>
      <c r="EW167" s="2412">
        <v>798.42</v>
      </c>
      <c r="EX167" s="2412">
        <v>807.2</v>
      </c>
      <c r="EY167" s="2412">
        <v>820.04</v>
      </c>
      <c r="EZ167" s="2412">
        <v>831.39</v>
      </c>
      <c r="FA167" s="2412">
        <v>871.59</v>
      </c>
      <c r="FB167" s="2412">
        <v>929.95</v>
      </c>
      <c r="FC167" s="2412">
        <v>967.2</v>
      </c>
      <c r="FD167" s="2412">
        <v>990.09</v>
      </c>
      <c r="FE167" s="2412">
        <v>1008.38</v>
      </c>
      <c r="FF167" s="2412">
        <v>1026.3900000000001</v>
      </c>
      <c r="FG167" s="2412">
        <v>1044.92</v>
      </c>
      <c r="FH167" s="2412">
        <v>1053.82</v>
      </c>
      <c r="FI167" s="2412">
        <v>1062.6199999999999</v>
      </c>
      <c r="FJ167" s="2412">
        <v>1079.26</v>
      </c>
      <c r="FK167" s="2412">
        <v>1088.3499999999999</v>
      </c>
      <c r="FL167" s="2412">
        <v>1106.46</v>
      </c>
      <c r="FM167" s="2412">
        <v>1121.1400000000001</v>
      </c>
      <c r="FN167" s="2412">
        <v>1121.8800000000001</v>
      </c>
      <c r="FO167" s="2412">
        <v>1149.19</v>
      </c>
      <c r="FP167" s="2412">
        <v>1162.3499999999999</v>
      </c>
      <c r="FQ167" s="2412">
        <v>1167.45</v>
      </c>
      <c r="FR167" s="2412">
        <v>1181.23</v>
      </c>
      <c r="FS167" s="2412">
        <v>1198.26</v>
      </c>
      <c r="FT167" s="2412">
        <v>1228.3399999999999</v>
      </c>
      <c r="FU167" s="2412">
        <v>1242.52</v>
      </c>
      <c r="FV167" s="2412">
        <v>1262.28</v>
      </c>
      <c r="FW167" s="2413" t="e">
        <f>+'ANEXOA-MODIFICADO'!N449</f>
        <v>#REF!</v>
      </c>
      <c r="FX167" s="2413" t="e">
        <f>+'ANEXOA-MODIFICADO'!O449</f>
        <v>#REF!</v>
      </c>
      <c r="FY167" s="2413">
        <f>+'ANEXOA-MODIFICADO'!D455</f>
        <v>100</v>
      </c>
      <c r="FZ167" s="2413">
        <f>+'ANEXOA-MODIFICADO'!E455</f>
        <v>107.88</v>
      </c>
      <c r="GA167" s="2413">
        <f>+'ANEXOA-MODIFICADO'!F455</f>
        <v>115</v>
      </c>
      <c r="GB167" s="2413">
        <f>+'ANEXOA-MODIFICADO'!G455</f>
        <v>119.04</v>
      </c>
      <c r="GC167" s="2413">
        <f>+'ANEXOA-MODIFICADO'!H455</f>
        <v>125.57</v>
      </c>
      <c r="GD167" s="2413">
        <f>+'ANEXOA-MODIFICADO'!I455</f>
        <v>130.74</v>
      </c>
      <c r="GE167" s="2413">
        <f>+'ANEXOA-MODIFICADO'!J455</f>
        <v>130.74</v>
      </c>
      <c r="GF167" s="2413">
        <f>+'ANEXOA-MODIFICADO'!K455</f>
        <v>132.26</v>
      </c>
      <c r="GG167" s="2413">
        <f>+'ANEXOA-MODIFICADO'!L455</f>
        <v>134.59</v>
      </c>
      <c r="GH167" s="2413">
        <f>+'ANEXOA-MODIFICADO'!M455</f>
        <v>135.38999999999999</v>
      </c>
      <c r="GI167" s="2413">
        <f>+'ANEXOA-MODIFICADO'!N455</f>
        <v>143.74</v>
      </c>
      <c r="GJ167" s="2413">
        <f>+'ANEXOA-MODIFICADO'!O455</f>
        <v>143.74</v>
      </c>
      <c r="GK167" s="2413">
        <f>+'ANEXOA-MODIFICADO'!D461</f>
        <v>145.41</v>
      </c>
      <c r="GL167" s="2413">
        <f>+'ANEXOA-MODIFICADO'!E461</f>
        <v>150.44</v>
      </c>
      <c r="GM167" s="2413">
        <f>+'ANEXOA-MODIFICADO'!F461</f>
        <v>151.82</v>
      </c>
      <c r="GN167" s="2413">
        <f>+'ANEXOA-MODIFICADO'!G461</f>
        <v>155.37</v>
      </c>
      <c r="GO167" s="2413">
        <f>+'ANEXOA-MODIFICADO'!H461</f>
        <v>156.15</v>
      </c>
      <c r="GP167" s="2413">
        <f>+'ANEXOA-MODIFICADO'!I461</f>
        <v>156.15</v>
      </c>
      <c r="GQ167" s="2413">
        <f>+'ANEXOA-MODIFICADO'!J461</f>
        <v>156.15</v>
      </c>
      <c r="GR167" s="2413">
        <f>+'ANEXOA-MODIFICADO'!K461</f>
        <v>156.15</v>
      </c>
      <c r="GS167" s="2413">
        <f>+'ANEXOA-MODIFICADO'!L461</f>
        <v>156.15</v>
      </c>
      <c r="GT167" s="2413">
        <f>+'ANEXOA-MODIFICADO'!M461</f>
        <v>156.79</v>
      </c>
      <c r="GU167" s="2413">
        <f>+'ANEXOA-MODIFICADO'!N461</f>
        <v>156.79</v>
      </c>
      <c r="GV167" s="2413">
        <f>+'ANEXOA-MODIFICADO'!O461</f>
        <v>156.79</v>
      </c>
      <c r="GW167" s="2415">
        <f>+'ANEXOA-MODIFICADO'!D467</f>
        <v>161.33000000000001</v>
      </c>
      <c r="GX167" s="2415">
        <f>+'ANEXOA-MODIFICADO'!E467</f>
        <v>162.30000000000001</v>
      </c>
      <c r="GY167" s="2415">
        <f>+'ANEXOA-MODIFICADO'!F467</f>
        <v>162.30000000000001</v>
      </c>
      <c r="GZ167" s="2415">
        <f>+'ANEXOA-MODIFICADO'!G467</f>
        <v>165.01</v>
      </c>
      <c r="HA167" s="2415">
        <f>+'ANEXOA-MODIFICADO'!H467</f>
        <v>190.11</v>
      </c>
      <c r="HB167" s="2415">
        <f>+'ANEXOA-MODIFICADO'!I467</f>
        <v>191.06</v>
      </c>
      <c r="HC167" s="2415">
        <f>+'ANEXOA-MODIFICADO'!J467</f>
        <v>201.56</v>
      </c>
      <c r="HD167" s="2415">
        <f>+'ANEXOA-MODIFICADO'!K467</f>
        <v>202.56</v>
      </c>
      <c r="HE167" s="2415">
        <f>+'ANEXOA-MODIFICADO'!L467</f>
        <v>264.74</v>
      </c>
      <c r="HF167" s="2415">
        <f>+'ANEXOA-MODIFICADO'!M467</f>
        <v>264.74</v>
      </c>
      <c r="HG167" s="2415">
        <f>+'ANEXOA-MODIFICADO'!N467</f>
        <v>264.74</v>
      </c>
      <c r="HH167" s="2415">
        <f>+'ANEXOA-MODIFICADO'!O467</f>
        <v>266.5</v>
      </c>
      <c r="HI167" s="2415">
        <f>+'ANEXOA-MODIFICADO'!D473</f>
        <v>264.74</v>
      </c>
      <c r="HJ167" s="2415">
        <f>+'ANEXOA-MODIFICADO'!E473</f>
        <v>266.5</v>
      </c>
      <c r="HK167" s="2415">
        <f>+'ANEXOA-MODIFICADO'!F473</f>
        <v>270.58999999999997</v>
      </c>
      <c r="HL167" s="2415">
        <f>+'ANEXOA-MODIFICADO'!G473</f>
        <v>273.29000000000002</v>
      </c>
      <c r="HM167" s="2415">
        <f>+'ANEXOA-MODIFICADO'!H473</f>
        <v>273.29000000000002</v>
      </c>
      <c r="HN167" s="2415">
        <f>+'ANEXOA-MODIFICADO'!I473</f>
        <v>277.7</v>
      </c>
      <c r="HO167" s="2415">
        <f>+'ANEXOA-MODIFICADO'!J473</f>
        <v>285.58</v>
      </c>
      <c r="HP167" s="2415">
        <f>+'ANEXOA-MODIFICADO'!K473</f>
        <v>328.41</v>
      </c>
      <c r="HQ167" s="2415">
        <f>+'ANEXOA-MODIFICADO'!L473</f>
        <v>328.41</v>
      </c>
      <c r="HR167" s="2415">
        <f>+'ANEXOA-MODIFICADO'!M473</f>
        <v>354.46</v>
      </c>
      <c r="HS167" s="2415">
        <f>+'ANEXOA-MODIFICADO'!N473</f>
        <v>360.37</v>
      </c>
      <c r="HT167" s="2415">
        <f>+'ANEXOA-MODIFICADO'!O473</f>
        <v>384.02</v>
      </c>
      <c r="HU167" s="2420">
        <f>+'ANEXOA-MODIFICADO'!D479</f>
        <v>394.2</v>
      </c>
      <c r="HV167" s="2417">
        <f>+'ANEXOA-MODIFICADO'!E479</f>
        <v>402.45</v>
      </c>
      <c r="HW167" s="2417">
        <f>+'ANEXOA-MODIFICADO'!F479</f>
        <v>402.45</v>
      </c>
      <c r="HX167" s="2417">
        <f>+'ANEXOA-MODIFICADO'!G479</f>
        <v>402.45</v>
      </c>
      <c r="HY167" s="2417">
        <f>+'ANEXOA-MODIFICADO'!H479</f>
        <v>404.7</v>
      </c>
      <c r="HZ167" s="2417">
        <f>+'ANEXOA-MODIFICADO'!I479</f>
        <v>404.7</v>
      </c>
      <c r="IA167" s="2417">
        <f>+'ANEXOA-MODIFICADO'!J479</f>
        <v>404.7</v>
      </c>
      <c r="IB167" s="2417">
        <f>+'ANEXOA-MODIFICADO'!K479</f>
        <v>404.7</v>
      </c>
      <c r="IC167" s="2417">
        <f>+'ANEXOA-MODIFICADO'!L479</f>
        <v>404.7</v>
      </c>
      <c r="ID167" s="2417">
        <f>+'ANEXOA-MODIFICADO'!M479</f>
        <v>404.7</v>
      </c>
      <c r="IE167" s="2417">
        <f>+'ANEXOA-MODIFICADO'!N479</f>
        <v>404.7</v>
      </c>
      <c r="IF167" s="2419">
        <f>+'ANEXOA-MODIFICADO'!O479</f>
        <v>404.7</v>
      </c>
      <c r="IG167" s="2420">
        <f>+'ANEXOA-MODIFICADO'!D485</f>
        <v>429.36</v>
      </c>
      <c r="IH167" s="2417">
        <f>+'ANEXOA-MODIFICADO'!E485</f>
        <v>429.36</v>
      </c>
      <c r="II167" s="2417">
        <f>+'ANEXOA-MODIFICADO'!F485</f>
        <v>429.36</v>
      </c>
      <c r="IJ167" s="2417">
        <f>+'ANEXOA-MODIFICADO'!G485</f>
        <v>429.36</v>
      </c>
      <c r="IK167" s="2417">
        <f>+'ANEXOA-MODIFICADO'!H485</f>
        <v>435.88</v>
      </c>
      <c r="IL167" s="2417">
        <f>+'ANEXOA-MODIFICADO'!I485</f>
        <v>433.44</v>
      </c>
      <c r="IM167" s="2417">
        <f>+'ANEXOA-MODIFICADO'!J485</f>
        <v>434.79</v>
      </c>
      <c r="IN167" s="2417">
        <f>+'ANEXOA-MODIFICADO'!K485</f>
        <v>465.4</v>
      </c>
      <c r="IO167" s="2417">
        <f>+'ANEXOA-MODIFICADO'!L485</f>
        <v>481.15</v>
      </c>
      <c r="IP167" s="2417">
        <f>+'ANEXOA-MODIFICADO'!M485</f>
        <v>483.35</v>
      </c>
      <c r="IQ167" s="2417">
        <f>+'ANEXOA-MODIFICADO'!N485</f>
        <v>490.34</v>
      </c>
      <c r="IR167" s="2419">
        <f>+'ANEXOA-MODIFICADO'!O485</f>
        <v>506.56</v>
      </c>
      <c r="IS167" s="2420">
        <f>+'ANEXOA-MODIFICADO'!D491</f>
        <v>509.53</v>
      </c>
      <c r="IT167" s="2417">
        <f>+'ANEXOA-MODIFICADO'!E491</f>
        <v>517.83000000000004</v>
      </c>
      <c r="IU167" s="2417">
        <f>+'ANEXOA-MODIFICADO'!F491</f>
        <v>525.89</v>
      </c>
      <c r="IV167" s="2417">
        <f>+'ANEXOA-MODIFICADO'!G491</f>
        <v>555.61</v>
      </c>
      <c r="IW167" s="2417">
        <f>+'ANEXOA-MODIFICADO'!H491</f>
        <v>579.99</v>
      </c>
      <c r="IX167" s="2417">
        <f>+'ANEXOA-MODIFICADO'!I491</f>
        <v>596.80999999999995</v>
      </c>
      <c r="IY167" s="2417">
        <f>+'ANEXOA-MODIFICADO'!J491</f>
        <v>664.02</v>
      </c>
      <c r="IZ167" s="2417">
        <f>+'ANEXOA-MODIFICADO'!K491</f>
        <v>696.01</v>
      </c>
      <c r="JA167" s="2417">
        <f>+'ANEXOA-MODIFICADO'!L491</f>
        <v>709.68</v>
      </c>
      <c r="JB167" s="2417">
        <f>+'ANEXOA-MODIFICADO'!M491</f>
        <v>753.43</v>
      </c>
      <c r="JC167" s="2417">
        <f>+'ANEXOA-MODIFICADO'!N491</f>
        <v>764.12</v>
      </c>
      <c r="JD167" s="2415">
        <f>+'ANEXOA-MODIFICADO'!O491</f>
        <v>830.19</v>
      </c>
      <c r="JE167" s="2422">
        <f>+'ANEXOA-MODIFICADO'!D497</f>
        <v>872.76</v>
      </c>
      <c r="JF167" s="2418">
        <f>+'ANEXOA-MODIFICADO'!E497</f>
        <v>938.09</v>
      </c>
      <c r="JG167" s="2103">
        <f t="shared" si="14"/>
        <v>1.0748544846234933</v>
      </c>
      <c r="JI167" s="2155"/>
      <c r="JJ167" s="2104"/>
    </row>
    <row r="168" spans="2:271" ht="31.5">
      <c r="B168" s="2105">
        <v>222</v>
      </c>
      <c r="C168" s="2106"/>
      <c r="D168" s="2425">
        <v>0</v>
      </c>
      <c r="E168" s="2128" t="s">
        <v>874</v>
      </c>
      <c r="F168" s="2106" t="s">
        <v>918</v>
      </c>
      <c r="G168" s="2425" t="s">
        <v>1113</v>
      </c>
      <c r="H168" s="2106" t="s">
        <v>336</v>
      </c>
      <c r="I168" s="2106" t="s">
        <v>229</v>
      </c>
      <c r="J168" s="2359" t="s">
        <v>433</v>
      </c>
      <c r="K168" s="2425"/>
      <c r="L168" s="2409">
        <v>100</v>
      </c>
      <c r="M168" s="2409">
        <v>111.26</v>
      </c>
      <c r="N168" s="2409">
        <v>142.68</v>
      </c>
      <c r="O168" s="2409">
        <v>174.1</v>
      </c>
      <c r="P168" s="2409">
        <v>203.83</v>
      </c>
      <c r="Q168" s="2409">
        <v>268.83999999999997</v>
      </c>
      <c r="R168" s="2409">
        <v>287.95</v>
      </c>
      <c r="S168" s="2409">
        <v>292.98</v>
      </c>
      <c r="T168" s="2409">
        <v>315.58999999999997</v>
      </c>
      <c r="U168" s="2409">
        <v>310.33999999999997</v>
      </c>
      <c r="V168" s="2409">
        <v>311.52999999999997</v>
      </c>
      <c r="W168" s="2409">
        <v>287.05</v>
      </c>
      <c r="X168" s="2409">
        <v>283.47000000000003</v>
      </c>
      <c r="Y168" s="2409">
        <v>270.45999999999998</v>
      </c>
      <c r="Z168" s="2409">
        <v>267.06</v>
      </c>
      <c r="AA168" s="2409">
        <v>251.92</v>
      </c>
      <c r="AB168" s="2409">
        <v>240.1</v>
      </c>
      <c r="AC168" s="2409">
        <v>231.79</v>
      </c>
      <c r="AD168" s="2409">
        <v>229.73</v>
      </c>
      <c r="AE168" s="2409">
        <v>224.3</v>
      </c>
      <c r="AF168" s="2409">
        <v>230.57</v>
      </c>
      <c r="AG168" s="2409">
        <v>230.71</v>
      </c>
      <c r="AH168" s="2409">
        <v>227.05</v>
      </c>
      <c r="AI168" s="2409">
        <v>228.31</v>
      </c>
      <c r="AJ168" s="2409">
        <v>233.62</v>
      </c>
      <c r="AK168" s="2409">
        <v>231.9</v>
      </c>
      <c r="AL168" s="2409">
        <v>233.13</v>
      </c>
      <c r="AM168" s="2409">
        <v>232.09</v>
      </c>
      <c r="AN168" s="2409">
        <v>227.41</v>
      </c>
      <c r="AO168" s="2409">
        <v>231.5</v>
      </c>
      <c r="AP168" s="2409">
        <v>233.72</v>
      </c>
      <c r="AQ168" s="2409">
        <v>232.24</v>
      </c>
      <c r="AR168" s="2409">
        <v>236.09</v>
      </c>
      <c r="AS168" s="2409">
        <v>231.54</v>
      </c>
      <c r="AT168" s="2409">
        <v>230.78</v>
      </c>
      <c r="AU168" s="2409">
        <v>230.89</v>
      </c>
      <c r="AV168" s="2409">
        <v>233.02</v>
      </c>
      <c r="AW168" s="2410">
        <v>232.13</v>
      </c>
      <c r="AX168" s="2410">
        <v>229.97</v>
      </c>
      <c r="AY168" s="2410">
        <v>231.29</v>
      </c>
      <c r="AZ168" s="2410">
        <v>231.38</v>
      </c>
      <c r="BA168" s="2410">
        <v>231.27</v>
      </c>
      <c r="BB168" s="2410">
        <v>229.65</v>
      </c>
      <c r="BC168" s="2410">
        <v>229.03</v>
      </c>
      <c r="BD168" s="2411">
        <v>230.01</v>
      </c>
      <c r="BE168" s="2410">
        <v>231.04</v>
      </c>
      <c r="BF168" s="2411">
        <v>233.38</v>
      </c>
      <c r="BG168" s="2411">
        <v>233.4</v>
      </c>
      <c r="BH168" s="2411">
        <v>236.03</v>
      </c>
      <c r="BI168" s="2412">
        <v>238.35</v>
      </c>
      <c r="BJ168" s="2412">
        <v>239.91</v>
      </c>
      <c r="BK168" s="2412">
        <v>241.5</v>
      </c>
      <c r="BL168" s="2412">
        <v>235.88</v>
      </c>
      <c r="BM168" s="2412">
        <v>236.38</v>
      </c>
      <c r="BN168" s="2412">
        <v>236.81</v>
      </c>
      <c r="BO168" s="2412">
        <v>238.16</v>
      </c>
      <c r="BP168" s="2412">
        <v>241.89</v>
      </c>
      <c r="BQ168" s="2412">
        <v>243.45</v>
      </c>
      <c r="BR168" s="2412">
        <v>240.71</v>
      </c>
      <c r="BS168" s="2412">
        <v>236.34</v>
      </c>
      <c r="BT168" s="2412">
        <v>236.63</v>
      </c>
      <c r="BU168" s="2412">
        <v>237.51</v>
      </c>
      <c r="BV168" s="2412">
        <v>240.29</v>
      </c>
      <c r="BW168" s="2412">
        <v>238.62</v>
      </c>
      <c r="BX168" s="2412">
        <v>239.24</v>
      </c>
      <c r="BY168" s="2412">
        <v>241.52</v>
      </c>
      <c r="BZ168" s="2412">
        <v>242.14</v>
      </c>
      <c r="CA168" s="2412">
        <v>243.54</v>
      </c>
      <c r="CB168" s="2412">
        <v>246.09</v>
      </c>
      <c r="CC168" s="2412">
        <v>245.95</v>
      </c>
      <c r="CD168" s="2412">
        <v>247.8</v>
      </c>
      <c r="CE168" s="2412">
        <v>247.26</v>
      </c>
      <c r="CF168" s="2412">
        <v>249.53</v>
      </c>
      <c r="CG168" s="2412">
        <v>247.98</v>
      </c>
      <c r="CH168" s="2412">
        <v>250.75</v>
      </c>
      <c r="CI168" s="2412">
        <v>254.97</v>
      </c>
      <c r="CJ168" s="2412">
        <v>258.94</v>
      </c>
      <c r="CK168" s="2412">
        <v>259.98</v>
      </c>
      <c r="CL168" s="2412">
        <v>258.13</v>
      </c>
      <c r="CM168" s="2412">
        <v>257.89999999999998</v>
      </c>
      <c r="CN168" s="2412">
        <v>259.3</v>
      </c>
      <c r="CO168" s="2412">
        <v>259.5</v>
      </c>
      <c r="CP168" s="2412">
        <v>265.11</v>
      </c>
      <c r="CQ168" s="2412">
        <v>266.68</v>
      </c>
      <c r="CR168" s="2412">
        <v>270.3</v>
      </c>
      <c r="CS168" s="2412">
        <v>271.44</v>
      </c>
      <c r="CT168" s="2412">
        <v>274.99</v>
      </c>
      <c r="CU168" s="2412">
        <v>279.47000000000003</v>
      </c>
      <c r="CV168" s="2412">
        <v>283.89</v>
      </c>
      <c r="CW168" s="2412">
        <v>285.73</v>
      </c>
      <c r="CX168" s="2412">
        <v>286.08999999999997</v>
      </c>
      <c r="CY168" s="2412">
        <v>287.45</v>
      </c>
      <c r="CZ168" s="2412">
        <v>291.01</v>
      </c>
      <c r="DA168" s="2412">
        <v>292.39</v>
      </c>
      <c r="DB168" s="2412">
        <v>293.5</v>
      </c>
      <c r="DC168" s="2412">
        <v>293.26</v>
      </c>
      <c r="DD168" s="2412">
        <v>293.41000000000003</v>
      </c>
      <c r="DE168" s="2412">
        <v>294.48</v>
      </c>
      <c r="DF168" s="2412">
        <v>297.39999999999998</v>
      </c>
      <c r="DG168" s="2412">
        <v>298.51</v>
      </c>
      <c r="DH168" s="2412">
        <v>299.66000000000003</v>
      </c>
      <c r="DI168" s="2412">
        <v>303.18</v>
      </c>
      <c r="DJ168" s="2412">
        <v>302.92</v>
      </c>
      <c r="DK168" s="2412">
        <v>304.89999999999998</v>
      </c>
      <c r="DL168" s="2412">
        <v>305.45999999999998</v>
      </c>
      <c r="DM168" s="2412">
        <v>307.23</v>
      </c>
      <c r="DN168" s="2412">
        <v>312.12</v>
      </c>
      <c r="DO168" s="2412">
        <v>312.29000000000002</v>
      </c>
      <c r="DP168" s="2412">
        <v>312.8</v>
      </c>
      <c r="DQ168" s="2412">
        <v>314.74</v>
      </c>
      <c r="DR168" s="2412">
        <v>316.7</v>
      </c>
      <c r="DS168" s="2412">
        <v>316.02</v>
      </c>
      <c r="DT168" s="2412">
        <v>319.25</v>
      </c>
      <c r="DU168" s="2412">
        <v>320.07</v>
      </c>
      <c r="DV168" s="2412">
        <v>322.97000000000003</v>
      </c>
      <c r="DW168" s="2412">
        <v>326.48</v>
      </c>
      <c r="DX168" s="2412">
        <v>328.32</v>
      </c>
      <c r="DY168" s="2412">
        <v>329.63</v>
      </c>
      <c r="DZ168" s="2412">
        <v>330.69</v>
      </c>
      <c r="EA168" s="2412">
        <v>330.62</v>
      </c>
      <c r="EB168" s="2412">
        <v>334.4</v>
      </c>
      <c r="EC168" s="2412">
        <v>335.97</v>
      </c>
      <c r="ED168" s="2412">
        <v>336.71</v>
      </c>
      <c r="EE168" s="2412">
        <v>342.98</v>
      </c>
      <c r="EF168" s="2412">
        <v>346.28</v>
      </c>
      <c r="EG168" s="2412">
        <v>348.05</v>
      </c>
      <c r="EH168" s="2412">
        <v>350.33</v>
      </c>
      <c r="EI168" s="2412">
        <v>356.44</v>
      </c>
      <c r="EJ168" s="2412">
        <v>359.35</v>
      </c>
      <c r="EK168" s="2412">
        <v>362.62</v>
      </c>
      <c r="EL168" s="2412">
        <v>364.52</v>
      </c>
      <c r="EM168" s="2412">
        <v>367.04</v>
      </c>
      <c r="EN168" s="2412">
        <v>369.1</v>
      </c>
      <c r="EO168" s="2412">
        <v>373.71</v>
      </c>
      <c r="EP168" s="2412">
        <v>377.44</v>
      </c>
      <c r="EQ168" s="2412">
        <v>380.57</v>
      </c>
      <c r="ER168" s="2412">
        <v>385.81</v>
      </c>
      <c r="ES168" s="2412">
        <v>390.47</v>
      </c>
      <c r="ET168" s="2412">
        <v>393.54</v>
      </c>
      <c r="EU168" s="2412">
        <v>396.16</v>
      </c>
      <c r="EV168" s="2412">
        <v>399.84</v>
      </c>
      <c r="EW168" s="2412">
        <v>403.77</v>
      </c>
      <c r="EX168" s="2412">
        <v>405.46</v>
      </c>
      <c r="EY168" s="2412">
        <v>408.27</v>
      </c>
      <c r="EZ168" s="2412">
        <v>417.76</v>
      </c>
      <c r="FA168" s="2412">
        <v>429.35</v>
      </c>
      <c r="FB168" s="2412">
        <v>462.13</v>
      </c>
      <c r="FC168" s="2412">
        <v>471.88</v>
      </c>
      <c r="FD168" s="2412">
        <v>475.42</v>
      </c>
      <c r="FE168" s="2412">
        <v>478.02</v>
      </c>
      <c r="FF168" s="2412">
        <v>481.5</v>
      </c>
      <c r="FG168" s="2412">
        <v>480.13</v>
      </c>
      <c r="FH168" s="2412">
        <v>497.03</v>
      </c>
      <c r="FI168" s="2412">
        <v>502.59</v>
      </c>
      <c r="FJ168" s="2412">
        <v>507.98</v>
      </c>
      <c r="FK168" s="2412">
        <v>514.42999999999995</v>
      </c>
      <c r="FL168" s="2412">
        <v>515.37</v>
      </c>
      <c r="FM168" s="2412">
        <v>518.89</v>
      </c>
      <c r="FN168" s="2412">
        <v>520.91999999999996</v>
      </c>
      <c r="FO168" s="2412">
        <v>533.51</v>
      </c>
      <c r="FP168" s="2412">
        <v>550.91999999999996</v>
      </c>
      <c r="FQ168" s="2412">
        <v>562.13</v>
      </c>
      <c r="FR168" s="2412">
        <v>574.11</v>
      </c>
      <c r="FS168" s="2412">
        <v>584.46</v>
      </c>
      <c r="FT168" s="2412">
        <v>595.29999999999995</v>
      </c>
      <c r="FU168" s="2412">
        <v>597.77</v>
      </c>
      <c r="FV168" s="2412">
        <v>605.84</v>
      </c>
      <c r="FW168" s="2413" t="e">
        <f>+'ANEXOA-MODIFICADO'!N113</f>
        <v>#REF!</v>
      </c>
      <c r="FX168" s="2413" t="e">
        <f>+'ANEXOA-MODIFICADO'!O113</f>
        <v>#REF!</v>
      </c>
      <c r="FY168" s="2413">
        <f>+'ANEXOA-MODIFICADO'!D120</f>
        <v>100</v>
      </c>
      <c r="FZ168" s="2413">
        <f>+'ANEXOA-MODIFICADO'!E120</f>
        <v>112.96</v>
      </c>
      <c r="GA168" s="2413">
        <f>+'ANEXOA-MODIFICADO'!F120</f>
        <v>107.56</v>
      </c>
      <c r="GB168" s="2413">
        <f>+'ANEXOA-MODIFICADO'!G120</f>
        <v>106.15</v>
      </c>
      <c r="GC168" s="2413">
        <f>+'ANEXOA-MODIFICADO'!H120</f>
        <v>103.93</v>
      </c>
      <c r="GD168" s="2413">
        <f>+'ANEXOA-MODIFICADO'!I120</f>
        <v>111.85</v>
      </c>
      <c r="GE168" s="2413">
        <f>+'ANEXOA-MODIFICADO'!J120</f>
        <v>111.85</v>
      </c>
      <c r="GF168" s="2413">
        <f>+'ANEXOA-MODIFICADO'!K120</f>
        <v>111.85</v>
      </c>
      <c r="GG168" s="2413">
        <f>+'ANEXOA-MODIFICADO'!L120</f>
        <v>112.59</v>
      </c>
      <c r="GH168" s="2413">
        <f>+'ANEXOA-MODIFICADO'!M120</f>
        <v>114.59</v>
      </c>
      <c r="GI168" s="2413">
        <f>+'ANEXOA-MODIFICADO'!N120</f>
        <v>116.67</v>
      </c>
      <c r="GJ168" s="2413">
        <f>+'ANEXOA-MODIFICADO'!O120</f>
        <v>118.89</v>
      </c>
      <c r="GK168" s="2413">
        <f>+'ANEXOA-MODIFICADO'!D127</f>
        <v>119.26</v>
      </c>
      <c r="GL168" s="2413">
        <f>+'ANEXOA-MODIFICADO'!E127</f>
        <v>115.56</v>
      </c>
      <c r="GM168" s="2413">
        <f>+'ANEXOA-MODIFICADO'!F127</f>
        <v>115.93</v>
      </c>
      <c r="GN168" s="2413">
        <f>+'ANEXOA-MODIFICADO'!G127</f>
        <v>116.3</v>
      </c>
      <c r="GO168" s="2413">
        <f>+'ANEXOA-MODIFICADO'!H127</f>
        <v>120</v>
      </c>
      <c r="GP168" s="2413">
        <f>+'ANEXOA-MODIFICADO'!I127</f>
        <v>121.85</v>
      </c>
      <c r="GQ168" s="2413">
        <f>+'ANEXOA-MODIFICADO'!J127</f>
        <v>137.97999999999999</v>
      </c>
      <c r="GR168" s="2413">
        <f>+'ANEXOA-MODIFICADO'!K127</f>
        <v>140.16</v>
      </c>
      <c r="GS168" s="2413">
        <f>+'ANEXOA-MODIFICADO'!L127</f>
        <v>137.74</v>
      </c>
      <c r="GT168" s="2413">
        <f>+'ANEXOA-MODIFICADO'!M127</f>
        <v>139.6</v>
      </c>
      <c r="GU168" s="2413">
        <f>+'ANEXOA-MODIFICADO'!N127</f>
        <v>142.4</v>
      </c>
      <c r="GV168" s="2413">
        <f>+'ANEXOA-MODIFICADO'!O127</f>
        <v>146.66999999999999</v>
      </c>
      <c r="GW168" s="2415">
        <f>+'ANEXOA-MODIFICADO'!D134</f>
        <v>154</v>
      </c>
      <c r="GX168" s="2415">
        <f>+'ANEXOA-MODIFICADO'!E134</f>
        <v>158.62</v>
      </c>
      <c r="GY168" s="2415">
        <f>+'ANEXOA-MODIFICADO'!F134</f>
        <v>163.38</v>
      </c>
      <c r="GZ168" s="2415">
        <f>+'ANEXOA-MODIFICADO'!G134</f>
        <v>163.38</v>
      </c>
      <c r="HA168" s="2415">
        <f>+'ANEXOA-MODIFICADO'!H134</f>
        <v>199.94</v>
      </c>
      <c r="HB168" s="2415">
        <f>+'ANEXOA-MODIFICADO'!I134</f>
        <v>226.23</v>
      </c>
      <c r="HC168" s="2415">
        <f>+'ANEXOA-MODIFICADO'!J134</f>
        <v>223.84</v>
      </c>
      <c r="HD168" s="2415">
        <f>+'ANEXOA-MODIFICADO'!K134</f>
        <v>234.99</v>
      </c>
      <c r="HE168" s="2415">
        <f>+'ANEXOA-MODIFICADO'!L134</f>
        <v>316.49</v>
      </c>
      <c r="HF168" s="2415">
        <f>+'ANEXOA-MODIFICADO'!M134</f>
        <v>300.87</v>
      </c>
      <c r="HG168" s="2415">
        <f>+'ANEXOA-MODIFICADO'!N134</f>
        <v>283.43</v>
      </c>
      <c r="HH168" s="2415">
        <f>+'ANEXOA-MODIFICADO'!O134</f>
        <v>306.31</v>
      </c>
      <c r="HI168" s="2415">
        <f>+'ANEXOA-MODIFICADO'!D141</f>
        <v>294.77999999999997</v>
      </c>
      <c r="HJ168" s="2415">
        <f>+'ANEXOA-MODIFICADO'!E141</f>
        <v>316.83999999999997</v>
      </c>
      <c r="HK168" s="2415">
        <f>+'ANEXOA-MODIFICADO'!F141</f>
        <v>326.27</v>
      </c>
      <c r="HL168" s="2415">
        <f>+'ANEXOA-MODIFICADO'!G141</f>
        <v>347.76</v>
      </c>
      <c r="HM168" s="2415">
        <f>+'ANEXOA-MODIFICADO'!H141</f>
        <v>376.02</v>
      </c>
      <c r="HN168" s="2415">
        <f>+'ANEXOA-MODIFICADO'!I141</f>
        <v>357.55</v>
      </c>
      <c r="HO168" s="2415">
        <f>+'ANEXOA-MODIFICADO'!J141</f>
        <v>356.55</v>
      </c>
      <c r="HP168" s="2415">
        <f>+'ANEXOA-MODIFICADO'!K141</f>
        <v>459.75</v>
      </c>
      <c r="HQ168" s="2415">
        <f>+'ANEXOA-MODIFICADO'!L141</f>
        <v>481.2</v>
      </c>
      <c r="HR168" s="2415">
        <f>+'ANEXOA-MODIFICADO'!M141</f>
        <v>501.36</v>
      </c>
      <c r="HS168" s="2415">
        <f>+'ANEXOA-MODIFICADO'!N141</f>
        <v>484.59</v>
      </c>
      <c r="HT168" s="2415">
        <f>+'ANEXOA-MODIFICADO'!O141</f>
        <v>484.59</v>
      </c>
      <c r="HU168" s="2420">
        <f>+'ANEXOA-MODIFICADO'!D148</f>
        <v>508.78</v>
      </c>
      <c r="HV168" s="2417">
        <f>+'ANEXOA-MODIFICADO'!E148</f>
        <v>515.99</v>
      </c>
      <c r="HW168" s="2417">
        <f>+'ANEXOA-MODIFICADO'!F148</f>
        <v>530.1</v>
      </c>
      <c r="HX168" s="2417">
        <f>+'ANEXOA-MODIFICADO'!G148</f>
        <v>554.28</v>
      </c>
      <c r="HY168" s="2417">
        <f>+'ANEXOA-MODIFICADO'!H148</f>
        <v>568.39</v>
      </c>
      <c r="HZ168" s="2417">
        <f>+'ANEXOA-MODIFICADO'!I148</f>
        <v>592.58000000000004</v>
      </c>
      <c r="IA168" s="2417">
        <f>+'ANEXOA-MODIFICADO'!J148</f>
        <v>614.75</v>
      </c>
      <c r="IB168" s="2417">
        <f>+'ANEXOA-MODIFICADO'!K148</f>
        <v>628.86</v>
      </c>
      <c r="IC168" s="2417">
        <f>+'ANEXOA-MODIFICADO'!L148</f>
        <v>644.98</v>
      </c>
      <c r="ID168" s="2417">
        <f>+'ANEXOA-MODIFICADO'!M148</f>
        <v>673.2</v>
      </c>
      <c r="IE168" s="2417">
        <f>+'ANEXOA-MODIFICADO'!N148</f>
        <v>697.39</v>
      </c>
      <c r="IF168" s="2419">
        <f>+'ANEXOA-MODIFICADO'!O148</f>
        <v>719.56</v>
      </c>
      <c r="IG168" s="2420">
        <f>+'ANEXOA-MODIFICADO'!D155</f>
        <v>741.73</v>
      </c>
      <c r="IH168" s="2417">
        <f>+'ANEXOA-MODIFICADO'!E155</f>
        <v>761.89</v>
      </c>
      <c r="II168" s="2417">
        <f>+'ANEXOA-MODIFICADO'!F155</f>
        <v>784.06</v>
      </c>
      <c r="IJ168" s="2417">
        <f>+'ANEXOA-MODIFICADO'!G155</f>
        <v>794.14</v>
      </c>
      <c r="IK168" s="2417">
        <f>+'ANEXOA-MODIFICADO'!H155</f>
        <v>806.23</v>
      </c>
      <c r="IL168" s="2417">
        <f>+'ANEXOA-MODIFICADO'!I155</f>
        <v>812.28</v>
      </c>
      <c r="IM168" s="2417">
        <f>+'ANEXOA-MODIFICADO'!J155</f>
        <v>820.34</v>
      </c>
      <c r="IN168" s="2417">
        <f>+'ANEXOA-MODIFICADO'!K155</f>
        <v>828.4</v>
      </c>
      <c r="IO168" s="2417">
        <f>+'ANEXOA-MODIFICADO'!L155</f>
        <v>836.46</v>
      </c>
      <c r="IP168" s="2417">
        <f>+'ANEXOA-MODIFICADO'!M155</f>
        <v>846.54</v>
      </c>
      <c r="IQ168" s="2417">
        <f>+'ANEXOA-MODIFICADO'!N155</f>
        <v>852.59</v>
      </c>
      <c r="IR168" s="2419">
        <f>+'ANEXOA-MODIFICADO'!O155</f>
        <v>868.71</v>
      </c>
      <c r="IS168" s="2420">
        <f>+'ANEXOA-MODIFICADO'!D162</f>
        <v>888.87</v>
      </c>
      <c r="IT168" s="2417">
        <f>+'ANEXOA-MODIFICADO'!E162</f>
        <v>907.01</v>
      </c>
      <c r="IU168" s="2417">
        <f>+'ANEXOA-MODIFICADO'!F162</f>
        <v>935.23</v>
      </c>
      <c r="IV168" s="2417">
        <f>+'ANEXOA-MODIFICADO'!G162</f>
        <v>969.49</v>
      </c>
      <c r="IW168" s="2417">
        <f>+'ANEXOA-MODIFICADO'!H162</f>
        <v>1009.8</v>
      </c>
      <c r="IX168" s="2417">
        <f>+'ANEXOA-MODIFICADO'!I162</f>
        <v>1046.08</v>
      </c>
      <c r="IY168" s="2417">
        <f>+'ANEXOA-MODIFICADO'!J162</f>
        <v>1106.55</v>
      </c>
      <c r="IZ168" s="2417">
        <f>+'ANEXOA-MODIFICADO'!K162</f>
        <v>1142.83</v>
      </c>
      <c r="JA168" s="2417">
        <f>+'ANEXOA-MODIFICADO'!L162</f>
        <v>1233.53</v>
      </c>
      <c r="JB168" s="2417">
        <f>+'ANEXOA-MODIFICADO'!M162</f>
        <v>1310.1199999999999</v>
      </c>
      <c r="JC168" s="2417">
        <f>+'ANEXOA-MODIFICADO'!N162</f>
        <v>1404.85</v>
      </c>
      <c r="JD168" s="2415">
        <f>+'ANEXOA-MODIFICADO'!O162</f>
        <v>1477.41</v>
      </c>
      <c r="JE168" s="2422">
        <f>+'ANEXOA-MODIFICADO'!D169</f>
        <v>1558.04</v>
      </c>
      <c r="JF168" s="2418">
        <f>+'ANEXOA-MODIFICADO'!E169</f>
        <v>1644.71</v>
      </c>
      <c r="JG168" s="2103">
        <f t="shared" si="14"/>
        <v>1.0556275833739828</v>
      </c>
      <c r="JI168" s="2155"/>
      <c r="JJ168" s="2104"/>
    </row>
    <row r="169" spans="2:271" ht="31.5">
      <c r="B169" s="2276">
        <v>223</v>
      </c>
      <c r="C169" s="2277"/>
      <c r="D169" s="2278">
        <v>0</v>
      </c>
      <c r="E169" s="2303" t="s">
        <v>340</v>
      </c>
      <c r="F169" s="2277" t="s">
        <v>918</v>
      </c>
      <c r="G169" s="2278" t="s">
        <v>1113</v>
      </c>
      <c r="H169" s="2303" t="s">
        <v>336</v>
      </c>
      <c r="I169" s="2277" t="s">
        <v>229</v>
      </c>
      <c r="J169" s="2304" t="s">
        <v>339</v>
      </c>
      <c r="K169" s="2278"/>
      <c r="L169" s="2409">
        <v>100</v>
      </c>
      <c r="M169" s="2409">
        <v>107.85</v>
      </c>
      <c r="N169" s="2409">
        <v>129.88</v>
      </c>
      <c r="O169" s="2409">
        <v>151.97</v>
      </c>
      <c r="P169" s="2409">
        <v>172.97</v>
      </c>
      <c r="Q169" s="2409">
        <v>218.8</v>
      </c>
      <c r="R169" s="2409">
        <v>232.85</v>
      </c>
      <c r="S169" s="2409">
        <v>237.15</v>
      </c>
      <c r="T169" s="2409">
        <v>254.1</v>
      </c>
      <c r="U169" s="2409">
        <v>250.59</v>
      </c>
      <c r="V169" s="2409">
        <v>251.19</v>
      </c>
      <c r="W169" s="2409">
        <v>233.61</v>
      </c>
      <c r="X169" s="2409">
        <v>231.13</v>
      </c>
      <c r="Y169" s="2409">
        <v>222.83</v>
      </c>
      <c r="Z169" s="2409">
        <v>220.9</v>
      </c>
      <c r="AA169" s="2409">
        <v>210.66</v>
      </c>
      <c r="AB169" s="2409">
        <v>202</v>
      </c>
      <c r="AC169" s="2409">
        <v>197.24</v>
      </c>
      <c r="AD169" s="2409">
        <v>195.8</v>
      </c>
      <c r="AE169" s="2409">
        <v>192.67</v>
      </c>
      <c r="AF169" s="2409">
        <v>198.16</v>
      </c>
      <c r="AG169" s="2409">
        <v>198.9</v>
      </c>
      <c r="AH169" s="2409">
        <v>197.24</v>
      </c>
      <c r="AI169" s="2409">
        <v>198.6</v>
      </c>
      <c r="AJ169" s="2409">
        <v>202.87</v>
      </c>
      <c r="AK169" s="2409">
        <v>203.34</v>
      </c>
      <c r="AL169" s="2409">
        <v>205.13</v>
      </c>
      <c r="AM169" s="2409">
        <v>204.47</v>
      </c>
      <c r="AN169" s="2409">
        <v>201.29</v>
      </c>
      <c r="AO169" s="2409">
        <v>204.06</v>
      </c>
      <c r="AP169" s="2409">
        <v>205.45</v>
      </c>
      <c r="AQ169" s="2409">
        <v>205.54</v>
      </c>
      <c r="AR169" s="2409">
        <v>207.88</v>
      </c>
      <c r="AS169" s="2409">
        <v>204.57</v>
      </c>
      <c r="AT169" s="2409">
        <v>204.36</v>
      </c>
      <c r="AU169" s="2409">
        <v>204.37</v>
      </c>
      <c r="AV169" s="2409">
        <v>205.92</v>
      </c>
      <c r="AW169" s="2410">
        <v>207.65</v>
      </c>
      <c r="AX169" s="2410">
        <v>206.24</v>
      </c>
      <c r="AY169" s="2410">
        <v>207.35</v>
      </c>
      <c r="AZ169" s="2410">
        <v>211.09</v>
      </c>
      <c r="BA169" s="2410">
        <v>211.72</v>
      </c>
      <c r="BB169" s="2410">
        <v>211</v>
      </c>
      <c r="BC169" s="2410">
        <v>210.83</v>
      </c>
      <c r="BD169" s="2411">
        <v>211.96</v>
      </c>
      <c r="BE169" s="2410">
        <v>212.88</v>
      </c>
      <c r="BF169" s="2411">
        <v>215.45</v>
      </c>
      <c r="BG169" s="2411">
        <v>218.3</v>
      </c>
      <c r="BH169" s="2411">
        <v>220.49</v>
      </c>
      <c r="BI169" s="2412">
        <v>224.05</v>
      </c>
      <c r="BJ169" s="2412">
        <v>227.2</v>
      </c>
      <c r="BK169" s="2412">
        <v>228.76</v>
      </c>
      <c r="BL169" s="2412">
        <v>226.21</v>
      </c>
      <c r="BM169" s="2412">
        <v>227.14</v>
      </c>
      <c r="BN169" s="2412">
        <v>231.59</v>
      </c>
      <c r="BO169" s="2412">
        <v>233.12</v>
      </c>
      <c r="BP169" s="2412">
        <v>235.99</v>
      </c>
      <c r="BQ169" s="2412">
        <v>240.11</v>
      </c>
      <c r="BR169" s="2412">
        <v>239.12</v>
      </c>
      <c r="BS169" s="2412">
        <v>236.51</v>
      </c>
      <c r="BT169" s="2412">
        <v>237.61</v>
      </c>
      <c r="BU169" s="2412">
        <v>241.1</v>
      </c>
      <c r="BV169" s="2412">
        <v>243.24</v>
      </c>
      <c r="BW169" s="2412">
        <v>241.94</v>
      </c>
      <c r="BX169" s="2412">
        <v>243.53</v>
      </c>
      <c r="BY169" s="2412">
        <v>249.12</v>
      </c>
      <c r="BZ169" s="2412">
        <v>250.58</v>
      </c>
      <c r="CA169" s="2412">
        <v>254.81</v>
      </c>
      <c r="CB169" s="2412">
        <v>257.02</v>
      </c>
      <c r="CC169" s="2412">
        <v>257.66000000000003</v>
      </c>
      <c r="CD169" s="2412">
        <v>262.85000000000002</v>
      </c>
      <c r="CE169" s="2412">
        <v>260.83</v>
      </c>
      <c r="CF169" s="2412">
        <v>263.19</v>
      </c>
      <c r="CG169" s="2412">
        <v>262.10000000000002</v>
      </c>
      <c r="CH169" s="2412">
        <v>264.33</v>
      </c>
      <c r="CI169" s="2412">
        <v>267.51</v>
      </c>
      <c r="CJ169" s="2412">
        <v>270.58</v>
      </c>
      <c r="CK169" s="2412">
        <v>279.29000000000002</v>
      </c>
      <c r="CL169" s="2412">
        <v>276.42</v>
      </c>
      <c r="CM169" s="2412">
        <v>281.08999999999997</v>
      </c>
      <c r="CN169" s="2412">
        <v>281.43</v>
      </c>
      <c r="CO169" s="2412">
        <v>284.24</v>
      </c>
      <c r="CP169" s="2412">
        <v>288.49</v>
      </c>
      <c r="CQ169" s="2412">
        <v>289.70999999999998</v>
      </c>
      <c r="CR169" s="2412">
        <v>292.27999999999997</v>
      </c>
      <c r="CS169" s="2412">
        <v>293.82</v>
      </c>
      <c r="CT169" s="2412">
        <v>296.91000000000003</v>
      </c>
      <c r="CU169" s="2412">
        <v>299.98</v>
      </c>
      <c r="CV169" s="2412">
        <v>304.04000000000002</v>
      </c>
      <c r="CW169" s="2412">
        <v>306.2</v>
      </c>
      <c r="CX169" s="2412">
        <v>312.06</v>
      </c>
      <c r="CY169" s="2412">
        <v>314.26</v>
      </c>
      <c r="CZ169" s="2412">
        <v>317.01</v>
      </c>
      <c r="DA169" s="2412">
        <v>317.72000000000003</v>
      </c>
      <c r="DB169" s="2412">
        <v>323.74</v>
      </c>
      <c r="DC169" s="2412">
        <v>325.41000000000003</v>
      </c>
      <c r="DD169" s="2412">
        <v>325.97000000000003</v>
      </c>
      <c r="DE169" s="2412">
        <v>326.91000000000003</v>
      </c>
      <c r="DF169" s="2412">
        <v>332.3</v>
      </c>
      <c r="DG169" s="2412">
        <v>340.26</v>
      </c>
      <c r="DH169" s="2412">
        <v>333.46</v>
      </c>
      <c r="DI169" s="2412">
        <v>346.26</v>
      </c>
      <c r="DJ169" s="2412">
        <v>347.3</v>
      </c>
      <c r="DK169" s="2412">
        <v>351.33</v>
      </c>
      <c r="DL169" s="2412">
        <v>355.61</v>
      </c>
      <c r="DM169" s="2412">
        <v>358.43</v>
      </c>
      <c r="DN169" s="2412">
        <v>363.53</v>
      </c>
      <c r="DO169" s="2412">
        <v>364.45</v>
      </c>
      <c r="DP169" s="2412">
        <v>371.05</v>
      </c>
      <c r="DQ169" s="2412">
        <v>382.26</v>
      </c>
      <c r="DR169" s="2412">
        <v>386.79</v>
      </c>
      <c r="DS169" s="2412">
        <v>388.15</v>
      </c>
      <c r="DT169" s="2412">
        <v>392.92</v>
      </c>
      <c r="DU169" s="2412">
        <v>394.07</v>
      </c>
      <c r="DV169" s="2412">
        <v>394.04</v>
      </c>
      <c r="DW169" s="2412">
        <v>399.88</v>
      </c>
      <c r="DX169" s="2412">
        <v>405.99</v>
      </c>
      <c r="DY169" s="2412">
        <v>409.49</v>
      </c>
      <c r="DZ169" s="2412">
        <v>414.12</v>
      </c>
      <c r="EA169" s="2412">
        <v>419.83</v>
      </c>
      <c r="EB169" s="2412">
        <v>423.87</v>
      </c>
      <c r="EC169" s="2412">
        <v>438.29</v>
      </c>
      <c r="ED169" s="2412">
        <v>440.23</v>
      </c>
      <c r="EE169" s="2412">
        <v>446.06</v>
      </c>
      <c r="EF169" s="2412">
        <v>449.44</v>
      </c>
      <c r="EG169" s="2412">
        <v>435.16</v>
      </c>
      <c r="EH169" s="2412">
        <v>436.75</v>
      </c>
      <c r="EI169" s="2412">
        <v>490.41</v>
      </c>
      <c r="EJ169" s="2412">
        <v>496.08</v>
      </c>
      <c r="EK169" s="2412">
        <v>498.57</v>
      </c>
      <c r="EL169" s="2412">
        <v>499.87</v>
      </c>
      <c r="EM169" s="2412">
        <v>508.77</v>
      </c>
      <c r="EN169" s="2412">
        <v>509.28</v>
      </c>
      <c r="EO169" s="2412">
        <v>512.79999999999995</v>
      </c>
      <c r="EP169" s="2412">
        <v>515.92999999999995</v>
      </c>
      <c r="EQ169" s="2412">
        <v>521.72</v>
      </c>
      <c r="ER169" s="2412">
        <v>534.82000000000005</v>
      </c>
      <c r="ES169" s="2412">
        <v>537.34</v>
      </c>
      <c r="ET169" s="2412">
        <v>569.91</v>
      </c>
      <c r="EU169" s="2412">
        <v>570.13</v>
      </c>
      <c r="EV169" s="2412">
        <v>574.41999999999996</v>
      </c>
      <c r="EW169" s="2412">
        <v>591.65</v>
      </c>
      <c r="EX169" s="2412">
        <v>593.22</v>
      </c>
      <c r="EY169" s="2412">
        <v>595.09</v>
      </c>
      <c r="EZ169" s="2412">
        <v>602.64</v>
      </c>
      <c r="FA169" s="2412">
        <v>611.33000000000004</v>
      </c>
      <c r="FB169" s="2412">
        <v>635.76</v>
      </c>
      <c r="FC169" s="2412">
        <v>642.74</v>
      </c>
      <c r="FD169" s="2412">
        <v>681.95</v>
      </c>
      <c r="FE169" s="2412">
        <v>692.62</v>
      </c>
      <c r="FF169" s="2412">
        <v>694.93</v>
      </c>
      <c r="FG169" s="2412">
        <v>719.91</v>
      </c>
      <c r="FH169" s="2412">
        <v>742.17</v>
      </c>
      <c r="FI169" s="2412">
        <v>748.35</v>
      </c>
      <c r="FJ169" s="2412">
        <v>754.21</v>
      </c>
      <c r="FK169" s="2412">
        <v>758.31</v>
      </c>
      <c r="FL169" s="2412">
        <v>763.83</v>
      </c>
      <c r="FM169" s="2412">
        <v>767.42</v>
      </c>
      <c r="FN169" s="2412">
        <v>769.29</v>
      </c>
      <c r="FO169" s="2412">
        <v>781.48</v>
      </c>
      <c r="FP169" s="2412">
        <v>794.73</v>
      </c>
      <c r="FQ169" s="2412">
        <v>847.39</v>
      </c>
      <c r="FR169" s="2412">
        <v>861.37</v>
      </c>
      <c r="FS169" s="2412">
        <v>875.22</v>
      </c>
      <c r="FT169" s="2412">
        <v>913.16</v>
      </c>
      <c r="FU169" s="2412">
        <v>926.77</v>
      </c>
      <c r="FV169" s="2412">
        <v>933.54</v>
      </c>
      <c r="FW169" s="2413" t="e">
        <f>+'ANEXOA-MODIFICADO'!N286</f>
        <v>#REF!</v>
      </c>
      <c r="FX169" s="2413" t="e">
        <f>+'ANEXOA-MODIFICADO'!O286</f>
        <v>#REF!</v>
      </c>
      <c r="FY169" s="2413">
        <f>+'ANEXOA-MODIFICADO'!D294</f>
        <v>100</v>
      </c>
      <c r="FZ169" s="2413">
        <f>+'ANEXOA-MODIFICADO'!E294</f>
        <v>109.69</v>
      </c>
      <c r="GA169" s="2413">
        <f>+'ANEXOA-MODIFICADO'!F294</f>
        <v>105.91</v>
      </c>
      <c r="GB169" s="2413">
        <f>+'ANEXOA-MODIFICADO'!G294</f>
        <v>110.46</v>
      </c>
      <c r="GC169" s="2413">
        <f>+'ANEXOA-MODIFICADO'!H294</f>
        <v>108.97</v>
      </c>
      <c r="GD169" s="2413">
        <f>+'ANEXOA-MODIFICADO'!I294</f>
        <v>114.72</v>
      </c>
      <c r="GE169" s="2413">
        <f>+'ANEXOA-MODIFICADO'!J294</f>
        <v>115.02</v>
      </c>
      <c r="GF169" s="2413">
        <f>+'ANEXOA-MODIFICADO'!K294</f>
        <v>115.02</v>
      </c>
      <c r="GG169" s="2413">
        <f>+'ANEXOA-MODIFICADO'!L294</f>
        <v>115.53</v>
      </c>
      <c r="GH169" s="2413">
        <f>+'ANEXOA-MODIFICADO'!M294</f>
        <v>120.44</v>
      </c>
      <c r="GI169" s="2413">
        <f>+'ANEXOA-MODIFICADO'!N294</f>
        <v>121.9</v>
      </c>
      <c r="GJ169" s="2413">
        <f>+'ANEXOA-MODIFICADO'!O294</f>
        <v>124.82</v>
      </c>
      <c r="GK169" s="2413">
        <f>+'ANEXOA-MODIFICADO'!D302</f>
        <v>127.58</v>
      </c>
      <c r="GL169" s="2413">
        <f>+'ANEXOA-MODIFICADO'!E302</f>
        <v>124.99</v>
      </c>
      <c r="GM169" s="2413">
        <f>+'ANEXOA-MODIFICADO'!F302</f>
        <v>125.25</v>
      </c>
      <c r="GN169" s="2413">
        <f>+'ANEXOA-MODIFICADO'!G302</f>
        <v>128.77000000000001</v>
      </c>
      <c r="GO169" s="2413">
        <f>+'ANEXOA-MODIFICADO'!H302</f>
        <v>131.66</v>
      </c>
      <c r="GP169" s="2413">
        <f>+'ANEXOA-MODIFICADO'!I302</f>
        <v>132.94999999999999</v>
      </c>
      <c r="GQ169" s="2413">
        <f>+'ANEXOA-MODIFICADO'!J302</f>
        <v>148.55000000000001</v>
      </c>
      <c r="GR169" s="2413">
        <f>+'ANEXOA-MODIFICADO'!K302</f>
        <v>150.07</v>
      </c>
      <c r="GS169" s="2413">
        <f>+'ANEXOA-MODIFICADO'!L302</f>
        <v>148.38</v>
      </c>
      <c r="GT169" s="2413">
        <f>+'ANEXOA-MODIFICADO'!M302</f>
        <v>149.68</v>
      </c>
      <c r="GU169" s="2413">
        <f>+'ANEXOA-MODIFICADO'!N302</f>
        <v>151.63999999999999</v>
      </c>
      <c r="GV169" s="2413">
        <f>+'ANEXOA-MODIFICADO'!O302</f>
        <v>154.63</v>
      </c>
      <c r="GW169" s="2415">
        <f>+'ANEXOA-MODIFICADO'!D310</f>
        <v>161.58000000000001</v>
      </c>
      <c r="GX169" s="2415">
        <f>+'ANEXOA-MODIFICADO'!E310</f>
        <v>164.88</v>
      </c>
      <c r="GY169" s="2415">
        <f>+'ANEXOA-MODIFICADO'!F310</f>
        <v>169.76</v>
      </c>
      <c r="GZ169" s="2415">
        <f>+'ANEXOA-MODIFICADO'!G310</f>
        <v>172.93</v>
      </c>
      <c r="HA169" s="2415">
        <f>+'ANEXOA-MODIFICADO'!H310</f>
        <v>198.52</v>
      </c>
      <c r="HB169" s="2415">
        <f>+'ANEXOA-MODIFICADO'!I310</f>
        <v>217.02</v>
      </c>
      <c r="HC169" s="2415">
        <f>+'ANEXOA-MODIFICADO'!J310</f>
        <v>215.57</v>
      </c>
      <c r="HD169" s="2415">
        <f>+'ANEXOA-MODIFICADO'!K310</f>
        <v>226.59</v>
      </c>
      <c r="HE169" s="2415">
        <f>+'ANEXOA-MODIFICADO'!L310</f>
        <v>286.27999999999997</v>
      </c>
      <c r="HF169" s="2415">
        <f>+'ANEXOA-MODIFICADO'!M310</f>
        <v>275.42</v>
      </c>
      <c r="HG169" s="2415">
        <f>+'ANEXOA-MODIFICADO'!N310</f>
        <v>267.13</v>
      </c>
      <c r="HH169" s="2415">
        <f>+'ANEXOA-MODIFICADO'!O310</f>
        <v>285.60000000000002</v>
      </c>
      <c r="HI169" s="2415">
        <f>+'ANEXOA-MODIFICADO'!D318</f>
        <v>278.83</v>
      </c>
      <c r="HJ169" s="2415">
        <f>+'ANEXOA-MODIFICADO'!E318</f>
        <v>294.52</v>
      </c>
      <c r="HK169" s="2415">
        <f>+'ANEXOA-MODIFICADO'!F318</f>
        <v>303.58</v>
      </c>
      <c r="HL169" s="2415">
        <f>+'ANEXOA-MODIFICADO'!G318</f>
        <v>325.87</v>
      </c>
      <c r="HM169" s="2415">
        <f>+'ANEXOA-MODIFICADO'!H318</f>
        <v>350.3</v>
      </c>
      <c r="HN169" s="2415">
        <f>+'ANEXOA-MODIFICADO'!I318</f>
        <v>337.39</v>
      </c>
      <c r="HO169" s="2415">
        <f>+'ANEXOA-MODIFICADO'!J318</f>
        <v>340.45</v>
      </c>
      <c r="HP169" s="2415">
        <f>+'ANEXOA-MODIFICADO'!K318</f>
        <v>415.88</v>
      </c>
      <c r="HQ169" s="2415">
        <f>+'ANEXOA-MODIFICADO'!L318</f>
        <v>430.9</v>
      </c>
      <c r="HR169" s="2415">
        <f>+'ANEXOA-MODIFICADO'!M318</f>
        <v>452.14</v>
      </c>
      <c r="HS169" s="2415">
        <f>+'ANEXOA-MODIFICADO'!N318</f>
        <v>446.32</v>
      </c>
      <c r="HT169" s="2415">
        <f>+'ANEXOA-MODIFICADO'!O318</f>
        <v>446.32</v>
      </c>
      <c r="HU169" s="2420">
        <f>+'ANEXOA-MODIFICADO'!D326</f>
        <v>474.76</v>
      </c>
      <c r="HV169" s="2417">
        <f>+'ANEXOA-MODIFICADO'!E326</f>
        <v>487.32</v>
      </c>
      <c r="HW169" s="2417">
        <f>+'ANEXOA-MODIFICADO'!F326</f>
        <v>497.29</v>
      </c>
      <c r="HX169" s="2417">
        <f>+'ANEXOA-MODIFICADO'!G326</f>
        <v>514.65</v>
      </c>
      <c r="HY169" s="2417">
        <f>+'ANEXOA-MODIFICADO'!H326</f>
        <v>525.54999999999995</v>
      </c>
      <c r="HZ169" s="2417">
        <f>+'ANEXOA-MODIFICADO'!I326</f>
        <v>542.66999999999996</v>
      </c>
      <c r="IA169" s="2417">
        <f>+'ANEXOA-MODIFICADO'!J326</f>
        <v>558.25</v>
      </c>
      <c r="IB169" s="2417">
        <f>+'ANEXOA-MODIFICADO'!K326</f>
        <v>568.13</v>
      </c>
      <c r="IC169" s="2417">
        <f>+'ANEXOA-MODIFICADO'!L326</f>
        <v>580.23</v>
      </c>
      <c r="ID169" s="2417">
        <f>+'ANEXOA-MODIFICADO'!M326</f>
        <v>601.04</v>
      </c>
      <c r="IE169" s="2417">
        <f>+'ANEXOA-MODIFICADO'!N326</f>
        <v>638.83000000000004</v>
      </c>
      <c r="IF169" s="2419">
        <f>+'ANEXOA-MODIFICADO'!O326</f>
        <v>654.49</v>
      </c>
      <c r="IG169" s="2420">
        <f>+'ANEXOA-MODIFICADO'!D334</f>
        <v>670.01</v>
      </c>
      <c r="IH169" s="2417">
        <f>+'ANEXOA-MODIFICADO'!E334</f>
        <v>693.85</v>
      </c>
      <c r="II169" s="2417">
        <f>+'ANEXOA-MODIFICADO'!F334</f>
        <v>709.41</v>
      </c>
      <c r="IJ169" s="2417">
        <f>+'ANEXOA-MODIFICADO'!G334</f>
        <v>735.92</v>
      </c>
      <c r="IK169" s="2417">
        <f>+'ANEXOA-MODIFICADO'!H334</f>
        <v>744.82</v>
      </c>
      <c r="IL169" s="2417">
        <f>+'ANEXOA-MODIFICADO'!I334</f>
        <v>749.07</v>
      </c>
      <c r="IM169" s="2417">
        <f>+'ANEXOA-MODIFICADO'!J334</f>
        <v>770.46</v>
      </c>
      <c r="IN169" s="2417">
        <f>+'ANEXOA-MODIFICADO'!K334</f>
        <v>776.1</v>
      </c>
      <c r="IO169" s="2417">
        <f>+'ANEXOA-MODIFICADO'!L334</f>
        <v>789.6</v>
      </c>
      <c r="IP169" s="2417">
        <f>+'ANEXOA-MODIFICADO'!M334</f>
        <v>807.52</v>
      </c>
      <c r="IQ169" s="2417">
        <f>+'ANEXOA-MODIFICADO'!N334</f>
        <v>811.76</v>
      </c>
      <c r="IR169" s="2419">
        <f>+'ANEXOA-MODIFICADO'!O334</f>
        <v>823.34</v>
      </c>
      <c r="IS169" s="2420">
        <f>+'ANEXOA-MODIFICADO'!D342</f>
        <v>845.49</v>
      </c>
      <c r="IT169" s="2417">
        <f>+'ANEXOA-MODIFICADO'!E342</f>
        <v>873.95</v>
      </c>
      <c r="IU169" s="2417">
        <f>+'ANEXOA-MODIFICADO'!F342</f>
        <v>907.67</v>
      </c>
      <c r="IV169" s="2417">
        <f>+'ANEXOA-MODIFICADO'!G342</f>
        <v>931.83</v>
      </c>
      <c r="IW169" s="2417">
        <f>+'ANEXOA-MODIFICADO'!H342</f>
        <v>983.67</v>
      </c>
      <c r="IX169" s="2417">
        <f>+'ANEXOA-MODIFICADO'!I342</f>
        <v>1033.53</v>
      </c>
      <c r="IY169" s="2417">
        <f>+'ANEXOA-MODIFICADO'!J342</f>
        <v>1075.8599999999999</v>
      </c>
      <c r="IZ169" s="2417">
        <f>+'ANEXOA-MODIFICADO'!K342</f>
        <v>1120.69</v>
      </c>
      <c r="JA169" s="2417">
        <f>+'ANEXOA-MODIFICADO'!L342</f>
        <v>1214.7</v>
      </c>
      <c r="JB169" s="2417">
        <f>+'ANEXOA-MODIFICADO'!M342</f>
        <v>1300.3599999999999</v>
      </c>
      <c r="JC169" s="2417">
        <f>+'ANEXOA-MODIFICADO'!N342</f>
        <v>1396.99</v>
      </c>
      <c r="JD169" s="2415">
        <f>+'ANEXOA-MODIFICADO'!O342</f>
        <v>1488.26</v>
      </c>
      <c r="JE169" s="2422">
        <f>+'ANEXOA-MODIFICADO'!D350</f>
        <v>1574.82</v>
      </c>
      <c r="JF169" s="2418">
        <f>+'ANEXOA-MODIFICADO'!E350</f>
        <v>1666.72</v>
      </c>
      <c r="JG169" s="2103">
        <f t="shared" si="14"/>
        <v>1.0583558755921312</v>
      </c>
      <c r="JI169" s="2155"/>
      <c r="JJ169" s="2104"/>
    </row>
    <row r="170" spans="2:271" ht="31.5">
      <c r="B170" s="2105">
        <v>224</v>
      </c>
      <c r="C170" s="2106"/>
      <c r="D170" s="2425">
        <v>0</v>
      </c>
      <c r="E170" s="2128" t="s">
        <v>359</v>
      </c>
      <c r="F170" s="2106" t="s">
        <v>918</v>
      </c>
      <c r="G170" s="2425" t="s">
        <v>1113</v>
      </c>
      <c r="H170" s="2106" t="s">
        <v>336</v>
      </c>
      <c r="I170" s="2106" t="s">
        <v>930</v>
      </c>
      <c r="J170" s="2127" t="s">
        <v>337</v>
      </c>
      <c r="K170" s="2425"/>
      <c r="L170" s="2409">
        <v>100</v>
      </c>
      <c r="M170" s="2409">
        <v>104.83</v>
      </c>
      <c r="N170" s="2409">
        <v>105.39</v>
      </c>
      <c r="O170" s="2409">
        <v>106.01</v>
      </c>
      <c r="P170" s="2409">
        <v>136.77000000000001</v>
      </c>
      <c r="Q170" s="2409">
        <v>154.81</v>
      </c>
      <c r="R170" s="2409">
        <v>172.13</v>
      </c>
      <c r="S170" s="2409">
        <v>176.65</v>
      </c>
      <c r="T170" s="2409">
        <v>177.95</v>
      </c>
      <c r="U170" s="2409">
        <v>177.71</v>
      </c>
      <c r="V170" s="2409">
        <v>179.99</v>
      </c>
      <c r="W170" s="2409">
        <v>179.62</v>
      </c>
      <c r="X170" s="2409">
        <v>180.35</v>
      </c>
      <c r="Y170" s="2409">
        <v>176.98</v>
      </c>
      <c r="Z170" s="2409">
        <v>176.24</v>
      </c>
      <c r="AA170" s="2409">
        <v>175.82</v>
      </c>
      <c r="AB170" s="2409">
        <v>174.28</v>
      </c>
      <c r="AC170" s="2409">
        <v>173.95</v>
      </c>
      <c r="AD170" s="2409">
        <v>174.7</v>
      </c>
      <c r="AE170" s="2409">
        <v>176.34</v>
      </c>
      <c r="AF170" s="2409">
        <v>179.38</v>
      </c>
      <c r="AG170" s="2409">
        <v>178.89</v>
      </c>
      <c r="AH170" s="2409">
        <v>179.52</v>
      </c>
      <c r="AI170" s="2409">
        <v>180.32</v>
      </c>
      <c r="AJ170" s="2409">
        <v>183.84</v>
      </c>
      <c r="AK170" s="2409">
        <v>186.44</v>
      </c>
      <c r="AL170" s="2409">
        <v>190.5</v>
      </c>
      <c r="AM170" s="2409">
        <v>194.45</v>
      </c>
      <c r="AN170" s="2409">
        <v>195.39</v>
      </c>
      <c r="AO170" s="2409">
        <v>199.41</v>
      </c>
      <c r="AP170" s="2409">
        <v>200.88</v>
      </c>
      <c r="AQ170" s="2409">
        <v>202.36</v>
      </c>
      <c r="AR170" s="2409">
        <v>204.05</v>
      </c>
      <c r="AS170" s="2409">
        <v>204.28</v>
      </c>
      <c r="AT170" s="2409">
        <v>204.97</v>
      </c>
      <c r="AU170" s="2409">
        <v>204.99</v>
      </c>
      <c r="AV170" s="2409">
        <v>206.8</v>
      </c>
      <c r="AW170" s="2410">
        <v>192.78</v>
      </c>
      <c r="AX170" s="2410">
        <v>216.58</v>
      </c>
      <c r="AY170" s="2410">
        <v>217.55</v>
      </c>
      <c r="AZ170" s="2410">
        <v>221.13</v>
      </c>
      <c r="BA170" s="2410">
        <v>222.5</v>
      </c>
      <c r="BB170" s="2410">
        <v>223.29</v>
      </c>
      <c r="BC170" s="2410">
        <v>224.64</v>
      </c>
      <c r="BD170" s="2411">
        <v>226.49</v>
      </c>
      <c r="BE170" s="2410">
        <v>229.7</v>
      </c>
      <c r="BF170" s="2411">
        <v>232.1</v>
      </c>
      <c r="BG170" s="2411">
        <v>235.35</v>
      </c>
      <c r="BH170" s="2411">
        <v>238.58</v>
      </c>
      <c r="BI170" s="2412">
        <v>242.12</v>
      </c>
      <c r="BJ170" s="2412">
        <v>245.54</v>
      </c>
      <c r="BK170" s="2412">
        <v>247.7</v>
      </c>
      <c r="BL170" s="2412">
        <v>249.56</v>
      </c>
      <c r="BM170" s="2412">
        <v>250.61</v>
      </c>
      <c r="BN170" s="2412">
        <v>257.27999999999997</v>
      </c>
      <c r="BO170" s="2412">
        <v>260.95999999999998</v>
      </c>
      <c r="BP170" s="2412">
        <v>263.5</v>
      </c>
      <c r="BQ170" s="2412">
        <v>268.02999999999997</v>
      </c>
      <c r="BR170" s="2412">
        <v>270.24</v>
      </c>
      <c r="BS170" s="2412">
        <v>270.17</v>
      </c>
      <c r="BT170" s="2412">
        <v>271.95999999999998</v>
      </c>
      <c r="BU170" s="2412">
        <v>274.94</v>
      </c>
      <c r="BV170" s="2412">
        <v>276.99</v>
      </c>
      <c r="BW170" s="2412">
        <v>277.48</v>
      </c>
      <c r="BX170" s="2412">
        <v>280.85000000000002</v>
      </c>
      <c r="BY170" s="2412">
        <v>287.39</v>
      </c>
      <c r="BZ170" s="2412">
        <v>289.92</v>
      </c>
      <c r="CA170" s="2412">
        <v>295.42</v>
      </c>
      <c r="CB170" s="2412">
        <v>301.27999999999997</v>
      </c>
      <c r="CC170" s="2412">
        <v>303.92</v>
      </c>
      <c r="CD170" s="2412">
        <v>310.74</v>
      </c>
      <c r="CE170" s="2412">
        <v>311.83999999999997</v>
      </c>
      <c r="CF170" s="2412">
        <v>315.57</v>
      </c>
      <c r="CG170" s="2412">
        <v>322.56</v>
      </c>
      <c r="CH170" s="2412">
        <v>323.52999999999997</v>
      </c>
      <c r="CI170" s="2412">
        <v>327.99</v>
      </c>
      <c r="CJ170" s="2412">
        <v>331.22</v>
      </c>
      <c r="CK170" s="2412">
        <v>341.39</v>
      </c>
      <c r="CL170" s="2412">
        <v>343.43</v>
      </c>
      <c r="CM170" s="2412">
        <v>351.85</v>
      </c>
      <c r="CN170" s="2412">
        <v>354.86</v>
      </c>
      <c r="CO170" s="2412">
        <v>361.17</v>
      </c>
      <c r="CP170" s="2412">
        <v>364.52</v>
      </c>
      <c r="CQ170" s="2412">
        <v>368.5</v>
      </c>
      <c r="CR170" s="2412">
        <v>370.1</v>
      </c>
      <c r="CS170" s="2412">
        <v>372.95</v>
      </c>
      <c r="CT170" s="2412">
        <v>374.51</v>
      </c>
      <c r="CU170" s="2412">
        <v>376.4</v>
      </c>
      <c r="CV170" s="2412">
        <v>378.79</v>
      </c>
      <c r="CW170" s="2412">
        <v>381.69</v>
      </c>
      <c r="CX170" s="2412">
        <v>388.46</v>
      </c>
      <c r="CY170" s="2412">
        <v>391.4</v>
      </c>
      <c r="CZ170" s="2412">
        <v>396.46</v>
      </c>
      <c r="DA170" s="2412">
        <v>398.65</v>
      </c>
      <c r="DB170" s="2412">
        <v>404.98</v>
      </c>
      <c r="DC170" s="2412">
        <v>408.4</v>
      </c>
      <c r="DD170" s="2412">
        <v>409.6</v>
      </c>
      <c r="DE170" s="2412">
        <v>410.39</v>
      </c>
      <c r="DF170" s="2412">
        <v>418.81</v>
      </c>
      <c r="DG170" s="2412">
        <v>431.99</v>
      </c>
      <c r="DH170" s="2412">
        <v>430.34</v>
      </c>
      <c r="DI170" s="2412">
        <v>443.63</v>
      </c>
      <c r="DJ170" s="2412">
        <v>448.45</v>
      </c>
      <c r="DK170" s="2412">
        <v>455.61</v>
      </c>
      <c r="DL170" s="2412">
        <v>463.86</v>
      </c>
      <c r="DM170" s="2412">
        <v>468.98</v>
      </c>
      <c r="DN170" s="2412">
        <v>474.44</v>
      </c>
      <c r="DO170" s="2412">
        <v>482.14</v>
      </c>
      <c r="DP170" s="2412">
        <v>494.89</v>
      </c>
      <c r="DQ170" s="2412">
        <v>506.97</v>
      </c>
      <c r="DR170" s="2412">
        <v>512.86</v>
      </c>
      <c r="DS170" s="2412">
        <v>521.13</v>
      </c>
      <c r="DT170" s="2412">
        <v>532.46</v>
      </c>
      <c r="DU170" s="2412">
        <v>536.42999999999995</v>
      </c>
      <c r="DV170" s="2412">
        <v>543.38</v>
      </c>
      <c r="DW170" s="2412">
        <v>560.61</v>
      </c>
      <c r="DX170" s="2412">
        <v>568.12</v>
      </c>
      <c r="DY170" s="2412">
        <v>577.13</v>
      </c>
      <c r="DZ170" s="2412">
        <v>588.71</v>
      </c>
      <c r="EA170" s="2412">
        <v>600.04999999999995</v>
      </c>
      <c r="EB170" s="2412">
        <v>605.79999999999995</v>
      </c>
      <c r="EC170" s="2412">
        <v>619.45000000000005</v>
      </c>
      <c r="ED170" s="2412">
        <v>628.87</v>
      </c>
      <c r="EE170" s="2412">
        <v>638.28</v>
      </c>
      <c r="EF170" s="2412">
        <v>642.79999999999995</v>
      </c>
      <c r="EG170" s="2412">
        <v>630.91</v>
      </c>
      <c r="EH170" s="2412">
        <v>634.01</v>
      </c>
      <c r="EI170" s="2412">
        <v>690.46</v>
      </c>
      <c r="EJ170" s="2412">
        <v>698.86</v>
      </c>
      <c r="EK170" s="2412">
        <v>708.93</v>
      </c>
      <c r="EL170" s="2412">
        <v>712.89</v>
      </c>
      <c r="EM170" s="2412">
        <v>728.11</v>
      </c>
      <c r="EN170" s="2412">
        <v>731.78</v>
      </c>
      <c r="EO170" s="2412">
        <v>740.21</v>
      </c>
      <c r="EP170" s="2412">
        <v>747.3</v>
      </c>
      <c r="EQ170" s="2412">
        <v>756.94</v>
      </c>
      <c r="ER170" s="2412">
        <v>775.18</v>
      </c>
      <c r="ES170" s="2412">
        <v>782.4</v>
      </c>
      <c r="ET170" s="2412">
        <v>825.12</v>
      </c>
      <c r="EU170" s="2412">
        <v>834.27</v>
      </c>
      <c r="EV170" s="2412">
        <v>842.66</v>
      </c>
      <c r="EW170" s="2412">
        <v>867.91</v>
      </c>
      <c r="EX170" s="2412">
        <v>874.44</v>
      </c>
      <c r="EY170" s="2412">
        <v>883.33</v>
      </c>
      <c r="EZ170" s="2412">
        <v>892.18</v>
      </c>
      <c r="FA170" s="2412">
        <v>920.32</v>
      </c>
      <c r="FB170" s="2412">
        <v>961.75</v>
      </c>
      <c r="FC170" s="2412">
        <v>989.3</v>
      </c>
      <c r="FD170" s="2412">
        <v>1005.49</v>
      </c>
      <c r="FE170" s="2412">
        <v>1055.02</v>
      </c>
      <c r="FF170" s="2412">
        <v>1076.48</v>
      </c>
      <c r="FG170" s="2412">
        <v>1089.32</v>
      </c>
      <c r="FH170" s="2412">
        <v>1121.49</v>
      </c>
      <c r="FI170" s="2412">
        <v>1138.08</v>
      </c>
      <c r="FJ170" s="2412">
        <v>1152.02</v>
      </c>
      <c r="FK170" s="2412">
        <v>1160.47</v>
      </c>
      <c r="FL170" s="2412">
        <v>1172.73</v>
      </c>
      <c r="FM170" s="2412">
        <v>1188.99</v>
      </c>
      <c r="FN170" s="2412">
        <v>1189.96</v>
      </c>
      <c r="FO170" s="2412">
        <v>1212.46</v>
      </c>
      <c r="FP170" s="2412">
        <v>1222.73</v>
      </c>
      <c r="FQ170" s="2412">
        <v>1271.1099999999999</v>
      </c>
      <c r="FR170" s="2412">
        <v>1286.3599999999999</v>
      </c>
      <c r="FS170" s="2412">
        <v>1304.8800000000001</v>
      </c>
      <c r="FT170" s="2412">
        <v>1356.29</v>
      </c>
      <c r="FU170" s="2412">
        <v>1378.09</v>
      </c>
      <c r="FV170" s="2412">
        <v>1393.05</v>
      </c>
      <c r="FW170" s="2413" t="e">
        <f>+'ANEXOA-MODIFICADO'!O593</f>
        <v>#REF!</v>
      </c>
      <c r="FX170" s="2413" t="e">
        <f>+'ANEXOA-MODIFICADO'!P593</f>
        <v>#REF!</v>
      </c>
      <c r="FY170" s="2413">
        <f>+'ANEXOA-MODIFICADO'!E599</f>
        <v>100</v>
      </c>
      <c r="FZ170" s="2413">
        <f>+'ANEXOA-MODIFICADO'!F599</f>
        <v>106.13</v>
      </c>
      <c r="GA170" s="2413">
        <f>+'ANEXOA-MODIFICADO'!G599</f>
        <v>111.12</v>
      </c>
      <c r="GB170" s="2413">
        <f>+'ANEXOA-MODIFICADO'!H599</f>
        <v>119.48</v>
      </c>
      <c r="GC170" s="2413">
        <f>+'ANEXOA-MODIFICADO'!I599</f>
        <v>124.12</v>
      </c>
      <c r="GD170" s="2413">
        <f>+'ANEXOA-MODIFICADO'!J599</f>
        <v>127.94</v>
      </c>
      <c r="GE170" s="2413">
        <f>+'ANEXOA-MODIFICADO'!K599</f>
        <v>128.24</v>
      </c>
      <c r="GF170" s="2413">
        <f>+'ANEXOA-MODIFICADO'!L599</f>
        <v>129.30000000000001</v>
      </c>
      <c r="GG170" s="2413">
        <f>+'ANEXOA-MODIFICADO'!M599</f>
        <v>130.93</v>
      </c>
      <c r="GH170" s="2413">
        <f>+'ANEXOA-MODIFICADO'!N599</f>
        <v>135</v>
      </c>
      <c r="GI170" s="2413">
        <f>+'ANEXOA-MODIFICADO'!O599</f>
        <v>140.85</v>
      </c>
      <c r="GJ170" s="2413">
        <f>+'ANEXOA-MODIFICADO'!P599</f>
        <v>142.21</v>
      </c>
      <c r="GK170" s="2413">
        <f>+'ANEXOA-MODIFICADO'!E605</f>
        <v>145.88999999999999</v>
      </c>
      <c r="GL170" s="2413">
        <f>+'ANEXOA-MODIFICADO'!F605</f>
        <v>149.41</v>
      </c>
      <c r="GM170" s="2413">
        <f>+'ANEXOA-MODIFICADO'!G605</f>
        <v>150.37</v>
      </c>
      <c r="GN170" s="2413">
        <f>+'ANEXOA-MODIFICADO'!H605</f>
        <v>156.12</v>
      </c>
      <c r="GO170" s="2413">
        <f>+'ANEXOA-MODIFICADO'!I605</f>
        <v>156.96</v>
      </c>
      <c r="GP170" s="2413">
        <f>+'ANEXOA-MODIFICADO'!J605</f>
        <v>156.96</v>
      </c>
      <c r="GQ170" s="2413">
        <f>+'ANEXOA-MODIFICADO'!K605</f>
        <v>161.27000000000001</v>
      </c>
      <c r="GR170" s="2413">
        <f>+'ANEXOA-MODIFICADO'!L605</f>
        <v>161.27000000000001</v>
      </c>
      <c r="GS170" s="2413">
        <f>+'ANEXOA-MODIFICADO'!M605</f>
        <v>161.27000000000001</v>
      </c>
      <c r="GT170" s="2413">
        <f>+'ANEXOA-MODIFICADO'!N605</f>
        <v>161.71</v>
      </c>
      <c r="GU170" s="2413">
        <f>+'ANEXOA-MODIFICADO'!O605</f>
        <v>161.71</v>
      </c>
      <c r="GV170" s="2413">
        <f>+'ANEXOA-MODIFICADO'!P605</f>
        <v>161.71</v>
      </c>
      <c r="GW170" s="2415">
        <f>+'ANEXOA-MODIFICADO'!E611</f>
        <v>166.71</v>
      </c>
      <c r="GX170" s="2415">
        <f>+'ANEXOA-MODIFICADO'!F611</f>
        <v>167.46</v>
      </c>
      <c r="GY170" s="2415">
        <f>+'ANEXOA-MODIFICADO'!G611</f>
        <v>169.01</v>
      </c>
      <c r="GZ170" s="2415">
        <f>+'ANEXOA-MODIFICADO'!H611</f>
        <v>174.07</v>
      </c>
      <c r="HA170" s="2415">
        <f>+'ANEXOA-MODIFICADO'!I611</f>
        <v>191.64</v>
      </c>
      <c r="HB170" s="2415">
        <f>+'ANEXOA-MODIFICADO'!J611</f>
        <v>192.4</v>
      </c>
      <c r="HC170" s="2415">
        <f>+'ANEXOA-MODIFICADO'!K611</f>
        <v>199.98</v>
      </c>
      <c r="HD170" s="2415">
        <f>+'ANEXOA-MODIFICADO'!L611</f>
        <v>203.89</v>
      </c>
      <c r="HE170" s="2415">
        <f>+'ANEXOA-MODIFICADO'!M611</f>
        <v>250.06</v>
      </c>
      <c r="HF170" s="2415">
        <f>+'ANEXOA-MODIFICADO'!N611</f>
        <v>250.12</v>
      </c>
      <c r="HG170" s="2415">
        <f>+'ANEXOA-MODIFICADO'!O611</f>
        <v>254.04</v>
      </c>
      <c r="HH170" s="2415">
        <f>+'ANEXOA-MODIFICADO'!P611</f>
        <v>257.73</v>
      </c>
      <c r="HI170" s="2415">
        <f>+'ANEXOA-MODIFICADO'!E617</f>
        <v>257.8</v>
      </c>
      <c r="HJ170" s="2415">
        <f>+'ANEXOA-MODIFICADO'!F617</f>
        <v>259.27999999999997</v>
      </c>
      <c r="HK170" s="2415">
        <f>+'ANEXOA-MODIFICADO'!G617</f>
        <v>264.61</v>
      </c>
      <c r="HL170" s="2415">
        <f>+'ANEXOA-MODIFICADO'!H617</f>
        <v>273.74</v>
      </c>
      <c r="HM170" s="2415">
        <f>+'ANEXOA-MODIFICADO'!I617</f>
        <v>278.39</v>
      </c>
      <c r="HN170" s="2415">
        <f>+'ANEXOA-MODIFICADO'!J617</f>
        <v>281.5</v>
      </c>
      <c r="HO170" s="2415">
        <f>+'ANEXOA-MODIFICADO'!K617</f>
        <v>290.77</v>
      </c>
      <c r="HP170" s="2415">
        <f>+'ANEXOA-MODIFICADO'!L617</f>
        <v>323.94</v>
      </c>
      <c r="HQ170" s="2415">
        <f>+'ANEXOA-MODIFICADO'!M617</f>
        <v>323.94</v>
      </c>
      <c r="HR170" s="2415">
        <f>+'ANEXOA-MODIFICADO'!N617</f>
        <v>349.31</v>
      </c>
      <c r="HS170" s="2415">
        <f>+'ANEXOA-MODIFICADO'!O617</f>
        <v>359.37</v>
      </c>
      <c r="HT170" s="2415">
        <f>+'ANEXOA-MODIFICADO'!P617</f>
        <v>375.92</v>
      </c>
      <c r="HU170" s="2420">
        <f>+'ANEXOA-MODIFICADO'!E623</f>
        <v>394.55</v>
      </c>
      <c r="HV170" s="2417">
        <f>+'ANEXOA-MODIFICADO'!F623</f>
        <v>407.84</v>
      </c>
      <c r="HW170" s="2417">
        <f>+'ANEXOA-MODIFICADO'!G623</f>
        <v>407.93</v>
      </c>
      <c r="HX170" s="2417">
        <f>+'ANEXOA-MODIFICADO'!H623</f>
        <v>408.37</v>
      </c>
      <c r="HY170" s="2417">
        <f>+'ANEXOA-MODIFICADO'!I623</f>
        <v>410.97</v>
      </c>
      <c r="HZ170" s="2417">
        <f>+'ANEXOA-MODIFICADO'!J623</f>
        <v>411.15</v>
      </c>
      <c r="IA170" s="2417">
        <f>+'ANEXOA-MODIFICADO'!K623</f>
        <v>411.22</v>
      </c>
      <c r="IB170" s="2417">
        <f>+'ANEXOA-MODIFICADO'!L623</f>
        <v>411.22</v>
      </c>
      <c r="IC170" s="2417">
        <f>+'ANEXOA-MODIFICADO'!M623</f>
        <v>412.04</v>
      </c>
      <c r="ID170" s="2417">
        <f>+'ANEXOA-MODIFICADO'!N623</f>
        <v>413.09</v>
      </c>
      <c r="IE170" s="2417">
        <f>+'ANEXOA-MODIFICADO'!O623</f>
        <v>433.95</v>
      </c>
      <c r="IF170" s="2419">
        <f>+'ANEXOA-MODIFICADO'!P623</f>
        <v>434.09</v>
      </c>
      <c r="IG170" s="2420">
        <f>+'ANEXOA-MODIFICADO'!E629</f>
        <v>451.35</v>
      </c>
      <c r="IH170" s="2417">
        <f>+'ANEXOA-MODIFICADO'!F629</f>
        <v>461.08</v>
      </c>
      <c r="II170" s="2417">
        <f>+'ANEXOA-MODIFICADO'!G629</f>
        <v>461.12</v>
      </c>
      <c r="IJ170" s="2417">
        <f>+'ANEXOA-MODIFICADO'!H629</f>
        <v>480.58</v>
      </c>
      <c r="IK170" s="2417">
        <f>+'ANEXOA-MODIFICADO'!I629</f>
        <v>485.57</v>
      </c>
      <c r="IL170" s="2417">
        <f>+'ANEXOA-MODIFICADO'!J629</f>
        <v>483.89</v>
      </c>
      <c r="IM170" s="2417">
        <f>+'ANEXOA-MODIFICADO'!K629</f>
        <v>500.57</v>
      </c>
      <c r="IN170" s="2417">
        <f>+'ANEXOA-MODIFICADO'!L629</f>
        <v>522</v>
      </c>
      <c r="IO170" s="2417">
        <f>+'ANEXOA-MODIFICADO'!M629</f>
        <v>540.88</v>
      </c>
      <c r="IP170" s="2417">
        <f>+'ANEXOA-MODIFICADO'!N629</f>
        <v>553.29</v>
      </c>
      <c r="IQ170" s="2417">
        <f>+'ANEXOA-MODIFICADO'!O629</f>
        <v>558.17999999999995</v>
      </c>
      <c r="IR170" s="2419">
        <f>+'ANEXOA-MODIFICADO'!P629</f>
        <v>569.83000000000004</v>
      </c>
      <c r="IS170" s="2420">
        <f>+'ANEXOA-MODIFICADO'!E635</f>
        <v>579.95000000000005</v>
      </c>
      <c r="IT170" s="2417">
        <f>+'ANEXOA-MODIFICADO'!F635</f>
        <v>601.52</v>
      </c>
      <c r="IU170" s="2417">
        <f>+'ANEXOA-MODIFICADO'!G635</f>
        <v>621.13</v>
      </c>
      <c r="IV170" s="2417">
        <f>+'ANEXOA-MODIFICADO'!H635</f>
        <v>642.12</v>
      </c>
      <c r="IW170" s="2417">
        <f>+'ANEXOA-MODIFICADO'!I635</f>
        <v>682.8</v>
      </c>
      <c r="IX170" s="2417">
        <f>+'ANEXOA-MODIFICADO'!J635</f>
        <v>719.04</v>
      </c>
      <c r="IY170" s="2417">
        <f>+'ANEXOA-MODIFICADO'!K635</f>
        <v>766.09</v>
      </c>
      <c r="IZ170" s="2417">
        <f>+'ANEXOA-MODIFICADO'!L635</f>
        <v>807.91</v>
      </c>
      <c r="JA170" s="2417">
        <f>+'ANEXOA-MODIFICADO'!M635</f>
        <v>848.01</v>
      </c>
      <c r="JB170" s="2417">
        <f>+'ANEXOA-MODIFICADO'!N635</f>
        <v>910.68</v>
      </c>
      <c r="JC170" s="2417">
        <f>+'ANEXOA-MODIFICADO'!O635</f>
        <v>948.48</v>
      </c>
      <c r="JD170" s="2415">
        <f>+'ANEXOA-MODIFICADO'!P635</f>
        <v>1035.21</v>
      </c>
      <c r="JE170" s="2422">
        <f>+'ANEXOA-MODIFICADO'!E641</f>
        <v>1095.1199999999999</v>
      </c>
      <c r="JF170" s="2418">
        <f>+'ANEXOA-MODIFICADO'!F641</f>
        <v>1172.08</v>
      </c>
      <c r="JG170" s="2103">
        <f t="shared" si="14"/>
        <v>1.070275403608737</v>
      </c>
      <c r="JI170" s="2155"/>
      <c r="JJ170" s="2104"/>
    </row>
    <row r="171" spans="2:271" ht="31.5">
      <c r="B171" s="2105">
        <v>225</v>
      </c>
      <c r="C171" s="2106"/>
      <c r="D171" s="2425">
        <v>0</v>
      </c>
      <c r="E171" s="2128" t="s">
        <v>361</v>
      </c>
      <c r="F171" s="2106"/>
      <c r="G171" s="2425" t="s">
        <v>1113</v>
      </c>
      <c r="H171" s="2106" t="s">
        <v>336</v>
      </c>
      <c r="I171" s="2106"/>
      <c r="J171" s="2359" t="s">
        <v>437</v>
      </c>
      <c r="K171" s="2425" t="s">
        <v>1147</v>
      </c>
      <c r="L171" s="2409">
        <v>100</v>
      </c>
      <c r="M171" s="2409">
        <v>105.01</v>
      </c>
      <c r="N171" s="2409">
        <v>119.94</v>
      </c>
      <c r="O171" s="2409">
        <v>139.55000000000001</v>
      </c>
      <c r="P171" s="2409">
        <v>168.16</v>
      </c>
      <c r="Q171" s="2409">
        <v>216.34</v>
      </c>
      <c r="R171" s="2409">
        <v>241.34</v>
      </c>
      <c r="S171" s="2409">
        <v>254.35</v>
      </c>
      <c r="T171" s="2409">
        <v>271.19</v>
      </c>
      <c r="U171" s="2409">
        <v>277.08</v>
      </c>
      <c r="V171" s="2409">
        <v>281.11</v>
      </c>
      <c r="W171" s="2409">
        <v>270.2</v>
      </c>
      <c r="X171" s="2409">
        <v>268.2</v>
      </c>
      <c r="Y171" s="2409">
        <v>269.62</v>
      </c>
      <c r="Z171" s="2409">
        <v>268.14999999999998</v>
      </c>
      <c r="AA171" s="2409">
        <v>261.60000000000002</v>
      </c>
      <c r="AB171" s="2409">
        <v>255.96</v>
      </c>
      <c r="AC171" s="2409">
        <v>253.3</v>
      </c>
      <c r="AD171" s="2409">
        <v>250.95</v>
      </c>
      <c r="AE171" s="2409">
        <v>248.39</v>
      </c>
      <c r="AF171" s="2409">
        <v>252.38</v>
      </c>
      <c r="AG171" s="2409">
        <v>253.44</v>
      </c>
      <c r="AH171" s="2409">
        <v>252.68</v>
      </c>
      <c r="AI171" s="2409">
        <v>254.25</v>
      </c>
      <c r="AJ171" s="2409">
        <v>257.76</v>
      </c>
      <c r="AK171" s="2409">
        <v>259.33999999999997</v>
      </c>
      <c r="AL171" s="2409">
        <v>260.86</v>
      </c>
      <c r="AM171" s="2409">
        <v>260.54000000000002</v>
      </c>
      <c r="AN171" s="2409">
        <v>258.39</v>
      </c>
      <c r="AO171" s="2409">
        <v>261.72000000000003</v>
      </c>
      <c r="AP171" s="2409">
        <v>263.45999999999998</v>
      </c>
      <c r="AQ171" s="2409">
        <v>263.29000000000002</v>
      </c>
      <c r="AR171" s="2409">
        <v>270.10000000000002</v>
      </c>
      <c r="AS171" s="2409">
        <v>269.45999999999998</v>
      </c>
      <c r="AT171" s="2409">
        <v>269.2</v>
      </c>
      <c r="AU171" s="2409">
        <v>269.29000000000002</v>
      </c>
      <c r="AV171" s="2409">
        <v>270.33</v>
      </c>
      <c r="AW171" s="2410">
        <v>272.48</v>
      </c>
      <c r="AX171" s="2410">
        <v>271.48</v>
      </c>
      <c r="AY171" s="2410">
        <v>285.87</v>
      </c>
      <c r="AZ171" s="2410">
        <v>288.04000000000002</v>
      </c>
      <c r="BA171" s="2410">
        <v>287.73</v>
      </c>
      <c r="BB171" s="2410">
        <v>285.89999999999998</v>
      </c>
      <c r="BC171" s="2410">
        <v>285.56</v>
      </c>
      <c r="BD171" s="2411">
        <v>286.01</v>
      </c>
      <c r="BE171" s="2410">
        <v>286.60000000000002</v>
      </c>
      <c r="BF171" s="2411">
        <v>287.92</v>
      </c>
      <c r="BG171" s="2411">
        <v>297.36</v>
      </c>
      <c r="BH171" s="2411">
        <v>298.60000000000002</v>
      </c>
      <c r="BI171" s="2412">
        <v>302.60000000000002</v>
      </c>
      <c r="BJ171" s="2412">
        <v>303.31</v>
      </c>
      <c r="BK171" s="2412">
        <v>307.14999999999998</v>
      </c>
      <c r="BL171" s="2412">
        <v>304.3</v>
      </c>
      <c r="BM171" s="2412">
        <v>309.47000000000003</v>
      </c>
      <c r="BN171" s="2412">
        <v>309.66000000000003</v>
      </c>
      <c r="BO171" s="2412">
        <v>312.61</v>
      </c>
      <c r="BP171" s="2412">
        <v>314.37</v>
      </c>
      <c r="BQ171" s="2412">
        <v>300.58</v>
      </c>
      <c r="BR171" s="2412">
        <v>320.26</v>
      </c>
      <c r="BS171" s="2412">
        <v>318.18</v>
      </c>
      <c r="BT171" s="2412">
        <v>318.32</v>
      </c>
      <c r="BU171" s="2412">
        <v>324.14999999999998</v>
      </c>
      <c r="BV171" s="2412">
        <v>325.49</v>
      </c>
      <c r="BW171" s="2412">
        <v>324.68</v>
      </c>
      <c r="BX171" s="2412">
        <v>324.97000000000003</v>
      </c>
      <c r="BY171" s="2412">
        <v>335.3</v>
      </c>
      <c r="BZ171" s="2412">
        <v>336.32</v>
      </c>
      <c r="CA171" s="2412">
        <v>344.15</v>
      </c>
      <c r="CB171" s="2412">
        <v>344.41</v>
      </c>
      <c r="CC171" s="2412">
        <v>345.08</v>
      </c>
      <c r="CD171" s="2412">
        <v>346.47</v>
      </c>
      <c r="CE171" s="2412">
        <v>347.16</v>
      </c>
      <c r="CF171" s="2412">
        <v>360.91</v>
      </c>
      <c r="CG171" s="2412">
        <v>347.6</v>
      </c>
      <c r="CH171" s="2412">
        <v>340.31</v>
      </c>
      <c r="CI171" s="2412">
        <v>341.61</v>
      </c>
      <c r="CJ171" s="2412">
        <v>354.36</v>
      </c>
      <c r="CK171" s="2412">
        <v>361.54</v>
      </c>
      <c r="CL171" s="2412">
        <v>361.76</v>
      </c>
      <c r="CM171" s="2412">
        <v>369.83</v>
      </c>
      <c r="CN171" s="2412">
        <v>367.5</v>
      </c>
      <c r="CO171" s="2412">
        <v>370.89</v>
      </c>
      <c r="CP171" s="2412">
        <v>375.66</v>
      </c>
      <c r="CQ171" s="2412">
        <v>377.66</v>
      </c>
      <c r="CR171" s="2412">
        <v>380.75</v>
      </c>
      <c r="CS171" s="2412">
        <v>383.74</v>
      </c>
      <c r="CT171" s="2412">
        <v>388.72</v>
      </c>
      <c r="CU171" s="2412">
        <v>395.09</v>
      </c>
      <c r="CV171" s="2412">
        <v>404.22</v>
      </c>
      <c r="CW171" s="2412">
        <v>414.57</v>
      </c>
      <c r="CX171" s="2412">
        <v>426.34</v>
      </c>
      <c r="CY171" s="2412">
        <v>435.21</v>
      </c>
      <c r="CZ171" s="2412">
        <v>437.61</v>
      </c>
      <c r="DA171" s="2412">
        <v>438.85</v>
      </c>
      <c r="DB171" s="2412">
        <v>452.12</v>
      </c>
      <c r="DC171" s="2412">
        <v>452.72</v>
      </c>
      <c r="DD171" s="2412">
        <v>453.58</v>
      </c>
      <c r="DE171" s="2412">
        <v>454.21</v>
      </c>
      <c r="DF171" s="2412">
        <v>455.86</v>
      </c>
      <c r="DG171" s="2412">
        <v>464.22</v>
      </c>
      <c r="DH171" s="2412">
        <v>470.98</v>
      </c>
      <c r="DI171" s="2412">
        <v>488.97</v>
      </c>
      <c r="DJ171" s="2412">
        <v>496.14</v>
      </c>
      <c r="DK171" s="2412">
        <v>501.36</v>
      </c>
      <c r="DL171" s="2412">
        <v>514.01</v>
      </c>
      <c r="DM171" s="2412">
        <v>518.32000000000005</v>
      </c>
      <c r="DN171" s="2412">
        <v>520.65</v>
      </c>
      <c r="DO171" s="2412">
        <v>522.4</v>
      </c>
      <c r="DP171" s="2412">
        <v>539.07000000000005</v>
      </c>
      <c r="DQ171" s="2412">
        <v>549.11</v>
      </c>
      <c r="DR171" s="2412">
        <v>550.63</v>
      </c>
      <c r="DS171" s="2412">
        <v>552.38</v>
      </c>
      <c r="DT171" s="2412">
        <v>585.30999999999995</v>
      </c>
      <c r="DU171" s="2412">
        <v>589.73</v>
      </c>
      <c r="DV171" s="2412">
        <v>593.15</v>
      </c>
      <c r="DW171" s="2412">
        <v>599.66999999999996</v>
      </c>
      <c r="DX171" s="2412">
        <v>614.61</v>
      </c>
      <c r="DY171" s="2412">
        <v>618.11</v>
      </c>
      <c r="DZ171" s="2412">
        <v>620.83000000000004</v>
      </c>
      <c r="EA171" s="2412">
        <v>632.33000000000004</v>
      </c>
      <c r="EB171" s="2412">
        <v>636.49</v>
      </c>
      <c r="EC171" s="2412">
        <v>648.14</v>
      </c>
      <c r="ED171" s="2412">
        <v>649.97</v>
      </c>
      <c r="EE171" s="2412">
        <v>656.73</v>
      </c>
      <c r="EF171" s="2412">
        <v>659.8</v>
      </c>
      <c r="EG171" s="2412">
        <v>667.12</v>
      </c>
      <c r="EH171" s="2412">
        <v>726.92</v>
      </c>
      <c r="EI171" s="2412">
        <v>737.74</v>
      </c>
      <c r="EJ171" s="2412">
        <v>740.71</v>
      </c>
      <c r="EK171" s="2412">
        <v>742.46</v>
      </c>
      <c r="EL171" s="2412">
        <v>743.4</v>
      </c>
      <c r="EM171" s="2412">
        <v>748.09</v>
      </c>
      <c r="EN171" s="2412">
        <v>749.32</v>
      </c>
      <c r="EO171" s="2412">
        <v>753.89</v>
      </c>
      <c r="EP171" s="2412">
        <v>758.15</v>
      </c>
      <c r="EQ171" s="2412">
        <v>766.56</v>
      </c>
      <c r="ER171" s="2412">
        <v>775.76</v>
      </c>
      <c r="ES171" s="2412">
        <v>782.84</v>
      </c>
      <c r="ET171" s="2412">
        <v>836.6</v>
      </c>
      <c r="EU171" s="2412">
        <v>840.89</v>
      </c>
      <c r="EV171" s="2412">
        <v>844.91</v>
      </c>
      <c r="EW171" s="2412">
        <v>865.67</v>
      </c>
      <c r="EX171" s="2412">
        <v>866.48</v>
      </c>
      <c r="EY171" s="2412">
        <v>869.37</v>
      </c>
      <c r="EZ171" s="2412">
        <v>876.81</v>
      </c>
      <c r="FA171" s="2412">
        <v>896.4</v>
      </c>
      <c r="FB171" s="2412">
        <v>919.48</v>
      </c>
      <c r="FC171" s="2412">
        <v>942.91</v>
      </c>
      <c r="FD171" s="2412">
        <v>1033.31</v>
      </c>
      <c r="FE171" s="2412">
        <v>1038.48</v>
      </c>
      <c r="FF171" s="2412">
        <v>1043.0999999999999</v>
      </c>
      <c r="FG171" s="2412">
        <v>1103.46</v>
      </c>
      <c r="FH171" s="2412">
        <v>1114.02</v>
      </c>
      <c r="FI171" s="2412">
        <v>1125.1400000000001</v>
      </c>
      <c r="FJ171" s="2412">
        <v>1129.67</v>
      </c>
      <c r="FK171" s="2412">
        <v>1132.75</v>
      </c>
      <c r="FL171" s="2412">
        <v>1133.22</v>
      </c>
      <c r="FM171" s="2412">
        <v>1114.48</v>
      </c>
      <c r="FN171" s="2412">
        <v>1120.74</v>
      </c>
      <c r="FO171" s="2412">
        <v>1132.23</v>
      </c>
      <c r="FP171" s="2412">
        <v>1215.6300000000001</v>
      </c>
      <c r="FQ171" s="2412">
        <v>1227.72</v>
      </c>
      <c r="FR171" s="2412">
        <v>1242.6500000000001</v>
      </c>
      <c r="FS171" s="2412">
        <v>1252.9100000000001</v>
      </c>
      <c r="FT171" s="2412">
        <v>1307.32</v>
      </c>
      <c r="FU171" s="2412">
        <v>1309.47</v>
      </c>
      <c r="FV171" s="2412">
        <v>1313.27</v>
      </c>
      <c r="FW171" s="2413" t="e">
        <f>+'ANEXO C'!FG46</f>
        <v>#REF!</v>
      </c>
      <c r="FX171" s="2413" t="e">
        <f>+'ANEXO C'!FH46</f>
        <v>#REF!</v>
      </c>
      <c r="FY171" s="2416">
        <f>+'ANEXO C'!FI46</f>
        <v>100</v>
      </c>
      <c r="FZ171" s="2417">
        <f>+'ANEXO C'!FJ46</f>
        <v>106.18</v>
      </c>
      <c r="GA171" s="2417">
        <f>+'ANEXO C'!FK46</f>
        <v>105.99</v>
      </c>
      <c r="GB171" s="2417">
        <f>+'ANEXO C'!FL46</f>
        <v>110.92</v>
      </c>
      <c r="GC171" s="2417">
        <f>+'ANEXO C'!FM46</f>
        <v>114.14</v>
      </c>
      <c r="GD171" s="2417">
        <f>+'ANEXO C'!FN46</f>
        <v>117.94</v>
      </c>
      <c r="GE171" s="2417">
        <f>+'ANEXO C'!FO46</f>
        <v>117.94</v>
      </c>
      <c r="GF171" s="2417">
        <f>+'ANEXO C'!FP46</f>
        <v>117.94</v>
      </c>
      <c r="GG171" s="2417">
        <f>+'ANEXO C'!FQ46</f>
        <v>118.26</v>
      </c>
      <c r="GH171" s="2417">
        <f>+'ANEXO C'!FR46</f>
        <v>120.9</v>
      </c>
      <c r="GI171" s="2417">
        <f>+'ANEXO C'!FS46</f>
        <v>121.9</v>
      </c>
      <c r="GJ171" s="2417">
        <f>+'ANEXO C'!FT46</f>
        <v>122.95</v>
      </c>
      <c r="GK171" s="2417">
        <f>+'ANEXO C'!FU46</f>
        <v>125.1</v>
      </c>
      <c r="GL171" s="2417">
        <f>+'ANEXO C'!FV46</f>
        <v>125.89</v>
      </c>
      <c r="GM171" s="2417">
        <f>+'ANEXO C'!FW46</f>
        <v>126.03</v>
      </c>
      <c r="GN171" s="2417">
        <f>+'ANEXO C'!FX46</f>
        <v>128.36000000000001</v>
      </c>
      <c r="GO171" s="2417">
        <f>+'ANEXO C'!FY46</f>
        <v>128.82</v>
      </c>
      <c r="GP171" s="2417">
        <f>+'ANEXO C'!FZ46</f>
        <v>129.72</v>
      </c>
      <c r="GQ171" s="2417">
        <f>+'ANEXO C'!GA46</f>
        <v>142.53</v>
      </c>
      <c r="GR171" s="2417">
        <f>+'ANEXO C'!GB46</f>
        <v>143.56</v>
      </c>
      <c r="GS171" s="2417">
        <f>+'ANEXO C'!GC46</f>
        <v>142.38</v>
      </c>
      <c r="GT171" s="2417">
        <f>+'ANEXO C'!GD46</f>
        <v>144.94</v>
      </c>
      <c r="GU171" s="2417">
        <f>+'ANEXO C'!GE46</f>
        <v>149.62</v>
      </c>
      <c r="GV171" s="2417">
        <f>+'ANEXO C'!GF46</f>
        <v>155.16</v>
      </c>
      <c r="GW171" s="2417">
        <f>+'ANEXO C'!GG46</f>
        <v>158.63</v>
      </c>
      <c r="GX171" s="2417">
        <f>+'ANEXO C'!GH46</f>
        <v>168.53</v>
      </c>
      <c r="GY171" s="2417">
        <f>+'ANEXO C'!GI46</f>
        <v>171.16</v>
      </c>
      <c r="GZ171" s="2417">
        <f>+'ANEXO C'!GJ46</f>
        <v>175.35</v>
      </c>
      <c r="HA171" s="2417">
        <f>+'ANEXO C'!GK46</f>
        <v>192.67</v>
      </c>
      <c r="HB171" s="2417">
        <f>+'ANEXO C'!GL46</f>
        <v>204.4</v>
      </c>
      <c r="HC171" s="2417">
        <f>+'ANEXO C'!GM46</f>
        <v>210.42</v>
      </c>
      <c r="HD171" s="2417">
        <f>+'ANEXO C'!GN46</f>
        <v>222</v>
      </c>
      <c r="HE171" s="2417">
        <f>+'ANEXO C'!GO46</f>
        <v>272.23</v>
      </c>
      <c r="HF171" s="2417">
        <f>+'ANEXO C'!GP46</f>
        <v>273.98</v>
      </c>
      <c r="HG171" s="2417">
        <f>+'ANEXO C'!GQ46</f>
        <v>269.87</v>
      </c>
      <c r="HH171" s="2417">
        <f>+'ANEXO C'!GR46</f>
        <v>283.86</v>
      </c>
      <c r="HI171" s="2417">
        <f>+'ANEXO C'!GS46</f>
        <v>275.3</v>
      </c>
      <c r="HJ171" s="2417">
        <f>+'ANEXO C'!GT46</f>
        <v>294.68</v>
      </c>
      <c r="HK171" s="2417">
        <f>+'ANEXO C'!GU46</f>
        <v>300.95999999999998</v>
      </c>
      <c r="HL171" s="2417">
        <f>+'ANEXO C'!GV46</f>
        <v>320.02999999999997</v>
      </c>
      <c r="HM171" s="2417">
        <f>+'ANEXO C'!GW46</f>
        <v>340.59</v>
      </c>
      <c r="HN171" s="2417">
        <f>+'ANEXO C'!GX46</f>
        <v>333.59</v>
      </c>
      <c r="HO171" s="2417">
        <f>+'ANEXO C'!GY46</f>
        <v>337.06</v>
      </c>
      <c r="HP171" s="2417">
        <f>+'ANEXO C'!GZ46</f>
        <v>387.46</v>
      </c>
      <c r="HQ171" s="2417">
        <f>+'ANEXO C'!HA46</f>
        <v>402.86</v>
      </c>
      <c r="HR171" s="2417">
        <f>+'ANEXO C'!HB46</f>
        <v>415.73</v>
      </c>
      <c r="HS171" s="2417">
        <f>+'ANEXO C'!HC46</f>
        <v>424.54</v>
      </c>
      <c r="HT171" s="2417">
        <f>+'ANEXO C'!HD46</f>
        <v>434.12</v>
      </c>
      <c r="HU171" s="2417">
        <f>+'ANEXO C'!HE46</f>
        <v>448.6</v>
      </c>
      <c r="HV171" s="2417">
        <f>+'ANEXO C'!HF46</f>
        <v>454.1</v>
      </c>
      <c r="HW171" s="2417">
        <f>+'ANEXO C'!HG46</f>
        <v>460.69</v>
      </c>
      <c r="HX171" s="2417">
        <f>+'ANEXO C'!HH46</f>
        <v>472.17</v>
      </c>
      <c r="HY171" s="2417">
        <f>+'ANEXO C'!HI46</f>
        <v>478.99</v>
      </c>
      <c r="HZ171" s="2417">
        <f>+'ANEXO C'!HJ46</f>
        <v>490.28</v>
      </c>
      <c r="IA171" s="2417">
        <f>+'ANEXO C'!HK46</f>
        <v>500.82</v>
      </c>
      <c r="IB171" s="2417">
        <f>+'ANEXO C'!HL46</f>
        <v>511.98</v>
      </c>
      <c r="IC171" s="2417">
        <f>+'ANEXO C'!HM46</f>
        <v>526.64</v>
      </c>
      <c r="ID171" s="2417">
        <f>+'ANEXO C'!HN46</f>
        <v>546.26</v>
      </c>
      <c r="IE171" s="2417">
        <f>+'ANEXO C'!HO46</f>
        <v>573.30999999999995</v>
      </c>
      <c r="IF171" s="2417">
        <f>+'ANEXO C'!HP46</f>
        <v>595.94000000000005</v>
      </c>
      <c r="IG171" s="2417">
        <f>+'ANEXO C'!HQ46</f>
        <v>613.09</v>
      </c>
      <c r="IH171" s="2417">
        <f>+'ANEXO C'!HR46</f>
        <v>646.16</v>
      </c>
      <c r="II171" s="2417">
        <f>+'ANEXO C'!HS46</f>
        <v>684.09</v>
      </c>
      <c r="IJ171" s="2417">
        <f>+'ANEXO C'!HT46</f>
        <v>712.49</v>
      </c>
      <c r="IK171" s="2417">
        <f>+'ANEXO C'!HU46</f>
        <v>740.68</v>
      </c>
      <c r="IL171" s="2417">
        <f>+'ANEXO C'!HV46</f>
        <v>743.77</v>
      </c>
      <c r="IM171" s="2417">
        <f>+'ANEXO C'!HW46</f>
        <v>754.76</v>
      </c>
      <c r="IN171" s="2417">
        <f>+'ANEXO C'!HX46</f>
        <v>764.65</v>
      </c>
      <c r="IO171" s="2417">
        <f>+'ANEXO C'!HY46</f>
        <v>766.24</v>
      </c>
      <c r="IP171" s="2417">
        <f>+'ANEXO C'!HZ46</f>
        <v>776.05</v>
      </c>
      <c r="IQ171" s="2417">
        <f>+'ANEXO C'!IA46</f>
        <v>778.95</v>
      </c>
      <c r="IR171" s="2417">
        <f>+'ANEXO C'!IB46</f>
        <v>786.09</v>
      </c>
      <c r="IS171" s="2417">
        <f>+'ANEXO C'!IC46</f>
        <v>800.17</v>
      </c>
      <c r="IT171" s="2417">
        <f>+'ANEXO C'!ID46</f>
        <v>838.8</v>
      </c>
      <c r="IU171" s="2417">
        <f>+'ANEXO C'!IE46</f>
        <v>892.22</v>
      </c>
      <c r="IV171" s="2417">
        <f>+'ANEXO C'!IF46</f>
        <v>919.1</v>
      </c>
      <c r="IW171" s="2417">
        <f>+'ANEXO C'!IG46</f>
        <v>992.36</v>
      </c>
      <c r="IX171" s="2417">
        <f>+'ANEXO C'!IH46</f>
        <v>1073.2</v>
      </c>
      <c r="IY171" s="2417">
        <f>+'ANEXO C'!II46</f>
        <v>1116.74</v>
      </c>
      <c r="IZ171" s="2417">
        <f>+'ANEXO C'!IJ46</f>
        <v>1157.6199999999999</v>
      </c>
      <c r="JA171" s="2417">
        <f>+'ANEXO C'!IK46</f>
        <v>1214.9000000000001</v>
      </c>
      <c r="JB171" s="2417">
        <f>+'ANEXO C'!IL46</f>
        <v>1299.81</v>
      </c>
      <c r="JC171" s="2417">
        <f>+'ANEXO C'!IM46</f>
        <v>1459</v>
      </c>
      <c r="JD171" s="2415">
        <f>+'ANEXO C'!IN46</f>
        <v>1557.31</v>
      </c>
      <c r="JE171" s="2422">
        <f>+'ANEXO C'!IO46</f>
        <v>1612.72</v>
      </c>
      <c r="JF171" s="2418">
        <f>+'ANEXO C'!IP46</f>
        <v>1747.14</v>
      </c>
      <c r="JG171" s="2103">
        <f t="shared" si="14"/>
        <v>1.0833498685450669</v>
      </c>
      <c r="JI171" s="2155"/>
      <c r="JJ171" s="2104"/>
    </row>
    <row r="172" spans="2:271" hidden="1">
      <c r="B172" s="2105"/>
      <c r="C172" s="2106"/>
      <c r="D172" s="2425"/>
      <c r="E172" s="2128"/>
      <c r="F172" s="2106"/>
      <c r="G172" s="2106"/>
      <c r="H172" s="2106"/>
      <c r="I172" s="2106"/>
      <c r="J172" s="2127"/>
      <c r="K172" s="2425"/>
      <c r="L172" s="2324"/>
      <c r="M172" s="2324"/>
      <c r="N172" s="2324"/>
      <c r="O172" s="2324"/>
      <c r="P172" s="2324"/>
      <c r="Q172" s="2324"/>
      <c r="R172" s="2324"/>
      <c r="S172" s="2324"/>
      <c r="T172" s="2324"/>
      <c r="U172" s="2324"/>
      <c r="V172" s="2324"/>
      <c r="W172" s="2324"/>
      <c r="X172" s="2324"/>
      <c r="Y172" s="2324"/>
      <c r="Z172" s="2324"/>
      <c r="AA172" s="2324"/>
      <c r="AB172" s="2324"/>
      <c r="AC172" s="2324"/>
      <c r="AD172" s="2324"/>
      <c r="AE172" s="2324"/>
      <c r="AF172" s="2324"/>
      <c r="AG172" s="2324"/>
      <c r="AH172" s="2324"/>
      <c r="AI172" s="2324"/>
      <c r="AJ172" s="2324"/>
      <c r="AK172" s="2324"/>
      <c r="AL172" s="2324"/>
      <c r="AM172" s="2324"/>
      <c r="AN172" s="2324"/>
      <c r="AO172" s="2324"/>
      <c r="AP172" s="2324"/>
      <c r="AQ172" s="2324"/>
      <c r="AR172" s="2324"/>
      <c r="AS172" s="2324"/>
      <c r="AT172" s="2324"/>
      <c r="AU172" s="2324"/>
      <c r="AV172" s="2324"/>
      <c r="AW172" s="2325"/>
      <c r="AX172" s="2325"/>
      <c r="AY172" s="2325"/>
      <c r="AZ172" s="2325"/>
      <c r="BA172" s="2325"/>
      <c r="BB172" s="2325"/>
      <c r="BC172" s="2325"/>
      <c r="BD172" s="2326"/>
      <c r="BE172" s="2325"/>
      <c r="BF172" s="2326"/>
      <c r="BG172" s="2326"/>
      <c r="BH172" s="2326"/>
      <c r="BI172" s="2327"/>
      <c r="BJ172" s="2327"/>
      <c r="BK172" s="2327"/>
      <c r="BL172" s="2327"/>
      <c r="BM172" s="2327"/>
      <c r="BN172" s="2327"/>
      <c r="BO172" s="2327"/>
      <c r="BP172" s="2327"/>
      <c r="BQ172" s="2327"/>
      <c r="BR172" s="2327"/>
      <c r="BS172" s="2327"/>
      <c r="BT172" s="2327"/>
      <c r="BU172" s="2327"/>
      <c r="BV172" s="2327"/>
      <c r="BW172" s="2327"/>
      <c r="BX172" s="2327"/>
      <c r="BY172" s="2327"/>
      <c r="BZ172" s="2327"/>
      <c r="CA172" s="2327"/>
      <c r="CB172" s="2327"/>
      <c r="CC172" s="2327"/>
      <c r="CD172" s="2327"/>
      <c r="CE172" s="2327"/>
      <c r="CF172" s="2327"/>
      <c r="CG172" s="2327"/>
      <c r="CH172" s="2327"/>
      <c r="CI172" s="2327"/>
      <c r="CJ172" s="2327"/>
      <c r="CK172" s="2327"/>
      <c r="CL172" s="2327"/>
      <c r="CM172" s="2327"/>
      <c r="CN172" s="2327"/>
      <c r="CO172" s="2327"/>
      <c r="CP172" s="2327"/>
      <c r="CQ172" s="2327"/>
      <c r="CR172" s="2327"/>
      <c r="CS172" s="2327"/>
      <c r="CT172" s="2327"/>
      <c r="CU172" s="2327"/>
      <c r="CV172" s="2327"/>
      <c r="CW172" s="2327"/>
      <c r="CX172" s="2327"/>
      <c r="CY172" s="2327"/>
      <c r="CZ172" s="2327"/>
      <c r="DA172" s="2327"/>
      <c r="DB172" s="2327"/>
      <c r="DC172" s="2327"/>
      <c r="DD172" s="2327"/>
      <c r="DE172" s="2327"/>
      <c r="DF172" s="2327"/>
      <c r="DG172" s="2327"/>
      <c r="DH172" s="2327"/>
      <c r="DI172" s="2327"/>
      <c r="DJ172" s="2327"/>
      <c r="DK172" s="2327"/>
      <c r="DL172" s="2327"/>
      <c r="DM172" s="2327"/>
      <c r="DN172" s="2327"/>
      <c r="DO172" s="2327"/>
      <c r="DP172" s="2327"/>
      <c r="DQ172" s="2327"/>
      <c r="DR172" s="2327"/>
      <c r="DS172" s="2327"/>
      <c r="DT172" s="2327"/>
      <c r="DU172" s="2327"/>
      <c r="DV172" s="2327"/>
      <c r="DW172" s="2327"/>
      <c r="DX172" s="2327"/>
      <c r="DY172" s="2327"/>
      <c r="DZ172" s="2327"/>
      <c r="EA172" s="2327"/>
      <c r="EB172" s="2327"/>
      <c r="EC172" s="2327"/>
      <c r="ED172" s="2327"/>
      <c r="EE172" s="2327"/>
      <c r="EF172" s="2327"/>
      <c r="EG172" s="2327"/>
      <c r="EH172" s="2327"/>
      <c r="EI172" s="2327"/>
      <c r="EJ172" s="2327"/>
      <c r="EK172" s="2327"/>
      <c r="EL172" s="2327"/>
      <c r="EM172" s="2327"/>
      <c r="EN172" s="2327"/>
      <c r="EO172" s="2327"/>
      <c r="EP172" s="2327"/>
      <c r="EQ172" s="2327"/>
      <c r="ER172" s="2327"/>
      <c r="ES172" s="2327"/>
      <c r="ET172" s="2327"/>
      <c r="EU172" s="2327"/>
      <c r="EV172" s="2327"/>
      <c r="EW172" s="2327"/>
      <c r="EX172" s="2327"/>
      <c r="EY172" s="2327"/>
      <c r="EZ172" s="2327"/>
      <c r="FA172" s="2327"/>
      <c r="FB172" s="2327"/>
      <c r="FC172" s="2327"/>
      <c r="FD172" s="2327"/>
      <c r="FE172" s="2327"/>
      <c r="FF172" s="2327"/>
      <c r="FG172" s="2327"/>
      <c r="FH172" s="2327"/>
      <c r="FI172" s="2327"/>
      <c r="FJ172" s="2327"/>
      <c r="FK172" s="2327"/>
      <c r="FL172" s="2327"/>
      <c r="FM172" s="2327"/>
      <c r="FN172" s="2327"/>
      <c r="FO172" s="2327"/>
      <c r="FP172" s="2327"/>
      <c r="FQ172" s="2327"/>
      <c r="FR172" s="2327"/>
      <c r="FS172" s="2327"/>
      <c r="FT172" s="2327"/>
      <c r="FU172" s="2327"/>
      <c r="FV172" s="2327"/>
      <c r="FW172" s="2330"/>
      <c r="FX172" s="2330"/>
      <c r="FY172" s="2330">
        <v>100</v>
      </c>
      <c r="FZ172" s="2330" t="e">
        <f>+FY172*(#REF!/#REF!)</f>
        <v>#REF!</v>
      </c>
      <c r="GA172" s="2330" t="e">
        <f>+FZ172*(#REF!/#REF!)</f>
        <v>#REF!</v>
      </c>
      <c r="GB172" s="2330" t="e">
        <f>+GA172*(#REF!/#REF!)</f>
        <v>#REF!</v>
      </c>
      <c r="GC172" s="2330" t="e">
        <f>+GB172*(#REF!/#REF!)</f>
        <v>#REF!</v>
      </c>
      <c r="GD172" s="2330" t="e">
        <f>+GC172*(#REF!/#REF!)</f>
        <v>#REF!</v>
      </c>
      <c r="GE172" s="2330" t="e">
        <f>+GD172*(#REF!/#REF!)</f>
        <v>#REF!</v>
      </c>
      <c r="GF172" s="2329" t="e">
        <f>+GE172*(#REF!/#REF!)</f>
        <v>#REF!</v>
      </c>
      <c r="GG172" s="2328" t="e">
        <f>+GF172*(#REF!/#REF!)</f>
        <v>#REF!</v>
      </c>
      <c r="GH172" s="2329" t="e">
        <f>+GG172*(#REF!/#REF!)</f>
        <v>#REF!</v>
      </c>
      <c r="GI172" s="2329" t="e">
        <f>+GH172*(#REF!/#REF!)</f>
        <v>#REF!</v>
      </c>
      <c r="GJ172" s="2330" t="e">
        <f>+GI172*(#REF!/#REF!)</f>
        <v>#REF!</v>
      </c>
      <c r="GK172" s="2330" t="e">
        <f>+GJ172*(#REF!/#REF!)</f>
        <v>#REF!</v>
      </c>
      <c r="GL172" s="2330" t="e">
        <f>+GK172*(#REF!/#REF!)</f>
        <v>#REF!</v>
      </c>
      <c r="GM172" s="2329" t="e">
        <f>+GL172*(#REF!/#REF!)</f>
        <v>#REF!</v>
      </c>
      <c r="GN172" s="2329" t="e">
        <f>+GM172*(#REF!/#REF!)</f>
        <v>#REF!</v>
      </c>
      <c r="GO172" s="2331" t="e">
        <f>+GN172*(#REF!/#REF!)</f>
        <v>#REF!</v>
      </c>
      <c r="GP172" s="2332" t="e">
        <f>+GO172*(#REF!/#REF!)</f>
        <v>#REF!</v>
      </c>
      <c r="GQ172" s="2332" t="e">
        <f>+GP172*(#REF!/#REF!)</f>
        <v>#REF!</v>
      </c>
      <c r="GR172" s="2332" t="e">
        <f>+GQ172*(#REF!/#REF!)</f>
        <v>#REF!</v>
      </c>
      <c r="GS172" s="2332" t="e">
        <f>+GR172*(#REF!/#REF!)</f>
        <v>#REF!</v>
      </c>
      <c r="GT172" s="2328" t="e">
        <f>+GS172*(#REF!/#REF!)</f>
        <v>#REF!</v>
      </c>
      <c r="GU172" s="2328" t="e">
        <f>+GT172*(#REF!/#REF!)</f>
        <v>#REF!</v>
      </c>
      <c r="GV172" s="2328" t="e">
        <f>+GU172*(#REF!/#REF!)</f>
        <v>#REF!</v>
      </c>
      <c r="GW172" s="2328" t="e">
        <f>+GV172*(#REF!/#REF!)</f>
        <v>#REF!</v>
      </c>
      <c r="GX172" s="2328" t="e">
        <f>+GW172*(#REF!/#REF!)</f>
        <v>#REF!</v>
      </c>
      <c r="GY172" s="2328" t="e">
        <f>+GX172*(#REF!/#REF!)</f>
        <v>#REF!</v>
      </c>
      <c r="GZ172" s="2328" t="e">
        <f>+GY172*(#REF!/#REF!)</f>
        <v>#REF!</v>
      </c>
      <c r="HA172" s="2328" t="e">
        <f>+GZ172*(#REF!/#REF!)</f>
        <v>#REF!</v>
      </c>
      <c r="HB172" s="2328" t="e">
        <f>+HA172*(#REF!/#REF!)</f>
        <v>#REF!</v>
      </c>
      <c r="HC172" s="2328" t="e">
        <f>+HB172*(#REF!/#REF!)</f>
        <v>#REF!</v>
      </c>
      <c r="HD172" s="2328" t="e">
        <f>+HC172*(#REF!/#REF!)</f>
        <v>#REF!</v>
      </c>
      <c r="HE172" s="2328" t="e">
        <f>+HD172*(#REF!/#REF!)</f>
        <v>#REF!</v>
      </c>
      <c r="HF172" s="2328" t="e">
        <f>+HE172*(#REF!/#REF!)</f>
        <v>#REF!</v>
      </c>
      <c r="HG172" s="2328" t="e">
        <f>+HF172*(#REF!/#REF!)</f>
        <v>#REF!</v>
      </c>
      <c r="HH172" s="2333" t="e">
        <f>+HG172*(#REF!/#REF!)</f>
        <v>#REF!</v>
      </c>
      <c r="HI172" s="2328" t="e">
        <f>+HH172*(#REF!/#REF!)</f>
        <v>#REF!</v>
      </c>
      <c r="HJ172" s="2328" t="e">
        <f>+HI172*(#REF!/#REF!)</f>
        <v>#REF!</v>
      </c>
      <c r="HK172" s="2328" t="e">
        <f>+HJ172*(#REF!/#REF!)</f>
        <v>#REF!</v>
      </c>
      <c r="HL172" s="2328" t="e">
        <f>+HK172*(#REF!/#REF!)</f>
        <v>#REF!</v>
      </c>
      <c r="HM172" s="2328" t="e">
        <f>+HL172*(#REF!/#REF!)</f>
        <v>#REF!</v>
      </c>
      <c r="HN172" s="2328" t="e">
        <f>+HM172*(#REF!/#REF!)</f>
        <v>#REF!</v>
      </c>
      <c r="HO172" s="2328" t="e">
        <f>+HN172*(#REF!/#REF!)</f>
        <v>#REF!</v>
      </c>
      <c r="HP172" s="2328" t="e">
        <f>+HO172*(#REF!/#REF!)</f>
        <v>#REF!</v>
      </c>
      <c r="HQ172" s="2328" t="e">
        <f>+HP172*(#REF!/#REF!)</f>
        <v>#REF!</v>
      </c>
      <c r="HR172" s="2328" t="e">
        <f>+HQ172*(#REF!/#REF!)</f>
        <v>#REF!</v>
      </c>
      <c r="HS172" s="2328" t="e">
        <f>+HR172*(#REF!/#REF!)</f>
        <v>#REF!</v>
      </c>
      <c r="HT172" s="2334" t="e">
        <f>+HS172*(#REF!/#REF!)</f>
        <v>#REF!</v>
      </c>
      <c r="HU172" s="2335" t="e">
        <f>+HT172*(#REF!/#REF!)</f>
        <v>#REF!</v>
      </c>
      <c r="HV172" s="2328" t="e">
        <f>+HU172*(#REF!/#REF!)</f>
        <v>#REF!</v>
      </c>
      <c r="HW172" s="2328" t="e">
        <f>+HV172*(#REF!/#REF!)</f>
        <v>#REF!</v>
      </c>
      <c r="HX172" s="2328" t="e">
        <f>+HW172*(#REF!/#REF!)</f>
        <v>#REF!</v>
      </c>
      <c r="HY172" s="2328" t="e">
        <f>+HX172*(#REF!/#REF!)</f>
        <v>#REF!</v>
      </c>
      <c r="HZ172" s="2328" t="e">
        <f>+HY172*(#REF!/#REF!)</f>
        <v>#REF!</v>
      </c>
      <c r="IA172" s="2328" t="e">
        <f>+HZ172*(#REF!/#REF!)</f>
        <v>#REF!</v>
      </c>
      <c r="IB172" s="2328" t="e">
        <f>+IA172*(#REF!/#REF!)</f>
        <v>#REF!</v>
      </c>
      <c r="IC172" s="2328" t="e">
        <f>+IB172*(#REF!/#REF!)</f>
        <v>#REF!</v>
      </c>
      <c r="ID172" s="2328" t="e">
        <f>+IC172*(#REF!/#REF!)</f>
        <v>#REF!</v>
      </c>
      <c r="IE172" s="2328" t="e">
        <f>+ID172*(#REF!/#REF!)</f>
        <v>#REF!</v>
      </c>
      <c r="IF172" s="2328" t="e">
        <f>+IE172*(#REF!/#REF!)</f>
        <v>#REF!</v>
      </c>
      <c r="IG172" s="2335" t="e">
        <f>+IF172*(#REF!/#REF!)</f>
        <v>#REF!</v>
      </c>
      <c r="IH172" s="2328" t="e">
        <f>+IG172*(#REF!/#REF!)</f>
        <v>#REF!</v>
      </c>
      <c r="II172" s="2328" t="e">
        <f>+IH172*(#REF!/#REF!)</f>
        <v>#REF!</v>
      </c>
      <c r="IJ172" s="2335" t="e">
        <f>+II172*(#REF!/#REF!)</f>
        <v>#REF!</v>
      </c>
      <c r="IK172" s="2328" t="e">
        <f>+IJ172*(#REF!/#REF!)</f>
        <v>#REF!</v>
      </c>
      <c r="IL172" s="2328" t="e">
        <f>+IK172*(#REF!/#REF!)</f>
        <v>#REF!</v>
      </c>
      <c r="IM172" s="2328" t="e">
        <f>+IL172*(#REF!/#REF!)</f>
        <v>#REF!</v>
      </c>
      <c r="IN172" s="2328" t="e">
        <f>+IM172*(#REF!/#REF!)</f>
        <v>#REF!</v>
      </c>
      <c r="IO172" s="2328" t="e">
        <f>+IN172*(#REF!/#REF!)</f>
        <v>#REF!</v>
      </c>
      <c r="IP172" s="2328" t="e">
        <f>+IO172*(#REF!/#REF!)</f>
        <v>#REF!</v>
      </c>
      <c r="IQ172" s="2328" t="e">
        <f>+IP172*(#REF!/#REF!)</f>
        <v>#REF!</v>
      </c>
      <c r="IR172" s="2328" t="e">
        <f>+IQ172*(#REF!/#REF!)</f>
        <v>#REF!</v>
      </c>
      <c r="IS172" s="2336" t="e">
        <f>+IR172*(#REF!/#REF!)</f>
        <v>#REF!</v>
      </c>
      <c r="IT172" s="2328" t="e">
        <f>+IS172*(#REF!/#REF!)</f>
        <v>#REF!</v>
      </c>
      <c r="IU172" s="2328" t="e">
        <f>+IT172*(#REF!/#REF!)</f>
        <v>#REF!</v>
      </c>
      <c r="IV172" s="2328" t="e">
        <f>+IU172*(#REF!/#REF!)</f>
        <v>#REF!</v>
      </c>
      <c r="IW172" s="2328" t="e">
        <f>+IV172*(#REF!/#REF!)</f>
        <v>#REF!</v>
      </c>
      <c r="IX172" s="2328" t="e">
        <f>+IW172*(#REF!/#REF!)</f>
        <v>#REF!</v>
      </c>
      <c r="IY172" s="2328" t="e">
        <f>+IX172*(#REF!/#REF!)</f>
        <v>#REF!</v>
      </c>
      <c r="IZ172" s="2328" t="e">
        <f>+IY172*(#REF!/#REF!)</f>
        <v>#REF!</v>
      </c>
      <c r="JA172" s="2328" t="e">
        <f>+IZ172*(#REF!/#REF!)</f>
        <v>#REF!</v>
      </c>
      <c r="JB172" s="2328" t="e">
        <f>+JA172*(#REF!/#REF!)</f>
        <v>#REF!</v>
      </c>
      <c r="JC172" s="2328" t="e">
        <f>+JB172*(#REF!/#REF!)</f>
        <v>#REF!</v>
      </c>
      <c r="JD172" s="2328"/>
      <c r="JE172" s="2336" t="e">
        <v>#N/A</v>
      </c>
      <c r="JF172" s="2333" t="e">
        <v>#N/A</v>
      </c>
      <c r="JG172" s="2103" t="e">
        <f t="shared" si="14"/>
        <v>#N/A</v>
      </c>
      <c r="JI172" s="2155"/>
      <c r="JJ172" s="2104"/>
    </row>
    <row r="173" spans="2:271" hidden="1">
      <c r="B173" s="2105"/>
      <c r="C173" s="2106"/>
      <c r="D173" s="2425"/>
      <c r="E173" s="2128"/>
      <c r="F173" s="2106"/>
      <c r="G173" s="2106"/>
      <c r="H173" s="2106"/>
      <c r="I173" s="2106"/>
      <c r="J173" s="2127"/>
      <c r="K173" s="2425"/>
      <c r="L173" s="2324"/>
      <c r="M173" s="2324"/>
      <c r="N173" s="2324"/>
      <c r="O173" s="2324"/>
      <c r="P173" s="2324"/>
      <c r="Q173" s="2324"/>
      <c r="R173" s="2324"/>
      <c r="S173" s="2324"/>
      <c r="T173" s="2324"/>
      <c r="U173" s="2324"/>
      <c r="V173" s="2324"/>
      <c r="W173" s="2324"/>
      <c r="X173" s="2324"/>
      <c r="Y173" s="2324"/>
      <c r="Z173" s="2324"/>
      <c r="AA173" s="2324"/>
      <c r="AB173" s="2324"/>
      <c r="AC173" s="2324"/>
      <c r="AD173" s="2324"/>
      <c r="AE173" s="2324"/>
      <c r="AF173" s="2324"/>
      <c r="AG173" s="2324"/>
      <c r="AH173" s="2324"/>
      <c r="AI173" s="2324"/>
      <c r="AJ173" s="2324"/>
      <c r="AK173" s="2324"/>
      <c r="AL173" s="2324"/>
      <c r="AM173" s="2324"/>
      <c r="AN173" s="2324"/>
      <c r="AO173" s="2324"/>
      <c r="AP173" s="2324"/>
      <c r="AQ173" s="2324"/>
      <c r="AR173" s="2324"/>
      <c r="AS173" s="2324"/>
      <c r="AT173" s="2324"/>
      <c r="AU173" s="2324"/>
      <c r="AV173" s="2324"/>
      <c r="AW173" s="2325"/>
      <c r="AX173" s="2325"/>
      <c r="AY173" s="2325"/>
      <c r="AZ173" s="2325"/>
      <c r="BA173" s="2325"/>
      <c r="BB173" s="2325"/>
      <c r="BC173" s="2325"/>
      <c r="BD173" s="2326"/>
      <c r="BE173" s="2325"/>
      <c r="BF173" s="2326"/>
      <c r="BG173" s="2326"/>
      <c r="BH173" s="2326"/>
      <c r="BI173" s="2327"/>
      <c r="BJ173" s="2327"/>
      <c r="BK173" s="2327"/>
      <c r="BL173" s="2327"/>
      <c r="BM173" s="2327"/>
      <c r="BN173" s="2327"/>
      <c r="BO173" s="2327"/>
      <c r="BP173" s="2327"/>
      <c r="BQ173" s="2327"/>
      <c r="BR173" s="2327"/>
      <c r="BS173" s="2327"/>
      <c r="BT173" s="2327"/>
      <c r="BU173" s="2327"/>
      <c r="BV173" s="2327"/>
      <c r="BW173" s="2327"/>
      <c r="BX173" s="2327"/>
      <c r="BY173" s="2327"/>
      <c r="BZ173" s="2327"/>
      <c r="CA173" s="2327"/>
      <c r="CB173" s="2327"/>
      <c r="CC173" s="2327"/>
      <c r="CD173" s="2327"/>
      <c r="CE173" s="2327"/>
      <c r="CF173" s="2327"/>
      <c r="CG173" s="2327"/>
      <c r="CH173" s="2327"/>
      <c r="CI173" s="2327"/>
      <c r="CJ173" s="2327"/>
      <c r="CK173" s="2327"/>
      <c r="CL173" s="2327"/>
      <c r="CM173" s="2327"/>
      <c r="CN173" s="2327"/>
      <c r="CO173" s="2327"/>
      <c r="CP173" s="2327"/>
      <c r="CQ173" s="2327"/>
      <c r="CR173" s="2327"/>
      <c r="CS173" s="2327"/>
      <c r="CT173" s="2327"/>
      <c r="CU173" s="2327"/>
      <c r="CV173" s="2327"/>
      <c r="CW173" s="2327"/>
      <c r="CX173" s="2327"/>
      <c r="CY173" s="2327"/>
      <c r="CZ173" s="2327"/>
      <c r="DA173" s="2327"/>
      <c r="DB173" s="2327"/>
      <c r="DC173" s="2327"/>
      <c r="DD173" s="2327"/>
      <c r="DE173" s="2327"/>
      <c r="DF173" s="2327"/>
      <c r="DG173" s="2327"/>
      <c r="DH173" s="2327"/>
      <c r="DI173" s="2327"/>
      <c r="DJ173" s="2327"/>
      <c r="DK173" s="2327"/>
      <c r="DL173" s="2327"/>
      <c r="DM173" s="2327"/>
      <c r="DN173" s="2327"/>
      <c r="DO173" s="2327"/>
      <c r="DP173" s="2327"/>
      <c r="DQ173" s="2327"/>
      <c r="DR173" s="2327"/>
      <c r="DS173" s="2327"/>
      <c r="DT173" s="2327"/>
      <c r="DU173" s="2327"/>
      <c r="DV173" s="2327"/>
      <c r="DW173" s="2327"/>
      <c r="DX173" s="2327"/>
      <c r="DY173" s="2327"/>
      <c r="DZ173" s="2327"/>
      <c r="EA173" s="2327"/>
      <c r="EB173" s="2327"/>
      <c r="EC173" s="2327"/>
      <c r="ED173" s="2327"/>
      <c r="EE173" s="2327"/>
      <c r="EF173" s="2327"/>
      <c r="EG173" s="2327"/>
      <c r="EH173" s="2327"/>
      <c r="EI173" s="2327"/>
      <c r="EJ173" s="2327"/>
      <c r="EK173" s="2327"/>
      <c r="EL173" s="2327"/>
      <c r="EM173" s="2327"/>
      <c r="EN173" s="2327"/>
      <c r="EO173" s="2327"/>
      <c r="EP173" s="2327"/>
      <c r="EQ173" s="2327"/>
      <c r="ER173" s="2327"/>
      <c r="ES173" s="2327"/>
      <c r="ET173" s="2327"/>
      <c r="EU173" s="2327"/>
      <c r="EV173" s="2327"/>
      <c r="EW173" s="2327"/>
      <c r="EX173" s="2327"/>
      <c r="EY173" s="2327"/>
      <c r="EZ173" s="2327"/>
      <c r="FA173" s="2327"/>
      <c r="FB173" s="2327"/>
      <c r="FC173" s="2327"/>
      <c r="FD173" s="2327"/>
      <c r="FE173" s="2327"/>
      <c r="FF173" s="2327"/>
      <c r="FG173" s="2327"/>
      <c r="FH173" s="2327"/>
      <c r="FI173" s="2327"/>
      <c r="FJ173" s="2327"/>
      <c r="FK173" s="2327"/>
      <c r="FL173" s="2327"/>
      <c r="FM173" s="2327"/>
      <c r="FN173" s="2327"/>
      <c r="FO173" s="2327"/>
      <c r="FP173" s="2327"/>
      <c r="FQ173" s="2327"/>
      <c r="FR173" s="2327"/>
      <c r="FS173" s="2327"/>
      <c r="FT173" s="2327"/>
      <c r="FU173" s="2327"/>
      <c r="FV173" s="2327"/>
      <c r="FW173" s="2330"/>
      <c r="FX173" s="2330"/>
      <c r="FY173" s="2330">
        <v>100</v>
      </c>
      <c r="FZ173" s="2330" t="e">
        <f>+FY173*(#REF!/#REF!)</f>
        <v>#REF!</v>
      </c>
      <c r="GA173" s="2330" t="e">
        <f>+FZ173*(#REF!/#REF!)</f>
        <v>#REF!</v>
      </c>
      <c r="GB173" s="2330" t="e">
        <f>+GA173*(#REF!/#REF!)</f>
        <v>#REF!</v>
      </c>
      <c r="GC173" s="2330" t="e">
        <f>+GB173*(#REF!/#REF!)</f>
        <v>#REF!</v>
      </c>
      <c r="GD173" s="2330" t="e">
        <f>+GC173*(#REF!/#REF!)</f>
        <v>#REF!</v>
      </c>
      <c r="GE173" s="2330" t="e">
        <f>+GD173*(#REF!/#REF!)</f>
        <v>#REF!</v>
      </c>
      <c r="GF173" s="2329" t="e">
        <f>+GE173*(#REF!/#REF!)</f>
        <v>#REF!</v>
      </c>
      <c r="GG173" s="2328" t="e">
        <f>+GF173*(#REF!/#REF!)</f>
        <v>#REF!</v>
      </c>
      <c r="GH173" s="2329" t="e">
        <f>+GG173*(#REF!/#REF!)</f>
        <v>#REF!</v>
      </c>
      <c r="GI173" s="2329" t="e">
        <f>+GH173*(#REF!/#REF!)</f>
        <v>#REF!</v>
      </c>
      <c r="GJ173" s="2330" t="e">
        <f>+GI173*(#REF!/#REF!)</f>
        <v>#REF!</v>
      </c>
      <c r="GK173" s="2330" t="e">
        <f>+GJ173*(#REF!/#REF!)</f>
        <v>#REF!</v>
      </c>
      <c r="GL173" s="2330" t="e">
        <f>+GK173*(#REF!/#REF!)</f>
        <v>#REF!</v>
      </c>
      <c r="GM173" s="2329" t="e">
        <f>+GL173*(#REF!/#REF!)</f>
        <v>#REF!</v>
      </c>
      <c r="GN173" s="2329" t="e">
        <f>+GM173*(#REF!/#REF!)</f>
        <v>#REF!</v>
      </c>
      <c r="GO173" s="2331" t="e">
        <f>+GN173*(#REF!/#REF!)</f>
        <v>#REF!</v>
      </c>
      <c r="GP173" s="2332" t="e">
        <f>+GO173*(#REF!/#REF!)</f>
        <v>#REF!</v>
      </c>
      <c r="GQ173" s="2332" t="e">
        <f>+GP173*(#REF!/#REF!)</f>
        <v>#REF!</v>
      </c>
      <c r="GR173" s="2332" t="e">
        <f>+GQ173*(#REF!/#REF!)</f>
        <v>#REF!</v>
      </c>
      <c r="GS173" s="2332" t="e">
        <f>+GR173*(#REF!/#REF!)</f>
        <v>#REF!</v>
      </c>
      <c r="GT173" s="2328" t="e">
        <f>+GS173*(#REF!/#REF!)</f>
        <v>#REF!</v>
      </c>
      <c r="GU173" s="2328" t="e">
        <f>+GT173*(#REF!/#REF!)</f>
        <v>#REF!</v>
      </c>
      <c r="GV173" s="2328" t="e">
        <f>+GU173*(#REF!/#REF!)</f>
        <v>#REF!</v>
      </c>
      <c r="GW173" s="2328" t="e">
        <f>+GV173*(#REF!/#REF!)</f>
        <v>#REF!</v>
      </c>
      <c r="GX173" s="2328" t="e">
        <f>+GW173*(#REF!/#REF!)</f>
        <v>#REF!</v>
      </c>
      <c r="GY173" s="2328" t="e">
        <f>+GX173*(#REF!/#REF!)</f>
        <v>#REF!</v>
      </c>
      <c r="GZ173" s="2328" t="e">
        <f>+GY173*(#REF!/#REF!)</f>
        <v>#REF!</v>
      </c>
      <c r="HA173" s="2328" t="e">
        <f>+GZ173*(#REF!/#REF!)</f>
        <v>#REF!</v>
      </c>
      <c r="HB173" s="2328" t="e">
        <f>+HA173*(#REF!/#REF!)</f>
        <v>#REF!</v>
      </c>
      <c r="HC173" s="2328" t="e">
        <f>+HB173*(#REF!/#REF!)</f>
        <v>#REF!</v>
      </c>
      <c r="HD173" s="2328" t="e">
        <f>+HC173*(#REF!/#REF!)</f>
        <v>#REF!</v>
      </c>
      <c r="HE173" s="2328" t="e">
        <f>+HD173*(#REF!/#REF!)</f>
        <v>#REF!</v>
      </c>
      <c r="HF173" s="2328" t="e">
        <f>+HE173*(#REF!/#REF!)</f>
        <v>#REF!</v>
      </c>
      <c r="HG173" s="2328" t="e">
        <f>+HF173*(#REF!/#REF!)</f>
        <v>#REF!</v>
      </c>
      <c r="HH173" s="2333" t="e">
        <f>+HG173*(#REF!/#REF!)</f>
        <v>#REF!</v>
      </c>
      <c r="HI173" s="2328" t="e">
        <f>+HH173*(#REF!/#REF!)</f>
        <v>#REF!</v>
      </c>
      <c r="HJ173" s="2328" t="e">
        <f>+HI173*(#REF!/#REF!)</f>
        <v>#REF!</v>
      </c>
      <c r="HK173" s="2328" t="e">
        <f>+HJ173*(#REF!/#REF!)</f>
        <v>#REF!</v>
      </c>
      <c r="HL173" s="2328" t="e">
        <f>+HK173*(#REF!/#REF!)</f>
        <v>#REF!</v>
      </c>
      <c r="HM173" s="2328" t="e">
        <f>+HL173*(#REF!/#REF!)</f>
        <v>#REF!</v>
      </c>
      <c r="HN173" s="2328" t="e">
        <f>+HM173*(#REF!/#REF!)</f>
        <v>#REF!</v>
      </c>
      <c r="HO173" s="2328" t="e">
        <f>+HN173*(#REF!/#REF!)</f>
        <v>#REF!</v>
      </c>
      <c r="HP173" s="2328" t="e">
        <f>+HO173*(#REF!/#REF!)</f>
        <v>#REF!</v>
      </c>
      <c r="HQ173" s="2328" t="e">
        <f>+HP173*(#REF!/#REF!)</f>
        <v>#REF!</v>
      </c>
      <c r="HR173" s="2328" t="e">
        <f>+HQ173*(#REF!/#REF!)</f>
        <v>#REF!</v>
      </c>
      <c r="HS173" s="2328" t="e">
        <f>+HR173*(#REF!/#REF!)</f>
        <v>#REF!</v>
      </c>
      <c r="HT173" s="2334" t="e">
        <f>+HS173*(#REF!/#REF!)</f>
        <v>#REF!</v>
      </c>
      <c r="HU173" s="2335" t="e">
        <f>+HT173*(#REF!/#REF!)</f>
        <v>#REF!</v>
      </c>
      <c r="HV173" s="2328" t="e">
        <f>+HU173*(#REF!/#REF!)</f>
        <v>#REF!</v>
      </c>
      <c r="HW173" s="2328" t="e">
        <f>+HV173*(#REF!/#REF!)</f>
        <v>#REF!</v>
      </c>
      <c r="HX173" s="2328" t="e">
        <f>+HW173*(#REF!/#REF!)</f>
        <v>#REF!</v>
      </c>
      <c r="HY173" s="2328" t="e">
        <f>+HX173*(#REF!/#REF!)</f>
        <v>#REF!</v>
      </c>
      <c r="HZ173" s="2328" t="e">
        <f>+HY173*(#REF!/#REF!)</f>
        <v>#REF!</v>
      </c>
      <c r="IA173" s="2328" t="e">
        <f>+HZ173*(#REF!/#REF!)</f>
        <v>#REF!</v>
      </c>
      <c r="IB173" s="2328" t="e">
        <f>+IA173*(#REF!/#REF!)</f>
        <v>#REF!</v>
      </c>
      <c r="IC173" s="2328" t="e">
        <f>+IB173*(#REF!/#REF!)</f>
        <v>#REF!</v>
      </c>
      <c r="ID173" s="2328" t="e">
        <f>+IC173*(#REF!/#REF!)</f>
        <v>#REF!</v>
      </c>
      <c r="IE173" s="2328" t="e">
        <f>+ID173*(#REF!/#REF!)</f>
        <v>#REF!</v>
      </c>
      <c r="IF173" s="2328" t="e">
        <f>+IE173*(#REF!/#REF!)</f>
        <v>#REF!</v>
      </c>
      <c r="IG173" s="2335" t="e">
        <f>+IF173*(#REF!/#REF!)</f>
        <v>#REF!</v>
      </c>
      <c r="IH173" s="2328" t="e">
        <f>+IG173*(#REF!/#REF!)</f>
        <v>#REF!</v>
      </c>
      <c r="II173" s="2328" t="e">
        <f>+IH173*(#REF!/#REF!)</f>
        <v>#REF!</v>
      </c>
      <c r="IJ173" s="2335" t="e">
        <f>+II173*(#REF!/#REF!)</f>
        <v>#REF!</v>
      </c>
      <c r="IK173" s="2328" t="e">
        <f>+IJ173*(#REF!/#REF!)</f>
        <v>#REF!</v>
      </c>
      <c r="IL173" s="2328" t="e">
        <f>+IK173*(#REF!/#REF!)</f>
        <v>#REF!</v>
      </c>
      <c r="IM173" s="2328" t="e">
        <f>+IL173*(#REF!/#REF!)</f>
        <v>#REF!</v>
      </c>
      <c r="IN173" s="2328" t="e">
        <f>+IM173*(#REF!/#REF!)</f>
        <v>#REF!</v>
      </c>
      <c r="IO173" s="2328" t="e">
        <f>+IN173*(#REF!/#REF!)</f>
        <v>#REF!</v>
      </c>
      <c r="IP173" s="2328" t="e">
        <f>+IO173*(#REF!/#REF!)</f>
        <v>#REF!</v>
      </c>
      <c r="IQ173" s="2328" t="e">
        <f>+IP173*(#REF!/#REF!)</f>
        <v>#REF!</v>
      </c>
      <c r="IR173" s="2328" t="e">
        <f>+IQ173*(#REF!/#REF!)</f>
        <v>#REF!</v>
      </c>
      <c r="IS173" s="2336" t="e">
        <f>+IR173*(#REF!/#REF!)</f>
        <v>#REF!</v>
      </c>
      <c r="IT173" s="2328" t="e">
        <f>+IS173*(#REF!/#REF!)</f>
        <v>#REF!</v>
      </c>
      <c r="IU173" s="2328" t="e">
        <f>+IT173*(#REF!/#REF!)</f>
        <v>#REF!</v>
      </c>
      <c r="IV173" s="2328" t="e">
        <f>+IU173*(#REF!/#REF!)</f>
        <v>#REF!</v>
      </c>
      <c r="IW173" s="2328" t="e">
        <f>+IV173*(#REF!/#REF!)</f>
        <v>#REF!</v>
      </c>
      <c r="IX173" s="2328" t="e">
        <f>+IW173*(#REF!/#REF!)</f>
        <v>#REF!</v>
      </c>
      <c r="IY173" s="2328" t="e">
        <f>+IX173*(#REF!/#REF!)</f>
        <v>#REF!</v>
      </c>
      <c r="IZ173" s="2328" t="e">
        <f>+IY173*(#REF!/#REF!)</f>
        <v>#REF!</v>
      </c>
      <c r="JA173" s="2328" t="e">
        <f>+IZ173*(#REF!/#REF!)</f>
        <v>#REF!</v>
      </c>
      <c r="JB173" s="2328" t="e">
        <f>+JA173*(#REF!/#REF!)</f>
        <v>#REF!</v>
      </c>
      <c r="JC173" s="2328" t="e">
        <f>+JB173*(#REF!/#REF!)</f>
        <v>#REF!</v>
      </c>
      <c r="JD173" s="2328"/>
      <c r="JE173" s="2336" t="e">
        <v>#N/A</v>
      </c>
      <c r="JF173" s="2333" t="e">
        <v>#N/A</v>
      </c>
      <c r="JG173" s="2103" t="e">
        <f t="shared" si="14"/>
        <v>#N/A</v>
      </c>
      <c r="JI173" s="2155"/>
      <c r="JJ173" s="2104"/>
    </row>
    <row r="174" spans="2:271" ht="31.5">
      <c r="B174" s="2105">
        <v>231</v>
      </c>
      <c r="C174" s="2106"/>
      <c r="D174" s="2425">
        <v>0</v>
      </c>
      <c r="E174" s="2128" t="s">
        <v>363</v>
      </c>
      <c r="F174" s="2106"/>
      <c r="G174" s="2425" t="s">
        <v>1113</v>
      </c>
      <c r="H174" s="2106" t="s">
        <v>336</v>
      </c>
      <c r="I174" s="2106"/>
      <c r="J174" s="2359" t="s">
        <v>438</v>
      </c>
      <c r="K174" s="2425" t="s">
        <v>1148</v>
      </c>
      <c r="L174" s="2409">
        <v>100</v>
      </c>
      <c r="M174" s="2409">
        <v>99.99</v>
      </c>
      <c r="N174" s="2409">
        <v>100.11</v>
      </c>
      <c r="O174" s="2409">
        <v>109.93</v>
      </c>
      <c r="P174" s="2409">
        <v>144.4</v>
      </c>
      <c r="Q174" s="2409">
        <v>182.93</v>
      </c>
      <c r="R174" s="2409">
        <v>218.39</v>
      </c>
      <c r="S174" s="2409">
        <v>237.46</v>
      </c>
      <c r="T174" s="2409">
        <v>250.17</v>
      </c>
      <c r="U174" s="2409">
        <v>267.52999999999997</v>
      </c>
      <c r="V174" s="2409">
        <v>275.10000000000002</v>
      </c>
      <c r="W174" s="2409">
        <v>276.58999999999997</v>
      </c>
      <c r="X174" s="2409">
        <v>276.07</v>
      </c>
      <c r="Y174" s="2409">
        <v>290.27</v>
      </c>
      <c r="Z174" s="2409">
        <v>290.38</v>
      </c>
      <c r="AA174" s="2409">
        <v>290.89999999999998</v>
      </c>
      <c r="AB174" s="2409">
        <v>290.60000000000002</v>
      </c>
      <c r="AC174" s="2409">
        <v>291.31</v>
      </c>
      <c r="AD174" s="2409">
        <v>288.64</v>
      </c>
      <c r="AE174" s="2409">
        <v>287.67</v>
      </c>
      <c r="AF174" s="2409">
        <v>288.62</v>
      </c>
      <c r="AG174" s="2409">
        <v>292.06</v>
      </c>
      <c r="AH174" s="2409">
        <v>289.97000000000003</v>
      </c>
      <c r="AI174" s="2409">
        <v>290.60000000000002</v>
      </c>
      <c r="AJ174" s="2409">
        <v>291.74</v>
      </c>
      <c r="AK174" s="2409">
        <v>293.73</v>
      </c>
      <c r="AL174" s="2409">
        <v>294.86</v>
      </c>
      <c r="AM174" s="2409">
        <v>295.73</v>
      </c>
      <c r="AN174" s="2409">
        <v>296.02999999999997</v>
      </c>
      <c r="AO174" s="2409">
        <v>299.45</v>
      </c>
      <c r="AP174" s="2409">
        <v>301.08999999999997</v>
      </c>
      <c r="AQ174" s="2409">
        <v>302.33</v>
      </c>
      <c r="AR174" s="2409">
        <v>312.89</v>
      </c>
      <c r="AS174" s="2409">
        <v>316.17</v>
      </c>
      <c r="AT174" s="2409">
        <v>316.37</v>
      </c>
      <c r="AU174" s="2409">
        <v>316.45</v>
      </c>
      <c r="AV174" s="2409">
        <v>316.83999999999997</v>
      </c>
      <c r="AW174" s="2410">
        <v>316.35000000000002</v>
      </c>
      <c r="AX174" s="2410">
        <v>319.74</v>
      </c>
      <c r="AY174" s="2410">
        <v>331.23</v>
      </c>
      <c r="AZ174" s="2410">
        <v>332.57</v>
      </c>
      <c r="BA174" s="2410">
        <v>332.13</v>
      </c>
      <c r="BB174" s="2410">
        <v>329.98</v>
      </c>
      <c r="BC174" s="2410">
        <v>330.14</v>
      </c>
      <c r="BD174" s="2411">
        <v>330.23</v>
      </c>
      <c r="BE174" s="2410">
        <v>330.88</v>
      </c>
      <c r="BF174" s="2411">
        <v>331.51</v>
      </c>
      <c r="BG174" s="2411">
        <v>338.31</v>
      </c>
      <c r="BH174" s="2411">
        <v>338.72</v>
      </c>
      <c r="BI174" s="2412">
        <v>340.99</v>
      </c>
      <c r="BJ174" s="2412">
        <v>341.18</v>
      </c>
      <c r="BK174" s="2412">
        <v>347.85</v>
      </c>
      <c r="BL174" s="2412">
        <v>343.59</v>
      </c>
      <c r="BM174" s="2412">
        <v>347.17</v>
      </c>
      <c r="BN174" s="2412">
        <v>347.57</v>
      </c>
      <c r="BO174" s="2412">
        <v>349.64</v>
      </c>
      <c r="BP174" s="2412">
        <v>349.97</v>
      </c>
      <c r="BQ174" s="2412">
        <v>340.13</v>
      </c>
      <c r="BR174" s="2412">
        <v>354.97</v>
      </c>
      <c r="BS174" s="2412">
        <v>354.87</v>
      </c>
      <c r="BT174" s="2412">
        <v>354.99</v>
      </c>
      <c r="BU174" s="2412">
        <v>358.87</v>
      </c>
      <c r="BV174" s="2412">
        <v>359.17</v>
      </c>
      <c r="BW174" s="2412">
        <v>359.26</v>
      </c>
      <c r="BX174" s="2412">
        <v>359.57</v>
      </c>
      <c r="BY174" s="2412">
        <v>368.33</v>
      </c>
      <c r="BZ174" s="2412">
        <v>370.07</v>
      </c>
      <c r="CA174" s="2412">
        <v>378.07</v>
      </c>
      <c r="CB174" s="2412">
        <v>376.82</v>
      </c>
      <c r="CC174" s="2412">
        <v>378.6</v>
      </c>
      <c r="CD174" s="2412">
        <v>380.17</v>
      </c>
      <c r="CE174" s="2412">
        <v>382.47</v>
      </c>
      <c r="CF174" s="2412">
        <v>395.23</v>
      </c>
      <c r="CG174" s="2412">
        <v>384.13</v>
      </c>
      <c r="CH174" s="2412">
        <v>366.34</v>
      </c>
      <c r="CI174" s="2412">
        <v>365.54</v>
      </c>
      <c r="CJ174" s="2412">
        <v>375.8</v>
      </c>
      <c r="CK174" s="2412">
        <v>387.35</v>
      </c>
      <c r="CL174" s="2412">
        <v>392.83</v>
      </c>
      <c r="CM174" s="2412">
        <v>401.43</v>
      </c>
      <c r="CN174" s="2412">
        <v>398.37</v>
      </c>
      <c r="CO174" s="2412">
        <v>402.22</v>
      </c>
      <c r="CP174" s="2412">
        <v>404.82</v>
      </c>
      <c r="CQ174" s="2412">
        <v>407.97</v>
      </c>
      <c r="CR174" s="2412">
        <v>411.01</v>
      </c>
      <c r="CS174" s="2412">
        <v>416.43</v>
      </c>
      <c r="CT174" s="2412">
        <v>423.38</v>
      </c>
      <c r="CU174" s="2412">
        <v>432.46</v>
      </c>
      <c r="CV174" s="2412">
        <v>447.31</v>
      </c>
      <c r="CW174" s="2412">
        <v>461</v>
      </c>
      <c r="CX174" s="2412">
        <v>477.91</v>
      </c>
      <c r="CY174" s="2412">
        <v>495.21</v>
      </c>
      <c r="CZ174" s="2412">
        <v>497.42</v>
      </c>
      <c r="DA174" s="2412">
        <v>498.89</v>
      </c>
      <c r="DB174" s="2412">
        <v>515.72</v>
      </c>
      <c r="DC174" s="2412">
        <v>517.39</v>
      </c>
      <c r="DD174" s="2412">
        <v>519.16999999999996</v>
      </c>
      <c r="DE174" s="2412">
        <v>519.5</v>
      </c>
      <c r="DF174" s="2412">
        <v>520.74</v>
      </c>
      <c r="DG174" s="2412">
        <v>529.11</v>
      </c>
      <c r="DH174" s="2412">
        <v>542.84</v>
      </c>
      <c r="DI174" s="2412">
        <v>563.22</v>
      </c>
      <c r="DJ174" s="2412">
        <v>578.94000000000005</v>
      </c>
      <c r="DK174" s="2412">
        <v>588.47</v>
      </c>
      <c r="DL174" s="2412">
        <v>604.62</v>
      </c>
      <c r="DM174" s="2412">
        <v>612.37</v>
      </c>
      <c r="DN174" s="2412">
        <v>612.91</v>
      </c>
      <c r="DO174" s="2412">
        <v>617.35</v>
      </c>
      <c r="DP174" s="2412">
        <v>637.95000000000005</v>
      </c>
      <c r="DQ174" s="2412">
        <v>658.6</v>
      </c>
      <c r="DR174" s="2412">
        <v>660.44</v>
      </c>
      <c r="DS174" s="2412">
        <v>665.52</v>
      </c>
      <c r="DT174" s="2412">
        <v>705.11</v>
      </c>
      <c r="DU174" s="2412">
        <v>713.9</v>
      </c>
      <c r="DV174" s="2412">
        <v>718.81</v>
      </c>
      <c r="DW174" s="2412">
        <v>730.61</v>
      </c>
      <c r="DX174" s="2412">
        <v>745.69</v>
      </c>
      <c r="DY174" s="2412">
        <v>752.64</v>
      </c>
      <c r="DZ174" s="2412">
        <v>758.33</v>
      </c>
      <c r="EA174" s="2412">
        <v>767.7</v>
      </c>
      <c r="EB174" s="2412">
        <v>773.15</v>
      </c>
      <c r="EC174" s="2412">
        <v>715.8</v>
      </c>
      <c r="ED174" s="2412">
        <v>719.85</v>
      </c>
      <c r="EE174" s="2412">
        <v>728.63</v>
      </c>
      <c r="EF174" s="2412">
        <v>732.24</v>
      </c>
      <c r="EG174" s="2412">
        <v>744.44</v>
      </c>
      <c r="EH174" s="2412">
        <v>763.5</v>
      </c>
      <c r="EI174" s="2412">
        <v>785.61</v>
      </c>
      <c r="EJ174" s="2412">
        <v>789.73</v>
      </c>
      <c r="EK174" s="2412">
        <v>791.17</v>
      </c>
      <c r="EL174" s="2412">
        <v>791.68</v>
      </c>
      <c r="EM174" s="2412">
        <v>800.47</v>
      </c>
      <c r="EN174" s="2412">
        <v>801.28</v>
      </c>
      <c r="EO174" s="2412">
        <v>802.93</v>
      </c>
      <c r="EP174" s="2412">
        <v>809.05</v>
      </c>
      <c r="EQ174" s="2412">
        <v>824.22</v>
      </c>
      <c r="ER174" s="2412">
        <v>839.54</v>
      </c>
      <c r="ES174" s="2412">
        <v>850.76</v>
      </c>
      <c r="ET174" s="2412">
        <v>877.56</v>
      </c>
      <c r="EU174" s="2412">
        <v>885.29</v>
      </c>
      <c r="EV174" s="2412">
        <v>891.05</v>
      </c>
      <c r="EW174" s="2412">
        <v>900.7</v>
      </c>
      <c r="EX174" s="2412">
        <v>901.58</v>
      </c>
      <c r="EY174" s="2412">
        <v>904.29</v>
      </c>
      <c r="EZ174" s="2412">
        <v>911.49</v>
      </c>
      <c r="FA174" s="2412">
        <v>944.78</v>
      </c>
      <c r="FB174" s="2412">
        <v>966.29</v>
      </c>
      <c r="FC174" s="2412">
        <v>1009.08</v>
      </c>
      <c r="FD174" s="2412">
        <v>1092.96</v>
      </c>
      <c r="FE174" s="2412">
        <v>1102.94</v>
      </c>
      <c r="FF174" s="2412">
        <v>1110.97</v>
      </c>
      <c r="FG174" s="2412">
        <v>1171.1300000000001</v>
      </c>
      <c r="FH174" s="2412">
        <v>1177.32</v>
      </c>
      <c r="FI174" s="2412">
        <v>1195.83</v>
      </c>
      <c r="FJ174" s="2412">
        <v>1201.56</v>
      </c>
      <c r="FK174" s="2412">
        <v>1202.57</v>
      </c>
      <c r="FL174" s="2412">
        <v>1204.33</v>
      </c>
      <c r="FM174" s="2412">
        <v>1163.45</v>
      </c>
      <c r="FN174" s="2412">
        <v>1174.54</v>
      </c>
      <c r="FO174" s="2412">
        <v>1188.72</v>
      </c>
      <c r="FP174" s="2412">
        <v>1215.33</v>
      </c>
      <c r="FQ174" s="2412">
        <v>1229.8900000000001</v>
      </c>
      <c r="FR174" s="2412">
        <v>1250.45</v>
      </c>
      <c r="FS174" s="2412">
        <v>1263.25</v>
      </c>
      <c r="FT174" s="2412">
        <v>1293.23</v>
      </c>
      <c r="FU174" s="2412">
        <v>1296.6199999999999</v>
      </c>
      <c r="FV174" s="2412">
        <v>1298.6500000000001</v>
      </c>
      <c r="FW174" s="2413" t="e">
        <f>+'ANEXO E'!O187</f>
        <v>#REF!</v>
      </c>
      <c r="FX174" s="2413" t="e">
        <f>+'ANEXO E'!P187</f>
        <v>#REF!</v>
      </c>
      <c r="FY174" s="2413">
        <f>+'ANEXO E'!E197</f>
        <v>100</v>
      </c>
      <c r="FZ174" s="2413">
        <f>+'ANEXO E'!F197</f>
        <v>100.79</v>
      </c>
      <c r="GA174" s="2413">
        <f>+'ANEXO E'!G197</f>
        <v>106.48</v>
      </c>
      <c r="GB174" s="2413">
        <f>+'ANEXO E'!H197</f>
        <v>114.25</v>
      </c>
      <c r="GC174" s="2413">
        <f>+'ANEXO E'!I197</f>
        <v>123.88</v>
      </c>
      <c r="GD174" s="2413">
        <f>+'ANEXO E'!J197</f>
        <v>124.39</v>
      </c>
      <c r="GE174" s="2413">
        <f>+'ANEXO E'!K197</f>
        <v>124.39</v>
      </c>
      <c r="GF174" s="2413">
        <f>+'ANEXO E'!L197</f>
        <v>124.55</v>
      </c>
      <c r="GG174" s="2413">
        <f>+'ANEXO E'!M197</f>
        <v>124.78</v>
      </c>
      <c r="GH174" s="2413">
        <f>+'ANEXO E'!N197</f>
        <v>126.06</v>
      </c>
      <c r="GI174" s="2413">
        <f>+'ANEXO E'!O197</f>
        <v>126.89</v>
      </c>
      <c r="GJ174" s="2413">
        <f>+'ANEXO E'!P197</f>
        <v>126.89</v>
      </c>
      <c r="GK174" s="2413">
        <f>+'ANEXO E'!E207</f>
        <v>130.19999999999999</v>
      </c>
      <c r="GL174" s="2413">
        <f>+'ANEXO E'!F207</f>
        <v>135.99</v>
      </c>
      <c r="GM174" s="2413">
        <f>+'ANEXO E'!G207</f>
        <v>136.12</v>
      </c>
      <c r="GN174" s="2413">
        <f>+'ANEXO E'!H207</f>
        <v>138.01</v>
      </c>
      <c r="GO174" s="2413">
        <f>+'ANEXO E'!I207</f>
        <v>135.32</v>
      </c>
      <c r="GP174" s="2413">
        <f>+'ANEXO E'!J207</f>
        <v>135.32</v>
      </c>
      <c r="GQ174" s="2413">
        <f>+'ANEXO E'!K207</f>
        <v>143.15</v>
      </c>
      <c r="GR174" s="2413">
        <f>+'ANEXO E'!L207</f>
        <v>143.15</v>
      </c>
      <c r="GS174" s="2413">
        <f>+'ANEXO E'!M207</f>
        <v>143.15</v>
      </c>
      <c r="GT174" s="2413">
        <f>+'ANEXO E'!N207</f>
        <v>146.66999999999999</v>
      </c>
      <c r="GU174" s="2413">
        <f>+'ANEXO E'!O207</f>
        <v>153.59</v>
      </c>
      <c r="GV174" s="2413">
        <f>+'ANEXO E'!P207</f>
        <v>160.88</v>
      </c>
      <c r="GW174" s="2415">
        <f>+'ANEXO E'!E217</f>
        <v>161.34</v>
      </c>
      <c r="GX174" s="2415">
        <f>+'ANEXO E'!F217</f>
        <v>177.02</v>
      </c>
      <c r="GY174" s="2415">
        <f>+'ANEXO E'!G217</f>
        <v>177.27</v>
      </c>
      <c r="GZ174" s="2415">
        <f>+'ANEXO E'!H217</f>
        <v>182.81</v>
      </c>
      <c r="HA174" s="2415">
        <f>+'ANEXO E'!I217</f>
        <v>185.32</v>
      </c>
      <c r="HB174" s="2415">
        <f>+'ANEXO E'!J217</f>
        <v>183.89</v>
      </c>
      <c r="HC174" s="2415">
        <f>+'ANEXO E'!K217</f>
        <v>199.78</v>
      </c>
      <c r="HD174" s="2415">
        <f>+'ANEXO E'!L217</f>
        <v>211.06</v>
      </c>
      <c r="HE174" s="2415">
        <f>+'ANEXO E'!M217</f>
        <v>239.68</v>
      </c>
      <c r="HF174" s="2415">
        <f>+'ANEXO E'!N217</f>
        <v>257.57</v>
      </c>
      <c r="HG174" s="2415">
        <f>+'ANEXO E'!O217</f>
        <v>265.01</v>
      </c>
      <c r="HH174" s="2415">
        <f>+'ANEXO E'!P217</f>
        <v>271.68</v>
      </c>
      <c r="HI174" s="2415">
        <f>+'ANEXO E'!E227</f>
        <v>263.81</v>
      </c>
      <c r="HJ174" s="2415">
        <f>+'ANEXO E'!F227</f>
        <v>282.56</v>
      </c>
      <c r="HK174" s="2415">
        <f>+'ANEXO E'!G227</f>
        <v>283.62</v>
      </c>
      <c r="HL174" s="2415">
        <f>+'ANEXO E'!H227</f>
        <v>297.62</v>
      </c>
      <c r="HM174" s="2415">
        <f>+'ANEXO E'!I227</f>
        <v>309.87</v>
      </c>
      <c r="HN174" s="2415">
        <f>+'ANEXO E'!J227</f>
        <v>313.97000000000003</v>
      </c>
      <c r="HO174" s="2415">
        <f>+'ANEXO E'!K227</f>
        <v>320.58999999999997</v>
      </c>
      <c r="HP174" s="2415">
        <f>+'ANEXO E'!L227</f>
        <v>325.83</v>
      </c>
      <c r="HQ174" s="2415">
        <f>+'ANEXO E'!M227</f>
        <v>336.67</v>
      </c>
      <c r="HR174" s="2415">
        <f>+'ANEXO E'!N227</f>
        <v>341.55</v>
      </c>
      <c r="HS174" s="2415">
        <f>+'ANEXO E'!O227</f>
        <v>373.27</v>
      </c>
      <c r="HT174" s="2415">
        <f>+'ANEXO E'!P227</f>
        <v>395.49</v>
      </c>
      <c r="HU174" s="2420">
        <f>+'ANEXO E'!E237</f>
        <v>398.65</v>
      </c>
      <c r="HV174" s="2417">
        <f>+'ANEXO E'!F237</f>
        <v>400.96</v>
      </c>
      <c r="HW174" s="2417">
        <f>+'ANEXO E'!G237</f>
        <v>400.73</v>
      </c>
      <c r="HX174" s="2417">
        <f>+'ANEXO E'!H237</f>
        <v>400.73</v>
      </c>
      <c r="HY174" s="2417">
        <f>+'ANEXO E'!I237</f>
        <v>401.18</v>
      </c>
      <c r="HZ174" s="2417">
        <f>+'ANEXO E'!J237</f>
        <v>400.8</v>
      </c>
      <c r="IA174" s="2417">
        <f>+'ANEXO E'!K237</f>
        <v>400.8</v>
      </c>
      <c r="IB174" s="2417">
        <f>+'ANEXO E'!L237</f>
        <v>410.06</v>
      </c>
      <c r="IC174" s="2417">
        <f>+'ANEXO E'!M237</f>
        <v>424.64</v>
      </c>
      <c r="ID174" s="2417">
        <f>+'ANEXO E'!N237</f>
        <v>437.59</v>
      </c>
      <c r="IE174" s="2417">
        <f>+'ANEXO E'!O237</f>
        <v>451.47</v>
      </c>
      <c r="IF174" s="2419">
        <f>+'ANEXO E'!P237</f>
        <v>476.62</v>
      </c>
      <c r="IG174" s="2420">
        <f>+'ANEXO E'!E247</f>
        <v>492.9</v>
      </c>
      <c r="IH174" s="2417">
        <f>+'ANEXO E'!F247</f>
        <v>535.80999999999995</v>
      </c>
      <c r="II174" s="2417">
        <f>+'ANEXO E'!G247</f>
        <v>592.69000000000005</v>
      </c>
      <c r="IJ174" s="2417">
        <f>+'ANEXO E'!H247</f>
        <v>630.07000000000005</v>
      </c>
      <c r="IK174" s="2417">
        <f>+'ANEXO E'!I247</f>
        <v>677.36</v>
      </c>
      <c r="IL174" s="2417">
        <f>+'ANEXO E'!J247</f>
        <v>677.48</v>
      </c>
      <c r="IM174" s="2417">
        <f>+'ANEXO E'!K247</f>
        <v>682.75</v>
      </c>
      <c r="IN174" s="2417">
        <f>+'ANEXO E'!L247</f>
        <v>698.37</v>
      </c>
      <c r="IO174" s="2417">
        <f>+'ANEXO E'!M247</f>
        <v>690.35</v>
      </c>
      <c r="IP174" s="2417">
        <f>+'ANEXO E'!N247</f>
        <v>694.29</v>
      </c>
      <c r="IQ174" s="2417">
        <f>+'ANEXO E'!O247</f>
        <v>694.99</v>
      </c>
      <c r="IR174" s="2419">
        <f>+'ANEXO E'!P247</f>
        <v>695.55</v>
      </c>
      <c r="IS174" s="2420">
        <f>+'ANEXO E'!E257</f>
        <v>700.24</v>
      </c>
      <c r="IT174" s="2417">
        <f>+'ANEXO E'!F257</f>
        <v>756.81</v>
      </c>
      <c r="IU174" s="2417">
        <f>+'ANEXO E'!G257</f>
        <v>832.81</v>
      </c>
      <c r="IV174" s="2417">
        <f>+'ANEXO E'!H257</f>
        <v>857.75</v>
      </c>
      <c r="IW174" s="2417">
        <f>+'ANEXO E'!I257</f>
        <v>957.5</v>
      </c>
      <c r="IX174" s="2417">
        <f>+'ANEXO E'!J257</f>
        <v>1076.26</v>
      </c>
      <c r="IY174" s="2417">
        <f>+'ANEXO E'!K257</f>
        <v>1113.73</v>
      </c>
      <c r="IZ174" s="2417">
        <f>+'ANEXO E'!L257</f>
        <v>1153.95</v>
      </c>
      <c r="JA174" s="2417">
        <f>+'ANEXO E'!M257</f>
        <v>1165.46</v>
      </c>
      <c r="JB174" s="2417">
        <f>+'ANEXO E'!N257</f>
        <v>1250.96</v>
      </c>
      <c r="JC174" s="2417">
        <f>+'ANEXO E'!O257</f>
        <v>1470.95</v>
      </c>
      <c r="JD174" s="2415">
        <f>+'ANEXO E'!P257</f>
        <v>1610.35</v>
      </c>
      <c r="JE174" s="2422">
        <f>+'ANEXO E'!E267</f>
        <v>1642.65</v>
      </c>
      <c r="JF174" s="2418">
        <f>+'ANEXO E'!F267</f>
        <v>1799.17</v>
      </c>
      <c r="JG174" s="2103">
        <f t="shared" si="14"/>
        <v>1.0952850576811859</v>
      </c>
      <c r="JI174" s="2155"/>
      <c r="JJ174" s="2104"/>
    </row>
    <row r="175" spans="2:271" ht="31.5">
      <c r="B175" s="2105">
        <v>232</v>
      </c>
      <c r="C175" s="2106"/>
      <c r="D175" s="2425">
        <v>0</v>
      </c>
      <c r="E175" s="2128" t="str">
        <f>+E174</f>
        <v>Costo Horario de Camioneta</v>
      </c>
      <c r="F175" s="2106"/>
      <c r="G175" s="2425" t="s">
        <v>1114</v>
      </c>
      <c r="H175" s="2106" t="s">
        <v>336</v>
      </c>
      <c r="I175" s="2106"/>
      <c r="J175" s="2359" t="s">
        <v>118</v>
      </c>
      <c r="K175" s="2425"/>
      <c r="L175" s="2409">
        <v>100</v>
      </c>
      <c r="M175" s="2409">
        <v>106.95</v>
      </c>
      <c r="N175" s="2409">
        <v>107.7</v>
      </c>
      <c r="O175" s="2409">
        <v>108.45</v>
      </c>
      <c r="P175" s="2409">
        <v>152.11000000000001</v>
      </c>
      <c r="Q175" s="2409">
        <v>177.42</v>
      </c>
      <c r="R175" s="2409">
        <v>201.2</v>
      </c>
      <c r="S175" s="2409">
        <v>206.56</v>
      </c>
      <c r="T175" s="2409">
        <v>206.81</v>
      </c>
      <c r="U175" s="2409">
        <v>206.23</v>
      </c>
      <c r="V175" s="2409">
        <v>209.81</v>
      </c>
      <c r="W175" s="2409">
        <v>209.93</v>
      </c>
      <c r="X175" s="2409">
        <v>210.93</v>
      </c>
      <c r="Y175" s="2409">
        <v>204.96</v>
      </c>
      <c r="Z175" s="2409">
        <v>203.25</v>
      </c>
      <c r="AA175" s="2409">
        <v>202.15</v>
      </c>
      <c r="AB175" s="2409">
        <v>200.5</v>
      </c>
      <c r="AC175" s="2409">
        <v>198.52</v>
      </c>
      <c r="AD175" s="2409">
        <v>199.59</v>
      </c>
      <c r="AE175" s="2409">
        <v>200.97</v>
      </c>
      <c r="AF175" s="2409">
        <v>203.74</v>
      </c>
      <c r="AG175" s="2409">
        <v>202.12</v>
      </c>
      <c r="AH175" s="2409">
        <v>201.73</v>
      </c>
      <c r="AI175" s="2409">
        <v>202.19</v>
      </c>
      <c r="AJ175" s="2409">
        <v>206.43</v>
      </c>
      <c r="AK175" s="2409">
        <v>207.76</v>
      </c>
      <c r="AL175" s="2409">
        <v>212.22</v>
      </c>
      <c r="AM175" s="2409">
        <v>217.73</v>
      </c>
      <c r="AN175" s="2409">
        <v>218.98</v>
      </c>
      <c r="AO175" s="2409">
        <v>224.86</v>
      </c>
      <c r="AP175" s="2409">
        <v>227.2</v>
      </c>
      <c r="AQ175" s="2409">
        <v>227.69</v>
      </c>
      <c r="AR175" s="2409">
        <v>230.61</v>
      </c>
      <c r="AS175" s="2409">
        <v>231.13</v>
      </c>
      <c r="AT175" s="2409">
        <v>231.66</v>
      </c>
      <c r="AU175" s="2409">
        <v>231.77</v>
      </c>
      <c r="AV175" s="2409">
        <v>234.27</v>
      </c>
      <c r="AW175" s="2410">
        <v>210.88</v>
      </c>
      <c r="AX175" s="2410">
        <v>244.75</v>
      </c>
      <c r="AY175" s="2410">
        <v>245.85</v>
      </c>
      <c r="AZ175" s="2410">
        <v>245.73</v>
      </c>
      <c r="BA175" s="2410">
        <v>246.67</v>
      </c>
      <c r="BB175" s="2410">
        <v>247.2</v>
      </c>
      <c r="BC175" s="2410">
        <v>248.76</v>
      </c>
      <c r="BD175" s="2411">
        <v>250.77</v>
      </c>
      <c r="BE175" s="2410">
        <v>255.07</v>
      </c>
      <c r="BF175" s="2411">
        <v>257.17</v>
      </c>
      <c r="BG175" s="2411">
        <v>257.77</v>
      </c>
      <c r="BH175" s="2411">
        <v>261.87</v>
      </c>
      <c r="BI175" s="2412">
        <v>264.17</v>
      </c>
      <c r="BJ175" s="2412">
        <v>266.12</v>
      </c>
      <c r="BK175" s="2412">
        <v>268.56</v>
      </c>
      <c r="BL175" s="2412">
        <v>269.23</v>
      </c>
      <c r="BM175" s="2412">
        <v>269.91000000000003</v>
      </c>
      <c r="BN175" s="2412">
        <v>273.51</v>
      </c>
      <c r="BO175" s="2412">
        <v>277.93</v>
      </c>
      <c r="BP175" s="2412">
        <v>281.19</v>
      </c>
      <c r="BQ175" s="2412">
        <v>283.33999999999997</v>
      </c>
      <c r="BR175" s="2412">
        <v>285.17</v>
      </c>
      <c r="BS175" s="2412">
        <v>284.43</v>
      </c>
      <c r="BT175" s="2412">
        <v>285.69</v>
      </c>
      <c r="BU175" s="2412">
        <v>285.86</v>
      </c>
      <c r="BV175" s="2412">
        <v>288.51</v>
      </c>
      <c r="BW175" s="2412">
        <v>289.39</v>
      </c>
      <c r="BX175" s="2412">
        <v>292.55</v>
      </c>
      <c r="BY175" s="2412">
        <v>296.19</v>
      </c>
      <c r="BZ175" s="2412">
        <v>298.33</v>
      </c>
      <c r="CA175" s="2412">
        <v>301.55</v>
      </c>
      <c r="CB175" s="2412">
        <v>309.32</v>
      </c>
      <c r="CC175" s="2412">
        <v>312.04000000000002</v>
      </c>
      <c r="CD175" s="2412">
        <v>316.22000000000003</v>
      </c>
      <c r="CE175" s="2412">
        <v>320.13</v>
      </c>
      <c r="CF175" s="2412">
        <v>324.36</v>
      </c>
      <c r="CG175" s="2412">
        <v>334.34</v>
      </c>
      <c r="CH175" s="2412">
        <v>335.32</v>
      </c>
      <c r="CI175" s="2412">
        <v>341.37</v>
      </c>
      <c r="CJ175" s="2412">
        <v>345.57</v>
      </c>
      <c r="CK175" s="2412">
        <v>348.69</v>
      </c>
      <c r="CL175" s="2412">
        <v>353.86</v>
      </c>
      <c r="CM175" s="2412">
        <v>358.99</v>
      </c>
      <c r="CN175" s="2412">
        <v>364.2</v>
      </c>
      <c r="CO175" s="2412">
        <v>369.4</v>
      </c>
      <c r="CP175" s="2412">
        <v>373.73</v>
      </c>
      <c r="CQ175" s="2412">
        <v>379.24</v>
      </c>
      <c r="CR175" s="2412">
        <v>381.48</v>
      </c>
      <c r="CS175" s="2412">
        <v>384.48</v>
      </c>
      <c r="CT175" s="2412">
        <v>385.84</v>
      </c>
      <c r="CU175" s="2412">
        <v>388.64</v>
      </c>
      <c r="CV175" s="2412">
        <v>390.67</v>
      </c>
      <c r="CW175" s="2412">
        <v>393.57</v>
      </c>
      <c r="CX175" s="2412">
        <v>395.24</v>
      </c>
      <c r="CY175" s="2412">
        <v>397.65</v>
      </c>
      <c r="CZ175" s="2412">
        <v>404.51</v>
      </c>
      <c r="DA175" s="2412">
        <v>408.01</v>
      </c>
      <c r="DB175" s="2412">
        <v>409.55</v>
      </c>
      <c r="DC175" s="2412">
        <v>411.82</v>
      </c>
      <c r="DD175" s="2412">
        <v>412.89</v>
      </c>
      <c r="DE175" s="2412">
        <v>413.74</v>
      </c>
      <c r="DF175" s="2412">
        <v>420.98</v>
      </c>
      <c r="DG175" s="2412">
        <v>429.56</v>
      </c>
      <c r="DH175" s="2412">
        <v>438.05</v>
      </c>
      <c r="DI175" s="2412">
        <v>442.28</v>
      </c>
      <c r="DJ175" s="2412">
        <v>447.41</v>
      </c>
      <c r="DK175" s="2412">
        <v>453.88</v>
      </c>
      <c r="DL175" s="2412">
        <v>460.09</v>
      </c>
      <c r="DM175" s="2412">
        <v>465.16</v>
      </c>
      <c r="DN175" s="2412">
        <v>470.56</v>
      </c>
      <c r="DO175" s="2412">
        <v>480.42</v>
      </c>
      <c r="DP175" s="2412">
        <v>489.71</v>
      </c>
      <c r="DQ175" s="2412">
        <v>492.89</v>
      </c>
      <c r="DR175" s="2412">
        <v>496.8</v>
      </c>
      <c r="DS175" s="2412">
        <v>506</v>
      </c>
      <c r="DT175" s="2412">
        <v>518.59</v>
      </c>
      <c r="DU175" s="2412">
        <v>523.44000000000005</v>
      </c>
      <c r="DV175" s="2412">
        <v>536.30999999999995</v>
      </c>
      <c r="DW175" s="2412">
        <v>556.1</v>
      </c>
      <c r="DX175" s="2412">
        <v>559.92999999999995</v>
      </c>
      <c r="DY175" s="2412">
        <v>569.12</v>
      </c>
      <c r="DZ175" s="2412">
        <v>580.1</v>
      </c>
      <c r="EA175" s="2412">
        <v>588.07000000000005</v>
      </c>
      <c r="EB175" s="2412">
        <v>594.29999999999995</v>
      </c>
      <c r="EC175" s="2412">
        <v>594.77</v>
      </c>
      <c r="ED175" s="2412">
        <v>606.20000000000005</v>
      </c>
      <c r="EE175" s="2412">
        <v>617.58000000000004</v>
      </c>
      <c r="EF175" s="2412">
        <v>622.51</v>
      </c>
      <c r="EG175" s="2412">
        <v>627.69000000000005</v>
      </c>
      <c r="EH175" s="2412">
        <v>632.13</v>
      </c>
      <c r="EI175" s="2412">
        <v>642.23</v>
      </c>
      <c r="EJ175" s="2412">
        <v>649.03</v>
      </c>
      <c r="EK175" s="2412">
        <v>663.14</v>
      </c>
      <c r="EL175" s="2412">
        <v>668.84</v>
      </c>
      <c r="EM175" s="2412">
        <v>680.38</v>
      </c>
      <c r="EN175" s="2412">
        <v>686.96</v>
      </c>
      <c r="EO175" s="2412">
        <v>698.58</v>
      </c>
      <c r="EP175" s="2412">
        <v>707.98</v>
      </c>
      <c r="EQ175" s="2412">
        <v>716.6</v>
      </c>
      <c r="ER175" s="2412">
        <v>729.18</v>
      </c>
      <c r="ES175" s="2412">
        <v>740.55</v>
      </c>
      <c r="ET175" s="2412">
        <v>758.12</v>
      </c>
      <c r="EU175" s="2412">
        <v>773.5</v>
      </c>
      <c r="EV175" s="2412">
        <v>783.05</v>
      </c>
      <c r="EW175" s="2412">
        <v>798.42</v>
      </c>
      <c r="EX175" s="2412">
        <v>807.2</v>
      </c>
      <c r="EY175" s="2412">
        <v>820.04</v>
      </c>
      <c r="EZ175" s="2412">
        <v>831.39</v>
      </c>
      <c r="FA175" s="2412">
        <v>871.59</v>
      </c>
      <c r="FB175" s="2412">
        <v>929.95</v>
      </c>
      <c r="FC175" s="2412">
        <v>967.2</v>
      </c>
      <c r="FD175" s="2412">
        <v>990.09</v>
      </c>
      <c r="FE175" s="2412">
        <v>1008.38</v>
      </c>
      <c r="FF175" s="2412">
        <v>1026.3900000000001</v>
      </c>
      <c r="FG175" s="2412">
        <v>1044.92</v>
      </c>
      <c r="FH175" s="2412">
        <v>1053.82</v>
      </c>
      <c r="FI175" s="2412">
        <v>1062.6199999999999</v>
      </c>
      <c r="FJ175" s="2412">
        <v>1079.26</v>
      </c>
      <c r="FK175" s="2412">
        <v>1088.3499999999999</v>
      </c>
      <c r="FL175" s="2412">
        <v>1106.46</v>
      </c>
      <c r="FM175" s="2412">
        <v>1121.1400000000001</v>
      </c>
      <c r="FN175" s="2412">
        <v>1121.8800000000001</v>
      </c>
      <c r="FO175" s="2412">
        <v>1149.19</v>
      </c>
      <c r="FP175" s="2412">
        <v>1162.3499999999999</v>
      </c>
      <c r="FQ175" s="2412">
        <v>1167.45</v>
      </c>
      <c r="FR175" s="2412">
        <v>1181.23</v>
      </c>
      <c r="FS175" s="2412">
        <v>1198.26</v>
      </c>
      <c r="FT175" s="2412">
        <v>1228.3399999999999</v>
      </c>
      <c r="FU175" s="2412">
        <v>1242.52</v>
      </c>
      <c r="FV175" s="2412">
        <v>1262.28</v>
      </c>
      <c r="FW175" s="2413" t="e">
        <f>+FW167</f>
        <v>#REF!</v>
      </c>
      <c r="FX175" s="2413" t="e">
        <f t="shared" ref="FX175:II175" si="15">+FX167</f>
        <v>#REF!</v>
      </c>
      <c r="FY175" s="2413">
        <f t="shared" si="15"/>
        <v>100</v>
      </c>
      <c r="FZ175" s="2413">
        <f t="shared" si="15"/>
        <v>107.88</v>
      </c>
      <c r="GA175" s="2413">
        <f t="shared" si="15"/>
        <v>115</v>
      </c>
      <c r="GB175" s="2413">
        <f t="shared" si="15"/>
        <v>119.04</v>
      </c>
      <c r="GC175" s="2413">
        <f t="shared" si="15"/>
        <v>125.57</v>
      </c>
      <c r="GD175" s="2413">
        <f t="shared" si="15"/>
        <v>130.74</v>
      </c>
      <c r="GE175" s="2413">
        <f t="shared" si="15"/>
        <v>130.74</v>
      </c>
      <c r="GF175" s="2414">
        <f t="shared" si="15"/>
        <v>132.26</v>
      </c>
      <c r="GG175" s="2415">
        <f t="shared" si="15"/>
        <v>134.59</v>
      </c>
      <c r="GH175" s="2414">
        <f t="shared" si="15"/>
        <v>135.38999999999999</v>
      </c>
      <c r="GI175" s="2414">
        <f t="shared" si="15"/>
        <v>143.74</v>
      </c>
      <c r="GJ175" s="2413">
        <f t="shared" si="15"/>
        <v>143.74</v>
      </c>
      <c r="GK175" s="2413">
        <f t="shared" si="15"/>
        <v>145.41</v>
      </c>
      <c r="GL175" s="2413">
        <f t="shared" si="15"/>
        <v>150.44</v>
      </c>
      <c r="GM175" s="2414">
        <f t="shared" si="15"/>
        <v>151.82</v>
      </c>
      <c r="GN175" s="2414">
        <f t="shared" si="15"/>
        <v>155.37</v>
      </c>
      <c r="GO175" s="2416">
        <f t="shared" si="15"/>
        <v>156.15</v>
      </c>
      <c r="GP175" s="2417">
        <f t="shared" si="15"/>
        <v>156.15</v>
      </c>
      <c r="GQ175" s="2417">
        <f t="shared" si="15"/>
        <v>156.15</v>
      </c>
      <c r="GR175" s="2417">
        <f t="shared" si="15"/>
        <v>156.15</v>
      </c>
      <c r="GS175" s="2417">
        <f t="shared" si="15"/>
        <v>156.15</v>
      </c>
      <c r="GT175" s="2415">
        <f t="shared" si="15"/>
        <v>156.79</v>
      </c>
      <c r="GU175" s="2415">
        <f t="shared" si="15"/>
        <v>156.79</v>
      </c>
      <c r="GV175" s="2415">
        <f t="shared" si="15"/>
        <v>156.79</v>
      </c>
      <c r="GW175" s="2415">
        <f t="shared" si="15"/>
        <v>161.33000000000001</v>
      </c>
      <c r="GX175" s="2415">
        <f t="shared" si="15"/>
        <v>162.30000000000001</v>
      </c>
      <c r="GY175" s="2415">
        <f t="shared" si="15"/>
        <v>162.30000000000001</v>
      </c>
      <c r="GZ175" s="2415">
        <f t="shared" si="15"/>
        <v>165.01</v>
      </c>
      <c r="HA175" s="2415">
        <f t="shared" si="15"/>
        <v>190.11</v>
      </c>
      <c r="HB175" s="2415">
        <f t="shared" si="15"/>
        <v>191.06</v>
      </c>
      <c r="HC175" s="2415">
        <f t="shared" si="15"/>
        <v>201.56</v>
      </c>
      <c r="HD175" s="2415">
        <f t="shared" si="15"/>
        <v>202.56</v>
      </c>
      <c r="HE175" s="2415">
        <f t="shared" si="15"/>
        <v>264.74</v>
      </c>
      <c r="HF175" s="2415">
        <f t="shared" si="15"/>
        <v>264.74</v>
      </c>
      <c r="HG175" s="2415">
        <f t="shared" si="15"/>
        <v>264.74</v>
      </c>
      <c r="HH175" s="2418">
        <f t="shared" si="15"/>
        <v>266.5</v>
      </c>
      <c r="HI175" s="2415">
        <f t="shared" si="15"/>
        <v>264.74</v>
      </c>
      <c r="HJ175" s="2415">
        <f t="shared" si="15"/>
        <v>266.5</v>
      </c>
      <c r="HK175" s="2415">
        <f t="shared" si="15"/>
        <v>270.58999999999997</v>
      </c>
      <c r="HL175" s="2415">
        <f t="shared" si="15"/>
        <v>273.29000000000002</v>
      </c>
      <c r="HM175" s="2415">
        <f t="shared" si="15"/>
        <v>273.29000000000002</v>
      </c>
      <c r="HN175" s="2415">
        <f t="shared" si="15"/>
        <v>277.7</v>
      </c>
      <c r="HO175" s="2415">
        <f t="shared" si="15"/>
        <v>285.58</v>
      </c>
      <c r="HP175" s="2415">
        <f t="shared" si="15"/>
        <v>328.41</v>
      </c>
      <c r="HQ175" s="2415">
        <f t="shared" si="15"/>
        <v>328.41</v>
      </c>
      <c r="HR175" s="2415">
        <f t="shared" si="15"/>
        <v>354.46</v>
      </c>
      <c r="HS175" s="2415">
        <f t="shared" si="15"/>
        <v>360.37</v>
      </c>
      <c r="HT175" s="2419">
        <f t="shared" si="15"/>
        <v>384.02</v>
      </c>
      <c r="HU175" s="2420">
        <f t="shared" si="15"/>
        <v>394.2</v>
      </c>
      <c r="HV175" s="2415">
        <f t="shared" si="15"/>
        <v>402.45</v>
      </c>
      <c r="HW175" s="2415">
        <f t="shared" si="15"/>
        <v>402.45</v>
      </c>
      <c r="HX175" s="2415">
        <f t="shared" si="15"/>
        <v>402.45</v>
      </c>
      <c r="HY175" s="2415">
        <f t="shared" si="15"/>
        <v>404.7</v>
      </c>
      <c r="HZ175" s="2415">
        <f t="shared" si="15"/>
        <v>404.7</v>
      </c>
      <c r="IA175" s="2415">
        <f t="shared" si="15"/>
        <v>404.7</v>
      </c>
      <c r="IB175" s="2415">
        <f t="shared" si="15"/>
        <v>404.7</v>
      </c>
      <c r="IC175" s="2415">
        <f t="shared" si="15"/>
        <v>404.7</v>
      </c>
      <c r="ID175" s="2415">
        <f t="shared" si="15"/>
        <v>404.7</v>
      </c>
      <c r="IE175" s="2415">
        <f t="shared" si="15"/>
        <v>404.7</v>
      </c>
      <c r="IF175" s="2415">
        <f t="shared" si="15"/>
        <v>404.7</v>
      </c>
      <c r="IG175" s="2420">
        <f t="shared" si="15"/>
        <v>429.36</v>
      </c>
      <c r="IH175" s="2415">
        <f t="shared" si="15"/>
        <v>429.36</v>
      </c>
      <c r="II175" s="2415">
        <f t="shared" si="15"/>
        <v>429.36</v>
      </c>
      <c r="IJ175" s="2420">
        <f t="shared" ref="IJ175:JC175" si="16">+IJ167</f>
        <v>429.36</v>
      </c>
      <c r="IK175" s="2415">
        <f t="shared" si="16"/>
        <v>435.88</v>
      </c>
      <c r="IL175" s="2415">
        <f t="shared" si="16"/>
        <v>433.44</v>
      </c>
      <c r="IM175" s="2415">
        <f t="shared" si="16"/>
        <v>434.79</v>
      </c>
      <c r="IN175" s="2415">
        <f t="shared" si="16"/>
        <v>465.4</v>
      </c>
      <c r="IO175" s="2421">
        <f t="shared" si="16"/>
        <v>481.15</v>
      </c>
      <c r="IP175" s="2415">
        <f t="shared" si="16"/>
        <v>483.35</v>
      </c>
      <c r="IQ175" s="2415">
        <f t="shared" si="16"/>
        <v>490.34</v>
      </c>
      <c r="IR175" s="2415">
        <f t="shared" si="16"/>
        <v>506.56</v>
      </c>
      <c r="IS175" s="2422">
        <f t="shared" si="16"/>
        <v>509.53</v>
      </c>
      <c r="IT175" s="2415">
        <f t="shared" si="16"/>
        <v>517.83000000000004</v>
      </c>
      <c r="IU175" s="2415">
        <f t="shared" si="16"/>
        <v>525.89</v>
      </c>
      <c r="IV175" s="2415">
        <f t="shared" si="16"/>
        <v>555.61</v>
      </c>
      <c r="IW175" s="2415">
        <f t="shared" si="16"/>
        <v>579.99</v>
      </c>
      <c r="IX175" s="2415">
        <f t="shared" si="16"/>
        <v>596.80999999999995</v>
      </c>
      <c r="IY175" s="2415">
        <f t="shared" si="16"/>
        <v>664.02</v>
      </c>
      <c r="IZ175" s="2415">
        <f t="shared" si="16"/>
        <v>696.01</v>
      </c>
      <c r="JA175" s="2415">
        <f t="shared" si="16"/>
        <v>709.68</v>
      </c>
      <c r="JB175" s="2415">
        <f t="shared" si="16"/>
        <v>753.43</v>
      </c>
      <c r="JC175" s="2415">
        <f t="shared" si="16"/>
        <v>764.12</v>
      </c>
      <c r="JD175" s="2415">
        <f t="shared" ref="JD175:JE175" si="17">+JD167</f>
        <v>830.19</v>
      </c>
      <c r="JE175" s="2422">
        <f t="shared" si="17"/>
        <v>872.76</v>
      </c>
      <c r="JF175" s="2418">
        <f t="shared" ref="JF175" si="18">+JF167</f>
        <v>938.09</v>
      </c>
      <c r="JG175" s="2103">
        <f t="shared" si="14"/>
        <v>1.0748544846234933</v>
      </c>
      <c r="JI175" s="2155"/>
      <c r="JJ175" s="2104"/>
    </row>
    <row r="176" spans="2:271" hidden="1">
      <c r="B176" s="2105"/>
      <c r="C176" s="2106"/>
      <c r="D176" s="2425"/>
      <c r="E176" s="2128"/>
      <c r="F176" s="2106"/>
      <c r="G176" s="2106"/>
      <c r="H176" s="2106"/>
      <c r="I176" s="2106"/>
      <c r="J176" s="2127"/>
      <c r="K176" s="2425"/>
      <c r="L176" s="2324"/>
      <c r="M176" s="2327"/>
      <c r="N176" s="2327"/>
      <c r="O176" s="2324"/>
      <c r="P176" s="2324"/>
      <c r="Q176" s="2324"/>
      <c r="R176" s="2324"/>
      <c r="S176" s="2324"/>
      <c r="T176" s="2324"/>
      <c r="U176" s="2324"/>
      <c r="V176" s="2324"/>
      <c r="W176" s="2324"/>
      <c r="X176" s="2324"/>
      <c r="Y176" s="2324"/>
      <c r="Z176" s="2324"/>
      <c r="AA176" s="2324"/>
      <c r="AB176" s="2324"/>
      <c r="AC176" s="2324"/>
      <c r="AD176" s="2324"/>
      <c r="AE176" s="2324"/>
      <c r="AF176" s="2324"/>
      <c r="AG176" s="2324"/>
      <c r="AH176" s="2324"/>
      <c r="AI176" s="2324"/>
      <c r="AJ176" s="2324"/>
      <c r="AK176" s="2324"/>
      <c r="AL176" s="2324"/>
      <c r="AM176" s="2324"/>
      <c r="AN176" s="2324"/>
      <c r="AO176" s="2324"/>
      <c r="AP176" s="2324"/>
      <c r="AQ176" s="2324"/>
      <c r="AR176" s="2324"/>
      <c r="AS176" s="2324"/>
      <c r="AT176" s="2324"/>
      <c r="AU176" s="2324"/>
      <c r="AV176" s="2324"/>
      <c r="AW176" s="2325"/>
      <c r="AX176" s="2325"/>
      <c r="AY176" s="2325"/>
      <c r="AZ176" s="2325"/>
      <c r="BA176" s="2325"/>
      <c r="BB176" s="2325"/>
      <c r="BC176" s="2325"/>
      <c r="BD176" s="2326"/>
      <c r="BE176" s="2325"/>
      <c r="BF176" s="2326"/>
      <c r="BG176" s="2326"/>
      <c r="BH176" s="2326"/>
      <c r="BI176" s="2327"/>
      <c r="BJ176" s="2327"/>
      <c r="BK176" s="2327"/>
      <c r="BL176" s="2327"/>
      <c r="BM176" s="2327"/>
      <c r="BN176" s="2327"/>
      <c r="BO176" s="2327"/>
      <c r="BP176" s="2327"/>
      <c r="BQ176" s="2327"/>
      <c r="BR176" s="2327"/>
      <c r="BS176" s="2327"/>
      <c r="BT176" s="2327"/>
      <c r="BU176" s="2327"/>
      <c r="BV176" s="2327"/>
      <c r="BW176" s="2327"/>
      <c r="BX176" s="2327"/>
      <c r="BY176" s="2327"/>
      <c r="BZ176" s="2327"/>
      <c r="CA176" s="2327"/>
      <c r="CB176" s="2327"/>
      <c r="CC176" s="2327"/>
      <c r="CD176" s="2327"/>
      <c r="CE176" s="2327"/>
      <c r="CF176" s="2327"/>
      <c r="CG176" s="2327"/>
      <c r="CH176" s="2327"/>
      <c r="CI176" s="2327"/>
      <c r="CJ176" s="2327"/>
      <c r="CK176" s="2327"/>
      <c r="CL176" s="2327"/>
      <c r="CM176" s="2327"/>
      <c r="CN176" s="2327"/>
      <c r="CO176" s="2327"/>
      <c r="CP176" s="2327"/>
      <c r="CQ176" s="2327"/>
      <c r="CR176" s="2327"/>
      <c r="CS176" s="2327"/>
      <c r="CT176" s="2327"/>
      <c r="CU176" s="2327"/>
      <c r="CV176" s="2327"/>
      <c r="CW176" s="2327"/>
      <c r="CX176" s="2327"/>
      <c r="CY176" s="2327"/>
      <c r="CZ176" s="2327"/>
      <c r="DA176" s="2327"/>
      <c r="DB176" s="2327"/>
      <c r="DC176" s="2327"/>
      <c r="DD176" s="2327"/>
      <c r="DE176" s="2327"/>
      <c r="DF176" s="2327"/>
      <c r="DG176" s="2327"/>
      <c r="DH176" s="2327"/>
      <c r="DI176" s="2327"/>
      <c r="DJ176" s="2327"/>
      <c r="DK176" s="2327"/>
      <c r="DL176" s="2327"/>
      <c r="DM176" s="2327"/>
      <c r="DN176" s="2327"/>
      <c r="DO176" s="2327"/>
      <c r="DP176" s="2327"/>
      <c r="DQ176" s="2327"/>
      <c r="DR176" s="2327"/>
      <c r="DS176" s="2327"/>
      <c r="DT176" s="2327"/>
      <c r="DU176" s="2327"/>
      <c r="DV176" s="2327"/>
      <c r="DW176" s="2327"/>
      <c r="DX176" s="2327"/>
      <c r="DY176" s="2327"/>
      <c r="DZ176" s="2327"/>
      <c r="EA176" s="2327"/>
      <c r="EB176" s="2327"/>
      <c r="EC176" s="2327"/>
      <c r="ED176" s="2327"/>
      <c r="EE176" s="2327"/>
      <c r="EF176" s="2327"/>
      <c r="EG176" s="2327"/>
      <c r="EH176" s="2327"/>
      <c r="EI176" s="2327"/>
      <c r="EJ176" s="2327"/>
      <c r="EK176" s="2327"/>
      <c r="EL176" s="2327"/>
      <c r="EM176" s="2327"/>
      <c r="EN176" s="2327"/>
      <c r="EO176" s="2327"/>
      <c r="EP176" s="2327"/>
      <c r="EQ176" s="2327"/>
      <c r="ER176" s="2327"/>
      <c r="ES176" s="2327"/>
      <c r="ET176" s="2327"/>
      <c r="EU176" s="2327"/>
      <c r="EV176" s="2327"/>
      <c r="EW176" s="2327"/>
      <c r="EX176" s="2327"/>
      <c r="EY176" s="2327"/>
      <c r="EZ176" s="2327"/>
      <c r="FA176" s="2327"/>
      <c r="FB176" s="2327"/>
      <c r="FC176" s="2327"/>
      <c r="FD176" s="2327"/>
      <c r="FE176" s="2327"/>
      <c r="FF176" s="2327"/>
      <c r="FG176" s="2327"/>
      <c r="FH176" s="2327"/>
      <c r="FI176" s="2327"/>
      <c r="FJ176" s="2327"/>
      <c r="FK176" s="2327"/>
      <c r="FL176" s="2327"/>
      <c r="FM176" s="2327"/>
      <c r="FN176" s="2327"/>
      <c r="FO176" s="2327"/>
      <c r="FP176" s="2327"/>
      <c r="FQ176" s="2327"/>
      <c r="FR176" s="2327"/>
      <c r="FS176" s="2327"/>
      <c r="FT176" s="2327"/>
      <c r="FU176" s="2327"/>
      <c r="FV176" s="2327"/>
      <c r="FW176" s="2330"/>
      <c r="FX176" s="2330"/>
      <c r="FY176" s="2330">
        <v>100</v>
      </c>
      <c r="FZ176" s="2330" t="e">
        <f>+FY176*(#REF!/#REF!)</f>
        <v>#REF!</v>
      </c>
      <c r="GA176" s="2330" t="e">
        <f>+FZ176*(#REF!/#REF!)</f>
        <v>#REF!</v>
      </c>
      <c r="GB176" s="2330" t="e">
        <f>+GA176*(#REF!/#REF!)</f>
        <v>#REF!</v>
      </c>
      <c r="GC176" s="2330" t="e">
        <f>+GB176*(#REF!/#REF!)</f>
        <v>#REF!</v>
      </c>
      <c r="GD176" s="2330" t="e">
        <f>+GC176*(#REF!/#REF!)</f>
        <v>#REF!</v>
      </c>
      <c r="GE176" s="2330" t="e">
        <f>+GD176*(#REF!/#REF!)</f>
        <v>#REF!</v>
      </c>
      <c r="GF176" s="2329" t="e">
        <f>+GE176*(#REF!/#REF!)</f>
        <v>#REF!</v>
      </c>
      <c r="GG176" s="2328" t="e">
        <f>+GF176*(#REF!/#REF!)</f>
        <v>#REF!</v>
      </c>
      <c r="GH176" s="2329" t="e">
        <f>+GG176*(#REF!/#REF!)</f>
        <v>#REF!</v>
      </c>
      <c r="GI176" s="2329" t="e">
        <f>+GH176*(#REF!/#REF!)</f>
        <v>#REF!</v>
      </c>
      <c r="GJ176" s="2330" t="e">
        <f>+GI176*(#REF!/#REF!)</f>
        <v>#REF!</v>
      </c>
      <c r="GK176" s="2330" t="e">
        <f>+GJ176*(#REF!/#REF!)</f>
        <v>#REF!</v>
      </c>
      <c r="GL176" s="2330" t="e">
        <f>+GK176*(#REF!/#REF!)</f>
        <v>#REF!</v>
      </c>
      <c r="GM176" s="2329" t="e">
        <f>+GL176*(#REF!/#REF!)</f>
        <v>#REF!</v>
      </c>
      <c r="GN176" s="2329" t="e">
        <f>+GM176*(#REF!/#REF!)</f>
        <v>#REF!</v>
      </c>
      <c r="GO176" s="2331" t="e">
        <f>+GN176*(#REF!/#REF!)</f>
        <v>#REF!</v>
      </c>
      <c r="GP176" s="2332" t="e">
        <f>+GO176*(#REF!/#REF!)</f>
        <v>#REF!</v>
      </c>
      <c r="GQ176" s="2332" t="e">
        <f>+GP176*(#REF!/#REF!)</f>
        <v>#REF!</v>
      </c>
      <c r="GR176" s="2332" t="e">
        <f>+GQ176*(#REF!/#REF!)</f>
        <v>#REF!</v>
      </c>
      <c r="GS176" s="2332" t="e">
        <f>+GR176*(#REF!/#REF!)</f>
        <v>#REF!</v>
      </c>
      <c r="GT176" s="2328" t="e">
        <f>+GS176*(#REF!/#REF!)</f>
        <v>#REF!</v>
      </c>
      <c r="GU176" s="2328" t="e">
        <f>+GT176*(#REF!/#REF!)</f>
        <v>#REF!</v>
      </c>
      <c r="GV176" s="2328" t="e">
        <f>+GU176*(#REF!/#REF!)</f>
        <v>#REF!</v>
      </c>
      <c r="GW176" s="2328" t="e">
        <f>+GV176*(#REF!/#REF!)</f>
        <v>#REF!</v>
      </c>
      <c r="GX176" s="2328" t="e">
        <f>+GW176*(#REF!/#REF!)</f>
        <v>#REF!</v>
      </c>
      <c r="GY176" s="2328" t="e">
        <f>+GX176*(#REF!/#REF!)</f>
        <v>#REF!</v>
      </c>
      <c r="GZ176" s="2328" t="e">
        <f>+GY176*(#REF!/#REF!)</f>
        <v>#REF!</v>
      </c>
      <c r="HA176" s="2328" t="e">
        <f>+GZ176*(#REF!/#REF!)</f>
        <v>#REF!</v>
      </c>
      <c r="HB176" s="2328" t="e">
        <f>+HA176*(#REF!/#REF!)</f>
        <v>#REF!</v>
      </c>
      <c r="HC176" s="2328" t="e">
        <f>+HB176*(#REF!/#REF!)</f>
        <v>#REF!</v>
      </c>
      <c r="HD176" s="2328" t="e">
        <f>+HC176*(#REF!/#REF!)</f>
        <v>#REF!</v>
      </c>
      <c r="HE176" s="2328" t="e">
        <f>+HD176*(#REF!/#REF!)</f>
        <v>#REF!</v>
      </c>
      <c r="HF176" s="2328" t="e">
        <f>+HE176*(#REF!/#REF!)</f>
        <v>#REF!</v>
      </c>
      <c r="HG176" s="2328" t="e">
        <f>+HF176*(#REF!/#REF!)</f>
        <v>#REF!</v>
      </c>
      <c r="HH176" s="2333" t="e">
        <f>+HG176*(#REF!/#REF!)</f>
        <v>#REF!</v>
      </c>
      <c r="HI176" s="2328" t="e">
        <f>+HH176*(#REF!/#REF!)</f>
        <v>#REF!</v>
      </c>
      <c r="HJ176" s="2328" t="e">
        <f>+HI176*(#REF!/#REF!)</f>
        <v>#REF!</v>
      </c>
      <c r="HK176" s="2328" t="e">
        <f>+HJ176*(#REF!/#REF!)</f>
        <v>#REF!</v>
      </c>
      <c r="HL176" s="2328" t="e">
        <f>+HK176*(#REF!/#REF!)</f>
        <v>#REF!</v>
      </c>
      <c r="HM176" s="2328" t="e">
        <f>+HL176*(#REF!/#REF!)</f>
        <v>#REF!</v>
      </c>
      <c r="HN176" s="2328" t="e">
        <f>+HM176*(#REF!/#REF!)</f>
        <v>#REF!</v>
      </c>
      <c r="HO176" s="2328" t="e">
        <f>+HN176*(#REF!/#REF!)</f>
        <v>#REF!</v>
      </c>
      <c r="HP176" s="2328" t="e">
        <f>+HO176*(#REF!/#REF!)</f>
        <v>#REF!</v>
      </c>
      <c r="HQ176" s="2328" t="e">
        <f>+HP176*(#REF!/#REF!)</f>
        <v>#REF!</v>
      </c>
      <c r="HR176" s="2328" t="e">
        <f>+HQ176*(#REF!/#REF!)</f>
        <v>#REF!</v>
      </c>
      <c r="HS176" s="2328" t="e">
        <f>+HR176*(#REF!/#REF!)</f>
        <v>#REF!</v>
      </c>
      <c r="HT176" s="2334" t="e">
        <f>+HS176*(#REF!/#REF!)</f>
        <v>#REF!</v>
      </c>
      <c r="HU176" s="2335" t="e">
        <f>+HT176*(#REF!/#REF!)</f>
        <v>#REF!</v>
      </c>
      <c r="HV176" s="2328" t="e">
        <f>+HU176*(#REF!/#REF!)</f>
        <v>#REF!</v>
      </c>
      <c r="HW176" s="2328" t="e">
        <f>+HV176*(#REF!/#REF!)</f>
        <v>#REF!</v>
      </c>
      <c r="HX176" s="2328" t="e">
        <f>+HW176*(#REF!/#REF!)</f>
        <v>#REF!</v>
      </c>
      <c r="HY176" s="2328" t="e">
        <f>+HX176*(#REF!/#REF!)</f>
        <v>#REF!</v>
      </c>
      <c r="HZ176" s="2328" t="e">
        <f>+HY176*(#REF!/#REF!)</f>
        <v>#REF!</v>
      </c>
      <c r="IA176" s="2328" t="e">
        <f>+HZ176*(#REF!/#REF!)</f>
        <v>#REF!</v>
      </c>
      <c r="IB176" s="2328" t="e">
        <f>+IA176*(#REF!/#REF!)</f>
        <v>#REF!</v>
      </c>
      <c r="IC176" s="2328" t="e">
        <f>+IB176*(#REF!/#REF!)</f>
        <v>#REF!</v>
      </c>
      <c r="ID176" s="2328" t="e">
        <f>+IC176*(#REF!/#REF!)</f>
        <v>#REF!</v>
      </c>
      <c r="IE176" s="2328" t="e">
        <f>+ID176*(#REF!/#REF!)</f>
        <v>#REF!</v>
      </c>
      <c r="IF176" s="2328" t="e">
        <f>+IE176*(#REF!/#REF!)</f>
        <v>#REF!</v>
      </c>
      <c r="IG176" s="2335" t="e">
        <f>+IF176*(#REF!/#REF!)</f>
        <v>#REF!</v>
      </c>
      <c r="IH176" s="2328" t="e">
        <f>+IG176*(#REF!/#REF!)</f>
        <v>#REF!</v>
      </c>
      <c r="II176" s="2328" t="e">
        <f>+IH176*(#REF!/#REF!)</f>
        <v>#REF!</v>
      </c>
      <c r="IJ176" s="2335" t="e">
        <f>+II176*(#REF!/#REF!)</f>
        <v>#REF!</v>
      </c>
      <c r="IK176" s="2328" t="e">
        <f>+IJ176*(#REF!/#REF!)</f>
        <v>#REF!</v>
      </c>
      <c r="IL176" s="2328" t="e">
        <f>+IK176*(#REF!/#REF!)</f>
        <v>#REF!</v>
      </c>
      <c r="IM176" s="2328" t="e">
        <f>+IL176*(#REF!/#REF!)</f>
        <v>#REF!</v>
      </c>
      <c r="IN176" s="2328" t="e">
        <f>+IM176*(#REF!/#REF!)</f>
        <v>#REF!</v>
      </c>
      <c r="IO176" s="2328" t="e">
        <f>+IN176*(#REF!/#REF!)</f>
        <v>#REF!</v>
      </c>
      <c r="IP176" s="2328" t="e">
        <f>+IO176*(#REF!/#REF!)</f>
        <v>#REF!</v>
      </c>
      <c r="IQ176" s="2328" t="e">
        <f>+IP176*(#REF!/#REF!)</f>
        <v>#REF!</v>
      </c>
      <c r="IR176" s="2328" t="e">
        <f>+IQ176*(#REF!/#REF!)</f>
        <v>#REF!</v>
      </c>
      <c r="IS176" s="2336" t="e">
        <f>+IR176*(#REF!/#REF!)</f>
        <v>#REF!</v>
      </c>
      <c r="IT176" s="2328" t="e">
        <f>+IS176*(#REF!/#REF!)</f>
        <v>#REF!</v>
      </c>
      <c r="IU176" s="2328" t="e">
        <f>+IT176*(#REF!/#REF!)</f>
        <v>#REF!</v>
      </c>
      <c r="IV176" s="2328" t="e">
        <f>+IU176*(#REF!/#REF!)</f>
        <v>#REF!</v>
      </c>
      <c r="IW176" s="2328" t="e">
        <f>+IV176*(#REF!/#REF!)</f>
        <v>#REF!</v>
      </c>
      <c r="IX176" s="2328" t="e">
        <f>+IW176*(#REF!/#REF!)</f>
        <v>#REF!</v>
      </c>
      <c r="IY176" s="2328" t="e">
        <f>+IX176*(#REF!/#REF!)</f>
        <v>#REF!</v>
      </c>
      <c r="IZ176" s="2328" t="e">
        <f>+IY176*(#REF!/#REF!)</f>
        <v>#REF!</v>
      </c>
      <c r="JA176" s="2328" t="e">
        <f>+IZ176*(#REF!/#REF!)</f>
        <v>#REF!</v>
      </c>
      <c r="JB176" s="2328" t="e">
        <f>+JA176*(#REF!/#REF!)</f>
        <v>#REF!</v>
      </c>
      <c r="JC176" s="2328" t="e">
        <f>+JB176*(#REF!/#REF!)</f>
        <v>#REF!</v>
      </c>
      <c r="JD176" s="2328"/>
      <c r="JE176" s="2336" t="e">
        <v>#N/A</v>
      </c>
      <c r="JF176" s="2333" t="e">
        <v>#N/A</v>
      </c>
      <c r="JG176" s="2103" t="e">
        <f t="shared" si="14"/>
        <v>#N/A</v>
      </c>
      <c r="JI176" s="2155"/>
      <c r="JJ176" s="2104"/>
    </row>
    <row r="177" spans="2:271" hidden="1">
      <c r="B177" s="2105"/>
      <c r="C177" s="2106"/>
      <c r="D177" s="2425"/>
      <c r="E177" s="2128"/>
      <c r="F177" s="2106"/>
      <c r="G177" s="2106"/>
      <c r="H177" s="2106"/>
      <c r="I177" s="2106"/>
      <c r="J177" s="2127"/>
      <c r="K177" s="2425"/>
      <c r="L177" s="2324"/>
      <c r="M177" s="2327"/>
      <c r="N177" s="2327"/>
      <c r="O177" s="2324"/>
      <c r="P177" s="2324"/>
      <c r="Q177" s="2324"/>
      <c r="R177" s="2324"/>
      <c r="S177" s="2324"/>
      <c r="T177" s="2324"/>
      <c r="U177" s="2324"/>
      <c r="V177" s="2324"/>
      <c r="W177" s="2324"/>
      <c r="X177" s="2324"/>
      <c r="Y177" s="2324"/>
      <c r="Z177" s="2324"/>
      <c r="AA177" s="2324"/>
      <c r="AB177" s="2324"/>
      <c r="AC177" s="2324"/>
      <c r="AD177" s="2324"/>
      <c r="AE177" s="2324"/>
      <c r="AF177" s="2324"/>
      <c r="AG177" s="2324"/>
      <c r="AH177" s="2324"/>
      <c r="AI177" s="2324"/>
      <c r="AJ177" s="2324"/>
      <c r="AK177" s="2324"/>
      <c r="AL177" s="2324"/>
      <c r="AM177" s="2324"/>
      <c r="AN177" s="2324"/>
      <c r="AO177" s="2324"/>
      <c r="AP177" s="2324"/>
      <c r="AQ177" s="2324"/>
      <c r="AR177" s="2324"/>
      <c r="AS177" s="2324"/>
      <c r="AT177" s="2324"/>
      <c r="AU177" s="2324"/>
      <c r="AV177" s="2324"/>
      <c r="AW177" s="2325"/>
      <c r="AX177" s="2325"/>
      <c r="AY177" s="2325"/>
      <c r="AZ177" s="2325"/>
      <c r="BA177" s="2325"/>
      <c r="BB177" s="2325"/>
      <c r="BC177" s="2325"/>
      <c r="BD177" s="2326"/>
      <c r="BE177" s="2325"/>
      <c r="BF177" s="2326"/>
      <c r="BG177" s="2326"/>
      <c r="BH177" s="2326"/>
      <c r="BI177" s="2327"/>
      <c r="BJ177" s="2327"/>
      <c r="BK177" s="2327"/>
      <c r="BL177" s="2327"/>
      <c r="BM177" s="2327"/>
      <c r="BN177" s="2327"/>
      <c r="BO177" s="2327"/>
      <c r="BP177" s="2327"/>
      <c r="BQ177" s="2327"/>
      <c r="BR177" s="2327"/>
      <c r="BS177" s="2327"/>
      <c r="BT177" s="2327"/>
      <c r="BU177" s="2327"/>
      <c r="BV177" s="2327"/>
      <c r="BW177" s="2327"/>
      <c r="BX177" s="2327"/>
      <c r="BY177" s="2327"/>
      <c r="BZ177" s="2327"/>
      <c r="CA177" s="2327"/>
      <c r="CB177" s="2327"/>
      <c r="CC177" s="2327"/>
      <c r="CD177" s="2327"/>
      <c r="CE177" s="2327"/>
      <c r="CF177" s="2327"/>
      <c r="CG177" s="2327"/>
      <c r="CH177" s="2327"/>
      <c r="CI177" s="2327"/>
      <c r="CJ177" s="2327"/>
      <c r="CK177" s="2327"/>
      <c r="CL177" s="2327"/>
      <c r="CM177" s="2327"/>
      <c r="CN177" s="2327"/>
      <c r="CO177" s="2327"/>
      <c r="CP177" s="2327"/>
      <c r="CQ177" s="2327"/>
      <c r="CR177" s="2327"/>
      <c r="CS177" s="2327"/>
      <c r="CT177" s="2327"/>
      <c r="CU177" s="2327"/>
      <c r="CV177" s="2327"/>
      <c r="CW177" s="2327"/>
      <c r="CX177" s="2327"/>
      <c r="CY177" s="2327"/>
      <c r="CZ177" s="2327"/>
      <c r="DA177" s="2327"/>
      <c r="DB177" s="2327"/>
      <c r="DC177" s="2327"/>
      <c r="DD177" s="2327"/>
      <c r="DE177" s="2327"/>
      <c r="DF177" s="2327"/>
      <c r="DG177" s="2327"/>
      <c r="DH177" s="2327"/>
      <c r="DI177" s="2327"/>
      <c r="DJ177" s="2327"/>
      <c r="DK177" s="2327"/>
      <c r="DL177" s="2327"/>
      <c r="DM177" s="2327"/>
      <c r="DN177" s="2327"/>
      <c r="DO177" s="2327"/>
      <c r="DP177" s="2327"/>
      <c r="DQ177" s="2327"/>
      <c r="DR177" s="2327"/>
      <c r="DS177" s="2327"/>
      <c r="DT177" s="2327"/>
      <c r="DU177" s="2327"/>
      <c r="DV177" s="2327"/>
      <c r="DW177" s="2327"/>
      <c r="DX177" s="2327"/>
      <c r="DY177" s="2327"/>
      <c r="DZ177" s="2327"/>
      <c r="EA177" s="2327"/>
      <c r="EB177" s="2327"/>
      <c r="EC177" s="2327"/>
      <c r="ED177" s="2327"/>
      <c r="EE177" s="2327"/>
      <c r="EF177" s="2327"/>
      <c r="EG177" s="2327"/>
      <c r="EH177" s="2327"/>
      <c r="EI177" s="2327"/>
      <c r="EJ177" s="2327"/>
      <c r="EK177" s="2327"/>
      <c r="EL177" s="2327"/>
      <c r="EM177" s="2327"/>
      <c r="EN177" s="2327"/>
      <c r="EO177" s="2327"/>
      <c r="EP177" s="2327"/>
      <c r="EQ177" s="2327"/>
      <c r="ER177" s="2327"/>
      <c r="ES177" s="2327"/>
      <c r="ET177" s="2327"/>
      <c r="EU177" s="2327"/>
      <c r="EV177" s="2327"/>
      <c r="EW177" s="2327"/>
      <c r="EX177" s="2327"/>
      <c r="EY177" s="2327"/>
      <c r="EZ177" s="2327"/>
      <c r="FA177" s="2327"/>
      <c r="FB177" s="2327"/>
      <c r="FC177" s="2327"/>
      <c r="FD177" s="2327"/>
      <c r="FE177" s="2327"/>
      <c r="FF177" s="2327"/>
      <c r="FG177" s="2327"/>
      <c r="FH177" s="2327"/>
      <c r="FI177" s="2327"/>
      <c r="FJ177" s="2327"/>
      <c r="FK177" s="2327"/>
      <c r="FL177" s="2327"/>
      <c r="FM177" s="2327"/>
      <c r="FN177" s="2327"/>
      <c r="FO177" s="2327"/>
      <c r="FP177" s="2327"/>
      <c r="FQ177" s="2327"/>
      <c r="FR177" s="2327"/>
      <c r="FS177" s="2327"/>
      <c r="FT177" s="2327"/>
      <c r="FU177" s="2327"/>
      <c r="FV177" s="2327"/>
      <c r="FW177" s="2330"/>
      <c r="FX177" s="2330"/>
      <c r="FY177" s="2330">
        <v>100</v>
      </c>
      <c r="FZ177" s="2330" t="e">
        <f>+FY177*(#REF!/#REF!)</f>
        <v>#REF!</v>
      </c>
      <c r="GA177" s="2330" t="e">
        <f>+FZ177*(#REF!/#REF!)</f>
        <v>#REF!</v>
      </c>
      <c r="GB177" s="2330" t="e">
        <f>+GA177*(#REF!/#REF!)</f>
        <v>#REF!</v>
      </c>
      <c r="GC177" s="2330" t="e">
        <f>+GB177*(#REF!/#REF!)</f>
        <v>#REF!</v>
      </c>
      <c r="GD177" s="2330" t="e">
        <f>+GC177*(#REF!/#REF!)</f>
        <v>#REF!</v>
      </c>
      <c r="GE177" s="2330" t="e">
        <f>+GD177*(#REF!/#REF!)</f>
        <v>#REF!</v>
      </c>
      <c r="GF177" s="2329" t="e">
        <f>+GE177*(#REF!/#REF!)</f>
        <v>#REF!</v>
      </c>
      <c r="GG177" s="2328" t="e">
        <f>+GF177*(#REF!/#REF!)</f>
        <v>#REF!</v>
      </c>
      <c r="GH177" s="2329" t="e">
        <f>+GG177*(#REF!/#REF!)</f>
        <v>#REF!</v>
      </c>
      <c r="GI177" s="2329" t="e">
        <f>+GH177*(#REF!/#REF!)</f>
        <v>#REF!</v>
      </c>
      <c r="GJ177" s="2330" t="e">
        <f>+GI177*(#REF!/#REF!)</f>
        <v>#REF!</v>
      </c>
      <c r="GK177" s="2330" t="e">
        <f>+GJ177*(#REF!/#REF!)</f>
        <v>#REF!</v>
      </c>
      <c r="GL177" s="2330" t="e">
        <f>+GK177*(#REF!/#REF!)</f>
        <v>#REF!</v>
      </c>
      <c r="GM177" s="2329" t="e">
        <f>+GL177*(#REF!/#REF!)</f>
        <v>#REF!</v>
      </c>
      <c r="GN177" s="2329" t="e">
        <f>+GM177*(#REF!/#REF!)</f>
        <v>#REF!</v>
      </c>
      <c r="GO177" s="2331" t="e">
        <f>+GN177*(#REF!/#REF!)</f>
        <v>#REF!</v>
      </c>
      <c r="GP177" s="2332" t="e">
        <f>+GO177*(#REF!/#REF!)</f>
        <v>#REF!</v>
      </c>
      <c r="GQ177" s="2332" t="e">
        <f>+GP177*(#REF!/#REF!)</f>
        <v>#REF!</v>
      </c>
      <c r="GR177" s="2332" t="e">
        <f>+GQ177*(#REF!/#REF!)</f>
        <v>#REF!</v>
      </c>
      <c r="GS177" s="2332" t="e">
        <f>+GR177*(#REF!/#REF!)</f>
        <v>#REF!</v>
      </c>
      <c r="GT177" s="2328" t="e">
        <f>+GS177*(#REF!/#REF!)</f>
        <v>#REF!</v>
      </c>
      <c r="GU177" s="2328" t="e">
        <f>+GT177*(#REF!/#REF!)</f>
        <v>#REF!</v>
      </c>
      <c r="GV177" s="2328" t="e">
        <f>+GU177*(#REF!/#REF!)</f>
        <v>#REF!</v>
      </c>
      <c r="GW177" s="2328" t="e">
        <f>+GV177*(#REF!/#REF!)</f>
        <v>#REF!</v>
      </c>
      <c r="GX177" s="2328" t="e">
        <f>+GW177*(#REF!/#REF!)</f>
        <v>#REF!</v>
      </c>
      <c r="GY177" s="2328" t="e">
        <f>+GX177*(#REF!/#REF!)</f>
        <v>#REF!</v>
      </c>
      <c r="GZ177" s="2328" t="e">
        <f>+GY177*(#REF!/#REF!)</f>
        <v>#REF!</v>
      </c>
      <c r="HA177" s="2328" t="e">
        <f>+GZ177*(#REF!/#REF!)</f>
        <v>#REF!</v>
      </c>
      <c r="HB177" s="2328" t="e">
        <f>+HA177*(#REF!/#REF!)</f>
        <v>#REF!</v>
      </c>
      <c r="HC177" s="2328" t="e">
        <f>+HB177*(#REF!/#REF!)</f>
        <v>#REF!</v>
      </c>
      <c r="HD177" s="2328" t="e">
        <f>+HC177*(#REF!/#REF!)</f>
        <v>#REF!</v>
      </c>
      <c r="HE177" s="2328" t="e">
        <f>+HD177*(#REF!/#REF!)</f>
        <v>#REF!</v>
      </c>
      <c r="HF177" s="2328" t="e">
        <f>+HE177*(#REF!/#REF!)</f>
        <v>#REF!</v>
      </c>
      <c r="HG177" s="2328" t="e">
        <f>+HF177*(#REF!/#REF!)</f>
        <v>#REF!</v>
      </c>
      <c r="HH177" s="2333" t="e">
        <f>+HG177*(#REF!/#REF!)</f>
        <v>#REF!</v>
      </c>
      <c r="HI177" s="2328" t="e">
        <f>+HH177*(#REF!/#REF!)</f>
        <v>#REF!</v>
      </c>
      <c r="HJ177" s="2328" t="e">
        <f>+HI177*(#REF!/#REF!)</f>
        <v>#REF!</v>
      </c>
      <c r="HK177" s="2328" t="e">
        <f>+HJ177*(#REF!/#REF!)</f>
        <v>#REF!</v>
      </c>
      <c r="HL177" s="2328" t="e">
        <f>+HK177*(#REF!/#REF!)</f>
        <v>#REF!</v>
      </c>
      <c r="HM177" s="2328" t="e">
        <f>+HL177*(#REF!/#REF!)</f>
        <v>#REF!</v>
      </c>
      <c r="HN177" s="2328" t="e">
        <f>+HM177*(#REF!/#REF!)</f>
        <v>#REF!</v>
      </c>
      <c r="HO177" s="2328" t="e">
        <f>+HN177*(#REF!/#REF!)</f>
        <v>#REF!</v>
      </c>
      <c r="HP177" s="2328" t="e">
        <f>+HO177*(#REF!/#REF!)</f>
        <v>#REF!</v>
      </c>
      <c r="HQ177" s="2328" t="e">
        <f>+HP177*(#REF!/#REF!)</f>
        <v>#REF!</v>
      </c>
      <c r="HR177" s="2328" t="e">
        <f>+HQ177*(#REF!/#REF!)</f>
        <v>#REF!</v>
      </c>
      <c r="HS177" s="2328" t="e">
        <f>+HR177*(#REF!/#REF!)</f>
        <v>#REF!</v>
      </c>
      <c r="HT177" s="2334" t="e">
        <f>+HS177*(#REF!/#REF!)</f>
        <v>#REF!</v>
      </c>
      <c r="HU177" s="2335" t="e">
        <f>+HT177*(#REF!/#REF!)</f>
        <v>#REF!</v>
      </c>
      <c r="HV177" s="2328" t="e">
        <f>+HU177*(#REF!/#REF!)</f>
        <v>#REF!</v>
      </c>
      <c r="HW177" s="2328" t="e">
        <f>+HV177*(#REF!/#REF!)</f>
        <v>#REF!</v>
      </c>
      <c r="HX177" s="2328" t="e">
        <f>+HW177*(#REF!/#REF!)</f>
        <v>#REF!</v>
      </c>
      <c r="HY177" s="2328" t="e">
        <f>+HX177*(#REF!/#REF!)</f>
        <v>#REF!</v>
      </c>
      <c r="HZ177" s="2328" t="e">
        <f>+HY177*(#REF!/#REF!)</f>
        <v>#REF!</v>
      </c>
      <c r="IA177" s="2328" t="e">
        <f>+HZ177*(#REF!/#REF!)</f>
        <v>#REF!</v>
      </c>
      <c r="IB177" s="2328" t="e">
        <f>+IA177*(#REF!/#REF!)</f>
        <v>#REF!</v>
      </c>
      <c r="IC177" s="2328" t="e">
        <f>+IB177*(#REF!/#REF!)</f>
        <v>#REF!</v>
      </c>
      <c r="ID177" s="2328" t="e">
        <f>+IC177*(#REF!/#REF!)</f>
        <v>#REF!</v>
      </c>
      <c r="IE177" s="2328" t="e">
        <f>+ID177*(#REF!/#REF!)</f>
        <v>#REF!</v>
      </c>
      <c r="IF177" s="2328" t="e">
        <f>+IE177*(#REF!/#REF!)</f>
        <v>#REF!</v>
      </c>
      <c r="IG177" s="2335" t="e">
        <f>+IF177*(#REF!/#REF!)</f>
        <v>#REF!</v>
      </c>
      <c r="IH177" s="2328" t="e">
        <f>+IG177*(#REF!/#REF!)</f>
        <v>#REF!</v>
      </c>
      <c r="II177" s="2328" t="e">
        <f>+IH177*(#REF!/#REF!)</f>
        <v>#REF!</v>
      </c>
      <c r="IJ177" s="2335" t="e">
        <f>+II177*(#REF!/#REF!)</f>
        <v>#REF!</v>
      </c>
      <c r="IK177" s="2328" t="e">
        <f>+IJ177*(#REF!/#REF!)</f>
        <v>#REF!</v>
      </c>
      <c r="IL177" s="2328" t="e">
        <f>+IK177*(#REF!/#REF!)</f>
        <v>#REF!</v>
      </c>
      <c r="IM177" s="2328" t="e">
        <f>+IL177*(#REF!/#REF!)</f>
        <v>#REF!</v>
      </c>
      <c r="IN177" s="2328" t="e">
        <f>+IM177*(#REF!/#REF!)</f>
        <v>#REF!</v>
      </c>
      <c r="IO177" s="2328" t="e">
        <f>+IN177*(#REF!/#REF!)</f>
        <v>#REF!</v>
      </c>
      <c r="IP177" s="2328" t="e">
        <f>+IO177*(#REF!/#REF!)</f>
        <v>#REF!</v>
      </c>
      <c r="IQ177" s="2328" t="e">
        <f>+IP177*(#REF!/#REF!)</f>
        <v>#REF!</v>
      </c>
      <c r="IR177" s="2328" t="e">
        <f>+IQ177*(#REF!/#REF!)</f>
        <v>#REF!</v>
      </c>
      <c r="IS177" s="2336" t="e">
        <f>+IR177*(#REF!/#REF!)</f>
        <v>#REF!</v>
      </c>
      <c r="IT177" s="2328" t="e">
        <f>+IS177*(#REF!/#REF!)</f>
        <v>#REF!</v>
      </c>
      <c r="IU177" s="2328" t="e">
        <f>+IT177*(#REF!/#REF!)</f>
        <v>#REF!</v>
      </c>
      <c r="IV177" s="2328" t="e">
        <f>+IU177*(#REF!/#REF!)</f>
        <v>#REF!</v>
      </c>
      <c r="IW177" s="2328" t="e">
        <f>+IV177*(#REF!/#REF!)</f>
        <v>#REF!</v>
      </c>
      <c r="IX177" s="2328" t="e">
        <f>+IW177*(#REF!/#REF!)</f>
        <v>#REF!</v>
      </c>
      <c r="IY177" s="2328" t="e">
        <f>+IX177*(#REF!/#REF!)</f>
        <v>#REF!</v>
      </c>
      <c r="IZ177" s="2328" t="e">
        <f>+IY177*(#REF!/#REF!)</f>
        <v>#REF!</v>
      </c>
      <c r="JA177" s="2328" t="e">
        <f>+IZ177*(#REF!/#REF!)</f>
        <v>#REF!</v>
      </c>
      <c r="JB177" s="2328" t="e">
        <f>+JA177*(#REF!/#REF!)</f>
        <v>#REF!</v>
      </c>
      <c r="JC177" s="2328" t="e">
        <f>+JB177*(#REF!/#REF!)</f>
        <v>#REF!</v>
      </c>
      <c r="JD177" s="2328"/>
      <c r="JE177" s="2336" t="e">
        <v>#N/A</v>
      </c>
      <c r="JF177" s="2333" t="e">
        <v>#N/A</v>
      </c>
      <c r="JG177" s="2103" t="e">
        <f t="shared" si="14"/>
        <v>#N/A</v>
      </c>
      <c r="JI177" s="2155"/>
      <c r="JJ177" s="2104"/>
    </row>
    <row r="178" spans="2:271" ht="31.15" customHeight="1">
      <c r="B178" s="2105">
        <v>240</v>
      </c>
      <c r="C178" s="2108" t="s">
        <v>92</v>
      </c>
      <c r="D178" s="2425">
        <v>0</v>
      </c>
      <c r="E178" s="2110" t="s">
        <v>93</v>
      </c>
      <c r="F178" s="2106" t="s">
        <v>918</v>
      </c>
      <c r="G178" s="2425" t="s">
        <v>1113</v>
      </c>
      <c r="H178" s="2106" t="s">
        <v>900</v>
      </c>
      <c r="I178" s="2106"/>
      <c r="J178" s="2127"/>
      <c r="K178" s="2425" t="s">
        <v>1344</v>
      </c>
      <c r="L178" s="2409">
        <v>100</v>
      </c>
      <c r="M178" s="2409"/>
      <c r="N178" s="2409"/>
      <c r="O178" s="2409"/>
      <c r="P178" s="2409"/>
      <c r="Q178" s="2409"/>
      <c r="R178" s="2409"/>
      <c r="S178" s="2409"/>
      <c r="T178" s="2409"/>
      <c r="U178" s="2409"/>
      <c r="V178" s="2409"/>
      <c r="W178" s="2409"/>
      <c r="X178" s="2409"/>
      <c r="Y178" s="2409"/>
      <c r="Z178" s="2409"/>
      <c r="AA178" s="2409"/>
      <c r="AB178" s="2409"/>
      <c r="AC178" s="2409"/>
      <c r="AD178" s="2409"/>
      <c r="AE178" s="2409"/>
      <c r="AF178" s="2409"/>
      <c r="AG178" s="2409"/>
      <c r="AH178" s="2409"/>
      <c r="AI178" s="2409"/>
      <c r="AJ178" s="2409"/>
      <c r="AK178" s="2409">
        <v>133.5</v>
      </c>
      <c r="AL178" s="2409">
        <v>135.1</v>
      </c>
      <c r="AM178" s="2409">
        <v>136.30000000000001</v>
      </c>
      <c r="AN178" s="2409">
        <v>137</v>
      </c>
      <c r="AO178" s="2409">
        <v>207.17</v>
      </c>
      <c r="AP178" s="2409">
        <v>139.69999999999999</v>
      </c>
      <c r="AQ178" s="2409">
        <v>140.19999999999999</v>
      </c>
      <c r="AR178" s="2409">
        <v>140.30000000000001</v>
      </c>
      <c r="AS178" s="2409">
        <v>140.6</v>
      </c>
      <c r="AT178" s="2409">
        <v>142.1</v>
      </c>
      <c r="AU178" s="2409">
        <v>142.19999999999999</v>
      </c>
      <c r="AV178" s="2409">
        <v>143.69999999999999</v>
      </c>
      <c r="AW178" s="2410">
        <v>144.6</v>
      </c>
      <c r="AX178" s="2410">
        <v>146.30000000000001</v>
      </c>
      <c r="AY178" s="2410">
        <v>147</v>
      </c>
      <c r="AZ178" s="2410">
        <v>149.9</v>
      </c>
      <c r="BA178" s="2410">
        <v>157.19999999999999</v>
      </c>
      <c r="BB178" s="2410">
        <v>157.9</v>
      </c>
      <c r="BC178" s="2410">
        <v>158.4</v>
      </c>
      <c r="BD178" s="2411">
        <v>1595</v>
      </c>
      <c r="BE178" s="2410">
        <v>160.4</v>
      </c>
      <c r="BF178" s="2411">
        <v>161.30000000000001</v>
      </c>
      <c r="BG178" s="2411">
        <v>163.19999999999999</v>
      </c>
      <c r="BH178" s="2411">
        <v>164.8</v>
      </c>
      <c r="BI178" s="2412">
        <v>165.5</v>
      </c>
      <c r="BJ178" s="2412">
        <v>168.2</v>
      </c>
      <c r="BK178" s="2412">
        <v>168.9</v>
      </c>
      <c r="BL178" s="2412">
        <v>174.7</v>
      </c>
      <c r="BM178" s="2412">
        <v>180.8</v>
      </c>
      <c r="BN178" s="2412">
        <v>183.1</v>
      </c>
      <c r="BO178" s="2412">
        <v>183.3</v>
      </c>
      <c r="BP178" s="2412">
        <v>185.5</v>
      </c>
      <c r="BQ178" s="2412">
        <v>188.1</v>
      </c>
      <c r="BR178" s="2412">
        <v>188.2</v>
      </c>
      <c r="BS178" s="2412">
        <v>188.5</v>
      </c>
      <c r="BT178" s="2412">
        <v>188.7</v>
      </c>
      <c r="BU178" s="2412">
        <v>190.7</v>
      </c>
      <c r="BV178" s="2412">
        <v>190.7</v>
      </c>
      <c r="BW178" s="2412">
        <v>190.4</v>
      </c>
      <c r="BX178" s="2412">
        <v>197.2</v>
      </c>
      <c r="BY178" s="2412">
        <v>200.8</v>
      </c>
      <c r="BZ178" s="2412">
        <v>208.3</v>
      </c>
      <c r="CA178" s="2412">
        <v>213.6</v>
      </c>
      <c r="CB178" s="2412">
        <v>216.3</v>
      </c>
      <c r="CC178" s="2412">
        <v>220.8</v>
      </c>
      <c r="CD178" s="2412">
        <v>223.8</v>
      </c>
      <c r="CE178" s="2412">
        <v>226.4</v>
      </c>
      <c r="CF178" s="2412">
        <v>227.1</v>
      </c>
      <c r="CG178" s="2412">
        <v>227.9</v>
      </c>
      <c r="CH178" s="2412">
        <v>231.4</v>
      </c>
      <c r="CI178" s="2412">
        <v>235</v>
      </c>
      <c r="CJ178" s="2412">
        <v>237.1</v>
      </c>
      <c r="CK178" s="2412">
        <v>244.4</v>
      </c>
      <c r="CL178" s="2412">
        <v>245.3</v>
      </c>
      <c r="CM178" s="2412">
        <v>250.3</v>
      </c>
      <c r="CN178" s="2412">
        <v>253.7</v>
      </c>
      <c r="CO178" s="2412">
        <v>257.89999999999998</v>
      </c>
      <c r="CP178" s="2412">
        <v>258.5</v>
      </c>
      <c r="CQ178" s="2412">
        <v>259.5</v>
      </c>
      <c r="CR178" s="2412">
        <v>258.5</v>
      </c>
      <c r="CS178" s="2412">
        <v>257.5</v>
      </c>
      <c r="CT178" s="2412">
        <v>256.7</v>
      </c>
      <c r="CU178" s="2412">
        <v>256.39999999999998</v>
      </c>
      <c r="CV178" s="2412">
        <v>255</v>
      </c>
      <c r="CW178" s="2412">
        <v>255.6</v>
      </c>
      <c r="CX178" s="2412">
        <v>261.7</v>
      </c>
      <c r="CY178" s="2412">
        <v>264.8</v>
      </c>
      <c r="CZ178" s="2412">
        <v>266.7</v>
      </c>
      <c r="DA178" s="2412">
        <v>267.89999999999998</v>
      </c>
      <c r="DB178" s="2412">
        <v>272.2</v>
      </c>
      <c r="DC178" s="2412">
        <v>275.10000000000002</v>
      </c>
      <c r="DD178" s="2412">
        <v>275.7</v>
      </c>
      <c r="DE178" s="2412">
        <v>276.89999999999998</v>
      </c>
      <c r="DF178" s="2412">
        <v>279</v>
      </c>
      <c r="DG178" s="2412">
        <v>280.89999999999998</v>
      </c>
      <c r="DH178" s="2412">
        <v>297.2</v>
      </c>
      <c r="DI178" s="2412">
        <v>296.8</v>
      </c>
      <c r="DJ178" s="2412">
        <v>314.89999999999998</v>
      </c>
      <c r="DK178" s="2412">
        <v>318.7</v>
      </c>
      <c r="DL178" s="2412">
        <v>320.60000000000002</v>
      </c>
      <c r="DM178" s="2412">
        <v>332.8</v>
      </c>
      <c r="DN178" s="2412">
        <v>335.9</v>
      </c>
      <c r="DO178" s="2412">
        <v>337.8</v>
      </c>
      <c r="DP178" s="2412">
        <v>345.6</v>
      </c>
      <c r="DQ178" s="2412">
        <v>361.4</v>
      </c>
      <c r="DR178" s="2412">
        <v>365</v>
      </c>
      <c r="DS178" s="2412">
        <v>373.7</v>
      </c>
      <c r="DT178" s="2412">
        <v>376.6</v>
      </c>
      <c r="DU178" s="2412">
        <v>392.6</v>
      </c>
      <c r="DV178" s="2412">
        <v>399.1</v>
      </c>
      <c r="DW178" s="2412">
        <v>412.1</v>
      </c>
      <c r="DX178" s="2412">
        <v>434.5</v>
      </c>
      <c r="DY178" s="2412">
        <v>435.3</v>
      </c>
      <c r="DZ178" s="2412">
        <v>443.9</v>
      </c>
      <c r="EA178" s="2412">
        <v>452.9</v>
      </c>
      <c r="EB178" s="2412">
        <v>454.6</v>
      </c>
      <c r="EC178" s="2412">
        <v>455.5</v>
      </c>
      <c r="ED178" s="2412">
        <v>470</v>
      </c>
      <c r="EE178" s="2412">
        <v>472.6</v>
      </c>
      <c r="EF178" s="2412">
        <v>474.3</v>
      </c>
      <c r="EG178" s="2412">
        <v>476</v>
      </c>
      <c r="EH178" s="2412">
        <v>478.3</v>
      </c>
      <c r="EI178" s="2412">
        <v>537.79999999999995</v>
      </c>
      <c r="EJ178" s="2412">
        <v>546.29999999999995</v>
      </c>
      <c r="EK178" s="2412">
        <v>547.4</v>
      </c>
      <c r="EL178" s="2412">
        <v>548.29999999999995</v>
      </c>
      <c r="EM178" s="2412">
        <v>551.1</v>
      </c>
      <c r="EN178" s="2412">
        <v>554</v>
      </c>
      <c r="EO178" s="2412">
        <v>555.70000000000005</v>
      </c>
      <c r="EP178" s="2412">
        <v>570.6</v>
      </c>
      <c r="EQ178" s="2412">
        <v>572.4</v>
      </c>
      <c r="ER178" s="2412">
        <v>584.79999999999995</v>
      </c>
      <c r="ES178" s="2412">
        <v>590.70000000000005</v>
      </c>
      <c r="ET178" s="2412">
        <v>620.20000000000005</v>
      </c>
      <c r="EU178" s="2412">
        <v>651.70000000000005</v>
      </c>
      <c r="EV178" s="2412">
        <v>657</v>
      </c>
      <c r="EW178" s="2412">
        <v>683.9</v>
      </c>
      <c r="EX178" s="2412">
        <v>687.7</v>
      </c>
      <c r="EY178" s="2412">
        <v>703.6</v>
      </c>
      <c r="EZ178" s="2412">
        <v>711.4</v>
      </c>
      <c r="FA178" s="2412">
        <v>727.8</v>
      </c>
      <c r="FB178" s="2412">
        <v>757</v>
      </c>
      <c r="FC178" s="2412">
        <v>768.8</v>
      </c>
      <c r="FD178" s="2412">
        <v>782.6</v>
      </c>
      <c r="FE178" s="2412">
        <v>856.7</v>
      </c>
      <c r="FF178" s="2412">
        <v>859.2</v>
      </c>
      <c r="FG178" s="2412">
        <v>886.3</v>
      </c>
      <c r="FH178" s="2412">
        <v>902.1</v>
      </c>
      <c r="FI178" s="2412">
        <v>912.8</v>
      </c>
      <c r="FJ178" s="2412">
        <v>924.7</v>
      </c>
      <c r="FK178" s="2412">
        <v>933.7</v>
      </c>
      <c r="FL178" s="2412">
        <v>942.2</v>
      </c>
      <c r="FM178" s="2412">
        <v>956.7</v>
      </c>
      <c r="FN178" s="2412">
        <v>963.2</v>
      </c>
      <c r="FO178" s="2412">
        <v>965.3</v>
      </c>
      <c r="FP178" s="2412">
        <v>968.8</v>
      </c>
      <c r="FQ178" s="2412">
        <v>970</v>
      </c>
      <c r="FR178" s="2412">
        <v>1049</v>
      </c>
      <c r="FS178" s="2412">
        <v>1067.4000000000001</v>
      </c>
      <c r="FT178" s="2412">
        <v>1102.5999999999999</v>
      </c>
      <c r="FU178" s="2412">
        <v>1126.4000000000001</v>
      </c>
      <c r="FV178" s="2412">
        <v>1130.2</v>
      </c>
      <c r="FW178" s="2413">
        <f>+'I-E'!F50</f>
        <v>1165.5563525520299</v>
      </c>
      <c r="FX178" s="2413">
        <f>+'I-E'!G50</f>
        <v>1289.1838294591391</v>
      </c>
      <c r="FY178" s="2416">
        <f>+'I-E'!H50</f>
        <v>100</v>
      </c>
      <c r="FZ178" s="2417">
        <f>+'I-E'!I50</f>
        <v>105.87612489034612</v>
      </c>
      <c r="GA178" s="2417">
        <f>+'I-E'!J50</f>
        <v>106.38351461151706</v>
      </c>
      <c r="GB178" s="2417">
        <f>+'I-E'!K50</f>
        <v>114.01915177145524</v>
      </c>
      <c r="GC178" s="2417">
        <f>+'I-E'!L50</f>
        <v>115.60681170993368</v>
      </c>
      <c r="GD178" s="2417">
        <f>+'I-E'!M50</f>
        <v>117.10772780961754</v>
      </c>
      <c r="GE178" s="2417">
        <f>+'I-E'!N50</f>
        <v>117.61292357193001</v>
      </c>
      <c r="GF178" s="2417">
        <f>+'I-E'!O50</f>
        <v>117.22170296841259</v>
      </c>
      <c r="GG178" s="2417">
        <f>+'I-E'!P50</f>
        <v>117.44859053211768</v>
      </c>
      <c r="GH178" s="2417">
        <f>+'I-E'!Q50</f>
        <v>119.32820088461369</v>
      </c>
      <c r="GI178" s="2417">
        <f>+'I-E'!R50</f>
        <v>119.63172723811142</v>
      </c>
      <c r="GJ178" s="2417">
        <f>+'I-E'!S50</f>
        <v>120.10935331914824</v>
      </c>
      <c r="GK178" s="2417">
        <f>+'I-E'!T50</f>
        <v>122.60239437365125</v>
      </c>
      <c r="GL178" s="2417">
        <f>+'I-E'!U50</f>
        <v>123.9092014554636</v>
      </c>
      <c r="GM178" s="2417">
        <f>+'I-E'!V50</f>
        <v>124.11224660134151</v>
      </c>
      <c r="GN178" s="2417">
        <f>+'I-E'!W50</f>
        <v>129.51947815102818</v>
      </c>
      <c r="GO178" s="2417">
        <f>+'I-E'!X50</f>
        <v>130.09074972589943</v>
      </c>
      <c r="GP178" s="2417">
        <f>+'I-E'!Y50</f>
        <v>129.99897853735138</v>
      </c>
      <c r="GQ178" s="2417">
        <f>+'I-E'!Z50</f>
        <v>134.27362094462268</v>
      </c>
      <c r="GR178" s="2417">
        <f>+'I-E'!AA50</f>
        <v>136.48326006070721</v>
      </c>
      <c r="GS178" s="2417">
        <f>+'I-E'!AB50</f>
        <v>137.6759004900093</v>
      </c>
      <c r="GT178" s="2417">
        <f>+'I-E'!AC50</f>
        <v>137.70375657836661</v>
      </c>
      <c r="GU178" s="2417">
        <f>+'I-E'!AD50</f>
        <v>138.43953085655701</v>
      </c>
      <c r="GV178" s="2417">
        <f>+'I-E'!AE50</f>
        <v>138.98807220447017</v>
      </c>
      <c r="GW178" s="2417">
        <f>+'I-E'!AF50</f>
        <v>141.52686603938201</v>
      </c>
      <c r="GX178" s="2417">
        <f>+'I-E'!AG50</f>
        <v>144.15977279268793</v>
      </c>
      <c r="GY178" s="2417">
        <f>+'I-E'!AH50</f>
        <v>146.03522202743397</v>
      </c>
      <c r="GZ178" s="2417">
        <f>+'I-E'!AI50</f>
        <v>157.32426180572298</v>
      </c>
      <c r="HA178" s="2417">
        <f>+'I-E'!AJ50</f>
        <v>165.21089636573976</v>
      </c>
      <c r="HB178" s="2417">
        <f>+'I-E'!AK50</f>
        <v>176.19078573136483</v>
      </c>
      <c r="HC178" s="2417">
        <f>+'I-E'!AL50</f>
        <v>182.84621264698325</v>
      </c>
      <c r="HD178" s="2417">
        <f>+'I-E'!AM50</f>
        <v>186.16130442591515</v>
      </c>
      <c r="HE178" s="2417">
        <f>+'I-E'!AN50</f>
        <v>218.24725998292203</v>
      </c>
      <c r="HF178" s="2417">
        <f>+'I-E'!AO50</f>
        <v>235.85056803097476</v>
      </c>
      <c r="HG178" s="2417">
        <f>+'I-E'!AP50</f>
        <v>235.1188757764773</v>
      </c>
      <c r="HH178" s="2417">
        <f>+'I-E'!AQ50</f>
        <v>235.58617665576543</v>
      </c>
      <c r="HI178" s="2417">
        <f>+'I-E'!AR50</f>
        <v>243.16378344145187</v>
      </c>
      <c r="HJ178" s="2417">
        <f>+'I-E'!AS50</f>
        <v>248.62244524634633</v>
      </c>
      <c r="HK178" s="2417">
        <f>+'I-E'!AT50</f>
        <v>267.52646053666552</v>
      </c>
      <c r="HL178" s="2417">
        <f>+'I-E'!AU50</f>
        <v>284.30920738522178</v>
      </c>
      <c r="HM178" s="2417">
        <f>+'I-E'!AV50</f>
        <v>295.04065203540512</v>
      </c>
      <c r="HN178" s="2417">
        <f>+'I-E'!AW50</f>
        <v>294.10276243504711</v>
      </c>
      <c r="HO178" s="2417">
        <f>+'I-E'!AX50</f>
        <v>301.48389256404278</v>
      </c>
      <c r="HP178" s="2417">
        <f>+'I-E'!AY50</f>
        <v>333.44840029864929</v>
      </c>
      <c r="HQ178" s="2417">
        <f>+'I-E'!AZ50</f>
        <v>353.6761495780359</v>
      </c>
      <c r="HR178" s="2417">
        <f>+'I-E'!BA50</f>
        <v>355.52783802840088</v>
      </c>
      <c r="HS178" s="2417">
        <f>+'I-E'!BB50</f>
        <v>375.11067263710606</v>
      </c>
      <c r="HT178" s="2417">
        <f>+'I-E'!BC50</f>
        <v>373.69878881431089</v>
      </c>
      <c r="HU178" s="2417">
        <f>+'I-E'!BD50</f>
        <v>382.87464050139818</v>
      </c>
      <c r="HV178" s="2417">
        <f>+'I-E'!BE50</f>
        <v>389.54044011750108</v>
      </c>
      <c r="HW178" s="2417">
        <f>+'I-E'!BF50</f>
        <v>389.54044011750096</v>
      </c>
      <c r="HX178" s="2417">
        <f>+'I-E'!BG50</f>
        <v>394.17781607284002</v>
      </c>
      <c r="HY178" s="2417">
        <f>+'I-E'!BH50</f>
        <v>400.71120041994345</v>
      </c>
      <c r="HZ178" s="2417">
        <f>+'I-E'!BI50</f>
        <v>403.4704722699388</v>
      </c>
      <c r="IA178" s="2417">
        <f>+'I-E'!BJ50</f>
        <v>412.90081188084457</v>
      </c>
      <c r="IB178" s="2417">
        <f>+'I-E'!BK50</f>
        <v>428.60320503451345</v>
      </c>
      <c r="IC178" s="2417">
        <f>+'I-E'!BL50</f>
        <v>433.93226374808313</v>
      </c>
      <c r="ID178" s="2417">
        <f>+'I-E'!BM50</f>
        <v>472.62725831078268</v>
      </c>
      <c r="IE178" s="2417">
        <f>+'I-E'!BN50</f>
        <v>527.76004800246039</v>
      </c>
      <c r="IF178" s="2417">
        <f>+'I-E'!BO50</f>
        <v>543.77824900616235</v>
      </c>
      <c r="IG178" s="2417">
        <f>+'I-E'!BP50</f>
        <v>563.09566936000681</v>
      </c>
      <c r="IH178" s="2417">
        <f>+'I-E'!BQ50</f>
        <v>601.13921591068788</v>
      </c>
      <c r="II178" s="2417">
        <f>+'I-E'!BR50</f>
        <v>613.71809939990237</v>
      </c>
      <c r="IJ178" s="2417">
        <f>+'I-E'!BS50</f>
        <v>675.44306779308454</v>
      </c>
      <c r="IK178" s="2417">
        <f>+'I-E'!BT50</f>
        <v>707.04195163424629</v>
      </c>
      <c r="IL178" s="2417">
        <f>+'I-E'!BU50</f>
        <v>719.20058106177964</v>
      </c>
      <c r="IM178" s="2417">
        <f>+'I-E'!BV50</f>
        <v>748.81358771184807</v>
      </c>
      <c r="IN178" s="2417">
        <f>+'I-E'!BW50</f>
        <v>758.03999973160887</v>
      </c>
      <c r="IO178" s="2417">
        <f>+'I-E'!BX50</f>
        <v>782.90635510520781</v>
      </c>
      <c r="IP178" s="2417">
        <f>+'I-E'!BY50</f>
        <v>813.19410449780594</v>
      </c>
      <c r="IQ178" s="2417">
        <f>+'I-E'!BZ50</f>
        <v>841.98669420863291</v>
      </c>
      <c r="IR178" s="2417">
        <f>+'I-E'!CA50</f>
        <v>859.58027923823818</v>
      </c>
      <c r="IS178" s="2417">
        <f>+'I-E'!CB50</f>
        <v>888.7211540974946</v>
      </c>
      <c r="IT178" s="2417">
        <f>+'I-E'!CC50</f>
        <v>928.35631197382804</v>
      </c>
      <c r="IU178" s="2417">
        <f>+'I-E'!CD50</f>
        <v>963.51668210658079</v>
      </c>
      <c r="IV178" s="2417">
        <f>+'I-E'!CE50</f>
        <v>992.84236846493786</v>
      </c>
      <c r="IW178" s="2417">
        <f>+'I-E'!CF50</f>
        <v>1053.9489048379621</v>
      </c>
      <c r="IX178" s="2417">
        <f>+'I-E'!CG50</f>
        <v>1122.7641299643785</v>
      </c>
      <c r="IY178" s="2417">
        <f>+'I-E'!CH50</f>
        <v>1256.1089224409925</v>
      </c>
      <c r="IZ178" s="2417">
        <f>+'I-E'!CI50</f>
        <v>1386.2703402866109</v>
      </c>
      <c r="JA178" s="2417">
        <f>+'I-E'!CJ50</f>
        <v>1551.8360037580792</v>
      </c>
      <c r="JB178" s="2417">
        <f>+'I-E'!CK50</f>
        <v>1641.3626137998142</v>
      </c>
      <c r="JC178" s="2417">
        <f>+'I-E'!CL50</f>
        <v>1773.3685380281615</v>
      </c>
      <c r="JD178" s="2415">
        <f>+'I-E'!CM50</f>
        <v>1876.6123769260762</v>
      </c>
      <c r="JE178" s="2422">
        <f>+'I-E'!CN50</f>
        <v>1974.6011979932155</v>
      </c>
      <c r="JF178" s="2418">
        <f>+'I-E'!CO50</f>
        <v>2188.6612378056002</v>
      </c>
      <c r="JG178" s="2103">
        <f t="shared" si="14"/>
        <v>1.1084067203189858</v>
      </c>
      <c r="JI178" s="2155"/>
      <c r="JJ178" s="2104"/>
    </row>
    <row r="179" spans="2:271" s="2165" customFormat="1" ht="16.5" customHeight="1">
      <c r="B179" s="2105">
        <v>241</v>
      </c>
      <c r="C179" s="2108" t="s">
        <v>94</v>
      </c>
      <c r="D179" s="2425" t="s">
        <v>1182</v>
      </c>
      <c r="E179" s="2110" t="s">
        <v>95</v>
      </c>
      <c r="F179" s="2106" t="s">
        <v>918</v>
      </c>
      <c r="G179" s="2425" t="s">
        <v>1112</v>
      </c>
      <c r="H179" s="2106" t="s">
        <v>929</v>
      </c>
      <c r="I179" s="2106"/>
      <c r="J179" s="2127"/>
      <c r="K179" s="2425"/>
      <c r="L179" s="2110">
        <v>100</v>
      </c>
      <c r="M179" s="2108"/>
      <c r="N179" s="2108"/>
      <c r="O179" s="2110"/>
      <c r="P179" s="2110"/>
      <c r="Q179" s="2110"/>
      <c r="R179" s="2110"/>
      <c r="S179" s="2110"/>
      <c r="T179" s="2110"/>
      <c r="U179" s="2110"/>
      <c r="V179" s="2110"/>
      <c r="W179" s="2110"/>
      <c r="X179" s="2110"/>
      <c r="Y179" s="2110"/>
      <c r="Z179" s="2110"/>
      <c r="AA179" s="2110"/>
      <c r="AB179" s="2110"/>
      <c r="AC179" s="2110"/>
      <c r="AD179" s="2110"/>
      <c r="AE179" s="2110"/>
      <c r="AF179" s="2110"/>
      <c r="AG179" s="2110"/>
      <c r="AH179" s="2110"/>
      <c r="AI179" s="2110"/>
      <c r="AJ179" s="2110"/>
      <c r="AK179" s="2110">
        <v>199.9</v>
      </c>
      <c r="AL179" s="2110">
        <v>202.6</v>
      </c>
      <c r="AM179" s="2110">
        <v>212.5</v>
      </c>
      <c r="AN179" s="2110">
        <v>220.2</v>
      </c>
      <c r="AO179" s="2110">
        <v>220.2</v>
      </c>
      <c r="AP179" s="2110">
        <v>220.2</v>
      </c>
      <c r="AQ179" s="2110">
        <v>228.9</v>
      </c>
      <c r="AR179" s="2110">
        <v>228.9</v>
      </c>
      <c r="AS179" s="2110">
        <v>228.9</v>
      </c>
      <c r="AT179" s="2110">
        <v>228.9</v>
      </c>
      <c r="AU179" s="2110">
        <v>228.9</v>
      </c>
      <c r="AV179" s="2110">
        <v>228.9</v>
      </c>
      <c r="AW179" s="2111">
        <v>228.9</v>
      </c>
      <c r="AX179" s="2112" t="s">
        <v>690</v>
      </c>
      <c r="AY179" s="2111">
        <v>231.3</v>
      </c>
      <c r="AZ179" s="2111">
        <v>231.3</v>
      </c>
      <c r="BA179" s="2111">
        <v>231.3</v>
      </c>
      <c r="BB179" s="2111">
        <v>231.9</v>
      </c>
      <c r="BC179" s="2111">
        <v>231.9</v>
      </c>
      <c r="BD179" s="2112">
        <v>231.9</v>
      </c>
      <c r="BE179" s="2111">
        <v>231.9</v>
      </c>
      <c r="BF179" s="2112">
        <v>231.9</v>
      </c>
      <c r="BG179" s="2112">
        <v>235.1</v>
      </c>
      <c r="BH179" s="2112">
        <v>230.6</v>
      </c>
      <c r="BI179" s="2108">
        <v>234.2</v>
      </c>
      <c r="BJ179" s="2108">
        <v>253.1</v>
      </c>
      <c r="BK179" s="2108">
        <v>253.1</v>
      </c>
      <c r="BL179" s="2108">
        <v>253.1</v>
      </c>
      <c r="BM179" s="2108">
        <v>253.1</v>
      </c>
      <c r="BN179" s="2108">
        <v>256.39999999999998</v>
      </c>
      <c r="BO179" s="2108">
        <v>256.39999999999998</v>
      </c>
      <c r="BP179" s="2108">
        <v>256.39999999999998</v>
      </c>
      <c r="BQ179" s="2108">
        <v>256.39999999999998</v>
      </c>
      <c r="BR179" s="2108">
        <v>256.39999999999998</v>
      </c>
      <c r="BS179" s="2108">
        <v>256.39999999999998</v>
      </c>
      <c r="BT179" s="2108">
        <v>256.39999999999998</v>
      </c>
      <c r="BU179" s="2108">
        <v>256.39999999999998</v>
      </c>
      <c r="BV179" s="2108">
        <v>256.39999999999998</v>
      </c>
      <c r="BW179" s="2108">
        <v>256.39999999999998</v>
      </c>
      <c r="BX179" s="2108">
        <v>256.39999999999998</v>
      </c>
      <c r="BY179" s="2108">
        <v>256.39999999999998</v>
      </c>
      <c r="BZ179" s="2108">
        <v>256.39999999999998</v>
      </c>
      <c r="CA179" s="2108">
        <v>256.39999999999998</v>
      </c>
      <c r="CB179" s="2108">
        <v>256.39999999999998</v>
      </c>
      <c r="CC179" s="2108">
        <v>266.7</v>
      </c>
      <c r="CD179" s="2108">
        <v>266.7</v>
      </c>
      <c r="CE179" s="2108">
        <v>265.8</v>
      </c>
      <c r="CF179" s="2108">
        <v>265.7</v>
      </c>
      <c r="CG179" s="2108">
        <v>266.8</v>
      </c>
      <c r="CH179" s="2108">
        <v>273.7</v>
      </c>
      <c r="CI179" s="2108">
        <v>283.39999999999998</v>
      </c>
      <c r="CJ179" s="2108">
        <v>284.60000000000002</v>
      </c>
      <c r="CK179" s="2108">
        <v>288.89999999999998</v>
      </c>
      <c r="CL179" s="2108">
        <v>288.89999999999998</v>
      </c>
      <c r="CM179" s="2108">
        <v>292.89999999999998</v>
      </c>
      <c r="CN179" s="2108">
        <v>306.3</v>
      </c>
      <c r="CO179" s="2108">
        <v>308</v>
      </c>
      <c r="CP179" s="2108">
        <v>308</v>
      </c>
      <c r="CQ179" s="2108">
        <v>308.5</v>
      </c>
      <c r="CR179" s="2110">
        <v>309.10000000000002</v>
      </c>
      <c r="CS179" s="2110">
        <v>309.89999999999998</v>
      </c>
      <c r="CT179" s="2110">
        <v>310.39999999999998</v>
      </c>
      <c r="CU179" s="2110">
        <v>317.7</v>
      </c>
      <c r="CV179" s="2110">
        <v>324.60000000000002</v>
      </c>
      <c r="CW179" s="2110">
        <v>342.4</v>
      </c>
      <c r="CX179" s="2110">
        <v>342.4</v>
      </c>
      <c r="CY179" s="2110">
        <v>334.5</v>
      </c>
      <c r="CZ179" s="2110">
        <v>338</v>
      </c>
      <c r="DA179" s="2110">
        <v>349.5</v>
      </c>
      <c r="DB179" s="2110">
        <v>351.1</v>
      </c>
      <c r="DC179" s="2110">
        <v>352.7</v>
      </c>
      <c r="DD179" s="2110">
        <v>352.7</v>
      </c>
      <c r="DE179" s="2108">
        <v>352.7</v>
      </c>
      <c r="DF179" s="2108">
        <v>352.7</v>
      </c>
      <c r="DG179" s="2108">
        <v>358.2</v>
      </c>
      <c r="DH179" s="2108">
        <v>357.9</v>
      </c>
      <c r="DI179" s="2108">
        <v>358.9</v>
      </c>
      <c r="DJ179" s="2108">
        <v>365.7</v>
      </c>
      <c r="DK179" s="2108">
        <v>365.7</v>
      </c>
      <c r="DL179" s="2108">
        <v>365.7</v>
      </c>
      <c r="DM179" s="2108">
        <v>373.1</v>
      </c>
      <c r="DN179" s="2108">
        <v>373.1</v>
      </c>
      <c r="DO179" s="2108">
        <v>381</v>
      </c>
      <c r="DP179" s="2108">
        <v>382.2</v>
      </c>
      <c r="DQ179" s="2108">
        <v>380.4</v>
      </c>
      <c r="DR179" s="2108">
        <v>383.8</v>
      </c>
      <c r="DS179" s="2108">
        <v>398.5</v>
      </c>
      <c r="DT179" s="2108">
        <v>404.9</v>
      </c>
      <c r="DU179" s="2108">
        <v>413.9</v>
      </c>
      <c r="DV179" s="2108">
        <v>415.3</v>
      </c>
      <c r="DW179" s="2108">
        <v>415.3</v>
      </c>
      <c r="DX179" s="2108">
        <v>369.3</v>
      </c>
      <c r="DY179" s="2108">
        <v>377.7</v>
      </c>
      <c r="DZ179" s="2108">
        <v>393.3</v>
      </c>
      <c r="EA179" s="2108">
        <v>393.5</v>
      </c>
      <c r="EB179" s="2108">
        <v>396.3</v>
      </c>
      <c r="EC179" s="2108">
        <v>402.4</v>
      </c>
      <c r="ED179" s="2108">
        <v>382.2</v>
      </c>
      <c r="EE179" s="2108">
        <v>394.6</v>
      </c>
      <c r="EF179" s="2108">
        <v>394.9</v>
      </c>
      <c r="EG179" s="2108">
        <v>435.2</v>
      </c>
      <c r="EH179" s="2108">
        <v>467.6</v>
      </c>
      <c r="EI179" s="2108">
        <v>480.2</v>
      </c>
      <c r="EJ179" s="2108">
        <v>487.6</v>
      </c>
      <c r="EK179" s="2108">
        <v>494.6</v>
      </c>
      <c r="EL179" s="2108">
        <v>532.29999999999995</v>
      </c>
      <c r="EM179" s="2108">
        <v>537.70000000000005</v>
      </c>
      <c r="EN179" s="2108">
        <v>553.4</v>
      </c>
      <c r="EO179" s="2108">
        <v>570.70000000000005</v>
      </c>
      <c r="EP179" s="2108">
        <v>590.29999999999995</v>
      </c>
      <c r="EQ179" s="2108">
        <v>592.79999999999995</v>
      </c>
      <c r="ER179" s="2108">
        <v>605.9</v>
      </c>
      <c r="ES179" s="2108">
        <v>625.79999999999995</v>
      </c>
      <c r="ET179" s="2108">
        <v>670.9</v>
      </c>
      <c r="EU179" s="2108">
        <v>667.9</v>
      </c>
      <c r="EV179" s="2108">
        <v>702</v>
      </c>
      <c r="EW179" s="2108">
        <v>730.2</v>
      </c>
      <c r="EX179" s="2108">
        <v>744.8</v>
      </c>
      <c r="EY179" s="2108">
        <v>771.8</v>
      </c>
      <c r="EZ179" s="2108">
        <v>849.6</v>
      </c>
      <c r="FA179" s="2108">
        <v>913.5</v>
      </c>
      <c r="FB179" s="2108">
        <v>1025.0999999999999</v>
      </c>
      <c r="FC179" s="2108">
        <v>969</v>
      </c>
      <c r="FD179" s="2108">
        <v>839.8</v>
      </c>
      <c r="FE179" s="2108">
        <v>877.9</v>
      </c>
      <c r="FF179" s="2108">
        <v>909.6</v>
      </c>
      <c r="FG179" s="2108">
        <v>962.8</v>
      </c>
      <c r="FH179" s="2108">
        <v>941.7</v>
      </c>
      <c r="FI179" s="2108">
        <v>985.4</v>
      </c>
      <c r="FJ179" s="2108">
        <v>986.8</v>
      </c>
      <c r="FK179" s="2108">
        <v>988.2</v>
      </c>
      <c r="FL179" s="2108">
        <v>999.2</v>
      </c>
      <c r="FM179" s="2108">
        <v>1025.9000000000001</v>
      </c>
      <c r="FN179" s="2108">
        <v>1030.5</v>
      </c>
      <c r="FO179" s="2108">
        <v>999.7</v>
      </c>
      <c r="FP179" s="2108">
        <v>1164.7</v>
      </c>
      <c r="FQ179" s="2108">
        <v>1019.1</v>
      </c>
      <c r="FR179" s="2108">
        <v>1020.4</v>
      </c>
      <c r="FS179" s="2108">
        <v>1022.3</v>
      </c>
      <c r="FT179" s="2108">
        <v>1074.2</v>
      </c>
      <c r="FU179" s="2108">
        <v>1076</v>
      </c>
      <c r="FV179" s="2108">
        <v>1086.0999999999999</v>
      </c>
      <c r="FW179" s="2108">
        <v>869.66083468942838</v>
      </c>
      <c r="FX179" s="2108">
        <v>869.66083468942838</v>
      </c>
      <c r="FY179" s="2108">
        <v>100</v>
      </c>
      <c r="FZ179" s="2108">
        <v>105.70001602172852</v>
      </c>
      <c r="GA179" s="2108">
        <v>105.70001602172852</v>
      </c>
      <c r="GB179" s="2108">
        <v>110.14332867262056</v>
      </c>
      <c r="GC179" s="2108">
        <v>110.16666087446515</v>
      </c>
      <c r="GD179" s="2108">
        <v>110.16666087446515</v>
      </c>
      <c r="GE179" s="2108">
        <v>110.16666087446515</v>
      </c>
      <c r="GF179" s="2135">
        <v>110.16666087446515</v>
      </c>
      <c r="GG179" s="1963">
        <v>110.16666087446515</v>
      </c>
      <c r="GH179" s="2135">
        <v>110.16666087446461</v>
      </c>
      <c r="GI179" s="2135">
        <v>112.85418848906001</v>
      </c>
      <c r="GJ179" s="2108">
        <v>112.85418848906001</v>
      </c>
      <c r="GK179" s="2108">
        <v>112.85418848906001</v>
      </c>
      <c r="GL179" s="2108">
        <v>112.85418848906001</v>
      </c>
      <c r="GM179" s="2135">
        <v>112.85418848906001</v>
      </c>
      <c r="GN179" s="2135">
        <v>112.85418848906001</v>
      </c>
      <c r="GO179" s="2136">
        <v>112.85418848906001</v>
      </c>
      <c r="GP179" s="2137">
        <v>112.85418848906001</v>
      </c>
      <c r="GQ179" s="2137">
        <v>112.85418848906001</v>
      </c>
      <c r="GR179" s="2137">
        <v>112.85418848906001</v>
      </c>
      <c r="GS179" s="2137">
        <v>112.85418848906001</v>
      </c>
      <c r="GT179" s="1963">
        <v>117.32444025802393</v>
      </c>
      <c r="GU179" s="1963">
        <v>117.32444025802393</v>
      </c>
      <c r="GV179" s="1963">
        <v>117.32444025802393</v>
      </c>
      <c r="GW179" s="1963">
        <v>117.32444025802393</v>
      </c>
      <c r="GX179" s="1963">
        <v>122.71027393005636</v>
      </c>
      <c r="GY179" s="1963">
        <v>122.71027393005636</v>
      </c>
      <c r="GZ179" s="1963">
        <v>134.81278733198988</v>
      </c>
      <c r="HA179" s="1963">
        <v>134.81278733198988</v>
      </c>
      <c r="HB179" s="1963">
        <v>134.81278733198988</v>
      </c>
      <c r="HC179" s="1963">
        <v>192.10821551971094</v>
      </c>
      <c r="HD179" s="1963">
        <v>192.10821360060658</v>
      </c>
      <c r="HE179" s="1963">
        <v>192.10821360060658</v>
      </c>
      <c r="HF179" s="1963">
        <v>192.10821360060658</v>
      </c>
      <c r="HG179" s="1963">
        <v>192.10821360060658</v>
      </c>
      <c r="HH179" s="2139">
        <v>192.10821360060658</v>
      </c>
      <c r="HI179" s="1963">
        <v>192.10821360060658</v>
      </c>
      <c r="HJ179" s="1963">
        <v>192.10821360060658</v>
      </c>
      <c r="HK179" s="1963">
        <v>192.10821360060658</v>
      </c>
      <c r="HL179" s="1963">
        <v>192.10821360060658</v>
      </c>
      <c r="HM179" s="1963">
        <v>192.10821360060658</v>
      </c>
      <c r="HN179" s="1963">
        <v>192.10821360060658</v>
      </c>
      <c r="HO179" s="1963">
        <v>192.10821360060658</v>
      </c>
      <c r="HP179" s="1960">
        <v>230.52965598123222</v>
      </c>
      <c r="HQ179" s="1960">
        <v>230.52965598123222</v>
      </c>
      <c r="HR179" s="1960">
        <v>230.52965598123222</v>
      </c>
      <c r="HS179" s="1960">
        <v>240.74838323343926</v>
      </c>
      <c r="HT179" s="1962">
        <v>236.30747904202542</v>
      </c>
      <c r="HU179" s="1961">
        <v>236.30747904202542</v>
      </c>
      <c r="HV179" s="1960">
        <v>235.86412194241444</v>
      </c>
      <c r="HW179" s="1960">
        <v>235.86412194241444</v>
      </c>
      <c r="HX179" s="1960">
        <v>235.86412194241444</v>
      </c>
      <c r="HY179" s="1960">
        <v>235.86220329501083</v>
      </c>
      <c r="HZ179" s="1960">
        <v>247.39326540766973</v>
      </c>
      <c r="IA179" s="1960">
        <v>255.2267585369303</v>
      </c>
      <c r="IB179" s="1960">
        <v>270.09534914937996</v>
      </c>
      <c r="IC179" s="1960">
        <v>271.46334584603017</v>
      </c>
      <c r="ID179" s="1960">
        <v>282.83199422080793</v>
      </c>
      <c r="IE179" s="1960">
        <v>304.07961671338956</v>
      </c>
      <c r="IF179" s="1960">
        <v>316.37217705773907</v>
      </c>
      <c r="IG179" s="1961">
        <v>338.28521438308917</v>
      </c>
      <c r="IH179" s="1960">
        <v>357.62410541916097</v>
      </c>
      <c r="II179" s="1960">
        <v>363.03904632027673</v>
      </c>
      <c r="IJ179" s="1961">
        <v>380.36461712078528</v>
      </c>
      <c r="IK179" s="1960">
        <v>411.06484536453627</v>
      </c>
      <c r="IL179" s="1960">
        <v>412.70989290097373</v>
      </c>
      <c r="IM179" s="1960">
        <v>424.61610453282049</v>
      </c>
      <c r="IN179" s="1960">
        <v>437.3973135162363</v>
      </c>
      <c r="IO179" s="1960">
        <v>451.02748860002919</v>
      </c>
      <c r="IP179" s="1960">
        <v>465.30589454102335</v>
      </c>
      <c r="IQ179" s="1960">
        <v>473.33381713953963</v>
      </c>
      <c r="IR179" s="1960">
        <v>484.82131408259932</v>
      </c>
      <c r="IS179" s="2274">
        <v>498.62808183686843</v>
      </c>
      <c r="IT179" s="1960">
        <v>514.76452300886751</v>
      </c>
      <c r="IU179" s="1960">
        <v>534.80155030070273</v>
      </c>
      <c r="IV179" s="1960">
        <v>627.59109707926893</v>
      </c>
      <c r="IW179" s="1960">
        <v>672.43197938115281</v>
      </c>
      <c r="IX179" s="1960">
        <v>712.4854947150759</v>
      </c>
      <c r="IY179" s="1960">
        <v>859.92071384046824</v>
      </c>
      <c r="IZ179" s="1960">
        <v>956.93214770270833</v>
      </c>
      <c r="JA179" s="1960">
        <v>987.00223239441118</v>
      </c>
      <c r="JB179" s="1960">
        <v>1042.9755783989779</v>
      </c>
      <c r="JC179" s="1960">
        <v>1150.3518203011943</v>
      </c>
      <c r="JD179" s="1960">
        <v>1308.8799120405527</v>
      </c>
      <c r="JE179" s="2274">
        <v>1391.0381389614818</v>
      </c>
      <c r="JF179" s="2117">
        <v>1489.9310481573716</v>
      </c>
      <c r="JG179" s="2103">
        <f t="shared" si="14"/>
        <v>1.0710928812273408</v>
      </c>
      <c r="JI179" s="2529"/>
      <c r="JJ179" s="2104"/>
      <c r="JK179" s="2529"/>
    </row>
    <row r="180" spans="2:271">
      <c r="B180" s="2105">
        <v>242</v>
      </c>
      <c r="C180" s="2108" t="s">
        <v>90</v>
      </c>
      <c r="D180" s="2425" t="s">
        <v>1248</v>
      </c>
      <c r="E180" s="2110" t="s">
        <v>91</v>
      </c>
      <c r="F180" s="2106" t="s">
        <v>918</v>
      </c>
      <c r="G180" s="2425" t="s">
        <v>1112</v>
      </c>
      <c r="H180" s="2108" t="s">
        <v>919</v>
      </c>
      <c r="I180" s="2106"/>
      <c r="J180" s="2127"/>
      <c r="K180" s="2425"/>
      <c r="L180" s="2110">
        <v>100</v>
      </c>
      <c r="M180" s="2108"/>
      <c r="N180" s="2108"/>
      <c r="O180" s="2110"/>
      <c r="P180" s="2110"/>
      <c r="Q180" s="2110"/>
      <c r="R180" s="2110"/>
      <c r="S180" s="2110"/>
      <c r="T180" s="2110"/>
      <c r="U180" s="2110"/>
      <c r="V180" s="2110"/>
      <c r="W180" s="2110"/>
      <c r="X180" s="2110"/>
      <c r="Y180" s="2110"/>
      <c r="Z180" s="2110"/>
      <c r="AA180" s="2110"/>
      <c r="AB180" s="2110"/>
      <c r="AC180" s="2110"/>
      <c r="AD180" s="2110"/>
      <c r="AE180" s="2110"/>
      <c r="AF180" s="2110"/>
      <c r="AG180" s="2110"/>
      <c r="AH180" s="2110"/>
      <c r="AI180" s="2110"/>
      <c r="AJ180" s="2110"/>
      <c r="AK180" s="2110">
        <v>190.51</v>
      </c>
      <c r="AL180" s="2110">
        <v>205.18</v>
      </c>
      <c r="AM180" s="2110">
        <v>206.92</v>
      </c>
      <c r="AN180" s="2110">
        <v>206.83</v>
      </c>
      <c r="AO180" s="2110">
        <v>207.17</v>
      </c>
      <c r="AP180" s="2110">
        <v>212.88</v>
      </c>
      <c r="AQ180" s="2110">
        <v>212.81</v>
      </c>
      <c r="AR180" s="2110">
        <v>213.01</v>
      </c>
      <c r="AS180" s="2110">
        <v>217.36</v>
      </c>
      <c r="AT180" s="2110">
        <v>222.44</v>
      </c>
      <c r="AU180" s="2110">
        <v>223.86</v>
      </c>
      <c r="AV180" s="2110">
        <v>247.48</v>
      </c>
      <c r="AW180" s="2111">
        <v>252.44</v>
      </c>
      <c r="AX180" s="2111">
        <v>257.56</v>
      </c>
      <c r="AY180" s="2111">
        <v>265.93</v>
      </c>
      <c r="AZ180" s="2111">
        <v>268.43</v>
      </c>
      <c r="BA180" s="2111">
        <v>282.18</v>
      </c>
      <c r="BB180" s="2111">
        <v>311.52999999999997</v>
      </c>
      <c r="BC180" s="2111">
        <v>314.86</v>
      </c>
      <c r="BD180" s="2112">
        <v>318.67</v>
      </c>
      <c r="BE180" s="2111">
        <v>334.74</v>
      </c>
      <c r="BF180" s="2112">
        <v>336.07</v>
      </c>
      <c r="BG180" s="2112">
        <v>350</v>
      </c>
      <c r="BH180" s="2112">
        <v>356.86</v>
      </c>
      <c r="BI180" s="2108">
        <v>363.86</v>
      </c>
      <c r="BJ180" s="2108">
        <v>386.19</v>
      </c>
      <c r="BK180" s="2108">
        <v>396.11</v>
      </c>
      <c r="BL180" s="2108">
        <v>407.76</v>
      </c>
      <c r="BM180" s="2108">
        <v>450.31</v>
      </c>
      <c r="BN180" s="2108">
        <v>452.44</v>
      </c>
      <c r="BO180" s="2108">
        <v>452.98</v>
      </c>
      <c r="BP180" s="2108">
        <v>452.96</v>
      </c>
      <c r="BQ180" s="2108">
        <v>453.11</v>
      </c>
      <c r="BR180" s="2108">
        <v>454.24</v>
      </c>
      <c r="BS180" s="2108">
        <v>454.05</v>
      </c>
      <c r="BT180" s="2108">
        <v>453.87</v>
      </c>
      <c r="BU180" s="2108">
        <v>454.05</v>
      </c>
      <c r="BV180" s="2108">
        <v>454.22</v>
      </c>
      <c r="BW180" s="2108">
        <v>454.22</v>
      </c>
      <c r="BX180" s="2108">
        <v>455.68</v>
      </c>
      <c r="BY180" s="2108">
        <v>458.82</v>
      </c>
      <c r="BZ180" s="2108">
        <v>458.86</v>
      </c>
      <c r="CA180" s="2108">
        <v>474.53</v>
      </c>
      <c r="CB180" s="2108">
        <v>476.53</v>
      </c>
      <c r="CC180" s="2108">
        <v>483.85</v>
      </c>
      <c r="CD180" s="2108">
        <v>484.04</v>
      </c>
      <c r="CE180" s="2108">
        <v>483.8</v>
      </c>
      <c r="CF180" s="2108">
        <v>485.84</v>
      </c>
      <c r="CG180" s="2108">
        <v>487.43</v>
      </c>
      <c r="CH180" s="2108">
        <v>459.69</v>
      </c>
      <c r="CI180" s="2108">
        <v>472.73</v>
      </c>
      <c r="CJ180" s="2108">
        <v>479.92</v>
      </c>
      <c r="CK180" s="2108">
        <v>489.41</v>
      </c>
      <c r="CL180" s="2108">
        <v>492.42</v>
      </c>
      <c r="CM180" s="2108">
        <v>513.5</v>
      </c>
      <c r="CN180" s="2108">
        <v>517.64</v>
      </c>
      <c r="CO180" s="2108">
        <v>545.17999999999995</v>
      </c>
      <c r="CP180" s="2108">
        <v>543.41</v>
      </c>
      <c r="CQ180" s="2108">
        <v>544.04999999999995</v>
      </c>
      <c r="CR180" s="2110">
        <v>545.48</v>
      </c>
      <c r="CS180" s="2110">
        <v>545.16999999999996</v>
      </c>
      <c r="CT180" s="2110">
        <v>545.95000000000005</v>
      </c>
      <c r="CU180" s="2110">
        <v>546.95000000000005</v>
      </c>
      <c r="CV180" s="2110">
        <v>548.22</v>
      </c>
      <c r="CW180" s="2110">
        <v>538.58000000000004</v>
      </c>
      <c r="CX180" s="2110">
        <v>539.02</v>
      </c>
      <c r="CY180" s="2110">
        <v>539.34</v>
      </c>
      <c r="CZ180" s="2110">
        <v>539.55999999999995</v>
      </c>
      <c r="DA180" s="2110">
        <v>567.07000000000005</v>
      </c>
      <c r="DB180" s="2110">
        <v>566.80999999999995</v>
      </c>
      <c r="DC180" s="2110">
        <v>566.66999999999996</v>
      </c>
      <c r="DD180" s="2110">
        <v>566.66999999999996</v>
      </c>
      <c r="DE180" s="2108">
        <v>566.55999999999995</v>
      </c>
      <c r="DF180" s="2108">
        <v>567.12</v>
      </c>
      <c r="DG180" s="2108">
        <v>567.12</v>
      </c>
      <c r="DH180" s="2108">
        <v>566.65</v>
      </c>
      <c r="DI180" s="2108">
        <v>570.52</v>
      </c>
      <c r="DJ180" s="2108">
        <v>570.52</v>
      </c>
      <c r="DK180" s="2108">
        <v>570.85</v>
      </c>
      <c r="DL180" s="2108">
        <v>570.84</v>
      </c>
      <c r="DM180" s="2108">
        <v>586.6</v>
      </c>
      <c r="DN180" s="2108">
        <v>586.59</v>
      </c>
      <c r="DO180" s="2108">
        <v>617.22</v>
      </c>
      <c r="DP180" s="2108">
        <v>617.29999999999995</v>
      </c>
      <c r="DQ180" s="2108">
        <v>627.69000000000005</v>
      </c>
      <c r="DR180" s="2108">
        <v>628.07000000000005</v>
      </c>
      <c r="DS180" s="2108">
        <v>635.16</v>
      </c>
      <c r="DT180" s="2108">
        <v>640.63</v>
      </c>
      <c r="DU180" s="2108">
        <v>659.3</v>
      </c>
      <c r="DV180" s="2108">
        <v>664.6</v>
      </c>
      <c r="DW180" s="2108">
        <v>676.81</v>
      </c>
      <c r="DX180" s="2108">
        <v>681.84</v>
      </c>
      <c r="DY180" s="2108">
        <v>682.93</v>
      </c>
      <c r="DZ180" s="2108">
        <v>682.93</v>
      </c>
      <c r="EA180" s="2108">
        <v>683.36</v>
      </c>
      <c r="EB180" s="2108">
        <v>683.45</v>
      </c>
      <c r="EC180" s="2108">
        <v>683.7</v>
      </c>
      <c r="ED180" s="2108">
        <v>683.7</v>
      </c>
      <c r="EE180" s="2108">
        <v>698.8</v>
      </c>
      <c r="EF180" s="2108">
        <v>699.11</v>
      </c>
      <c r="EG180" s="2108">
        <v>699.6</v>
      </c>
      <c r="EH180" s="2108">
        <v>700.04</v>
      </c>
      <c r="EI180" s="2108">
        <v>708.73</v>
      </c>
      <c r="EJ180" s="2108">
        <v>723.4</v>
      </c>
      <c r="EK180" s="2108">
        <v>729.43</v>
      </c>
      <c r="EL180" s="2108">
        <v>737.63</v>
      </c>
      <c r="EM180" s="2108">
        <v>752.76</v>
      </c>
      <c r="EN180" s="2108">
        <v>760.53</v>
      </c>
      <c r="EO180" s="2108">
        <v>766.99</v>
      </c>
      <c r="EP180" s="2108">
        <v>822.5</v>
      </c>
      <c r="EQ180" s="2108">
        <v>834.33</v>
      </c>
      <c r="ER180" s="2108">
        <v>839.96</v>
      </c>
      <c r="ES180" s="2108">
        <v>852.12</v>
      </c>
      <c r="ET180" s="2108">
        <v>867.07</v>
      </c>
      <c r="EU180" s="2108">
        <v>879.17</v>
      </c>
      <c r="EV180" s="2108">
        <v>896.09</v>
      </c>
      <c r="EW180" s="2108">
        <v>913.37</v>
      </c>
      <c r="EX180" s="2108">
        <v>923.37</v>
      </c>
      <c r="EY180" s="2108">
        <v>937.79</v>
      </c>
      <c r="EZ180" s="2108">
        <v>970.83</v>
      </c>
      <c r="FA180" s="2108">
        <v>1082.3599999999999</v>
      </c>
      <c r="FB180" s="2108">
        <v>1144.7</v>
      </c>
      <c r="FC180" s="2108">
        <v>1260.96</v>
      </c>
      <c r="FD180" s="2108">
        <v>1285.43</v>
      </c>
      <c r="FE180" s="2108">
        <v>1292.27</v>
      </c>
      <c r="FF180" s="2108">
        <v>1300.03</v>
      </c>
      <c r="FG180" s="2108">
        <v>1300.33</v>
      </c>
      <c r="FH180" s="2108">
        <v>1338.26</v>
      </c>
      <c r="FI180" s="2108">
        <v>1349.35</v>
      </c>
      <c r="FJ180" s="2108">
        <v>1355.8</v>
      </c>
      <c r="FK180" s="2108">
        <v>1358.62</v>
      </c>
      <c r="FL180" s="2108">
        <v>1362.49</v>
      </c>
      <c r="FM180" s="2108">
        <v>1367.58</v>
      </c>
      <c r="FN180" s="2108">
        <v>1376.27</v>
      </c>
      <c r="FO180" s="2108">
        <v>1398.96</v>
      </c>
      <c r="FP180" s="2108">
        <v>1422.55</v>
      </c>
      <c r="FQ180" s="2108">
        <v>1449.71</v>
      </c>
      <c r="FR180" s="2108">
        <v>1463.63</v>
      </c>
      <c r="FS180" s="2108">
        <v>1477.9</v>
      </c>
      <c r="FT180" s="2108">
        <v>1492.11</v>
      </c>
      <c r="FU180" s="2108">
        <v>1509.22</v>
      </c>
      <c r="FV180" s="2108">
        <v>1528.56</v>
      </c>
      <c r="FW180" s="2113">
        <v>1483.986098650927</v>
      </c>
      <c r="FX180" s="2113">
        <v>2241.4369237258379</v>
      </c>
      <c r="FY180" s="2113">
        <v>100</v>
      </c>
      <c r="FZ180" s="2113">
        <v>114.28571939468384</v>
      </c>
      <c r="GA180" s="2113">
        <v>98.17833658147066</v>
      </c>
      <c r="GB180" s="2113">
        <v>89.607888362860862</v>
      </c>
      <c r="GC180" s="2113">
        <v>86.620956258277204</v>
      </c>
      <c r="GD180" s="2113">
        <v>92.594818515199904</v>
      </c>
      <c r="GE180" s="2113">
        <v>92.594818515199904</v>
      </c>
      <c r="GF180" s="2114">
        <v>77.251857087231286</v>
      </c>
      <c r="GG180" s="1960">
        <v>77.251857087231286</v>
      </c>
      <c r="GH180" s="2114">
        <v>75.428713259972625</v>
      </c>
      <c r="GI180" s="2114">
        <v>75.428713259972625</v>
      </c>
      <c r="GJ180" s="2113">
        <v>75.428192338867774</v>
      </c>
      <c r="GK180" s="2113">
        <v>75.428192338867774</v>
      </c>
      <c r="GL180" s="2113">
        <v>80.74513480711343</v>
      </c>
      <c r="GM180" s="2114">
        <v>77.568730345446411</v>
      </c>
      <c r="GN180" s="2114">
        <v>75.148586602253644</v>
      </c>
      <c r="GO180" s="2115">
        <v>78.542381544133292</v>
      </c>
      <c r="GP180" s="2116">
        <v>78.542381544133292</v>
      </c>
      <c r="GQ180" s="2116">
        <v>75.694190659712334</v>
      </c>
      <c r="GR180" s="2116">
        <v>81.784839407572846</v>
      </c>
      <c r="GS180" s="2116">
        <v>81.784839407572846</v>
      </c>
      <c r="GT180" s="1960">
        <v>81.784839407572846</v>
      </c>
      <c r="GU180" s="1960">
        <v>82.064114196051449</v>
      </c>
      <c r="GV180" s="1960">
        <v>83.171028770813919</v>
      </c>
      <c r="GW180" s="1960">
        <v>87.79163376882417</v>
      </c>
      <c r="GX180" s="1960">
        <v>92.951885990737551</v>
      </c>
      <c r="GY180" s="1960">
        <v>96.796776819828622</v>
      </c>
      <c r="GZ180" s="1960">
        <v>96.796776819828622</v>
      </c>
      <c r="HA180" s="1960">
        <v>109.7159136457124</v>
      </c>
      <c r="HB180" s="1960">
        <v>114.05973681735027</v>
      </c>
      <c r="HC180" s="1960">
        <v>114.05960084754835</v>
      </c>
      <c r="HD180" s="1960">
        <v>114.05973681735027</v>
      </c>
      <c r="HE180" s="1960">
        <v>160.08384114715827</v>
      </c>
      <c r="HF180" s="1960">
        <v>168.08803320451619</v>
      </c>
      <c r="HG180" s="1960">
        <v>132.36828492205896</v>
      </c>
      <c r="HH180" s="2117">
        <v>138.68352646589477</v>
      </c>
      <c r="HI180" s="1960">
        <v>138.82651472809104</v>
      </c>
      <c r="HJ180" s="1960">
        <v>145.44987600917892</v>
      </c>
      <c r="HK180" s="1960">
        <v>164.09729601035571</v>
      </c>
      <c r="HL180" s="1960">
        <v>167.82678001059105</v>
      </c>
      <c r="HM180" s="1960">
        <v>171.5562640108264</v>
      </c>
      <c r="HN180" s="1960">
        <v>171.5562640108264</v>
      </c>
      <c r="HO180" s="1960">
        <v>164.09729601035568</v>
      </c>
      <c r="HP180" s="1960">
        <v>223.42827497856692</v>
      </c>
      <c r="HQ180" s="1960">
        <v>216.46958926531414</v>
      </c>
      <c r="HR180" s="1960">
        <v>216.46958926531414</v>
      </c>
      <c r="HS180" s="1960">
        <v>218.00912377644102</v>
      </c>
      <c r="HT180" s="1962">
        <v>211.30115729033966</v>
      </c>
      <c r="HU180" s="1961">
        <v>211.30069076677907</v>
      </c>
      <c r="HV180" s="1960">
        <v>222.42360634904011</v>
      </c>
      <c r="HW180" s="1960">
        <v>222.42360634904011</v>
      </c>
      <c r="HX180" s="1960">
        <v>222.42360634904011</v>
      </c>
      <c r="HY180" s="1960">
        <v>222.42360634904011</v>
      </c>
      <c r="HZ180" s="1960">
        <v>234.95451992943828</v>
      </c>
      <c r="IA180" s="1960">
        <v>241.21997062502473</v>
      </c>
      <c r="IB180" s="1960">
        <v>241.21997062502473</v>
      </c>
      <c r="IC180" s="1960">
        <v>241.21997062502473</v>
      </c>
      <c r="ID180" s="1960">
        <v>252.98679320542266</v>
      </c>
      <c r="IE180" s="1960">
        <v>252.98679320542266</v>
      </c>
      <c r="IF180" s="1960">
        <v>252.98679320542266</v>
      </c>
      <c r="IG180" s="1961">
        <v>252.98679320542266</v>
      </c>
      <c r="IH180" s="1960">
        <v>252.98679320542266</v>
      </c>
      <c r="II180" s="1960">
        <v>252.98679320542266</v>
      </c>
      <c r="IJ180" s="1961">
        <v>252.98679320542266</v>
      </c>
      <c r="IK180" s="1960">
        <v>252.98679320542266</v>
      </c>
      <c r="IL180" s="1960">
        <v>252.98679320542266</v>
      </c>
      <c r="IM180" s="1960">
        <v>252.98679320542266</v>
      </c>
      <c r="IN180" s="1960">
        <v>252.98679320542266</v>
      </c>
      <c r="IO180" s="1960">
        <v>252.98679320542266</v>
      </c>
      <c r="IP180" s="1960">
        <v>252.98679320542266</v>
      </c>
      <c r="IQ180" s="1960">
        <v>252.98679320542266</v>
      </c>
      <c r="IR180" s="1960">
        <v>252.98679320542266</v>
      </c>
      <c r="IS180" s="2274">
        <v>252.98679320542266</v>
      </c>
      <c r="IT180" s="1960">
        <v>252.98679320542266</v>
      </c>
      <c r="IU180" s="1960">
        <v>252.98679320542266</v>
      </c>
      <c r="IV180" s="1960">
        <v>252.98679320542266</v>
      </c>
      <c r="IW180" s="1960">
        <v>252.98679320542266</v>
      </c>
      <c r="IX180" s="1960">
        <v>252.98679320542266</v>
      </c>
      <c r="IY180" s="1960">
        <v>252.98679320542266</v>
      </c>
      <c r="IZ180" s="1960">
        <v>252.98679320542266</v>
      </c>
      <c r="JA180" s="1960">
        <v>252.98679320542266</v>
      </c>
      <c r="JB180" s="1960">
        <v>252.98679320542266</v>
      </c>
      <c r="JC180" s="1960">
        <v>252.98679320542266</v>
      </c>
      <c r="JD180" s="1960">
        <v>252.98679320542266</v>
      </c>
      <c r="JE180" s="2274">
        <v>252.98679320542266</v>
      </c>
      <c r="JF180" s="2117">
        <v>252.98679320542266</v>
      </c>
      <c r="JG180" s="2103">
        <f t="shared" si="14"/>
        <v>1</v>
      </c>
      <c r="JI180" s="2155"/>
      <c r="JJ180" s="2104"/>
    </row>
    <row r="181" spans="2:271" ht="31.5">
      <c r="B181" s="2105">
        <v>243</v>
      </c>
      <c r="C181" s="2108" t="s">
        <v>88</v>
      </c>
      <c r="D181" s="2425" t="s">
        <v>1249</v>
      </c>
      <c r="E181" s="2110" t="s">
        <v>89</v>
      </c>
      <c r="F181" s="2106" t="s">
        <v>918</v>
      </c>
      <c r="G181" s="2425" t="s">
        <v>1112</v>
      </c>
      <c r="H181" s="2108" t="s">
        <v>223</v>
      </c>
      <c r="I181" s="2106"/>
      <c r="J181" s="2127"/>
      <c r="K181" s="2425"/>
      <c r="L181" s="2110">
        <v>100</v>
      </c>
      <c r="M181" s="2110"/>
      <c r="N181" s="2110"/>
      <c r="O181" s="2110"/>
      <c r="P181" s="2110"/>
      <c r="Q181" s="2110"/>
      <c r="R181" s="2110"/>
      <c r="S181" s="2110"/>
      <c r="T181" s="2110"/>
      <c r="U181" s="2110"/>
      <c r="V181" s="2110"/>
      <c r="W181" s="2110"/>
      <c r="X181" s="2110"/>
      <c r="Y181" s="2110"/>
      <c r="Z181" s="2110"/>
      <c r="AA181" s="2110"/>
      <c r="AB181" s="2110"/>
      <c r="AC181" s="2110"/>
      <c r="AD181" s="2110"/>
      <c r="AE181" s="2110"/>
      <c r="AF181" s="2110"/>
      <c r="AG181" s="2110"/>
      <c r="AH181" s="2110"/>
      <c r="AI181" s="2110"/>
      <c r="AJ181" s="2110"/>
      <c r="AK181" s="2110">
        <v>162.30000000000001</v>
      </c>
      <c r="AL181" s="2110">
        <v>162.88999999999999</v>
      </c>
      <c r="AM181" s="2110">
        <v>166.69</v>
      </c>
      <c r="AN181" s="2110">
        <v>168.25</v>
      </c>
      <c r="AO181" s="2110">
        <v>193.34</v>
      </c>
      <c r="AP181" s="2110">
        <v>193.54</v>
      </c>
      <c r="AQ181" s="2110">
        <v>191.87</v>
      </c>
      <c r="AR181" s="2110">
        <v>194.92</v>
      </c>
      <c r="AS181" s="2110">
        <v>167.11</v>
      </c>
      <c r="AT181" s="2110">
        <v>175.53</v>
      </c>
      <c r="AU181" s="2110">
        <v>175.49</v>
      </c>
      <c r="AV181" s="2110">
        <v>183.64</v>
      </c>
      <c r="AW181" s="2111">
        <v>186.5</v>
      </c>
      <c r="AX181" s="2111">
        <v>181.61</v>
      </c>
      <c r="AY181" s="2111">
        <v>181.7</v>
      </c>
      <c r="AZ181" s="2111">
        <v>181.09</v>
      </c>
      <c r="BA181" s="2111">
        <v>180.88</v>
      </c>
      <c r="BB181" s="2111">
        <v>183.22</v>
      </c>
      <c r="BC181" s="2111">
        <v>183.04</v>
      </c>
      <c r="BD181" s="2112">
        <v>183.11</v>
      </c>
      <c r="BE181" s="2111">
        <v>191.73</v>
      </c>
      <c r="BF181" s="2112">
        <v>193.82</v>
      </c>
      <c r="BG181" s="2112">
        <v>194</v>
      </c>
      <c r="BH181" s="2112">
        <v>197.36</v>
      </c>
      <c r="BI181" s="2112">
        <v>185.76</v>
      </c>
      <c r="BJ181" s="2112">
        <v>198.88</v>
      </c>
      <c r="BK181" s="2112">
        <v>199.52</v>
      </c>
      <c r="BL181" s="2112">
        <v>199.61</v>
      </c>
      <c r="BM181" s="2112">
        <v>220.2</v>
      </c>
      <c r="BN181" s="2112">
        <v>216.24</v>
      </c>
      <c r="BO181" s="2112">
        <v>222.49</v>
      </c>
      <c r="BP181" s="2112">
        <v>210.4</v>
      </c>
      <c r="BQ181" s="2112">
        <v>217.67</v>
      </c>
      <c r="BR181" s="2112">
        <v>209.77</v>
      </c>
      <c r="BS181" s="2112">
        <v>206.88</v>
      </c>
      <c r="BT181" s="2112">
        <v>206.73</v>
      </c>
      <c r="BU181" s="2112">
        <v>204.61</v>
      </c>
      <c r="BV181" s="2112">
        <v>256.39999999999998</v>
      </c>
      <c r="BW181" s="2112">
        <v>205.32</v>
      </c>
      <c r="BX181" s="2108">
        <v>215.86</v>
      </c>
      <c r="BY181" s="2108">
        <v>215.72</v>
      </c>
      <c r="BZ181" s="2112">
        <v>212.42</v>
      </c>
      <c r="CA181" s="2112">
        <v>217.75</v>
      </c>
      <c r="CB181" s="2112">
        <v>216.28</v>
      </c>
      <c r="CC181" s="2112">
        <v>215.66</v>
      </c>
      <c r="CD181" s="2112">
        <v>220.51</v>
      </c>
      <c r="CE181" s="2112">
        <v>216.37</v>
      </c>
      <c r="CF181" s="2112">
        <v>216.16</v>
      </c>
      <c r="CG181" s="2112">
        <v>218.97</v>
      </c>
      <c r="CH181" s="2112">
        <v>224.13</v>
      </c>
      <c r="CI181" s="2112">
        <v>237.82</v>
      </c>
      <c r="CJ181" s="2112">
        <v>245.83</v>
      </c>
      <c r="CK181" s="2112">
        <v>250.08</v>
      </c>
      <c r="CL181" s="2112">
        <v>243.18</v>
      </c>
      <c r="CM181" s="2112">
        <v>248.13</v>
      </c>
      <c r="CN181" s="2112">
        <v>245.43</v>
      </c>
      <c r="CO181" s="2112">
        <v>246.05</v>
      </c>
      <c r="CP181" s="2112">
        <v>245.45</v>
      </c>
      <c r="CQ181" s="2112">
        <v>249</v>
      </c>
      <c r="CR181" s="2110">
        <v>248.75</v>
      </c>
      <c r="CS181" s="2110">
        <v>247.66</v>
      </c>
      <c r="CT181" s="2110">
        <v>249.31</v>
      </c>
      <c r="CU181" s="2110">
        <v>263.56</v>
      </c>
      <c r="CV181" s="2110">
        <v>240.13</v>
      </c>
      <c r="CW181" s="2110">
        <v>247.14</v>
      </c>
      <c r="CX181" s="2110">
        <v>246.89</v>
      </c>
      <c r="CY181" s="2110">
        <v>247.86</v>
      </c>
      <c r="CZ181" s="2110">
        <v>254.93</v>
      </c>
      <c r="DA181" s="2110">
        <v>257.8</v>
      </c>
      <c r="DB181" s="2110">
        <v>260.94</v>
      </c>
      <c r="DC181" s="2110">
        <v>259.16000000000003</v>
      </c>
      <c r="DD181" s="2110">
        <v>263.79000000000002</v>
      </c>
      <c r="DE181" s="2108">
        <v>266.99</v>
      </c>
      <c r="DF181" s="2108">
        <v>270.89999999999998</v>
      </c>
      <c r="DG181" s="2108">
        <v>269.04000000000002</v>
      </c>
      <c r="DH181" s="2108">
        <v>272.14</v>
      </c>
      <c r="DI181" s="2108">
        <v>278.05</v>
      </c>
      <c r="DJ181" s="2108">
        <v>280.14</v>
      </c>
      <c r="DK181" s="2108">
        <v>282.16000000000003</v>
      </c>
      <c r="DL181" s="2108">
        <v>285.12</v>
      </c>
      <c r="DM181" s="2108">
        <v>287.41000000000003</v>
      </c>
      <c r="DN181" s="2108">
        <v>289.14</v>
      </c>
      <c r="DO181" s="2108">
        <v>297</v>
      </c>
      <c r="DP181" s="2108">
        <v>297.10000000000002</v>
      </c>
      <c r="DQ181" s="2108">
        <v>302.56</v>
      </c>
      <c r="DR181" s="2108">
        <v>310.44</v>
      </c>
      <c r="DS181" s="2108">
        <v>312.08</v>
      </c>
      <c r="DT181" s="2108">
        <v>319.67</v>
      </c>
      <c r="DU181" s="2108">
        <v>302.04000000000002</v>
      </c>
      <c r="DV181" s="2108">
        <v>318.69</v>
      </c>
      <c r="DW181" s="2108">
        <v>321.29000000000002</v>
      </c>
      <c r="DX181" s="2108">
        <v>321.52999999999997</v>
      </c>
      <c r="DY181" s="2108">
        <v>321.69</v>
      </c>
      <c r="DZ181" s="2108">
        <v>317.74</v>
      </c>
      <c r="EA181" s="2108">
        <v>315.64</v>
      </c>
      <c r="EB181" s="2108">
        <v>315.19</v>
      </c>
      <c r="EC181" s="2108">
        <v>315.45999999999998</v>
      </c>
      <c r="ED181" s="2108">
        <v>317.47000000000003</v>
      </c>
      <c r="EE181" s="2108">
        <v>317.61</v>
      </c>
      <c r="EF181" s="2108">
        <v>324.55</v>
      </c>
      <c r="EG181" s="2108">
        <v>321.74</v>
      </c>
      <c r="EH181" s="2108">
        <v>322.99</v>
      </c>
      <c r="EI181" s="2108">
        <v>325.13</v>
      </c>
      <c r="EJ181" s="2108">
        <v>329.11</v>
      </c>
      <c r="EK181" s="2108">
        <v>353.18</v>
      </c>
      <c r="EL181" s="2108">
        <v>358.56</v>
      </c>
      <c r="EM181" s="2108">
        <v>361.49</v>
      </c>
      <c r="EN181" s="2108">
        <v>370.3</v>
      </c>
      <c r="EO181" s="2108">
        <v>372.56</v>
      </c>
      <c r="EP181" s="2108">
        <v>372.56</v>
      </c>
      <c r="EQ181" s="2108">
        <v>376.37</v>
      </c>
      <c r="ER181" s="2108">
        <v>391.59</v>
      </c>
      <c r="ES181" s="2108">
        <v>395.99</v>
      </c>
      <c r="ET181" s="2108">
        <v>401.76</v>
      </c>
      <c r="EU181" s="2108">
        <v>405.54</v>
      </c>
      <c r="EV181" s="2108">
        <v>409.51</v>
      </c>
      <c r="EW181" s="2108">
        <v>419.62</v>
      </c>
      <c r="EX181" s="2108">
        <v>422.21</v>
      </c>
      <c r="EY181" s="2108">
        <v>427.25</v>
      </c>
      <c r="EZ181" s="2108">
        <v>437.53</v>
      </c>
      <c r="FA181" s="2108">
        <v>456.92</v>
      </c>
      <c r="FB181" s="2108">
        <v>456.92</v>
      </c>
      <c r="FC181" s="2108">
        <v>543.41999999999996</v>
      </c>
      <c r="FD181" s="2108">
        <v>534.37</v>
      </c>
      <c r="FE181" s="2108">
        <v>529.33000000000004</v>
      </c>
      <c r="FF181" s="2108">
        <v>529.78</v>
      </c>
      <c r="FG181" s="2108">
        <v>533.36</v>
      </c>
      <c r="FH181" s="2108">
        <v>541.55999999999995</v>
      </c>
      <c r="FI181" s="2108">
        <v>557.46</v>
      </c>
      <c r="FJ181" s="2108">
        <v>578.28</v>
      </c>
      <c r="FK181" s="2108">
        <v>585.11</v>
      </c>
      <c r="FL181" s="2108">
        <v>590.97</v>
      </c>
      <c r="FM181" s="2108">
        <v>594.32000000000005</v>
      </c>
      <c r="FN181" s="2108">
        <v>596.66999999999996</v>
      </c>
      <c r="FO181" s="2108">
        <v>619.96</v>
      </c>
      <c r="FP181" s="2108">
        <v>621.69000000000005</v>
      </c>
      <c r="FQ181" s="2108">
        <v>625.76</v>
      </c>
      <c r="FR181" s="2108">
        <v>633.77</v>
      </c>
      <c r="FS181" s="2108">
        <v>654.36</v>
      </c>
      <c r="FT181" s="2108">
        <v>653.66</v>
      </c>
      <c r="FU181" s="2108">
        <v>661</v>
      </c>
      <c r="FV181" s="2108">
        <v>665.43</v>
      </c>
      <c r="FW181" s="2113">
        <v>678.60098080182729</v>
      </c>
      <c r="FX181" s="2113">
        <v>857.55243349351895</v>
      </c>
      <c r="FY181" s="2113">
        <v>100</v>
      </c>
      <c r="FZ181" s="2113">
        <v>101.80799961090088</v>
      </c>
      <c r="GA181" s="2113">
        <v>108.72902184893007</v>
      </c>
      <c r="GB181" s="2113">
        <v>108.42941007728108</v>
      </c>
      <c r="GC181" s="2113">
        <v>112.46829382040244</v>
      </c>
      <c r="GD181" s="2113">
        <v>111.88141088827025</v>
      </c>
      <c r="GE181" s="2113">
        <v>112.15050432380589</v>
      </c>
      <c r="GF181" s="2114">
        <v>110.22820779517541</v>
      </c>
      <c r="GG181" s="1960">
        <v>110.22820779517541</v>
      </c>
      <c r="GH181" s="2114">
        <v>110.96909317688777</v>
      </c>
      <c r="GI181" s="2114">
        <v>109.64624511519003</v>
      </c>
      <c r="GJ181" s="2113">
        <v>110.06344053683645</v>
      </c>
      <c r="GK181" s="2113">
        <v>110.17985948356556</v>
      </c>
      <c r="GL181" s="2113">
        <v>110.30426911494044</v>
      </c>
      <c r="GM181" s="2114">
        <v>110.30426911494044</v>
      </c>
      <c r="GN181" s="2114">
        <v>110.30426911494044</v>
      </c>
      <c r="GO181" s="2115">
        <v>110.89987951583537</v>
      </c>
      <c r="GP181" s="2116">
        <v>110.89987951583537</v>
      </c>
      <c r="GQ181" s="2116">
        <v>112.29789936120667</v>
      </c>
      <c r="GR181" s="2116">
        <v>113.57896380948829</v>
      </c>
      <c r="GS181" s="2116">
        <v>113.57896380948829</v>
      </c>
      <c r="GT181" s="1960">
        <v>113.28727875073386</v>
      </c>
      <c r="GU181" s="1960">
        <v>113.99180216604523</v>
      </c>
      <c r="GV181" s="1960">
        <v>113.99180216604523</v>
      </c>
      <c r="GW181" s="1960">
        <v>115.2598214888602</v>
      </c>
      <c r="GX181" s="1960">
        <v>116.46306439726914</v>
      </c>
      <c r="GY181" s="1960">
        <v>116.46306439726914</v>
      </c>
      <c r="GZ181" s="1960">
        <v>125.76655038795828</v>
      </c>
      <c r="HA181" s="1960">
        <v>142.91738774365638</v>
      </c>
      <c r="HB181" s="1960">
        <v>153.9408897825856</v>
      </c>
      <c r="HC181" s="1960">
        <v>116.00990979924207</v>
      </c>
      <c r="HD181" s="1960">
        <v>149.81175599755318</v>
      </c>
      <c r="HE181" s="1960">
        <v>217.75390767597327</v>
      </c>
      <c r="HF181" s="1960">
        <v>219.11485517398171</v>
      </c>
      <c r="HG181" s="1960">
        <v>217.80784846286721</v>
      </c>
      <c r="HH181" s="2117">
        <v>216.18530672097859</v>
      </c>
      <c r="HI181" s="1960">
        <v>217.80597247474924</v>
      </c>
      <c r="HJ181" s="1960">
        <v>220.36285039753977</v>
      </c>
      <c r="HK181" s="1960">
        <v>238.71690855997565</v>
      </c>
      <c r="HL181" s="1960">
        <v>251.60433205975212</v>
      </c>
      <c r="HM181" s="1960">
        <v>249.48424767869585</v>
      </c>
      <c r="HN181" s="1960">
        <v>241.23526499673619</v>
      </c>
      <c r="HO181" s="1960">
        <v>250.16984598493016</v>
      </c>
      <c r="HP181" s="1960">
        <v>271.20464485566197</v>
      </c>
      <c r="HQ181" s="1960">
        <v>311.83853487895391</v>
      </c>
      <c r="HR181" s="1960">
        <v>314.52690268637161</v>
      </c>
      <c r="HS181" s="1960">
        <v>340.34932362063228</v>
      </c>
      <c r="HT181" s="1962">
        <v>336.80838342511453</v>
      </c>
      <c r="HU181" s="1961">
        <v>332.831669576097</v>
      </c>
      <c r="HV181" s="1960">
        <v>336.25624872121989</v>
      </c>
      <c r="HW181" s="1960">
        <v>336.25624872121989</v>
      </c>
      <c r="HX181" s="1960">
        <v>350.81610874422626</v>
      </c>
      <c r="HY181" s="1960">
        <v>383.66662204950359</v>
      </c>
      <c r="HZ181" s="1960">
        <v>391.89379566400231</v>
      </c>
      <c r="IA181" s="1960">
        <v>393.18548218845092</v>
      </c>
      <c r="IB181" s="1960">
        <v>408.85729676306755</v>
      </c>
      <c r="IC181" s="1960">
        <v>413.02834074314796</v>
      </c>
      <c r="ID181" s="1960">
        <v>426.04023357441656</v>
      </c>
      <c r="IE181" s="1960">
        <v>434.96906027694018</v>
      </c>
      <c r="IF181" s="1960">
        <v>444.24997003933339</v>
      </c>
      <c r="IG181" s="1961">
        <v>464.65821927581936</v>
      </c>
      <c r="IH181" s="1960">
        <v>483.2479663117706</v>
      </c>
      <c r="II181" s="1960">
        <v>489.49436071536354</v>
      </c>
      <c r="IJ181" s="1961">
        <v>517.66123349843758</v>
      </c>
      <c r="IK181" s="1960">
        <v>530.58618456504485</v>
      </c>
      <c r="IL181" s="1960">
        <v>552.80189194160221</v>
      </c>
      <c r="IM181" s="1960">
        <v>566.83416835470712</v>
      </c>
      <c r="IN181" s="1960">
        <v>569.87810380383746</v>
      </c>
      <c r="IO181" s="1960">
        <v>591.44086655651518</v>
      </c>
      <c r="IP181" s="1960">
        <v>604.38822116350366</v>
      </c>
      <c r="IQ181" s="1960">
        <v>607.33008083001698</v>
      </c>
      <c r="IR181" s="1960">
        <v>623.88468715656165</v>
      </c>
      <c r="IS181" s="2274">
        <v>633.02014427699964</v>
      </c>
      <c r="IT181" s="1960">
        <v>650.05679125141887</v>
      </c>
      <c r="IU181" s="1960">
        <v>674.59873575257552</v>
      </c>
      <c r="IV181" s="1960">
        <v>760.55562865150512</v>
      </c>
      <c r="IW181" s="1960">
        <v>792.54004446770512</v>
      </c>
      <c r="IX181" s="1960">
        <v>835.66823973613191</v>
      </c>
      <c r="IY181" s="1960">
        <v>963.43943717859565</v>
      </c>
      <c r="IZ181" s="1960">
        <v>1022.9075138712491</v>
      </c>
      <c r="JA181" s="1960">
        <v>1096.878564092174</v>
      </c>
      <c r="JB181" s="1960">
        <v>1153.2264562790929</v>
      </c>
      <c r="JC181" s="1960">
        <v>1230.3526447944205</v>
      </c>
      <c r="JD181" s="1960">
        <v>1317.7153018190504</v>
      </c>
      <c r="JE181" s="2274">
        <v>1392.2468019514517</v>
      </c>
      <c r="JF181" s="2117">
        <v>1459.2235922804289</v>
      </c>
      <c r="JG181" s="2103">
        <f t="shared" si="14"/>
        <v>1.0481069809139434</v>
      </c>
      <c r="JI181" s="2155"/>
      <c r="JJ181" s="2104"/>
    </row>
    <row r="182" spans="2:271" ht="31.5">
      <c r="B182" s="2105">
        <v>301</v>
      </c>
      <c r="C182" s="2128"/>
      <c r="D182" s="2425"/>
      <c r="E182" s="2128" t="s">
        <v>752</v>
      </c>
      <c r="F182" s="2106" t="s">
        <v>918</v>
      </c>
      <c r="G182" s="2425" t="s">
        <v>1113</v>
      </c>
      <c r="H182" s="2106" t="s">
        <v>900</v>
      </c>
      <c r="I182" s="2106"/>
      <c r="J182" s="2359" t="s">
        <v>134</v>
      </c>
      <c r="K182" s="2564" t="s">
        <v>1149</v>
      </c>
      <c r="L182" s="2409">
        <v>100</v>
      </c>
      <c r="M182" s="2409">
        <v>104.81</v>
      </c>
      <c r="N182" s="2409">
        <v>112.82</v>
      </c>
      <c r="O182" s="2409">
        <v>117.8</v>
      </c>
      <c r="P182" s="2409">
        <v>137.61000000000001</v>
      </c>
      <c r="Q182" s="2409">
        <v>148.94999999999999</v>
      </c>
      <c r="R182" s="2409">
        <v>164.43</v>
      </c>
      <c r="S182" s="2409">
        <v>185.43</v>
      </c>
      <c r="T182" s="2409">
        <v>197.21</v>
      </c>
      <c r="U182" s="2409">
        <v>206.31</v>
      </c>
      <c r="V182" s="2409">
        <v>213.31</v>
      </c>
      <c r="W182" s="2409">
        <v>218.68</v>
      </c>
      <c r="X182" s="2409">
        <v>217.97</v>
      </c>
      <c r="Y182" s="2409">
        <v>221.33</v>
      </c>
      <c r="Z182" s="2409">
        <v>221.3</v>
      </c>
      <c r="AA182" s="2409">
        <v>223.19</v>
      </c>
      <c r="AB182" s="2409">
        <v>224.66</v>
      </c>
      <c r="AC182" s="2409">
        <v>226.99</v>
      </c>
      <c r="AD182" s="2409">
        <v>227.58</v>
      </c>
      <c r="AE182" s="2409">
        <v>231.26</v>
      </c>
      <c r="AF182" s="2409">
        <v>231.29</v>
      </c>
      <c r="AG182" s="2409">
        <v>233.7</v>
      </c>
      <c r="AH182" s="2409">
        <v>235.42</v>
      </c>
      <c r="AI182" s="2409">
        <v>238.94</v>
      </c>
      <c r="AJ182" s="2409">
        <v>242.41</v>
      </c>
      <c r="AK182" s="2409">
        <v>247.92</v>
      </c>
      <c r="AL182" s="2409">
        <v>257.77</v>
      </c>
      <c r="AM182" s="2409">
        <v>267.73</v>
      </c>
      <c r="AN182" s="2409">
        <v>270.51</v>
      </c>
      <c r="AO182" s="2409">
        <v>278.10000000000002</v>
      </c>
      <c r="AP182" s="2409">
        <v>282.82</v>
      </c>
      <c r="AQ182" s="2409">
        <v>283.94</v>
      </c>
      <c r="AR182" s="2409">
        <v>285.14999999999998</v>
      </c>
      <c r="AS182" s="2409">
        <v>286.27999999999997</v>
      </c>
      <c r="AT182" s="2409">
        <v>290.95999999999998</v>
      </c>
      <c r="AU182" s="2409">
        <v>292.64999999999998</v>
      </c>
      <c r="AV182" s="2409">
        <v>292.87</v>
      </c>
      <c r="AW182" s="2410">
        <v>296.13</v>
      </c>
      <c r="AX182" s="2410">
        <v>297.95999999999998</v>
      </c>
      <c r="AY182" s="2410">
        <v>303.07</v>
      </c>
      <c r="AZ182" s="2410">
        <v>306.31</v>
      </c>
      <c r="BA182" s="2410">
        <v>306.20999999999998</v>
      </c>
      <c r="BB182" s="2410">
        <v>305.99</v>
      </c>
      <c r="BC182" s="2410">
        <v>305.97000000000003</v>
      </c>
      <c r="BD182" s="2411">
        <v>305.51</v>
      </c>
      <c r="BE182" s="2410">
        <v>306.2</v>
      </c>
      <c r="BF182" s="2411">
        <v>308.66000000000003</v>
      </c>
      <c r="BG182" s="2411">
        <v>317.73</v>
      </c>
      <c r="BH182" s="2411">
        <v>318.62</v>
      </c>
      <c r="BI182" s="2412">
        <v>322.60000000000002</v>
      </c>
      <c r="BJ182" s="2412">
        <v>324.38</v>
      </c>
      <c r="BK182" s="2412">
        <v>323.64999999999998</v>
      </c>
      <c r="BL182" s="2412">
        <v>332.43</v>
      </c>
      <c r="BM182" s="2412">
        <v>338.93</v>
      </c>
      <c r="BN182" s="2412">
        <v>339.55</v>
      </c>
      <c r="BO182" s="2412">
        <v>340.25</v>
      </c>
      <c r="BP182" s="2412">
        <v>342.52</v>
      </c>
      <c r="BQ182" s="2412">
        <v>330.52</v>
      </c>
      <c r="BR182" s="2412">
        <v>348.8</v>
      </c>
      <c r="BS182" s="2412">
        <v>349.65</v>
      </c>
      <c r="BT182" s="2412">
        <v>355.23</v>
      </c>
      <c r="BU182" s="2412">
        <v>366.99</v>
      </c>
      <c r="BV182" s="2412">
        <v>368.07</v>
      </c>
      <c r="BW182" s="2412">
        <v>375.55</v>
      </c>
      <c r="BX182" s="2412">
        <v>377.6</v>
      </c>
      <c r="BY182" s="2412">
        <v>386.87</v>
      </c>
      <c r="BZ182" s="2412">
        <v>392.78</v>
      </c>
      <c r="CA182" s="2412">
        <v>400.8</v>
      </c>
      <c r="CB182" s="2412">
        <v>407.95</v>
      </c>
      <c r="CC182" s="2412">
        <v>411.17</v>
      </c>
      <c r="CD182" s="2412">
        <v>413.09</v>
      </c>
      <c r="CE182" s="2412">
        <v>428.37</v>
      </c>
      <c r="CF182" s="2412">
        <v>447.26</v>
      </c>
      <c r="CG182" s="2412">
        <v>443.92</v>
      </c>
      <c r="CH182" s="2412">
        <v>437.36</v>
      </c>
      <c r="CI182" s="2412">
        <v>441.52</v>
      </c>
      <c r="CJ182" s="2412">
        <v>459.48</v>
      </c>
      <c r="CK182" s="2412">
        <v>469.58</v>
      </c>
      <c r="CL182" s="2412">
        <v>476.84</v>
      </c>
      <c r="CM182" s="2412">
        <v>486.37</v>
      </c>
      <c r="CN182" s="2412">
        <v>486.02</v>
      </c>
      <c r="CO182" s="2412">
        <v>496.39</v>
      </c>
      <c r="CP182" s="2412">
        <v>500.02</v>
      </c>
      <c r="CQ182" s="2412">
        <v>495.73</v>
      </c>
      <c r="CR182" s="2412">
        <v>492.62</v>
      </c>
      <c r="CS182" s="2412">
        <v>499.38</v>
      </c>
      <c r="CT182" s="2412">
        <v>498.56</v>
      </c>
      <c r="CU182" s="2412">
        <v>497.47</v>
      </c>
      <c r="CV182" s="2412">
        <v>498.48</v>
      </c>
      <c r="CW182" s="2412">
        <v>505.08</v>
      </c>
      <c r="CX182" s="2412">
        <v>512.86</v>
      </c>
      <c r="CY182" s="2412">
        <v>516.12</v>
      </c>
      <c r="CZ182" s="2412">
        <v>522.99</v>
      </c>
      <c r="DA182" s="2412">
        <v>525.27</v>
      </c>
      <c r="DB182" s="2412">
        <v>536.69000000000005</v>
      </c>
      <c r="DC182" s="2412">
        <v>538.67999999999995</v>
      </c>
      <c r="DD182" s="2412">
        <v>540.87</v>
      </c>
      <c r="DE182" s="2412">
        <v>549.41</v>
      </c>
      <c r="DF182" s="2412">
        <v>555.22</v>
      </c>
      <c r="DG182" s="2412">
        <v>565.38</v>
      </c>
      <c r="DH182" s="2412">
        <v>569.91999999999996</v>
      </c>
      <c r="DI182" s="2412">
        <v>584.57000000000005</v>
      </c>
      <c r="DJ182" s="2412">
        <v>586.64</v>
      </c>
      <c r="DK182" s="2412">
        <v>588.33000000000004</v>
      </c>
      <c r="DL182" s="2412">
        <v>595.76</v>
      </c>
      <c r="DM182" s="2412">
        <v>597.78</v>
      </c>
      <c r="DN182" s="2412">
        <v>600.13</v>
      </c>
      <c r="DO182" s="2412">
        <v>608.52</v>
      </c>
      <c r="DP182" s="2412">
        <v>620.04</v>
      </c>
      <c r="DQ182" s="2412">
        <v>621.70000000000005</v>
      </c>
      <c r="DR182" s="2412">
        <v>628.07000000000005</v>
      </c>
      <c r="DS182" s="2412">
        <v>631.07000000000005</v>
      </c>
      <c r="DT182" s="2412">
        <v>653.71</v>
      </c>
      <c r="DU182" s="2412">
        <v>659.77</v>
      </c>
      <c r="DV182" s="2412">
        <v>667.14</v>
      </c>
      <c r="DW182" s="2412">
        <v>669.59</v>
      </c>
      <c r="DX182" s="2412">
        <v>684.37</v>
      </c>
      <c r="DY182" s="2412">
        <v>685.92</v>
      </c>
      <c r="DZ182" s="2412">
        <v>687.88</v>
      </c>
      <c r="EA182" s="2412">
        <v>700.51</v>
      </c>
      <c r="EB182" s="2412">
        <v>710.83</v>
      </c>
      <c r="EC182" s="2412">
        <v>715.94</v>
      </c>
      <c r="ED182" s="2412">
        <v>719.25</v>
      </c>
      <c r="EE182" s="2412">
        <v>720.61</v>
      </c>
      <c r="EF182" s="2412">
        <v>727.58</v>
      </c>
      <c r="EG182" s="2412">
        <v>730.85</v>
      </c>
      <c r="EH182" s="2412">
        <v>793.57</v>
      </c>
      <c r="EI182" s="2412">
        <v>800.22</v>
      </c>
      <c r="EJ182" s="2412">
        <v>807.13</v>
      </c>
      <c r="EK182" s="2412">
        <v>809.95</v>
      </c>
      <c r="EL182" s="2412">
        <v>820</v>
      </c>
      <c r="EM182" s="2412">
        <v>829.7</v>
      </c>
      <c r="EN182" s="2412">
        <v>833.81</v>
      </c>
      <c r="EO182" s="2412">
        <v>836.04</v>
      </c>
      <c r="EP182" s="2412">
        <v>842.24</v>
      </c>
      <c r="EQ182" s="2412">
        <v>843.98</v>
      </c>
      <c r="ER182" s="2412">
        <v>847.62</v>
      </c>
      <c r="ES182" s="2412">
        <v>859.17</v>
      </c>
      <c r="ET182" s="2412">
        <v>919.18</v>
      </c>
      <c r="EU182" s="2412">
        <v>925.39</v>
      </c>
      <c r="EV182" s="2412">
        <v>929.29</v>
      </c>
      <c r="EW182" s="2412">
        <v>957.6</v>
      </c>
      <c r="EX182" s="2412">
        <v>968.11</v>
      </c>
      <c r="EY182" s="2412">
        <v>972.14</v>
      </c>
      <c r="EZ182" s="2412">
        <v>994.24</v>
      </c>
      <c r="FA182" s="2412">
        <v>1038.77</v>
      </c>
      <c r="FB182" s="2412">
        <v>1088.74</v>
      </c>
      <c r="FC182" s="2412">
        <v>1135.69</v>
      </c>
      <c r="FD182" s="2412">
        <v>1211.27</v>
      </c>
      <c r="FE182" s="2412">
        <v>1220.04</v>
      </c>
      <c r="FF182" s="2412">
        <v>1243.47</v>
      </c>
      <c r="FG182" s="2412">
        <v>1288.1099999999999</v>
      </c>
      <c r="FH182" s="2412">
        <v>1302.25</v>
      </c>
      <c r="FI182" s="2412">
        <v>1328.23</v>
      </c>
      <c r="FJ182" s="2412">
        <v>1334.03</v>
      </c>
      <c r="FK182" s="2412">
        <v>1351.6</v>
      </c>
      <c r="FL182" s="2412">
        <v>1358.08</v>
      </c>
      <c r="FM182" s="2412">
        <v>1362.39</v>
      </c>
      <c r="FN182" s="2412">
        <v>1366.07</v>
      </c>
      <c r="FO182" s="2412">
        <v>1394.4</v>
      </c>
      <c r="FP182" s="2412">
        <v>1479.91</v>
      </c>
      <c r="FQ182" s="2412">
        <v>1494.56</v>
      </c>
      <c r="FR182" s="2412">
        <v>1506.27</v>
      </c>
      <c r="FS182" s="2412">
        <v>1528.09</v>
      </c>
      <c r="FT182" s="2412">
        <v>1598.16</v>
      </c>
      <c r="FU182" s="2412">
        <v>1611.99</v>
      </c>
      <c r="FV182" s="2412">
        <v>1626.86</v>
      </c>
      <c r="FW182" s="2413" t="e">
        <f>+'ANEXO B'!N367</f>
        <v>#REF!</v>
      </c>
      <c r="FX182" s="2413" t="e">
        <f>+'ANEXO B'!O367</f>
        <v>#REF!</v>
      </c>
      <c r="FY182" s="2413">
        <f>+'ANEXO B'!D387</f>
        <v>100</v>
      </c>
      <c r="FZ182" s="2413">
        <f>+'ANEXO B'!E387</f>
        <v>100.25</v>
      </c>
      <c r="GA182" s="2413">
        <f>+'ANEXO B'!F387</f>
        <v>102</v>
      </c>
      <c r="GB182" s="2413">
        <f>+'ANEXO B'!G387</f>
        <v>104.68</v>
      </c>
      <c r="GC182" s="2413">
        <f>+'ANEXO B'!H387</f>
        <v>105.18</v>
      </c>
      <c r="GD182" s="2413">
        <f>+'ANEXO B'!I387</f>
        <v>105.77</v>
      </c>
      <c r="GE182" s="2413">
        <f>+'ANEXO B'!J387</f>
        <v>108.32</v>
      </c>
      <c r="GF182" s="2413">
        <f>+'ANEXO B'!K387</f>
        <v>108.22</v>
      </c>
      <c r="GG182" s="2413">
        <f>+'ANEXO B'!L387</f>
        <v>110.14</v>
      </c>
      <c r="GH182" s="2413">
        <f>+'ANEXO B'!M387</f>
        <v>112.75</v>
      </c>
      <c r="GI182" s="2413">
        <f>+'ANEXO B'!N387</f>
        <v>113.36</v>
      </c>
      <c r="GJ182" s="2413">
        <f>+'ANEXO B'!O387</f>
        <v>115.07</v>
      </c>
      <c r="GK182" s="2413">
        <f>+'ANEXO B'!D407</f>
        <v>117.07</v>
      </c>
      <c r="GL182" s="2413">
        <f>+'ANEXO B'!E407</f>
        <v>117.32</v>
      </c>
      <c r="GM182" s="2413">
        <f>+'ANEXO B'!F407</f>
        <v>118.01</v>
      </c>
      <c r="GN182" s="2413">
        <f>+'ANEXO B'!G407</f>
        <v>120.29</v>
      </c>
      <c r="GO182" s="2413">
        <f>+'ANEXO B'!H407</f>
        <v>121.33</v>
      </c>
      <c r="GP182" s="2413">
        <f>+'ANEXO B'!I407</f>
        <v>123.11</v>
      </c>
      <c r="GQ182" s="2413">
        <f>+'ANEXO B'!J407</f>
        <v>127.22</v>
      </c>
      <c r="GR182" s="2413">
        <f>+'ANEXO B'!K407</f>
        <v>129.15</v>
      </c>
      <c r="GS182" s="2413">
        <f>+'ANEXO B'!L407</f>
        <v>131.01</v>
      </c>
      <c r="GT182" s="2413">
        <f>+'ANEXO B'!M407</f>
        <v>132.55000000000001</v>
      </c>
      <c r="GU182" s="2413">
        <f>+'ANEXO B'!N407</f>
        <v>134.57</v>
      </c>
      <c r="GV182" s="2413">
        <f>+'ANEXO B'!O407</f>
        <v>136.35</v>
      </c>
      <c r="GW182" s="2415">
        <f>+'ANEXO B'!D427</f>
        <v>140.03</v>
      </c>
      <c r="GX182" s="2415">
        <f>+'ANEXO B'!E427</f>
        <v>145.22</v>
      </c>
      <c r="GY182" s="2415">
        <f>+'ANEXO B'!F427</f>
        <v>148.72999999999999</v>
      </c>
      <c r="GZ182" s="2415">
        <f>+'ANEXO B'!G427</f>
        <v>156.47999999999999</v>
      </c>
      <c r="HA182" s="2415">
        <f>+'ANEXO B'!H427</f>
        <v>167.4</v>
      </c>
      <c r="HB182" s="2415">
        <f>+'ANEXO B'!I427</f>
        <v>176.86</v>
      </c>
      <c r="HC182" s="2415">
        <f>+'ANEXO B'!J427</f>
        <v>185.17</v>
      </c>
      <c r="HD182" s="2415">
        <f>+'ANEXO B'!K427</f>
        <v>194.48</v>
      </c>
      <c r="HE182" s="2415">
        <f>+'ANEXO B'!L427</f>
        <v>219</v>
      </c>
      <c r="HF182" s="2415">
        <f>+'ANEXO B'!M427</f>
        <v>229.03</v>
      </c>
      <c r="HG182" s="2415">
        <f>+'ANEXO B'!N427</f>
        <v>231.31</v>
      </c>
      <c r="HH182" s="2415">
        <f>+'ANEXO B'!O427</f>
        <v>234.8</v>
      </c>
      <c r="HI182" s="2415">
        <f>+'ANEXO B'!D447</f>
        <v>233.98</v>
      </c>
      <c r="HJ182" s="2415">
        <f>+'ANEXO B'!E447</f>
        <v>247.46</v>
      </c>
      <c r="HK182" s="2415">
        <f>+'ANEXO B'!F447</f>
        <v>257.88</v>
      </c>
      <c r="HL182" s="2415">
        <f>+'ANEXO B'!G447</f>
        <v>274.64</v>
      </c>
      <c r="HM182" s="2415">
        <f>+'ANEXO B'!H447</f>
        <v>287.05</v>
      </c>
      <c r="HN182" s="2415">
        <f>+'ANEXO B'!I447</f>
        <v>290.60000000000002</v>
      </c>
      <c r="HO182" s="2415">
        <f>+'ANEXO B'!J447</f>
        <v>294.89</v>
      </c>
      <c r="HP182" s="2415">
        <f>+'ANEXO B'!K447</f>
        <v>341.08</v>
      </c>
      <c r="HQ182" s="2415">
        <f>+'ANEXO B'!L447</f>
        <v>357.22</v>
      </c>
      <c r="HR182" s="2415">
        <f>+'ANEXO B'!M447</f>
        <v>372.4</v>
      </c>
      <c r="HS182" s="2415">
        <f>+'ANEXO B'!N447</f>
        <v>393.85</v>
      </c>
      <c r="HT182" s="2415">
        <f>+'ANEXO B'!O447</f>
        <v>407.99</v>
      </c>
      <c r="HU182" s="2422">
        <f>+'ANEXO B'!D467</f>
        <v>418.74</v>
      </c>
      <c r="HV182" s="2417">
        <f>+'ANEXO B'!E467</f>
        <v>426.93</v>
      </c>
      <c r="HW182" s="2417">
        <f>+'ANEXO B'!F467</f>
        <v>453.64</v>
      </c>
      <c r="HX182" s="2417">
        <f>+'ANEXO B'!G467</f>
        <v>453.64</v>
      </c>
      <c r="HY182" s="2417">
        <f>+'ANEXO B'!H467</f>
        <v>458.93</v>
      </c>
      <c r="HZ182" s="2417">
        <f>+'ANEXO B'!I467</f>
        <v>461.15</v>
      </c>
      <c r="IA182" s="2417">
        <f>+'ANEXO B'!J467</f>
        <v>476.47</v>
      </c>
      <c r="IB182" s="2417">
        <f>+'ANEXO B'!K467</f>
        <v>502.58</v>
      </c>
      <c r="IC182" s="2417">
        <f>+'ANEXO B'!L467</f>
        <v>527.75</v>
      </c>
      <c r="ID182" s="2417">
        <f>+'ANEXO B'!M467</f>
        <v>597.92999999999995</v>
      </c>
      <c r="IE182" s="2417">
        <f>+'ANEXO B'!N467</f>
        <v>648.1</v>
      </c>
      <c r="IF182" s="2419">
        <f>+'ANEXO B'!O467</f>
        <v>666.25</v>
      </c>
      <c r="IG182" s="2422">
        <f>+'ANEXO B'!D487</f>
        <v>676.69</v>
      </c>
      <c r="IH182" s="2417">
        <f>+'ANEXO B'!E487</f>
        <v>712.52</v>
      </c>
      <c r="II182" s="2417">
        <f>+'ANEXO B'!F487</f>
        <v>727.37</v>
      </c>
      <c r="IJ182" s="2417">
        <f>+'ANEXO B'!G487</f>
        <v>745.66</v>
      </c>
      <c r="IK182" s="2417">
        <f>+'ANEXO B'!H487</f>
        <v>767.08</v>
      </c>
      <c r="IL182" s="2417">
        <f>+'ANEXO B'!I487</f>
        <v>788.83</v>
      </c>
      <c r="IM182" s="2417">
        <f>+'ANEXO B'!J487</f>
        <v>808.95</v>
      </c>
      <c r="IN182" s="2417">
        <f>+'ANEXO B'!K487</f>
        <v>824.07</v>
      </c>
      <c r="IO182" s="2417">
        <f>+'ANEXO B'!L487</f>
        <v>840.06</v>
      </c>
      <c r="IP182" s="2417">
        <f>+'ANEXO B'!M487</f>
        <v>862.92</v>
      </c>
      <c r="IQ182" s="2417">
        <f>+'ANEXO B'!N487</f>
        <v>873.98</v>
      </c>
      <c r="IR182" s="2419">
        <f>+'ANEXO B'!O487</f>
        <v>892.02</v>
      </c>
      <c r="IS182" s="2422">
        <f>+'ANEXO B'!D507</f>
        <v>926.69</v>
      </c>
      <c r="IT182" s="2417">
        <f>+'ANEXO B'!E507</f>
        <v>972.47</v>
      </c>
      <c r="IU182" s="2417">
        <f>+'ANEXO B'!F507</f>
        <v>1010.98</v>
      </c>
      <c r="IV182" s="2417">
        <f>+'ANEXO B'!G507</f>
        <v>1065.06</v>
      </c>
      <c r="IW182" s="2417">
        <f>+'ANEXO B'!H507</f>
        <v>1128.06</v>
      </c>
      <c r="IX182" s="2417">
        <f>+'ANEXO B'!I507</f>
        <v>1205.3699999999999</v>
      </c>
      <c r="IY182" s="2417">
        <f>+'ANEXO B'!J507</f>
        <v>1308.31</v>
      </c>
      <c r="IZ182" s="2417">
        <f>+'ANEXO B'!K507</f>
        <v>1440.63</v>
      </c>
      <c r="JA182" s="2417">
        <f>+'ANEXO B'!L507</f>
        <v>1490.81</v>
      </c>
      <c r="JB182" s="2417">
        <f>+'ANEXO B'!M507</f>
        <v>1535</v>
      </c>
      <c r="JC182" s="2417">
        <f>+'ANEXO B'!N507</f>
        <v>1619.99</v>
      </c>
      <c r="JD182" s="2415">
        <f>+'ANEXO B'!O507</f>
        <v>1676.48</v>
      </c>
      <c r="JE182" s="2422">
        <f>+'ANEXO B'!D526</f>
        <v>1748.81</v>
      </c>
      <c r="JF182" s="2418">
        <f>+'ANEXO B'!E526</f>
        <v>1852.73</v>
      </c>
      <c r="JG182" s="2103">
        <f t="shared" si="14"/>
        <v>1.059423264963032</v>
      </c>
      <c r="JI182" s="2155"/>
      <c r="JJ182" s="2104"/>
    </row>
    <row r="183" spans="2:271" ht="31.5">
      <c r="B183" s="2105">
        <v>302</v>
      </c>
      <c r="C183" s="2128"/>
      <c r="D183" s="2425"/>
      <c r="E183" s="2128" t="s">
        <v>753</v>
      </c>
      <c r="F183" s="2106" t="s">
        <v>918</v>
      </c>
      <c r="G183" s="2425" t="s">
        <v>1113</v>
      </c>
      <c r="H183" s="2106" t="s">
        <v>900</v>
      </c>
      <c r="I183" s="2106"/>
      <c r="J183" s="2359" t="s">
        <v>199</v>
      </c>
      <c r="K183" s="2564"/>
      <c r="L183" s="2409">
        <v>100</v>
      </c>
      <c r="M183" s="2409">
        <v>104.21</v>
      </c>
      <c r="N183" s="2409">
        <v>111.83</v>
      </c>
      <c r="O183" s="2409">
        <v>116.04</v>
      </c>
      <c r="P183" s="2409">
        <v>134.22</v>
      </c>
      <c r="Q183" s="2409">
        <v>144.53</v>
      </c>
      <c r="R183" s="2409">
        <v>159.44</v>
      </c>
      <c r="S183" s="2409">
        <v>180.2</v>
      </c>
      <c r="T183" s="2409">
        <v>192.26</v>
      </c>
      <c r="U183" s="2409">
        <v>201.71</v>
      </c>
      <c r="V183" s="2409">
        <v>208.85</v>
      </c>
      <c r="W183" s="2409">
        <v>214.23</v>
      </c>
      <c r="X183" s="2409">
        <v>214.01</v>
      </c>
      <c r="Y183" s="2409">
        <v>217.62</v>
      </c>
      <c r="Z183" s="2409">
        <v>217.6</v>
      </c>
      <c r="AA183" s="2409">
        <v>219.48</v>
      </c>
      <c r="AB183" s="2409">
        <v>220.88</v>
      </c>
      <c r="AC183" s="2409">
        <v>223.55</v>
      </c>
      <c r="AD183" s="2409">
        <v>224.06</v>
      </c>
      <c r="AE183" s="2409">
        <v>228.33</v>
      </c>
      <c r="AF183" s="2409">
        <v>228.29</v>
      </c>
      <c r="AG183" s="2409">
        <v>230.72</v>
      </c>
      <c r="AH183" s="2409">
        <v>232.68</v>
      </c>
      <c r="AI183" s="2409">
        <v>236.17</v>
      </c>
      <c r="AJ183" s="2409">
        <v>239.63</v>
      </c>
      <c r="AK183" s="2409">
        <v>245.67</v>
      </c>
      <c r="AL183" s="2409">
        <v>255.03</v>
      </c>
      <c r="AM183" s="2409">
        <v>264.14</v>
      </c>
      <c r="AN183" s="2409">
        <v>266.73</v>
      </c>
      <c r="AO183" s="2409">
        <v>273.52999999999997</v>
      </c>
      <c r="AP183" s="2409">
        <v>277.99</v>
      </c>
      <c r="AQ183" s="2409">
        <v>278.89</v>
      </c>
      <c r="AR183" s="2409">
        <v>279.92</v>
      </c>
      <c r="AS183" s="2409">
        <v>281.01</v>
      </c>
      <c r="AT183" s="2409">
        <v>284.93</v>
      </c>
      <c r="AU183" s="2409">
        <v>286.45</v>
      </c>
      <c r="AV183" s="2409">
        <v>286.63</v>
      </c>
      <c r="AW183" s="2410">
        <v>290.56</v>
      </c>
      <c r="AX183" s="2410">
        <v>292.25</v>
      </c>
      <c r="AY183" s="2410">
        <v>298.17</v>
      </c>
      <c r="AZ183" s="2410">
        <v>301.97000000000003</v>
      </c>
      <c r="BA183" s="2410">
        <v>301.87</v>
      </c>
      <c r="BB183" s="2410">
        <v>301.69</v>
      </c>
      <c r="BC183" s="2410">
        <v>301.68</v>
      </c>
      <c r="BD183" s="2411">
        <v>301.31</v>
      </c>
      <c r="BE183" s="2410">
        <v>301.89999999999998</v>
      </c>
      <c r="BF183" s="2411">
        <v>304.02</v>
      </c>
      <c r="BG183" s="2411">
        <v>314.69</v>
      </c>
      <c r="BH183" s="2411">
        <v>315.44</v>
      </c>
      <c r="BI183" s="2412">
        <v>319.67</v>
      </c>
      <c r="BJ183" s="2412">
        <v>321.27</v>
      </c>
      <c r="BK183" s="2412">
        <v>320.3</v>
      </c>
      <c r="BL183" s="2412">
        <v>329.56</v>
      </c>
      <c r="BM183" s="2412">
        <v>337.12</v>
      </c>
      <c r="BN183" s="2412">
        <v>337.66</v>
      </c>
      <c r="BO183" s="2412">
        <v>338.51</v>
      </c>
      <c r="BP183" s="2412">
        <v>340.39</v>
      </c>
      <c r="BQ183" s="2412">
        <v>326.08</v>
      </c>
      <c r="BR183" s="2412">
        <v>347.7</v>
      </c>
      <c r="BS183" s="2412">
        <v>348.45</v>
      </c>
      <c r="BT183" s="2412">
        <v>354.03</v>
      </c>
      <c r="BU183" s="2412">
        <v>366.55</v>
      </c>
      <c r="BV183" s="2412">
        <v>367.47</v>
      </c>
      <c r="BW183" s="2412">
        <v>375.15</v>
      </c>
      <c r="BX183" s="2412">
        <v>376.95</v>
      </c>
      <c r="BY183" s="2412">
        <v>387.48</v>
      </c>
      <c r="BZ183" s="2412">
        <v>393.38</v>
      </c>
      <c r="CA183" s="2412">
        <v>402.02</v>
      </c>
      <c r="CB183" s="2412">
        <v>408.8</v>
      </c>
      <c r="CC183" s="2412">
        <v>411.63</v>
      </c>
      <c r="CD183" s="2412">
        <v>413.33</v>
      </c>
      <c r="CE183" s="2412">
        <v>428</v>
      </c>
      <c r="CF183" s="2412">
        <v>449.05</v>
      </c>
      <c r="CG183" s="2412">
        <v>442.75</v>
      </c>
      <c r="CH183" s="2412">
        <v>436.59</v>
      </c>
      <c r="CI183" s="2412">
        <v>440.2</v>
      </c>
      <c r="CJ183" s="2412">
        <v>459.57</v>
      </c>
      <c r="CK183" s="2412">
        <v>469.46</v>
      </c>
      <c r="CL183" s="2412">
        <v>475.16</v>
      </c>
      <c r="CM183" s="2412">
        <v>485.82</v>
      </c>
      <c r="CN183" s="2412">
        <v>484.58</v>
      </c>
      <c r="CO183" s="2412">
        <v>495.74</v>
      </c>
      <c r="CP183" s="2412">
        <v>499.05</v>
      </c>
      <c r="CQ183" s="2412">
        <v>495.08</v>
      </c>
      <c r="CR183" s="2412">
        <v>492.33</v>
      </c>
      <c r="CS183" s="2412">
        <v>499.37</v>
      </c>
      <c r="CT183" s="2412">
        <v>498.68</v>
      </c>
      <c r="CU183" s="2412">
        <v>497.69</v>
      </c>
      <c r="CV183" s="2412">
        <v>499.06</v>
      </c>
      <c r="CW183" s="2412">
        <v>506.93</v>
      </c>
      <c r="CX183" s="2412">
        <v>515.05999999999995</v>
      </c>
      <c r="CY183" s="2412">
        <v>517.91999999999996</v>
      </c>
      <c r="CZ183" s="2412">
        <v>524.64</v>
      </c>
      <c r="DA183" s="2412">
        <v>526.57000000000005</v>
      </c>
      <c r="DB183" s="2412">
        <v>539.04</v>
      </c>
      <c r="DC183" s="2412">
        <v>540.84</v>
      </c>
      <c r="DD183" s="2412">
        <v>542.82000000000005</v>
      </c>
      <c r="DE183" s="2412">
        <v>551.16999999999996</v>
      </c>
      <c r="DF183" s="2412">
        <v>556.57000000000005</v>
      </c>
      <c r="DG183" s="2412">
        <v>568.23</v>
      </c>
      <c r="DH183" s="2412">
        <v>572.29</v>
      </c>
      <c r="DI183" s="2412">
        <v>587.79999999999995</v>
      </c>
      <c r="DJ183" s="2412">
        <v>589.46</v>
      </c>
      <c r="DK183" s="2412">
        <v>591</v>
      </c>
      <c r="DL183" s="2412">
        <v>600.77</v>
      </c>
      <c r="DM183" s="2412">
        <v>602.57000000000005</v>
      </c>
      <c r="DN183" s="2412">
        <v>604.69000000000005</v>
      </c>
      <c r="DO183" s="2412">
        <v>613.16</v>
      </c>
      <c r="DP183" s="2412">
        <v>626.46</v>
      </c>
      <c r="DQ183" s="2412">
        <v>627.91999999999996</v>
      </c>
      <c r="DR183" s="2412">
        <v>634.5</v>
      </c>
      <c r="DS183" s="2412">
        <v>637.38</v>
      </c>
      <c r="DT183" s="2412">
        <v>663.15</v>
      </c>
      <c r="DU183" s="2412">
        <v>669.02</v>
      </c>
      <c r="DV183" s="2412">
        <v>676.19</v>
      </c>
      <c r="DW183" s="2412">
        <v>678.43</v>
      </c>
      <c r="DX183" s="2412">
        <v>694.65</v>
      </c>
      <c r="DY183" s="2412">
        <v>695.98</v>
      </c>
      <c r="DZ183" s="2412">
        <v>697.77</v>
      </c>
      <c r="EA183" s="2412">
        <v>712.47</v>
      </c>
      <c r="EB183" s="2412">
        <v>722.97</v>
      </c>
      <c r="EC183" s="2412">
        <v>727.87</v>
      </c>
      <c r="ED183" s="2412">
        <v>730.81</v>
      </c>
      <c r="EE183" s="2412">
        <v>732.07</v>
      </c>
      <c r="EF183" s="2412">
        <v>739.28</v>
      </c>
      <c r="EG183" s="2412">
        <v>742.4</v>
      </c>
      <c r="EH183" s="2412">
        <v>814.87</v>
      </c>
      <c r="EI183" s="2412">
        <v>821.28</v>
      </c>
      <c r="EJ183" s="2412">
        <v>828.1</v>
      </c>
      <c r="EK183" s="2412">
        <v>830.45</v>
      </c>
      <c r="EL183" s="2412">
        <v>840.13</v>
      </c>
      <c r="EM183" s="2412">
        <v>849.48</v>
      </c>
      <c r="EN183" s="2412">
        <v>853.18</v>
      </c>
      <c r="EO183" s="2412">
        <v>855.12</v>
      </c>
      <c r="EP183" s="2412">
        <v>860.73</v>
      </c>
      <c r="EQ183" s="2412">
        <v>862.21</v>
      </c>
      <c r="ER183" s="2412">
        <v>865.44</v>
      </c>
      <c r="ES183" s="2412">
        <v>876.61</v>
      </c>
      <c r="ET183" s="2412">
        <v>944.67</v>
      </c>
      <c r="EU183" s="2412">
        <v>950.09</v>
      </c>
      <c r="EV183" s="2412">
        <v>953.48</v>
      </c>
      <c r="EW183" s="2412">
        <v>984.58</v>
      </c>
      <c r="EX183" s="2412">
        <v>994.59</v>
      </c>
      <c r="EY183" s="2412">
        <v>998.36</v>
      </c>
      <c r="EZ183" s="2412">
        <v>1019.21</v>
      </c>
      <c r="FA183" s="2412">
        <v>1060.98</v>
      </c>
      <c r="FB183" s="2412">
        <v>1108.93</v>
      </c>
      <c r="FC183" s="2412">
        <v>1154.04</v>
      </c>
      <c r="FD183" s="2412">
        <v>1238.71</v>
      </c>
      <c r="FE183" s="2412">
        <v>1246.3800000000001</v>
      </c>
      <c r="FF183" s="2412">
        <v>1269.06</v>
      </c>
      <c r="FG183" s="2412">
        <v>1320.4</v>
      </c>
      <c r="FH183" s="2412">
        <v>1333.15</v>
      </c>
      <c r="FI183" s="2412">
        <v>1358.39</v>
      </c>
      <c r="FJ183" s="2412">
        <v>1363.98</v>
      </c>
      <c r="FK183" s="2412">
        <v>1381.89</v>
      </c>
      <c r="FL183" s="2412">
        <v>1388.18</v>
      </c>
      <c r="FM183" s="2412">
        <v>1392.53</v>
      </c>
      <c r="FN183" s="2412">
        <v>1395.78</v>
      </c>
      <c r="FO183" s="2412">
        <v>1423.5</v>
      </c>
      <c r="FP183" s="2412">
        <v>1522.23</v>
      </c>
      <c r="FQ183" s="2412">
        <v>1536.26</v>
      </c>
      <c r="FR183" s="2412">
        <v>1547.97</v>
      </c>
      <c r="FS183" s="2412">
        <v>1567.81</v>
      </c>
      <c r="FT183" s="2412">
        <v>1644.98</v>
      </c>
      <c r="FU183" s="2412">
        <v>1657.56</v>
      </c>
      <c r="FV183" s="2412">
        <v>1671.15</v>
      </c>
      <c r="FW183" s="2413" t="e">
        <f>+'ANEXO B'!N368</f>
        <v>#REF!</v>
      </c>
      <c r="FX183" s="2413" t="e">
        <f>+'ANEXO B'!O368</f>
        <v>#REF!</v>
      </c>
      <c r="FY183" s="2413">
        <f>+'ANEXO B'!D388</f>
        <v>100</v>
      </c>
      <c r="FZ183" s="2413">
        <f>+'ANEXO B'!E388</f>
        <v>100.21</v>
      </c>
      <c r="GA183" s="2413">
        <f>+'ANEXO B'!F388</f>
        <v>101.81</v>
      </c>
      <c r="GB183" s="2413">
        <f>+'ANEXO B'!G388</f>
        <v>105.23</v>
      </c>
      <c r="GC183" s="2413">
        <f>+'ANEXO B'!H388</f>
        <v>105.71</v>
      </c>
      <c r="GD183" s="2413">
        <f>+'ANEXO B'!I388</f>
        <v>106.23</v>
      </c>
      <c r="GE183" s="2413">
        <f>+'ANEXO B'!J388</f>
        <v>108.64</v>
      </c>
      <c r="GF183" s="2413">
        <f>+'ANEXO B'!K388</f>
        <v>108.54</v>
      </c>
      <c r="GG183" s="2413">
        <f>+'ANEXO B'!L388</f>
        <v>110.46</v>
      </c>
      <c r="GH183" s="2413">
        <f>+'ANEXO B'!M388</f>
        <v>113.36</v>
      </c>
      <c r="GI183" s="2413">
        <f>+'ANEXO B'!N388</f>
        <v>113.89</v>
      </c>
      <c r="GJ183" s="2413">
        <f>+'ANEXO B'!O388</f>
        <v>115.43</v>
      </c>
      <c r="GK183" s="2413">
        <f>+'ANEXO B'!D408</f>
        <v>117.5</v>
      </c>
      <c r="GL183" s="2413">
        <f>+'ANEXO B'!E408</f>
        <v>117.73</v>
      </c>
      <c r="GM183" s="2413">
        <f>+'ANEXO B'!F408</f>
        <v>118.41</v>
      </c>
      <c r="GN183" s="2413">
        <f>+'ANEXO B'!G408</f>
        <v>121.16</v>
      </c>
      <c r="GO183" s="2413">
        <f>+'ANEXO B'!H408</f>
        <v>122.09</v>
      </c>
      <c r="GP183" s="2413">
        <f>+'ANEXO B'!I408</f>
        <v>123.87</v>
      </c>
      <c r="GQ183" s="2413">
        <f>+'ANEXO B'!J408</f>
        <v>128.28</v>
      </c>
      <c r="GR183" s="2413">
        <f>+'ANEXO B'!K408</f>
        <v>130.08000000000001</v>
      </c>
      <c r="GS183" s="2413">
        <f>+'ANEXO B'!L408</f>
        <v>131.82</v>
      </c>
      <c r="GT183" s="2413">
        <f>+'ANEXO B'!M408</f>
        <v>133.28</v>
      </c>
      <c r="GU183" s="2413">
        <f>+'ANEXO B'!N408</f>
        <v>135.28</v>
      </c>
      <c r="GV183" s="2413">
        <f>+'ANEXO B'!O408</f>
        <v>137.01</v>
      </c>
      <c r="GW183" s="2415">
        <f>+'ANEXO B'!D428</f>
        <v>140.49</v>
      </c>
      <c r="GX183" s="2415">
        <f>+'ANEXO B'!E428</f>
        <v>145.59</v>
      </c>
      <c r="GY183" s="2415">
        <f>+'ANEXO B'!F428</f>
        <v>149.05000000000001</v>
      </c>
      <c r="GZ183" s="2415">
        <f>+'ANEXO B'!G428</f>
        <v>157.05000000000001</v>
      </c>
      <c r="HA183" s="2415">
        <f>+'ANEXO B'!H428</f>
        <v>167.17</v>
      </c>
      <c r="HB183" s="2415">
        <f>+'ANEXO B'!I428</f>
        <v>176.26</v>
      </c>
      <c r="HC183" s="2415">
        <f>+'ANEXO B'!J428</f>
        <v>184.39</v>
      </c>
      <c r="HD183" s="2415">
        <f>+'ANEXO B'!K428</f>
        <v>193.19</v>
      </c>
      <c r="HE183" s="2415">
        <f>+'ANEXO B'!L428</f>
        <v>215.96</v>
      </c>
      <c r="HF183" s="2415">
        <f>+'ANEXO B'!M428</f>
        <v>226.25</v>
      </c>
      <c r="HG183" s="2415">
        <f>+'ANEXO B'!N428</f>
        <v>229.26</v>
      </c>
      <c r="HH183" s="2415">
        <f>+'ANEXO B'!O428</f>
        <v>232.64</v>
      </c>
      <c r="HI183" s="2415">
        <f>+'ANEXO B'!D448</f>
        <v>231.99</v>
      </c>
      <c r="HJ183" s="2415">
        <f>+'ANEXO B'!E448</f>
        <v>245.33</v>
      </c>
      <c r="HK183" s="2415">
        <f>+'ANEXO B'!F448</f>
        <v>255.57</v>
      </c>
      <c r="HL183" s="2415">
        <f>+'ANEXO B'!G448</f>
        <v>272.52999999999997</v>
      </c>
      <c r="HM183" s="2415">
        <f>+'ANEXO B'!H448</f>
        <v>284.75</v>
      </c>
      <c r="HN183" s="2415">
        <f>+'ANEXO B'!I448</f>
        <v>288.47000000000003</v>
      </c>
      <c r="HO183" s="2415">
        <f>+'ANEXO B'!J448</f>
        <v>293.27999999999997</v>
      </c>
      <c r="HP183" s="2415">
        <f>+'ANEXO B'!K448</f>
        <v>336.76</v>
      </c>
      <c r="HQ183" s="2415">
        <f>+'ANEXO B'!L448</f>
        <v>352.38</v>
      </c>
      <c r="HR183" s="2415">
        <f>+'ANEXO B'!M448</f>
        <v>367.84</v>
      </c>
      <c r="HS183" s="2415">
        <f>+'ANEXO B'!N448</f>
        <v>389.79</v>
      </c>
      <c r="HT183" s="2415">
        <f>+'ANEXO B'!O448</f>
        <v>403.48</v>
      </c>
      <c r="HU183" s="2422">
        <f>+'ANEXO B'!D468</f>
        <v>415.22</v>
      </c>
      <c r="HV183" s="2417">
        <f>+'ANEXO B'!E468</f>
        <v>423.47</v>
      </c>
      <c r="HW183" s="2417">
        <f>+'ANEXO B'!F468</f>
        <v>449.98</v>
      </c>
      <c r="HX183" s="2417">
        <f>+'ANEXO B'!G468</f>
        <v>449.98</v>
      </c>
      <c r="HY183" s="2417">
        <f>+'ANEXO B'!H468</f>
        <v>454.66</v>
      </c>
      <c r="HZ183" s="2417">
        <f>+'ANEXO B'!I468</f>
        <v>456.6</v>
      </c>
      <c r="IA183" s="2417">
        <f>+'ANEXO B'!J468</f>
        <v>471.53</v>
      </c>
      <c r="IB183" s="2417">
        <f>+'ANEXO B'!K468</f>
        <v>495.85</v>
      </c>
      <c r="IC183" s="2417">
        <f>+'ANEXO B'!L468</f>
        <v>518.94000000000005</v>
      </c>
      <c r="ID183" s="2417">
        <f>+'ANEXO B'!M468</f>
        <v>584.19000000000005</v>
      </c>
      <c r="IE183" s="2417">
        <f>+'ANEXO B'!N468</f>
        <v>633.95000000000005</v>
      </c>
      <c r="IF183" s="2419">
        <f>+'ANEXO B'!O468</f>
        <v>651.30999999999995</v>
      </c>
      <c r="IG183" s="2422">
        <f>+'ANEXO B'!D488</f>
        <v>661.59</v>
      </c>
      <c r="IH183" s="2417">
        <f>+'ANEXO B'!E488</f>
        <v>696.11</v>
      </c>
      <c r="II183" s="2417">
        <f>+'ANEXO B'!F488</f>
        <v>709.81</v>
      </c>
      <c r="IJ183" s="2417">
        <f>+'ANEXO B'!G488</f>
        <v>729.93</v>
      </c>
      <c r="IK183" s="2417">
        <f>+'ANEXO B'!H488</f>
        <v>749.84</v>
      </c>
      <c r="IL183" s="2417">
        <f>+'ANEXO B'!I488</f>
        <v>770.26</v>
      </c>
      <c r="IM183" s="2417">
        <f>+'ANEXO B'!J488</f>
        <v>791.19</v>
      </c>
      <c r="IN183" s="2417">
        <f>+'ANEXO B'!K488</f>
        <v>805.96</v>
      </c>
      <c r="IO183" s="2417">
        <f>+'ANEXO B'!L488</f>
        <v>822.22</v>
      </c>
      <c r="IP183" s="2417">
        <f>+'ANEXO B'!M488</f>
        <v>845.67</v>
      </c>
      <c r="IQ183" s="2417">
        <f>+'ANEXO B'!N488</f>
        <v>856.41</v>
      </c>
      <c r="IR183" s="2419">
        <f>+'ANEXO B'!O488</f>
        <v>874.53</v>
      </c>
      <c r="IS183" s="2422">
        <f>+'ANEXO B'!D508</f>
        <v>909.46</v>
      </c>
      <c r="IT183" s="2417">
        <f>+'ANEXO B'!E508</f>
        <v>954.34</v>
      </c>
      <c r="IU183" s="2417">
        <f>+'ANEXO B'!F508</f>
        <v>992.49</v>
      </c>
      <c r="IV183" s="2417">
        <f>+'ANEXO B'!G508</f>
        <v>1043.8499999999999</v>
      </c>
      <c r="IW183" s="2417">
        <f>+'ANEXO B'!H508</f>
        <v>1106.4100000000001</v>
      </c>
      <c r="IX183" s="2417">
        <f>+'ANEXO B'!I508</f>
        <v>1182.9000000000001</v>
      </c>
      <c r="IY183" s="2417">
        <f>+'ANEXO B'!J508</f>
        <v>1280.04</v>
      </c>
      <c r="IZ183" s="2417">
        <f>+'ANEXO B'!K508</f>
        <v>1405.3</v>
      </c>
      <c r="JA183" s="2417">
        <f>+'ANEXO B'!L508</f>
        <v>1459.8</v>
      </c>
      <c r="JB183" s="2417">
        <f>+'ANEXO B'!M508</f>
        <v>1508.04</v>
      </c>
      <c r="JC183" s="2417">
        <f>+'ANEXO B'!N508</f>
        <v>1594.39</v>
      </c>
      <c r="JD183" s="2415">
        <f>+'ANEXO B'!O508</f>
        <v>1649.04</v>
      </c>
      <c r="JE183" s="2422">
        <f>+'ANEXO B'!D527</f>
        <v>1718.2</v>
      </c>
      <c r="JF183" s="2418">
        <f>+'ANEXO B'!E527</f>
        <v>1824.92</v>
      </c>
      <c r="JG183" s="2103">
        <f t="shared" si="14"/>
        <v>1.0621115120474915</v>
      </c>
      <c r="JI183" s="2155"/>
      <c r="JJ183" s="2104"/>
    </row>
    <row r="184" spans="2:271" ht="31.5">
      <c r="B184" s="2105">
        <v>303</v>
      </c>
      <c r="C184" s="2128"/>
      <c r="D184" s="2425">
        <v>0</v>
      </c>
      <c r="E184" s="2128" t="s">
        <v>365</v>
      </c>
      <c r="F184" s="2106" t="s">
        <v>918</v>
      </c>
      <c r="G184" s="2425" t="s">
        <v>1113</v>
      </c>
      <c r="H184" s="2106" t="s">
        <v>900</v>
      </c>
      <c r="I184" s="2106"/>
      <c r="J184" s="2359" t="s">
        <v>584</v>
      </c>
      <c r="K184" s="2564"/>
      <c r="L184" s="2409">
        <v>100</v>
      </c>
      <c r="M184" s="2409">
        <v>105.21</v>
      </c>
      <c r="N184" s="2409">
        <v>113.28</v>
      </c>
      <c r="O184" s="2409">
        <v>119.91</v>
      </c>
      <c r="P184" s="2409">
        <v>139.71</v>
      </c>
      <c r="Q184" s="2409">
        <v>151.91</v>
      </c>
      <c r="R184" s="2409">
        <v>167.38</v>
      </c>
      <c r="S184" s="2409">
        <v>187.32</v>
      </c>
      <c r="T184" s="2409">
        <v>197.15</v>
      </c>
      <c r="U184" s="2409">
        <v>204.76</v>
      </c>
      <c r="V184" s="2409">
        <v>211.11</v>
      </c>
      <c r="W184" s="2409">
        <v>216.69</v>
      </c>
      <c r="X184" s="2409">
        <v>214.54</v>
      </c>
      <c r="Y184" s="2409">
        <v>216.78</v>
      </c>
      <c r="Z184" s="2409">
        <v>216.66</v>
      </c>
      <c r="AA184" s="2409">
        <v>218.82</v>
      </c>
      <c r="AB184" s="2409">
        <v>219.54</v>
      </c>
      <c r="AC184" s="2409">
        <v>221.79</v>
      </c>
      <c r="AD184" s="2409">
        <v>222.54</v>
      </c>
      <c r="AE184" s="2409">
        <v>226.77</v>
      </c>
      <c r="AF184" s="2409">
        <v>227.32</v>
      </c>
      <c r="AG184" s="2409">
        <v>230.14</v>
      </c>
      <c r="AH184" s="2409">
        <v>232.1</v>
      </c>
      <c r="AI184" s="2409">
        <v>236.02</v>
      </c>
      <c r="AJ184" s="2409">
        <v>240.09</v>
      </c>
      <c r="AK184" s="2409">
        <v>245.82</v>
      </c>
      <c r="AL184" s="2409">
        <v>255.43</v>
      </c>
      <c r="AM184" s="2409">
        <v>263.10000000000002</v>
      </c>
      <c r="AN184" s="2409">
        <v>264.77</v>
      </c>
      <c r="AO184" s="2409">
        <v>273.95999999999998</v>
      </c>
      <c r="AP184" s="2409">
        <v>277.91000000000003</v>
      </c>
      <c r="AQ184" s="2409">
        <v>279.87</v>
      </c>
      <c r="AR184" s="2409">
        <v>281.44</v>
      </c>
      <c r="AS184" s="2409">
        <v>282.52</v>
      </c>
      <c r="AT184" s="2409">
        <v>287.95999999999998</v>
      </c>
      <c r="AU184" s="2409">
        <v>289.49</v>
      </c>
      <c r="AV184" s="2409">
        <v>289.82</v>
      </c>
      <c r="AW184" s="2410">
        <v>294.27999999999997</v>
      </c>
      <c r="AX184" s="2410">
        <v>295.51</v>
      </c>
      <c r="AY184" s="2410">
        <v>302.39</v>
      </c>
      <c r="AZ184" s="2410">
        <v>306.61</v>
      </c>
      <c r="BA184" s="2410">
        <v>306.55</v>
      </c>
      <c r="BB184" s="2410">
        <v>306.2</v>
      </c>
      <c r="BC184" s="2410">
        <v>306.13</v>
      </c>
      <c r="BD184" s="2411">
        <v>305.35000000000002</v>
      </c>
      <c r="BE184" s="2410">
        <v>306.23</v>
      </c>
      <c r="BF184" s="2411">
        <v>309.08999999999997</v>
      </c>
      <c r="BG184" s="2411">
        <v>321.43</v>
      </c>
      <c r="BH184" s="2411">
        <v>322.64</v>
      </c>
      <c r="BI184" s="2412">
        <v>327.52</v>
      </c>
      <c r="BJ184" s="2412">
        <v>329.22</v>
      </c>
      <c r="BK184" s="2412">
        <v>328.71</v>
      </c>
      <c r="BL184" s="2412">
        <v>338.12</v>
      </c>
      <c r="BM184" s="2412">
        <v>346.7</v>
      </c>
      <c r="BN184" s="2412">
        <v>347.37</v>
      </c>
      <c r="BO184" s="2412">
        <v>348.53</v>
      </c>
      <c r="BP184" s="2412">
        <v>351.94</v>
      </c>
      <c r="BQ184" s="2412">
        <v>335.72</v>
      </c>
      <c r="BR184" s="2412">
        <v>360.75</v>
      </c>
      <c r="BS184" s="2412">
        <v>361.61</v>
      </c>
      <c r="BT184" s="2412">
        <v>366.61</v>
      </c>
      <c r="BU184" s="2412">
        <v>380.2</v>
      </c>
      <c r="BV184" s="2412">
        <v>381.47</v>
      </c>
      <c r="BW184" s="2412">
        <v>388.1</v>
      </c>
      <c r="BX184" s="2412">
        <v>390.42</v>
      </c>
      <c r="BY184" s="2412">
        <v>402.37</v>
      </c>
      <c r="BZ184" s="2412">
        <v>407.52</v>
      </c>
      <c r="CA184" s="2412">
        <v>417.61</v>
      </c>
      <c r="CB184" s="2412">
        <v>423.96</v>
      </c>
      <c r="CC184" s="2412">
        <v>427.38</v>
      </c>
      <c r="CD184" s="2412">
        <v>429.21</v>
      </c>
      <c r="CE184" s="2412">
        <v>442.17</v>
      </c>
      <c r="CF184" s="2412">
        <v>465.48</v>
      </c>
      <c r="CG184" s="2412">
        <v>457.23</v>
      </c>
      <c r="CH184" s="2412">
        <v>453.56</v>
      </c>
      <c r="CI184" s="2412">
        <v>458.26</v>
      </c>
      <c r="CJ184" s="2412">
        <v>478.49</v>
      </c>
      <c r="CK184" s="2412">
        <v>489.76</v>
      </c>
      <c r="CL184" s="2412">
        <v>495.54</v>
      </c>
      <c r="CM184" s="2412">
        <v>507.32</v>
      </c>
      <c r="CN184" s="2412">
        <v>507.2</v>
      </c>
      <c r="CO184" s="2412">
        <v>518.55999999999995</v>
      </c>
      <c r="CP184" s="2412">
        <v>523.30999999999995</v>
      </c>
      <c r="CQ184" s="2412">
        <v>520.55999999999995</v>
      </c>
      <c r="CR184" s="2412">
        <v>517.29</v>
      </c>
      <c r="CS184" s="2412">
        <v>522.41999999999996</v>
      </c>
      <c r="CT184" s="2412">
        <v>521.48</v>
      </c>
      <c r="CU184" s="2412">
        <v>520.55999999999995</v>
      </c>
      <c r="CV184" s="2412">
        <v>520.54</v>
      </c>
      <c r="CW184" s="2412">
        <v>529.26</v>
      </c>
      <c r="CX184" s="2412">
        <v>536.86</v>
      </c>
      <c r="CY184" s="2412">
        <v>540.27</v>
      </c>
      <c r="CZ184" s="2412">
        <v>545.71</v>
      </c>
      <c r="DA184" s="2412">
        <v>548.77</v>
      </c>
      <c r="DB184" s="2412">
        <v>562.22</v>
      </c>
      <c r="DC184" s="2412">
        <v>564.84</v>
      </c>
      <c r="DD184" s="2412">
        <v>566.72</v>
      </c>
      <c r="DE184" s="2412">
        <v>574.98</v>
      </c>
      <c r="DF184" s="2412">
        <v>580.49</v>
      </c>
      <c r="DG184" s="2412">
        <v>593.51</v>
      </c>
      <c r="DH184" s="2412">
        <v>597.65</v>
      </c>
      <c r="DI184" s="2412">
        <v>614.24</v>
      </c>
      <c r="DJ184" s="2412">
        <v>617.70000000000005</v>
      </c>
      <c r="DK184" s="2412">
        <v>619.04999999999995</v>
      </c>
      <c r="DL184" s="2412">
        <v>627.89</v>
      </c>
      <c r="DM184" s="2412">
        <v>629.83000000000004</v>
      </c>
      <c r="DN184" s="2412">
        <v>631.9</v>
      </c>
      <c r="DO184" s="2412">
        <v>638.98</v>
      </c>
      <c r="DP184" s="2412">
        <v>654.34</v>
      </c>
      <c r="DQ184" s="2412">
        <v>655.96</v>
      </c>
      <c r="DR184" s="2412">
        <v>661.37</v>
      </c>
      <c r="DS184" s="2412">
        <v>664.46</v>
      </c>
      <c r="DT184" s="2412">
        <v>693.99</v>
      </c>
      <c r="DU184" s="2412">
        <v>699.74</v>
      </c>
      <c r="DV184" s="2412">
        <v>706.74</v>
      </c>
      <c r="DW184" s="2412">
        <v>708.96</v>
      </c>
      <c r="DX184" s="2412">
        <v>728.26</v>
      </c>
      <c r="DY184" s="2412">
        <v>730.05</v>
      </c>
      <c r="DZ184" s="2412">
        <v>731.93</v>
      </c>
      <c r="EA184" s="2412">
        <v>748.32</v>
      </c>
      <c r="EB184" s="2412">
        <v>756.94</v>
      </c>
      <c r="EC184" s="2412">
        <v>761.23</v>
      </c>
      <c r="ED184" s="2412">
        <v>764.3</v>
      </c>
      <c r="EE184" s="2412">
        <v>765.57</v>
      </c>
      <c r="EF184" s="2412">
        <v>771.58</v>
      </c>
      <c r="EG184" s="2412">
        <v>774.6</v>
      </c>
      <c r="EH184" s="2412">
        <v>859.52</v>
      </c>
      <c r="EI184" s="2412">
        <v>866.89</v>
      </c>
      <c r="EJ184" s="2412">
        <v>873.34</v>
      </c>
      <c r="EK184" s="2412">
        <v>877.3</v>
      </c>
      <c r="EL184" s="2412">
        <v>886.21</v>
      </c>
      <c r="EM184" s="2412">
        <v>895.14</v>
      </c>
      <c r="EN184" s="2412">
        <v>898.71</v>
      </c>
      <c r="EO184" s="2412">
        <v>901.23</v>
      </c>
      <c r="EP184" s="2412">
        <v>906.92</v>
      </c>
      <c r="EQ184" s="2412">
        <v>909.17</v>
      </c>
      <c r="ER184" s="2412">
        <v>912.67</v>
      </c>
      <c r="ES184" s="2412">
        <v>923.31</v>
      </c>
      <c r="ET184" s="2412">
        <v>998.76</v>
      </c>
      <c r="EU184" s="2412">
        <v>1005.31</v>
      </c>
      <c r="EV184" s="2412">
        <v>1010.32</v>
      </c>
      <c r="EW184" s="2412">
        <v>1044.6500000000001</v>
      </c>
      <c r="EX184" s="2412">
        <v>1054.2</v>
      </c>
      <c r="EY184" s="2412">
        <v>1058.48</v>
      </c>
      <c r="EZ184" s="2412">
        <v>1079.3599999999999</v>
      </c>
      <c r="FA184" s="2412">
        <v>1118.81</v>
      </c>
      <c r="FB184" s="2412">
        <v>1162.22</v>
      </c>
      <c r="FC184" s="2412">
        <v>1201.8399999999999</v>
      </c>
      <c r="FD184" s="2412">
        <v>1296.26</v>
      </c>
      <c r="FE184" s="2412">
        <v>1305.51</v>
      </c>
      <c r="FF184" s="2412">
        <v>1327.45</v>
      </c>
      <c r="FG184" s="2412">
        <v>1385.29</v>
      </c>
      <c r="FH184" s="2412">
        <v>1397.81</v>
      </c>
      <c r="FI184" s="2412">
        <v>1420.91</v>
      </c>
      <c r="FJ184" s="2412">
        <v>1425.87</v>
      </c>
      <c r="FK184" s="2412">
        <v>1441.62</v>
      </c>
      <c r="FL184" s="2412">
        <v>1447.73</v>
      </c>
      <c r="FM184" s="2412">
        <v>1450.97</v>
      </c>
      <c r="FN184" s="2412">
        <v>1454.99</v>
      </c>
      <c r="FO184" s="2412">
        <v>1478.67</v>
      </c>
      <c r="FP184" s="2412">
        <v>1589.01</v>
      </c>
      <c r="FQ184" s="2412">
        <v>1602.81</v>
      </c>
      <c r="FR184" s="2412">
        <v>1613.76</v>
      </c>
      <c r="FS184" s="2412">
        <v>1632.99</v>
      </c>
      <c r="FT184" s="2412">
        <v>1716.42</v>
      </c>
      <c r="FU184" s="2412">
        <v>1729.72</v>
      </c>
      <c r="FV184" s="2412">
        <v>1743.2</v>
      </c>
      <c r="FW184" s="2413" t="e">
        <f>+'ANEXO B'!N369</f>
        <v>#REF!</v>
      </c>
      <c r="FX184" s="2413" t="e">
        <f>+'ANEXO B'!O369</f>
        <v>#REF!</v>
      </c>
      <c r="FY184" s="2413">
        <f>+'ANEXO B'!D389</f>
        <v>100</v>
      </c>
      <c r="FZ184" s="2413">
        <f>+'ANEXO B'!E389</f>
        <v>100.31</v>
      </c>
      <c r="GA184" s="2413">
        <f>+'ANEXO B'!F389</f>
        <v>102.04</v>
      </c>
      <c r="GB184" s="2413">
        <f>+'ANEXO B'!G389</f>
        <v>105.87</v>
      </c>
      <c r="GC184" s="2413">
        <f>+'ANEXO B'!H389</f>
        <v>106.32</v>
      </c>
      <c r="GD184" s="2413">
        <f>+'ANEXO B'!I389</f>
        <v>106.8</v>
      </c>
      <c r="GE184" s="2413">
        <f>+'ANEXO B'!J389</f>
        <v>109.45</v>
      </c>
      <c r="GF184" s="2413">
        <f>+'ANEXO B'!K389</f>
        <v>109.37</v>
      </c>
      <c r="GG184" s="2413">
        <f>+'ANEXO B'!L389</f>
        <v>111.09</v>
      </c>
      <c r="GH184" s="2413">
        <f>+'ANEXO B'!M389</f>
        <v>114.43</v>
      </c>
      <c r="GI184" s="2413">
        <f>+'ANEXO B'!N389</f>
        <v>115.28</v>
      </c>
      <c r="GJ184" s="2413">
        <f>+'ANEXO B'!O389</f>
        <v>117.23</v>
      </c>
      <c r="GK184" s="2413">
        <f>+'ANEXO B'!D409</f>
        <v>119.66</v>
      </c>
      <c r="GL184" s="2413">
        <f>+'ANEXO B'!E409</f>
        <v>119.89</v>
      </c>
      <c r="GM184" s="2413">
        <f>+'ANEXO B'!F409</f>
        <v>120.4</v>
      </c>
      <c r="GN184" s="2413">
        <f>+'ANEXO B'!G409</f>
        <v>123.66</v>
      </c>
      <c r="GO184" s="2413">
        <f>+'ANEXO B'!H409</f>
        <v>124.77</v>
      </c>
      <c r="GP184" s="2413">
        <f>+'ANEXO B'!I409</f>
        <v>126.44</v>
      </c>
      <c r="GQ184" s="2413">
        <f>+'ANEXO B'!J409</f>
        <v>131.56</v>
      </c>
      <c r="GR184" s="2413">
        <f>+'ANEXO B'!K409</f>
        <v>133.28</v>
      </c>
      <c r="GS184" s="2413">
        <f>+'ANEXO B'!L409</f>
        <v>135.28</v>
      </c>
      <c r="GT184" s="2413">
        <f>+'ANEXO B'!M409</f>
        <v>136.55000000000001</v>
      </c>
      <c r="GU184" s="2413">
        <f>+'ANEXO B'!N409</f>
        <v>138.26</v>
      </c>
      <c r="GV184" s="2413">
        <f>+'ANEXO B'!O409</f>
        <v>140.05000000000001</v>
      </c>
      <c r="GW184" s="2415">
        <f>+'ANEXO B'!D429</f>
        <v>143.71</v>
      </c>
      <c r="GX184" s="2415">
        <f>+'ANEXO B'!E429</f>
        <v>148.68</v>
      </c>
      <c r="GY184" s="2415">
        <f>+'ANEXO B'!F429</f>
        <v>152.21</v>
      </c>
      <c r="GZ184" s="2415">
        <f>+'ANEXO B'!G429</f>
        <v>160.21</v>
      </c>
      <c r="HA184" s="2415">
        <f>+'ANEXO B'!H429</f>
        <v>171.4</v>
      </c>
      <c r="HB184" s="2415">
        <f>+'ANEXO B'!I429</f>
        <v>180.14</v>
      </c>
      <c r="HC184" s="2415">
        <f>+'ANEXO B'!J429</f>
        <v>187.43</v>
      </c>
      <c r="HD184" s="2415">
        <f>+'ANEXO B'!K429</f>
        <v>197.95</v>
      </c>
      <c r="HE184" s="2415">
        <f>+'ANEXO B'!L429</f>
        <v>224.64</v>
      </c>
      <c r="HF184" s="2415">
        <f>+'ANEXO B'!M429</f>
        <v>233.73</v>
      </c>
      <c r="HG184" s="2415">
        <f>+'ANEXO B'!N429</f>
        <v>235.02</v>
      </c>
      <c r="HH184" s="2415">
        <f>+'ANEXO B'!O429</f>
        <v>238.72</v>
      </c>
      <c r="HI184" s="2415">
        <f>+'ANEXO B'!D449</f>
        <v>238.81</v>
      </c>
      <c r="HJ184" s="2415">
        <f>+'ANEXO B'!E449</f>
        <v>250.48</v>
      </c>
      <c r="HK184" s="2415">
        <f>+'ANEXO B'!F449</f>
        <v>262.31</v>
      </c>
      <c r="HL184" s="2415">
        <f>+'ANEXO B'!G449</f>
        <v>279.56</v>
      </c>
      <c r="HM184" s="2415">
        <f>+'ANEXO B'!H449</f>
        <v>291.93</v>
      </c>
      <c r="HN184" s="2415">
        <f>+'ANEXO B'!I449</f>
        <v>294.08999999999997</v>
      </c>
      <c r="HO184" s="2415">
        <f>+'ANEXO B'!J449</f>
        <v>297.91000000000003</v>
      </c>
      <c r="HP184" s="2415">
        <f>+'ANEXO B'!K449</f>
        <v>344.59</v>
      </c>
      <c r="HQ184" s="2415">
        <f>+'ANEXO B'!L449</f>
        <v>358.88</v>
      </c>
      <c r="HR184" s="2415">
        <f>+'ANEXO B'!M449</f>
        <v>375.03</v>
      </c>
      <c r="HS184" s="2415">
        <f>+'ANEXO B'!N449</f>
        <v>395.01</v>
      </c>
      <c r="HT184" s="2415">
        <f>+'ANEXO B'!O449</f>
        <v>407.53</v>
      </c>
      <c r="HU184" s="2422">
        <f>+'ANEXO B'!D469</f>
        <v>419.19</v>
      </c>
      <c r="HV184" s="2417">
        <f>+'ANEXO B'!E469</f>
        <v>427.68</v>
      </c>
      <c r="HW184" s="2417">
        <f>+'ANEXO B'!F469</f>
        <v>449.92</v>
      </c>
      <c r="HX184" s="2417">
        <f>+'ANEXO B'!G469</f>
        <v>449.92</v>
      </c>
      <c r="HY184" s="2417">
        <f>+'ANEXO B'!H469</f>
        <v>455.15</v>
      </c>
      <c r="HZ184" s="2417">
        <f>+'ANEXO B'!I469</f>
        <v>457.37</v>
      </c>
      <c r="IA184" s="2417">
        <f>+'ANEXO B'!J469</f>
        <v>473.8</v>
      </c>
      <c r="IB184" s="2417">
        <f>+'ANEXO B'!K469</f>
        <v>501.6</v>
      </c>
      <c r="IC184" s="2417">
        <f>+'ANEXO B'!L469</f>
        <v>526.4</v>
      </c>
      <c r="ID184" s="2417">
        <f>+'ANEXO B'!M469</f>
        <v>587.98</v>
      </c>
      <c r="IE184" s="2417">
        <f>+'ANEXO B'!N469</f>
        <v>637.51</v>
      </c>
      <c r="IF184" s="2419">
        <f>+'ANEXO B'!O469</f>
        <v>654.16999999999996</v>
      </c>
      <c r="IG184" s="2422">
        <f>+'ANEXO B'!D489</f>
        <v>663.01</v>
      </c>
      <c r="IH184" s="2417">
        <f>+'ANEXO B'!E489</f>
        <v>697.27</v>
      </c>
      <c r="II184" s="2417">
        <f>+'ANEXO B'!F489</f>
        <v>712.23</v>
      </c>
      <c r="IJ184" s="2417">
        <f>+'ANEXO B'!G489</f>
        <v>731.82</v>
      </c>
      <c r="IK184" s="2417">
        <f>+'ANEXO B'!H489</f>
        <v>752.97</v>
      </c>
      <c r="IL184" s="2417">
        <f>+'ANEXO B'!I489</f>
        <v>776.75</v>
      </c>
      <c r="IM184" s="2417">
        <f>+'ANEXO B'!J489</f>
        <v>799.92</v>
      </c>
      <c r="IN184" s="2417">
        <f>+'ANEXO B'!K489</f>
        <v>813.54</v>
      </c>
      <c r="IO184" s="2417">
        <f>+'ANEXO B'!L489</f>
        <v>829.01</v>
      </c>
      <c r="IP184" s="2417">
        <f>+'ANEXO B'!M489</f>
        <v>851.83</v>
      </c>
      <c r="IQ184" s="2417">
        <f>+'ANEXO B'!N489</f>
        <v>860.86</v>
      </c>
      <c r="IR184" s="2419">
        <f>+'ANEXO B'!O489</f>
        <v>876.57</v>
      </c>
      <c r="IS184" s="2422">
        <f>+'ANEXO B'!D509</f>
        <v>908.14</v>
      </c>
      <c r="IT184" s="2417">
        <f>+'ANEXO B'!E509</f>
        <v>950.76</v>
      </c>
      <c r="IU184" s="2417">
        <f>+'ANEXO B'!F509</f>
        <v>990.83</v>
      </c>
      <c r="IV184" s="2417">
        <f>+'ANEXO B'!G509</f>
        <v>1041.8900000000001</v>
      </c>
      <c r="IW184" s="2417">
        <f>+'ANEXO B'!H509</f>
        <v>1107.44</v>
      </c>
      <c r="IX184" s="2417">
        <f>+'ANEXO B'!I509</f>
        <v>1184.69</v>
      </c>
      <c r="IY184" s="2417">
        <f>+'ANEXO B'!J509</f>
        <v>1278.24</v>
      </c>
      <c r="IZ184" s="2417">
        <f>+'ANEXO B'!K509</f>
        <v>1404.22</v>
      </c>
      <c r="JA184" s="2417">
        <f>+'ANEXO B'!L509</f>
        <v>1458.07</v>
      </c>
      <c r="JB184" s="2417">
        <f>+'ANEXO B'!M509</f>
        <v>1507.69</v>
      </c>
      <c r="JC184" s="2417">
        <f>+'ANEXO B'!N509</f>
        <v>1592.41</v>
      </c>
      <c r="JD184" s="2415">
        <f>+'ANEXO B'!O509</f>
        <v>1650.55</v>
      </c>
      <c r="JE184" s="2422">
        <f>+'ANEXO B'!D528</f>
        <v>1721.27</v>
      </c>
      <c r="JF184" s="2418">
        <f>+'ANEXO B'!E528</f>
        <v>1837.44</v>
      </c>
      <c r="JG184" s="2103">
        <f t="shared" si="14"/>
        <v>1.0674908643036829</v>
      </c>
      <c r="JI184" s="2155"/>
      <c r="JJ184" s="2104"/>
    </row>
    <row r="185" spans="2:271" ht="31.5">
      <c r="B185" s="2105">
        <v>304</v>
      </c>
      <c r="C185" s="2128"/>
      <c r="D185" s="2425"/>
      <c r="E185" s="2128" t="s">
        <v>366</v>
      </c>
      <c r="F185" s="2106" t="s">
        <v>918</v>
      </c>
      <c r="G185" s="2425" t="s">
        <v>1113</v>
      </c>
      <c r="H185" s="2106" t="s">
        <v>900</v>
      </c>
      <c r="I185" s="2106"/>
      <c r="J185" s="2359" t="s">
        <v>130</v>
      </c>
      <c r="K185" s="2564"/>
      <c r="L185" s="2409">
        <v>100</v>
      </c>
      <c r="M185" s="2409">
        <v>101.34</v>
      </c>
      <c r="N185" s="2409">
        <v>105.85</v>
      </c>
      <c r="O185" s="2409">
        <v>107.84</v>
      </c>
      <c r="P185" s="2409">
        <v>115.34</v>
      </c>
      <c r="Q185" s="2409">
        <v>120.27</v>
      </c>
      <c r="R185" s="2409">
        <v>129.49</v>
      </c>
      <c r="S185" s="2409">
        <v>145.44999999999999</v>
      </c>
      <c r="T185" s="2409">
        <v>152.94</v>
      </c>
      <c r="U185" s="2409">
        <v>159.80000000000001</v>
      </c>
      <c r="V185" s="2409">
        <v>165.73</v>
      </c>
      <c r="W185" s="2409">
        <v>170.32</v>
      </c>
      <c r="X185" s="2409">
        <v>170.67</v>
      </c>
      <c r="Y185" s="2409">
        <v>178.32</v>
      </c>
      <c r="Z185" s="2409">
        <v>179.65</v>
      </c>
      <c r="AA185" s="2409">
        <v>182.75</v>
      </c>
      <c r="AB185" s="2409">
        <v>182.83</v>
      </c>
      <c r="AC185" s="2409">
        <v>189.22</v>
      </c>
      <c r="AD185" s="2409">
        <v>191.09</v>
      </c>
      <c r="AE185" s="2409">
        <v>199.72</v>
      </c>
      <c r="AF185" s="2409">
        <v>199.29</v>
      </c>
      <c r="AG185" s="2409">
        <v>204.7</v>
      </c>
      <c r="AH185" s="2409">
        <v>209.51</v>
      </c>
      <c r="AI185" s="2409">
        <v>215.13</v>
      </c>
      <c r="AJ185" s="2409">
        <v>220.41</v>
      </c>
      <c r="AK185" s="2409">
        <v>229.73</v>
      </c>
      <c r="AL185" s="2409">
        <v>235.51</v>
      </c>
      <c r="AM185" s="2409">
        <v>235.38</v>
      </c>
      <c r="AN185" s="2409">
        <v>235.36</v>
      </c>
      <c r="AO185" s="2409">
        <v>239.93</v>
      </c>
      <c r="AP185" s="2409">
        <v>240.89</v>
      </c>
      <c r="AQ185" s="2409">
        <v>241.91</v>
      </c>
      <c r="AR185" s="2409">
        <v>242.74</v>
      </c>
      <c r="AS185" s="2409">
        <v>246.18</v>
      </c>
      <c r="AT185" s="2409">
        <v>251.43</v>
      </c>
      <c r="AU185" s="2409">
        <v>251.97</v>
      </c>
      <c r="AV185" s="2409">
        <v>252.09</v>
      </c>
      <c r="AW185" s="2410">
        <v>262.48</v>
      </c>
      <c r="AX185" s="2410">
        <v>263.01</v>
      </c>
      <c r="AY185" s="2410">
        <v>276.94</v>
      </c>
      <c r="AZ185" s="2410">
        <v>285.63</v>
      </c>
      <c r="BA185" s="2410">
        <v>285.64999999999998</v>
      </c>
      <c r="BB185" s="2410">
        <v>285.47000000000003</v>
      </c>
      <c r="BC185" s="2410">
        <v>285.58</v>
      </c>
      <c r="BD185" s="2411">
        <v>285.26</v>
      </c>
      <c r="BE185" s="2410">
        <v>286.19</v>
      </c>
      <c r="BF185" s="2411">
        <v>290.52</v>
      </c>
      <c r="BG185" s="2411">
        <v>316.48</v>
      </c>
      <c r="BH185" s="2411">
        <v>316.66000000000003</v>
      </c>
      <c r="BI185" s="2412">
        <v>324.49</v>
      </c>
      <c r="BJ185" s="2412">
        <v>325.02999999999997</v>
      </c>
      <c r="BK185" s="2412">
        <v>323.74</v>
      </c>
      <c r="BL185" s="2412">
        <v>335.34</v>
      </c>
      <c r="BM185" s="2412">
        <v>353</v>
      </c>
      <c r="BN185" s="2412">
        <v>353.49</v>
      </c>
      <c r="BO185" s="2412">
        <v>356.03</v>
      </c>
      <c r="BP185" s="2412">
        <v>357.28</v>
      </c>
      <c r="BQ185" s="2412">
        <v>322.2</v>
      </c>
      <c r="BR185" s="2412">
        <v>375.25</v>
      </c>
      <c r="BS185" s="2412">
        <v>375.54</v>
      </c>
      <c r="BT185" s="2412">
        <v>378.97</v>
      </c>
      <c r="BU185" s="2412">
        <v>399.49</v>
      </c>
      <c r="BV185" s="2412">
        <v>400.98</v>
      </c>
      <c r="BW185" s="2412">
        <v>406.69</v>
      </c>
      <c r="BX185" s="2412">
        <v>407.36</v>
      </c>
      <c r="BY185" s="2412">
        <v>430.27</v>
      </c>
      <c r="BZ185" s="2412">
        <v>434.37</v>
      </c>
      <c r="CA185" s="2412">
        <v>449.68</v>
      </c>
      <c r="CB185" s="2412">
        <v>454</v>
      </c>
      <c r="CC185" s="2412">
        <v>458.68</v>
      </c>
      <c r="CD185" s="2412">
        <v>459.13</v>
      </c>
      <c r="CE185" s="2412">
        <v>465.07</v>
      </c>
      <c r="CF185" s="2412">
        <v>508.26</v>
      </c>
      <c r="CG185" s="2412">
        <v>474.23</v>
      </c>
      <c r="CH185" s="2412">
        <v>475.62</v>
      </c>
      <c r="CI185" s="2412">
        <v>477.15</v>
      </c>
      <c r="CJ185" s="2412">
        <v>507.39</v>
      </c>
      <c r="CK185" s="2412">
        <v>518.29</v>
      </c>
      <c r="CL185" s="2412">
        <v>514.54</v>
      </c>
      <c r="CM185" s="2412">
        <v>535.35</v>
      </c>
      <c r="CN185" s="2412">
        <v>529.87</v>
      </c>
      <c r="CO185" s="2412">
        <v>544.76</v>
      </c>
      <c r="CP185" s="2412">
        <v>548.59</v>
      </c>
      <c r="CQ185" s="2412">
        <v>549.04999999999995</v>
      </c>
      <c r="CR185" s="2412">
        <v>548.29999999999995</v>
      </c>
      <c r="CS185" s="2412">
        <v>555.14</v>
      </c>
      <c r="CT185" s="2412">
        <v>555.66</v>
      </c>
      <c r="CU185" s="2412">
        <v>555.59</v>
      </c>
      <c r="CV185" s="2412">
        <v>556.79</v>
      </c>
      <c r="CW185" s="2412">
        <v>575.73</v>
      </c>
      <c r="CX185" s="2412">
        <v>586.04999999999995</v>
      </c>
      <c r="CY185" s="2412">
        <v>587.24</v>
      </c>
      <c r="CZ185" s="2412">
        <v>590.08000000000004</v>
      </c>
      <c r="DA185" s="2412">
        <v>591.54</v>
      </c>
      <c r="DB185" s="2412">
        <v>613.89</v>
      </c>
      <c r="DC185" s="2412">
        <v>616.14</v>
      </c>
      <c r="DD185" s="2412">
        <v>616.78</v>
      </c>
      <c r="DE185" s="2412">
        <v>622.28</v>
      </c>
      <c r="DF185" s="2412">
        <v>624.98</v>
      </c>
      <c r="DG185" s="2412">
        <v>650.35</v>
      </c>
      <c r="DH185" s="2412">
        <v>651.66</v>
      </c>
      <c r="DI185" s="2412">
        <v>674.23</v>
      </c>
      <c r="DJ185" s="2412">
        <v>676.73</v>
      </c>
      <c r="DK185" s="2412">
        <v>676.12</v>
      </c>
      <c r="DL185" s="2412">
        <v>702.96</v>
      </c>
      <c r="DM185" s="2412">
        <v>704.44</v>
      </c>
      <c r="DN185" s="2412">
        <v>705.36</v>
      </c>
      <c r="DO185" s="2412">
        <v>712.01</v>
      </c>
      <c r="DP185" s="2412">
        <v>742.4</v>
      </c>
      <c r="DQ185" s="2412">
        <v>744.03</v>
      </c>
      <c r="DR185" s="2412">
        <v>749.39</v>
      </c>
      <c r="DS185" s="2412">
        <v>751.47</v>
      </c>
      <c r="DT185" s="2412">
        <v>808.74</v>
      </c>
      <c r="DU185" s="2412">
        <v>814.17</v>
      </c>
      <c r="DV185" s="2412">
        <v>821.45</v>
      </c>
      <c r="DW185" s="2412">
        <v>822.49</v>
      </c>
      <c r="DX185" s="2412">
        <v>855.59</v>
      </c>
      <c r="DY185" s="2412">
        <v>857.23</v>
      </c>
      <c r="DZ185" s="2412">
        <v>858.64</v>
      </c>
      <c r="EA185" s="2412">
        <v>892.41</v>
      </c>
      <c r="EB185" s="2412">
        <v>899.81</v>
      </c>
      <c r="EC185" s="2412">
        <v>901.77</v>
      </c>
      <c r="ED185" s="2412">
        <v>905.64</v>
      </c>
      <c r="EE185" s="2412">
        <v>906.66</v>
      </c>
      <c r="EF185" s="2412">
        <v>912.17</v>
      </c>
      <c r="EG185" s="2412">
        <v>914.77</v>
      </c>
      <c r="EH185" s="2412">
        <v>1089.8699999999999</v>
      </c>
      <c r="EI185" s="2412">
        <v>1095.33</v>
      </c>
      <c r="EJ185" s="2412">
        <v>1101.0999999999999</v>
      </c>
      <c r="EK185" s="2412">
        <v>1104.3599999999999</v>
      </c>
      <c r="EL185" s="2412">
        <v>1109.57</v>
      </c>
      <c r="EM185" s="2412">
        <v>1120.33</v>
      </c>
      <c r="EN185" s="2412">
        <v>1122.0899999999999</v>
      </c>
      <c r="EO185" s="2412">
        <v>1122.71</v>
      </c>
      <c r="EP185" s="2412">
        <v>1125.2</v>
      </c>
      <c r="EQ185" s="2412">
        <v>1126.6099999999999</v>
      </c>
      <c r="ER185" s="2412">
        <v>1128.08</v>
      </c>
      <c r="ES185" s="2412">
        <v>1135.03</v>
      </c>
      <c r="ET185" s="2412">
        <v>1276.83</v>
      </c>
      <c r="EU185" s="2412">
        <v>1283.52</v>
      </c>
      <c r="EV185" s="2412">
        <v>1286.74</v>
      </c>
      <c r="EW185" s="2412">
        <v>1342.94</v>
      </c>
      <c r="EX185" s="2412">
        <v>1347.06</v>
      </c>
      <c r="EY185" s="2412">
        <v>1347.71</v>
      </c>
      <c r="EZ185" s="2412">
        <v>1357.56</v>
      </c>
      <c r="FA185" s="2412">
        <v>1377.18</v>
      </c>
      <c r="FB185" s="2412">
        <v>1402.88</v>
      </c>
      <c r="FC185" s="2412">
        <v>1418.15</v>
      </c>
      <c r="FD185" s="2412">
        <v>1591.47</v>
      </c>
      <c r="FE185" s="2412">
        <v>1596.89</v>
      </c>
      <c r="FF185" s="2412">
        <v>1617.11</v>
      </c>
      <c r="FG185" s="2412">
        <v>1733.08</v>
      </c>
      <c r="FH185" s="2412">
        <v>1738.5</v>
      </c>
      <c r="FI185" s="2412">
        <v>1752.82</v>
      </c>
      <c r="FJ185" s="2412">
        <v>1760.01</v>
      </c>
      <c r="FK185" s="2412">
        <v>1774.61</v>
      </c>
      <c r="FL185" s="2412">
        <v>1781.48</v>
      </c>
      <c r="FM185" s="2412">
        <v>1785.54</v>
      </c>
      <c r="FN185" s="2412">
        <v>1789.24</v>
      </c>
      <c r="FO185" s="2412">
        <v>1805.9</v>
      </c>
      <c r="FP185" s="2412">
        <v>2025.4</v>
      </c>
      <c r="FQ185" s="2412">
        <v>2038.33</v>
      </c>
      <c r="FR185" s="2412">
        <v>2048.48</v>
      </c>
      <c r="FS185" s="2412">
        <v>2062.11</v>
      </c>
      <c r="FT185" s="2412">
        <v>2205.11</v>
      </c>
      <c r="FU185" s="2412">
        <v>2210.2600000000002</v>
      </c>
      <c r="FV185" s="2412">
        <v>2217.5100000000002</v>
      </c>
      <c r="FW185" s="2413" t="e">
        <f>+'ANEXO B'!N370</f>
        <v>#REF!</v>
      </c>
      <c r="FX185" s="2413" t="e">
        <f>+'ANEXO B'!O370</f>
        <v>#REF!</v>
      </c>
      <c r="FY185" s="2413">
        <f>+'ANEXO B'!D390</f>
        <v>100</v>
      </c>
      <c r="FZ185" s="2413">
        <f>+'ANEXO B'!E390</f>
        <v>100.27</v>
      </c>
      <c r="GA185" s="2413">
        <f>+'ANEXO B'!F390</f>
        <v>101.95</v>
      </c>
      <c r="GB185" s="2413">
        <f>+'ANEXO B'!G390</f>
        <v>112.06</v>
      </c>
      <c r="GC185" s="2413">
        <f>+'ANEXO B'!H390</f>
        <v>112.89</v>
      </c>
      <c r="GD185" s="2413">
        <f>+'ANEXO B'!I390</f>
        <v>112.93</v>
      </c>
      <c r="GE185" s="2413">
        <f>+'ANEXO B'!J390</f>
        <v>114.45</v>
      </c>
      <c r="GF185" s="2413">
        <f>+'ANEXO B'!K390</f>
        <v>114.82</v>
      </c>
      <c r="GG185" s="2413">
        <f>+'ANEXO B'!L390</f>
        <v>116.48</v>
      </c>
      <c r="GH185" s="2413">
        <f>+'ANEXO B'!M390</f>
        <v>122.56</v>
      </c>
      <c r="GI185" s="2413">
        <f>+'ANEXO B'!N390</f>
        <v>123.04</v>
      </c>
      <c r="GJ185" s="2413">
        <f>+'ANEXO B'!O390</f>
        <v>123.79</v>
      </c>
      <c r="GK185" s="2413">
        <f>+'ANEXO B'!D410</f>
        <v>126.82</v>
      </c>
      <c r="GL185" s="2413">
        <f>+'ANEXO B'!E410</f>
        <v>126.88</v>
      </c>
      <c r="GM185" s="2413">
        <f>+'ANEXO B'!F410</f>
        <v>127.27</v>
      </c>
      <c r="GN185" s="2413">
        <f>+'ANEXO B'!G410</f>
        <v>134.47999999999999</v>
      </c>
      <c r="GO185" s="2413">
        <f>+'ANEXO B'!H410</f>
        <v>134.81</v>
      </c>
      <c r="GP185" s="2413">
        <f>+'ANEXO B'!I410</f>
        <v>136.37</v>
      </c>
      <c r="GQ185" s="2413">
        <f>+'ANEXO B'!J410</f>
        <v>144.18</v>
      </c>
      <c r="GR185" s="2413">
        <f>+'ANEXO B'!K410</f>
        <v>144.94</v>
      </c>
      <c r="GS185" s="2413">
        <f>+'ANEXO B'!L410</f>
        <v>146.65</v>
      </c>
      <c r="GT185" s="2413">
        <f>+'ANEXO B'!M410</f>
        <v>147.54</v>
      </c>
      <c r="GU185" s="2413">
        <f>+'ANEXO B'!N410</f>
        <v>148.5</v>
      </c>
      <c r="GV185" s="2413">
        <f>+'ANEXO B'!O410</f>
        <v>149.75</v>
      </c>
      <c r="GW185" s="2415">
        <f>+'ANEXO B'!D430</f>
        <v>151.54</v>
      </c>
      <c r="GX185" s="2415">
        <f>+'ANEXO B'!E430</f>
        <v>155.51</v>
      </c>
      <c r="GY185" s="2415">
        <f>+'ANEXO B'!F430</f>
        <v>158.69999999999999</v>
      </c>
      <c r="GZ185" s="2415">
        <f>+'ANEXO B'!G430</f>
        <v>168.2</v>
      </c>
      <c r="HA185" s="2415">
        <f>+'ANEXO B'!H430</f>
        <v>172.35</v>
      </c>
      <c r="HB185" s="2415">
        <f>+'ANEXO B'!I430</f>
        <v>176.63</v>
      </c>
      <c r="HC185" s="2415">
        <f>+'ANEXO B'!J430</f>
        <v>181.56</v>
      </c>
      <c r="HD185" s="2415">
        <f>+'ANEXO B'!K430</f>
        <v>190.03</v>
      </c>
      <c r="HE185" s="2415">
        <f>+'ANEXO B'!L430</f>
        <v>203.68</v>
      </c>
      <c r="HF185" s="2415">
        <f>+'ANEXO B'!M430</f>
        <v>214.99</v>
      </c>
      <c r="HG185" s="2415">
        <f>+'ANEXO B'!N430</f>
        <v>220.24</v>
      </c>
      <c r="HH185" s="2415">
        <f>+'ANEXO B'!O430</f>
        <v>223.29</v>
      </c>
      <c r="HI185" s="2415">
        <f>+'ANEXO B'!D450</f>
        <v>224.8</v>
      </c>
      <c r="HJ185" s="2415">
        <f>+'ANEXO B'!E450</f>
        <v>234.72</v>
      </c>
      <c r="HK185" s="2415">
        <f>+'ANEXO B'!F450</f>
        <v>245.63</v>
      </c>
      <c r="HL185" s="2415">
        <f>+'ANEXO B'!G450</f>
        <v>266.33</v>
      </c>
      <c r="HM185" s="2415">
        <f>+'ANEXO B'!H450</f>
        <v>277.45999999999998</v>
      </c>
      <c r="HN185" s="2415">
        <f>+'ANEXO B'!I450</f>
        <v>279.76</v>
      </c>
      <c r="HO185" s="2415">
        <f>+'ANEXO B'!J450</f>
        <v>289.33</v>
      </c>
      <c r="HP185" s="2415">
        <f>+'ANEXO B'!K450</f>
        <v>315.33</v>
      </c>
      <c r="HQ185" s="2415">
        <f>+'ANEXO B'!L450</f>
        <v>324.35000000000002</v>
      </c>
      <c r="HR185" s="2415">
        <f>+'ANEXO B'!M450</f>
        <v>341.27</v>
      </c>
      <c r="HS185" s="2415">
        <f>+'ANEXO B'!N450</f>
        <v>364.94</v>
      </c>
      <c r="HT185" s="2415">
        <f>+'ANEXO B'!O450</f>
        <v>372.39</v>
      </c>
      <c r="HU185" s="2422">
        <f>+'ANEXO B'!D470</f>
        <v>392.59</v>
      </c>
      <c r="HV185" s="2417">
        <f>+'ANEXO B'!E470</f>
        <v>401.23</v>
      </c>
      <c r="HW185" s="2417">
        <f>+'ANEXO B'!F470</f>
        <v>414.49</v>
      </c>
      <c r="HX185" s="2417">
        <f>+'ANEXO B'!G470</f>
        <v>414.49</v>
      </c>
      <c r="HY185" s="2417">
        <f>+'ANEXO B'!H470</f>
        <v>418.23</v>
      </c>
      <c r="HZ185" s="2417">
        <f>+'ANEXO B'!I470</f>
        <v>422.12</v>
      </c>
      <c r="IA185" s="2417">
        <f>+'ANEXO B'!J470</f>
        <v>434.12</v>
      </c>
      <c r="IB185" s="2417">
        <f>+'ANEXO B'!K470</f>
        <v>451.44</v>
      </c>
      <c r="IC185" s="2417">
        <f>+'ANEXO B'!L470</f>
        <v>459.58</v>
      </c>
      <c r="ID185" s="2417">
        <f>+'ANEXO B'!M470</f>
        <v>479.21</v>
      </c>
      <c r="IE185" s="2417">
        <f>+'ANEXO B'!N470</f>
        <v>540.33000000000004</v>
      </c>
      <c r="IF185" s="2419">
        <f>+'ANEXO B'!O470</f>
        <v>557.57000000000005</v>
      </c>
      <c r="IG185" s="2422">
        <f>+'ANEXO B'!D490</f>
        <v>562.49</v>
      </c>
      <c r="IH185" s="2417">
        <f>+'ANEXO B'!E490</f>
        <v>589.54999999999995</v>
      </c>
      <c r="II185" s="2417">
        <f>+'ANEXO B'!F490</f>
        <v>609.52</v>
      </c>
      <c r="IJ185" s="2417">
        <f>+'ANEXO B'!G490</f>
        <v>638.39</v>
      </c>
      <c r="IK185" s="2417">
        <f>+'ANEXO B'!H490</f>
        <v>653.88</v>
      </c>
      <c r="IL185" s="2417">
        <f>+'ANEXO B'!I490</f>
        <v>666.33</v>
      </c>
      <c r="IM185" s="2417">
        <f>+'ANEXO B'!J490</f>
        <v>695.73</v>
      </c>
      <c r="IN185" s="2417">
        <f>+'ANEXO B'!K490</f>
        <v>700.26</v>
      </c>
      <c r="IO185" s="2417">
        <f>+'ANEXO B'!L490</f>
        <v>715.84</v>
      </c>
      <c r="IP185" s="2417">
        <f>+'ANEXO B'!M490</f>
        <v>746.12</v>
      </c>
      <c r="IQ185" s="2417">
        <f>+'ANEXO B'!N490</f>
        <v>750.72</v>
      </c>
      <c r="IR185" s="2419">
        <f>+'ANEXO B'!O490</f>
        <v>764.65</v>
      </c>
      <c r="IS185" s="2422">
        <f>+'ANEXO B'!D510</f>
        <v>790.88</v>
      </c>
      <c r="IT185" s="2417">
        <f>+'ANEXO B'!E510</f>
        <v>832.16</v>
      </c>
      <c r="IU185" s="2417">
        <f>+'ANEXO B'!F510</f>
        <v>871.2</v>
      </c>
      <c r="IV185" s="2417">
        <f>+'ANEXO B'!G510</f>
        <v>904.09</v>
      </c>
      <c r="IW185" s="2417">
        <f>+'ANEXO B'!H510</f>
        <v>966.91</v>
      </c>
      <c r="IX185" s="2417">
        <f>+'ANEXO B'!I510</f>
        <v>1042.6199999999999</v>
      </c>
      <c r="IY185" s="2417">
        <f>+'ANEXO B'!J510</f>
        <v>1097.3399999999999</v>
      </c>
      <c r="IZ185" s="2417">
        <f>+'ANEXO B'!K510</f>
        <v>1181.94</v>
      </c>
      <c r="JA185" s="2417">
        <f>+'ANEXO B'!L510</f>
        <v>1262.3</v>
      </c>
      <c r="JB185" s="2417">
        <f>+'ANEXO B'!M510</f>
        <v>1347.43</v>
      </c>
      <c r="JC185" s="2417">
        <f>+'ANEXO B'!N510</f>
        <v>1440.91</v>
      </c>
      <c r="JD185" s="2415">
        <f>+'ANEXO B'!O510</f>
        <v>1485.37</v>
      </c>
      <c r="JE185" s="2422">
        <f>+'ANEXO B'!D529</f>
        <v>1535.38</v>
      </c>
      <c r="JF185" s="2418">
        <f>+'ANEXO B'!E529</f>
        <v>1675.89</v>
      </c>
      <c r="JG185" s="2103">
        <f t="shared" si="14"/>
        <v>1.0915148041527178</v>
      </c>
      <c r="JI185" s="2155"/>
      <c r="JJ185" s="2104"/>
    </row>
    <row r="186" spans="2:271" hidden="1">
      <c r="B186" s="2105"/>
      <c r="C186" s="2128"/>
      <c r="D186" s="2425"/>
      <c r="E186" s="2128"/>
      <c r="F186" s="2106"/>
      <c r="G186" s="2106"/>
      <c r="H186" s="2106"/>
      <c r="I186" s="2106"/>
      <c r="J186" s="2127"/>
      <c r="K186" s="2425"/>
      <c r="L186" s="2110"/>
      <c r="M186" s="2110"/>
      <c r="N186" s="2110"/>
      <c r="O186" s="2110"/>
      <c r="P186" s="2110"/>
      <c r="Q186" s="2110"/>
      <c r="R186" s="2110"/>
      <c r="S186" s="2110"/>
      <c r="T186" s="2110"/>
      <c r="U186" s="2110"/>
      <c r="V186" s="2110"/>
      <c r="W186" s="2110"/>
      <c r="X186" s="2110"/>
      <c r="Y186" s="2110"/>
      <c r="Z186" s="2110"/>
      <c r="AA186" s="2110"/>
      <c r="AB186" s="2110"/>
      <c r="AC186" s="2110"/>
      <c r="AD186" s="2110"/>
      <c r="AE186" s="2110"/>
      <c r="AF186" s="2110"/>
      <c r="AG186" s="2110"/>
      <c r="AH186" s="2110"/>
      <c r="AI186" s="2110"/>
      <c r="AJ186" s="2110"/>
      <c r="AK186" s="2110"/>
      <c r="AL186" s="2110"/>
      <c r="AM186" s="2110"/>
      <c r="AN186" s="2110"/>
      <c r="AO186" s="2110"/>
      <c r="AP186" s="2110"/>
      <c r="AQ186" s="2110"/>
      <c r="AR186" s="2110"/>
      <c r="AS186" s="2110"/>
      <c r="AT186" s="2110"/>
      <c r="AU186" s="2110"/>
      <c r="AV186" s="2110"/>
      <c r="AW186" s="2111"/>
      <c r="AX186" s="2111"/>
      <c r="AY186" s="2111"/>
      <c r="AZ186" s="2111"/>
      <c r="BA186" s="2111"/>
      <c r="BB186" s="2111"/>
      <c r="BC186" s="2111"/>
      <c r="BD186" s="2112"/>
      <c r="BE186" s="2111"/>
      <c r="BF186" s="2112"/>
      <c r="BG186" s="2112"/>
      <c r="BH186" s="2112"/>
      <c r="BI186" s="2108"/>
      <c r="BJ186" s="2108"/>
      <c r="BK186" s="2108"/>
      <c r="BL186" s="2108"/>
      <c r="BM186" s="2108"/>
      <c r="BN186" s="2108"/>
      <c r="BO186" s="2108"/>
      <c r="BP186" s="2108"/>
      <c r="BQ186" s="2108"/>
      <c r="BR186" s="2108"/>
      <c r="BS186" s="2108"/>
      <c r="BT186" s="2108"/>
      <c r="BU186" s="2108"/>
      <c r="BV186" s="2108"/>
      <c r="BW186" s="2108"/>
      <c r="BX186" s="2108"/>
      <c r="BY186" s="2108"/>
      <c r="BZ186" s="2108"/>
      <c r="CA186" s="2108"/>
      <c r="CB186" s="2108"/>
      <c r="CC186" s="2108"/>
      <c r="CD186" s="2108"/>
      <c r="CE186" s="2108"/>
      <c r="CF186" s="2108"/>
      <c r="CG186" s="2108"/>
      <c r="CH186" s="2108"/>
      <c r="CI186" s="2108"/>
      <c r="CJ186" s="2108"/>
      <c r="CK186" s="2108"/>
      <c r="CL186" s="2108"/>
      <c r="CM186" s="2108"/>
      <c r="CN186" s="2108"/>
      <c r="CO186" s="2108"/>
      <c r="CP186" s="2108"/>
      <c r="CQ186" s="2108"/>
      <c r="CR186" s="2108"/>
      <c r="CS186" s="2108"/>
      <c r="CT186" s="2108"/>
      <c r="CU186" s="2108"/>
      <c r="CV186" s="2108"/>
      <c r="CW186" s="2108"/>
      <c r="CX186" s="2108"/>
      <c r="CY186" s="2108"/>
      <c r="CZ186" s="2108"/>
      <c r="DA186" s="2108"/>
      <c r="DB186" s="2108"/>
      <c r="DC186" s="2108"/>
      <c r="DD186" s="2108"/>
      <c r="DE186" s="2108"/>
      <c r="DF186" s="2108"/>
      <c r="DG186" s="2108"/>
      <c r="DH186" s="2108"/>
      <c r="DI186" s="2108"/>
      <c r="DJ186" s="2108"/>
      <c r="DK186" s="2108"/>
      <c r="DL186" s="2108"/>
      <c r="DM186" s="2108"/>
      <c r="DN186" s="2108"/>
      <c r="DO186" s="2108"/>
      <c r="DP186" s="2108"/>
      <c r="DQ186" s="2108"/>
      <c r="DR186" s="2108"/>
      <c r="DS186" s="2108"/>
      <c r="DT186" s="2108"/>
      <c r="DU186" s="2108"/>
      <c r="DV186" s="2108"/>
      <c r="DW186" s="2108"/>
      <c r="DX186" s="2108"/>
      <c r="DY186" s="2108"/>
      <c r="DZ186" s="2108"/>
      <c r="EA186" s="2108"/>
      <c r="EB186" s="2108"/>
      <c r="EC186" s="2108"/>
      <c r="ED186" s="2108"/>
      <c r="EE186" s="2108"/>
      <c r="EF186" s="2108"/>
      <c r="EG186" s="2108"/>
      <c r="EH186" s="2108"/>
      <c r="EI186" s="2108"/>
      <c r="EJ186" s="2108"/>
      <c r="EK186" s="2108"/>
      <c r="EL186" s="2108"/>
      <c r="EM186" s="2108"/>
      <c r="EN186" s="2108"/>
      <c r="EO186" s="2108"/>
      <c r="EP186" s="2108"/>
      <c r="EQ186" s="2108"/>
      <c r="ER186" s="2108"/>
      <c r="ES186" s="2108"/>
      <c r="ET186" s="2108"/>
      <c r="EU186" s="2108"/>
      <c r="EV186" s="2108"/>
      <c r="EW186" s="2108"/>
      <c r="EX186" s="2108"/>
      <c r="EY186" s="2108"/>
      <c r="EZ186" s="2108"/>
      <c r="FA186" s="2108"/>
      <c r="FB186" s="2108"/>
      <c r="FC186" s="2108"/>
      <c r="FD186" s="2108"/>
      <c r="FE186" s="2108"/>
      <c r="FF186" s="2108"/>
      <c r="FG186" s="2108"/>
      <c r="FH186" s="2108"/>
      <c r="FI186" s="2108"/>
      <c r="FJ186" s="2108"/>
      <c r="FK186" s="2108"/>
      <c r="FL186" s="2108"/>
      <c r="FM186" s="2108"/>
      <c r="FN186" s="2108"/>
      <c r="FO186" s="2108"/>
      <c r="FP186" s="2108"/>
      <c r="FQ186" s="2108"/>
      <c r="FR186" s="2108"/>
      <c r="FS186" s="2108"/>
      <c r="FT186" s="2108"/>
      <c r="FU186" s="2108"/>
      <c r="FV186" s="2108"/>
      <c r="FW186" s="2113"/>
      <c r="FX186" s="2113"/>
      <c r="FY186" s="2113">
        <v>100</v>
      </c>
      <c r="FZ186" s="2113" t="e">
        <f>+FY186*(#REF!/#REF!)</f>
        <v>#REF!</v>
      </c>
      <c r="GA186" s="2113" t="e">
        <f>+FZ186*(#REF!/#REF!)</f>
        <v>#REF!</v>
      </c>
      <c r="GB186" s="2113" t="e">
        <f>+GA186*(#REF!/#REF!)</f>
        <v>#REF!</v>
      </c>
      <c r="GC186" s="2113" t="e">
        <f>+GB186*(#REF!/#REF!)</f>
        <v>#REF!</v>
      </c>
      <c r="GD186" s="2113" t="e">
        <f>+GC186*(#REF!/#REF!)</f>
        <v>#REF!</v>
      </c>
      <c r="GE186" s="2113" t="e">
        <f>+GD186*(#REF!/#REF!)</f>
        <v>#REF!</v>
      </c>
      <c r="GF186" s="2114" t="e">
        <f>+GE186*(#REF!/#REF!)</f>
        <v>#REF!</v>
      </c>
      <c r="GG186" s="1960" t="e">
        <f>+GF186*(#REF!/#REF!)</f>
        <v>#REF!</v>
      </c>
      <c r="GH186" s="2114" t="e">
        <f>+GG186*(#REF!/#REF!)</f>
        <v>#REF!</v>
      </c>
      <c r="GI186" s="2114" t="e">
        <f>+GH186*(#REF!/#REF!)</f>
        <v>#REF!</v>
      </c>
      <c r="GJ186" s="2113" t="e">
        <f>+GI186*(#REF!/#REF!)</f>
        <v>#REF!</v>
      </c>
      <c r="GK186" s="2113" t="e">
        <f>+GJ186*(#REF!/#REF!)</f>
        <v>#REF!</v>
      </c>
      <c r="GL186" s="2113" t="e">
        <f>+GK186*(#REF!/#REF!)</f>
        <v>#REF!</v>
      </c>
      <c r="GM186" s="2114" t="e">
        <f>+GL186*(#REF!/#REF!)</f>
        <v>#REF!</v>
      </c>
      <c r="GN186" s="2114" t="e">
        <f>+GM186*(#REF!/#REF!)</f>
        <v>#REF!</v>
      </c>
      <c r="GO186" s="2115" t="e">
        <f>+GN186*(#REF!/#REF!)</f>
        <v>#REF!</v>
      </c>
      <c r="GP186" s="2116" t="e">
        <f>+GO186*(#REF!/#REF!)</f>
        <v>#REF!</v>
      </c>
      <c r="GQ186" s="2116" t="e">
        <f>+GP186*(#REF!/#REF!)</f>
        <v>#REF!</v>
      </c>
      <c r="GR186" s="2116" t="e">
        <f>+GQ186*(#REF!/#REF!)</f>
        <v>#REF!</v>
      </c>
      <c r="GS186" s="2116" t="e">
        <f>+GR186*(#REF!/#REF!)</f>
        <v>#REF!</v>
      </c>
      <c r="GT186" s="1960" t="e">
        <f>+GS186*(#REF!/#REF!)</f>
        <v>#REF!</v>
      </c>
      <c r="GU186" s="1960" t="e">
        <f>+GT186*(#REF!/#REF!)</f>
        <v>#REF!</v>
      </c>
      <c r="GV186" s="1960" t="e">
        <f>+GU186*(#REF!/#REF!)</f>
        <v>#REF!</v>
      </c>
      <c r="GW186" s="1960" t="e">
        <f>+GV186*(#REF!/#REF!)</f>
        <v>#REF!</v>
      </c>
      <c r="GX186" s="1960" t="e">
        <f>+GW186*(#REF!/#REF!)</f>
        <v>#REF!</v>
      </c>
      <c r="GY186" s="1960" t="e">
        <f>+GX186*(#REF!/#REF!)</f>
        <v>#REF!</v>
      </c>
      <c r="GZ186" s="1960" t="e">
        <f>+GY186*(#REF!/#REF!)</f>
        <v>#REF!</v>
      </c>
      <c r="HA186" s="1960" t="e">
        <f>+GZ186*(#REF!/#REF!)</f>
        <v>#REF!</v>
      </c>
      <c r="HB186" s="1960" t="e">
        <f>+HA186*(#REF!/#REF!)</f>
        <v>#REF!</v>
      </c>
      <c r="HC186" s="1960" t="e">
        <f>+HB186*(#REF!/#REF!)</f>
        <v>#REF!</v>
      </c>
      <c r="HD186" s="1960" t="e">
        <f>+HC186*(#REF!/#REF!)</f>
        <v>#REF!</v>
      </c>
      <c r="HE186" s="1960" t="e">
        <f>+HD186*(#REF!/#REF!)</f>
        <v>#REF!</v>
      </c>
      <c r="HF186" s="1960" t="e">
        <f>+HE186*(#REF!/#REF!)</f>
        <v>#REF!</v>
      </c>
      <c r="HG186" s="1960" t="e">
        <f>+HF186*(#REF!/#REF!)</f>
        <v>#REF!</v>
      </c>
      <c r="HH186" s="2117" t="e">
        <f>+HG186*(#REF!/#REF!)</f>
        <v>#REF!</v>
      </c>
      <c r="HI186" s="1960" t="e">
        <f>+HH186*(#REF!/#REF!)</f>
        <v>#REF!</v>
      </c>
      <c r="HJ186" s="1960" t="e">
        <f>+HI186*(#REF!/#REF!)</f>
        <v>#REF!</v>
      </c>
      <c r="HK186" s="1960" t="e">
        <f>+HJ186*(#REF!/#REF!)</f>
        <v>#REF!</v>
      </c>
      <c r="HL186" s="1960" t="e">
        <f>+HK186*(#REF!/#REF!)</f>
        <v>#REF!</v>
      </c>
      <c r="HM186" s="1960" t="e">
        <f>+HL186*(#REF!/#REF!)</f>
        <v>#REF!</v>
      </c>
      <c r="HN186" s="1960" t="e">
        <f>+HM186*(#REF!/#REF!)</f>
        <v>#REF!</v>
      </c>
      <c r="HO186" s="1960" t="e">
        <f>+HN186*(#REF!/#REF!)</f>
        <v>#REF!</v>
      </c>
      <c r="HP186" s="1960" t="e">
        <f>+HO186*(#REF!/#REF!)</f>
        <v>#REF!</v>
      </c>
      <c r="HQ186" s="1960" t="e">
        <f>+HP186*(#REF!/#REF!)</f>
        <v>#REF!</v>
      </c>
      <c r="HR186" s="1960" t="e">
        <f>+HQ186*(#REF!/#REF!)</f>
        <v>#REF!</v>
      </c>
      <c r="HS186" s="1960" t="e">
        <f>+HR186*(#REF!/#REF!)</f>
        <v>#REF!</v>
      </c>
      <c r="HT186" s="1962" t="e">
        <f>+HS186*(#REF!/#REF!)</f>
        <v>#REF!</v>
      </c>
      <c r="HU186" s="1961" t="e">
        <f>+HT186*(#REF!/#REF!)</f>
        <v>#REF!</v>
      </c>
      <c r="HV186" s="1960" t="e">
        <f>+HU186*(#REF!/#REF!)</f>
        <v>#REF!</v>
      </c>
      <c r="HW186" s="1960" t="e">
        <f>+HV186*(#REF!/#REF!)</f>
        <v>#REF!</v>
      </c>
      <c r="HX186" s="1960" t="e">
        <f>+HW186*(#REF!/#REF!)</f>
        <v>#REF!</v>
      </c>
      <c r="HY186" s="1960" t="e">
        <f>+HX186*(#REF!/#REF!)</f>
        <v>#REF!</v>
      </c>
      <c r="HZ186" s="1960" t="e">
        <f>+HY186*(#REF!/#REF!)</f>
        <v>#REF!</v>
      </c>
      <c r="IA186" s="1960" t="e">
        <f>+HZ186*(#REF!/#REF!)</f>
        <v>#REF!</v>
      </c>
      <c r="IB186" s="1960" t="e">
        <f>+IA186*(#REF!/#REF!)</f>
        <v>#REF!</v>
      </c>
      <c r="IC186" s="1960" t="e">
        <f>+IB186*(#REF!/#REF!)</f>
        <v>#REF!</v>
      </c>
      <c r="ID186" s="1960" t="e">
        <f>+IC186*(#REF!/#REF!)</f>
        <v>#REF!</v>
      </c>
      <c r="IE186" s="1960" t="e">
        <f>+ID186*(#REF!/#REF!)</f>
        <v>#REF!</v>
      </c>
      <c r="IF186" s="1960" t="e">
        <f>+IE186*(#REF!/#REF!)</f>
        <v>#REF!</v>
      </c>
      <c r="IG186" s="1961" t="e">
        <f>+IF186*(#REF!/#REF!)</f>
        <v>#REF!</v>
      </c>
      <c r="IH186" s="1960" t="e">
        <f>+IG186*(#REF!/#REF!)</f>
        <v>#REF!</v>
      </c>
      <c r="II186" s="1960" t="e">
        <f>+IH186*(#REF!/#REF!)</f>
        <v>#REF!</v>
      </c>
      <c r="IJ186" s="1961" t="e">
        <f>+II186*(#REF!/#REF!)</f>
        <v>#REF!</v>
      </c>
      <c r="IK186" s="1960" t="e">
        <f>+IJ186*(#REF!/#REF!)</f>
        <v>#REF!</v>
      </c>
      <c r="IL186" s="1960" t="e">
        <f>+IK186*(#REF!/#REF!)</f>
        <v>#REF!</v>
      </c>
      <c r="IM186" s="1960" t="e">
        <f>+IL186*(#REF!/#REF!)</f>
        <v>#REF!</v>
      </c>
      <c r="IN186" s="1960" t="e">
        <f>+IM186*(#REF!/#REF!)</f>
        <v>#REF!</v>
      </c>
      <c r="IO186" s="1960" t="e">
        <f>+IN186*(#REF!/#REF!)</f>
        <v>#REF!</v>
      </c>
      <c r="IP186" s="1960" t="e">
        <f>+IO186*(#REF!/#REF!)</f>
        <v>#REF!</v>
      </c>
      <c r="IQ186" s="1960" t="e">
        <f>+IP186*(#REF!/#REF!)</f>
        <v>#REF!</v>
      </c>
      <c r="IR186" s="1960" t="e">
        <f>+IQ186*(#REF!/#REF!)</f>
        <v>#REF!</v>
      </c>
      <c r="IS186" s="2274" t="e">
        <f>+IR186*(#REF!/#REF!)</f>
        <v>#REF!</v>
      </c>
      <c r="IT186" s="1960" t="e">
        <f>+IS186*(#REF!/#REF!)</f>
        <v>#REF!</v>
      </c>
      <c r="IU186" s="1960" t="e">
        <f>+IT186*(#REF!/#REF!)</f>
        <v>#REF!</v>
      </c>
      <c r="IV186" s="1960" t="e">
        <f>+IU186*(#REF!/#REF!)</f>
        <v>#REF!</v>
      </c>
      <c r="IW186" s="1960" t="e">
        <f>+IV186*(#REF!/#REF!)</f>
        <v>#REF!</v>
      </c>
      <c r="IX186" s="1960" t="e">
        <f>+IW186*(#REF!/#REF!)</f>
        <v>#REF!</v>
      </c>
      <c r="IY186" s="1960" t="e">
        <f>+IX186*(#REF!/#REF!)</f>
        <v>#REF!</v>
      </c>
      <c r="IZ186" s="1960" t="e">
        <f>+IY186*(#REF!/#REF!)</f>
        <v>#REF!</v>
      </c>
      <c r="JA186" s="1960" t="e">
        <f>+IZ186*(#REF!/#REF!)</f>
        <v>#REF!</v>
      </c>
      <c r="JB186" s="1960" t="e">
        <f>+JA186*(#REF!/#REF!)</f>
        <v>#REF!</v>
      </c>
      <c r="JC186" s="1960" t="e">
        <f>+JB186*(#REF!/#REF!)</f>
        <v>#REF!</v>
      </c>
      <c r="JD186" s="1960"/>
      <c r="JE186" s="2274" t="e">
        <v>#N/A</v>
      </c>
      <c r="JF186" s="2117" t="e">
        <v>#N/A</v>
      </c>
      <c r="JG186" s="2103" t="e">
        <f t="shared" si="14"/>
        <v>#N/A</v>
      </c>
      <c r="JI186" s="2155"/>
      <c r="JJ186" s="2104"/>
    </row>
    <row r="187" spans="2:271" hidden="1">
      <c r="B187" s="2105"/>
      <c r="C187" s="2128"/>
      <c r="D187" s="2425"/>
      <c r="E187" s="2128"/>
      <c r="F187" s="2106"/>
      <c r="G187" s="2106"/>
      <c r="H187" s="2106"/>
      <c r="I187" s="2106"/>
      <c r="J187" s="2127"/>
      <c r="K187" s="2425"/>
      <c r="L187" s="2110"/>
      <c r="M187" s="2110"/>
      <c r="N187" s="2110"/>
      <c r="O187" s="2110"/>
      <c r="P187" s="2110"/>
      <c r="Q187" s="2110"/>
      <c r="R187" s="2110"/>
      <c r="S187" s="2110"/>
      <c r="T187" s="2110"/>
      <c r="U187" s="2110"/>
      <c r="V187" s="2110"/>
      <c r="W187" s="2110"/>
      <c r="X187" s="2110"/>
      <c r="Y187" s="2110"/>
      <c r="Z187" s="2110"/>
      <c r="AA187" s="2110"/>
      <c r="AB187" s="2110"/>
      <c r="AC187" s="2110"/>
      <c r="AD187" s="2110"/>
      <c r="AE187" s="2110"/>
      <c r="AF187" s="2110"/>
      <c r="AG187" s="2110"/>
      <c r="AH187" s="2110"/>
      <c r="AI187" s="2110"/>
      <c r="AJ187" s="2110"/>
      <c r="AK187" s="2110"/>
      <c r="AL187" s="2110"/>
      <c r="AM187" s="2110"/>
      <c r="AN187" s="2110"/>
      <c r="AO187" s="2110"/>
      <c r="AP187" s="2110"/>
      <c r="AQ187" s="2110"/>
      <c r="AR187" s="2110"/>
      <c r="AS187" s="2110"/>
      <c r="AT187" s="2110"/>
      <c r="AU187" s="2110"/>
      <c r="AV187" s="2110"/>
      <c r="AW187" s="2111"/>
      <c r="AX187" s="2111"/>
      <c r="AY187" s="2111"/>
      <c r="AZ187" s="2111"/>
      <c r="BA187" s="2111"/>
      <c r="BB187" s="2111"/>
      <c r="BC187" s="2111"/>
      <c r="BD187" s="2112"/>
      <c r="BE187" s="2111"/>
      <c r="BF187" s="2112"/>
      <c r="BG187" s="2112"/>
      <c r="BH187" s="2112"/>
      <c r="BI187" s="2108"/>
      <c r="BJ187" s="2108"/>
      <c r="BK187" s="2108"/>
      <c r="BL187" s="2108"/>
      <c r="BM187" s="2108"/>
      <c r="BN187" s="2108"/>
      <c r="BO187" s="2108"/>
      <c r="BP187" s="2108"/>
      <c r="BQ187" s="2108"/>
      <c r="BR187" s="2108"/>
      <c r="BS187" s="2108"/>
      <c r="BT187" s="2108"/>
      <c r="BU187" s="2108"/>
      <c r="BV187" s="2108"/>
      <c r="BW187" s="2108"/>
      <c r="BX187" s="2108"/>
      <c r="BY187" s="2108"/>
      <c r="BZ187" s="2108"/>
      <c r="CA187" s="2108"/>
      <c r="CB187" s="2108"/>
      <c r="CC187" s="2108"/>
      <c r="CD187" s="2108"/>
      <c r="CE187" s="2108"/>
      <c r="CF187" s="2108"/>
      <c r="CG187" s="2108"/>
      <c r="CH187" s="2108"/>
      <c r="CI187" s="2108"/>
      <c r="CJ187" s="2108"/>
      <c r="CK187" s="2108"/>
      <c r="CL187" s="2108"/>
      <c r="CM187" s="2108"/>
      <c r="CN187" s="2108"/>
      <c r="CO187" s="2108"/>
      <c r="CP187" s="2108"/>
      <c r="CQ187" s="2108"/>
      <c r="CR187" s="2108"/>
      <c r="CS187" s="2108"/>
      <c r="CT187" s="2108"/>
      <c r="CU187" s="2108"/>
      <c r="CV187" s="2108"/>
      <c r="CW187" s="2108"/>
      <c r="CX187" s="2108"/>
      <c r="CY187" s="2108"/>
      <c r="CZ187" s="2108"/>
      <c r="DA187" s="2108"/>
      <c r="DB187" s="2108"/>
      <c r="DC187" s="2108"/>
      <c r="DD187" s="2108"/>
      <c r="DE187" s="2108"/>
      <c r="DF187" s="2108"/>
      <c r="DG187" s="2108"/>
      <c r="DH187" s="2108"/>
      <c r="DI187" s="2108"/>
      <c r="DJ187" s="2108"/>
      <c r="DK187" s="2108"/>
      <c r="DL187" s="2108"/>
      <c r="DM187" s="2108"/>
      <c r="DN187" s="2108"/>
      <c r="DO187" s="2108"/>
      <c r="DP187" s="2108"/>
      <c r="DQ187" s="2108"/>
      <c r="DR187" s="2108"/>
      <c r="DS187" s="2108"/>
      <c r="DT187" s="2108"/>
      <c r="DU187" s="2108"/>
      <c r="DV187" s="2108"/>
      <c r="DW187" s="2108"/>
      <c r="DX187" s="2108"/>
      <c r="DY187" s="2108"/>
      <c r="DZ187" s="2108"/>
      <c r="EA187" s="2108"/>
      <c r="EB187" s="2108"/>
      <c r="EC187" s="2108"/>
      <c r="ED187" s="2108"/>
      <c r="EE187" s="2108"/>
      <c r="EF187" s="2108"/>
      <c r="EG187" s="2108"/>
      <c r="EH187" s="2108"/>
      <c r="EI187" s="2108"/>
      <c r="EJ187" s="2108"/>
      <c r="EK187" s="2108"/>
      <c r="EL187" s="2108"/>
      <c r="EM187" s="2108"/>
      <c r="EN187" s="2108"/>
      <c r="EO187" s="2108"/>
      <c r="EP187" s="2108"/>
      <c r="EQ187" s="2108"/>
      <c r="ER187" s="2108"/>
      <c r="ES187" s="2108"/>
      <c r="ET187" s="2108"/>
      <c r="EU187" s="2108"/>
      <c r="EV187" s="2108"/>
      <c r="EW187" s="2108"/>
      <c r="EX187" s="2108"/>
      <c r="EY187" s="2108"/>
      <c r="EZ187" s="2108"/>
      <c r="FA187" s="2108"/>
      <c r="FB187" s="2108"/>
      <c r="FC187" s="2108"/>
      <c r="FD187" s="2108"/>
      <c r="FE187" s="2108"/>
      <c r="FF187" s="2108"/>
      <c r="FG187" s="2108"/>
      <c r="FH187" s="2108"/>
      <c r="FI187" s="2108"/>
      <c r="FJ187" s="2108"/>
      <c r="FK187" s="2108"/>
      <c r="FL187" s="2108"/>
      <c r="FM187" s="2108"/>
      <c r="FN187" s="2108"/>
      <c r="FO187" s="2108"/>
      <c r="FP187" s="2108"/>
      <c r="FQ187" s="2108"/>
      <c r="FR187" s="2108"/>
      <c r="FS187" s="2108"/>
      <c r="FT187" s="2108"/>
      <c r="FU187" s="2108"/>
      <c r="FV187" s="2108"/>
      <c r="FW187" s="2113"/>
      <c r="FX187" s="2113"/>
      <c r="FY187" s="2113">
        <v>100</v>
      </c>
      <c r="FZ187" s="2113" t="e">
        <f>+FY187*(#REF!/#REF!)</f>
        <v>#REF!</v>
      </c>
      <c r="GA187" s="2113" t="e">
        <f>+FZ187*(#REF!/#REF!)</f>
        <v>#REF!</v>
      </c>
      <c r="GB187" s="2113" t="e">
        <f>+GA187*(#REF!/#REF!)</f>
        <v>#REF!</v>
      </c>
      <c r="GC187" s="2113" t="e">
        <f>+GB187*(#REF!/#REF!)</f>
        <v>#REF!</v>
      </c>
      <c r="GD187" s="2113" t="e">
        <f>+GC187*(#REF!/#REF!)</f>
        <v>#REF!</v>
      </c>
      <c r="GE187" s="2113" t="e">
        <f>+GD187*(#REF!/#REF!)</f>
        <v>#REF!</v>
      </c>
      <c r="GF187" s="2114" t="e">
        <f>+GE187*(#REF!/#REF!)</f>
        <v>#REF!</v>
      </c>
      <c r="GG187" s="1960" t="e">
        <f>+GF187*(#REF!/#REF!)</f>
        <v>#REF!</v>
      </c>
      <c r="GH187" s="2114" t="e">
        <f>+GG187*(#REF!/#REF!)</f>
        <v>#REF!</v>
      </c>
      <c r="GI187" s="2114" t="e">
        <f>+GH187*(#REF!/#REF!)</f>
        <v>#REF!</v>
      </c>
      <c r="GJ187" s="2113" t="e">
        <f>+GI187*(#REF!/#REF!)</f>
        <v>#REF!</v>
      </c>
      <c r="GK187" s="2113" t="e">
        <f>+GJ187*(#REF!/#REF!)</f>
        <v>#REF!</v>
      </c>
      <c r="GL187" s="2113" t="e">
        <f>+GK187*(#REF!/#REF!)</f>
        <v>#REF!</v>
      </c>
      <c r="GM187" s="2114" t="e">
        <f>+GL187*(#REF!/#REF!)</f>
        <v>#REF!</v>
      </c>
      <c r="GN187" s="2114" t="e">
        <f>+GM187*(#REF!/#REF!)</f>
        <v>#REF!</v>
      </c>
      <c r="GO187" s="2115" t="e">
        <f>+GN187*(#REF!/#REF!)</f>
        <v>#REF!</v>
      </c>
      <c r="GP187" s="2116" t="e">
        <f>+GO187*(#REF!/#REF!)</f>
        <v>#REF!</v>
      </c>
      <c r="GQ187" s="2116" t="e">
        <f>+GP187*(#REF!/#REF!)</f>
        <v>#REF!</v>
      </c>
      <c r="GR187" s="2116" t="e">
        <f>+GQ187*(#REF!/#REF!)</f>
        <v>#REF!</v>
      </c>
      <c r="GS187" s="2116" t="e">
        <f>+GR187*(#REF!/#REF!)</f>
        <v>#REF!</v>
      </c>
      <c r="GT187" s="1960" t="e">
        <f>+GS187*(#REF!/#REF!)</f>
        <v>#REF!</v>
      </c>
      <c r="GU187" s="1960" t="e">
        <f>+GT187*(#REF!/#REF!)</f>
        <v>#REF!</v>
      </c>
      <c r="GV187" s="1960" t="e">
        <f>+GU187*(#REF!/#REF!)</f>
        <v>#REF!</v>
      </c>
      <c r="GW187" s="1960" t="e">
        <f>+GV187*(#REF!/#REF!)</f>
        <v>#REF!</v>
      </c>
      <c r="GX187" s="1960" t="e">
        <f>+GW187*(#REF!/#REF!)</f>
        <v>#REF!</v>
      </c>
      <c r="GY187" s="1960" t="e">
        <f>+GX187*(#REF!/#REF!)</f>
        <v>#REF!</v>
      </c>
      <c r="GZ187" s="1960" t="e">
        <f>+GY187*(#REF!/#REF!)</f>
        <v>#REF!</v>
      </c>
      <c r="HA187" s="1960" t="e">
        <f>+GZ187*(#REF!/#REF!)</f>
        <v>#REF!</v>
      </c>
      <c r="HB187" s="1960" t="e">
        <f>+HA187*(#REF!/#REF!)</f>
        <v>#REF!</v>
      </c>
      <c r="HC187" s="1960" t="e">
        <f>+HB187*(#REF!/#REF!)</f>
        <v>#REF!</v>
      </c>
      <c r="HD187" s="1960" t="e">
        <f>+HC187*(#REF!/#REF!)</f>
        <v>#REF!</v>
      </c>
      <c r="HE187" s="1960" t="e">
        <f>+HD187*(#REF!/#REF!)</f>
        <v>#REF!</v>
      </c>
      <c r="HF187" s="1960" t="e">
        <f>+HE187*(#REF!/#REF!)</f>
        <v>#REF!</v>
      </c>
      <c r="HG187" s="1960" t="e">
        <f>+HF187*(#REF!/#REF!)</f>
        <v>#REF!</v>
      </c>
      <c r="HH187" s="2117" t="e">
        <f>+HG187*(#REF!/#REF!)</f>
        <v>#REF!</v>
      </c>
      <c r="HI187" s="1960" t="e">
        <f>+HH187*(#REF!/#REF!)</f>
        <v>#REF!</v>
      </c>
      <c r="HJ187" s="1960" t="e">
        <f>+HI187*(#REF!/#REF!)</f>
        <v>#REF!</v>
      </c>
      <c r="HK187" s="1960" t="e">
        <f>+HJ187*(#REF!/#REF!)</f>
        <v>#REF!</v>
      </c>
      <c r="HL187" s="1960" t="e">
        <f>+HK187*(#REF!/#REF!)</f>
        <v>#REF!</v>
      </c>
      <c r="HM187" s="1960" t="e">
        <f>+HL187*(#REF!/#REF!)</f>
        <v>#REF!</v>
      </c>
      <c r="HN187" s="1960" t="e">
        <f>+HM187*(#REF!/#REF!)</f>
        <v>#REF!</v>
      </c>
      <c r="HO187" s="1960" t="e">
        <f>+HN187*(#REF!/#REF!)</f>
        <v>#REF!</v>
      </c>
      <c r="HP187" s="1960" t="e">
        <f>+HO187*(#REF!/#REF!)</f>
        <v>#REF!</v>
      </c>
      <c r="HQ187" s="1960" t="e">
        <f>+HP187*(#REF!/#REF!)</f>
        <v>#REF!</v>
      </c>
      <c r="HR187" s="1960" t="e">
        <f>+HQ187*(#REF!/#REF!)</f>
        <v>#REF!</v>
      </c>
      <c r="HS187" s="1960" t="e">
        <f>+HR187*(#REF!/#REF!)</f>
        <v>#REF!</v>
      </c>
      <c r="HT187" s="1962" t="e">
        <f>+HS187*(#REF!/#REF!)</f>
        <v>#REF!</v>
      </c>
      <c r="HU187" s="1961" t="e">
        <f>+HT187*(#REF!/#REF!)</f>
        <v>#REF!</v>
      </c>
      <c r="HV187" s="1960" t="e">
        <f>+HU187*(#REF!/#REF!)</f>
        <v>#REF!</v>
      </c>
      <c r="HW187" s="1960" t="e">
        <f>+HV187*(#REF!/#REF!)</f>
        <v>#REF!</v>
      </c>
      <c r="HX187" s="1960" t="e">
        <f>+HW187*(#REF!/#REF!)</f>
        <v>#REF!</v>
      </c>
      <c r="HY187" s="1960" t="e">
        <f>+HX187*(#REF!/#REF!)</f>
        <v>#REF!</v>
      </c>
      <c r="HZ187" s="1960" t="e">
        <f>+HY187*(#REF!/#REF!)</f>
        <v>#REF!</v>
      </c>
      <c r="IA187" s="1960" t="e">
        <f>+HZ187*(#REF!/#REF!)</f>
        <v>#REF!</v>
      </c>
      <c r="IB187" s="1960" t="e">
        <f>+IA187*(#REF!/#REF!)</f>
        <v>#REF!</v>
      </c>
      <c r="IC187" s="1960" t="e">
        <f>+IB187*(#REF!/#REF!)</f>
        <v>#REF!</v>
      </c>
      <c r="ID187" s="1960" t="e">
        <f>+IC187*(#REF!/#REF!)</f>
        <v>#REF!</v>
      </c>
      <c r="IE187" s="1960" t="e">
        <f>+ID187*(#REF!/#REF!)</f>
        <v>#REF!</v>
      </c>
      <c r="IF187" s="1960" t="e">
        <f>+IE187*(#REF!/#REF!)</f>
        <v>#REF!</v>
      </c>
      <c r="IG187" s="1961" t="e">
        <f>+IF187*(#REF!/#REF!)</f>
        <v>#REF!</v>
      </c>
      <c r="IH187" s="1960" t="e">
        <f>+IG187*(#REF!/#REF!)</f>
        <v>#REF!</v>
      </c>
      <c r="II187" s="1960" t="e">
        <f>+IH187*(#REF!/#REF!)</f>
        <v>#REF!</v>
      </c>
      <c r="IJ187" s="1961" t="e">
        <f>+II187*(#REF!/#REF!)</f>
        <v>#REF!</v>
      </c>
      <c r="IK187" s="1960" t="e">
        <f>+IJ187*(#REF!/#REF!)</f>
        <v>#REF!</v>
      </c>
      <c r="IL187" s="1960" t="e">
        <f>+IK187*(#REF!/#REF!)</f>
        <v>#REF!</v>
      </c>
      <c r="IM187" s="1960" t="e">
        <f>+IL187*(#REF!/#REF!)</f>
        <v>#REF!</v>
      </c>
      <c r="IN187" s="1960" t="e">
        <f>+IM187*(#REF!/#REF!)</f>
        <v>#REF!</v>
      </c>
      <c r="IO187" s="1960" t="e">
        <f>+IN187*(#REF!/#REF!)</f>
        <v>#REF!</v>
      </c>
      <c r="IP187" s="1960" t="e">
        <f>+IO187*(#REF!/#REF!)</f>
        <v>#REF!</v>
      </c>
      <c r="IQ187" s="1960" t="e">
        <f>+IP187*(#REF!/#REF!)</f>
        <v>#REF!</v>
      </c>
      <c r="IR187" s="1960" t="e">
        <f>+IQ187*(#REF!/#REF!)</f>
        <v>#REF!</v>
      </c>
      <c r="IS187" s="2274" t="e">
        <f>+IR187*(#REF!/#REF!)</f>
        <v>#REF!</v>
      </c>
      <c r="IT187" s="1960" t="e">
        <f>+IS187*(#REF!/#REF!)</f>
        <v>#REF!</v>
      </c>
      <c r="IU187" s="1960" t="e">
        <f>+IT187*(#REF!/#REF!)</f>
        <v>#REF!</v>
      </c>
      <c r="IV187" s="1960" t="e">
        <f>+IU187*(#REF!/#REF!)</f>
        <v>#REF!</v>
      </c>
      <c r="IW187" s="1960" t="e">
        <f>+IV187*(#REF!/#REF!)</f>
        <v>#REF!</v>
      </c>
      <c r="IX187" s="1960" t="e">
        <f>+IW187*(#REF!/#REF!)</f>
        <v>#REF!</v>
      </c>
      <c r="IY187" s="1960" t="e">
        <f>+IX187*(#REF!/#REF!)</f>
        <v>#REF!</v>
      </c>
      <c r="IZ187" s="1960" t="e">
        <f>+IY187*(#REF!/#REF!)</f>
        <v>#REF!</v>
      </c>
      <c r="JA187" s="1960" t="e">
        <f>+IZ187*(#REF!/#REF!)</f>
        <v>#REF!</v>
      </c>
      <c r="JB187" s="1960" t="e">
        <f>+JA187*(#REF!/#REF!)</f>
        <v>#REF!</v>
      </c>
      <c r="JC187" s="1960" t="e">
        <f>+JB187*(#REF!/#REF!)</f>
        <v>#REF!</v>
      </c>
      <c r="JD187" s="1960"/>
      <c r="JE187" s="2274" t="e">
        <v>#N/A</v>
      </c>
      <c r="JF187" s="2117" t="e">
        <v>#N/A</v>
      </c>
      <c r="JG187" s="2103" t="e">
        <f t="shared" si="14"/>
        <v>#N/A</v>
      </c>
      <c r="JI187" s="2155"/>
      <c r="JJ187" s="2104"/>
    </row>
    <row r="188" spans="2:271" s="2165" customFormat="1" ht="31.5">
      <c r="B188" s="2105">
        <v>401</v>
      </c>
      <c r="C188" s="2128"/>
      <c r="D188" s="2425"/>
      <c r="E188" s="2128" t="s">
        <v>367</v>
      </c>
      <c r="F188" s="2106" t="s">
        <v>918</v>
      </c>
      <c r="G188" s="2425" t="s">
        <v>1159</v>
      </c>
      <c r="H188" s="2106" t="s">
        <v>1037</v>
      </c>
      <c r="I188" s="2106"/>
      <c r="J188" s="2127" t="s">
        <v>1160</v>
      </c>
      <c r="K188" s="2425" t="s">
        <v>1161</v>
      </c>
      <c r="L188" s="2409">
        <v>100</v>
      </c>
      <c r="M188" s="2409">
        <v>116.74</v>
      </c>
      <c r="N188" s="2409">
        <v>135.37</v>
      </c>
      <c r="O188" s="2409">
        <v>158.38999999999999</v>
      </c>
      <c r="P188" s="2409">
        <v>191.62</v>
      </c>
      <c r="Q188" s="2409">
        <v>209.15</v>
      </c>
      <c r="R188" s="2409">
        <v>228.18</v>
      </c>
      <c r="S188" s="2409">
        <v>233.73</v>
      </c>
      <c r="T188" s="2409">
        <v>243.06</v>
      </c>
      <c r="U188" s="2409">
        <v>250.91</v>
      </c>
      <c r="V188" s="2409">
        <v>254.58</v>
      </c>
      <c r="W188" s="2409">
        <v>257.37</v>
      </c>
      <c r="X188" s="2409">
        <v>253.51</v>
      </c>
      <c r="Y188" s="2409">
        <v>241.94</v>
      </c>
      <c r="Z188" s="2409">
        <v>241.57</v>
      </c>
      <c r="AA188" s="2409">
        <v>237</v>
      </c>
      <c r="AB188" s="2409">
        <v>230.93</v>
      </c>
      <c r="AC188" s="2409">
        <v>226.54</v>
      </c>
      <c r="AD188" s="2409">
        <v>225.23</v>
      </c>
      <c r="AE188" s="2409">
        <v>224.77</v>
      </c>
      <c r="AF188" s="2409">
        <v>230.27</v>
      </c>
      <c r="AG188" s="2409">
        <v>230.27</v>
      </c>
      <c r="AH188" s="2409">
        <v>228.39</v>
      </c>
      <c r="AI188" s="2409">
        <v>234.6</v>
      </c>
      <c r="AJ188" s="2409">
        <v>234.42</v>
      </c>
      <c r="AK188" s="2409">
        <v>232.85</v>
      </c>
      <c r="AL188" s="2409">
        <v>235.77</v>
      </c>
      <c r="AM188" s="2409">
        <v>233.52</v>
      </c>
      <c r="AN188" s="2409">
        <v>242.23</v>
      </c>
      <c r="AO188" s="2409">
        <v>239.6</v>
      </c>
      <c r="AP188" s="2409">
        <v>243.05</v>
      </c>
      <c r="AQ188" s="2409">
        <v>243.25</v>
      </c>
      <c r="AR188" s="2409">
        <v>246.49</v>
      </c>
      <c r="AS188" s="2409">
        <v>245.81</v>
      </c>
      <c r="AT188" s="2409">
        <v>245.09</v>
      </c>
      <c r="AU188" s="2409">
        <v>245.17</v>
      </c>
      <c r="AV188" s="2409">
        <v>244.99</v>
      </c>
      <c r="AW188" s="2410">
        <v>246.04</v>
      </c>
      <c r="AX188" s="2410">
        <v>244.97</v>
      </c>
      <c r="AY188" s="2410">
        <v>246.91</v>
      </c>
      <c r="AZ188" s="2410">
        <v>246.1</v>
      </c>
      <c r="BA188" s="2410">
        <v>246.56</v>
      </c>
      <c r="BB188" s="2410">
        <v>246.58</v>
      </c>
      <c r="BC188" s="2410">
        <v>246.4</v>
      </c>
      <c r="BD188" s="2411">
        <v>248.39</v>
      </c>
      <c r="BE188" s="2410">
        <v>249.92</v>
      </c>
      <c r="BF188" s="2411">
        <v>253.58</v>
      </c>
      <c r="BG188" s="2411">
        <v>253.36</v>
      </c>
      <c r="BH188" s="2411">
        <v>257.04000000000002</v>
      </c>
      <c r="BI188" s="2412">
        <v>259.75</v>
      </c>
      <c r="BJ188" s="2412">
        <v>256.95999999999998</v>
      </c>
      <c r="BK188" s="2412">
        <v>261.08</v>
      </c>
      <c r="BL188" s="2412">
        <v>264.51</v>
      </c>
      <c r="BM188" s="2412">
        <v>265.16000000000003</v>
      </c>
      <c r="BN188" s="2412">
        <v>267.68</v>
      </c>
      <c r="BO188" s="2412">
        <v>269.08999999999997</v>
      </c>
      <c r="BP188" s="2412">
        <v>270.29000000000002</v>
      </c>
      <c r="BQ188" s="2412">
        <v>271.04000000000002</v>
      </c>
      <c r="BR188" s="2412">
        <v>271.16000000000003</v>
      </c>
      <c r="BS188" s="2412">
        <v>272.39</v>
      </c>
      <c r="BT188" s="2412">
        <v>295.51</v>
      </c>
      <c r="BU188" s="2412">
        <v>277.99</v>
      </c>
      <c r="BV188" s="2412">
        <v>280.36</v>
      </c>
      <c r="BW188" s="2412">
        <v>285.06</v>
      </c>
      <c r="BX188" s="2412">
        <v>285.73</v>
      </c>
      <c r="BY188" s="2412">
        <v>285.82</v>
      </c>
      <c r="BZ188" s="2412">
        <v>291.2</v>
      </c>
      <c r="CA188" s="2412">
        <v>293.77</v>
      </c>
      <c r="CB188" s="2412">
        <v>296.36</v>
      </c>
      <c r="CC188" s="2412">
        <v>299.45</v>
      </c>
      <c r="CD188" s="2412">
        <v>301.08</v>
      </c>
      <c r="CE188" s="2412">
        <v>306.42</v>
      </c>
      <c r="CF188" s="2412">
        <v>312.57</v>
      </c>
      <c r="CG188" s="2412">
        <v>313.16000000000003</v>
      </c>
      <c r="CH188" s="2412">
        <v>314.95</v>
      </c>
      <c r="CI188" s="2412">
        <v>316.32</v>
      </c>
      <c r="CJ188" s="2412">
        <v>321.67</v>
      </c>
      <c r="CK188" s="2412">
        <v>318.89999999999998</v>
      </c>
      <c r="CL188" s="2412">
        <v>319.45999999999998</v>
      </c>
      <c r="CM188" s="2412">
        <v>323.02</v>
      </c>
      <c r="CN188" s="2412">
        <v>327.18</v>
      </c>
      <c r="CO188" s="2412">
        <v>334.34</v>
      </c>
      <c r="CP188" s="2412">
        <v>342.02</v>
      </c>
      <c r="CQ188" s="2412">
        <v>342.74</v>
      </c>
      <c r="CR188" s="2412">
        <v>343.24</v>
      </c>
      <c r="CS188" s="2412">
        <v>357.34</v>
      </c>
      <c r="CT188" s="2412">
        <v>361.11</v>
      </c>
      <c r="CU188" s="2412">
        <v>363.28</v>
      </c>
      <c r="CV188" s="2412">
        <v>365.65</v>
      </c>
      <c r="CW188" s="2412">
        <v>368.75</v>
      </c>
      <c r="CX188" s="2412">
        <v>370.19</v>
      </c>
      <c r="CY188" s="2412">
        <v>373.98</v>
      </c>
      <c r="CZ188" s="2412">
        <v>378.36</v>
      </c>
      <c r="DA188" s="2412">
        <v>379.34</v>
      </c>
      <c r="DB188" s="2412">
        <v>380.7</v>
      </c>
      <c r="DC188" s="2412">
        <v>382.62</v>
      </c>
      <c r="DD188" s="2412">
        <v>383.17</v>
      </c>
      <c r="DE188" s="2412">
        <v>388.08</v>
      </c>
      <c r="DF188" s="2412">
        <v>391.89</v>
      </c>
      <c r="DG188" s="2412">
        <v>393.73</v>
      </c>
      <c r="DH188" s="2412">
        <v>395.46</v>
      </c>
      <c r="DI188" s="2412">
        <v>401.67</v>
      </c>
      <c r="DJ188" s="2412">
        <v>404.88</v>
      </c>
      <c r="DK188" s="2412">
        <v>406.33</v>
      </c>
      <c r="DL188" s="2412">
        <v>409.19</v>
      </c>
      <c r="DM188" s="2412">
        <v>413.01</v>
      </c>
      <c r="DN188" s="2412">
        <v>415.14</v>
      </c>
      <c r="DO188" s="2412">
        <v>423.16</v>
      </c>
      <c r="DP188" s="2412">
        <v>424.8</v>
      </c>
      <c r="DQ188" s="2412">
        <v>425.26</v>
      </c>
      <c r="DR188" s="2412">
        <v>431.52</v>
      </c>
      <c r="DS188" s="2412">
        <v>432.46</v>
      </c>
      <c r="DT188" s="2412">
        <v>435.25</v>
      </c>
      <c r="DU188" s="2412">
        <v>440.41</v>
      </c>
      <c r="DV188" s="2412">
        <v>452</v>
      </c>
      <c r="DW188" s="2412">
        <v>454.05</v>
      </c>
      <c r="DX188" s="2412">
        <v>457.27</v>
      </c>
      <c r="DY188" s="2412">
        <v>459.54</v>
      </c>
      <c r="DZ188" s="2412">
        <v>461.94</v>
      </c>
      <c r="EA188" s="2412">
        <v>467.35</v>
      </c>
      <c r="EB188" s="2412">
        <v>474.75</v>
      </c>
      <c r="EC188" s="2412">
        <v>477.71</v>
      </c>
      <c r="ED188" s="2412">
        <v>482.94</v>
      </c>
      <c r="EE188" s="2412">
        <v>484.44</v>
      </c>
      <c r="EF188" s="2412">
        <v>505.06</v>
      </c>
      <c r="EG188" s="2412">
        <v>509.45</v>
      </c>
      <c r="EH188" s="2412">
        <v>515.07000000000005</v>
      </c>
      <c r="EI188" s="2412">
        <v>548.09</v>
      </c>
      <c r="EJ188" s="2412">
        <v>535.58000000000004</v>
      </c>
      <c r="EK188" s="2412">
        <v>541.64</v>
      </c>
      <c r="EL188" s="2412">
        <v>550.80999999999995</v>
      </c>
      <c r="EM188" s="2412">
        <v>561.12</v>
      </c>
      <c r="EN188" s="2412">
        <v>570.05999999999995</v>
      </c>
      <c r="EO188" s="2412">
        <v>573.30999999999995</v>
      </c>
      <c r="EP188" s="2412">
        <v>580.30999999999995</v>
      </c>
      <c r="EQ188" s="2412">
        <v>588.64</v>
      </c>
      <c r="ER188" s="2412">
        <v>593.65</v>
      </c>
      <c r="ES188" s="2412">
        <v>606.53</v>
      </c>
      <c r="ET188" s="2412">
        <v>609.66</v>
      </c>
      <c r="EU188" s="2412">
        <v>615.97</v>
      </c>
      <c r="EV188" s="2412">
        <v>627.76</v>
      </c>
      <c r="EW188" s="2412">
        <v>649.07000000000005</v>
      </c>
      <c r="EX188" s="2412">
        <v>650.71</v>
      </c>
      <c r="EY188" s="2412">
        <v>662.57</v>
      </c>
      <c r="EZ188" s="2412">
        <v>675.38</v>
      </c>
      <c r="FA188" s="2412">
        <v>764.53</v>
      </c>
      <c r="FB188" s="2412">
        <v>777.32</v>
      </c>
      <c r="FC188" s="2412">
        <v>794.15</v>
      </c>
      <c r="FD188" s="2412">
        <v>812.26</v>
      </c>
      <c r="FE188" s="2412">
        <v>819.74</v>
      </c>
      <c r="FF188" s="2412">
        <v>833.91</v>
      </c>
      <c r="FG188" s="2412">
        <v>838.66</v>
      </c>
      <c r="FH188" s="2412">
        <v>854.51</v>
      </c>
      <c r="FI188" s="2412">
        <v>871.93</v>
      </c>
      <c r="FJ188" s="2412">
        <v>880.33</v>
      </c>
      <c r="FK188" s="2412">
        <v>893.43</v>
      </c>
      <c r="FL188" s="2412">
        <v>900.71</v>
      </c>
      <c r="FM188" s="2412">
        <v>911.72</v>
      </c>
      <c r="FN188" s="2412">
        <v>918.74</v>
      </c>
      <c r="FO188" s="2412">
        <v>940.31</v>
      </c>
      <c r="FP188" s="2412">
        <v>950.54</v>
      </c>
      <c r="FQ188" s="2412">
        <v>964.47</v>
      </c>
      <c r="FR188" s="2412">
        <v>993.17</v>
      </c>
      <c r="FS188" s="2412">
        <v>1000.74</v>
      </c>
      <c r="FT188" s="2412">
        <v>1022.23</v>
      </c>
      <c r="FU188" s="2412">
        <v>1031.6400000000001</v>
      </c>
      <c r="FV188" s="2412">
        <v>1044.51</v>
      </c>
      <c r="FW188" s="2413">
        <f>+'ANEXO F'!M158</f>
        <v>1050.67</v>
      </c>
      <c r="FX188" s="2413">
        <f>+'ANEXO F'!N158</f>
        <v>1199.07</v>
      </c>
      <c r="FY188" s="2413">
        <f>+'ANEXO F'!C167</f>
        <v>100</v>
      </c>
      <c r="FZ188" s="2413">
        <f>+'ANEXO F'!D167</f>
        <v>106.19</v>
      </c>
      <c r="GA188" s="2413">
        <f>+'ANEXO F'!E167</f>
        <v>104.4</v>
      </c>
      <c r="GB188" s="2413">
        <f>+'ANEXO F'!F167</f>
        <v>105.75</v>
      </c>
      <c r="GC188" s="2413">
        <f>+'ANEXO F'!G167</f>
        <v>106.02</v>
      </c>
      <c r="GD188" s="2413">
        <f>+'ANEXO F'!H167</f>
        <v>107.34</v>
      </c>
      <c r="GE188" s="2413">
        <f>+'ANEXO F'!I167</f>
        <v>111.03</v>
      </c>
      <c r="GF188" s="2413">
        <f>+'ANEXO F'!J167</f>
        <v>111.71</v>
      </c>
      <c r="GG188" s="2413">
        <f>+'ANEXO F'!K167</f>
        <v>113.94</v>
      </c>
      <c r="GH188" s="2413">
        <f>+'ANEXO F'!L167</f>
        <v>114.43</v>
      </c>
      <c r="GI188" s="2413">
        <f>+'ANEXO F'!M167</f>
        <v>117.26</v>
      </c>
      <c r="GJ188" s="2413">
        <f>+'ANEXO F'!N167</f>
        <v>118.47</v>
      </c>
      <c r="GK188" s="2413">
        <f>+'ANEXO F'!C176</f>
        <v>121.47</v>
      </c>
      <c r="GL188" s="2413">
        <f>+'ANEXO F'!D176</f>
        <v>120.3</v>
      </c>
      <c r="GM188" s="2413">
        <f>+'ANEXO F'!E176</f>
        <v>121.83</v>
      </c>
      <c r="GN188" s="2413">
        <f>+'ANEXO F'!F176</f>
        <v>122.53</v>
      </c>
      <c r="GO188" s="2413">
        <f>+'ANEXO F'!G176</f>
        <v>127.24</v>
      </c>
      <c r="GP188" s="2413">
        <f>+'ANEXO F'!H176</f>
        <v>129.36000000000001</v>
      </c>
      <c r="GQ188" s="2413">
        <f>+'ANEXO F'!I176</f>
        <v>133.66</v>
      </c>
      <c r="GR188" s="2413">
        <f>+'ANEXO F'!J176</f>
        <v>134.46</v>
      </c>
      <c r="GS188" s="2413">
        <f>+'ANEXO F'!K176</f>
        <v>135.46</v>
      </c>
      <c r="GT188" s="2413">
        <f>+'ANEXO F'!L176</f>
        <v>137.18</v>
      </c>
      <c r="GU188" s="2413">
        <f>+'ANEXO F'!M176</f>
        <v>138.6</v>
      </c>
      <c r="GV188" s="2413">
        <f>+'ANEXO F'!N176</f>
        <v>141.01</v>
      </c>
      <c r="GW188" s="2415">
        <f>+'ANEXO F'!C185</f>
        <v>148.52000000000001</v>
      </c>
      <c r="GX188" s="2415">
        <f>+'ANEXO F'!D185</f>
        <v>152.88999999999999</v>
      </c>
      <c r="GY188" s="2415">
        <f>+'ANEXO F'!E185</f>
        <v>155.66</v>
      </c>
      <c r="GZ188" s="2415">
        <f>+'ANEXO F'!F185</f>
        <v>157.33000000000001</v>
      </c>
      <c r="HA188" s="2415">
        <f>+'ANEXO F'!G185</f>
        <v>175.82</v>
      </c>
      <c r="HB188" s="2415">
        <f>+'ANEXO F'!H185</f>
        <v>191.75</v>
      </c>
      <c r="HC188" s="2415">
        <f>+'ANEXO F'!I185</f>
        <v>194.69</v>
      </c>
      <c r="HD188" s="2415">
        <f>+'ANEXO F'!J185</f>
        <v>228.2</v>
      </c>
      <c r="HE188" s="2415">
        <f>+'ANEXO F'!K185</f>
        <v>248.93</v>
      </c>
      <c r="HF188" s="2415">
        <f>+'ANEXO F'!L185</f>
        <v>248.9</v>
      </c>
      <c r="HG188" s="2415">
        <f>+'ANEXO F'!M185</f>
        <v>254.87</v>
      </c>
      <c r="HH188" s="2415">
        <f>+'ANEXO F'!N185</f>
        <v>260.64</v>
      </c>
      <c r="HI188" s="2415">
        <f>+'ANEXO F'!C194</f>
        <v>264.88</v>
      </c>
      <c r="HJ188" s="2415">
        <f>+'ANEXO F'!D194</f>
        <v>272.61</v>
      </c>
      <c r="HK188" s="2415">
        <f>+'ANEXO F'!E194</f>
        <v>291.36</v>
      </c>
      <c r="HL188" s="2415">
        <f>+'ANEXO F'!F194</f>
        <v>300.8</v>
      </c>
      <c r="HM188" s="2415">
        <f>+'ANEXO F'!G194</f>
        <v>306.23</v>
      </c>
      <c r="HN188" s="2415">
        <f>+'ANEXO F'!H194</f>
        <v>306.35000000000002</v>
      </c>
      <c r="HO188" s="2415">
        <f>+'ANEXO F'!I194</f>
        <v>311.19</v>
      </c>
      <c r="HP188" s="2415">
        <f>+'ANEXO F'!J194</f>
        <v>367.65</v>
      </c>
      <c r="HQ188" s="2415">
        <f>+'ANEXO F'!K194</f>
        <v>382.77</v>
      </c>
      <c r="HR188" s="2415">
        <f>+'ANEXO F'!L194</f>
        <v>406.04</v>
      </c>
      <c r="HS188" s="2415">
        <f>+'ANEXO F'!M194</f>
        <v>417.34</v>
      </c>
      <c r="HT188" s="2415">
        <f>+'ANEXO F'!N194</f>
        <v>433.03</v>
      </c>
      <c r="HU188" s="2420">
        <f>+'ANEXO F'!C203</f>
        <v>442</v>
      </c>
      <c r="HV188" s="2417">
        <f>+'ANEXO F'!D203</f>
        <v>449.41</v>
      </c>
      <c r="HW188" s="2417">
        <f>+'ANEXO F'!E203</f>
        <v>461.78</v>
      </c>
      <c r="HX188" s="2417">
        <f>+'ANEXO F'!F203</f>
        <v>474.64</v>
      </c>
      <c r="HY188" s="2417">
        <f>+'ANEXO F'!G203</f>
        <v>483.07</v>
      </c>
      <c r="HZ188" s="2417">
        <f>+'ANEXO F'!H203</f>
        <v>497.34</v>
      </c>
      <c r="IA188" s="2417">
        <f>+'ANEXO F'!I203</f>
        <v>515.25</v>
      </c>
      <c r="IB188" s="2417">
        <f>+'ANEXO F'!J203</f>
        <v>531.91</v>
      </c>
      <c r="IC188" s="2417">
        <f>+'ANEXO F'!K203</f>
        <v>549.41</v>
      </c>
      <c r="ID188" s="2417">
        <f>+'ANEXO F'!L203</f>
        <v>571.67999999999995</v>
      </c>
      <c r="IE188" s="2417">
        <f>+'ANEXO F'!M203</f>
        <v>596.63</v>
      </c>
      <c r="IF188" s="2419">
        <f>+'ANEXO F'!N203</f>
        <v>620.62</v>
      </c>
      <c r="IG188" s="2420">
        <f>+'ANEXO F'!C212</f>
        <v>639.07000000000005</v>
      </c>
      <c r="IH188" s="2417">
        <f>+'ANEXO F'!D212</f>
        <v>666.28</v>
      </c>
      <c r="II188" s="2417">
        <f>+'ANEXO F'!E212</f>
        <v>689.24</v>
      </c>
      <c r="IJ188" s="2417">
        <f>+'ANEXO F'!F212</f>
        <v>711.48</v>
      </c>
      <c r="IK188" s="2417">
        <f>+'ANEXO F'!G212</f>
        <v>736.56</v>
      </c>
      <c r="IL188" s="2417">
        <f>+'ANEXO F'!H212</f>
        <v>749.61</v>
      </c>
      <c r="IM188" s="2417">
        <f>+'ANEXO F'!I212</f>
        <v>768.29</v>
      </c>
      <c r="IN188" s="2417">
        <f>+'ANEXO F'!J212</f>
        <v>788.95</v>
      </c>
      <c r="IO188" s="2417">
        <f>+'ANEXO F'!K212</f>
        <v>803.77</v>
      </c>
      <c r="IP188" s="2417">
        <f>+'ANEXO F'!L212</f>
        <v>826.76</v>
      </c>
      <c r="IQ188" s="2417">
        <f>+'ANEXO F'!M212</f>
        <v>841.64</v>
      </c>
      <c r="IR188" s="2419">
        <f>+'ANEXO F'!N212</f>
        <v>860.87</v>
      </c>
      <c r="IS188" s="2420">
        <f>+'ANEXO F'!C221</f>
        <v>885.19</v>
      </c>
      <c r="IT188" s="2417">
        <f>+'ANEXO F'!D221</f>
        <v>912.81</v>
      </c>
      <c r="IU188" s="2417">
        <f>+'ANEXO F'!E221</f>
        <v>944.13</v>
      </c>
      <c r="IV188" s="2417">
        <f>+'ANEXO F'!F221</f>
        <v>1000.59</v>
      </c>
      <c r="IW188" s="2417">
        <f>+'ANEXO F'!G221</f>
        <v>1051.0999999999999</v>
      </c>
      <c r="IX188" s="2417">
        <f>+'ANEXO F'!H221</f>
        <v>1106.4000000000001</v>
      </c>
      <c r="IY188" s="2417">
        <f>+'ANEXO F'!I221</f>
        <v>1176.44</v>
      </c>
      <c r="IZ188" s="2417">
        <f>+'ANEXO F'!J221</f>
        <v>1253.1500000000001</v>
      </c>
      <c r="JA188" s="2417">
        <f>+'ANEXO F'!K221</f>
        <v>1352.3</v>
      </c>
      <c r="JB188" s="2417">
        <f>+'ANEXO F'!L221</f>
        <v>1446.33</v>
      </c>
      <c r="JC188" s="2417">
        <f>+'ANEXO F'!M221</f>
        <v>1539.71</v>
      </c>
      <c r="JD188" s="2415">
        <f>+'ANEXO F'!N221</f>
        <v>1596.45</v>
      </c>
      <c r="JE188" s="2422">
        <f>+'ANEXO F'!C230</f>
        <v>1711.79</v>
      </c>
      <c r="JF188" s="2418">
        <f>+'ANEXO F'!D230</f>
        <v>1802.77</v>
      </c>
      <c r="JG188" s="2103">
        <f t="shared" si="14"/>
        <v>1.0531490428148313</v>
      </c>
      <c r="JI188" s="2529"/>
      <c r="JJ188" s="2104"/>
      <c r="JK188" s="2529"/>
    </row>
    <row r="189" spans="2:271" hidden="1">
      <c r="B189" s="2105"/>
      <c r="C189" s="2128"/>
      <c r="D189" s="2425"/>
      <c r="E189" s="2128"/>
      <c r="F189" s="2106"/>
      <c r="G189" s="2106"/>
      <c r="H189" s="2106"/>
      <c r="I189" s="2106"/>
      <c r="J189" s="2127"/>
      <c r="K189" s="2425"/>
      <c r="L189" s="2110"/>
      <c r="M189" s="2110"/>
      <c r="N189" s="2110"/>
      <c r="O189" s="2110"/>
      <c r="P189" s="2110"/>
      <c r="Q189" s="2110"/>
      <c r="R189" s="2110"/>
      <c r="S189" s="2110"/>
      <c r="T189" s="2110"/>
      <c r="U189" s="2110"/>
      <c r="V189" s="2110"/>
      <c r="W189" s="2110"/>
      <c r="X189" s="2110"/>
      <c r="Y189" s="2110"/>
      <c r="Z189" s="2110"/>
      <c r="AA189" s="2110"/>
      <c r="AB189" s="2110"/>
      <c r="AC189" s="2110"/>
      <c r="AD189" s="2110"/>
      <c r="AE189" s="2110"/>
      <c r="AF189" s="2110"/>
      <c r="AG189" s="2110"/>
      <c r="AH189" s="2110"/>
      <c r="AI189" s="2110"/>
      <c r="AJ189" s="2110"/>
      <c r="AK189" s="2110"/>
      <c r="AL189" s="2110"/>
      <c r="AM189" s="2110"/>
      <c r="AN189" s="2110"/>
      <c r="AO189" s="2110"/>
      <c r="AP189" s="2110"/>
      <c r="AQ189" s="2110"/>
      <c r="AR189" s="2110"/>
      <c r="AS189" s="2110"/>
      <c r="AT189" s="2110"/>
      <c r="AU189" s="2110"/>
      <c r="AV189" s="2110"/>
      <c r="AW189" s="2111"/>
      <c r="AX189" s="2111"/>
      <c r="AY189" s="2111"/>
      <c r="AZ189" s="2111"/>
      <c r="BA189" s="2111"/>
      <c r="BB189" s="2111"/>
      <c r="BC189" s="2111"/>
      <c r="BD189" s="2112"/>
      <c r="BE189" s="2111"/>
      <c r="BF189" s="2112"/>
      <c r="BG189" s="2112"/>
      <c r="BH189" s="2112"/>
      <c r="BI189" s="2108"/>
      <c r="BJ189" s="2108"/>
      <c r="BK189" s="2108"/>
      <c r="BL189" s="2108"/>
      <c r="BM189" s="2108"/>
      <c r="BN189" s="2108"/>
      <c r="BO189" s="2108"/>
      <c r="BP189" s="2108"/>
      <c r="BQ189" s="2108"/>
      <c r="BR189" s="2108"/>
      <c r="BS189" s="2108"/>
      <c r="BT189" s="2108"/>
      <c r="BU189" s="2108"/>
      <c r="BV189" s="2108"/>
      <c r="BW189" s="2108"/>
      <c r="BX189" s="2108"/>
      <c r="BY189" s="2108"/>
      <c r="BZ189" s="2108"/>
      <c r="CA189" s="2108"/>
      <c r="CB189" s="2108"/>
      <c r="CC189" s="2108"/>
      <c r="CD189" s="2108"/>
      <c r="CE189" s="2108"/>
      <c r="CF189" s="2108"/>
      <c r="CG189" s="2108"/>
      <c r="CH189" s="2108"/>
      <c r="CI189" s="2108"/>
      <c r="CJ189" s="2108"/>
      <c r="CK189" s="2108"/>
      <c r="CL189" s="2108"/>
      <c r="CM189" s="2108"/>
      <c r="CN189" s="2108"/>
      <c r="CO189" s="2108"/>
      <c r="CP189" s="2108"/>
      <c r="CQ189" s="2108"/>
      <c r="CR189" s="2108"/>
      <c r="CS189" s="2108"/>
      <c r="CT189" s="2108"/>
      <c r="CU189" s="2108"/>
      <c r="CV189" s="2108"/>
      <c r="CW189" s="2108"/>
      <c r="CX189" s="2108"/>
      <c r="CY189" s="2108"/>
      <c r="CZ189" s="2108"/>
      <c r="DA189" s="2108"/>
      <c r="DB189" s="2108"/>
      <c r="DC189" s="2108"/>
      <c r="DD189" s="2108"/>
      <c r="DE189" s="2108"/>
      <c r="DF189" s="2108"/>
      <c r="DG189" s="2108"/>
      <c r="DH189" s="2108"/>
      <c r="DI189" s="2108"/>
      <c r="DJ189" s="2108"/>
      <c r="DK189" s="2108"/>
      <c r="DL189" s="2108"/>
      <c r="DM189" s="2108"/>
      <c r="DN189" s="2108"/>
      <c r="DO189" s="2108"/>
      <c r="DP189" s="2108"/>
      <c r="DQ189" s="2108"/>
      <c r="DR189" s="2108"/>
      <c r="DS189" s="2108"/>
      <c r="DT189" s="2108"/>
      <c r="DU189" s="2108"/>
      <c r="DV189" s="2108"/>
      <c r="DW189" s="2108"/>
      <c r="DX189" s="2108"/>
      <c r="DY189" s="2108"/>
      <c r="DZ189" s="2108"/>
      <c r="EA189" s="2108"/>
      <c r="EB189" s="2108"/>
      <c r="EC189" s="2108"/>
      <c r="ED189" s="2108"/>
      <c r="EE189" s="2108"/>
      <c r="EF189" s="2108"/>
      <c r="EG189" s="2108"/>
      <c r="EH189" s="2108"/>
      <c r="EI189" s="2108"/>
      <c r="EJ189" s="2108"/>
      <c r="EK189" s="2108"/>
      <c r="EL189" s="2108"/>
      <c r="EM189" s="2108"/>
      <c r="EN189" s="2108"/>
      <c r="EO189" s="2108"/>
      <c r="EP189" s="2108"/>
      <c r="EQ189" s="2108"/>
      <c r="ER189" s="2108"/>
      <c r="ES189" s="2108"/>
      <c r="ET189" s="2108"/>
      <c r="EU189" s="2108"/>
      <c r="EV189" s="2108"/>
      <c r="EW189" s="2108"/>
      <c r="EX189" s="2108"/>
      <c r="EY189" s="2108"/>
      <c r="EZ189" s="2108"/>
      <c r="FA189" s="2108"/>
      <c r="FB189" s="2108"/>
      <c r="FC189" s="2108"/>
      <c r="FD189" s="2108"/>
      <c r="FE189" s="2108"/>
      <c r="FF189" s="2108"/>
      <c r="FG189" s="2108"/>
      <c r="FH189" s="2108"/>
      <c r="FI189" s="2108"/>
      <c r="FJ189" s="2108"/>
      <c r="FK189" s="2108"/>
      <c r="FL189" s="2108"/>
      <c r="FM189" s="2108"/>
      <c r="FN189" s="2108"/>
      <c r="FO189" s="2108"/>
      <c r="FP189" s="2108"/>
      <c r="FQ189" s="2108"/>
      <c r="FR189" s="2108"/>
      <c r="FS189" s="2108"/>
      <c r="FT189" s="2108"/>
      <c r="FU189" s="2108"/>
      <c r="FV189" s="2108"/>
      <c r="FW189" s="2113"/>
      <c r="FX189" s="2113"/>
      <c r="FY189" s="2113">
        <v>100</v>
      </c>
      <c r="FZ189" s="2113" t="e">
        <f>+FY189*(#REF!/#REF!)</f>
        <v>#REF!</v>
      </c>
      <c r="GA189" s="2113" t="e">
        <f>+FZ189*(#REF!/#REF!)</f>
        <v>#REF!</v>
      </c>
      <c r="GB189" s="2113" t="e">
        <f>+GA189*(#REF!/#REF!)</f>
        <v>#REF!</v>
      </c>
      <c r="GC189" s="2113" t="e">
        <f>+GB189*(#REF!/#REF!)</f>
        <v>#REF!</v>
      </c>
      <c r="GD189" s="2113" t="e">
        <f>+GC189*(#REF!/#REF!)</f>
        <v>#REF!</v>
      </c>
      <c r="GE189" s="2113" t="e">
        <f>+GD189*(#REF!/#REF!)</f>
        <v>#REF!</v>
      </c>
      <c r="GF189" s="2114" t="e">
        <f>+GE189*(#REF!/#REF!)</f>
        <v>#REF!</v>
      </c>
      <c r="GG189" s="1960" t="e">
        <f>+GF189*(#REF!/#REF!)</f>
        <v>#REF!</v>
      </c>
      <c r="GH189" s="2114" t="e">
        <f>+GG189*(#REF!/#REF!)</f>
        <v>#REF!</v>
      </c>
      <c r="GI189" s="2114" t="e">
        <f>+GH189*(#REF!/#REF!)</f>
        <v>#REF!</v>
      </c>
      <c r="GJ189" s="2113" t="e">
        <f>+GI189*(#REF!/#REF!)</f>
        <v>#REF!</v>
      </c>
      <c r="GK189" s="2113" t="e">
        <f>+GJ189*(#REF!/#REF!)</f>
        <v>#REF!</v>
      </c>
      <c r="GL189" s="2113" t="e">
        <f>+GK189*(#REF!/#REF!)</f>
        <v>#REF!</v>
      </c>
      <c r="GM189" s="2114" t="e">
        <f>+GL189*(#REF!/#REF!)</f>
        <v>#REF!</v>
      </c>
      <c r="GN189" s="2114" t="e">
        <f>+GM189*(#REF!/#REF!)</f>
        <v>#REF!</v>
      </c>
      <c r="GO189" s="2115" t="e">
        <f>+GN189*(#REF!/#REF!)</f>
        <v>#REF!</v>
      </c>
      <c r="GP189" s="2116" t="e">
        <f>+GO189*(#REF!/#REF!)</f>
        <v>#REF!</v>
      </c>
      <c r="GQ189" s="2116" t="e">
        <f>+GP189*(#REF!/#REF!)</f>
        <v>#REF!</v>
      </c>
      <c r="GR189" s="2116" t="e">
        <f>+GQ189*(#REF!/#REF!)</f>
        <v>#REF!</v>
      </c>
      <c r="GS189" s="2116" t="e">
        <f>+GR189*(#REF!/#REF!)</f>
        <v>#REF!</v>
      </c>
      <c r="GT189" s="1960" t="e">
        <f>+GS189*(#REF!/#REF!)</f>
        <v>#REF!</v>
      </c>
      <c r="GU189" s="1960" t="e">
        <f>+GT189*(#REF!/#REF!)</f>
        <v>#REF!</v>
      </c>
      <c r="GV189" s="1960" t="e">
        <f>+GU189*(#REF!/#REF!)</f>
        <v>#REF!</v>
      </c>
      <c r="GW189" s="1960" t="e">
        <f>+GV189*(#REF!/#REF!)</f>
        <v>#REF!</v>
      </c>
      <c r="GX189" s="1960" t="e">
        <f>+GW189*(#REF!/#REF!)</f>
        <v>#REF!</v>
      </c>
      <c r="GY189" s="1960" t="e">
        <f>+GX189*(#REF!/#REF!)</f>
        <v>#REF!</v>
      </c>
      <c r="GZ189" s="1960" t="e">
        <f>+GY189*(#REF!/#REF!)</f>
        <v>#REF!</v>
      </c>
      <c r="HA189" s="1960" t="e">
        <f>+GZ189*(#REF!/#REF!)</f>
        <v>#REF!</v>
      </c>
      <c r="HB189" s="1960" t="e">
        <f>+HA189*(#REF!/#REF!)</f>
        <v>#REF!</v>
      </c>
      <c r="HC189" s="1960" t="e">
        <f>+HB189*(#REF!/#REF!)</f>
        <v>#REF!</v>
      </c>
      <c r="HD189" s="1960" t="e">
        <f>+HC189*(#REF!/#REF!)</f>
        <v>#REF!</v>
      </c>
      <c r="HE189" s="1960" t="e">
        <f>+HD189*(#REF!/#REF!)</f>
        <v>#REF!</v>
      </c>
      <c r="HF189" s="1960" t="e">
        <f>+HE189*(#REF!/#REF!)</f>
        <v>#REF!</v>
      </c>
      <c r="HG189" s="1960" t="e">
        <f>+HF189*(#REF!/#REF!)</f>
        <v>#REF!</v>
      </c>
      <c r="HH189" s="2117" t="e">
        <f>+HG189*(#REF!/#REF!)</f>
        <v>#REF!</v>
      </c>
      <c r="HI189" s="1960" t="e">
        <f>+HH189*(#REF!/#REF!)</f>
        <v>#REF!</v>
      </c>
      <c r="HJ189" s="1960" t="e">
        <f>+HI189*(#REF!/#REF!)</f>
        <v>#REF!</v>
      </c>
      <c r="HK189" s="1960" t="e">
        <f>+HJ189*(#REF!/#REF!)</f>
        <v>#REF!</v>
      </c>
      <c r="HL189" s="1960" t="e">
        <f>+HK189*(#REF!/#REF!)</f>
        <v>#REF!</v>
      </c>
      <c r="HM189" s="1960" t="e">
        <f>+HL189*(#REF!/#REF!)</f>
        <v>#REF!</v>
      </c>
      <c r="HN189" s="1960" t="e">
        <f>+HM189*(#REF!/#REF!)</f>
        <v>#REF!</v>
      </c>
      <c r="HO189" s="1960" t="e">
        <f>+HN189*(#REF!/#REF!)</f>
        <v>#REF!</v>
      </c>
      <c r="HP189" s="1960" t="e">
        <f>+HO189*(#REF!/#REF!)</f>
        <v>#REF!</v>
      </c>
      <c r="HQ189" s="1960" t="e">
        <f>+HP189*(#REF!/#REF!)</f>
        <v>#REF!</v>
      </c>
      <c r="HR189" s="1960" t="e">
        <f>+HQ189*(#REF!/#REF!)</f>
        <v>#REF!</v>
      </c>
      <c r="HS189" s="1960" t="e">
        <f>+HR189*(#REF!/#REF!)</f>
        <v>#REF!</v>
      </c>
      <c r="HT189" s="1962" t="e">
        <f>+HS189*(#REF!/#REF!)</f>
        <v>#REF!</v>
      </c>
      <c r="HU189" s="1961" t="e">
        <f>+HT189*(#REF!/#REF!)</f>
        <v>#REF!</v>
      </c>
      <c r="HV189" s="1960" t="e">
        <f>+HU189*(#REF!/#REF!)</f>
        <v>#REF!</v>
      </c>
      <c r="HW189" s="1960" t="e">
        <f>+HV189*(#REF!/#REF!)</f>
        <v>#REF!</v>
      </c>
      <c r="HX189" s="1960" t="e">
        <f>+HW189*(#REF!/#REF!)</f>
        <v>#REF!</v>
      </c>
      <c r="HY189" s="1960" t="e">
        <f>+HX189*(#REF!/#REF!)</f>
        <v>#REF!</v>
      </c>
      <c r="HZ189" s="1960" t="e">
        <f>+HY189*(#REF!/#REF!)</f>
        <v>#REF!</v>
      </c>
      <c r="IA189" s="1960" t="e">
        <f>+HZ189*(#REF!/#REF!)</f>
        <v>#REF!</v>
      </c>
      <c r="IB189" s="1960" t="e">
        <f>+IA189*(#REF!/#REF!)</f>
        <v>#REF!</v>
      </c>
      <c r="IC189" s="1960" t="e">
        <f>+IB189*(#REF!/#REF!)</f>
        <v>#REF!</v>
      </c>
      <c r="ID189" s="1960" t="e">
        <f>+IC189*(#REF!/#REF!)</f>
        <v>#REF!</v>
      </c>
      <c r="IE189" s="1960" t="e">
        <f>+ID189*(#REF!/#REF!)</f>
        <v>#REF!</v>
      </c>
      <c r="IF189" s="1960" t="e">
        <f>+IE189*(#REF!/#REF!)</f>
        <v>#REF!</v>
      </c>
      <c r="IG189" s="1961" t="e">
        <f>+IF189*(#REF!/#REF!)</f>
        <v>#REF!</v>
      </c>
      <c r="IH189" s="1960" t="e">
        <f>+IG189*(#REF!/#REF!)</f>
        <v>#REF!</v>
      </c>
      <c r="II189" s="1960" t="e">
        <f>+IH189*(#REF!/#REF!)</f>
        <v>#REF!</v>
      </c>
      <c r="IJ189" s="1961" t="e">
        <f>+II189*(#REF!/#REF!)</f>
        <v>#REF!</v>
      </c>
      <c r="IK189" s="1960" t="e">
        <f>+IJ189*(#REF!/#REF!)</f>
        <v>#REF!</v>
      </c>
      <c r="IL189" s="1960" t="e">
        <f>+IK189*(#REF!/#REF!)</f>
        <v>#REF!</v>
      </c>
      <c r="IM189" s="1960" t="e">
        <f>+IL189*(#REF!/#REF!)</f>
        <v>#REF!</v>
      </c>
      <c r="IN189" s="1960" t="e">
        <f>+IM189*(#REF!/#REF!)</f>
        <v>#REF!</v>
      </c>
      <c r="IO189" s="1960" t="e">
        <f>+IN189*(#REF!/#REF!)</f>
        <v>#REF!</v>
      </c>
      <c r="IP189" s="1960" t="e">
        <f>+IO189*(#REF!/#REF!)</f>
        <v>#REF!</v>
      </c>
      <c r="IQ189" s="1960" t="e">
        <f>+IP189*(#REF!/#REF!)</f>
        <v>#REF!</v>
      </c>
      <c r="IR189" s="1960" t="e">
        <f>+IQ189*(#REF!/#REF!)</f>
        <v>#REF!</v>
      </c>
      <c r="IS189" s="2274" t="e">
        <f>+IR189*(#REF!/#REF!)</f>
        <v>#REF!</v>
      </c>
      <c r="IT189" s="1960" t="e">
        <f>+IS189*(#REF!/#REF!)</f>
        <v>#REF!</v>
      </c>
      <c r="IU189" s="1960" t="e">
        <f>+IT189*(#REF!/#REF!)</f>
        <v>#REF!</v>
      </c>
      <c r="IV189" s="1960" t="e">
        <f>+IU189*(#REF!/#REF!)</f>
        <v>#REF!</v>
      </c>
      <c r="IW189" s="1960" t="e">
        <f>+IV189*(#REF!/#REF!)</f>
        <v>#REF!</v>
      </c>
      <c r="IX189" s="1960" t="e">
        <f>+IW189*(#REF!/#REF!)</f>
        <v>#REF!</v>
      </c>
      <c r="IY189" s="1960" t="e">
        <f>+IX189*(#REF!/#REF!)</f>
        <v>#REF!</v>
      </c>
      <c r="IZ189" s="1960" t="e">
        <f>+IY189*(#REF!/#REF!)</f>
        <v>#REF!</v>
      </c>
      <c r="JA189" s="1960" t="e">
        <f>+IZ189*(#REF!/#REF!)</f>
        <v>#REF!</v>
      </c>
      <c r="JB189" s="1960" t="e">
        <f>+JA189*(#REF!/#REF!)</f>
        <v>#REF!</v>
      </c>
      <c r="JC189" s="1960" t="e">
        <f>+JB189*(#REF!/#REF!)</f>
        <v>#REF!</v>
      </c>
      <c r="JD189" s="1960"/>
      <c r="JE189" s="2274" t="e">
        <v>#N/A</v>
      </c>
      <c r="JF189" s="2117" t="e">
        <v>#N/A</v>
      </c>
      <c r="JG189" s="2103" t="e">
        <f t="shared" si="14"/>
        <v>#N/A</v>
      </c>
      <c r="JI189" s="2155"/>
      <c r="JJ189" s="2104"/>
    </row>
    <row r="190" spans="2:271" hidden="1">
      <c r="B190" s="2105"/>
      <c r="C190" s="2128"/>
      <c r="D190" s="2425"/>
      <c r="E190" s="2128"/>
      <c r="F190" s="2106"/>
      <c r="G190" s="2106"/>
      <c r="H190" s="2106"/>
      <c r="I190" s="2106"/>
      <c r="J190" s="2127"/>
      <c r="K190" s="2425"/>
      <c r="L190" s="2110"/>
      <c r="M190" s="2110"/>
      <c r="N190" s="2110"/>
      <c r="O190" s="2110"/>
      <c r="P190" s="2110"/>
      <c r="Q190" s="2110"/>
      <c r="R190" s="2110"/>
      <c r="S190" s="2110"/>
      <c r="T190" s="2110"/>
      <c r="U190" s="2110"/>
      <c r="V190" s="2110"/>
      <c r="W190" s="2110"/>
      <c r="X190" s="2110"/>
      <c r="Y190" s="2110"/>
      <c r="Z190" s="2110"/>
      <c r="AA190" s="2110"/>
      <c r="AB190" s="2110"/>
      <c r="AC190" s="2110"/>
      <c r="AD190" s="2110"/>
      <c r="AE190" s="2110"/>
      <c r="AF190" s="2110"/>
      <c r="AG190" s="2110"/>
      <c r="AH190" s="2110"/>
      <c r="AI190" s="2110"/>
      <c r="AJ190" s="2110"/>
      <c r="AK190" s="2110"/>
      <c r="AL190" s="2110"/>
      <c r="AM190" s="2110"/>
      <c r="AN190" s="2110"/>
      <c r="AO190" s="2110"/>
      <c r="AP190" s="2110"/>
      <c r="AQ190" s="2110"/>
      <c r="AR190" s="2110"/>
      <c r="AS190" s="2110"/>
      <c r="AT190" s="2110"/>
      <c r="AU190" s="2110"/>
      <c r="AV190" s="2110"/>
      <c r="AW190" s="2111"/>
      <c r="AX190" s="2111"/>
      <c r="AY190" s="2111"/>
      <c r="AZ190" s="2111"/>
      <c r="BA190" s="2111"/>
      <c r="BB190" s="2111"/>
      <c r="BC190" s="2111"/>
      <c r="BD190" s="2112"/>
      <c r="BE190" s="2111"/>
      <c r="BF190" s="2112"/>
      <c r="BG190" s="2112"/>
      <c r="BH190" s="2112"/>
      <c r="BI190" s="2108"/>
      <c r="BJ190" s="2108"/>
      <c r="BK190" s="2108"/>
      <c r="BL190" s="2108"/>
      <c r="BM190" s="2108"/>
      <c r="BN190" s="2108"/>
      <c r="BO190" s="2108"/>
      <c r="BP190" s="2108"/>
      <c r="BQ190" s="2108"/>
      <c r="BR190" s="2108"/>
      <c r="BS190" s="2108"/>
      <c r="BT190" s="2108"/>
      <c r="BU190" s="2108"/>
      <c r="BV190" s="2108"/>
      <c r="BW190" s="2108"/>
      <c r="BX190" s="2108"/>
      <c r="BY190" s="2108"/>
      <c r="BZ190" s="2108"/>
      <c r="CA190" s="2108"/>
      <c r="CB190" s="2108"/>
      <c r="CC190" s="2108"/>
      <c r="CD190" s="2108"/>
      <c r="CE190" s="2108"/>
      <c r="CF190" s="2108"/>
      <c r="CG190" s="2108"/>
      <c r="CH190" s="2108"/>
      <c r="CI190" s="2108"/>
      <c r="CJ190" s="2108"/>
      <c r="CK190" s="2108"/>
      <c r="CL190" s="2108"/>
      <c r="CM190" s="2108"/>
      <c r="CN190" s="2108"/>
      <c r="CO190" s="2108"/>
      <c r="CP190" s="2108"/>
      <c r="CQ190" s="2108"/>
      <c r="CR190" s="2108"/>
      <c r="CS190" s="2108"/>
      <c r="CT190" s="2108"/>
      <c r="CU190" s="2108"/>
      <c r="CV190" s="2108"/>
      <c r="CW190" s="2108"/>
      <c r="CX190" s="2108"/>
      <c r="CY190" s="2108"/>
      <c r="CZ190" s="2108"/>
      <c r="DA190" s="2108"/>
      <c r="DB190" s="2108"/>
      <c r="DC190" s="2108"/>
      <c r="DD190" s="2108"/>
      <c r="DE190" s="2108"/>
      <c r="DF190" s="2108"/>
      <c r="DG190" s="2108"/>
      <c r="DH190" s="2108"/>
      <c r="DI190" s="2108"/>
      <c r="DJ190" s="2108"/>
      <c r="DK190" s="2108"/>
      <c r="DL190" s="2108"/>
      <c r="DM190" s="2108"/>
      <c r="DN190" s="2108"/>
      <c r="DO190" s="2108"/>
      <c r="DP190" s="2108"/>
      <c r="DQ190" s="2108"/>
      <c r="DR190" s="2108"/>
      <c r="DS190" s="2108"/>
      <c r="DT190" s="2108"/>
      <c r="DU190" s="2108"/>
      <c r="DV190" s="2108"/>
      <c r="DW190" s="2108"/>
      <c r="DX190" s="2108"/>
      <c r="DY190" s="2108"/>
      <c r="DZ190" s="2108"/>
      <c r="EA190" s="2108"/>
      <c r="EB190" s="2108"/>
      <c r="EC190" s="2108"/>
      <c r="ED190" s="2108"/>
      <c r="EE190" s="2108"/>
      <c r="EF190" s="2108"/>
      <c r="EG190" s="2108"/>
      <c r="EH190" s="2108"/>
      <c r="EI190" s="2108"/>
      <c r="EJ190" s="2108"/>
      <c r="EK190" s="2108"/>
      <c r="EL190" s="2108"/>
      <c r="EM190" s="2108"/>
      <c r="EN190" s="2108"/>
      <c r="EO190" s="2108"/>
      <c r="EP190" s="2108"/>
      <c r="EQ190" s="2108"/>
      <c r="ER190" s="2108"/>
      <c r="ES190" s="2108"/>
      <c r="ET190" s="2108"/>
      <c r="EU190" s="2108"/>
      <c r="EV190" s="2108"/>
      <c r="EW190" s="2108"/>
      <c r="EX190" s="2108"/>
      <c r="EY190" s="2108"/>
      <c r="EZ190" s="2108"/>
      <c r="FA190" s="2108"/>
      <c r="FB190" s="2108"/>
      <c r="FC190" s="2108"/>
      <c r="FD190" s="2108"/>
      <c r="FE190" s="2108"/>
      <c r="FF190" s="2108"/>
      <c r="FG190" s="2108"/>
      <c r="FH190" s="2108"/>
      <c r="FI190" s="2108"/>
      <c r="FJ190" s="2108"/>
      <c r="FK190" s="2108"/>
      <c r="FL190" s="2108"/>
      <c r="FM190" s="2108"/>
      <c r="FN190" s="2108"/>
      <c r="FO190" s="2108"/>
      <c r="FP190" s="2108"/>
      <c r="FQ190" s="2108"/>
      <c r="FR190" s="2108"/>
      <c r="FS190" s="2108"/>
      <c r="FT190" s="2108"/>
      <c r="FU190" s="2108"/>
      <c r="FV190" s="2108"/>
      <c r="FW190" s="2113"/>
      <c r="FX190" s="2113"/>
      <c r="FY190" s="2113">
        <v>100</v>
      </c>
      <c r="FZ190" s="2113" t="e">
        <f>+FY190*(#REF!/#REF!)</f>
        <v>#REF!</v>
      </c>
      <c r="GA190" s="2113" t="e">
        <f>+FZ190*(#REF!/#REF!)</f>
        <v>#REF!</v>
      </c>
      <c r="GB190" s="2113" t="e">
        <f>+GA190*(#REF!/#REF!)</f>
        <v>#REF!</v>
      </c>
      <c r="GC190" s="2113" t="e">
        <f>+GB190*(#REF!/#REF!)</f>
        <v>#REF!</v>
      </c>
      <c r="GD190" s="2113" t="e">
        <f>+GC190*(#REF!/#REF!)</f>
        <v>#REF!</v>
      </c>
      <c r="GE190" s="2113" t="e">
        <f>+GD190*(#REF!/#REF!)</f>
        <v>#REF!</v>
      </c>
      <c r="GF190" s="2114" t="e">
        <f>+GE190*(#REF!/#REF!)</f>
        <v>#REF!</v>
      </c>
      <c r="GG190" s="1960" t="e">
        <f>+GF190*(#REF!/#REF!)</f>
        <v>#REF!</v>
      </c>
      <c r="GH190" s="2114" t="e">
        <f>+GG190*(#REF!/#REF!)</f>
        <v>#REF!</v>
      </c>
      <c r="GI190" s="2114" t="e">
        <f>+GH190*(#REF!/#REF!)</f>
        <v>#REF!</v>
      </c>
      <c r="GJ190" s="2113" t="e">
        <f>+GI190*(#REF!/#REF!)</f>
        <v>#REF!</v>
      </c>
      <c r="GK190" s="2113" t="e">
        <f>+GJ190*(#REF!/#REF!)</f>
        <v>#REF!</v>
      </c>
      <c r="GL190" s="2113" t="e">
        <f>+GK190*(#REF!/#REF!)</f>
        <v>#REF!</v>
      </c>
      <c r="GM190" s="2114" t="e">
        <f>+GL190*(#REF!/#REF!)</f>
        <v>#REF!</v>
      </c>
      <c r="GN190" s="2114" t="e">
        <f>+GM190*(#REF!/#REF!)</f>
        <v>#REF!</v>
      </c>
      <c r="GO190" s="2115" t="e">
        <f>+GN190*(#REF!/#REF!)</f>
        <v>#REF!</v>
      </c>
      <c r="GP190" s="2116" t="e">
        <f>+GO190*(#REF!/#REF!)</f>
        <v>#REF!</v>
      </c>
      <c r="GQ190" s="2116" t="e">
        <f>+GP190*(#REF!/#REF!)</f>
        <v>#REF!</v>
      </c>
      <c r="GR190" s="2116" t="e">
        <f>+GQ190*(#REF!/#REF!)</f>
        <v>#REF!</v>
      </c>
      <c r="GS190" s="2116" t="e">
        <f>+GR190*(#REF!/#REF!)</f>
        <v>#REF!</v>
      </c>
      <c r="GT190" s="1960" t="e">
        <f>+GS190*(#REF!/#REF!)</f>
        <v>#REF!</v>
      </c>
      <c r="GU190" s="1960" t="e">
        <f>+GT190*(#REF!/#REF!)</f>
        <v>#REF!</v>
      </c>
      <c r="GV190" s="1960" t="e">
        <f>+GU190*(#REF!/#REF!)</f>
        <v>#REF!</v>
      </c>
      <c r="GW190" s="1960" t="e">
        <f>+GV190*(#REF!/#REF!)</f>
        <v>#REF!</v>
      </c>
      <c r="GX190" s="1960" t="e">
        <f>+GW190*(#REF!/#REF!)</f>
        <v>#REF!</v>
      </c>
      <c r="GY190" s="1960" t="e">
        <f>+GX190*(#REF!/#REF!)</f>
        <v>#REF!</v>
      </c>
      <c r="GZ190" s="1960" t="e">
        <f>+GY190*(#REF!/#REF!)</f>
        <v>#REF!</v>
      </c>
      <c r="HA190" s="1960" t="e">
        <f>+GZ190*(#REF!/#REF!)</f>
        <v>#REF!</v>
      </c>
      <c r="HB190" s="1960" t="e">
        <f>+HA190*(#REF!/#REF!)</f>
        <v>#REF!</v>
      </c>
      <c r="HC190" s="1960" t="e">
        <f>+HB190*(#REF!/#REF!)</f>
        <v>#REF!</v>
      </c>
      <c r="HD190" s="1960" t="e">
        <f>+HC190*(#REF!/#REF!)</f>
        <v>#REF!</v>
      </c>
      <c r="HE190" s="1960" t="e">
        <f>+HD190*(#REF!/#REF!)</f>
        <v>#REF!</v>
      </c>
      <c r="HF190" s="1960" t="e">
        <f>+HE190*(#REF!/#REF!)</f>
        <v>#REF!</v>
      </c>
      <c r="HG190" s="1960" t="e">
        <f>+HF190*(#REF!/#REF!)</f>
        <v>#REF!</v>
      </c>
      <c r="HH190" s="2117" t="e">
        <f>+HG190*(#REF!/#REF!)</f>
        <v>#REF!</v>
      </c>
      <c r="HI190" s="1960" t="e">
        <f>+HH190*(#REF!/#REF!)</f>
        <v>#REF!</v>
      </c>
      <c r="HJ190" s="1960" t="e">
        <f>+HI190*(#REF!/#REF!)</f>
        <v>#REF!</v>
      </c>
      <c r="HK190" s="1960" t="e">
        <f>+HJ190*(#REF!/#REF!)</f>
        <v>#REF!</v>
      </c>
      <c r="HL190" s="1960" t="e">
        <f>+HK190*(#REF!/#REF!)</f>
        <v>#REF!</v>
      </c>
      <c r="HM190" s="1960" t="e">
        <f>+HL190*(#REF!/#REF!)</f>
        <v>#REF!</v>
      </c>
      <c r="HN190" s="1960" t="e">
        <f>+HM190*(#REF!/#REF!)</f>
        <v>#REF!</v>
      </c>
      <c r="HO190" s="1960" t="e">
        <f>+HN190*(#REF!/#REF!)</f>
        <v>#REF!</v>
      </c>
      <c r="HP190" s="1960" t="e">
        <f>+HO190*(#REF!/#REF!)</f>
        <v>#REF!</v>
      </c>
      <c r="HQ190" s="1960" t="e">
        <f>+HP190*(#REF!/#REF!)</f>
        <v>#REF!</v>
      </c>
      <c r="HR190" s="1960" t="e">
        <f>+HQ190*(#REF!/#REF!)</f>
        <v>#REF!</v>
      </c>
      <c r="HS190" s="1960" t="e">
        <f>+HR190*(#REF!/#REF!)</f>
        <v>#REF!</v>
      </c>
      <c r="HT190" s="1962" t="e">
        <f>+HS190*(#REF!/#REF!)</f>
        <v>#REF!</v>
      </c>
      <c r="HU190" s="1961" t="e">
        <f>+HT190*(#REF!/#REF!)</f>
        <v>#REF!</v>
      </c>
      <c r="HV190" s="1960" t="e">
        <f>+HU190*(#REF!/#REF!)</f>
        <v>#REF!</v>
      </c>
      <c r="HW190" s="1960" t="e">
        <f>+HV190*(#REF!/#REF!)</f>
        <v>#REF!</v>
      </c>
      <c r="HX190" s="1960" t="e">
        <f>+HW190*(#REF!/#REF!)</f>
        <v>#REF!</v>
      </c>
      <c r="HY190" s="1960" t="e">
        <f>+HX190*(#REF!/#REF!)</f>
        <v>#REF!</v>
      </c>
      <c r="HZ190" s="1960" t="e">
        <f>+HY190*(#REF!/#REF!)</f>
        <v>#REF!</v>
      </c>
      <c r="IA190" s="1960" t="e">
        <f>+HZ190*(#REF!/#REF!)</f>
        <v>#REF!</v>
      </c>
      <c r="IB190" s="1960" t="e">
        <f>+IA190*(#REF!/#REF!)</f>
        <v>#REF!</v>
      </c>
      <c r="IC190" s="1960" t="e">
        <f>+IB190*(#REF!/#REF!)</f>
        <v>#REF!</v>
      </c>
      <c r="ID190" s="1960" t="e">
        <f>+IC190*(#REF!/#REF!)</f>
        <v>#REF!</v>
      </c>
      <c r="IE190" s="1960" t="e">
        <f>+ID190*(#REF!/#REF!)</f>
        <v>#REF!</v>
      </c>
      <c r="IF190" s="1960" t="e">
        <f>+IE190*(#REF!/#REF!)</f>
        <v>#REF!</v>
      </c>
      <c r="IG190" s="1961" t="e">
        <f>+IF190*(#REF!/#REF!)</f>
        <v>#REF!</v>
      </c>
      <c r="IH190" s="1960" t="e">
        <f>+IG190*(#REF!/#REF!)</f>
        <v>#REF!</v>
      </c>
      <c r="II190" s="1960" t="e">
        <f>+IH190*(#REF!/#REF!)</f>
        <v>#REF!</v>
      </c>
      <c r="IJ190" s="1961" t="e">
        <f>+II190*(#REF!/#REF!)</f>
        <v>#REF!</v>
      </c>
      <c r="IK190" s="1960" t="e">
        <f>+IJ190*(#REF!/#REF!)</f>
        <v>#REF!</v>
      </c>
      <c r="IL190" s="1960" t="e">
        <f>+IK190*(#REF!/#REF!)</f>
        <v>#REF!</v>
      </c>
      <c r="IM190" s="1960" t="e">
        <f>+IL190*(#REF!/#REF!)</f>
        <v>#REF!</v>
      </c>
      <c r="IN190" s="1960" t="e">
        <f>+IM190*(#REF!/#REF!)</f>
        <v>#REF!</v>
      </c>
      <c r="IO190" s="1960" t="e">
        <f>+IN190*(#REF!/#REF!)</f>
        <v>#REF!</v>
      </c>
      <c r="IP190" s="1960" t="e">
        <f>+IO190*(#REF!/#REF!)</f>
        <v>#REF!</v>
      </c>
      <c r="IQ190" s="1960" t="e">
        <f>+IP190*(#REF!/#REF!)</f>
        <v>#REF!</v>
      </c>
      <c r="IR190" s="1960" t="e">
        <f>+IQ190*(#REF!/#REF!)</f>
        <v>#REF!</v>
      </c>
      <c r="IS190" s="2274" t="e">
        <f>+IR190*(#REF!/#REF!)</f>
        <v>#REF!</v>
      </c>
      <c r="IT190" s="1960" t="e">
        <f>+IS190*(#REF!/#REF!)</f>
        <v>#REF!</v>
      </c>
      <c r="IU190" s="1960" t="e">
        <f>+IT190*(#REF!/#REF!)</f>
        <v>#REF!</v>
      </c>
      <c r="IV190" s="1960" t="e">
        <f>+IU190*(#REF!/#REF!)</f>
        <v>#REF!</v>
      </c>
      <c r="IW190" s="1960" t="e">
        <f>+IV190*(#REF!/#REF!)</f>
        <v>#REF!</v>
      </c>
      <c r="IX190" s="1960" t="e">
        <f>+IW190*(#REF!/#REF!)</f>
        <v>#REF!</v>
      </c>
      <c r="IY190" s="1960" t="e">
        <f>+IX190*(#REF!/#REF!)</f>
        <v>#REF!</v>
      </c>
      <c r="IZ190" s="1960" t="e">
        <f>+IY190*(#REF!/#REF!)</f>
        <v>#REF!</v>
      </c>
      <c r="JA190" s="1960" t="e">
        <f>+IZ190*(#REF!/#REF!)</f>
        <v>#REF!</v>
      </c>
      <c r="JB190" s="1960" t="e">
        <f>+JA190*(#REF!/#REF!)</f>
        <v>#REF!</v>
      </c>
      <c r="JC190" s="1960" t="e">
        <f>+JB190*(#REF!/#REF!)</f>
        <v>#REF!</v>
      </c>
      <c r="JD190" s="1960"/>
      <c r="JE190" s="2274" t="e">
        <v>#N/A</v>
      </c>
      <c r="JF190" s="2117" t="e">
        <v>#N/A</v>
      </c>
      <c r="JG190" s="2103" t="e">
        <f t="shared" si="14"/>
        <v>#N/A</v>
      </c>
      <c r="JI190" s="2155"/>
      <c r="JJ190" s="2104"/>
    </row>
    <row r="191" spans="2:271" ht="27.6" customHeight="1">
      <c r="B191" s="2105">
        <v>410</v>
      </c>
      <c r="C191" s="2106" t="s">
        <v>1001</v>
      </c>
      <c r="D191" s="2425">
        <v>0</v>
      </c>
      <c r="E191" s="2128" t="s">
        <v>1045</v>
      </c>
      <c r="F191" s="2106"/>
      <c r="G191" s="2106" t="s">
        <v>1001</v>
      </c>
      <c r="H191" s="2106" t="s">
        <v>1001</v>
      </c>
      <c r="I191" s="2106"/>
      <c r="J191" s="2127" t="s">
        <v>764</v>
      </c>
      <c r="K191" s="2425" t="s">
        <v>1043</v>
      </c>
      <c r="L191" s="2409">
        <v>93.2</v>
      </c>
      <c r="M191" s="2409">
        <v>93.1</v>
      </c>
      <c r="N191" s="2409">
        <v>93.2</v>
      </c>
      <c r="O191" s="2409">
        <v>93.5</v>
      </c>
      <c r="P191" s="2409">
        <v>94.1</v>
      </c>
      <c r="Q191" s="2409">
        <v>94.4</v>
      </c>
      <c r="R191" s="2409">
        <v>94.6</v>
      </c>
      <c r="S191" s="2409">
        <v>98.8</v>
      </c>
      <c r="T191" s="2409">
        <v>100.6</v>
      </c>
      <c r="U191" s="2409">
        <v>102.5</v>
      </c>
      <c r="V191" s="2409">
        <v>102.3</v>
      </c>
      <c r="W191" s="2409">
        <v>102.5</v>
      </c>
      <c r="X191" s="2409">
        <v>102.6</v>
      </c>
      <c r="Y191" s="2409">
        <v>104.1</v>
      </c>
      <c r="Z191" s="2409">
        <v>105.5</v>
      </c>
      <c r="AA191" s="2409">
        <v>106.6</v>
      </c>
      <c r="AB191" s="2409">
        <v>105.4</v>
      </c>
      <c r="AC191" s="2409">
        <v>108.7</v>
      </c>
      <c r="AD191" s="2409">
        <v>108.7</v>
      </c>
      <c r="AE191" s="2409">
        <v>110.8</v>
      </c>
      <c r="AF191" s="2409">
        <v>114.2</v>
      </c>
      <c r="AG191" s="2409">
        <v>116.2</v>
      </c>
      <c r="AH191" s="2409">
        <v>119</v>
      </c>
      <c r="AI191" s="2409">
        <v>120.5</v>
      </c>
      <c r="AJ191" s="2409">
        <v>122.2</v>
      </c>
      <c r="AK191" s="2409">
        <v>127.4</v>
      </c>
      <c r="AL191" s="2409">
        <v>130.30000000000001</v>
      </c>
      <c r="AM191" s="2409">
        <v>130.5</v>
      </c>
      <c r="AN191" s="2409">
        <v>130.80000000000001</v>
      </c>
      <c r="AO191" s="2409">
        <v>130.5</v>
      </c>
      <c r="AP191" s="2409">
        <v>130</v>
      </c>
      <c r="AQ191" s="2409">
        <v>133.5</v>
      </c>
      <c r="AR191" s="2409">
        <v>132.4</v>
      </c>
      <c r="AS191" s="2409">
        <v>132</v>
      </c>
      <c r="AT191" s="2409">
        <v>133</v>
      </c>
      <c r="AU191" s="2409">
        <v>132.80000000000001</v>
      </c>
      <c r="AV191" s="2409">
        <v>133</v>
      </c>
      <c r="AW191" s="2410">
        <v>140.30000000000001</v>
      </c>
      <c r="AX191" s="2410">
        <v>140.6</v>
      </c>
      <c r="AY191" s="2410">
        <v>141.19999999999999</v>
      </c>
      <c r="AZ191" s="2410">
        <v>152.6</v>
      </c>
      <c r="BA191" s="2410">
        <v>154.80000000000001</v>
      </c>
      <c r="BB191" s="2410">
        <v>156.1</v>
      </c>
      <c r="BC191" s="2410">
        <v>156.9</v>
      </c>
      <c r="BD191" s="2411">
        <v>158.30000000000001</v>
      </c>
      <c r="BE191" s="2410">
        <v>158.9</v>
      </c>
      <c r="BF191" s="2411">
        <v>161.80000000000001</v>
      </c>
      <c r="BG191" s="2411">
        <v>170.6</v>
      </c>
      <c r="BH191" s="2411">
        <v>171.7</v>
      </c>
      <c r="BI191" s="2412">
        <v>177.7</v>
      </c>
      <c r="BJ191" s="2412">
        <v>184.1</v>
      </c>
      <c r="BK191" s="2412">
        <v>185.5</v>
      </c>
      <c r="BL191" s="2412">
        <v>189.8</v>
      </c>
      <c r="BM191" s="2412">
        <v>191.6</v>
      </c>
      <c r="BN191" s="2412">
        <v>204.5</v>
      </c>
      <c r="BO191" s="2412">
        <v>206.3</v>
      </c>
      <c r="BP191" s="2412">
        <v>207.1</v>
      </c>
      <c r="BQ191" s="2412">
        <v>216.5</v>
      </c>
      <c r="BR191" s="2412">
        <v>219.4</v>
      </c>
      <c r="BS191" s="2412">
        <v>220.8</v>
      </c>
      <c r="BT191" s="2412">
        <v>223.6</v>
      </c>
      <c r="BU191" s="2412">
        <v>232.5</v>
      </c>
      <c r="BV191" s="2412">
        <v>233.1</v>
      </c>
      <c r="BW191" s="2412">
        <v>232.7</v>
      </c>
      <c r="BX191" s="2412">
        <v>236.3</v>
      </c>
      <c r="BY191" s="2412">
        <v>248.7</v>
      </c>
      <c r="BZ191" s="2412">
        <v>251.9</v>
      </c>
      <c r="CA191" s="2412">
        <v>262</v>
      </c>
      <c r="CB191" s="2412">
        <v>263.3</v>
      </c>
      <c r="CC191" s="2412">
        <v>265.60000000000002</v>
      </c>
      <c r="CD191" s="2412">
        <v>277.7</v>
      </c>
      <c r="CE191" s="2412">
        <v>272.60000000000002</v>
      </c>
      <c r="CF191" s="2412">
        <v>275</v>
      </c>
      <c r="CG191" s="2412">
        <v>275</v>
      </c>
      <c r="CH191" s="2412">
        <v>275.89999999999998</v>
      </c>
      <c r="CI191" s="2412">
        <v>276.60000000000002</v>
      </c>
      <c r="CJ191" s="2412">
        <v>277.5</v>
      </c>
      <c r="CK191" s="2412">
        <v>302.3</v>
      </c>
      <c r="CL191" s="2412">
        <v>297.39999999999998</v>
      </c>
      <c r="CM191" s="2412">
        <v>312.39999999999998</v>
      </c>
      <c r="CN191" s="2412">
        <v>310.39999999999998</v>
      </c>
      <c r="CO191" s="2412">
        <v>318.7</v>
      </c>
      <c r="CP191" s="2412">
        <v>319.7</v>
      </c>
      <c r="CQ191" s="2412">
        <v>320.10000000000002</v>
      </c>
      <c r="CR191" s="2412">
        <v>320.2</v>
      </c>
      <c r="CS191" s="2412">
        <v>322.5</v>
      </c>
      <c r="CT191" s="2412">
        <v>324.39999999999998</v>
      </c>
      <c r="CU191" s="2412">
        <v>324.2</v>
      </c>
      <c r="CV191" s="2412">
        <v>327.2</v>
      </c>
      <c r="CW191" s="2412">
        <v>329.9</v>
      </c>
      <c r="CX191" s="2412">
        <v>347.3</v>
      </c>
      <c r="CY191" s="2412">
        <v>351.2</v>
      </c>
      <c r="CZ191" s="2412">
        <v>352</v>
      </c>
      <c r="DA191" s="2412">
        <v>351.2</v>
      </c>
      <c r="DB191" s="2412">
        <v>367.5</v>
      </c>
      <c r="DC191" s="2412">
        <v>373.2</v>
      </c>
      <c r="DD191" s="2412">
        <v>374.6</v>
      </c>
      <c r="DE191" s="2412">
        <v>375.2</v>
      </c>
      <c r="DF191" s="2412">
        <v>385.6</v>
      </c>
      <c r="DG191" s="2412">
        <v>407.9</v>
      </c>
      <c r="DH191" s="2412">
        <v>384.3</v>
      </c>
      <c r="DI191" s="2412">
        <v>416.4</v>
      </c>
      <c r="DJ191" s="2412">
        <v>420.2</v>
      </c>
      <c r="DK191" s="2412">
        <v>428.4</v>
      </c>
      <c r="DL191" s="2412">
        <v>440.5</v>
      </c>
      <c r="DM191" s="2412">
        <v>445.4</v>
      </c>
      <c r="DN191" s="2412">
        <v>450.6</v>
      </c>
      <c r="DO191" s="2412">
        <v>453.1</v>
      </c>
      <c r="DP191" s="2412">
        <v>472.5</v>
      </c>
      <c r="DQ191" s="2412">
        <v>503.1</v>
      </c>
      <c r="DR191" s="2412">
        <v>512.9</v>
      </c>
      <c r="DS191" s="2412">
        <v>518.6</v>
      </c>
      <c r="DT191" s="2412">
        <v>526.4</v>
      </c>
      <c r="DU191" s="2412">
        <v>528.20000000000005</v>
      </c>
      <c r="DV191" s="2412">
        <v>521.79999999999995</v>
      </c>
      <c r="DW191" s="2412">
        <v>532.29999999999995</v>
      </c>
      <c r="DX191" s="2412">
        <v>547.29999999999995</v>
      </c>
      <c r="DY191" s="2412">
        <v>555.29999999999995</v>
      </c>
      <c r="DZ191" s="2412">
        <v>567.4</v>
      </c>
      <c r="EA191" s="2412">
        <v>585.29999999999995</v>
      </c>
      <c r="EB191" s="2412">
        <v>589.6</v>
      </c>
      <c r="EC191" s="2412">
        <v>631</v>
      </c>
      <c r="ED191" s="2412">
        <v>635.4</v>
      </c>
      <c r="EE191" s="2412">
        <v>639.9</v>
      </c>
      <c r="EF191" s="2412">
        <v>643.20000000000005</v>
      </c>
      <c r="EG191" s="2412">
        <v>595</v>
      </c>
      <c r="EH191" s="2412">
        <v>595</v>
      </c>
      <c r="EI191" s="2412">
        <v>748.4</v>
      </c>
      <c r="EJ191" s="2412">
        <v>759.7</v>
      </c>
      <c r="EK191" s="2412">
        <v>760.3</v>
      </c>
      <c r="EL191" s="2412">
        <v>760.2</v>
      </c>
      <c r="EM191" s="2412">
        <v>782.4</v>
      </c>
      <c r="EN191" s="2412">
        <v>779.5</v>
      </c>
      <c r="EO191" s="2412">
        <v>780.4</v>
      </c>
      <c r="EP191" s="2412">
        <v>782</v>
      </c>
      <c r="EQ191" s="2412">
        <v>793.2</v>
      </c>
      <c r="ER191" s="2412">
        <v>822.5</v>
      </c>
      <c r="ES191" s="2412">
        <v>820.2</v>
      </c>
      <c r="ET191" s="2412">
        <v>914.7</v>
      </c>
      <c r="EU191" s="2412">
        <v>909.7</v>
      </c>
      <c r="EV191" s="2412">
        <v>915</v>
      </c>
      <c r="EW191" s="2412">
        <v>960</v>
      </c>
      <c r="EX191" s="2412">
        <v>961.2</v>
      </c>
      <c r="EY191" s="2412">
        <v>960.9</v>
      </c>
      <c r="EZ191" s="2412">
        <v>963.7</v>
      </c>
      <c r="FA191" s="2412">
        <v>965.5</v>
      </c>
      <c r="FB191" s="2412">
        <v>970.1</v>
      </c>
      <c r="FC191" s="2412">
        <v>970.6</v>
      </c>
      <c r="FD191" s="2412">
        <v>1084.7</v>
      </c>
      <c r="FE191" s="2412">
        <v>1112.2</v>
      </c>
      <c r="FF191" s="2412">
        <v>1111.8</v>
      </c>
      <c r="FG191" s="2412">
        <v>1192.4000000000001</v>
      </c>
      <c r="FH191" s="2412">
        <v>1224.8</v>
      </c>
      <c r="FI191" s="2412">
        <v>1231.9000000000001</v>
      </c>
      <c r="FJ191" s="2412">
        <v>1238.4000000000001</v>
      </c>
      <c r="FK191" s="2412">
        <v>1237.0999999999999</v>
      </c>
      <c r="FL191" s="2412">
        <v>1252.2</v>
      </c>
      <c r="FM191" s="2412">
        <v>1255.7</v>
      </c>
      <c r="FN191" s="2412">
        <v>1257.0999999999999</v>
      </c>
      <c r="FO191" s="2412">
        <v>1267.5999999999999</v>
      </c>
      <c r="FP191" s="2412">
        <v>1270.9000000000001</v>
      </c>
      <c r="FQ191" s="2412">
        <v>1410.1</v>
      </c>
      <c r="FR191" s="2412">
        <v>1427.5</v>
      </c>
      <c r="FS191" s="2412">
        <v>1448</v>
      </c>
      <c r="FT191" s="2412">
        <v>1542.3</v>
      </c>
      <c r="FU191" s="2412">
        <v>1579.2</v>
      </c>
      <c r="FV191" s="2412">
        <v>1582.7</v>
      </c>
      <c r="FW191" s="2413">
        <f>+'ANEXO M.O.'!E15</f>
        <v>1582.7</v>
      </c>
      <c r="FX191" s="2413">
        <f>+'ANEXO M.O.'!F15</f>
        <v>1593.7678321678325</v>
      </c>
      <c r="FY191" s="2416">
        <f>+'ANEXO M.O.'!G15</f>
        <v>100</v>
      </c>
      <c r="FZ191" s="2417">
        <f>+'ANEXO M.O.'!H15</f>
        <v>102.05011389521641</v>
      </c>
      <c r="GA191" s="2417">
        <f>+'ANEXO M.O.'!I15</f>
        <v>102.05011389521641</v>
      </c>
      <c r="GB191" s="2417">
        <f>+'ANEXO M.O.'!J15</f>
        <v>120.50113895216401</v>
      </c>
      <c r="GC191" s="2417">
        <f>+'ANEXO M.O.'!K15</f>
        <v>120.72892938496584</v>
      </c>
      <c r="GD191" s="2417">
        <f>+'ANEXO M.O.'!L15</f>
        <v>121.41230068337131</v>
      </c>
      <c r="GE191" s="2417">
        <f>+'ANEXO M.O.'!M15</f>
        <v>122.39939255884588</v>
      </c>
      <c r="GF191" s="2417">
        <f>+'ANEXO M.O.'!N15</f>
        <v>122.39939255884588</v>
      </c>
      <c r="GG191" s="2417">
        <f>+'ANEXO M.O.'!O15</f>
        <v>122.39939255884588</v>
      </c>
      <c r="GH191" s="2417">
        <f>+'ANEXO M.O.'!P15</f>
        <v>134.09263477600609</v>
      </c>
      <c r="GI191" s="2417">
        <f>+'ANEXO M.O.'!Q15</f>
        <v>134.09263477600609</v>
      </c>
      <c r="GJ191" s="2417">
        <f>+'ANEXO M.O.'!R15</f>
        <v>138.64844343204254</v>
      </c>
      <c r="GK191" s="2417">
        <f>+'ANEXO M.O.'!S15</f>
        <v>147.00075930144271</v>
      </c>
      <c r="GL191" s="2417">
        <f>+'ANEXO M.O.'!T15</f>
        <v>147.00075930144271</v>
      </c>
      <c r="GM191" s="2417">
        <f>+'ANEXO M.O.'!U15</f>
        <v>147.00075930144271</v>
      </c>
      <c r="GN191" s="2417">
        <f>+'ANEXO M.O.'!V15</f>
        <v>157.85876993166292</v>
      </c>
      <c r="GO191" s="2417">
        <f>+'ANEXO M.O.'!W15</f>
        <v>158.84586180713748</v>
      </c>
      <c r="GP191" s="2417">
        <f>+'ANEXO M.O.'!X15</f>
        <v>158.84586180713748</v>
      </c>
      <c r="GQ191" s="2417">
        <f>+'ANEXO M.O.'!Y15</f>
        <v>173.19665907365231</v>
      </c>
      <c r="GR191" s="2417">
        <f>+'ANEXO M.O.'!Z15</f>
        <v>173.19665907365231</v>
      </c>
      <c r="GS191" s="2417">
        <f>+'ANEXO M.O.'!AA15</f>
        <v>173.19665907365231</v>
      </c>
      <c r="GT191" s="2417">
        <f>+'ANEXO M.O.'!AB15</f>
        <v>173.19665907365231</v>
      </c>
      <c r="GU191" s="2417">
        <f>+'ANEXO M.O.'!AC15</f>
        <v>173.19665907365231</v>
      </c>
      <c r="GV191" s="2417">
        <f>+'ANEXO M.O.'!AD15</f>
        <v>173.19665907365231</v>
      </c>
      <c r="GW191" s="2417">
        <f>+'ANEXO M.O.'!AE15</f>
        <v>179.27107061503426</v>
      </c>
      <c r="GX191" s="2417">
        <f>+'ANEXO M.O.'!AF15</f>
        <v>179.4988610478361</v>
      </c>
      <c r="GY191" s="2417">
        <f>+'ANEXO M.O.'!AG15</f>
        <v>184.66211085801072</v>
      </c>
      <c r="GZ191" s="2417">
        <f>+'ANEXO M.O.'!AH15</f>
        <v>195.21640091116183</v>
      </c>
      <c r="HA191" s="2417">
        <f>+'ANEXO M.O.'!AI15</f>
        <v>195.21640091116183</v>
      </c>
      <c r="HB191" s="2417">
        <f>+'ANEXO M.O.'!AJ15</f>
        <v>195.52012148823093</v>
      </c>
      <c r="HC191" s="2417">
        <f>+'ANEXO M.O.'!AK15</f>
        <v>196.27942293090365</v>
      </c>
      <c r="HD191" s="2417">
        <f>+'ANEXO M.O.'!AL15</f>
        <v>206.98557327258933</v>
      </c>
      <c r="HE191" s="2417">
        <f>+'ANEXO M.O.'!AM15</f>
        <v>215.7934700075931</v>
      </c>
      <c r="HF191" s="2417">
        <f>+'ANEXO M.O.'!AN15</f>
        <v>216.02126044039491</v>
      </c>
      <c r="HG191" s="2417">
        <f>+'ANEXO M.O.'!AO15</f>
        <v>229.08124525436602</v>
      </c>
      <c r="HH191" s="2417">
        <f>+'ANEXO M.O.'!AP15</f>
        <v>237.28170083523162</v>
      </c>
      <c r="HI191" s="2417">
        <f>+'ANEXO M.O.'!AQ15</f>
        <v>241.60971905846625</v>
      </c>
      <c r="HJ191" s="2417">
        <f>+'ANEXO M.O.'!AR15</f>
        <v>242.44495064540627</v>
      </c>
      <c r="HK191" s="2417">
        <f>+'ANEXO M.O.'!AS15</f>
        <v>250.64540622627186</v>
      </c>
      <c r="HL191" s="2417">
        <f>+'ANEXO M.O.'!AT15</f>
        <v>274.79119210326502</v>
      </c>
      <c r="HM191" s="2417">
        <f>+'ANEXO M.O.'!AU15</f>
        <v>290.28094153378896</v>
      </c>
      <c r="HN191" s="2417">
        <f>+'ANEXO M.O.'!AV15</f>
        <v>290.35687167805622</v>
      </c>
      <c r="HO191" s="2417">
        <f>+'ANEXO M.O.'!AW15</f>
        <v>302.88534548215642</v>
      </c>
      <c r="HP191" s="2417">
        <f>+'ANEXO M.O.'!AX15</f>
        <v>313.51556567957482</v>
      </c>
      <c r="HQ191" s="2417">
        <f>+'ANEXO M.O.'!AY15</f>
        <v>313.51556567957482</v>
      </c>
      <c r="HR191" s="2417">
        <f>+'ANEXO M.O.'!AZ15</f>
        <v>337.28170083523162</v>
      </c>
      <c r="HS191" s="2417">
        <f>+'ANEXO M.O.'!BA15</f>
        <v>357.02353834472291</v>
      </c>
      <c r="HT191" s="2417">
        <f>+'ANEXO M.O.'!BB15</f>
        <v>357.02353834472291</v>
      </c>
      <c r="HU191" s="2417">
        <f>+'ANEXO M.O.'!BC15</f>
        <v>395.36826119969641</v>
      </c>
      <c r="HV191" s="2417">
        <f>+'ANEXO M.O.'!BD15</f>
        <v>420.42520880789687</v>
      </c>
      <c r="HW191" s="2417">
        <f>+'ANEXO M.O.'!BE15</f>
        <v>420.72892938496597</v>
      </c>
      <c r="HX191" s="2417">
        <f>+'ANEXO M.O.'!BF15</f>
        <v>422.17160212604415</v>
      </c>
      <c r="HY191" s="2417">
        <f>+'ANEXO M.O.'!BG15</f>
        <v>425.58845861807151</v>
      </c>
      <c r="HZ191" s="2417">
        <f>+'ANEXO M.O.'!BH15</f>
        <v>426.19589977220966</v>
      </c>
      <c r="IA191" s="2417">
        <f>+'ANEXO M.O.'!BI15</f>
        <v>426.42369020501155</v>
      </c>
      <c r="IB191" s="2417">
        <f>+'ANEXO M.O.'!BJ15</f>
        <v>426.42369020501155</v>
      </c>
      <c r="IC191" s="2417">
        <f>+'ANEXO M.O.'!BK15</f>
        <v>429.1571753986334</v>
      </c>
      <c r="ID191" s="2417">
        <f>+'ANEXO M.O.'!BL15</f>
        <v>432.64996203492791</v>
      </c>
      <c r="IE191" s="2417">
        <f>+'ANEXO M.O.'!BM15</f>
        <v>502.20197418375102</v>
      </c>
      <c r="IF191" s="2417">
        <f>+'ANEXO M.O.'!BN15</f>
        <v>502.6575550493547</v>
      </c>
      <c r="IG191" s="2417">
        <f>+'ANEXO M.O.'!BO15</f>
        <v>502.6575550493547</v>
      </c>
      <c r="IH191" s="2417">
        <f>+'ANEXO M.O.'!BP15</f>
        <v>535.07972665148077</v>
      </c>
      <c r="II191" s="2417">
        <f>+'ANEXO M.O.'!BQ15</f>
        <v>535.23158694001518</v>
      </c>
      <c r="IJ191" s="2417">
        <f>+'ANEXO M.O.'!BR15</f>
        <v>600.07593014426732</v>
      </c>
      <c r="IK191" s="2417">
        <f>+'ANEXO M.O.'!BS15</f>
        <v>601.51860288534556</v>
      </c>
      <c r="IL191" s="2417">
        <f>+'ANEXO M.O.'!BT15</f>
        <v>601.59453302961265</v>
      </c>
      <c r="IM191" s="2417">
        <f>+'ANEXO M.O.'!BU15</f>
        <v>654.06226271829905</v>
      </c>
      <c r="IN191" s="2417">
        <f>+'ANEXO M.O.'!BV15</f>
        <v>654.06226271829905</v>
      </c>
      <c r="IO191" s="2417">
        <f>+'ANEXO M.O.'!BW15</f>
        <v>680.25816249050854</v>
      </c>
      <c r="IP191" s="2417">
        <f>+'ANEXO M.O.'!BX15</f>
        <v>716.47684130599839</v>
      </c>
      <c r="IQ191" s="2417">
        <f>+'ANEXO M.O.'!BY15</f>
        <v>716.47684130599839</v>
      </c>
      <c r="IR191" s="2417">
        <f>+'ANEXO M.O.'!BZ15</f>
        <v>717.46393318147284</v>
      </c>
      <c r="IS191" s="2417">
        <f>+'ANEXO M.O.'!CA15</f>
        <v>744.26727410782053</v>
      </c>
      <c r="IT191" s="2417">
        <f>+'ANEXO M.O.'!CB15</f>
        <v>796.81093394077413</v>
      </c>
      <c r="IU191" s="2417">
        <f>+'ANEXO M.O.'!CC15</f>
        <v>843.35611237661317</v>
      </c>
      <c r="IV191" s="2417">
        <f>+'ANEXO M.O.'!CD15</f>
        <v>843.96355353075126</v>
      </c>
      <c r="IW191" s="2417">
        <f>+'ANEXO M.O.'!CE15</f>
        <v>922.70311313591458</v>
      </c>
      <c r="IX191" s="2417">
        <f>+'ANEXO M.O.'!CF15</f>
        <v>1004.2520880789668</v>
      </c>
      <c r="IY191" s="2417">
        <f>+'ANEXO M.O.'!CG15</f>
        <v>1004.2520880789668</v>
      </c>
      <c r="IZ191" s="2417">
        <f>+'ANEXO M.O.'!CH15</f>
        <v>1069.0205011389519</v>
      </c>
      <c r="JA191" s="2417">
        <f>+'ANEXO M.O.'!CI15</f>
        <v>1170.7668944570992</v>
      </c>
      <c r="JB191" s="2417">
        <f>+'ANEXO M.O.'!CJ15</f>
        <v>1277.6006074411534</v>
      </c>
      <c r="JC191" s="2417">
        <f>+'ANEXO M.O.'!CK15</f>
        <v>1378.6636294608954</v>
      </c>
      <c r="JD191" s="2415">
        <f>+'ANEXO M.O.'!CL15</f>
        <v>1513.5914958238416</v>
      </c>
      <c r="JE191" s="2422">
        <f>+'ANEXO M.O.'!CM15</f>
        <v>1613.9711465451778</v>
      </c>
      <c r="JF191" s="2418">
        <f>+'ANEXO M.O.'!CN15</f>
        <v>1718.0713743356105</v>
      </c>
      <c r="JG191" s="2103">
        <f t="shared" si="14"/>
        <v>1.0644994354535189</v>
      </c>
      <c r="JI191" s="2155"/>
      <c r="JJ191" s="2104"/>
    </row>
    <row r="192" spans="2:271" ht="29.45" customHeight="1">
      <c r="B192" s="2105">
        <v>411</v>
      </c>
      <c r="C192" s="2106" t="s">
        <v>1001</v>
      </c>
      <c r="D192" s="2425">
        <v>0</v>
      </c>
      <c r="E192" s="2128" t="s">
        <v>373</v>
      </c>
      <c r="F192" s="2106"/>
      <c r="G192" s="2106" t="s">
        <v>1001</v>
      </c>
      <c r="H192" s="2106" t="s">
        <v>1001</v>
      </c>
      <c r="I192" s="2106"/>
      <c r="J192" s="2127" t="s">
        <v>766</v>
      </c>
      <c r="K192" s="2425" t="s">
        <v>1047</v>
      </c>
      <c r="L192" s="2409">
        <v>96.7</v>
      </c>
      <c r="M192" s="2409">
        <v>98.1</v>
      </c>
      <c r="N192" s="2409">
        <v>99.5</v>
      </c>
      <c r="O192" s="2409">
        <v>100.2</v>
      </c>
      <c r="P192" s="2409">
        <v>105</v>
      </c>
      <c r="Q192" s="2409">
        <v>107.1</v>
      </c>
      <c r="R192" s="2409">
        <v>110</v>
      </c>
      <c r="S192" s="2409">
        <v>115</v>
      </c>
      <c r="T192" s="2409">
        <v>118.3</v>
      </c>
      <c r="U192" s="2409">
        <v>120</v>
      </c>
      <c r="V192" s="2409">
        <v>120.5</v>
      </c>
      <c r="W192" s="2409">
        <v>121</v>
      </c>
      <c r="X192" s="2409">
        <v>121.2</v>
      </c>
      <c r="Y192" s="2409">
        <v>123.8</v>
      </c>
      <c r="Z192" s="2409">
        <v>125</v>
      </c>
      <c r="AA192" s="2409">
        <v>126.7</v>
      </c>
      <c r="AB192" s="2409">
        <v>126.7</v>
      </c>
      <c r="AC192" s="2409">
        <v>129.4</v>
      </c>
      <c r="AD192" s="2409">
        <v>130.1</v>
      </c>
      <c r="AE192" s="2409">
        <v>130.5</v>
      </c>
      <c r="AF192" s="2409">
        <v>130.9</v>
      </c>
      <c r="AG192" s="2409">
        <v>131.80000000000001</v>
      </c>
      <c r="AH192" s="2409">
        <v>133.1</v>
      </c>
      <c r="AI192" s="2409">
        <v>133.9</v>
      </c>
      <c r="AJ192" s="2409">
        <v>134.80000000000001</v>
      </c>
      <c r="AK192" s="2409">
        <v>136.6</v>
      </c>
      <c r="AL192" s="2409">
        <v>138.80000000000001</v>
      </c>
      <c r="AM192" s="2409">
        <v>139</v>
      </c>
      <c r="AN192" s="2409">
        <v>140.19999999999999</v>
      </c>
      <c r="AO192" s="2409">
        <v>140.69999999999999</v>
      </c>
      <c r="AP192" s="2409">
        <v>141</v>
      </c>
      <c r="AQ192" s="2409">
        <v>142.4</v>
      </c>
      <c r="AR192" s="2409">
        <v>142.69999999999999</v>
      </c>
      <c r="AS192" s="2409">
        <v>144</v>
      </c>
      <c r="AT192" s="2409">
        <v>144.80000000000001</v>
      </c>
      <c r="AU192" s="2409">
        <v>145.80000000000001</v>
      </c>
      <c r="AV192" s="2409">
        <v>147.19999999999999</v>
      </c>
      <c r="AW192" s="2410">
        <v>152.6</v>
      </c>
      <c r="AX192" s="2410">
        <v>154.19999999999999</v>
      </c>
      <c r="AY192" s="2410">
        <v>156.6</v>
      </c>
      <c r="AZ192" s="2410">
        <v>161.19999999999999</v>
      </c>
      <c r="BA192" s="2410">
        <v>162.19999999999999</v>
      </c>
      <c r="BB192" s="2410">
        <v>163.4</v>
      </c>
      <c r="BC192" s="2410">
        <v>164.4</v>
      </c>
      <c r="BD192" s="2411">
        <v>166.8</v>
      </c>
      <c r="BE192" s="2410">
        <v>167.5</v>
      </c>
      <c r="BF192" s="2411">
        <v>169</v>
      </c>
      <c r="BG192" s="2411">
        <v>171.4</v>
      </c>
      <c r="BH192" s="2411">
        <v>171.9</v>
      </c>
      <c r="BI192" s="2412">
        <v>174.7</v>
      </c>
      <c r="BJ192" s="2412">
        <v>176.7</v>
      </c>
      <c r="BK192" s="2412">
        <v>177.7</v>
      </c>
      <c r="BL192" s="2412">
        <v>179.7</v>
      </c>
      <c r="BM192" s="2412">
        <v>180.5</v>
      </c>
      <c r="BN192" s="2412">
        <v>186.4</v>
      </c>
      <c r="BO192" s="2412">
        <v>188.2</v>
      </c>
      <c r="BP192" s="2412">
        <v>190.4</v>
      </c>
      <c r="BQ192" s="2412">
        <v>191.8</v>
      </c>
      <c r="BR192" s="2412">
        <v>193.8</v>
      </c>
      <c r="BS192" s="2412">
        <v>195.2</v>
      </c>
      <c r="BT192" s="2412">
        <v>196.7</v>
      </c>
      <c r="BU192" s="2412">
        <v>198.6</v>
      </c>
      <c r="BV192" s="2412">
        <v>207.4</v>
      </c>
      <c r="BW192" s="2412">
        <v>208.8</v>
      </c>
      <c r="BX192" s="2412">
        <v>209.8</v>
      </c>
      <c r="BY192" s="2412">
        <v>217.8</v>
      </c>
      <c r="BZ192" s="2412">
        <v>222.4</v>
      </c>
      <c r="CA192" s="2412">
        <v>226.8</v>
      </c>
      <c r="CB192" s="2412">
        <v>229.9</v>
      </c>
      <c r="CC192" s="2412">
        <v>231.4</v>
      </c>
      <c r="CD192" s="2412">
        <v>235.9</v>
      </c>
      <c r="CE192" s="2412">
        <v>235.8</v>
      </c>
      <c r="CF192" s="2412">
        <v>236.8</v>
      </c>
      <c r="CG192" s="2412">
        <v>241.8</v>
      </c>
      <c r="CH192" s="2412">
        <v>245.2</v>
      </c>
      <c r="CI192" s="2412">
        <v>247</v>
      </c>
      <c r="CJ192" s="2412">
        <v>251</v>
      </c>
      <c r="CK192" s="2412">
        <v>261.2</v>
      </c>
      <c r="CL192" s="2412">
        <v>260.8</v>
      </c>
      <c r="CM192" s="2412">
        <v>270.39999999999998</v>
      </c>
      <c r="CN192" s="2412">
        <v>274.3</v>
      </c>
      <c r="CO192" s="2412">
        <v>279.39999999999998</v>
      </c>
      <c r="CP192" s="2412">
        <v>280</v>
      </c>
      <c r="CQ192" s="2412">
        <v>281.60000000000002</v>
      </c>
      <c r="CR192" s="2412">
        <v>283.60000000000002</v>
      </c>
      <c r="CS192" s="2412">
        <v>285.7</v>
      </c>
      <c r="CT192" s="2412">
        <v>287.7</v>
      </c>
      <c r="CU192" s="2412">
        <v>290.3</v>
      </c>
      <c r="CV192" s="2412">
        <v>291.89999999999998</v>
      </c>
      <c r="CW192" s="2412">
        <v>296.39999999999998</v>
      </c>
      <c r="CX192" s="2412">
        <v>300.3</v>
      </c>
      <c r="CY192" s="2412">
        <v>302.5</v>
      </c>
      <c r="CZ192" s="2412">
        <v>307.7</v>
      </c>
      <c r="DA192" s="2412">
        <v>309.60000000000002</v>
      </c>
      <c r="DB192" s="2412">
        <v>315.10000000000002</v>
      </c>
      <c r="DC192" s="2412">
        <v>319</v>
      </c>
      <c r="DD192" s="2412">
        <v>319.7</v>
      </c>
      <c r="DE192" s="2412">
        <v>321.39999999999998</v>
      </c>
      <c r="DF192" s="2412">
        <v>326.2</v>
      </c>
      <c r="DG192" s="2412">
        <v>337.5</v>
      </c>
      <c r="DH192" s="2412">
        <v>331.1</v>
      </c>
      <c r="DI192" s="2412">
        <v>349.2</v>
      </c>
      <c r="DJ192" s="2412">
        <v>354.1</v>
      </c>
      <c r="DK192" s="2412">
        <v>354.4</v>
      </c>
      <c r="DL192" s="2412">
        <v>361.3</v>
      </c>
      <c r="DM192" s="2412">
        <v>363.8</v>
      </c>
      <c r="DN192" s="2412">
        <v>375.6</v>
      </c>
      <c r="DO192" s="2412">
        <v>377.7</v>
      </c>
      <c r="DP192" s="2412">
        <v>386.3</v>
      </c>
      <c r="DQ192" s="2412">
        <v>409</v>
      </c>
      <c r="DR192" s="2412">
        <v>416.9</v>
      </c>
      <c r="DS192" s="2412">
        <v>421.1</v>
      </c>
      <c r="DT192" s="2412">
        <v>430.5</v>
      </c>
      <c r="DU192" s="2412">
        <v>436.9</v>
      </c>
      <c r="DV192" s="2412">
        <v>434.7</v>
      </c>
      <c r="DW192" s="2412">
        <v>447.3</v>
      </c>
      <c r="DX192" s="2412">
        <v>454.2</v>
      </c>
      <c r="DY192" s="2412">
        <v>470.2</v>
      </c>
      <c r="DZ192" s="2412">
        <v>477.5</v>
      </c>
      <c r="EA192" s="2412">
        <v>479.1</v>
      </c>
      <c r="EB192" s="2412">
        <v>504.2</v>
      </c>
      <c r="EC192" s="2412">
        <v>540.20000000000005</v>
      </c>
      <c r="ED192" s="2412">
        <v>547.1</v>
      </c>
      <c r="EE192" s="2412">
        <v>548.70000000000005</v>
      </c>
      <c r="EF192" s="2412">
        <v>564.5</v>
      </c>
      <c r="EG192" s="2412">
        <v>543.1</v>
      </c>
      <c r="EH192" s="2412">
        <v>581.5</v>
      </c>
      <c r="EI192" s="2412">
        <v>603.5</v>
      </c>
      <c r="EJ192" s="2412">
        <v>618.6</v>
      </c>
      <c r="EK192" s="2412">
        <v>624.1</v>
      </c>
      <c r="EL192" s="2412">
        <v>625.6</v>
      </c>
      <c r="EM192" s="2412">
        <v>628</v>
      </c>
      <c r="EN192" s="2412">
        <v>633.1</v>
      </c>
      <c r="EO192" s="2412">
        <v>637.70000000000005</v>
      </c>
      <c r="EP192" s="2412">
        <v>653.5</v>
      </c>
      <c r="EQ192" s="2412">
        <v>660.4</v>
      </c>
      <c r="ER192" s="2412">
        <v>689</v>
      </c>
      <c r="ES192" s="2412">
        <v>702.3</v>
      </c>
      <c r="ET192" s="2412">
        <v>739.4</v>
      </c>
      <c r="EU192" s="2412">
        <v>724.5</v>
      </c>
      <c r="EV192" s="2412">
        <v>734.5</v>
      </c>
      <c r="EW192" s="2412">
        <v>748</v>
      </c>
      <c r="EX192" s="2412">
        <v>753.7</v>
      </c>
      <c r="EY192" s="2412">
        <v>757.7</v>
      </c>
      <c r="EZ192" s="2412">
        <v>766.2</v>
      </c>
      <c r="FA192" s="2412">
        <v>777.3</v>
      </c>
      <c r="FB192" s="2412">
        <v>818.7</v>
      </c>
      <c r="FC192" s="2412">
        <v>835.6</v>
      </c>
      <c r="FD192" s="2412">
        <v>902.9</v>
      </c>
      <c r="FE192" s="2412">
        <v>912.3</v>
      </c>
      <c r="FF192" s="2412">
        <v>931.4</v>
      </c>
      <c r="FG192" s="2412">
        <v>958.5</v>
      </c>
      <c r="FH192" s="2412">
        <v>990.4</v>
      </c>
      <c r="FI192" s="2412">
        <v>994.4</v>
      </c>
      <c r="FJ192" s="2412">
        <v>1001.3</v>
      </c>
      <c r="FK192" s="2412">
        <v>1012.6</v>
      </c>
      <c r="FL192" s="2412">
        <v>1012.3</v>
      </c>
      <c r="FM192" s="2412">
        <v>1033.3</v>
      </c>
      <c r="FN192" s="2412">
        <v>1043.9000000000001</v>
      </c>
      <c r="FO192" s="2412">
        <v>1046.5999999999999</v>
      </c>
      <c r="FP192" s="2412">
        <v>1059.5</v>
      </c>
      <c r="FQ192" s="2412">
        <v>1129.0999999999999</v>
      </c>
      <c r="FR192" s="2412">
        <v>1138.8</v>
      </c>
      <c r="FS192" s="2412">
        <v>1155.8</v>
      </c>
      <c r="FT192" s="2412">
        <v>1196.5</v>
      </c>
      <c r="FU192" s="2412">
        <v>1209.3</v>
      </c>
      <c r="FV192" s="2412">
        <v>1239.4000000000001</v>
      </c>
      <c r="FW192" s="2413">
        <f>+'NIV-GEN.'!E25</f>
        <v>1264.7352412101391</v>
      </c>
      <c r="FX192" s="2413">
        <f>+'NIV-GEN.'!F25</f>
        <v>1329.5934587080949</v>
      </c>
      <c r="FY192" s="2416">
        <f>+'NIV-GEN.'!G25</f>
        <v>100</v>
      </c>
      <c r="FZ192" s="2417">
        <f>+'NIV-GEN.'!H25</f>
        <v>102.73871206513694</v>
      </c>
      <c r="GA192" s="2417">
        <f>+'NIV-GEN.'!I25</f>
        <v>103.77498149518874</v>
      </c>
      <c r="GB192" s="2417">
        <f>+'NIV-GEN.'!J25</f>
        <v>112.21317542561064</v>
      </c>
      <c r="GC192" s="2417">
        <f>+'NIV-GEN.'!K25</f>
        <v>113.32346410066616</v>
      </c>
      <c r="GD192" s="2417">
        <f>+'NIV-GEN.'!L25</f>
        <v>114.28571428571429</v>
      </c>
      <c r="GE192" s="2417">
        <f>+'NIV-GEN.'!M25</f>
        <v>115.76609918578832</v>
      </c>
      <c r="GF192" s="2417">
        <f>+'NIV-GEN.'!N25</f>
        <v>116.21021465581052</v>
      </c>
      <c r="GG192" s="2417">
        <f>+'NIV-GEN.'!O25</f>
        <v>117.09844559585493</v>
      </c>
      <c r="GH192" s="2417">
        <f>+'NIV-GEN.'!P25</f>
        <v>122.72390821613621</v>
      </c>
      <c r="GI192" s="2417">
        <f>+'NIV-GEN.'!Q25</f>
        <v>123.90821613619542</v>
      </c>
      <c r="GJ192" s="2417">
        <f>+'NIV-GEN.'!R25</f>
        <v>126.79496669133977</v>
      </c>
      <c r="GK192" s="2417">
        <f>+'NIV-GEN.'!S25</f>
        <v>131.97631384159882</v>
      </c>
      <c r="GL192" s="2417">
        <f>+'NIV-GEN.'!T25</f>
        <v>132.49444855662472</v>
      </c>
      <c r="GM192" s="2417">
        <f>+'NIV-GEN.'!U25</f>
        <v>133.23464100666175</v>
      </c>
      <c r="GN192" s="2417">
        <f>+'NIV-GEN.'!V25</f>
        <v>138.63804589193194</v>
      </c>
      <c r="GO192" s="2417">
        <f>+'NIV-GEN.'!W25</f>
        <v>140.19245003700965</v>
      </c>
      <c r="GP192" s="2417">
        <f>+'NIV-GEN.'!X25</f>
        <v>141.52479644707626</v>
      </c>
      <c r="GQ192" s="2417">
        <f>+'NIV-GEN.'!Y25</f>
        <v>149.66691339748337</v>
      </c>
      <c r="GR192" s="2417">
        <f>+'NIV-GEN.'!Z25</f>
        <v>151.3693560325685</v>
      </c>
      <c r="GS192" s="2417">
        <f>+'NIV-GEN.'!AA25</f>
        <v>152.6276831976314</v>
      </c>
      <c r="GT192" s="2417">
        <f>+'NIV-GEN.'!AB25</f>
        <v>153.960029607698</v>
      </c>
      <c r="GU192" s="2417">
        <f>+'NIV-GEN.'!AC25</f>
        <v>155.51443375277574</v>
      </c>
      <c r="GV192" s="2417">
        <f>+'NIV-GEN.'!AD25</f>
        <v>157.43893412287196</v>
      </c>
      <c r="GW192" s="2417">
        <f>+'NIV-GEN.'!AE25</f>
        <v>162.99037749814951</v>
      </c>
      <c r="GX192" s="2417">
        <f>+'NIV-GEN.'!AF25</f>
        <v>165.13693560325683</v>
      </c>
      <c r="GY192" s="2417">
        <f>+'NIV-GEN.'!AG25</f>
        <v>170.09622501850481</v>
      </c>
      <c r="GZ192" s="2417">
        <f>+'NIV-GEN.'!AH25</f>
        <v>177.3501110288675</v>
      </c>
      <c r="HA192" s="2417">
        <f>+'NIV-GEN.'!AI25</f>
        <v>183.93782383419688</v>
      </c>
      <c r="HB192" s="2417">
        <f>+'NIV-GEN.'!AJ25</f>
        <v>192.00592153960025</v>
      </c>
      <c r="HC192" s="2417">
        <f>+'NIV-GEN.'!AK25</f>
        <v>195.70688378978531</v>
      </c>
      <c r="HD192" s="2417">
        <f>+'NIV-GEN.'!AL25</f>
        <v>209.91857883049593</v>
      </c>
      <c r="HE192" s="2417">
        <f>+'NIV-GEN.'!AM25</f>
        <v>225.83271650629163</v>
      </c>
      <c r="HF192" s="2417">
        <f>+'NIV-GEN.'!AN25</f>
        <v>230.56994818652851</v>
      </c>
      <c r="HG192" s="2417">
        <f>+'NIV-GEN.'!AO25</f>
        <v>239.60029607698002</v>
      </c>
      <c r="HH192" s="2417">
        <f>+'NIV-GEN.'!AP25</f>
        <v>245.37379718726871</v>
      </c>
      <c r="HI192" s="2417">
        <f>+'NIV-GEN.'!AQ25</f>
        <v>251.14729829755743</v>
      </c>
      <c r="HJ192" s="2417">
        <f>+'NIV-GEN.'!AR25</f>
        <v>256.18060695780912</v>
      </c>
      <c r="HK192" s="2417">
        <f>+'NIV-GEN.'!AS25</f>
        <v>267.20947446336055</v>
      </c>
      <c r="HL192" s="2417">
        <f>+'NIV-GEN.'!AT25</f>
        <v>282.38341968911925</v>
      </c>
      <c r="HM192" s="2417">
        <f>+'NIV-GEN.'!AU25</f>
        <v>292.8201332346411</v>
      </c>
      <c r="HN192" s="2417">
        <f>+'NIV-GEN.'!AV25</f>
        <v>296.81717246484095</v>
      </c>
      <c r="HO192" s="2417">
        <f>+'NIV-GEN.'!AW25</f>
        <v>303.99703923019996</v>
      </c>
      <c r="HP192" s="2417">
        <f>+'NIV-GEN.'!AX25</f>
        <v>335.60325684678025</v>
      </c>
      <c r="HQ192" s="2417">
        <f>+'NIV-GEN.'!AY25</f>
        <v>339.74833456698752</v>
      </c>
      <c r="HR192" s="2417">
        <f>+'NIV-GEN.'!AZ25</f>
        <v>360.0296076980016</v>
      </c>
      <c r="HS192" s="2417">
        <f>+'NIV-GEN.'!BA25</f>
        <v>379.79274611398978</v>
      </c>
      <c r="HT192" s="2417">
        <f>+'NIV-GEN.'!BB25</f>
        <v>379.79274611398978</v>
      </c>
      <c r="HU192" s="2417">
        <f>+'NIV-GEN.'!BC25</f>
        <v>399.40784603997054</v>
      </c>
      <c r="HV192" s="2417">
        <f>+'NIV-GEN.'!BD25</f>
        <v>414.65581051073292</v>
      </c>
      <c r="HW192" s="2417">
        <f>+'NIV-GEN.'!BE25</f>
        <v>418.4307920059216</v>
      </c>
      <c r="HX192" s="2417">
        <f>+'NIV-GEN.'!BF25</f>
        <v>424.13027387120667</v>
      </c>
      <c r="HY192" s="2417">
        <f>+'NIV-GEN.'!BG25</f>
        <v>435.30717986676552</v>
      </c>
      <c r="HZ192" s="2417">
        <f>+'NIV-GEN.'!BH25</f>
        <v>443.07920059215411</v>
      </c>
      <c r="IA192" s="2417">
        <f>+'NIV-GEN.'!BI25</f>
        <v>455.36639526276849</v>
      </c>
      <c r="IB192" s="2417">
        <f>+'NIV-GEN.'!BJ25</f>
        <v>467.43153219837171</v>
      </c>
      <c r="IC192" s="2417">
        <f>+'NIV-GEN.'!BK25</f>
        <v>485.41820873427099</v>
      </c>
      <c r="ID192" s="2417">
        <f>+'NIV-GEN.'!BL25</f>
        <v>514.50777202072561</v>
      </c>
      <c r="IE192" s="2417">
        <f>+'NIV-GEN.'!BM25</f>
        <v>565.06291635825335</v>
      </c>
      <c r="IF192" s="2417">
        <f>+'NIV-GEN.'!BN25</f>
        <v>588.00888230940063</v>
      </c>
      <c r="IG192" s="2417">
        <f>+'NIV-GEN.'!BO25</f>
        <v>610.58475203552939</v>
      </c>
      <c r="IH192" s="2417">
        <f>+'NIV-GEN.'!BP25</f>
        <v>645.96595114729848</v>
      </c>
      <c r="II192" s="2417">
        <f>+'NIV-GEN.'!BQ25</f>
        <v>663.7305699481866</v>
      </c>
      <c r="IJ192" s="2417">
        <f>+'NIV-GEN.'!BR25</f>
        <v>709.91857883049602</v>
      </c>
      <c r="IK192" s="2417">
        <f>+'NIV-GEN.'!BS25</f>
        <v>731.60621761658035</v>
      </c>
      <c r="IL192" s="2417">
        <f>+'NIV-GEN.'!BT25</f>
        <v>748.55662472242784</v>
      </c>
      <c r="IM192" s="2417">
        <f>+'NIV-GEN.'!BU25</f>
        <v>788.89711324944483</v>
      </c>
      <c r="IN192" s="2417">
        <f>+'NIV-GEN.'!BV25</f>
        <v>806.66173205033306</v>
      </c>
      <c r="IO192" s="2417">
        <f>+'NIV-GEN.'!BW25</f>
        <v>837.30569948186542</v>
      </c>
      <c r="IP192" s="2417">
        <f>+'NIV-GEN.'!BX25</f>
        <v>873.57512953367882</v>
      </c>
      <c r="IQ192" s="2417">
        <f>+'NIV-GEN.'!BY25</f>
        <v>895.63286454478168</v>
      </c>
      <c r="IR192" s="2417">
        <f>+'NIV-GEN.'!BZ25</f>
        <v>913.61954108068096</v>
      </c>
      <c r="IS192" s="2417">
        <f>+'NIV-GEN.'!CA25</f>
        <v>948.55662472242784</v>
      </c>
      <c r="IT192" s="2417">
        <f>+'NIV-GEN.'!CB25</f>
        <v>995.18874907475958</v>
      </c>
      <c r="IU192" s="2417">
        <f>+'NIV-GEN.'!CC25</f>
        <v>1048.2605477424133</v>
      </c>
      <c r="IV192" s="2417">
        <f>+'NIV-GEN.'!CD25</f>
        <v>1086.010362694301</v>
      </c>
      <c r="IW192" s="2417">
        <f>+'NIV-GEN.'!CE25</f>
        <v>1157.5869726128799</v>
      </c>
      <c r="IX192" s="2417">
        <f>+'NIV-GEN.'!CF25</f>
        <v>1236.269430051814</v>
      </c>
      <c r="IY192" s="2417">
        <f>+'NIV-GEN.'!CG25</f>
        <v>1320.5033308660256</v>
      </c>
      <c r="IZ192" s="2417">
        <f>+'NIV-GEN.'!CH25</f>
        <v>1410.7327905255372</v>
      </c>
      <c r="JA192" s="2417">
        <f>+'NIV-GEN.'!CI25</f>
        <v>1518.8008882309407</v>
      </c>
      <c r="JB192" s="2417">
        <f>+'NIV-GEN.'!CJ25</f>
        <v>1637.2316802368623</v>
      </c>
      <c r="JC192" s="2417">
        <f>+'NIV-GEN.'!CK25</f>
        <v>1754.0340488527024</v>
      </c>
      <c r="JD192" s="2415">
        <f>+'NIV-GEN.'!CL25</f>
        <v>1889.1931902294609</v>
      </c>
      <c r="JE192" s="2422">
        <f>+'NIV-GEN.'!CM25</f>
        <v>2008.216136195412</v>
      </c>
      <c r="JF192" s="2418">
        <f>+'NIV-GEN.'!CN25</f>
        <v>2120.873427091045</v>
      </c>
      <c r="JG192" s="2103">
        <f t="shared" si="14"/>
        <v>1.0560981902620619</v>
      </c>
      <c r="JI192" s="2155"/>
      <c r="JJ192" s="2104"/>
    </row>
    <row r="193" spans="2:271" hidden="1">
      <c r="B193" s="2105"/>
      <c r="C193" s="2128"/>
      <c r="D193" s="2425"/>
      <c r="E193" s="2128"/>
      <c r="F193" s="2106"/>
      <c r="G193" s="2106"/>
      <c r="H193" s="2106"/>
      <c r="I193" s="2106"/>
      <c r="J193" s="2127"/>
      <c r="K193" s="2425"/>
      <c r="L193" s="2110"/>
      <c r="M193" s="2110"/>
      <c r="N193" s="2110"/>
      <c r="O193" s="2110"/>
      <c r="P193" s="2110"/>
      <c r="Q193" s="2110"/>
      <c r="R193" s="2110"/>
      <c r="S193" s="2110"/>
      <c r="T193" s="2110"/>
      <c r="U193" s="2110"/>
      <c r="V193" s="2110"/>
      <c r="W193" s="2110"/>
      <c r="X193" s="2110"/>
      <c r="Y193" s="2110"/>
      <c r="Z193" s="2110"/>
      <c r="AA193" s="2110"/>
      <c r="AB193" s="2110"/>
      <c r="AC193" s="2110"/>
      <c r="AD193" s="2110"/>
      <c r="AE193" s="2110"/>
      <c r="AF193" s="2110"/>
      <c r="AG193" s="2110"/>
      <c r="AH193" s="2110"/>
      <c r="AI193" s="2110"/>
      <c r="AJ193" s="2110"/>
      <c r="AK193" s="2110"/>
      <c r="AL193" s="2110"/>
      <c r="AM193" s="2110"/>
      <c r="AN193" s="2110"/>
      <c r="AO193" s="2110"/>
      <c r="AP193" s="2110"/>
      <c r="AQ193" s="2110"/>
      <c r="AR193" s="2110"/>
      <c r="AS193" s="2110"/>
      <c r="AT193" s="2110"/>
      <c r="AU193" s="2110"/>
      <c r="AV193" s="2110"/>
      <c r="AW193" s="2111"/>
      <c r="AX193" s="2111"/>
      <c r="AY193" s="2111"/>
      <c r="AZ193" s="2111"/>
      <c r="BA193" s="2111"/>
      <c r="BB193" s="2111"/>
      <c r="BC193" s="2111"/>
      <c r="BD193" s="2112"/>
      <c r="BE193" s="2111"/>
      <c r="BF193" s="2112"/>
      <c r="BG193" s="2112"/>
      <c r="BH193" s="2112"/>
      <c r="BI193" s="2108"/>
      <c r="BJ193" s="2108"/>
      <c r="BK193" s="2108"/>
      <c r="BL193" s="2108"/>
      <c r="BM193" s="2108"/>
      <c r="BN193" s="2108"/>
      <c r="BO193" s="2108"/>
      <c r="BP193" s="2108"/>
      <c r="BQ193" s="2108"/>
      <c r="BR193" s="2108"/>
      <c r="BS193" s="2108"/>
      <c r="BT193" s="2108"/>
      <c r="BU193" s="2108"/>
      <c r="BV193" s="2108"/>
      <c r="BW193" s="2108"/>
      <c r="BX193" s="2108"/>
      <c r="BY193" s="2108"/>
      <c r="BZ193" s="2108"/>
      <c r="CA193" s="2108"/>
      <c r="CB193" s="2108"/>
      <c r="CC193" s="2108"/>
      <c r="CD193" s="2108"/>
      <c r="CE193" s="2108"/>
      <c r="CF193" s="2108"/>
      <c r="CG193" s="2108"/>
      <c r="CH193" s="2108"/>
      <c r="CI193" s="2108"/>
      <c r="CJ193" s="2108"/>
      <c r="CK193" s="2108"/>
      <c r="CL193" s="2108"/>
      <c r="CM193" s="2108"/>
      <c r="CN193" s="2108"/>
      <c r="CO193" s="2108"/>
      <c r="CP193" s="2108"/>
      <c r="CQ193" s="2108"/>
      <c r="CR193" s="2108"/>
      <c r="CS193" s="2108"/>
      <c r="CT193" s="2108"/>
      <c r="CU193" s="2108"/>
      <c r="CV193" s="2108"/>
      <c r="CW193" s="2108"/>
      <c r="CX193" s="2108"/>
      <c r="CY193" s="2108"/>
      <c r="CZ193" s="2108"/>
      <c r="DA193" s="2108"/>
      <c r="DB193" s="2108"/>
      <c r="DC193" s="2108"/>
      <c r="DD193" s="2108"/>
      <c r="DE193" s="2108"/>
      <c r="DF193" s="2108"/>
      <c r="DG193" s="2108"/>
      <c r="DH193" s="2108"/>
      <c r="DI193" s="2108"/>
      <c r="DJ193" s="2108"/>
      <c r="DK193" s="2108"/>
      <c r="DL193" s="2108"/>
      <c r="DM193" s="2108"/>
      <c r="DN193" s="2108"/>
      <c r="DO193" s="2108"/>
      <c r="DP193" s="2108"/>
      <c r="DQ193" s="2108"/>
      <c r="DR193" s="2108"/>
      <c r="DS193" s="2108"/>
      <c r="DT193" s="2108"/>
      <c r="DU193" s="2108"/>
      <c r="DV193" s="2108"/>
      <c r="DW193" s="2108"/>
      <c r="DX193" s="2108"/>
      <c r="DY193" s="2108"/>
      <c r="DZ193" s="2108"/>
      <c r="EA193" s="2108"/>
      <c r="EB193" s="2108"/>
      <c r="EC193" s="2108"/>
      <c r="ED193" s="2108"/>
      <c r="EE193" s="2108"/>
      <c r="EF193" s="2108"/>
      <c r="EG193" s="2108"/>
      <c r="EH193" s="2108"/>
      <c r="EI193" s="2108"/>
      <c r="EJ193" s="2108"/>
      <c r="EK193" s="2108"/>
      <c r="EL193" s="2108"/>
      <c r="EM193" s="2108"/>
      <c r="EN193" s="2108"/>
      <c r="EO193" s="2108"/>
      <c r="EP193" s="2108"/>
      <c r="EQ193" s="2108"/>
      <c r="ER193" s="2108"/>
      <c r="ES193" s="2108"/>
      <c r="ET193" s="2108"/>
      <c r="EU193" s="2108"/>
      <c r="EV193" s="2108"/>
      <c r="EW193" s="2108"/>
      <c r="EX193" s="2108"/>
      <c r="EY193" s="2108"/>
      <c r="EZ193" s="2108"/>
      <c r="FA193" s="2108"/>
      <c r="FB193" s="2108"/>
      <c r="FC193" s="2108"/>
      <c r="FD193" s="2108"/>
      <c r="FE193" s="2108"/>
      <c r="FF193" s="2108"/>
      <c r="FG193" s="2108"/>
      <c r="FH193" s="2108"/>
      <c r="FI193" s="2108"/>
      <c r="FJ193" s="2108"/>
      <c r="FK193" s="2108"/>
      <c r="FL193" s="2108"/>
      <c r="FM193" s="2108"/>
      <c r="FN193" s="2108"/>
      <c r="FO193" s="2108"/>
      <c r="FP193" s="2108"/>
      <c r="FQ193" s="2108"/>
      <c r="FR193" s="2108"/>
      <c r="FS193" s="2108"/>
      <c r="FT193" s="2108"/>
      <c r="FU193" s="2108"/>
      <c r="FV193" s="2108"/>
      <c r="FW193" s="2113"/>
      <c r="FX193" s="2113"/>
      <c r="FY193" s="2113">
        <v>100</v>
      </c>
      <c r="FZ193" s="2113" t="e">
        <f>+FY193*(#REF!/#REF!)</f>
        <v>#REF!</v>
      </c>
      <c r="GA193" s="2113" t="e">
        <f>+FZ193*(#REF!/#REF!)</f>
        <v>#REF!</v>
      </c>
      <c r="GB193" s="2113" t="e">
        <f>+GA193*(#REF!/#REF!)</f>
        <v>#REF!</v>
      </c>
      <c r="GC193" s="2113" t="e">
        <f>+GB193*(#REF!/#REF!)</f>
        <v>#REF!</v>
      </c>
      <c r="GD193" s="2113" t="e">
        <f>+GC193*(#REF!/#REF!)</f>
        <v>#REF!</v>
      </c>
      <c r="GE193" s="2113" t="e">
        <f>+GD193*(#REF!/#REF!)</f>
        <v>#REF!</v>
      </c>
      <c r="GF193" s="2114" t="e">
        <f>+GE193*(#REF!/#REF!)</f>
        <v>#REF!</v>
      </c>
      <c r="GG193" s="1960" t="e">
        <f>+GF193*(#REF!/#REF!)</f>
        <v>#REF!</v>
      </c>
      <c r="GH193" s="2114" t="e">
        <f>+GG193*(#REF!/#REF!)</f>
        <v>#REF!</v>
      </c>
      <c r="GI193" s="2114" t="e">
        <f>+GH193*(#REF!/#REF!)</f>
        <v>#REF!</v>
      </c>
      <c r="GJ193" s="2113" t="e">
        <f>+GI193*(#REF!/#REF!)</f>
        <v>#REF!</v>
      </c>
      <c r="GK193" s="2113" t="e">
        <f>+GJ193*(#REF!/#REF!)</f>
        <v>#REF!</v>
      </c>
      <c r="GL193" s="2113" t="e">
        <f>+GK193*(#REF!/#REF!)</f>
        <v>#REF!</v>
      </c>
      <c r="GM193" s="2114" t="e">
        <f>+GL193*(#REF!/#REF!)</f>
        <v>#REF!</v>
      </c>
      <c r="GN193" s="2114" t="e">
        <f>+GM193*(#REF!/#REF!)</f>
        <v>#REF!</v>
      </c>
      <c r="GO193" s="2115" t="e">
        <f>+GN193*(#REF!/#REF!)</f>
        <v>#REF!</v>
      </c>
      <c r="GP193" s="2116" t="e">
        <f>+GO193*(#REF!/#REF!)</f>
        <v>#REF!</v>
      </c>
      <c r="GQ193" s="2116" t="e">
        <f>+GP193*(#REF!/#REF!)</f>
        <v>#REF!</v>
      </c>
      <c r="GR193" s="2116" t="e">
        <f>+GQ193*(#REF!/#REF!)</f>
        <v>#REF!</v>
      </c>
      <c r="GS193" s="2116" t="e">
        <f>+GR193*(#REF!/#REF!)</f>
        <v>#REF!</v>
      </c>
      <c r="GT193" s="1960" t="e">
        <f>+GS193*(#REF!/#REF!)</f>
        <v>#REF!</v>
      </c>
      <c r="GU193" s="1960" t="e">
        <f>+GT193*(#REF!/#REF!)</f>
        <v>#REF!</v>
      </c>
      <c r="GV193" s="1960" t="e">
        <f>+GU193*(#REF!/#REF!)</f>
        <v>#REF!</v>
      </c>
      <c r="GW193" s="1960" t="e">
        <f>+GV193*(#REF!/#REF!)</f>
        <v>#REF!</v>
      </c>
      <c r="GX193" s="1960" t="e">
        <f>+GW193*(#REF!/#REF!)</f>
        <v>#REF!</v>
      </c>
      <c r="GY193" s="1960" t="e">
        <f>+GX193*(#REF!/#REF!)</f>
        <v>#REF!</v>
      </c>
      <c r="GZ193" s="1960" t="e">
        <f>+GY193*(#REF!/#REF!)</f>
        <v>#REF!</v>
      </c>
      <c r="HA193" s="1960" t="e">
        <f>+GZ193*(#REF!/#REF!)</f>
        <v>#REF!</v>
      </c>
      <c r="HB193" s="1960" t="e">
        <f>+HA193*(#REF!/#REF!)</f>
        <v>#REF!</v>
      </c>
      <c r="HC193" s="1960" t="e">
        <f>+HB193*(#REF!/#REF!)</f>
        <v>#REF!</v>
      </c>
      <c r="HD193" s="1960" t="e">
        <f>+HC193*(#REF!/#REF!)</f>
        <v>#REF!</v>
      </c>
      <c r="HE193" s="1960" t="e">
        <f>+HD193*(#REF!/#REF!)</f>
        <v>#REF!</v>
      </c>
      <c r="HF193" s="1960" t="e">
        <f>+HE193*(#REF!/#REF!)</f>
        <v>#REF!</v>
      </c>
      <c r="HG193" s="1960" t="e">
        <f>+HF193*(#REF!/#REF!)</f>
        <v>#REF!</v>
      </c>
      <c r="HH193" s="2117" t="e">
        <f>+HG193*(#REF!/#REF!)</f>
        <v>#REF!</v>
      </c>
      <c r="HI193" s="1960" t="e">
        <f>+HH193*(#REF!/#REF!)</f>
        <v>#REF!</v>
      </c>
      <c r="HJ193" s="1960" t="e">
        <f>+HI193*(#REF!/#REF!)</f>
        <v>#REF!</v>
      </c>
      <c r="HK193" s="1960" t="e">
        <f>+HJ193*(#REF!/#REF!)</f>
        <v>#REF!</v>
      </c>
      <c r="HL193" s="1960" t="e">
        <f>+HK193*(#REF!/#REF!)</f>
        <v>#REF!</v>
      </c>
      <c r="HM193" s="1960" t="e">
        <f>+HL193*(#REF!/#REF!)</f>
        <v>#REF!</v>
      </c>
      <c r="HN193" s="1960" t="e">
        <f>+HM193*(#REF!/#REF!)</f>
        <v>#REF!</v>
      </c>
      <c r="HO193" s="1960" t="e">
        <f>+HN193*(#REF!/#REF!)</f>
        <v>#REF!</v>
      </c>
      <c r="HP193" s="1960" t="e">
        <f>+HO193*(#REF!/#REF!)</f>
        <v>#REF!</v>
      </c>
      <c r="HQ193" s="1960" t="e">
        <f>+HP193*(#REF!/#REF!)</f>
        <v>#REF!</v>
      </c>
      <c r="HR193" s="1960" t="e">
        <f>+HQ193*(#REF!/#REF!)</f>
        <v>#REF!</v>
      </c>
      <c r="HS193" s="1960" t="e">
        <f>+HR193*(#REF!/#REF!)</f>
        <v>#REF!</v>
      </c>
      <c r="HT193" s="1962" t="e">
        <f>+HS193*(#REF!/#REF!)</f>
        <v>#REF!</v>
      </c>
      <c r="HU193" s="1961" t="e">
        <f>+HT193*(#REF!/#REF!)</f>
        <v>#REF!</v>
      </c>
      <c r="HV193" s="1960" t="e">
        <f>+HU193*(#REF!/#REF!)</f>
        <v>#REF!</v>
      </c>
      <c r="HW193" s="1960" t="e">
        <f>+HV193*(#REF!/#REF!)</f>
        <v>#REF!</v>
      </c>
      <c r="HX193" s="1960" t="e">
        <f>+HW193*(#REF!/#REF!)</f>
        <v>#REF!</v>
      </c>
      <c r="HY193" s="1960" t="e">
        <f>+HX193*(#REF!/#REF!)</f>
        <v>#REF!</v>
      </c>
      <c r="HZ193" s="1960" t="e">
        <f>+HY193*(#REF!/#REF!)</f>
        <v>#REF!</v>
      </c>
      <c r="IA193" s="1960" t="e">
        <f>+HZ193*(#REF!/#REF!)</f>
        <v>#REF!</v>
      </c>
      <c r="IB193" s="1960" t="e">
        <f>+IA193*(#REF!/#REF!)</f>
        <v>#REF!</v>
      </c>
      <c r="IC193" s="1960" t="e">
        <f>+IB193*(#REF!/#REF!)</f>
        <v>#REF!</v>
      </c>
      <c r="ID193" s="1960" t="e">
        <f>+IC193*(#REF!/#REF!)</f>
        <v>#REF!</v>
      </c>
      <c r="IE193" s="1960" t="e">
        <f>+ID193*(#REF!/#REF!)</f>
        <v>#REF!</v>
      </c>
      <c r="IF193" s="1960" t="e">
        <f>+IE193*(#REF!/#REF!)</f>
        <v>#REF!</v>
      </c>
      <c r="IG193" s="1961" t="e">
        <f>+IF193*(#REF!/#REF!)</f>
        <v>#REF!</v>
      </c>
      <c r="IH193" s="1960" t="e">
        <f>+IG193*(#REF!/#REF!)</f>
        <v>#REF!</v>
      </c>
      <c r="II193" s="1960" t="e">
        <f>+IH193*(#REF!/#REF!)</f>
        <v>#REF!</v>
      </c>
      <c r="IJ193" s="1961" t="e">
        <f>+II193*(#REF!/#REF!)</f>
        <v>#REF!</v>
      </c>
      <c r="IK193" s="1960" t="e">
        <f>+IJ193*(#REF!/#REF!)</f>
        <v>#REF!</v>
      </c>
      <c r="IL193" s="1960" t="e">
        <f>+IK193*(#REF!/#REF!)</f>
        <v>#REF!</v>
      </c>
      <c r="IM193" s="1960" t="e">
        <f>+IL193*(#REF!/#REF!)</f>
        <v>#REF!</v>
      </c>
      <c r="IN193" s="1960" t="e">
        <f>+IM193*(#REF!/#REF!)</f>
        <v>#REF!</v>
      </c>
      <c r="IO193" s="1960" t="e">
        <f>+IN193*(#REF!/#REF!)</f>
        <v>#REF!</v>
      </c>
      <c r="IP193" s="1960" t="e">
        <f>+IO193*(#REF!/#REF!)</f>
        <v>#REF!</v>
      </c>
      <c r="IQ193" s="1960" t="e">
        <f>+IP193*(#REF!/#REF!)</f>
        <v>#REF!</v>
      </c>
      <c r="IR193" s="1960" t="e">
        <f>+IQ193*(#REF!/#REF!)</f>
        <v>#REF!</v>
      </c>
      <c r="IS193" s="2274" t="e">
        <f>+IR193*(#REF!/#REF!)</f>
        <v>#REF!</v>
      </c>
      <c r="IT193" s="1960" t="e">
        <f>+IS193*(#REF!/#REF!)</f>
        <v>#REF!</v>
      </c>
      <c r="IU193" s="1960" t="e">
        <f>+IT193*(#REF!/#REF!)</f>
        <v>#REF!</v>
      </c>
      <c r="IV193" s="1960" t="e">
        <f>+IU193*(#REF!/#REF!)</f>
        <v>#REF!</v>
      </c>
      <c r="IW193" s="1960" t="e">
        <f>+IV193*(#REF!/#REF!)</f>
        <v>#REF!</v>
      </c>
      <c r="IX193" s="1960" t="e">
        <f>+IW193*(#REF!/#REF!)</f>
        <v>#REF!</v>
      </c>
      <c r="IY193" s="1960" t="e">
        <f>+IX193*(#REF!/#REF!)</f>
        <v>#REF!</v>
      </c>
      <c r="IZ193" s="1960" t="e">
        <f>+IY193*(#REF!/#REF!)</f>
        <v>#REF!</v>
      </c>
      <c r="JA193" s="1960" t="e">
        <f>+IZ193*(#REF!/#REF!)</f>
        <v>#REF!</v>
      </c>
      <c r="JB193" s="1960" t="e">
        <f>+JA193*(#REF!/#REF!)</f>
        <v>#REF!</v>
      </c>
      <c r="JC193" s="1960" t="e">
        <f>+JB193*(#REF!/#REF!)</f>
        <v>#REF!</v>
      </c>
      <c r="JD193" s="1960"/>
      <c r="JE193" s="2274" t="e">
        <v>#N/A</v>
      </c>
      <c r="JF193" s="2117" t="e">
        <v>#N/A</v>
      </c>
      <c r="JG193" s="2103" t="e">
        <f t="shared" si="14"/>
        <v>#N/A</v>
      </c>
      <c r="JI193" s="2155"/>
      <c r="JJ193" s="2104"/>
    </row>
    <row r="194" spans="2:271" hidden="1">
      <c r="B194" s="2105"/>
      <c r="C194" s="2128"/>
      <c r="D194" s="2425"/>
      <c r="E194" s="2128"/>
      <c r="F194" s="2106"/>
      <c r="G194" s="2106"/>
      <c r="H194" s="2106"/>
      <c r="I194" s="2106"/>
      <c r="J194" s="2127"/>
      <c r="K194" s="2425"/>
      <c r="L194" s="2110"/>
      <c r="M194" s="2110"/>
      <c r="N194" s="2110"/>
      <c r="O194" s="2110"/>
      <c r="P194" s="2110"/>
      <c r="Q194" s="2110"/>
      <c r="R194" s="2110"/>
      <c r="S194" s="2110"/>
      <c r="T194" s="2110"/>
      <c r="U194" s="2110"/>
      <c r="V194" s="2110"/>
      <c r="W194" s="2110"/>
      <c r="X194" s="2110"/>
      <c r="Y194" s="2110"/>
      <c r="Z194" s="2110"/>
      <c r="AA194" s="2110"/>
      <c r="AB194" s="2110"/>
      <c r="AC194" s="2110"/>
      <c r="AD194" s="2110"/>
      <c r="AE194" s="2110"/>
      <c r="AF194" s="2110"/>
      <c r="AG194" s="2110"/>
      <c r="AH194" s="2110"/>
      <c r="AI194" s="2110"/>
      <c r="AJ194" s="2110"/>
      <c r="AK194" s="2110"/>
      <c r="AL194" s="2110"/>
      <c r="AM194" s="2110"/>
      <c r="AN194" s="2110"/>
      <c r="AO194" s="2110"/>
      <c r="AP194" s="2110"/>
      <c r="AQ194" s="2110"/>
      <c r="AR194" s="2110"/>
      <c r="AS194" s="2110"/>
      <c r="AT194" s="2110"/>
      <c r="AU194" s="2110"/>
      <c r="AV194" s="2110"/>
      <c r="AW194" s="2111"/>
      <c r="AX194" s="2111"/>
      <c r="AY194" s="2111"/>
      <c r="AZ194" s="2111"/>
      <c r="BA194" s="2111"/>
      <c r="BB194" s="2111"/>
      <c r="BC194" s="2111"/>
      <c r="BD194" s="2112"/>
      <c r="BE194" s="2111"/>
      <c r="BF194" s="2112"/>
      <c r="BG194" s="2112"/>
      <c r="BH194" s="2112"/>
      <c r="BI194" s="2108"/>
      <c r="BJ194" s="2108"/>
      <c r="BK194" s="2108"/>
      <c r="BL194" s="2108"/>
      <c r="BM194" s="2108"/>
      <c r="BN194" s="2108"/>
      <c r="BO194" s="2108"/>
      <c r="BP194" s="2108"/>
      <c r="BQ194" s="2108"/>
      <c r="BR194" s="2108"/>
      <c r="BS194" s="2108"/>
      <c r="BT194" s="2108"/>
      <c r="BU194" s="2108"/>
      <c r="BV194" s="2108"/>
      <c r="BW194" s="2108"/>
      <c r="BX194" s="2108"/>
      <c r="BY194" s="2108"/>
      <c r="BZ194" s="2108"/>
      <c r="CA194" s="2108"/>
      <c r="CB194" s="2108"/>
      <c r="CC194" s="2108"/>
      <c r="CD194" s="2108"/>
      <c r="CE194" s="2108"/>
      <c r="CF194" s="2108"/>
      <c r="CG194" s="2108"/>
      <c r="CH194" s="2108"/>
      <c r="CI194" s="2108"/>
      <c r="CJ194" s="2108"/>
      <c r="CK194" s="2108"/>
      <c r="CL194" s="2108"/>
      <c r="CM194" s="2108"/>
      <c r="CN194" s="2108"/>
      <c r="CO194" s="2108"/>
      <c r="CP194" s="2108"/>
      <c r="CQ194" s="2108"/>
      <c r="CR194" s="2108"/>
      <c r="CS194" s="2108"/>
      <c r="CT194" s="2108"/>
      <c r="CU194" s="2108"/>
      <c r="CV194" s="2108"/>
      <c r="CW194" s="2108"/>
      <c r="CX194" s="2108"/>
      <c r="CY194" s="2108"/>
      <c r="CZ194" s="2108"/>
      <c r="DA194" s="2108"/>
      <c r="DB194" s="2108"/>
      <c r="DC194" s="2108"/>
      <c r="DD194" s="2108"/>
      <c r="DE194" s="2108"/>
      <c r="DF194" s="2108"/>
      <c r="DG194" s="2108"/>
      <c r="DH194" s="2108"/>
      <c r="DI194" s="2108"/>
      <c r="DJ194" s="2108"/>
      <c r="DK194" s="2108"/>
      <c r="DL194" s="2108"/>
      <c r="DM194" s="2108"/>
      <c r="DN194" s="2108"/>
      <c r="DO194" s="2108"/>
      <c r="DP194" s="2108"/>
      <c r="DQ194" s="2108"/>
      <c r="DR194" s="2108"/>
      <c r="DS194" s="2108"/>
      <c r="DT194" s="2108"/>
      <c r="DU194" s="2108"/>
      <c r="DV194" s="2108"/>
      <c r="DW194" s="2108"/>
      <c r="DX194" s="2108"/>
      <c r="DY194" s="2108"/>
      <c r="DZ194" s="2108"/>
      <c r="EA194" s="2108"/>
      <c r="EB194" s="2108"/>
      <c r="EC194" s="2108"/>
      <c r="ED194" s="2108"/>
      <c r="EE194" s="2108"/>
      <c r="EF194" s="2108"/>
      <c r="EG194" s="2108"/>
      <c r="EH194" s="2108"/>
      <c r="EI194" s="2108"/>
      <c r="EJ194" s="2108"/>
      <c r="EK194" s="2108"/>
      <c r="EL194" s="2108"/>
      <c r="EM194" s="2108"/>
      <c r="EN194" s="2108"/>
      <c r="EO194" s="2108"/>
      <c r="EP194" s="2108"/>
      <c r="EQ194" s="2108"/>
      <c r="ER194" s="2108"/>
      <c r="ES194" s="2108"/>
      <c r="ET194" s="2108"/>
      <c r="EU194" s="2108"/>
      <c r="EV194" s="2108"/>
      <c r="EW194" s="2108"/>
      <c r="EX194" s="2108"/>
      <c r="EY194" s="2108"/>
      <c r="EZ194" s="2108"/>
      <c r="FA194" s="2108"/>
      <c r="FB194" s="2108"/>
      <c r="FC194" s="2108"/>
      <c r="FD194" s="2108"/>
      <c r="FE194" s="2108"/>
      <c r="FF194" s="2108"/>
      <c r="FG194" s="2108"/>
      <c r="FH194" s="2108"/>
      <c r="FI194" s="2108"/>
      <c r="FJ194" s="2108"/>
      <c r="FK194" s="2108"/>
      <c r="FL194" s="2108"/>
      <c r="FM194" s="2108"/>
      <c r="FN194" s="2108"/>
      <c r="FO194" s="2108"/>
      <c r="FP194" s="2108"/>
      <c r="FQ194" s="2108"/>
      <c r="FR194" s="2108"/>
      <c r="FS194" s="2108"/>
      <c r="FT194" s="2108"/>
      <c r="FU194" s="2108"/>
      <c r="FV194" s="2108"/>
      <c r="FW194" s="2113"/>
      <c r="FX194" s="2113"/>
      <c r="FY194" s="2113">
        <v>100</v>
      </c>
      <c r="FZ194" s="2113" t="e">
        <f>+FY194*(#REF!/#REF!)</f>
        <v>#REF!</v>
      </c>
      <c r="GA194" s="2113" t="e">
        <f>+FZ194*(#REF!/#REF!)</f>
        <v>#REF!</v>
      </c>
      <c r="GB194" s="2113" t="e">
        <f>+GA194*(#REF!/#REF!)</f>
        <v>#REF!</v>
      </c>
      <c r="GC194" s="2113" t="e">
        <f>+GB194*(#REF!/#REF!)</f>
        <v>#REF!</v>
      </c>
      <c r="GD194" s="2113" t="e">
        <f>+GC194*(#REF!/#REF!)</f>
        <v>#REF!</v>
      </c>
      <c r="GE194" s="2113" t="e">
        <f>+GD194*(#REF!/#REF!)</f>
        <v>#REF!</v>
      </c>
      <c r="GF194" s="2114" t="e">
        <f>+GE194*(#REF!/#REF!)</f>
        <v>#REF!</v>
      </c>
      <c r="GG194" s="1960" t="e">
        <f>+GF194*(#REF!/#REF!)</f>
        <v>#REF!</v>
      </c>
      <c r="GH194" s="2114" t="e">
        <f>+GG194*(#REF!/#REF!)</f>
        <v>#REF!</v>
      </c>
      <c r="GI194" s="2114" t="e">
        <f>+GH194*(#REF!/#REF!)</f>
        <v>#REF!</v>
      </c>
      <c r="GJ194" s="2113" t="e">
        <f>+GI194*(#REF!/#REF!)</f>
        <v>#REF!</v>
      </c>
      <c r="GK194" s="2113" t="e">
        <f>+GJ194*(#REF!/#REF!)</f>
        <v>#REF!</v>
      </c>
      <c r="GL194" s="2113" t="e">
        <f>+GK194*(#REF!/#REF!)</f>
        <v>#REF!</v>
      </c>
      <c r="GM194" s="2114" t="e">
        <f>+GL194*(#REF!/#REF!)</f>
        <v>#REF!</v>
      </c>
      <c r="GN194" s="2114" t="e">
        <f>+GM194*(#REF!/#REF!)</f>
        <v>#REF!</v>
      </c>
      <c r="GO194" s="2115" t="e">
        <f>+GN194*(#REF!/#REF!)</f>
        <v>#REF!</v>
      </c>
      <c r="GP194" s="2116" t="e">
        <f>+GO194*(#REF!/#REF!)</f>
        <v>#REF!</v>
      </c>
      <c r="GQ194" s="2116" t="e">
        <f>+GP194*(#REF!/#REF!)</f>
        <v>#REF!</v>
      </c>
      <c r="GR194" s="2116" t="e">
        <f>+GQ194*(#REF!/#REF!)</f>
        <v>#REF!</v>
      </c>
      <c r="GS194" s="2116" t="e">
        <f>+GR194*(#REF!/#REF!)</f>
        <v>#REF!</v>
      </c>
      <c r="GT194" s="1960" t="e">
        <f>+GS194*(#REF!/#REF!)</f>
        <v>#REF!</v>
      </c>
      <c r="GU194" s="1960" t="e">
        <f>+GT194*(#REF!/#REF!)</f>
        <v>#REF!</v>
      </c>
      <c r="GV194" s="1960" t="e">
        <f>+GU194*(#REF!/#REF!)</f>
        <v>#REF!</v>
      </c>
      <c r="GW194" s="1960" t="e">
        <f>+GV194*(#REF!/#REF!)</f>
        <v>#REF!</v>
      </c>
      <c r="GX194" s="1960" t="e">
        <f>+GW194*(#REF!/#REF!)</f>
        <v>#REF!</v>
      </c>
      <c r="GY194" s="1960" t="e">
        <f>+GX194*(#REF!/#REF!)</f>
        <v>#REF!</v>
      </c>
      <c r="GZ194" s="1960" t="e">
        <f>+GY194*(#REF!/#REF!)</f>
        <v>#REF!</v>
      </c>
      <c r="HA194" s="1960" t="e">
        <f>+GZ194*(#REF!/#REF!)</f>
        <v>#REF!</v>
      </c>
      <c r="HB194" s="1960" t="e">
        <f>+HA194*(#REF!/#REF!)</f>
        <v>#REF!</v>
      </c>
      <c r="HC194" s="1960" t="e">
        <f>+HB194*(#REF!/#REF!)</f>
        <v>#REF!</v>
      </c>
      <c r="HD194" s="1960" t="e">
        <f>+HC194*(#REF!/#REF!)</f>
        <v>#REF!</v>
      </c>
      <c r="HE194" s="1960" t="e">
        <f>+HD194*(#REF!/#REF!)</f>
        <v>#REF!</v>
      </c>
      <c r="HF194" s="1960" t="e">
        <f>+HE194*(#REF!/#REF!)</f>
        <v>#REF!</v>
      </c>
      <c r="HG194" s="1960" t="e">
        <f>+HF194*(#REF!/#REF!)</f>
        <v>#REF!</v>
      </c>
      <c r="HH194" s="2117" t="e">
        <f>+HG194*(#REF!/#REF!)</f>
        <v>#REF!</v>
      </c>
      <c r="HI194" s="1960" t="e">
        <f>+HH194*(#REF!/#REF!)</f>
        <v>#REF!</v>
      </c>
      <c r="HJ194" s="1960" t="e">
        <f>+HI194*(#REF!/#REF!)</f>
        <v>#REF!</v>
      </c>
      <c r="HK194" s="1960" t="e">
        <f>+HJ194*(#REF!/#REF!)</f>
        <v>#REF!</v>
      </c>
      <c r="HL194" s="1960" t="e">
        <f>+HK194*(#REF!/#REF!)</f>
        <v>#REF!</v>
      </c>
      <c r="HM194" s="1960" t="e">
        <f>+HL194*(#REF!/#REF!)</f>
        <v>#REF!</v>
      </c>
      <c r="HN194" s="1960" t="e">
        <f>+HM194*(#REF!/#REF!)</f>
        <v>#REF!</v>
      </c>
      <c r="HO194" s="1960" t="e">
        <f>+HN194*(#REF!/#REF!)</f>
        <v>#REF!</v>
      </c>
      <c r="HP194" s="1960" t="e">
        <f>+HO194*(#REF!/#REF!)</f>
        <v>#REF!</v>
      </c>
      <c r="HQ194" s="1960" t="e">
        <f>+HP194*(#REF!/#REF!)</f>
        <v>#REF!</v>
      </c>
      <c r="HR194" s="1960" t="e">
        <f>+HQ194*(#REF!/#REF!)</f>
        <v>#REF!</v>
      </c>
      <c r="HS194" s="1960" t="e">
        <f>+HR194*(#REF!/#REF!)</f>
        <v>#REF!</v>
      </c>
      <c r="HT194" s="1962" t="e">
        <f>+HS194*(#REF!/#REF!)</f>
        <v>#REF!</v>
      </c>
      <c r="HU194" s="1961" t="e">
        <f>+HT194*(#REF!/#REF!)</f>
        <v>#REF!</v>
      </c>
      <c r="HV194" s="1960" t="e">
        <f>+HU194*(#REF!/#REF!)</f>
        <v>#REF!</v>
      </c>
      <c r="HW194" s="1960" t="e">
        <f>+HV194*(#REF!/#REF!)</f>
        <v>#REF!</v>
      </c>
      <c r="HX194" s="1960" t="e">
        <f>+HW194*(#REF!/#REF!)</f>
        <v>#REF!</v>
      </c>
      <c r="HY194" s="1960" t="e">
        <f>+HX194*(#REF!/#REF!)</f>
        <v>#REF!</v>
      </c>
      <c r="HZ194" s="1960" t="e">
        <f>+HY194*(#REF!/#REF!)</f>
        <v>#REF!</v>
      </c>
      <c r="IA194" s="1960" t="e">
        <f>+HZ194*(#REF!/#REF!)</f>
        <v>#REF!</v>
      </c>
      <c r="IB194" s="1960" t="e">
        <f>+IA194*(#REF!/#REF!)</f>
        <v>#REF!</v>
      </c>
      <c r="IC194" s="1960" t="e">
        <f>+IB194*(#REF!/#REF!)</f>
        <v>#REF!</v>
      </c>
      <c r="ID194" s="1960" t="e">
        <f>+IC194*(#REF!/#REF!)</f>
        <v>#REF!</v>
      </c>
      <c r="IE194" s="1960" t="e">
        <f>+ID194*(#REF!/#REF!)</f>
        <v>#REF!</v>
      </c>
      <c r="IF194" s="1960" t="e">
        <f>+IE194*(#REF!/#REF!)</f>
        <v>#REF!</v>
      </c>
      <c r="IG194" s="1961" t="e">
        <f>+IF194*(#REF!/#REF!)</f>
        <v>#REF!</v>
      </c>
      <c r="IH194" s="1960" t="e">
        <f>+IG194*(#REF!/#REF!)</f>
        <v>#REF!</v>
      </c>
      <c r="II194" s="1960" t="e">
        <f>+IH194*(#REF!/#REF!)</f>
        <v>#REF!</v>
      </c>
      <c r="IJ194" s="1961" t="e">
        <f>+II194*(#REF!/#REF!)</f>
        <v>#REF!</v>
      </c>
      <c r="IK194" s="1960" t="e">
        <f>+IJ194*(#REF!/#REF!)</f>
        <v>#REF!</v>
      </c>
      <c r="IL194" s="1960" t="e">
        <f>+IK194*(#REF!/#REF!)</f>
        <v>#REF!</v>
      </c>
      <c r="IM194" s="1960" t="e">
        <f>+IL194*(#REF!/#REF!)</f>
        <v>#REF!</v>
      </c>
      <c r="IN194" s="1960" t="e">
        <f>+IM194*(#REF!/#REF!)</f>
        <v>#REF!</v>
      </c>
      <c r="IO194" s="1960" t="e">
        <f>+IN194*(#REF!/#REF!)</f>
        <v>#REF!</v>
      </c>
      <c r="IP194" s="1960" t="e">
        <f>+IO194*(#REF!/#REF!)</f>
        <v>#REF!</v>
      </c>
      <c r="IQ194" s="1960" t="e">
        <f>+IP194*(#REF!/#REF!)</f>
        <v>#REF!</v>
      </c>
      <c r="IR194" s="1960" t="e">
        <f>+IQ194*(#REF!/#REF!)</f>
        <v>#REF!</v>
      </c>
      <c r="IS194" s="2274" t="e">
        <f>+IR194*(#REF!/#REF!)</f>
        <v>#REF!</v>
      </c>
      <c r="IT194" s="1960" t="e">
        <f>+IS194*(#REF!/#REF!)</f>
        <v>#REF!</v>
      </c>
      <c r="IU194" s="1960" t="e">
        <f>+IT194*(#REF!/#REF!)</f>
        <v>#REF!</v>
      </c>
      <c r="IV194" s="1960" t="e">
        <f>+IU194*(#REF!/#REF!)</f>
        <v>#REF!</v>
      </c>
      <c r="IW194" s="1960" t="e">
        <f>+IV194*(#REF!/#REF!)</f>
        <v>#REF!</v>
      </c>
      <c r="IX194" s="1960" t="e">
        <f>+IW194*(#REF!/#REF!)</f>
        <v>#REF!</v>
      </c>
      <c r="IY194" s="1960" t="e">
        <f>+IX194*(#REF!/#REF!)</f>
        <v>#REF!</v>
      </c>
      <c r="IZ194" s="1960" t="e">
        <f>+IY194*(#REF!/#REF!)</f>
        <v>#REF!</v>
      </c>
      <c r="JA194" s="1960" t="e">
        <f>+IZ194*(#REF!/#REF!)</f>
        <v>#REF!</v>
      </c>
      <c r="JB194" s="1960" t="e">
        <f>+JA194*(#REF!/#REF!)</f>
        <v>#REF!</v>
      </c>
      <c r="JC194" s="1960" t="e">
        <f>+JB194*(#REF!/#REF!)</f>
        <v>#REF!</v>
      </c>
      <c r="JD194" s="1960"/>
      <c r="JE194" s="2274" t="e">
        <v>#N/A</v>
      </c>
      <c r="JF194" s="2117" t="e">
        <v>#N/A</v>
      </c>
      <c r="JG194" s="2103" t="e">
        <f t="shared" si="14"/>
        <v>#N/A</v>
      </c>
      <c r="JI194" s="2155"/>
      <c r="JJ194" s="2104"/>
    </row>
    <row r="195" spans="2:271" ht="19.5" customHeight="1">
      <c r="B195" s="2105">
        <v>500</v>
      </c>
      <c r="C195" s="2106" t="s">
        <v>1001</v>
      </c>
      <c r="D195" s="2425"/>
      <c r="E195" s="2128" t="s">
        <v>376</v>
      </c>
      <c r="F195" s="2128"/>
      <c r="G195" s="2106" t="s">
        <v>1001</v>
      </c>
      <c r="H195" s="2106" t="s">
        <v>1001</v>
      </c>
      <c r="I195" s="2106"/>
      <c r="J195" s="2359" t="s">
        <v>222</v>
      </c>
      <c r="K195" s="2425" t="s">
        <v>1046</v>
      </c>
      <c r="L195" s="2409">
        <v>96.5</v>
      </c>
      <c r="M195" s="2409">
        <v>101.8</v>
      </c>
      <c r="N195" s="2409">
        <v>113.4</v>
      </c>
      <c r="O195" s="2409">
        <v>122.4</v>
      </c>
      <c r="P195" s="2409">
        <v>136.19999999999999</v>
      </c>
      <c r="Q195" s="2409">
        <v>146.30000000000001</v>
      </c>
      <c r="R195" s="2409">
        <v>153.5</v>
      </c>
      <c r="S195" s="2409">
        <v>158.9</v>
      </c>
      <c r="T195" s="2409">
        <v>161.69999999999999</v>
      </c>
      <c r="U195" s="2409">
        <v>164.2</v>
      </c>
      <c r="V195" s="2409">
        <v>166.3</v>
      </c>
      <c r="W195" s="2409">
        <v>167.6</v>
      </c>
      <c r="X195" s="2409">
        <v>167.9</v>
      </c>
      <c r="Y195" s="2409">
        <v>167.3</v>
      </c>
      <c r="Z195" s="2409">
        <v>167.1</v>
      </c>
      <c r="AA195" s="2409">
        <v>167.5</v>
      </c>
      <c r="AB195" s="2409">
        <v>167.6</v>
      </c>
      <c r="AC195" s="2409">
        <v>167.5</v>
      </c>
      <c r="AD195" s="2409">
        <v>167.7</v>
      </c>
      <c r="AE195" s="2409">
        <v>167.9</v>
      </c>
      <c r="AF195" s="2409">
        <v>169.2</v>
      </c>
      <c r="AG195" s="2409">
        <v>170.6</v>
      </c>
      <c r="AH195" s="2409">
        <v>170.9</v>
      </c>
      <c r="AI195" s="2409">
        <v>172.5</v>
      </c>
      <c r="AJ195" s="2409">
        <v>174.4</v>
      </c>
      <c r="AK195" s="2409">
        <v>175.5</v>
      </c>
      <c r="AL195" s="2409">
        <v>178.6</v>
      </c>
      <c r="AM195" s="2409">
        <v>182.6</v>
      </c>
      <c r="AN195" s="2409">
        <v>185.7</v>
      </c>
      <c r="AO195" s="2409">
        <v>188.8</v>
      </c>
      <c r="AP195" s="2409">
        <v>191.6</v>
      </c>
      <c r="AQ195" s="2409">
        <v>193.1</v>
      </c>
      <c r="AR195" s="2409">
        <v>194.9</v>
      </c>
      <c r="AS195" s="2409">
        <v>195.6</v>
      </c>
      <c r="AT195" s="2409">
        <v>197.5</v>
      </c>
      <c r="AU195" s="2409">
        <v>198.9</v>
      </c>
      <c r="AV195" s="2409">
        <v>200.2</v>
      </c>
      <c r="AW195" s="2410">
        <v>202.5</v>
      </c>
      <c r="AX195" s="2410">
        <v>204.3</v>
      </c>
      <c r="AY195" s="2410">
        <v>206.4</v>
      </c>
      <c r="AZ195" s="2410">
        <v>207.8</v>
      </c>
      <c r="BA195" s="2410">
        <v>209.4</v>
      </c>
      <c r="BB195" s="2410">
        <v>210.2</v>
      </c>
      <c r="BC195" s="2410">
        <v>211.2</v>
      </c>
      <c r="BD195" s="2411">
        <v>212.8</v>
      </c>
      <c r="BE195" s="2410">
        <v>214</v>
      </c>
      <c r="BF195" s="2411">
        <v>215.9</v>
      </c>
      <c r="BG195" s="2411">
        <v>219</v>
      </c>
      <c r="BH195" s="2411">
        <v>221.1</v>
      </c>
      <c r="BI195" s="2412">
        <v>223.6</v>
      </c>
      <c r="BJ195" s="2412">
        <v>226.3</v>
      </c>
      <c r="BK195" s="2412">
        <v>229.5</v>
      </c>
      <c r="BL195" s="2412">
        <v>233.2</v>
      </c>
      <c r="BM195" s="2412">
        <v>241.6</v>
      </c>
      <c r="BN195" s="2412">
        <v>244</v>
      </c>
      <c r="BO195" s="2412">
        <v>246.3</v>
      </c>
      <c r="BP195" s="2412">
        <v>248</v>
      </c>
      <c r="BQ195" s="2412">
        <v>249.3</v>
      </c>
      <c r="BR195" s="2412">
        <v>251.7</v>
      </c>
      <c r="BS195" s="2412">
        <v>253.4</v>
      </c>
      <c r="BT195" s="2412">
        <v>254</v>
      </c>
      <c r="BU195" s="2412">
        <v>257.7</v>
      </c>
      <c r="BV195" s="2412">
        <v>259.3</v>
      </c>
      <c r="BW195" s="2412">
        <v>263.39999999999998</v>
      </c>
      <c r="BX195" s="2412">
        <v>268.3</v>
      </c>
      <c r="BY195" s="2412">
        <v>273.3</v>
      </c>
      <c r="BZ195" s="2412">
        <v>278.89999999999998</v>
      </c>
      <c r="CA195" s="2412">
        <v>284.8</v>
      </c>
      <c r="CB195" s="2412">
        <v>289.7</v>
      </c>
      <c r="CC195" s="2412">
        <v>293.8</v>
      </c>
      <c r="CD195" s="2412">
        <v>298.2</v>
      </c>
      <c r="CE195" s="2412">
        <v>302.2</v>
      </c>
      <c r="CF195" s="2412">
        <v>306.2</v>
      </c>
      <c r="CG195" s="2412">
        <v>309.60000000000002</v>
      </c>
      <c r="CH195" s="2412">
        <v>312.10000000000002</v>
      </c>
      <c r="CI195" s="2412">
        <v>314.89999999999998</v>
      </c>
      <c r="CJ195" s="2412">
        <v>320.60000000000002</v>
      </c>
      <c r="CK195" s="2412">
        <v>325.5</v>
      </c>
      <c r="CL195" s="2412">
        <v>330.4</v>
      </c>
      <c r="CM195" s="2412">
        <v>334.1</v>
      </c>
      <c r="CN195" s="2412">
        <v>337.3</v>
      </c>
      <c r="CO195" s="2412">
        <v>339.4</v>
      </c>
      <c r="CP195" s="2412">
        <v>340.3</v>
      </c>
      <c r="CQ195" s="2412">
        <v>342</v>
      </c>
      <c r="CR195" s="2412">
        <v>341.7</v>
      </c>
      <c r="CS195" s="2412">
        <v>342.3</v>
      </c>
      <c r="CT195" s="2412">
        <v>342.4</v>
      </c>
      <c r="CU195" s="2412">
        <v>344</v>
      </c>
      <c r="CV195" s="2412">
        <v>344.9</v>
      </c>
      <c r="CW195" s="2412">
        <v>345.8</v>
      </c>
      <c r="CX195" s="2412">
        <v>347.4</v>
      </c>
      <c r="CY195" s="2412">
        <v>349.2</v>
      </c>
      <c r="CZ195" s="2412">
        <v>352.5</v>
      </c>
      <c r="DA195" s="2412">
        <v>355.4</v>
      </c>
      <c r="DB195" s="2412">
        <v>358.3</v>
      </c>
      <c r="DC195" s="2412">
        <v>360.9</v>
      </c>
      <c r="DD195" s="2412">
        <v>362.4</v>
      </c>
      <c r="DE195" s="2412">
        <v>365.4</v>
      </c>
      <c r="DF195" s="2412">
        <v>369.5</v>
      </c>
      <c r="DG195" s="2412">
        <v>373.5</v>
      </c>
      <c r="DH195" s="2412">
        <v>376.5</v>
      </c>
      <c r="DI195" s="2412">
        <v>380.7</v>
      </c>
      <c r="DJ195" s="2412">
        <v>384.6</v>
      </c>
      <c r="DK195" s="2412">
        <v>388.1</v>
      </c>
      <c r="DL195" s="2412">
        <v>391.3</v>
      </c>
      <c r="DM195" s="2412">
        <v>394.5</v>
      </c>
      <c r="DN195" s="2412">
        <v>398.2</v>
      </c>
      <c r="DO195" s="2412">
        <v>401.9</v>
      </c>
      <c r="DP195" s="2412">
        <v>405.6</v>
      </c>
      <c r="DQ195" s="2412">
        <v>408.9</v>
      </c>
      <c r="DR195" s="2412">
        <v>412.2</v>
      </c>
      <c r="DS195" s="2412">
        <v>415.7</v>
      </c>
      <c r="DT195" s="2412">
        <v>419.1</v>
      </c>
      <c r="DU195" s="2412">
        <v>423.2</v>
      </c>
      <c r="DV195" s="2412">
        <v>427.6</v>
      </c>
      <c r="DW195" s="2412">
        <v>431.8</v>
      </c>
      <c r="DX195" s="2412">
        <v>436.3</v>
      </c>
      <c r="DY195" s="2412">
        <v>440.3</v>
      </c>
      <c r="DZ195" s="2412">
        <v>444.7</v>
      </c>
      <c r="EA195" s="2412">
        <v>449.3</v>
      </c>
      <c r="EB195" s="2412">
        <v>454</v>
      </c>
      <c r="EC195" s="2412">
        <v>458.7</v>
      </c>
      <c r="ED195" s="2412">
        <v>464.1</v>
      </c>
      <c r="EE195" s="2412">
        <v>469.9</v>
      </c>
      <c r="EF195" s="2412">
        <v>475.6</v>
      </c>
      <c r="EG195" s="2412">
        <v>480.7</v>
      </c>
      <c r="EH195" s="2412">
        <v>486.7</v>
      </c>
      <c r="EI195" s="2412">
        <v>492.5</v>
      </c>
      <c r="EJ195" s="2412">
        <v>498.1</v>
      </c>
      <c r="EK195" s="2412">
        <v>503.7</v>
      </c>
      <c r="EL195" s="2412">
        <v>509.8</v>
      </c>
      <c r="EM195" s="2412">
        <v>516.1</v>
      </c>
      <c r="EN195" s="2412">
        <v>521</v>
      </c>
      <c r="EO195" s="2412">
        <v>525.70000000000005</v>
      </c>
      <c r="EP195" s="2412">
        <v>532.20000000000005</v>
      </c>
      <c r="EQ195" s="2412">
        <v>538.79999999999995</v>
      </c>
      <c r="ER195" s="2412">
        <v>545.29999999999995</v>
      </c>
      <c r="ES195" s="2412">
        <v>553.20000000000005</v>
      </c>
      <c r="ET195" s="2412">
        <v>561.1</v>
      </c>
      <c r="EU195" s="2412">
        <v>568</v>
      </c>
      <c r="EV195" s="2412">
        <v>576.1</v>
      </c>
      <c r="EW195" s="2412">
        <v>583.79999999999995</v>
      </c>
      <c r="EX195" s="2412">
        <v>591.6</v>
      </c>
      <c r="EY195" s="2412">
        <v>600.6</v>
      </c>
      <c r="EZ195" s="2412">
        <v>618.20000000000005</v>
      </c>
      <c r="FA195" s="2412">
        <v>643.5</v>
      </c>
      <c r="FB195" s="2412">
        <v>704.1</v>
      </c>
      <c r="FC195" s="2412">
        <v>729</v>
      </c>
      <c r="FD195" s="2412">
        <v>744.3</v>
      </c>
      <c r="FE195" s="2412">
        <v>759</v>
      </c>
      <c r="FF195" s="2412">
        <v>772.3</v>
      </c>
      <c r="FG195" s="2412">
        <v>783.8</v>
      </c>
      <c r="FH195" s="2412">
        <v>800.8</v>
      </c>
      <c r="FI195" s="2412">
        <v>817.2</v>
      </c>
      <c r="FJ195" s="2412">
        <v>833.7</v>
      </c>
      <c r="FK195" s="2412">
        <v>847</v>
      </c>
      <c r="FL195" s="2412">
        <v>859.5</v>
      </c>
      <c r="FM195" s="2412">
        <v>868.8</v>
      </c>
      <c r="FN195" s="2412">
        <v>884.2</v>
      </c>
      <c r="FO195" s="2412">
        <v>896.5</v>
      </c>
      <c r="FP195" s="2412">
        <v>912.6</v>
      </c>
      <c r="FQ195" s="2412">
        <v>927.5</v>
      </c>
      <c r="FR195" s="2412">
        <v>939.9</v>
      </c>
      <c r="FS195" s="2412">
        <v>958.3</v>
      </c>
      <c r="FT195" s="2412">
        <v>976.9</v>
      </c>
      <c r="FU195" s="2412">
        <v>1000.8</v>
      </c>
      <c r="FV195" s="2412">
        <v>1013</v>
      </c>
      <c r="FW195" s="2413">
        <f>+'ANEXO MAT.'!E34</f>
        <v>1067.1781316665499</v>
      </c>
      <c r="FX195" s="2413">
        <f>+'ANEXO MAT.'!F34</f>
        <v>1145.4847250602306</v>
      </c>
      <c r="FY195" s="2416">
        <f>+'ANEXO MAT.'!G34</f>
        <v>100</v>
      </c>
      <c r="FZ195" s="2417">
        <f>+'ANEXO MAT.'!H34</f>
        <v>102.83335512853738</v>
      </c>
      <c r="GA195" s="2417">
        <f>+'ANEXO MAT.'!I34</f>
        <v>104.87079525743906</v>
      </c>
      <c r="GB195" s="2417">
        <f>+'ANEXO MAT.'!J34</f>
        <v>105.1514934704043</v>
      </c>
      <c r="GC195" s="2417">
        <f>+'ANEXO MAT.'!K34</f>
        <v>105.99855974943954</v>
      </c>
      <c r="GD195" s="2417">
        <f>+'ANEXO MAT.'!L34</f>
        <v>107.09525271464388</v>
      </c>
      <c r="GE195" s="2417">
        <f>+'ANEXO MAT.'!M34</f>
        <v>108.20694165428871</v>
      </c>
      <c r="GF195" s="2417">
        <f>+'ANEXO MAT.'!N34</f>
        <v>108.48396253486349</v>
      </c>
      <c r="GG195" s="2417">
        <f>+'ANEXO MAT.'!O34</f>
        <v>109.29427076107181</v>
      </c>
      <c r="GH195" s="2417">
        <f>+'ANEXO MAT.'!P34</f>
        <v>109.57046408130229</v>
      </c>
      <c r="GI195" s="2417">
        <f>+'ANEXO MAT.'!Q34</f>
        <v>110.14643681290771</v>
      </c>
      <c r="GJ195" s="2417">
        <f>+'ANEXO MAT.'!R34</f>
        <v>111.37493304671573</v>
      </c>
      <c r="GK195" s="2417">
        <f>+'ANEXO MAT.'!S34</f>
        <v>112.39228628689699</v>
      </c>
      <c r="GL195" s="2417">
        <f>+'ANEXO MAT.'!T34</f>
        <v>114.48264560211234</v>
      </c>
      <c r="GM195" s="2417">
        <f>+'ANEXO MAT.'!U34</f>
        <v>114.8651610831882</v>
      </c>
      <c r="GN195" s="2417">
        <f>+'ANEXO MAT.'!V34</f>
        <v>115.7882228479468</v>
      </c>
      <c r="GO195" s="2417">
        <f>+'ANEXO MAT.'!W34</f>
        <v>116.8888481828362</v>
      </c>
      <c r="GP195" s="2417">
        <f>+'ANEXO MAT.'!X34</f>
        <v>117.276884798219</v>
      </c>
      <c r="GQ195" s="2417">
        <f>+'ANEXO MAT.'!Y34</f>
        <v>118.06418313730168</v>
      </c>
      <c r="GR195" s="2417">
        <f>+'ANEXO MAT.'!Z34</f>
        <v>120.78620764830472</v>
      </c>
      <c r="GS195" s="2417">
        <f>+'ANEXO MAT.'!AA34</f>
        <v>123.66640512587074</v>
      </c>
      <c r="GT195" s="2417">
        <f>+'ANEXO MAT.'!AB34</f>
        <v>126.11143032792934</v>
      </c>
      <c r="GU195" s="2417">
        <f>+'ANEXO MAT.'!AC34</f>
        <v>128.21153850980963</v>
      </c>
      <c r="GV195" s="2417">
        <f>+'ANEXO MAT.'!AD34</f>
        <v>128.78460433691595</v>
      </c>
      <c r="GW195" s="2417">
        <f>+'ANEXO MAT.'!AE34</f>
        <v>131.79190026754171</v>
      </c>
      <c r="GX195" s="2417">
        <f>+'ANEXO MAT.'!AF34</f>
        <v>135.26913835829541</v>
      </c>
      <c r="GY195" s="2417">
        <f>+'ANEXO MAT.'!AG34</f>
        <v>137.36041540168674</v>
      </c>
      <c r="GZ195" s="2417">
        <f>+'ANEXO MAT.'!AH34</f>
        <v>144.64236241606403</v>
      </c>
      <c r="HA195" s="2417">
        <f>+'ANEXO MAT.'!AI34</f>
        <v>152.75628350377818</v>
      </c>
      <c r="HB195" s="2417">
        <f>+'ANEXO MAT.'!AJ34</f>
        <v>166.33454824226791</v>
      </c>
      <c r="HC195" s="2417">
        <f>+'ANEXO MAT.'!AK34</f>
        <v>175.86887372332319</v>
      </c>
      <c r="HD195" s="2417">
        <f>+'ANEXO MAT.'!AL34</f>
        <v>178.79229037229203</v>
      </c>
      <c r="HE195" s="2417">
        <f>+'ANEXO MAT.'!AM34</f>
        <v>203.81340736213824</v>
      </c>
      <c r="HF195" s="2417">
        <f>+'ANEXO MAT.'!AN34</f>
        <v>216.72663059339811</v>
      </c>
      <c r="HG195" s="2417">
        <f>+'ANEXO MAT.'!AO34</f>
        <v>216.65064265300919</v>
      </c>
      <c r="HH195" s="2417">
        <f>+'ANEXO MAT.'!AP34</f>
        <v>219.04938162594701</v>
      </c>
      <c r="HI195" s="2417">
        <f>+'ANEXO MAT.'!AQ34</f>
        <v>222.28034758237018</v>
      </c>
      <c r="HJ195" s="2417">
        <f>+'ANEXO MAT.'!AR34</f>
        <v>232.55548385541275</v>
      </c>
      <c r="HK195" s="2417">
        <f>+'ANEXO MAT.'!AS34</f>
        <v>245.08045089847343</v>
      </c>
      <c r="HL195" s="2417">
        <f>+'ANEXO MAT.'!AT34</f>
        <v>255.39073636847147</v>
      </c>
      <c r="HM195" s="2417">
        <f>+'ANEXO MAT.'!AU34</f>
        <v>268.48952136059722</v>
      </c>
      <c r="HN195" s="2417">
        <f>+'ANEXO MAT.'!AV34</f>
        <v>272.96183228221423</v>
      </c>
      <c r="HO195" s="2417">
        <f>+'ANEXO MAT.'!AW34</f>
        <v>275.32482148874118</v>
      </c>
      <c r="HP195" s="2417">
        <f>+'ANEXO MAT.'!AX34</f>
        <v>313.92604338517464</v>
      </c>
      <c r="HQ195" s="2417">
        <f>+'ANEXO MAT.'!AY34</f>
        <v>341.09289474955563</v>
      </c>
      <c r="HR195" s="2417">
        <f>+'ANEXO MAT.'!AZ34</f>
        <v>344.8883295083408</v>
      </c>
      <c r="HS195" s="2417">
        <f>+'ANEXO MAT.'!BA34</f>
        <v>364.04567015749348</v>
      </c>
      <c r="HT195" s="2417">
        <f>+'ANEXO MAT.'!BB34</f>
        <v>371.75703256199523</v>
      </c>
      <c r="HU195" s="2417">
        <f>+'ANEXO MAT.'!BC34</f>
        <v>377.8522417683813</v>
      </c>
      <c r="HV195" s="2417">
        <f>+'ANEXO MAT.'!BD34</f>
        <v>382.07407095259703</v>
      </c>
      <c r="HW195" s="2417">
        <f>+'ANEXO MAT.'!BE34</f>
        <v>391.67638445705228</v>
      </c>
      <c r="HX195" s="2417">
        <f>+'ANEXO MAT.'!BF34</f>
        <v>398.86454315838267</v>
      </c>
      <c r="HY195" s="2417">
        <f>+'ANEXO MAT.'!BG34</f>
        <v>410.27542656289916</v>
      </c>
      <c r="HZ195" s="2417">
        <f>+'ANEXO MAT.'!BH34</f>
        <v>412.97666933815373</v>
      </c>
      <c r="IA195" s="2417">
        <f>+'ANEXO MAT.'!BI34</f>
        <v>423.84737982782917</v>
      </c>
      <c r="IB195" s="2417">
        <f>+'ANEXO MAT.'!BJ34</f>
        <v>440.03113637372184</v>
      </c>
      <c r="IC195" s="2417">
        <f>+'ANEXO MAT.'!BK34</f>
        <v>457.58217919070319</v>
      </c>
      <c r="ID195" s="2417">
        <f>+'ANEXO MAT.'!BL34</f>
        <v>517.48817164770946</v>
      </c>
      <c r="IE195" s="2417">
        <f>+'ANEXO MAT.'!BM34</f>
        <v>542.94629418008537</v>
      </c>
      <c r="IF195" s="2417">
        <f>+'ANEXO MAT.'!BN34</f>
        <v>561.26000848842182</v>
      </c>
      <c r="IG195" s="2417">
        <f>+'ANEXO MAT.'!BO34</f>
        <v>586.03509436905199</v>
      </c>
      <c r="IH195" s="2417">
        <f>+'ANEXO MAT.'!BP34</f>
        <v>614.01706946535398</v>
      </c>
      <c r="II195" s="2417">
        <f>+'ANEXO MAT.'!BQ34</f>
        <v>632.59548990667247</v>
      </c>
      <c r="IJ195" s="2417">
        <f>+'ANEXO MAT.'!BR34</f>
        <v>658.72400953852559</v>
      </c>
      <c r="IK195" s="2417">
        <f>+'ANEXO MAT.'!BS34</f>
        <v>690.01017284034856</v>
      </c>
      <c r="IL195" s="2417">
        <f>+'ANEXO MAT.'!BT34</f>
        <v>705.13446503863406</v>
      </c>
      <c r="IM195" s="2417">
        <f>+'ANEXO MAT.'!BU34</f>
        <v>718.8307913796865</v>
      </c>
      <c r="IN195" s="2417">
        <f>+'ANEXO MAT.'!BV34</f>
        <v>733.14292663750859</v>
      </c>
      <c r="IO195" s="2417">
        <f>+'ANEXO MAT.'!BW34</f>
        <v>747.62588991609891</v>
      </c>
      <c r="IP195" s="2417">
        <f>+'ANEXO MAT.'!BX34</f>
        <v>778.68227901615023</v>
      </c>
      <c r="IQ195" s="2417">
        <f>+'ANEXO MAT.'!BY34</f>
        <v>811.15042998963361</v>
      </c>
      <c r="IR195" s="2417">
        <f>+'ANEXO MAT.'!BZ34</f>
        <v>833.9495520574194</v>
      </c>
      <c r="IS195" s="2417">
        <f>+'ANEXO MAT.'!CA34</f>
        <v>864.20725393590953</v>
      </c>
      <c r="IT195" s="2417">
        <f>+'ANEXO MAT.'!CB34</f>
        <v>895.59242995314094</v>
      </c>
      <c r="IU195" s="2417">
        <f>+'ANEXO MAT.'!CC34</f>
        <v>929.47142354097525</v>
      </c>
      <c r="IV195" s="2417">
        <f>+'ANEXO MAT.'!CD34</f>
        <v>985.73794762360569</v>
      </c>
      <c r="IW195" s="2417">
        <f>+'ANEXO MAT.'!CE34</f>
        <v>1032.9529085055544</v>
      </c>
      <c r="IX195" s="2417">
        <f>+'ANEXO MAT.'!CF34</f>
        <v>1092.739394346775</v>
      </c>
      <c r="IY195" s="2417">
        <f>+'ANEXO MAT.'!CG34</f>
        <v>1242.2110617621754</v>
      </c>
      <c r="IZ195" s="2417">
        <f>+'ANEXO MAT.'!CH34</f>
        <v>1376.060424295986</v>
      </c>
      <c r="JA195" s="2417">
        <f>+'ANEXO MAT.'!CI34</f>
        <v>1511.2066520727187</v>
      </c>
      <c r="JB195" s="2417">
        <f>+'ANEXO MAT.'!CJ34</f>
        <v>1550.2754866620116</v>
      </c>
      <c r="JC195" s="2417">
        <f>+'ANEXO MAT.'!CK34</f>
        <v>1642.7508753805796</v>
      </c>
      <c r="JD195" s="2415">
        <f>+'ANEXO MAT.'!CL34</f>
        <v>1744.4214484208364</v>
      </c>
      <c r="JE195" s="2422">
        <f>+'ANEXO MAT.'!CM34</f>
        <v>1825.9790590067887</v>
      </c>
      <c r="JF195" s="2418">
        <f>+'ANEXO MAT.'!CN34</f>
        <v>1956.0161797435794</v>
      </c>
      <c r="JG195" s="2103">
        <f t="shared" si="14"/>
        <v>1.0712150120755066</v>
      </c>
      <c r="JI195" s="2155"/>
      <c r="JJ195" s="2104"/>
    </row>
    <row r="196" spans="2:271" hidden="1">
      <c r="B196" s="2105"/>
      <c r="C196" s="2106"/>
      <c r="D196" s="2425"/>
      <c r="E196" s="2128"/>
      <c r="F196" s="2106"/>
      <c r="G196" s="2106"/>
      <c r="H196" s="2106"/>
      <c r="I196" s="2106"/>
      <c r="J196" s="2359"/>
      <c r="K196" s="2425"/>
      <c r="L196" s="2110"/>
      <c r="M196" s="2110"/>
      <c r="N196" s="2110"/>
      <c r="O196" s="2110"/>
      <c r="P196" s="2110"/>
      <c r="Q196" s="2110"/>
      <c r="R196" s="2110"/>
      <c r="S196" s="2110"/>
      <c r="T196" s="2110"/>
      <c r="U196" s="2110"/>
      <c r="V196" s="2110"/>
      <c r="W196" s="2110"/>
      <c r="X196" s="2110"/>
      <c r="Y196" s="2110"/>
      <c r="Z196" s="2110"/>
      <c r="AA196" s="2110"/>
      <c r="AB196" s="2110"/>
      <c r="AC196" s="2110"/>
      <c r="AD196" s="2110"/>
      <c r="AE196" s="2110"/>
      <c r="AF196" s="2110"/>
      <c r="AG196" s="2110"/>
      <c r="AH196" s="2110"/>
      <c r="AI196" s="2110"/>
      <c r="AJ196" s="2110"/>
      <c r="AK196" s="2110"/>
      <c r="AL196" s="2110"/>
      <c r="AM196" s="2110"/>
      <c r="AN196" s="2110"/>
      <c r="AO196" s="2110"/>
      <c r="AP196" s="2110"/>
      <c r="AQ196" s="2110"/>
      <c r="AR196" s="2110"/>
      <c r="AS196" s="2110"/>
      <c r="AT196" s="2110"/>
      <c r="AU196" s="2110"/>
      <c r="AV196" s="2110"/>
      <c r="AW196" s="2111"/>
      <c r="AX196" s="2111"/>
      <c r="AY196" s="2111"/>
      <c r="AZ196" s="2111"/>
      <c r="BA196" s="2111"/>
      <c r="BB196" s="2111"/>
      <c r="BC196" s="2111"/>
      <c r="BD196" s="2112"/>
      <c r="BE196" s="2111"/>
      <c r="BF196" s="2112"/>
      <c r="BG196" s="2112"/>
      <c r="BH196" s="2112"/>
      <c r="BI196" s="2108"/>
      <c r="BJ196" s="2108"/>
      <c r="BK196" s="2108"/>
      <c r="BL196" s="2108"/>
      <c r="BM196" s="2108"/>
      <c r="BN196" s="2108"/>
      <c r="BO196" s="2108"/>
      <c r="BP196" s="2108"/>
      <c r="BQ196" s="2108"/>
      <c r="BR196" s="2108"/>
      <c r="BS196" s="2108"/>
      <c r="BT196" s="2108"/>
      <c r="BU196" s="2108"/>
      <c r="BV196" s="2108"/>
      <c r="BW196" s="2108"/>
      <c r="BX196" s="2108"/>
      <c r="BY196" s="2108"/>
      <c r="BZ196" s="2108"/>
      <c r="CA196" s="2108"/>
      <c r="CB196" s="2108"/>
      <c r="CC196" s="2108"/>
      <c r="CD196" s="2108"/>
      <c r="CE196" s="2108"/>
      <c r="CF196" s="2108"/>
      <c r="CG196" s="2108"/>
      <c r="CH196" s="2108"/>
      <c r="CI196" s="2108"/>
      <c r="CJ196" s="2108"/>
      <c r="CK196" s="2108"/>
      <c r="CL196" s="2108"/>
      <c r="CM196" s="2108"/>
      <c r="CN196" s="2108"/>
      <c r="CO196" s="2108"/>
      <c r="CP196" s="2108"/>
      <c r="CQ196" s="2108"/>
      <c r="CR196" s="2108"/>
      <c r="CS196" s="2108"/>
      <c r="CT196" s="2108"/>
      <c r="CU196" s="2108"/>
      <c r="CV196" s="2108"/>
      <c r="CW196" s="2108"/>
      <c r="CX196" s="2108"/>
      <c r="CY196" s="2108"/>
      <c r="CZ196" s="2108"/>
      <c r="DA196" s="2108"/>
      <c r="DB196" s="2108"/>
      <c r="DC196" s="2108"/>
      <c r="DD196" s="2108"/>
      <c r="DE196" s="2108"/>
      <c r="DF196" s="2108"/>
      <c r="DG196" s="2108"/>
      <c r="DH196" s="2108"/>
      <c r="DI196" s="2108"/>
      <c r="DJ196" s="2108"/>
      <c r="DK196" s="2108"/>
      <c r="DL196" s="2108"/>
      <c r="DM196" s="2108"/>
      <c r="DN196" s="2108"/>
      <c r="DO196" s="2108"/>
      <c r="DP196" s="2108"/>
      <c r="DQ196" s="2108"/>
      <c r="DR196" s="2108"/>
      <c r="DS196" s="2108"/>
      <c r="DT196" s="2108"/>
      <c r="DU196" s="2108"/>
      <c r="DV196" s="2108"/>
      <c r="DW196" s="2108"/>
      <c r="DX196" s="2108"/>
      <c r="DY196" s="2108"/>
      <c r="DZ196" s="2108"/>
      <c r="EA196" s="2108"/>
      <c r="EB196" s="2108"/>
      <c r="EC196" s="2108"/>
      <c r="ED196" s="2108"/>
      <c r="EE196" s="2108"/>
      <c r="EF196" s="2108"/>
      <c r="EG196" s="2108"/>
      <c r="EH196" s="2108"/>
      <c r="EI196" s="2108"/>
      <c r="EJ196" s="2108"/>
      <c r="EK196" s="2108"/>
      <c r="EL196" s="2108"/>
      <c r="EM196" s="2108"/>
      <c r="EN196" s="2108"/>
      <c r="EO196" s="2108"/>
      <c r="EP196" s="2108"/>
      <c r="EQ196" s="2108"/>
      <c r="ER196" s="2108"/>
      <c r="ES196" s="2108"/>
      <c r="ET196" s="2108"/>
      <c r="EU196" s="2108"/>
      <c r="EV196" s="2108"/>
      <c r="EW196" s="2108"/>
      <c r="EX196" s="2108"/>
      <c r="EY196" s="2108"/>
      <c r="EZ196" s="2108"/>
      <c r="FA196" s="2108"/>
      <c r="FB196" s="2108"/>
      <c r="FC196" s="2108"/>
      <c r="FD196" s="2108"/>
      <c r="FE196" s="2108"/>
      <c r="FF196" s="2108"/>
      <c r="FG196" s="2108"/>
      <c r="FH196" s="2108"/>
      <c r="FI196" s="2108"/>
      <c r="FJ196" s="2108"/>
      <c r="FK196" s="2108"/>
      <c r="FL196" s="2108"/>
      <c r="FM196" s="2108"/>
      <c r="FN196" s="2108"/>
      <c r="FO196" s="2108"/>
      <c r="FP196" s="2108"/>
      <c r="FQ196" s="2108"/>
      <c r="FR196" s="2108"/>
      <c r="FS196" s="2108"/>
      <c r="FT196" s="2108"/>
      <c r="FU196" s="2108"/>
      <c r="FV196" s="2108"/>
      <c r="FW196" s="2113"/>
      <c r="FX196" s="2113"/>
      <c r="FY196" s="2113">
        <v>100</v>
      </c>
      <c r="FZ196" s="2113" t="e">
        <f>+FY196*(#REF!/#REF!)</f>
        <v>#REF!</v>
      </c>
      <c r="GA196" s="2113" t="e">
        <f>+FZ196*(#REF!/#REF!)</f>
        <v>#REF!</v>
      </c>
      <c r="GB196" s="2113" t="e">
        <f>+GA196*(#REF!/#REF!)</f>
        <v>#REF!</v>
      </c>
      <c r="GC196" s="2113" t="e">
        <f>+GB196*(#REF!/#REF!)</f>
        <v>#REF!</v>
      </c>
      <c r="GD196" s="2113" t="e">
        <f>+GC196*(#REF!/#REF!)</f>
        <v>#REF!</v>
      </c>
      <c r="GE196" s="2113" t="e">
        <f>+GD196*(#REF!/#REF!)</f>
        <v>#REF!</v>
      </c>
      <c r="GF196" s="2114" t="e">
        <f>+GE196*(#REF!/#REF!)</f>
        <v>#REF!</v>
      </c>
      <c r="GG196" s="1960" t="e">
        <f>+GF196*(#REF!/#REF!)</f>
        <v>#REF!</v>
      </c>
      <c r="GH196" s="2114" t="e">
        <f>+GG196*(#REF!/#REF!)</f>
        <v>#REF!</v>
      </c>
      <c r="GI196" s="2114" t="e">
        <f>+GH196*(#REF!/#REF!)</f>
        <v>#REF!</v>
      </c>
      <c r="GJ196" s="2113" t="e">
        <f>+GI196*(#REF!/#REF!)</f>
        <v>#REF!</v>
      </c>
      <c r="GK196" s="2113" t="e">
        <f>+GJ196*(#REF!/#REF!)</f>
        <v>#REF!</v>
      </c>
      <c r="GL196" s="2113" t="e">
        <f>+GK196*(#REF!/#REF!)</f>
        <v>#REF!</v>
      </c>
      <c r="GM196" s="2114" t="e">
        <f>+GL196*(#REF!/#REF!)</f>
        <v>#REF!</v>
      </c>
      <c r="GN196" s="2114" t="e">
        <f>+GM196*(#REF!/#REF!)</f>
        <v>#REF!</v>
      </c>
      <c r="GO196" s="2115" t="e">
        <f>+GN196*(#REF!/#REF!)</f>
        <v>#REF!</v>
      </c>
      <c r="GP196" s="2116" t="e">
        <f>+GO196*(#REF!/#REF!)</f>
        <v>#REF!</v>
      </c>
      <c r="GQ196" s="2116" t="e">
        <f>+GP196*(#REF!/#REF!)</f>
        <v>#REF!</v>
      </c>
      <c r="GR196" s="2116" t="e">
        <f>+GQ196*(#REF!/#REF!)</f>
        <v>#REF!</v>
      </c>
      <c r="GS196" s="2116" t="e">
        <f>+GR196*(#REF!/#REF!)</f>
        <v>#REF!</v>
      </c>
      <c r="GT196" s="1960" t="e">
        <f>+GS196*(#REF!/#REF!)</f>
        <v>#REF!</v>
      </c>
      <c r="GU196" s="1960" t="e">
        <f>+GT196*(#REF!/#REF!)</f>
        <v>#REF!</v>
      </c>
      <c r="GV196" s="1960" t="e">
        <f>+GU196*(#REF!/#REF!)</f>
        <v>#REF!</v>
      </c>
      <c r="GW196" s="1960" t="e">
        <f>+GV196*(#REF!/#REF!)</f>
        <v>#REF!</v>
      </c>
      <c r="GX196" s="1960" t="e">
        <f>+GW196*(#REF!/#REF!)</f>
        <v>#REF!</v>
      </c>
      <c r="GY196" s="1960" t="e">
        <f>+GX196*(#REF!/#REF!)</f>
        <v>#REF!</v>
      </c>
      <c r="GZ196" s="1960" t="e">
        <f>+GY196*(#REF!/#REF!)</f>
        <v>#REF!</v>
      </c>
      <c r="HA196" s="1960" t="e">
        <f>+GZ196*(#REF!/#REF!)</f>
        <v>#REF!</v>
      </c>
      <c r="HB196" s="1960" t="e">
        <f>+HA196*(#REF!/#REF!)</f>
        <v>#REF!</v>
      </c>
      <c r="HC196" s="1960" t="e">
        <f>+HB196*(#REF!/#REF!)</f>
        <v>#REF!</v>
      </c>
      <c r="HD196" s="1960" t="e">
        <f>+HC196*(#REF!/#REF!)</f>
        <v>#REF!</v>
      </c>
      <c r="HE196" s="1960" t="e">
        <f>+HD196*(#REF!/#REF!)</f>
        <v>#REF!</v>
      </c>
      <c r="HF196" s="1960" t="e">
        <f>+HE196*(#REF!/#REF!)</f>
        <v>#REF!</v>
      </c>
      <c r="HG196" s="1960" t="e">
        <f>+HF196*(#REF!/#REF!)</f>
        <v>#REF!</v>
      </c>
      <c r="HH196" s="2117" t="e">
        <f>+HG196*(#REF!/#REF!)</f>
        <v>#REF!</v>
      </c>
      <c r="HI196" s="1960" t="e">
        <f>+HH196*(#REF!/#REF!)</f>
        <v>#REF!</v>
      </c>
      <c r="HJ196" s="1960" t="e">
        <f>+HI196*(#REF!/#REF!)</f>
        <v>#REF!</v>
      </c>
      <c r="HK196" s="1960" t="e">
        <f>+HJ196*(#REF!/#REF!)</f>
        <v>#REF!</v>
      </c>
      <c r="HL196" s="1960" t="e">
        <f>+HK196*(#REF!/#REF!)</f>
        <v>#REF!</v>
      </c>
      <c r="HM196" s="1960" t="e">
        <f>+HL196*(#REF!/#REF!)</f>
        <v>#REF!</v>
      </c>
      <c r="HN196" s="1960" t="e">
        <f>+HM196*(#REF!/#REF!)</f>
        <v>#REF!</v>
      </c>
      <c r="HO196" s="1960" t="e">
        <f>+HN196*(#REF!/#REF!)</f>
        <v>#REF!</v>
      </c>
      <c r="HP196" s="1960" t="e">
        <f>+HO196*(#REF!/#REF!)</f>
        <v>#REF!</v>
      </c>
      <c r="HQ196" s="1960" t="e">
        <f>+HP196*(#REF!/#REF!)</f>
        <v>#REF!</v>
      </c>
      <c r="HR196" s="1960" t="e">
        <f>+HQ196*(#REF!/#REF!)</f>
        <v>#REF!</v>
      </c>
      <c r="HS196" s="1960" t="e">
        <f>+HR196*(#REF!/#REF!)</f>
        <v>#REF!</v>
      </c>
      <c r="HT196" s="1962" t="e">
        <f>+HS196*(#REF!/#REF!)</f>
        <v>#REF!</v>
      </c>
      <c r="HU196" s="1961" t="e">
        <f>+HT196*(#REF!/#REF!)</f>
        <v>#REF!</v>
      </c>
      <c r="HV196" s="1960" t="e">
        <f>+HU196*(#REF!/#REF!)</f>
        <v>#REF!</v>
      </c>
      <c r="HW196" s="1960" t="e">
        <f>+HV196*(#REF!/#REF!)</f>
        <v>#REF!</v>
      </c>
      <c r="HX196" s="1960" t="e">
        <f>+HW196*(#REF!/#REF!)</f>
        <v>#REF!</v>
      </c>
      <c r="HY196" s="1960" t="e">
        <f>+HX196*(#REF!/#REF!)</f>
        <v>#REF!</v>
      </c>
      <c r="HZ196" s="1960" t="e">
        <f>+HY196*(#REF!/#REF!)</f>
        <v>#REF!</v>
      </c>
      <c r="IA196" s="1960" t="e">
        <f>+HZ196*(#REF!/#REF!)</f>
        <v>#REF!</v>
      </c>
      <c r="IB196" s="1960" t="e">
        <f>+IA196*(#REF!/#REF!)</f>
        <v>#REF!</v>
      </c>
      <c r="IC196" s="1960" t="e">
        <f>+IB196*(#REF!/#REF!)</f>
        <v>#REF!</v>
      </c>
      <c r="ID196" s="1960" t="e">
        <f>+IC196*(#REF!/#REF!)</f>
        <v>#REF!</v>
      </c>
      <c r="IE196" s="1960" t="e">
        <f>+ID196*(#REF!/#REF!)</f>
        <v>#REF!</v>
      </c>
      <c r="IF196" s="1960" t="e">
        <f>+IE196*(#REF!/#REF!)</f>
        <v>#REF!</v>
      </c>
      <c r="IG196" s="1961" t="e">
        <f>+IF196*(#REF!/#REF!)</f>
        <v>#REF!</v>
      </c>
      <c r="IH196" s="1960" t="e">
        <f>+IG196*(#REF!/#REF!)</f>
        <v>#REF!</v>
      </c>
      <c r="II196" s="1960" t="e">
        <f>+IH196*(#REF!/#REF!)</f>
        <v>#REF!</v>
      </c>
      <c r="IJ196" s="1961" t="e">
        <f>+II196*(#REF!/#REF!)</f>
        <v>#REF!</v>
      </c>
      <c r="IK196" s="1960" t="e">
        <f>+IJ196*(#REF!/#REF!)</f>
        <v>#REF!</v>
      </c>
      <c r="IL196" s="1960" t="e">
        <f>+IK196*(#REF!/#REF!)</f>
        <v>#REF!</v>
      </c>
      <c r="IM196" s="1960" t="e">
        <f>+IL196*(#REF!/#REF!)</f>
        <v>#REF!</v>
      </c>
      <c r="IN196" s="1960" t="e">
        <f>+IM196*(#REF!/#REF!)</f>
        <v>#REF!</v>
      </c>
      <c r="IO196" s="1960" t="e">
        <f>+IN196*(#REF!/#REF!)</f>
        <v>#REF!</v>
      </c>
      <c r="IP196" s="1960" t="e">
        <f>+IO196*(#REF!/#REF!)</f>
        <v>#REF!</v>
      </c>
      <c r="IQ196" s="1960" t="e">
        <f>+IP196*(#REF!/#REF!)</f>
        <v>#REF!</v>
      </c>
      <c r="IR196" s="1960" t="e">
        <f>+IQ196*(#REF!/#REF!)</f>
        <v>#REF!</v>
      </c>
      <c r="IS196" s="2274" t="e">
        <f>+IR196*(#REF!/#REF!)</f>
        <v>#REF!</v>
      </c>
      <c r="IT196" s="1960" t="e">
        <f>+IS196*(#REF!/#REF!)</f>
        <v>#REF!</v>
      </c>
      <c r="IU196" s="1960" t="e">
        <f>+IT196*(#REF!/#REF!)</f>
        <v>#REF!</v>
      </c>
      <c r="IV196" s="1960" t="e">
        <f>+IU196*(#REF!/#REF!)</f>
        <v>#REF!</v>
      </c>
      <c r="IW196" s="1960" t="e">
        <f>+IV196*(#REF!/#REF!)</f>
        <v>#REF!</v>
      </c>
      <c r="IX196" s="1960" t="e">
        <f>+IW196*(#REF!/#REF!)</f>
        <v>#REF!</v>
      </c>
      <c r="IY196" s="1960" t="e">
        <f>+IX196*(#REF!/#REF!)</f>
        <v>#REF!</v>
      </c>
      <c r="IZ196" s="1960" t="e">
        <f>+IY196*(#REF!/#REF!)</f>
        <v>#REF!</v>
      </c>
      <c r="JA196" s="1960" t="e">
        <f>+IZ196*(#REF!/#REF!)</f>
        <v>#REF!</v>
      </c>
      <c r="JB196" s="1960" t="e">
        <f>+JA196*(#REF!/#REF!)</f>
        <v>#REF!</v>
      </c>
      <c r="JC196" s="1960" t="e">
        <f>+JB196*(#REF!/#REF!)</f>
        <v>#REF!</v>
      </c>
      <c r="JD196" s="1960"/>
      <c r="JE196" s="2274" t="e">
        <v>#N/A</v>
      </c>
      <c r="JF196" s="2117" t="e">
        <v>#N/A</v>
      </c>
      <c r="JG196" s="2103" t="e">
        <f t="shared" si="14"/>
        <v>#N/A</v>
      </c>
      <c r="JI196" s="2155"/>
      <c r="JJ196" s="2104"/>
    </row>
    <row r="197" spans="2:271" ht="30" customHeight="1">
      <c r="B197" s="2105">
        <v>510</v>
      </c>
      <c r="C197" s="2106" t="s">
        <v>1001</v>
      </c>
      <c r="D197" s="2425">
        <v>0</v>
      </c>
      <c r="E197" s="2128" t="s">
        <v>377</v>
      </c>
      <c r="F197" s="2106" t="s">
        <v>378</v>
      </c>
      <c r="G197" s="2106" t="s">
        <v>1001</v>
      </c>
      <c r="H197" s="2106" t="s">
        <v>1001</v>
      </c>
      <c r="I197" s="2106"/>
      <c r="J197" s="2359" t="s">
        <v>858</v>
      </c>
      <c r="K197" s="2425" t="s">
        <v>1044</v>
      </c>
      <c r="L197" s="2409">
        <v>95</v>
      </c>
      <c r="M197" s="2409">
        <v>97.6</v>
      </c>
      <c r="N197" s="2409">
        <v>103</v>
      </c>
      <c r="O197" s="2409">
        <v>107.4</v>
      </c>
      <c r="P197" s="2409">
        <v>114.4</v>
      </c>
      <c r="Q197" s="2409">
        <v>119.3</v>
      </c>
      <c r="R197" s="2409">
        <v>123</v>
      </c>
      <c r="S197" s="2409">
        <v>127.8</v>
      </c>
      <c r="T197" s="2409">
        <v>130.19999999999999</v>
      </c>
      <c r="U197" s="2409">
        <v>132.30000000000001</v>
      </c>
      <c r="V197" s="2409">
        <v>133.30000000000001</v>
      </c>
      <c r="W197" s="2409">
        <v>134</v>
      </c>
      <c r="X197" s="2409">
        <v>134.19999999999999</v>
      </c>
      <c r="Y197" s="2409">
        <v>135.69999999999999</v>
      </c>
      <c r="Z197" s="2409">
        <v>135.69999999999999</v>
      </c>
      <c r="AA197" s="2409">
        <v>136.30000000000001</v>
      </c>
      <c r="AB197" s="2409">
        <v>135.6</v>
      </c>
      <c r="AC197" s="2409">
        <v>137.4</v>
      </c>
      <c r="AD197" s="2409">
        <v>137.4</v>
      </c>
      <c r="AE197" s="2409">
        <v>138.1</v>
      </c>
      <c r="AF197" s="2409">
        <v>139.9</v>
      </c>
      <c r="AG197" s="2409">
        <v>141.1</v>
      </c>
      <c r="AH197" s="2409">
        <v>142.5</v>
      </c>
      <c r="AI197" s="2409">
        <v>144</v>
      </c>
      <c r="AJ197" s="2409">
        <v>147</v>
      </c>
      <c r="AK197" s="2409">
        <v>150.30000000000001</v>
      </c>
      <c r="AL197" s="2409">
        <v>153.19999999999999</v>
      </c>
      <c r="AM197" s="2409">
        <v>155.19999999999999</v>
      </c>
      <c r="AN197" s="2409">
        <v>156.80000000000001</v>
      </c>
      <c r="AO197" s="2409">
        <v>158.1</v>
      </c>
      <c r="AP197" s="2409">
        <v>159.19999999999999</v>
      </c>
      <c r="AQ197" s="2409">
        <v>161.69999999999999</v>
      </c>
      <c r="AR197" s="2409">
        <v>162</v>
      </c>
      <c r="AS197" s="2409">
        <v>162.30000000000001</v>
      </c>
      <c r="AT197" s="2409">
        <v>163.69999999999999</v>
      </c>
      <c r="AU197" s="2409">
        <v>164.3</v>
      </c>
      <c r="AV197" s="2409">
        <v>164.3</v>
      </c>
      <c r="AW197" s="2410">
        <v>169.9</v>
      </c>
      <c r="AX197" s="2410">
        <v>171.1</v>
      </c>
      <c r="AY197" s="2410">
        <v>172.5</v>
      </c>
      <c r="AZ197" s="2410">
        <v>178.7</v>
      </c>
      <c r="BA197" s="2410">
        <v>180.5</v>
      </c>
      <c r="BB197" s="2410">
        <v>181.6</v>
      </c>
      <c r="BC197" s="2410">
        <v>182.5</v>
      </c>
      <c r="BD197" s="2411">
        <v>184.1</v>
      </c>
      <c r="BE197" s="2410">
        <v>185</v>
      </c>
      <c r="BF197" s="2411">
        <v>187.3</v>
      </c>
      <c r="BG197" s="2411">
        <v>192.9</v>
      </c>
      <c r="BH197" s="2411">
        <v>194.4</v>
      </c>
      <c r="BI197" s="2412">
        <v>198.6</v>
      </c>
      <c r="BJ197" s="2412">
        <v>202.9</v>
      </c>
      <c r="BK197" s="2412">
        <v>205.1</v>
      </c>
      <c r="BL197" s="2412">
        <v>208.9</v>
      </c>
      <c r="BM197" s="2412">
        <v>213.7</v>
      </c>
      <c r="BN197" s="2412">
        <v>221.2</v>
      </c>
      <c r="BO197" s="2412">
        <v>223.2</v>
      </c>
      <c r="BP197" s="2412">
        <v>224.5</v>
      </c>
      <c r="BQ197" s="2412">
        <v>229.5</v>
      </c>
      <c r="BR197" s="2412">
        <v>232.1</v>
      </c>
      <c r="BS197" s="2412">
        <v>233.7</v>
      </c>
      <c r="BT197" s="2412">
        <v>235.3</v>
      </c>
      <c r="BU197" s="2412">
        <v>241.2</v>
      </c>
      <c r="BV197" s="2412">
        <v>243</v>
      </c>
      <c r="BW197" s="2412">
        <v>244.8</v>
      </c>
      <c r="BX197" s="2412">
        <v>248.8</v>
      </c>
      <c r="BY197" s="2412">
        <v>257.5</v>
      </c>
      <c r="BZ197" s="2412">
        <v>261.8</v>
      </c>
      <c r="CA197" s="2412">
        <v>269.60000000000002</v>
      </c>
      <c r="CB197" s="2412">
        <v>272.60000000000002</v>
      </c>
      <c r="CC197" s="2412">
        <v>275.7</v>
      </c>
      <c r="CD197" s="2412">
        <v>283.60000000000002</v>
      </c>
      <c r="CE197" s="2412">
        <v>283.10000000000002</v>
      </c>
      <c r="CF197" s="2412">
        <v>286.10000000000002</v>
      </c>
      <c r="CG197" s="2412">
        <v>288.10000000000002</v>
      </c>
      <c r="CH197" s="2412">
        <v>289.89999999999998</v>
      </c>
      <c r="CI197" s="2412">
        <v>291.7</v>
      </c>
      <c r="CJ197" s="2412">
        <v>295.10000000000002</v>
      </c>
      <c r="CK197" s="2412">
        <v>309.5</v>
      </c>
      <c r="CL197" s="2412">
        <v>309.5</v>
      </c>
      <c r="CM197" s="2412">
        <v>318.8</v>
      </c>
      <c r="CN197" s="2412">
        <v>319.7</v>
      </c>
      <c r="CO197" s="2412">
        <v>324.89999999999998</v>
      </c>
      <c r="CP197" s="2412">
        <v>325.89999999999998</v>
      </c>
      <c r="CQ197" s="2412">
        <v>327</v>
      </c>
      <c r="CR197" s="2412">
        <v>327</v>
      </c>
      <c r="CS197" s="2412">
        <v>328.5</v>
      </c>
      <c r="CT197" s="2412">
        <v>329.6</v>
      </c>
      <c r="CU197" s="2412">
        <v>330.4</v>
      </c>
      <c r="CV197" s="2412">
        <v>332.4</v>
      </c>
      <c r="CW197" s="2412">
        <v>334.4</v>
      </c>
      <c r="CX197" s="2412">
        <v>343.4</v>
      </c>
      <c r="CY197" s="2412">
        <v>346.2</v>
      </c>
      <c r="CZ197" s="2412">
        <v>348.5</v>
      </c>
      <c r="DA197" s="2412">
        <v>349.6</v>
      </c>
      <c r="DB197" s="2412">
        <v>358.9</v>
      </c>
      <c r="DC197" s="2412">
        <v>363</v>
      </c>
      <c r="DD197" s="2412">
        <v>364.4</v>
      </c>
      <c r="DE197" s="2412">
        <v>366.2</v>
      </c>
      <c r="DF197" s="2412">
        <v>373.2</v>
      </c>
      <c r="DG197" s="2412">
        <v>386.1</v>
      </c>
      <c r="DH197" s="2412">
        <v>376.6</v>
      </c>
      <c r="DI197" s="2412">
        <v>394.3</v>
      </c>
      <c r="DJ197" s="2412">
        <v>398.3</v>
      </c>
      <c r="DK197" s="2412">
        <v>403.7</v>
      </c>
      <c r="DL197" s="2412">
        <v>411.2</v>
      </c>
      <c r="DM197" s="2412">
        <v>415.1</v>
      </c>
      <c r="DN197" s="2412">
        <v>420.2</v>
      </c>
      <c r="DO197" s="2412">
        <v>423.2</v>
      </c>
      <c r="DP197" s="2412">
        <v>434.5</v>
      </c>
      <c r="DQ197" s="2412">
        <v>451.9</v>
      </c>
      <c r="DR197" s="2412">
        <v>458.5</v>
      </c>
      <c r="DS197" s="2412">
        <v>463.1</v>
      </c>
      <c r="DT197" s="2412">
        <v>469</v>
      </c>
      <c r="DU197" s="2412">
        <v>472.2</v>
      </c>
      <c r="DV197" s="2412">
        <v>471.2</v>
      </c>
      <c r="DW197" s="2412">
        <v>479</v>
      </c>
      <c r="DX197" s="2412">
        <v>488.4</v>
      </c>
      <c r="DY197" s="2412">
        <v>495.2</v>
      </c>
      <c r="DZ197" s="2412">
        <v>503.4</v>
      </c>
      <c r="EA197" s="2412">
        <v>513.79999999999995</v>
      </c>
      <c r="EB197" s="2412">
        <v>520.1</v>
      </c>
      <c r="EC197" s="2412">
        <v>544.20000000000005</v>
      </c>
      <c r="ED197" s="2412">
        <v>549.20000000000005</v>
      </c>
      <c r="EE197" s="2412">
        <v>554.1</v>
      </c>
      <c r="EF197" s="2412">
        <v>559.5</v>
      </c>
      <c r="EG197" s="2412">
        <v>538.1</v>
      </c>
      <c r="EH197" s="2412">
        <v>607.70000000000005</v>
      </c>
      <c r="EI197" s="2412">
        <v>618.5</v>
      </c>
      <c r="EJ197" s="2412">
        <v>627.6</v>
      </c>
      <c r="EK197" s="2412">
        <v>630.9</v>
      </c>
      <c r="EL197" s="2412">
        <v>633.79999999999995</v>
      </c>
      <c r="EM197" s="2412">
        <v>647</v>
      </c>
      <c r="EN197" s="2412">
        <v>648.29999999999995</v>
      </c>
      <c r="EO197" s="2412">
        <v>651.29999999999995</v>
      </c>
      <c r="EP197" s="2412">
        <v>656.4</v>
      </c>
      <c r="EQ197" s="2412">
        <v>665.1</v>
      </c>
      <c r="ER197" s="2412">
        <v>683.8</v>
      </c>
      <c r="ES197" s="2412">
        <v>687.5</v>
      </c>
      <c r="ET197" s="2412">
        <v>737.4</v>
      </c>
      <c r="EU197" s="2412">
        <v>737</v>
      </c>
      <c r="EV197" s="2412">
        <v>744</v>
      </c>
      <c r="EW197" s="2412">
        <v>769.2</v>
      </c>
      <c r="EX197" s="2412">
        <v>773.8</v>
      </c>
      <c r="EY197" s="2412">
        <v>778.1</v>
      </c>
      <c r="EZ197" s="2412">
        <v>788.2</v>
      </c>
      <c r="FA197" s="2412">
        <v>801.6</v>
      </c>
      <c r="FB197" s="2412">
        <v>970.1</v>
      </c>
      <c r="FC197" s="2412">
        <v>848.2</v>
      </c>
      <c r="FD197" s="2412">
        <v>912.9</v>
      </c>
      <c r="FE197" s="2412">
        <v>933</v>
      </c>
      <c r="FF197" s="2412">
        <v>940.5</v>
      </c>
      <c r="FG197" s="2412">
        <v>984.9</v>
      </c>
      <c r="FH197" s="2412">
        <v>1010.1</v>
      </c>
      <c r="FI197" s="2412">
        <v>1021.3</v>
      </c>
      <c r="FJ197" s="2412">
        <v>1032.3</v>
      </c>
      <c r="FK197" s="2412">
        <v>1038.9000000000001</v>
      </c>
      <c r="FL197" s="2412">
        <v>1051.4000000000001</v>
      </c>
      <c r="FM197" s="2412">
        <v>1059.0999999999999</v>
      </c>
      <c r="FN197" s="2412">
        <v>1067.7</v>
      </c>
      <c r="FO197" s="2412">
        <v>1078.4000000000001</v>
      </c>
      <c r="FP197" s="2412">
        <v>1088.4000000000001</v>
      </c>
      <c r="FQ197" s="2412">
        <v>1164.5999999999999</v>
      </c>
      <c r="FR197" s="2412">
        <v>1179</v>
      </c>
      <c r="FS197" s="2412">
        <v>1198.2</v>
      </c>
      <c r="FT197" s="2412">
        <v>1253.3</v>
      </c>
      <c r="FU197" s="2412">
        <v>1282.0999999999999</v>
      </c>
      <c r="FV197" s="2412">
        <v>1291.9000000000001</v>
      </c>
      <c r="FW197" s="2413">
        <f>+'NIV-GEN.'!E15</f>
        <v>1318.3084219133279</v>
      </c>
      <c r="FX197" s="2413">
        <f>+'NIV-GEN.'!F15</f>
        <v>1385.9139820114474</v>
      </c>
      <c r="FY197" s="2416">
        <f>+'NIV-GEN.'!G15</f>
        <v>100</v>
      </c>
      <c r="FZ197" s="2417">
        <f>+'NIV-GEN.'!H15</f>
        <v>102.73871206513694</v>
      </c>
      <c r="GA197" s="2417">
        <f>+'NIV-GEN.'!I15</f>
        <v>103.77498149518874</v>
      </c>
      <c r="GB197" s="2417">
        <f>+'NIV-GEN.'!J15</f>
        <v>112.21317542561064</v>
      </c>
      <c r="GC197" s="2417">
        <f>+'NIV-GEN.'!K15</f>
        <v>113.32346410066616</v>
      </c>
      <c r="GD197" s="2417">
        <f>+'NIV-GEN.'!L15</f>
        <v>114.28571428571429</v>
      </c>
      <c r="GE197" s="2417">
        <f>+'NIV-GEN.'!M15</f>
        <v>115.76609918578832</v>
      </c>
      <c r="GF197" s="2417">
        <f>+'NIV-GEN.'!N15</f>
        <v>116.21021465581052</v>
      </c>
      <c r="GG197" s="2417">
        <f>+'NIV-GEN.'!O15</f>
        <v>117.09844559585493</v>
      </c>
      <c r="GH197" s="2417">
        <f>+'NIV-GEN.'!P15</f>
        <v>122.72390821613621</v>
      </c>
      <c r="GI197" s="2417">
        <f>+'NIV-GEN.'!Q15</f>
        <v>123.90821613619542</v>
      </c>
      <c r="GJ197" s="2417">
        <f>+'NIV-GEN.'!R15</f>
        <v>126.79496669133977</v>
      </c>
      <c r="GK197" s="2417">
        <f>+'NIV-GEN.'!S15</f>
        <v>131.97631384159882</v>
      </c>
      <c r="GL197" s="2417">
        <f>+'NIV-GEN.'!T15</f>
        <v>132.49444855662472</v>
      </c>
      <c r="GM197" s="2417">
        <f>+'NIV-GEN.'!U15</f>
        <v>133.23464100666175</v>
      </c>
      <c r="GN197" s="2417">
        <f>+'NIV-GEN.'!V15</f>
        <v>138.63804589193194</v>
      </c>
      <c r="GO197" s="2417">
        <f>+'NIV-GEN.'!W15</f>
        <v>140.19245003700965</v>
      </c>
      <c r="GP197" s="2417">
        <f>+'NIV-GEN.'!X15</f>
        <v>141.52479644707626</v>
      </c>
      <c r="GQ197" s="2417">
        <f>+'NIV-GEN.'!Y15</f>
        <v>149.66691339748337</v>
      </c>
      <c r="GR197" s="2417">
        <f>+'NIV-GEN.'!Z15</f>
        <v>151.3693560325685</v>
      </c>
      <c r="GS197" s="2417">
        <f>+'NIV-GEN.'!AA15</f>
        <v>152.6276831976314</v>
      </c>
      <c r="GT197" s="2417">
        <f>+'NIV-GEN.'!AB15</f>
        <v>153.960029607698</v>
      </c>
      <c r="GU197" s="2417">
        <f>+'NIV-GEN.'!AC15</f>
        <v>155.51443375277574</v>
      </c>
      <c r="GV197" s="2417">
        <f>+'NIV-GEN.'!AD15</f>
        <v>157.43893412287196</v>
      </c>
      <c r="GW197" s="2417">
        <f>+'NIV-GEN.'!AE15</f>
        <v>162.99037749814951</v>
      </c>
      <c r="GX197" s="2417">
        <f>+'NIV-GEN.'!AF15</f>
        <v>165.13693560325683</v>
      </c>
      <c r="GY197" s="2417">
        <f>+'NIV-GEN.'!AG15</f>
        <v>170.09622501850481</v>
      </c>
      <c r="GZ197" s="2417">
        <f>+'NIV-GEN.'!AH15</f>
        <v>177.3501110288675</v>
      </c>
      <c r="HA197" s="2417">
        <f>+'NIV-GEN.'!AI15</f>
        <v>183.93782383419688</v>
      </c>
      <c r="HB197" s="2417">
        <f>+'NIV-GEN.'!AJ15</f>
        <v>192.00592153960025</v>
      </c>
      <c r="HC197" s="2417">
        <f>+'NIV-GEN.'!AK15</f>
        <v>195.70688378978531</v>
      </c>
      <c r="HD197" s="2417">
        <f>+'NIV-GEN.'!AL15</f>
        <v>209.91857883049593</v>
      </c>
      <c r="HE197" s="2417">
        <f>+'NIV-GEN.'!AM15</f>
        <v>225.83271650629163</v>
      </c>
      <c r="HF197" s="2417">
        <f>+'NIV-GEN.'!AN15</f>
        <v>230.56994818652851</v>
      </c>
      <c r="HG197" s="2417">
        <f>+'NIV-GEN.'!AO15</f>
        <v>239.60029607698002</v>
      </c>
      <c r="HH197" s="2417">
        <f>+'NIV-GEN.'!AP15</f>
        <v>245.37379718726871</v>
      </c>
      <c r="HI197" s="2417">
        <f>+'NIV-GEN.'!AQ15</f>
        <v>251.14729829755743</v>
      </c>
      <c r="HJ197" s="2417">
        <f>+'NIV-GEN.'!AR15</f>
        <v>256.18060695780912</v>
      </c>
      <c r="HK197" s="2417">
        <f>+'NIV-GEN.'!AS15</f>
        <v>267.20947446336055</v>
      </c>
      <c r="HL197" s="2417">
        <f>+'NIV-GEN.'!AT15</f>
        <v>282.38341968911925</v>
      </c>
      <c r="HM197" s="2417">
        <f>+'NIV-GEN.'!AU15</f>
        <v>292.8201332346411</v>
      </c>
      <c r="HN197" s="2417">
        <f>+'NIV-GEN.'!AV15</f>
        <v>296.81717246484095</v>
      </c>
      <c r="HO197" s="2417">
        <f>+'NIV-GEN.'!AW15</f>
        <v>303.99703923019996</v>
      </c>
      <c r="HP197" s="2417">
        <f>+'NIV-GEN.'!AX15</f>
        <v>335.60325684678025</v>
      </c>
      <c r="HQ197" s="2417">
        <f>+'NIV-GEN.'!AY15</f>
        <v>339.74833456698752</v>
      </c>
      <c r="HR197" s="2417">
        <f>+'NIV-GEN.'!AZ15</f>
        <v>360.0296076980016</v>
      </c>
      <c r="HS197" s="2417">
        <f>+'NIV-GEN.'!BA15</f>
        <v>379.79274611398978</v>
      </c>
      <c r="HT197" s="2417">
        <f>+'NIV-GEN.'!BB15</f>
        <v>379.79274611398978</v>
      </c>
      <c r="HU197" s="2417">
        <f>+'NIV-GEN.'!BC15</f>
        <v>399.40784603997054</v>
      </c>
      <c r="HV197" s="2417">
        <f>+'NIV-GEN.'!BD15</f>
        <v>414.65581051073292</v>
      </c>
      <c r="HW197" s="2417">
        <f>+'NIV-GEN.'!BE15</f>
        <v>418.4307920059216</v>
      </c>
      <c r="HX197" s="2417">
        <f>+'NIV-GEN.'!BF15</f>
        <v>424.13027387120667</v>
      </c>
      <c r="HY197" s="2417">
        <f>+'NIV-GEN.'!BG15</f>
        <v>435.30717986676552</v>
      </c>
      <c r="HZ197" s="2417">
        <f>+'NIV-GEN.'!BH15</f>
        <v>443.07920059215411</v>
      </c>
      <c r="IA197" s="2417">
        <f>+'NIV-GEN.'!BI15</f>
        <v>455.36639526276849</v>
      </c>
      <c r="IB197" s="2417">
        <f>+'NIV-GEN.'!BJ15</f>
        <v>467.43153219837171</v>
      </c>
      <c r="IC197" s="2417">
        <f>+'NIV-GEN.'!BK15</f>
        <v>485.41820873427099</v>
      </c>
      <c r="ID197" s="2417">
        <f>+'NIV-GEN.'!BL15</f>
        <v>514.50777202072561</v>
      </c>
      <c r="IE197" s="2417">
        <f>+'NIV-GEN.'!BM15</f>
        <v>565.06291635825335</v>
      </c>
      <c r="IF197" s="2417">
        <f>+'NIV-GEN.'!BN15</f>
        <v>588.00888230940063</v>
      </c>
      <c r="IG197" s="2417">
        <f>+'NIV-GEN.'!BO15</f>
        <v>610.58475203552939</v>
      </c>
      <c r="IH197" s="2417">
        <f>+'NIV-GEN.'!BP15</f>
        <v>645.96595114729848</v>
      </c>
      <c r="II197" s="2417">
        <f>+'NIV-GEN.'!BQ15</f>
        <v>663.7305699481866</v>
      </c>
      <c r="IJ197" s="2417">
        <f>+'NIV-GEN.'!BR15</f>
        <v>709.91857883049602</v>
      </c>
      <c r="IK197" s="2417">
        <f>+'NIV-GEN.'!BS15</f>
        <v>731.60621761658035</v>
      </c>
      <c r="IL197" s="2417">
        <f>+'NIV-GEN.'!BT15</f>
        <v>748.55662472242784</v>
      </c>
      <c r="IM197" s="2417">
        <f>+'NIV-GEN.'!BU15</f>
        <v>788.89711324944483</v>
      </c>
      <c r="IN197" s="2417">
        <f>+'NIV-GEN.'!BV15</f>
        <v>806.66173205033306</v>
      </c>
      <c r="IO197" s="2417">
        <f>+'NIV-GEN.'!BW15</f>
        <v>837.30569948186542</v>
      </c>
      <c r="IP197" s="2417">
        <f>+'NIV-GEN.'!BX15</f>
        <v>873.57512953367882</v>
      </c>
      <c r="IQ197" s="2417">
        <f>+'NIV-GEN.'!BY15</f>
        <v>895.63286454478168</v>
      </c>
      <c r="IR197" s="2417">
        <f>+'NIV-GEN.'!BZ15</f>
        <v>913.61954108068096</v>
      </c>
      <c r="IS197" s="2417">
        <f>+'NIV-GEN.'!CA15</f>
        <v>948.55662472242784</v>
      </c>
      <c r="IT197" s="2417">
        <f>+'NIV-GEN.'!CB15</f>
        <v>995.18874907475958</v>
      </c>
      <c r="IU197" s="2417">
        <f>+'NIV-GEN.'!CC15</f>
        <v>1048.2605477424133</v>
      </c>
      <c r="IV197" s="2417">
        <f>+'NIV-GEN.'!CD15</f>
        <v>1086.010362694301</v>
      </c>
      <c r="IW197" s="2417">
        <f>+'NIV-GEN.'!CE15</f>
        <v>1157.5869726128799</v>
      </c>
      <c r="IX197" s="2417">
        <f>+'NIV-GEN.'!CF15</f>
        <v>1236.269430051814</v>
      </c>
      <c r="IY197" s="2417">
        <f>+'NIV-GEN.'!CG15</f>
        <v>1320.5033308660256</v>
      </c>
      <c r="IZ197" s="2417">
        <f>+'NIV-GEN.'!CH15</f>
        <v>1410.7327905255372</v>
      </c>
      <c r="JA197" s="2417">
        <f>+'NIV-GEN.'!CI15</f>
        <v>1518.8008882309407</v>
      </c>
      <c r="JB197" s="2417">
        <f>+'NIV-GEN.'!CJ15</f>
        <v>1637.2316802368623</v>
      </c>
      <c r="JC197" s="2417">
        <f>+'NIV-GEN.'!CK15</f>
        <v>1754.0340488527024</v>
      </c>
      <c r="JD197" s="2415">
        <f>+'NIV-GEN.'!CL15</f>
        <v>1889.1931902294609</v>
      </c>
      <c r="JE197" s="2422">
        <f>+'NIV-GEN.'!CM15</f>
        <v>2008.216136195412</v>
      </c>
      <c r="JF197" s="2418">
        <f>+'NIV-GEN.'!CN15</f>
        <v>2120.873427091045</v>
      </c>
      <c r="JG197" s="2103">
        <f t="shared" si="14"/>
        <v>1.0560981902620619</v>
      </c>
      <c r="JI197" s="2155"/>
      <c r="JJ197" s="2104"/>
    </row>
    <row r="198" spans="2:271" ht="31.5">
      <c r="B198" s="2105">
        <v>511</v>
      </c>
      <c r="C198" s="2128"/>
      <c r="D198" s="2425">
        <v>0</v>
      </c>
      <c r="E198" s="2128" t="s">
        <v>380</v>
      </c>
      <c r="F198" s="2128"/>
      <c r="G198" s="2425" t="s">
        <v>1113</v>
      </c>
      <c r="H198" s="2106" t="s">
        <v>336</v>
      </c>
      <c r="I198" s="2106"/>
      <c r="J198" s="2359"/>
      <c r="K198" s="2425" t="s">
        <v>1150</v>
      </c>
      <c r="L198" s="2409">
        <v>100</v>
      </c>
      <c r="M198" s="2409">
        <v>105.44</v>
      </c>
      <c r="N198" s="2409">
        <v>117.24</v>
      </c>
      <c r="O198" s="2409">
        <v>135.36000000000001</v>
      </c>
      <c r="P198" s="2409">
        <v>167.99199999999999</v>
      </c>
      <c r="Q198" s="2409">
        <v>171.62</v>
      </c>
      <c r="R198" s="2409">
        <v>193.21</v>
      </c>
      <c r="S198" s="2409">
        <v>219.14</v>
      </c>
      <c r="T198" s="2409">
        <v>234.44</v>
      </c>
      <c r="U198" s="2409">
        <v>246.62</v>
      </c>
      <c r="V198" s="2409">
        <v>250.75</v>
      </c>
      <c r="W198" s="2409">
        <v>250.88</v>
      </c>
      <c r="X198" s="2409">
        <v>250.88</v>
      </c>
      <c r="Y198" s="2409">
        <v>252.16</v>
      </c>
      <c r="Z198" s="2409">
        <v>259.16000000000003</v>
      </c>
      <c r="AA198" s="2409">
        <v>268.73</v>
      </c>
      <c r="AB198" s="2409">
        <v>268.73</v>
      </c>
      <c r="AC198" s="2409">
        <v>276.12</v>
      </c>
      <c r="AD198" s="2409">
        <v>276.12099999999998</v>
      </c>
      <c r="AE198" s="2409">
        <v>276.64999999999998</v>
      </c>
      <c r="AF198" s="2409">
        <v>276.56</v>
      </c>
      <c r="AG198" s="2409">
        <v>277.88</v>
      </c>
      <c r="AH198" s="2409">
        <v>280.76</v>
      </c>
      <c r="AI198" s="2409">
        <v>282.45</v>
      </c>
      <c r="AJ198" s="2409">
        <v>288.14999999999998</v>
      </c>
      <c r="AK198" s="2409">
        <v>295.87</v>
      </c>
      <c r="AL198" s="2409">
        <v>329.51</v>
      </c>
      <c r="AM198" s="2409">
        <v>342.12</v>
      </c>
      <c r="AN198" s="2409">
        <v>351.02</v>
      </c>
      <c r="AO198" s="2409">
        <v>353.32</v>
      </c>
      <c r="AP198" s="2409">
        <v>363.26</v>
      </c>
      <c r="AQ198" s="2409">
        <v>363.26</v>
      </c>
      <c r="AR198" s="2409">
        <v>363.28</v>
      </c>
      <c r="AS198" s="2409">
        <v>366.41</v>
      </c>
      <c r="AT198" s="2409">
        <v>369.33</v>
      </c>
      <c r="AU198" s="2409">
        <v>383.61</v>
      </c>
      <c r="AV198" s="2409">
        <v>384.44</v>
      </c>
      <c r="AW198" s="2410">
        <v>388.9</v>
      </c>
      <c r="AX198" s="2410">
        <v>388.9</v>
      </c>
      <c r="AY198" s="2410">
        <v>394.87</v>
      </c>
      <c r="AZ198" s="2410">
        <v>379.11</v>
      </c>
      <c r="BA198" s="2410">
        <v>379.11</v>
      </c>
      <c r="BB198" s="2410">
        <v>379.11</v>
      </c>
      <c r="BC198" s="2410">
        <v>380.83</v>
      </c>
      <c r="BD198" s="2411">
        <v>385.89</v>
      </c>
      <c r="BE198" s="2410">
        <v>385.89</v>
      </c>
      <c r="BF198" s="2411">
        <v>385.87</v>
      </c>
      <c r="BG198" s="2411">
        <v>397.17</v>
      </c>
      <c r="BH198" s="2411">
        <v>397.17</v>
      </c>
      <c r="BI198" s="2412">
        <v>401.17</v>
      </c>
      <c r="BJ198" s="2412">
        <v>401.17</v>
      </c>
      <c r="BK198" s="2412">
        <v>402.29</v>
      </c>
      <c r="BL198" s="2412">
        <v>405.32</v>
      </c>
      <c r="BM198" s="2412">
        <v>412.96</v>
      </c>
      <c r="BN198" s="2412">
        <v>412.96</v>
      </c>
      <c r="BO198" s="2412">
        <v>414.03</v>
      </c>
      <c r="BP198" s="2412">
        <v>414.03</v>
      </c>
      <c r="BQ198" s="2412">
        <v>398.48</v>
      </c>
      <c r="BR198" s="2412">
        <v>421.67</v>
      </c>
      <c r="BS198" s="2412">
        <v>422.48</v>
      </c>
      <c r="BT198" s="2412">
        <v>427.68</v>
      </c>
      <c r="BU198" s="2412">
        <v>434.36</v>
      </c>
      <c r="BV198" s="2412">
        <v>434.36</v>
      </c>
      <c r="BW198" s="2412">
        <v>442.76</v>
      </c>
      <c r="BX198" s="2412">
        <v>442.93</v>
      </c>
      <c r="BY198" s="2412">
        <v>452.79</v>
      </c>
      <c r="BZ198" s="2412">
        <v>455</v>
      </c>
      <c r="CA198" s="2412">
        <v>461.6</v>
      </c>
      <c r="CB198" s="2412">
        <v>462.23</v>
      </c>
      <c r="CC198" s="2412">
        <v>478.85</v>
      </c>
      <c r="CD198" s="2412">
        <v>478.79</v>
      </c>
      <c r="CE198" s="2412">
        <v>480.9</v>
      </c>
      <c r="CF198" s="2412">
        <v>501.17</v>
      </c>
      <c r="CG198" s="2412">
        <v>494.32</v>
      </c>
      <c r="CH198" s="2412">
        <v>494.32</v>
      </c>
      <c r="CI198" s="2412">
        <v>498.77</v>
      </c>
      <c r="CJ198" s="2412">
        <v>521.47</v>
      </c>
      <c r="CK198" s="2412">
        <v>524.80999999999995</v>
      </c>
      <c r="CL198" s="2412">
        <v>548.9</v>
      </c>
      <c r="CM198" s="2412">
        <v>566.51</v>
      </c>
      <c r="CN198" s="2412">
        <v>563.16</v>
      </c>
      <c r="CO198" s="2412">
        <v>597.53</v>
      </c>
      <c r="CP198" s="2412">
        <v>598.37</v>
      </c>
      <c r="CQ198" s="2412">
        <v>598.37</v>
      </c>
      <c r="CR198" s="2412">
        <v>598.37</v>
      </c>
      <c r="CS198" s="2412">
        <v>598.37</v>
      </c>
      <c r="CT198" s="2412">
        <v>598.37</v>
      </c>
      <c r="CU198" s="2412">
        <v>598.37</v>
      </c>
      <c r="CV198" s="2412">
        <v>598.37</v>
      </c>
      <c r="CW198" s="2412">
        <v>606.4</v>
      </c>
      <c r="CX198" s="2412">
        <v>610.91999999999996</v>
      </c>
      <c r="CY198" s="2412">
        <v>616.17999999999995</v>
      </c>
      <c r="CZ198" s="2412">
        <v>616.17999999999995</v>
      </c>
      <c r="DA198" s="2412">
        <v>616.17999999999995</v>
      </c>
      <c r="DB198" s="2412">
        <v>629.54</v>
      </c>
      <c r="DC198" s="2412">
        <v>629.54</v>
      </c>
      <c r="DD198" s="2412">
        <v>625.54</v>
      </c>
      <c r="DE198" s="2412">
        <v>625.66999999999996</v>
      </c>
      <c r="DF198" s="2412">
        <v>647.71</v>
      </c>
      <c r="DG198" s="2412">
        <v>665.24</v>
      </c>
      <c r="DH198" s="2412">
        <v>664.77</v>
      </c>
      <c r="DI198" s="2412">
        <v>671.29</v>
      </c>
      <c r="DJ198" s="2412">
        <v>679.45</v>
      </c>
      <c r="DK198" s="2412">
        <v>679.45</v>
      </c>
      <c r="DL198" s="2412">
        <v>691.84</v>
      </c>
      <c r="DM198" s="2412">
        <v>702.61</v>
      </c>
      <c r="DN198" s="2412">
        <v>713.88</v>
      </c>
      <c r="DO198" s="2412">
        <v>735.89</v>
      </c>
      <c r="DP198" s="2412">
        <v>749.14</v>
      </c>
      <c r="DQ198" s="2412">
        <v>739.95</v>
      </c>
      <c r="DR198" s="2412">
        <v>749.14</v>
      </c>
      <c r="DS198" s="2412">
        <v>756.78</v>
      </c>
      <c r="DT198" s="2412">
        <v>781.15</v>
      </c>
      <c r="DU198" s="2412">
        <v>781.15</v>
      </c>
      <c r="DV198" s="2412">
        <v>781.15</v>
      </c>
      <c r="DW198" s="2412">
        <v>793.28</v>
      </c>
      <c r="DX198" s="2412">
        <v>809.36</v>
      </c>
      <c r="DY198" s="2412">
        <v>832.09</v>
      </c>
      <c r="DZ198" s="2412">
        <v>832.09</v>
      </c>
      <c r="EA198" s="2412">
        <v>846.14</v>
      </c>
      <c r="EB198" s="2412">
        <v>846.14</v>
      </c>
      <c r="EC198" s="2412">
        <v>863.97</v>
      </c>
      <c r="ED198" s="2412">
        <v>863.97</v>
      </c>
      <c r="EE198" s="2412">
        <v>863.97</v>
      </c>
      <c r="EF198" s="2412">
        <v>863.97</v>
      </c>
      <c r="EG198" s="2412">
        <v>879.5</v>
      </c>
      <c r="EH198" s="2412">
        <v>978.3</v>
      </c>
      <c r="EI198" s="2412">
        <v>978.3</v>
      </c>
      <c r="EJ198" s="2412">
        <v>954.21</v>
      </c>
      <c r="EK198" s="2412">
        <v>954.21</v>
      </c>
      <c r="EL198" s="2412">
        <v>965.46</v>
      </c>
      <c r="EM198" s="2412">
        <v>991.8</v>
      </c>
      <c r="EN198" s="2412">
        <v>1025.4000000000001</v>
      </c>
      <c r="EO198" s="2412">
        <v>1027.5999999999999</v>
      </c>
      <c r="EP198" s="2412">
        <v>1027.5999999999999</v>
      </c>
      <c r="EQ198" s="2412">
        <v>1049.8699999999999</v>
      </c>
      <c r="ER198" s="2412">
        <v>1049.8699999999999</v>
      </c>
      <c r="ES198" s="2412">
        <v>1049.8699999999999</v>
      </c>
      <c r="ET198" s="2412">
        <v>1137.82</v>
      </c>
      <c r="EU198" s="2412">
        <v>1154.8699999999999</v>
      </c>
      <c r="EV198" s="2412">
        <v>1154.8699999999999</v>
      </c>
      <c r="EW198" s="2412">
        <v>1151.44</v>
      </c>
      <c r="EX198" s="2412">
        <v>1151.44</v>
      </c>
      <c r="EY198" s="2412">
        <v>1151.44</v>
      </c>
      <c r="EZ198" s="2412">
        <v>1209.95</v>
      </c>
      <c r="FA198" s="2412">
        <v>1262.2</v>
      </c>
      <c r="FB198" s="2412">
        <v>1311.41</v>
      </c>
      <c r="FC198" s="2412">
        <v>1319.96</v>
      </c>
      <c r="FD198" s="2412">
        <v>1445.81</v>
      </c>
      <c r="FE198" s="2412">
        <v>1488.9</v>
      </c>
      <c r="FF198" s="2412">
        <v>1498.07</v>
      </c>
      <c r="FG198" s="2412">
        <v>1548.17</v>
      </c>
      <c r="FH198" s="2412">
        <v>1560.65</v>
      </c>
      <c r="FI198" s="2412">
        <v>1581.09</v>
      </c>
      <c r="FJ198" s="2412">
        <v>1596.17</v>
      </c>
      <c r="FK198" s="2412">
        <v>1600.59</v>
      </c>
      <c r="FL198" s="2412">
        <v>1606.32</v>
      </c>
      <c r="FM198" s="2412">
        <v>1611.18</v>
      </c>
      <c r="FN198" s="2412">
        <v>1623.08</v>
      </c>
      <c r="FO198" s="2412">
        <v>1635.44</v>
      </c>
      <c r="FP198" s="2412">
        <v>1738.22</v>
      </c>
      <c r="FQ198" s="2412">
        <v>1748.47</v>
      </c>
      <c r="FR198" s="2412">
        <v>1759.89</v>
      </c>
      <c r="FS198" s="2412">
        <v>1767.9</v>
      </c>
      <c r="FT198" s="2412">
        <v>1839.22</v>
      </c>
      <c r="FU198" s="2412">
        <v>1854.53</v>
      </c>
      <c r="FV198" s="2412">
        <v>1870.09</v>
      </c>
      <c r="FW198" s="2413" t="e">
        <f>+'ANEXO G'!O198</f>
        <v>#REF!</v>
      </c>
      <c r="FX198" s="2413" t="e">
        <f>+'ANEXO G'!P198</f>
        <v>#REF!</v>
      </c>
      <c r="FY198" s="2413">
        <f>+'ANEXO G'!E210</f>
        <v>100</v>
      </c>
      <c r="FZ198" s="2413">
        <f>+'ANEXO G'!F210</f>
        <v>101.95</v>
      </c>
      <c r="GA198" s="2413">
        <f>+'ANEXO G'!G210</f>
        <v>103.33</v>
      </c>
      <c r="GB198" s="2413">
        <f>+'ANEXO G'!H210</f>
        <v>105.39</v>
      </c>
      <c r="GC198" s="2413">
        <f>+'ANEXO G'!I210</f>
        <v>105.76</v>
      </c>
      <c r="GD198" s="2413">
        <f>+'ANEXO G'!J210</f>
        <v>105.38</v>
      </c>
      <c r="GE198" s="2413">
        <f>+'ANEXO G'!K210</f>
        <v>109.82</v>
      </c>
      <c r="GF198" s="2413">
        <f>+'ANEXO G'!L210</f>
        <v>109.64</v>
      </c>
      <c r="GG198" s="2413">
        <f>+'ANEXO G'!M210</f>
        <v>110.49</v>
      </c>
      <c r="GH198" s="2413">
        <f>+'ANEXO G'!N210</f>
        <v>113.67</v>
      </c>
      <c r="GI198" s="2413">
        <f>+'ANEXO G'!O210</f>
        <v>114.87</v>
      </c>
      <c r="GJ198" s="2413">
        <f>+'ANEXO G'!P210</f>
        <v>117.3</v>
      </c>
      <c r="GK198" s="2413">
        <f>+'ANEXO G'!E222</f>
        <v>118.25</v>
      </c>
      <c r="GL198" s="2413">
        <f>+'ANEXO G'!F222</f>
        <v>117.22</v>
      </c>
      <c r="GM198" s="2413">
        <f>+'ANEXO G'!G222</f>
        <v>112.84</v>
      </c>
      <c r="GN198" s="2413">
        <f>+'ANEXO G'!H222</f>
        <v>115.51</v>
      </c>
      <c r="GO198" s="2413">
        <f>+'ANEXO G'!I222</f>
        <v>114.76</v>
      </c>
      <c r="GP198" s="2413">
        <f>+'ANEXO G'!J222</f>
        <v>113.66</v>
      </c>
      <c r="GQ198" s="2413">
        <f>+'ANEXO G'!K222</f>
        <v>121.22</v>
      </c>
      <c r="GR198" s="2413">
        <f>+'ANEXO G'!L222</f>
        <v>122.77</v>
      </c>
      <c r="GS198" s="2413">
        <f>+'ANEXO G'!M222</f>
        <v>122.66</v>
      </c>
      <c r="GT198" s="2413">
        <f>+'ANEXO G'!N222</f>
        <v>124.5</v>
      </c>
      <c r="GU198" s="2413">
        <f>+'ANEXO G'!O222</f>
        <v>125.69</v>
      </c>
      <c r="GV198" s="2413">
        <f>+'ANEXO G'!P222</f>
        <v>125.02</v>
      </c>
      <c r="GW198" s="2415">
        <f>+'ANEXO G'!E234</f>
        <v>129.6</v>
      </c>
      <c r="GX198" s="2415">
        <f>+'ANEXO G'!F234</f>
        <v>135.46</v>
      </c>
      <c r="GY198" s="2415">
        <f>+'ANEXO G'!G234</f>
        <v>140.25</v>
      </c>
      <c r="GZ198" s="2415">
        <f>+'ANEXO G'!H234</f>
        <v>151.36000000000001</v>
      </c>
      <c r="HA198" s="2415">
        <f>+'ANEXO G'!I234</f>
        <v>183.29</v>
      </c>
      <c r="HB198" s="2415">
        <f>+'ANEXO G'!J234</f>
        <v>190.86</v>
      </c>
      <c r="HC198" s="2415">
        <f>+'ANEXO G'!K234</f>
        <v>175.28</v>
      </c>
      <c r="HD198" s="2415">
        <f>+'ANEXO G'!L234</f>
        <v>216.31</v>
      </c>
      <c r="HE198" s="2415">
        <f>+'ANEXO G'!M234</f>
        <v>214.49</v>
      </c>
      <c r="HF198" s="2415">
        <f>+'ANEXO G'!N234</f>
        <v>213.56</v>
      </c>
      <c r="HG198" s="2415">
        <f>+'ANEXO G'!O234</f>
        <v>207</v>
      </c>
      <c r="HH198" s="2415">
        <f>+'ANEXO G'!P234</f>
        <v>211.58</v>
      </c>
      <c r="HI198" s="2415">
        <f>+'ANEXO G'!E246</f>
        <v>209.47</v>
      </c>
      <c r="HJ198" s="2415">
        <f>+'ANEXO G'!F246</f>
        <v>219.21</v>
      </c>
      <c r="HK198" s="2415">
        <f>+'ANEXO G'!G246</f>
        <v>237.28</v>
      </c>
      <c r="HL198" s="2415">
        <f>+'ANEXO G'!H246</f>
        <v>250.38</v>
      </c>
      <c r="HM198" s="2415">
        <f>+'ANEXO G'!I246</f>
        <v>264.42</v>
      </c>
      <c r="HN198" s="2415">
        <f>+'ANEXO G'!J246</f>
        <v>262.61</v>
      </c>
      <c r="HO198" s="2415">
        <f>+'ANEXO G'!K246</f>
        <v>256.27999999999997</v>
      </c>
      <c r="HP198" s="2415">
        <f>+'ANEXO G'!L246</f>
        <v>332.91</v>
      </c>
      <c r="HQ198" s="2415">
        <f>+'ANEXO G'!M246</f>
        <v>325.18</v>
      </c>
      <c r="HR198" s="2415">
        <f>+'ANEXO G'!N246</f>
        <v>347.1</v>
      </c>
      <c r="HS198" s="2415">
        <f>+'ANEXO G'!O246</f>
        <v>379.69</v>
      </c>
      <c r="HT198" s="2415">
        <f>+'ANEXO G'!P246</f>
        <v>383.82</v>
      </c>
      <c r="HU198" s="2420">
        <f>+'ANEXO G'!E258</f>
        <v>389.16</v>
      </c>
      <c r="HV198" s="2417">
        <f>+'ANEXO G'!F258</f>
        <v>395.38</v>
      </c>
      <c r="HW198" s="2417">
        <f>+'ANEXO G'!G258</f>
        <v>401.11</v>
      </c>
      <c r="HX198" s="2417">
        <f>+'ANEXO G'!H258</f>
        <v>401.11</v>
      </c>
      <c r="HY198" s="2417">
        <f>+'ANEXO G'!I258</f>
        <v>401.11</v>
      </c>
      <c r="HZ198" s="2417">
        <f>+'ANEXO G'!J258</f>
        <v>401.11</v>
      </c>
      <c r="IA198" s="2417">
        <f>+'ANEXO G'!K258</f>
        <v>401.11</v>
      </c>
      <c r="IB198" s="2417">
        <f>+'ANEXO G'!L258</f>
        <v>405.03</v>
      </c>
      <c r="IC198" s="2417">
        <f>+'ANEXO G'!M258</f>
        <v>445.5</v>
      </c>
      <c r="ID198" s="2417">
        <f>+'ANEXO G'!N258</f>
        <v>500.48</v>
      </c>
      <c r="IE198" s="2417">
        <f>+'ANEXO G'!O258</f>
        <v>528.48</v>
      </c>
      <c r="IF198" s="2419">
        <f>+'ANEXO G'!P258</f>
        <v>527.21</v>
      </c>
      <c r="IG198" s="2420">
        <f>+'ANEXO G'!E270</f>
        <v>537.41999999999996</v>
      </c>
      <c r="IH198" s="2417">
        <f>+'ANEXO G'!F270</f>
        <v>577.58000000000004</v>
      </c>
      <c r="II198" s="2417">
        <f>+'ANEXO G'!G270</f>
        <v>585.70000000000005</v>
      </c>
      <c r="IJ198" s="2417">
        <f>+'ANEXO G'!H270</f>
        <v>613.62</v>
      </c>
      <c r="IK198" s="2417">
        <f>+'ANEXO G'!I270</f>
        <v>625.96</v>
      </c>
      <c r="IL198" s="2417">
        <f>+'ANEXO G'!J270</f>
        <v>650.01</v>
      </c>
      <c r="IM198" s="2417">
        <f>+'ANEXO G'!K270</f>
        <v>663.96</v>
      </c>
      <c r="IN198" s="2417">
        <f>+'ANEXO G'!L270</f>
        <v>666.37</v>
      </c>
      <c r="IO198" s="2417">
        <f>+'ANEXO G'!M270</f>
        <v>674.23</v>
      </c>
      <c r="IP198" s="2417">
        <f>+'ANEXO G'!N270</f>
        <v>681.56</v>
      </c>
      <c r="IQ198" s="2417">
        <f>+'ANEXO G'!O270</f>
        <v>686.34</v>
      </c>
      <c r="IR198" s="2419">
        <f>+'ANEXO G'!P270</f>
        <v>692.12</v>
      </c>
      <c r="IS198" s="2420">
        <f>+'ANEXO G'!E282</f>
        <v>705.27</v>
      </c>
      <c r="IT198" s="2417">
        <f>+'ANEXO G'!F282</f>
        <v>723.53</v>
      </c>
      <c r="IU198" s="2417">
        <f>+'ANEXO G'!G282</f>
        <v>750.43</v>
      </c>
      <c r="IV198" s="2417">
        <f>+'ANEXO G'!H282</f>
        <v>761.86</v>
      </c>
      <c r="IW198" s="2417">
        <f>+'ANEXO G'!I282</f>
        <v>810.2</v>
      </c>
      <c r="IX198" s="2417">
        <f>+'ANEXO G'!J282</f>
        <v>847.12</v>
      </c>
      <c r="IY198" s="2417">
        <f>+'ANEXO G'!K282</f>
        <v>945.24</v>
      </c>
      <c r="IZ198" s="2417">
        <f>+'ANEXO G'!L282</f>
        <v>1029.54</v>
      </c>
      <c r="JA198" s="2417">
        <f>+'ANEXO G'!M282</f>
        <v>1062.96</v>
      </c>
      <c r="JB198" s="2417">
        <f>+'ANEXO G'!N282</f>
        <v>1098.05</v>
      </c>
      <c r="JC198" s="2417">
        <f>+'ANEXO G'!O282</f>
        <v>1174.57</v>
      </c>
      <c r="JD198" s="2415">
        <f>+'ANEXO G'!P282</f>
        <v>1223.96</v>
      </c>
      <c r="JE198" s="2422">
        <f>+'ANEXO G'!E294</f>
        <v>1284.01</v>
      </c>
      <c r="JF198" s="2418">
        <f>+'ANEXO G'!F294</f>
        <v>1384.92</v>
      </c>
      <c r="JG198" s="2103">
        <f t="shared" ref="JG198:JG211" si="19">+JF198/JE198</f>
        <v>1.0785897306095749</v>
      </c>
      <c r="JI198" s="2155"/>
      <c r="JJ198" s="2104"/>
    </row>
    <row r="199" spans="2:271" ht="31.5">
      <c r="B199" s="2105">
        <v>512</v>
      </c>
      <c r="C199" s="2128"/>
      <c r="D199" s="2425">
        <v>0</v>
      </c>
      <c r="E199" s="2128" t="s">
        <v>382</v>
      </c>
      <c r="F199" s="2128"/>
      <c r="G199" s="2425" t="s">
        <v>1113</v>
      </c>
      <c r="H199" s="2106" t="s">
        <v>336</v>
      </c>
      <c r="I199" s="2106"/>
      <c r="J199" s="2359"/>
      <c r="K199" s="2425" t="s">
        <v>1151</v>
      </c>
      <c r="L199" s="2409">
        <v>100</v>
      </c>
      <c r="M199" s="2409">
        <v>102.24</v>
      </c>
      <c r="N199" s="2409">
        <v>108.83</v>
      </c>
      <c r="O199" s="2409">
        <v>110.82</v>
      </c>
      <c r="P199" s="2409">
        <v>125.08</v>
      </c>
      <c r="Q199" s="2409">
        <v>131.63</v>
      </c>
      <c r="R199" s="2409">
        <v>143.69999999999999</v>
      </c>
      <c r="S199" s="2409">
        <v>160.29</v>
      </c>
      <c r="T199" s="2409">
        <v>173.35</v>
      </c>
      <c r="U199" s="2409">
        <v>176.19</v>
      </c>
      <c r="V199" s="2409">
        <v>178.33</v>
      </c>
      <c r="W199" s="2409">
        <v>179.61</v>
      </c>
      <c r="X199" s="2409">
        <v>180.03</v>
      </c>
      <c r="Y199" s="2409">
        <v>183.51</v>
      </c>
      <c r="Z199" s="2409">
        <v>183.5</v>
      </c>
      <c r="AA199" s="2409">
        <v>186.49</v>
      </c>
      <c r="AB199" s="2409">
        <v>186.93</v>
      </c>
      <c r="AC199" s="2409">
        <v>192.07</v>
      </c>
      <c r="AD199" s="2409">
        <v>192.22</v>
      </c>
      <c r="AE199" s="2409">
        <v>199.87</v>
      </c>
      <c r="AF199" s="2409">
        <v>199.68</v>
      </c>
      <c r="AG199" s="2409">
        <v>203.06</v>
      </c>
      <c r="AH199" s="2409">
        <v>209.33</v>
      </c>
      <c r="AI199" s="2409">
        <v>214.71</v>
      </c>
      <c r="AJ199" s="2409">
        <v>219.06</v>
      </c>
      <c r="AK199" s="2409">
        <v>221.76</v>
      </c>
      <c r="AL199" s="2409">
        <v>225.56</v>
      </c>
      <c r="AM199" s="2409">
        <v>231.35</v>
      </c>
      <c r="AN199" s="2409">
        <v>246.4</v>
      </c>
      <c r="AO199" s="2409">
        <v>260.37</v>
      </c>
      <c r="AP199" s="2409">
        <v>264.98</v>
      </c>
      <c r="AQ199" s="2409">
        <v>265.22000000000003</v>
      </c>
      <c r="AR199" s="2409">
        <v>265.52999999999997</v>
      </c>
      <c r="AS199" s="2409">
        <v>265.92</v>
      </c>
      <c r="AT199" s="2409">
        <v>267.10000000000002</v>
      </c>
      <c r="AU199" s="2409">
        <v>276.88</v>
      </c>
      <c r="AV199" s="2409">
        <v>276.93</v>
      </c>
      <c r="AW199" s="2410">
        <v>287.12</v>
      </c>
      <c r="AX199" s="2410">
        <v>287.63</v>
      </c>
      <c r="AY199" s="2410">
        <v>301.35000000000002</v>
      </c>
      <c r="AZ199" s="2410">
        <v>313.64999999999998</v>
      </c>
      <c r="BA199" s="2410">
        <v>313.62</v>
      </c>
      <c r="BB199" s="2410">
        <v>313.57</v>
      </c>
      <c r="BC199" s="2410">
        <v>314.75</v>
      </c>
      <c r="BD199" s="2411">
        <v>314.64</v>
      </c>
      <c r="BE199" s="2410">
        <v>314.82</v>
      </c>
      <c r="BF199" s="2411">
        <v>315.45</v>
      </c>
      <c r="BG199" s="2411">
        <v>341.25</v>
      </c>
      <c r="BH199" s="2411">
        <v>341.47</v>
      </c>
      <c r="BI199" s="2412">
        <v>347.55</v>
      </c>
      <c r="BJ199" s="2412">
        <v>348.81</v>
      </c>
      <c r="BK199" s="2412">
        <v>352.13</v>
      </c>
      <c r="BL199" s="2412">
        <v>360.98</v>
      </c>
      <c r="BM199" s="2412">
        <v>378.52</v>
      </c>
      <c r="BN199" s="2412">
        <v>378.68</v>
      </c>
      <c r="BO199" s="2412">
        <v>381.09</v>
      </c>
      <c r="BP199" s="2412">
        <v>381.64</v>
      </c>
      <c r="BQ199" s="2412">
        <v>346.26</v>
      </c>
      <c r="BR199" s="2412">
        <v>399.12</v>
      </c>
      <c r="BS199" s="2412">
        <v>399.35</v>
      </c>
      <c r="BT199" s="2412">
        <v>401.62</v>
      </c>
      <c r="BU199" s="2412">
        <v>418.73</v>
      </c>
      <c r="BV199" s="2412">
        <v>419.01</v>
      </c>
      <c r="BW199" s="2412">
        <v>423.42</v>
      </c>
      <c r="BX199" s="2412">
        <v>424.22</v>
      </c>
      <c r="BY199" s="2412">
        <v>447.54</v>
      </c>
      <c r="BZ199" s="2412">
        <v>449.32</v>
      </c>
      <c r="CA199" s="2412">
        <v>465.11</v>
      </c>
      <c r="CB199" s="2412">
        <v>467.15</v>
      </c>
      <c r="CC199" s="2412">
        <v>472.08</v>
      </c>
      <c r="CD199" s="2412">
        <v>472.48</v>
      </c>
      <c r="CE199" s="2412">
        <v>478.9</v>
      </c>
      <c r="CF199" s="2412">
        <v>521.15</v>
      </c>
      <c r="CG199" s="2412">
        <v>491.25</v>
      </c>
      <c r="CH199" s="2412">
        <v>491.06</v>
      </c>
      <c r="CI199" s="2412">
        <v>504.53</v>
      </c>
      <c r="CJ199" s="2412">
        <v>525.33000000000004</v>
      </c>
      <c r="CK199" s="2412">
        <v>535.30999999999995</v>
      </c>
      <c r="CL199" s="2412">
        <v>533.04</v>
      </c>
      <c r="CM199" s="2412">
        <v>552.36</v>
      </c>
      <c r="CN199" s="2412">
        <v>546.89</v>
      </c>
      <c r="CO199" s="2412">
        <v>559.83000000000004</v>
      </c>
      <c r="CP199" s="2412">
        <v>562.51</v>
      </c>
      <c r="CQ199" s="2412">
        <v>565.97</v>
      </c>
      <c r="CR199" s="2412">
        <v>565.15</v>
      </c>
      <c r="CS199" s="2412">
        <v>567.26</v>
      </c>
      <c r="CT199" s="2412">
        <v>567.04999999999995</v>
      </c>
      <c r="CU199" s="2412">
        <v>566.76</v>
      </c>
      <c r="CV199" s="2412">
        <v>567.16999999999996</v>
      </c>
      <c r="CW199" s="2412">
        <v>591.5</v>
      </c>
      <c r="CX199" s="2412">
        <v>602.98</v>
      </c>
      <c r="CY199" s="2412">
        <v>597.91</v>
      </c>
      <c r="CZ199" s="2412">
        <v>599.91999999999996</v>
      </c>
      <c r="DA199" s="2412">
        <v>606.16999999999996</v>
      </c>
      <c r="DB199" s="2412">
        <v>630.11</v>
      </c>
      <c r="DC199" s="2412">
        <v>630.70000000000005</v>
      </c>
      <c r="DD199" s="2412">
        <v>632.16</v>
      </c>
      <c r="DE199" s="2412">
        <v>634.61</v>
      </c>
      <c r="DF199" s="2412">
        <v>641.11</v>
      </c>
      <c r="DG199" s="2412">
        <v>666.89</v>
      </c>
      <c r="DH199" s="2412">
        <v>668.11</v>
      </c>
      <c r="DI199" s="2412">
        <v>685.91</v>
      </c>
      <c r="DJ199" s="2412">
        <v>686.31</v>
      </c>
      <c r="DK199" s="2412">
        <v>686.77</v>
      </c>
      <c r="DL199" s="2412">
        <v>712.74</v>
      </c>
      <c r="DM199" s="2412">
        <v>713.39</v>
      </c>
      <c r="DN199" s="2412">
        <v>714.02</v>
      </c>
      <c r="DO199" s="2412">
        <v>722.74</v>
      </c>
      <c r="DP199" s="2412">
        <v>753.23</v>
      </c>
      <c r="DQ199" s="2412">
        <v>753.66</v>
      </c>
      <c r="DR199" s="2412">
        <v>755.64</v>
      </c>
      <c r="DS199" s="2412">
        <v>756.5</v>
      </c>
      <c r="DT199" s="2412">
        <v>814.89</v>
      </c>
      <c r="DU199" s="2412">
        <v>863.35</v>
      </c>
      <c r="DV199" s="2412">
        <v>820.04</v>
      </c>
      <c r="DW199" s="2412">
        <v>870.89</v>
      </c>
      <c r="DX199" s="2412">
        <v>858.91</v>
      </c>
      <c r="DY199" s="2412">
        <v>907.4</v>
      </c>
      <c r="DZ199" s="2412">
        <v>907.94</v>
      </c>
      <c r="EA199" s="2412">
        <v>897.8</v>
      </c>
      <c r="EB199" s="2412">
        <v>900.95</v>
      </c>
      <c r="EC199" s="2412">
        <v>938.07</v>
      </c>
      <c r="ED199" s="2412">
        <v>938.95</v>
      </c>
      <c r="EE199" s="2412">
        <v>939.33</v>
      </c>
      <c r="EF199" s="2412">
        <v>941.49</v>
      </c>
      <c r="EG199" s="2412">
        <v>909.77</v>
      </c>
      <c r="EH199" s="2412">
        <v>1136.53</v>
      </c>
      <c r="EI199" s="2412">
        <v>1122.5</v>
      </c>
      <c r="EJ199" s="2412">
        <v>1072.8599999999999</v>
      </c>
      <c r="EK199" s="2412">
        <v>1073.56</v>
      </c>
      <c r="EL199" s="2412">
        <v>1085.3599999999999</v>
      </c>
      <c r="EM199" s="2412">
        <v>1103.52</v>
      </c>
      <c r="EN199" s="2412">
        <v>1104.6300000000001</v>
      </c>
      <c r="EO199" s="2412">
        <v>1105.21</v>
      </c>
      <c r="EP199" s="2412">
        <v>1099.01</v>
      </c>
      <c r="EQ199" s="2412">
        <v>1146.43</v>
      </c>
      <c r="ER199" s="2412">
        <v>1152.9000000000001</v>
      </c>
      <c r="ES199" s="2412">
        <v>1156.25</v>
      </c>
      <c r="ET199" s="2412">
        <v>1299.99</v>
      </c>
      <c r="EU199" s="2412">
        <v>1311.02</v>
      </c>
      <c r="EV199" s="2412">
        <v>1312.04</v>
      </c>
      <c r="EW199" s="2412">
        <v>1315.41</v>
      </c>
      <c r="EX199" s="2412">
        <v>1321.27</v>
      </c>
      <c r="EY199" s="2412">
        <v>1325.43</v>
      </c>
      <c r="EZ199" s="2412">
        <v>1343.79</v>
      </c>
      <c r="FA199" s="2412">
        <v>1384.3</v>
      </c>
      <c r="FB199" s="2412">
        <v>1412.92</v>
      </c>
      <c r="FC199" s="2412">
        <v>1426.97</v>
      </c>
      <c r="FD199" s="2412">
        <v>1604.32</v>
      </c>
      <c r="FE199" s="2412">
        <v>1608.44</v>
      </c>
      <c r="FF199" s="2412">
        <v>1615.8</v>
      </c>
      <c r="FG199" s="2412">
        <v>1728.1</v>
      </c>
      <c r="FH199" s="2412">
        <v>1745.46</v>
      </c>
      <c r="FI199" s="2412">
        <v>1753.67</v>
      </c>
      <c r="FJ199" s="2412">
        <v>1758.21</v>
      </c>
      <c r="FK199" s="2412">
        <v>1763.75</v>
      </c>
      <c r="FL199" s="2412">
        <v>1765.87</v>
      </c>
      <c r="FM199" s="2412">
        <v>1767.39</v>
      </c>
      <c r="FN199" s="2412">
        <v>1777.09</v>
      </c>
      <c r="FO199" s="2412">
        <v>1780.82</v>
      </c>
      <c r="FP199" s="2412">
        <v>1999.46</v>
      </c>
      <c r="FQ199" s="2412">
        <v>2005.69</v>
      </c>
      <c r="FR199" s="2412">
        <v>2009.68</v>
      </c>
      <c r="FS199" s="2412">
        <v>2035.21</v>
      </c>
      <c r="FT199" s="2412">
        <v>2165.25</v>
      </c>
      <c r="FU199" s="2412">
        <v>2169.6799999999998</v>
      </c>
      <c r="FV199" s="2412">
        <v>2174.31</v>
      </c>
      <c r="FW199" s="2413" t="e">
        <f>+'ANEXO H'!O223</f>
        <v>#REF!</v>
      </c>
      <c r="FX199" s="2413" t="e">
        <f>+'ANEXO H'!P223</f>
        <v>#REF!</v>
      </c>
      <c r="FY199" s="2413">
        <f>+'ANEXO H'!E235</f>
        <v>100</v>
      </c>
      <c r="FZ199" s="2413">
        <f>+'ANEXO H'!F235</f>
        <v>101.29</v>
      </c>
      <c r="GA199" s="2413">
        <f>+'ANEXO H'!G235</f>
        <v>101.51</v>
      </c>
      <c r="GB199" s="2413">
        <f>+'ANEXO H'!H235</f>
        <v>111.4</v>
      </c>
      <c r="GC199" s="2413">
        <f>+'ANEXO H'!I235</f>
        <v>111.19</v>
      </c>
      <c r="GD199" s="2413">
        <f>+'ANEXO H'!J235</f>
        <v>110.97</v>
      </c>
      <c r="GE199" s="2413">
        <f>+'ANEXO H'!K235</f>
        <v>112.34</v>
      </c>
      <c r="GF199" s="2413">
        <f>+'ANEXO H'!L235</f>
        <v>113.39</v>
      </c>
      <c r="GG199" s="2413">
        <f>+'ANEXO H'!M235</f>
        <v>114.38</v>
      </c>
      <c r="GH199" s="2413">
        <f>+'ANEXO H'!N235</f>
        <v>120.32</v>
      </c>
      <c r="GI199" s="2413">
        <f>+'ANEXO H'!O235</f>
        <v>120.34</v>
      </c>
      <c r="GJ199" s="2413">
        <f>+'ANEXO H'!P235</f>
        <v>120.96</v>
      </c>
      <c r="GK199" s="2413">
        <f>+'ANEXO H'!E247</f>
        <v>123.66</v>
      </c>
      <c r="GL199" s="2413">
        <f>+'ANEXO H'!F247</f>
        <v>124.52</v>
      </c>
      <c r="GM199" s="2413">
        <f>+'ANEXO H'!G247</f>
        <v>124.72</v>
      </c>
      <c r="GN199" s="2413">
        <f>+'ANEXO H'!H247</f>
        <v>131.59</v>
      </c>
      <c r="GO199" s="2413">
        <f>+'ANEXO H'!I247</f>
        <v>132.24</v>
      </c>
      <c r="GP199" s="2413">
        <f>+'ANEXO H'!J247</f>
        <v>132.78</v>
      </c>
      <c r="GQ199" s="2413">
        <f>+'ANEXO H'!K247</f>
        <v>140.49</v>
      </c>
      <c r="GR199" s="2413">
        <f>+'ANEXO H'!L247</f>
        <v>142.04</v>
      </c>
      <c r="GS199" s="2413">
        <f>+'ANEXO H'!M247</f>
        <v>142.56</v>
      </c>
      <c r="GT199" s="2413">
        <f>+'ANEXO H'!N247</f>
        <v>143.13999999999999</v>
      </c>
      <c r="GU199" s="2413">
        <f>+'ANEXO H'!O247</f>
        <v>143.74</v>
      </c>
      <c r="GV199" s="2413">
        <f>+'ANEXO H'!P247</f>
        <v>144.47</v>
      </c>
      <c r="GW199" s="2415">
        <f>+'ANEXO H'!E259</f>
        <v>146.44</v>
      </c>
      <c r="GX199" s="2415">
        <f>+'ANEXO H'!F259</f>
        <v>150.13</v>
      </c>
      <c r="GY199" s="2415">
        <f>+'ANEXO H'!G259</f>
        <v>153.66999999999999</v>
      </c>
      <c r="GZ199" s="2415">
        <f>+'ANEXO H'!H259</f>
        <v>163.63999999999999</v>
      </c>
      <c r="HA199" s="2415">
        <f>+'ANEXO H'!I259</f>
        <v>176.28</v>
      </c>
      <c r="HB199" s="2415">
        <f>+'ANEXO H'!J259</f>
        <v>179</v>
      </c>
      <c r="HC199" s="2415">
        <f>+'ANEXO H'!K259</f>
        <v>187.72</v>
      </c>
      <c r="HD199" s="2415">
        <f>+'ANEXO H'!L259</f>
        <v>188.68</v>
      </c>
      <c r="HE199" s="2415">
        <f>+'ANEXO H'!M259</f>
        <v>209.57</v>
      </c>
      <c r="HF199" s="2415">
        <f>+'ANEXO H'!N259</f>
        <v>227.2</v>
      </c>
      <c r="HG199" s="2415">
        <f>+'ANEXO H'!O259</f>
        <v>224.18</v>
      </c>
      <c r="HH199" s="2415">
        <f>+'ANEXO H'!P259</f>
        <v>224.43</v>
      </c>
      <c r="HI199" s="2415">
        <f>+'ANEXO H'!E271</f>
        <v>228.51</v>
      </c>
      <c r="HJ199" s="2415">
        <f>+'ANEXO H'!F271</f>
        <v>232.78</v>
      </c>
      <c r="HK199" s="2415">
        <f>+'ANEXO H'!G271</f>
        <v>246.23</v>
      </c>
      <c r="HL199" s="2415">
        <f>+'ANEXO H'!H271</f>
        <v>264.48</v>
      </c>
      <c r="HM199" s="2415">
        <f>+'ANEXO H'!I271</f>
        <v>280.73</v>
      </c>
      <c r="HN199" s="2415">
        <f>+'ANEXO H'!J271</f>
        <v>280.07</v>
      </c>
      <c r="HO199" s="2415">
        <f>+'ANEXO H'!K271</f>
        <v>284.42</v>
      </c>
      <c r="HP199" s="2415">
        <f>+'ANEXO H'!L271</f>
        <v>328.79</v>
      </c>
      <c r="HQ199" s="2415">
        <f>+'ANEXO H'!M271</f>
        <v>333.48</v>
      </c>
      <c r="HR199" s="2415">
        <f>+'ANEXO H'!N271</f>
        <v>347.68</v>
      </c>
      <c r="HS199" s="2415">
        <f>+'ANEXO H'!O271</f>
        <v>362.17</v>
      </c>
      <c r="HT199" s="2415">
        <f>+'ANEXO H'!P271</f>
        <v>366.28</v>
      </c>
      <c r="HU199" s="2420">
        <f>+'ANEXO H'!E283</f>
        <v>380.93</v>
      </c>
      <c r="HV199" s="2417">
        <f>+'ANEXO H'!F283</f>
        <v>392.55</v>
      </c>
      <c r="HW199" s="2417">
        <f>+'ANEXO H'!G283</f>
        <v>400.82</v>
      </c>
      <c r="HX199" s="2417">
        <f>+'ANEXO H'!H283</f>
        <v>400.82</v>
      </c>
      <c r="HY199" s="2417">
        <f>+'ANEXO H'!I283</f>
        <v>403.16</v>
      </c>
      <c r="HZ199" s="2417">
        <f>+'ANEXO H'!J283</f>
        <v>403.74</v>
      </c>
      <c r="IA199" s="2417">
        <f>+'ANEXO H'!K283</f>
        <v>408.22</v>
      </c>
      <c r="IB199" s="2417">
        <f>+'ANEXO H'!L283</f>
        <v>415.7</v>
      </c>
      <c r="IC199" s="2417">
        <f>+'ANEXO H'!M283</f>
        <v>425.1</v>
      </c>
      <c r="ID199" s="2417">
        <f>+'ANEXO H'!N283</f>
        <v>456.4</v>
      </c>
      <c r="IE199" s="2417">
        <f>+'ANEXO H'!O283</f>
        <v>515.04999999999995</v>
      </c>
      <c r="IF199" s="2419">
        <f>+'ANEXO H'!P283</f>
        <v>522.51</v>
      </c>
      <c r="IG199" s="2420">
        <f>+'ANEXO H'!E295</f>
        <v>537.14</v>
      </c>
      <c r="IH199" s="2417">
        <f>+'ANEXO H'!F295</f>
        <v>562.70000000000005</v>
      </c>
      <c r="II199" s="2417">
        <f>+'ANEXO H'!G295</f>
        <v>566.80999999999995</v>
      </c>
      <c r="IJ199" s="2417">
        <f>+'ANEXO H'!H295</f>
        <v>607.29999999999995</v>
      </c>
      <c r="IK199" s="2417">
        <f>+'ANEXO H'!I295</f>
        <v>629.98</v>
      </c>
      <c r="IL199" s="2417">
        <f>+'ANEXO H'!J295</f>
        <v>652.5</v>
      </c>
      <c r="IM199" s="2417">
        <f>+'ANEXO H'!K295</f>
        <v>676.66</v>
      </c>
      <c r="IN199" s="2417">
        <f>+'ANEXO H'!L295</f>
        <v>685.87</v>
      </c>
      <c r="IO199" s="2417">
        <f>+'ANEXO H'!M295</f>
        <v>704.33</v>
      </c>
      <c r="IP199" s="2417">
        <f>+'ANEXO H'!N295</f>
        <v>727.76</v>
      </c>
      <c r="IQ199" s="2417">
        <f>+'ANEXO H'!O295</f>
        <v>737.39</v>
      </c>
      <c r="IR199" s="2419">
        <f>+'ANEXO H'!P295</f>
        <v>759.57</v>
      </c>
      <c r="IS199" s="2420">
        <f>+'ANEXO H'!E307</f>
        <v>790.43</v>
      </c>
      <c r="IT199" s="2417">
        <f>+'ANEXO H'!F307</f>
        <v>823.36</v>
      </c>
      <c r="IU199" s="2417">
        <f>+'ANEXO H'!G307</f>
        <v>852.17</v>
      </c>
      <c r="IV199" s="2417">
        <f>+'ANEXO H'!H307</f>
        <v>879.68</v>
      </c>
      <c r="IW199" s="2417">
        <f>+'ANEXO H'!I307</f>
        <v>933.41</v>
      </c>
      <c r="IX199" s="2417">
        <f>+'ANEXO H'!J307</f>
        <v>1002.71</v>
      </c>
      <c r="IY199" s="2417">
        <f>+'ANEXO H'!K307</f>
        <v>1066.3499999999999</v>
      </c>
      <c r="IZ199" s="2417">
        <f>+'ANEXO H'!L307</f>
        <v>1166.54</v>
      </c>
      <c r="JA199" s="2417">
        <f>+'ANEXO H'!M307</f>
        <v>1233.74</v>
      </c>
      <c r="JB199" s="2417">
        <f>+'ANEXO H'!N307</f>
        <v>1300.94</v>
      </c>
      <c r="JC199" s="2417">
        <f>+'ANEXO H'!O307</f>
        <v>1396.57</v>
      </c>
      <c r="JD199" s="2415">
        <f>+'ANEXO H'!P307</f>
        <v>1429.59</v>
      </c>
      <c r="JE199" s="2422">
        <f>+'ANEXO H'!E319</f>
        <v>1478.44</v>
      </c>
      <c r="JF199" s="2418">
        <f>+'ANEXO H'!F319</f>
        <v>1614.07</v>
      </c>
      <c r="JG199" s="2103">
        <f t="shared" si="19"/>
        <v>1.0917385893238818</v>
      </c>
      <c r="JI199" s="2155"/>
      <c r="JJ199" s="2104"/>
    </row>
    <row r="200" spans="2:271" hidden="1">
      <c r="B200" s="2105"/>
      <c r="C200" s="2128"/>
      <c r="D200" s="2425"/>
      <c r="E200" s="2128"/>
      <c r="F200" s="2128"/>
      <c r="G200" s="2106"/>
      <c r="H200" s="2106"/>
      <c r="I200" s="2106"/>
      <c r="J200" s="2359"/>
      <c r="K200" s="2425"/>
      <c r="L200" s="2110"/>
      <c r="M200" s="2110"/>
      <c r="N200" s="2110"/>
      <c r="O200" s="2110"/>
      <c r="P200" s="2110"/>
      <c r="Q200" s="2110"/>
      <c r="R200" s="2110"/>
      <c r="S200" s="2110"/>
      <c r="T200" s="2110"/>
      <c r="U200" s="2110"/>
      <c r="V200" s="2110"/>
      <c r="W200" s="2110"/>
      <c r="X200" s="2110"/>
      <c r="Y200" s="2110"/>
      <c r="Z200" s="2110"/>
      <c r="AA200" s="2110"/>
      <c r="AB200" s="2110"/>
      <c r="AC200" s="2110"/>
      <c r="AD200" s="2110"/>
      <c r="AE200" s="2110"/>
      <c r="AF200" s="2110"/>
      <c r="AG200" s="2110"/>
      <c r="AH200" s="2110"/>
      <c r="AI200" s="2110"/>
      <c r="AJ200" s="2110"/>
      <c r="AK200" s="2110"/>
      <c r="AL200" s="2110"/>
      <c r="AM200" s="2110"/>
      <c r="AN200" s="2110"/>
      <c r="AO200" s="2110"/>
      <c r="AP200" s="2110"/>
      <c r="AQ200" s="2110"/>
      <c r="AR200" s="2110"/>
      <c r="AS200" s="2110"/>
      <c r="AT200" s="2110"/>
      <c r="AU200" s="2110"/>
      <c r="AV200" s="2110"/>
      <c r="AW200" s="2111"/>
      <c r="AX200" s="2111"/>
      <c r="AY200" s="2111"/>
      <c r="AZ200" s="2111"/>
      <c r="BA200" s="2111"/>
      <c r="BB200" s="2111"/>
      <c r="BC200" s="2111"/>
      <c r="BD200" s="2112"/>
      <c r="BE200" s="2111"/>
      <c r="BF200" s="2112"/>
      <c r="BG200" s="2112"/>
      <c r="BH200" s="2112"/>
      <c r="BI200" s="2108"/>
      <c r="BJ200" s="2108"/>
      <c r="BK200" s="2108"/>
      <c r="BL200" s="2108"/>
      <c r="BM200" s="2108"/>
      <c r="BN200" s="2108"/>
      <c r="BO200" s="2108"/>
      <c r="BP200" s="2108"/>
      <c r="BQ200" s="2108"/>
      <c r="BR200" s="2108"/>
      <c r="BS200" s="2108"/>
      <c r="BT200" s="2108"/>
      <c r="BU200" s="2108"/>
      <c r="BV200" s="2108"/>
      <c r="BW200" s="2108"/>
      <c r="BX200" s="2108"/>
      <c r="BY200" s="2108"/>
      <c r="BZ200" s="2108"/>
      <c r="CA200" s="2108"/>
      <c r="CB200" s="2108"/>
      <c r="CC200" s="2108"/>
      <c r="CD200" s="2108"/>
      <c r="CE200" s="2108"/>
      <c r="CF200" s="2108"/>
      <c r="CG200" s="2108"/>
      <c r="CH200" s="2108"/>
      <c r="CI200" s="2108"/>
      <c r="CJ200" s="2108"/>
      <c r="CK200" s="2108"/>
      <c r="CL200" s="2108"/>
      <c r="CM200" s="2108"/>
      <c r="CN200" s="2108"/>
      <c r="CO200" s="2108"/>
      <c r="CP200" s="2108"/>
      <c r="CQ200" s="2108"/>
      <c r="CR200" s="2108"/>
      <c r="CS200" s="2108"/>
      <c r="CT200" s="2108"/>
      <c r="CU200" s="2108"/>
      <c r="CV200" s="2108"/>
      <c r="CW200" s="2108"/>
      <c r="CX200" s="2108"/>
      <c r="CY200" s="2108"/>
      <c r="CZ200" s="2108"/>
      <c r="DA200" s="2108"/>
      <c r="DB200" s="2108"/>
      <c r="DC200" s="2108"/>
      <c r="DD200" s="2108"/>
      <c r="DE200" s="2108"/>
      <c r="DF200" s="2108"/>
      <c r="DG200" s="2108"/>
      <c r="DH200" s="2108"/>
      <c r="DI200" s="2108"/>
      <c r="DJ200" s="2108"/>
      <c r="DK200" s="2108"/>
      <c r="DL200" s="2108"/>
      <c r="DM200" s="2108"/>
      <c r="DN200" s="2108"/>
      <c r="DO200" s="2108"/>
      <c r="DP200" s="2108"/>
      <c r="DQ200" s="2108"/>
      <c r="DR200" s="2108"/>
      <c r="DS200" s="2108"/>
      <c r="DT200" s="2108"/>
      <c r="DU200" s="2108"/>
      <c r="DV200" s="2108"/>
      <c r="DW200" s="2108"/>
      <c r="DX200" s="2108"/>
      <c r="DY200" s="2108"/>
      <c r="DZ200" s="2108"/>
      <c r="EA200" s="2108"/>
      <c r="EB200" s="2108"/>
      <c r="EC200" s="2108"/>
      <c r="ED200" s="2108"/>
      <c r="EE200" s="2108"/>
      <c r="EF200" s="2108"/>
      <c r="EG200" s="2108"/>
      <c r="EH200" s="2108"/>
      <c r="EI200" s="2108"/>
      <c r="EJ200" s="2108"/>
      <c r="EK200" s="2108"/>
      <c r="EL200" s="2108"/>
      <c r="EM200" s="2108"/>
      <c r="EN200" s="2108"/>
      <c r="EO200" s="2108"/>
      <c r="EP200" s="2108"/>
      <c r="EQ200" s="2108"/>
      <c r="ER200" s="2108"/>
      <c r="ES200" s="2108"/>
      <c r="ET200" s="2108"/>
      <c r="EU200" s="2108"/>
      <c r="EV200" s="2108"/>
      <c r="EW200" s="2108"/>
      <c r="EX200" s="2108"/>
      <c r="EY200" s="2108"/>
      <c r="EZ200" s="2108"/>
      <c r="FA200" s="2108"/>
      <c r="FB200" s="2108"/>
      <c r="FC200" s="2108"/>
      <c r="FD200" s="2108"/>
      <c r="FE200" s="2108"/>
      <c r="FF200" s="2108"/>
      <c r="FG200" s="2108"/>
      <c r="FH200" s="2108"/>
      <c r="FI200" s="2108"/>
      <c r="FJ200" s="2108"/>
      <c r="FK200" s="2108"/>
      <c r="FL200" s="2108"/>
      <c r="FM200" s="2108"/>
      <c r="FN200" s="2108"/>
      <c r="FO200" s="2108"/>
      <c r="FP200" s="2108"/>
      <c r="FQ200" s="2108"/>
      <c r="FR200" s="2108"/>
      <c r="FS200" s="2108"/>
      <c r="FT200" s="2108"/>
      <c r="FU200" s="2108"/>
      <c r="FV200" s="2108"/>
      <c r="FW200" s="2113"/>
      <c r="FX200" s="2113"/>
      <c r="FY200" s="2113">
        <v>100</v>
      </c>
      <c r="FZ200" s="2113" t="e">
        <f>+FY200*(#REF!/#REF!)</f>
        <v>#REF!</v>
      </c>
      <c r="GA200" s="2113" t="e">
        <f>+FZ200*(#REF!/#REF!)</f>
        <v>#REF!</v>
      </c>
      <c r="GB200" s="2113" t="e">
        <f>+GA200*(#REF!/#REF!)</f>
        <v>#REF!</v>
      </c>
      <c r="GC200" s="2113" t="e">
        <f>+GB200*(#REF!/#REF!)</f>
        <v>#REF!</v>
      </c>
      <c r="GD200" s="2113" t="e">
        <f>+GC200*(#REF!/#REF!)</f>
        <v>#REF!</v>
      </c>
      <c r="GE200" s="2113" t="e">
        <f>+GD200*(#REF!/#REF!)</f>
        <v>#REF!</v>
      </c>
      <c r="GF200" s="2114" t="e">
        <f>+GE200*(#REF!/#REF!)</f>
        <v>#REF!</v>
      </c>
      <c r="GG200" s="1960" t="e">
        <f>+GF200*(#REF!/#REF!)</f>
        <v>#REF!</v>
      </c>
      <c r="GH200" s="2114" t="e">
        <f>+GG200*(#REF!/#REF!)</f>
        <v>#REF!</v>
      </c>
      <c r="GI200" s="2114" t="e">
        <f>+GH200*(#REF!/#REF!)</f>
        <v>#REF!</v>
      </c>
      <c r="GJ200" s="2113" t="e">
        <f>+GI200*(#REF!/#REF!)</f>
        <v>#REF!</v>
      </c>
      <c r="GK200" s="2113" t="e">
        <f>+GJ200*(#REF!/#REF!)</f>
        <v>#REF!</v>
      </c>
      <c r="GL200" s="2113" t="e">
        <f>+GK200*(#REF!/#REF!)</f>
        <v>#REF!</v>
      </c>
      <c r="GM200" s="2114" t="e">
        <f>+GL200*(#REF!/#REF!)</f>
        <v>#REF!</v>
      </c>
      <c r="GN200" s="2114" t="e">
        <f>+GM200*(#REF!/#REF!)</f>
        <v>#REF!</v>
      </c>
      <c r="GO200" s="2115" t="e">
        <f>+GN200*(#REF!/#REF!)</f>
        <v>#REF!</v>
      </c>
      <c r="GP200" s="2116" t="e">
        <f>+GO200*(#REF!/#REF!)</f>
        <v>#REF!</v>
      </c>
      <c r="GQ200" s="2116" t="e">
        <f>+GP200*(#REF!/#REF!)</f>
        <v>#REF!</v>
      </c>
      <c r="GR200" s="2116" t="e">
        <f>+GQ200*(#REF!/#REF!)</f>
        <v>#REF!</v>
      </c>
      <c r="GS200" s="2116" t="e">
        <f>+GR200*(#REF!/#REF!)</f>
        <v>#REF!</v>
      </c>
      <c r="GT200" s="1960" t="e">
        <f>+GS200*(#REF!/#REF!)</f>
        <v>#REF!</v>
      </c>
      <c r="GU200" s="1960" t="e">
        <f>+GT200*(#REF!/#REF!)</f>
        <v>#REF!</v>
      </c>
      <c r="GV200" s="1960" t="e">
        <f>+GU200*(#REF!/#REF!)</f>
        <v>#REF!</v>
      </c>
      <c r="GW200" s="1960" t="e">
        <f>+GV200*(#REF!/#REF!)</f>
        <v>#REF!</v>
      </c>
      <c r="GX200" s="1960" t="e">
        <f>+GW200*(#REF!/#REF!)</f>
        <v>#REF!</v>
      </c>
      <c r="GY200" s="1960" t="e">
        <f>+GX200*(#REF!/#REF!)</f>
        <v>#REF!</v>
      </c>
      <c r="GZ200" s="1960" t="e">
        <f>+GY200*(#REF!/#REF!)</f>
        <v>#REF!</v>
      </c>
      <c r="HA200" s="1960" t="e">
        <f>+GZ200*(#REF!/#REF!)</f>
        <v>#REF!</v>
      </c>
      <c r="HB200" s="1960" t="e">
        <f>+HA200*(#REF!/#REF!)</f>
        <v>#REF!</v>
      </c>
      <c r="HC200" s="1960" t="e">
        <f>+HB200*(#REF!/#REF!)</f>
        <v>#REF!</v>
      </c>
      <c r="HD200" s="1960" t="e">
        <f>+HC200*(#REF!/#REF!)</f>
        <v>#REF!</v>
      </c>
      <c r="HE200" s="1960" t="e">
        <f>+HD200*(#REF!/#REF!)</f>
        <v>#REF!</v>
      </c>
      <c r="HF200" s="1960" t="e">
        <f>+HE200*(#REF!/#REF!)</f>
        <v>#REF!</v>
      </c>
      <c r="HG200" s="1960" t="e">
        <f>+HF200*(#REF!/#REF!)</f>
        <v>#REF!</v>
      </c>
      <c r="HH200" s="2117" t="e">
        <f>+HG200*(#REF!/#REF!)</f>
        <v>#REF!</v>
      </c>
      <c r="HI200" s="1960" t="e">
        <f>+HH200*(#REF!/#REF!)</f>
        <v>#REF!</v>
      </c>
      <c r="HJ200" s="1960" t="e">
        <f>+HI200*(#REF!/#REF!)</f>
        <v>#REF!</v>
      </c>
      <c r="HK200" s="1960" t="e">
        <f>+HJ200*(#REF!/#REF!)</f>
        <v>#REF!</v>
      </c>
      <c r="HL200" s="1960" t="e">
        <f>+HK200*(#REF!/#REF!)</f>
        <v>#REF!</v>
      </c>
      <c r="HM200" s="1960" t="e">
        <f>+HL200*(#REF!/#REF!)</f>
        <v>#REF!</v>
      </c>
      <c r="HN200" s="1960" t="e">
        <f>+HM200*(#REF!/#REF!)</f>
        <v>#REF!</v>
      </c>
      <c r="HO200" s="1960" t="e">
        <f>+HN200*(#REF!/#REF!)</f>
        <v>#REF!</v>
      </c>
      <c r="HP200" s="1960" t="e">
        <f>+HO200*(#REF!/#REF!)</f>
        <v>#REF!</v>
      </c>
      <c r="HQ200" s="1960" t="e">
        <f>+HP200*(#REF!/#REF!)</f>
        <v>#REF!</v>
      </c>
      <c r="HR200" s="1960" t="e">
        <f>+HQ200*(#REF!/#REF!)</f>
        <v>#REF!</v>
      </c>
      <c r="HS200" s="1960" t="e">
        <f>+HR200*(#REF!/#REF!)</f>
        <v>#REF!</v>
      </c>
      <c r="HT200" s="1962" t="e">
        <f>+HS200*(#REF!/#REF!)</f>
        <v>#REF!</v>
      </c>
      <c r="HU200" s="1961" t="e">
        <f>+HT200*(#REF!/#REF!)</f>
        <v>#REF!</v>
      </c>
      <c r="HV200" s="1960" t="e">
        <f>+HU200*(#REF!/#REF!)</f>
        <v>#REF!</v>
      </c>
      <c r="HW200" s="1960" t="e">
        <f>+HV200*(#REF!/#REF!)</f>
        <v>#REF!</v>
      </c>
      <c r="HX200" s="1960" t="e">
        <f>+HW200*(#REF!/#REF!)</f>
        <v>#REF!</v>
      </c>
      <c r="HY200" s="1960" t="e">
        <f>+HX200*(#REF!/#REF!)</f>
        <v>#REF!</v>
      </c>
      <c r="HZ200" s="1960" t="e">
        <f>+HY200*(#REF!/#REF!)</f>
        <v>#REF!</v>
      </c>
      <c r="IA200" s="1960" t="e">
        <f>+HZ200*(#REF!/#REF!)</f>
        <v>#REF!</v>
      </c>
      <c r="IB200" s="1960" t="e">
        <f>+IA200*(#REF!/#REF!)</f>
        <v>#REF!</v>
      </c>
      <c r="IC200" s="1960" t="e">
        <f>+IB200*(#REF!/#REF!)</f>
        <v>#REF!</v>
      </c>
      <c r="ID200" s="1960" t="e">
        <f>+IC200*(#REF!/#REF!)</f>
        <v>#REF!</v>
      </c>
      <c r="IE200" s="1960" t="e">
        <f>+ID200*(#REF!/#REF!)</f>
        <v>#REF!</v>
      </c>
      <c r="IF200" s="1960" t="e">
        <f>+IE200*(#REF!/#REF!)</f>
        <v>#REF!</v>
      </c>
      <c r="IG200" s="1961" t="e">
        <f>+IF200*(#REF!/#REF!)</f>
        <v>#REF!</v>
      </c>
      <c r="IH200" s="1960" t="e">
        <f>+IG200*(#REF!/#REF!)</f>
        <v>#REF!</v>
      </c>
      <c r="II200" s="1960" t="e">
        <f>+IH200*(#REF!/#REF!)</f>
        <v>#REF!</v>
      </c>
      <c r="IJ200" s="1961" t="e">
        <f>+II200*(#REF!/#REF!)</f>
        <v>#REF!</v>
      </c>
      <c r="IK200" s="1960" t="e">
        <f>+IJ200*(#REF!/#REF!)</f>
        <v>#REF!</v>
      </c>
      <c r="IL200" s="1960" t="e">
        <f>+IK200*(#REF!/#REF!)</f>
        <v>#REF!</v>
      </c>
      <c r="IM200" s="1960" t="e">
        <f>+IL200*(#REF!/#REF!)</f>
        <v>#REF!</v>
      </c>
      <c r="IN200" s="1960" t="e">
        <f>+IM200*(#REF!/#REF!)</f>
        <v>#REF!</v>
      </c>
      <c r="IO200" s="1960" t="e">
        <f>+IN200*(#REF!/#REF!)</f>
        <v>#REF!</v>
      </c>
      <c r="IP200" s="1960" t="e">
        <f>+IO200*(#REF!/#REF!)</f>
        <v>#REF!</v>
      </c>
      <c r="IQ200" s="1960" t="e">
        <f>+IP200*(#REF!/#REF!)</f>
        <v>#REF!</v>
      </c>
      <c r="IR200" s="1960" t="e">
        <f>+IQ200*(#REF!/#REF!)</f>
        <v>#REF!</v>
      </c>
      <c r="IS200" s="2274" t="e">
        <f>+IR200*(#REF!/#REF!)</f>
        <v>#REF!</v>
      </c>
      <c r="IT200" s="1960" t="e">
        <f>+IS200*(#REF!/#REF!)</f>
        <v>#REF!</v>
      </c>
      <c r="IU200" s="1960" t="e">
        <f>+IT200*(#REF!/#REF!)</f>
        <v>#REF!</v>
      </c>
      <c r="IV200" s="1960" t="e">
        <f>+IU200*(#REF!/#REF!)</f>
        <v>#REF!</v>
      </c>
      <c r="IW200" s="1960" t="e">
        <f>+IV200*(#REF!/#REF!)</f>
        <v>#REF!</v>
      </c>
      <c r="IX200" s="1960" t="e">
        <f>+IW200*(#REF!/#REF!)</f>
        <v>#REF!</v>
      </c>
      <c r="IY200" s="1960" t="e">
        <f>+IX200*(#REF!/#REF!)</f>
        <v>#REF!</v>
      </c>
      <c r="IZ200" s="1960" t="e">
        <f>+IY200*(#REF!/#REF!)</f>
        <v>#REF!</v>
      </c>
      <c r="JA200" s="1960" t="e">
        <f>+IZ200*(#REF!/#REF!)</f>
        <v>#REF!</v>
      </c>
      <c r="JB200" s="1960" t="e">
        <f>+JA200*(#REF!/#REF!)</f>
        <v>#REF!</v>
      </c>
      <c r="JC200" s="1960" t="e">
        <f>+JB200*(#REF!/#REF!)</f>
        <v>#REF!</v>
      </c>
      <c r="JD200" s="1960"/>
      <c r="JE200" s="2274" t="e">
        <v>#N/A</v>
      </c>
      <c r="JF200" s="2117" t="e">
        <v>#N/A</v>
      </c>
      <c r="JG200" s="2103" t="e">
        <f t="shared" si="19"/>
        <v>#N/A</v>
      </c>
      <c r="JI200" s="2155"/>
      <c r="JJ200" s="2104"/>
    </row>
    <row r="201" spans="2:271" ht="31.5">
      <c r="B201" s="2105">
        <v>601</v>
      </c>
      <c r="C201" s="2128"/>
      <c r="D201" s="2425"/>
      <c r="E201" s="2128" t="s">
        <v>384</v>
      </c>
      <c r="F201" s="2128"/>
      <c r="G201" s="2425" t="s">
        <v>1113</v>
      </c>
      <c r="H201" s="2106" t="s">
        <v>336</v>
      </c>
      <c r="I201" s="2106"/>
      <c r="J201" s="2359"/>
      <c r="K201" s="2425" t="s">
        <v>1152</v>
      </c>
      <c r="L201" s="2409" t="s">
        <v>386</v>
      </c>
      <c r="M201" s="2409" t="s">
        <v>386</v>
      </c>
      <c r="N201" s="2409" t="s">
        <v>386</v>
      </c>
      <c r="O201" s="2409" t="s">
        <v>386</v>
      </c>
      <c r="P201" s="2409" t="s">
        <v>386</v>
      </c>
      <c r="Q201" s="2409" t="s">
        <v>386</v>
      </c>
      <c r="R201" s="2409">
        <v>100</v>
      </c>
      <c r="S201" s="2409">
        <v>109.55</v>
      </c>
      <c r="T201" s="2409">
        <v>108.95</v>
      </c>
      <c r="U201" s="2409">
        <v>110.45</v>
      </c>
      <c r="V201" s="2409">
        <v>114.45</v>
      </c>
      <c r="W201" s="2409">
        <v>113.15</v>
      </c>
      <c r="X201" s="2409">
        <v>113</v>
      </c>
      <c r="Y201" s="2409">
        <v>111.2</v>
      </c>
      <c r="Z201" s="2409">
        <v>109.5</v>
      </c>
      <c r="AA201" s="2409">
        <v>110.2</v>
      </c>
      <c r="AB201" s="2409">
        <v>105.45</v>
      </c>
      <c r="AC201" s="2409">
        <v>105.35</v>
      </c>
      <c r="AD201" s="2409">
        <v>108.7</v>
      </c>
      <c r="AE201" s="2409">
        <v>108.5</v>
      </c>
      <c r="AF201" s="2409">
        <v>108.95</v>
      </c>
      <c r="AG201" s="2409">
        <v>109.05</v>
      </c>
      <c r="AH201" s="2409">
        <v>108.55</v>
      </c>
      <c r="AI201" s="2409">
        <v>109.55</v>
      </c>
      <c r="AJ201" s="2409">
        <v>110.25</v>
      </c>
      <c r="AK201" s="2409">
        <v>117.3</v>
      </c>
      <c r="AL201" s="2409">
        <v>118.2</v>
      </c>
      <c r="AM201" s="2409">
        <v>120.8</v>
      </c>
      <c r="AN201" s="2409">
        <v>121</v>
      </c>
      <c r="AO201" s="2409">
        <v>127.3</v>
      </c>
      <c r="AP201" s="2409">
        <v>129.4</v>
      </c>
      <c r="AQ201" s="2409">
        <v>129.75</v>
      </c>
      <c r="AR201" s="2409">
        <v>130.19999999999999</v>
      </c>
      <c r="AS201" s="2409">
        <v>130.05000000000001</v>
      </c>
      <c r="AT201" s="2409">
        <v>131.5</v>
      </c>
      <c r="AU201" s="2409">
        <v>134.69999999999999</v>
      </c>
      <c r="AV201" s="2409">
        <v>135.85</v>
      </c>
      <c r="AW201" s="2410">
        <v>136.30000000000001</v>
      </c>
      <c r="AX201" s="2410">
        <v>136.85</v>
      </c>
      <c r="AY201" s="2410">
        <v>137.4</v>
      </c>
      <c r="AZ201" s="2410">
        <v>138.4</v>
      </c>
      <c r="BA201" s="2410">
        <v>144.1</v>
      </c>
      <c r="BB201" s="2410">
        <v>143.94999999999999</v>
      </c>
      <c r="BC201" s="2410">
        <v>146.1</v>
      </c>
      <c r="BD201" s="2411">
        <v>146.19999999999999</v>
      </c>
      <c r="BE201" s="2410">
        <v>146.69999999999999</v>
      </c>
      <c r="BF201" s="2411">
        <v>152.1</v>
      </c>
      <c r="BG201" s="2411">
        <v>156.69999999999999</v>
      </c>
      <c r="BH201" s="2411">
        <v>155.44999999999999</v>
      </c>
      <c r="BI201" s="2412">
        <v>153.35</v>
      </c>
      <c r="BJ201" s="2412">
        <v>156.85</v>
      </c>
      <c r="BK201" s="2412">
        <v>154.6</v>
      </c>
      <c r="BL201" s="2412">
        <v>156.1</v>
      </c>
      <c r="BM201" s="2412">
        <v>163.75</v>
      </c>
      <c r="BN201" s="2412">
        <v>166.45</v>
      </c>
      <c r="BO201" s="2412">
        <v>174.15</v>
      </c>
      <c r="BP201" s="2412">
        <v>174.9</v>
      </c>
      <c r="BQ201" s="2412">
        <v>174.85</v>
      </c>
      <c r="BR201" s="2412">
        <v>174.85</v>
      </c>
      <c r="BS201" s="2412">
        <v>175.1</v>
      </c>
      <c r="BT201" s="2412">
        <v>175.55</v>
      </c>
      <c r="BU201" s="2412">
        <v>175.55</v>
      </c>
      <c r="BV201" s="2412">
        <v>182.1</v>
      </c>
      <c r="BW201" s="2412">
        <v>183.15</v>
      </c>
      <c r="BX201" s="2412">
        <v>194.85</v>
      </c>
      <c r="BY201" s="2412">
        <v>202.2</v>
      </c>
      <c r="BZ201" s="2412">
        <v>203.35</v>
      </c>
      <c r="CA201" s="2412">
        <v>208.9</v>
      </c>
      <c r="CB201" s="2412">
        <v>210.8</v>
      </c>
      <c r="CC201" s="2412">
        <v>211.2</v>
      </c>
      <c r="CD201" s="2412">
        <v>212.45</v>
      </c>
      <c r="CE201" s="2412">
        <v>214</v>
      </c>
      <c r="CF201" s="2412">
        <v>215.6</v>
      </c>
      <c r="CG201" s="2412">
        <v>219.55</v>
      </c>
      <c r="CH201" s="2412">
        <v>224.25</v>
      </c>
      <c r="CI201" s="2412">
        <v>224.15</v>
      </c>
      <c r="CJ201" s="2412">
        <v>234.45</v>
      </c>
      <c r="CK201" s="2412">
        <v>240.7</v>
      </c>
      <c r="CL201" s="2412">
        <v>240.15</v>
      </c>
      <c r="CM201" s="2412">
        <v>244.15</v>
      </c>
      <c r="CN201" s="2412">
        <v>247.65</v>
      </c>
      <c r="CO201" s="2412">
        <v>248.2</v>
      </c>
      <c r="CP201" s="2412">
        <v>249.4</v>
      </c>
      <c r="CQ201" s="2412">
        <v>252.55</v>
      </c>
      <c r="CR201" s="2412">
        <v>247</v>
      </c>
      <c r="CS201" s="2412">
        <v>247</v>
      </c>
      <c r="CT201" s="2412">
        <v>253.6</v>
      </c>
      <c r="CU201" s="2412">
        <v>252.75</v>
      </c>
      <c r="CV201" s="2412">
        <v>250.95</v>
      </c>
      <c r="CW201" s="2412">
        <v>253.5</v>
      </c>
      <c r="CX201" s="2412">
        <v>253.95</v>
      </c>
      <c r="CY201" s="2412">
        <v>254.5</v>
      </c>
      <c r="CZ201" s="2412">
        <v>254.8</v>
      </c>
      <c r="DA201" s="2412">
        <v>263.60000000000002</v>
      </c>
      <c r="DB201" s="2412">
        <v>263.2</v>
      </c>
      <c r="DC201" s="2412">
        <v>267.5</v>
      </c>
      <c r="DD201" s="2412">
        <v>267.60000000000002</v>
      </c>
      <c r="DE201" s="2412">
        <v>272.60000000000002</v>
      </c>
      <c r="DF201" s="2412">
        <v>268.10000000000002</v>
      </c>
      <c r="DG201" s="2412">
        <v>273.10000000000002</v>
      </c>
      <c r="DH201" s="2412">
        <v>277</v>
      </c>
      <c r="DI201" s="2412">
        <v>284.39999999999998</v>
      </c>
      <c r="DJ201" s="2412">
        <v>285.85000000000002</v>
      </c>
      <c r="DK201" s="2412">
        <v>284.45</v>
      </c>
      <c r="DL201" s="2412">
        <v>286.89999999999998</v>
      </c>
      <c r="DM201" s="2412">
        <v>288.45</v>
      </c>
      <c r="DN201" s="2412">
        <v>288.39999999999998</v>
      </c>
      <c r="DO201" s="2412">
        <v>289.89999999999998</v>
      </c>
      <c r="DP201" s="2412">
        <v>290.60000000000002</v>
      </c>
      <c r="DQ201" s="2412">
        <v>290.95</v>
      </c>
      <c r="DR201" s="2412">
        <v>298.05</v>
      </c>
      <c r="DS201" s="2412">
        <v>298.5</v>
      </c>
      <c r="DT201" s="2412">
        <v>301.5</v>
      </c>
      <c r="DU201" s="2412">
        <v>307.75</v>
      </c>
      <c r="DV201" s="2412">
        <v>312.64999999999998</v>
      </c>
      <c r="DW201" s="2412">
        <v>315.8</v>
      </c>
      <c r="DX201" s="2412">
        <v>319.75</v>
      </c>
      <c r="DY201" s="2412">
        <v>321.89999999999998</v>
      </c>
      <c r="DZ201" s="2412">
        <v>322</v>
      </c>
      <c r="EA201" s="2412">
        <v>327.60000000000002</v>
      </c>
      <c r="EB201" s="2412">
        <v>330.15</v>
      </c>
      <c r="EC201" s="2412">
        <v>331</v>
      </c>
      <c r="ED201" s="2412">
        <v>333.75</v>
      </c>
      <c r="EE201" s="2412">
        <v>334.35</v>
      </c>
      <c r="EF201" s="2412">
        <v>338.9</v>
      </c>
      <c r="EG201" s="2412">
        <v>340.9</v>
      </c>
      <c r="EH201" s="2412">
        <v>343.35</v>
      </c>
      <c r="EI201" s="2412">
        <v>345.15</v>
      </c>
      <c r="EJ201" s="2412">
        <v>349.95</v>
      </c>
      <c r="EK201" s="2412">
        <v>358.35</v>
      </c>
      <c r="EL201" s="2412">
        <v>363.15</v>
      </c>
      <c r="EM201" s="2412">
        <v>365.1</v>
      </c>
      <c r="EN201" s="2412">
        <v>368.45</v>
      </c>
      <c r="EO201" s="2412">
        <v>370.2</v>
      </c>
      <c r="EP201" s="2412">
        <v>376</v>
      </c>
      <c r="EQ201" s="2412">
        <v>382.25</v>
      </c>
      <c r="ER201" s="2412">
        <v>383.5</v>
      </c>
      <c r="ES201" s="2412">
        <v>391.5</v>
      </c>
      <c r="ET201" s="2412">
        <v>396.65</v>
      </c>
      <c r="EU201" s="2412">
        <v>404.4</v>
      </c>
      <c r="EV201" s="2412">
        <v>409.5</v>
      </c>
      <c r="EW201" s="2412">
        <v>405.55</v>
      </c>
      <c r="EX201" s="2412">
        <v>382.05</v>
      </c>
      <c r="EY201" s="2412">
        <v>406.5</v>
      </c>
      <c r="EZ201" s="2412">
        <v>407</v>
      </c>
      <c r="FA201" s="2412">
        <v>409.15</v>
      </c>
      <c r="FB201" s="2412">
        <v>414.5</v>
      </c>
      <c r="FC201" s="2412">
        <v>460.65</v>
      </c>
      <c r="FD201" s="2412">
        <v>468.7</v>
      </c>
      <c r="FE201" s="2412">
        <v>469.55</v>
      </c>
      <c r="FF201" s="2412">
        <v>479</v>
      </c>
      <c r="FG201" s="2412">
        <v>490.05</v>
      </c>
      <c r="FH201" s="2412">
        <v>507</v>
      </c>
      <c r="FI201" s="2412">
        <v>510.4</v>
      </c>
      <c r="FJ201" s="2412">
        <v>517.95000000000005</v>
      </c>
      <c r="FK201" s="2412">
        <v>519.29999999999995</v>
      </c>
      <c r="FL201" s="2412">
        <v>521.9</v>
      </c>
      <c r="FM201" s="2412">
        <v>526.70000000000005</v>
      </c>
      <c r="FN201" s="2412">
        <v>529</v>
      </c>
      <c r="FO201" s="2412">
        <v>539.15</v>
      </c>
      <c r="FP201" s="2412">
        <v>543</v>
      </c>
      <c r="FQ201" s="2412">
        <v>548.95000000000005</v>
      </c>
      <c r="FR201" s="2412">
        <v>583.79999999999995</v>
      </c>
      <c r="FS201" s="2412">
        <v>592.95000000000005</v>
      </c>
      <c r="FT201" s="2412">
        <v>596.25</v>
      </c>
      <c r="FU201" s="2412">
        <v>605.65</v>
      </c>
      <c r="FV201" s="2412">
        <v>629.45000000000005</v>
      </c>
      <c r="FW201" s="2413" t="e">
        <f>+'ANEXO J'!O140</f>
        <v>#REF!</v>
      </c>
      <c r="FX201" s="2413" t="e">
        <f>+'ANEXO J'!P140</f>
        <v>#REF!</v>
      </c>
      <c r="FY201" s="2413">
        <f>+'ANEXO J'!E147</f>
        <v>100</v>
      </c>
      <c r="FZ201" s="2413">
        <f>+'ANEXO J'!F147</f>
        <v>103.15</v>
      </c>
      <c r="GA201" s="2413">
        <f>+'ANEXO J'!G147</f>
        <v>105.1</v>
      </c>
      <c r="GB201" s="2413">
        <f>+'ANEXO J'!H147</f>
        <v>106.65</v>
      </c>
      <c r="GC201" s="2413">
        <f>+'ANEXO J'!I147</f>
        <v>108.55</v>
      </c>
      <c r="GD201" s="2413">
        <f>+'ANEXO J'!J147</f>
        <v>110.05</v>
      </c>
      <c r="GE201" s="2413">
        <f>+'ANEXO J'!K147</f>
        <v>113.9</v>
      </c>
      <c r="GF201" s="2413">
        <f>+'ANEXO J'!L147</f>
        <v>115.8</v>
      </c>
      <c r="GG201" s="2413">
        <f>+'ANEXO J'!M147</f>
        <v>116.6</v>
      </c>
      <c r="GH201" s="2413">
        <f>+'ANEXO J'!N147</f>
        <v>116.85</v>
      </c>
      <c r="GI201" s="2413">
        <f>+'ANEXO J'!O147</f>
        <v>119.2</v>
      </c>
      <c r="GJ201" s="2413">
        <f>+'ANEXO J'!P147</f>
        <v>118.8</v>
      </c>
      <c r="GK201" s="2413">
        <f>+'ANEXO J'!E154</f>
        <v>119.35</v>
      </c>
      <c r="GL201" s="2413">
        <f>+'ANEXO J'!F154</f>
        <v>120.75</v>
      </c>
      <c r="GM201" s="2413">
        <f>+'ANEXO J'!G154</f>
        <v>120.7</v>
      </c>
      <c r="GN201" s="2413">
        <f>+'ANEXO J'!H154</f>
        <v>121.3</v>
      </c>
      <c r="GO201" s="2413">
        <f>+'ANEXO J'!I154</f>
        <v>121.55</v>
      </c>
      <c r="GP201" s="2413">
        <f>+'ANEXO J'!J154</f>
        <v>121.95</v>
      </c>
      <c r="GQ201" s="2413">
        <f>+'ANEXO J'!K154</f>
        <v>123.45</v>
      </c>
      <c r="GR201" s="2413">
        <f>+'ANEXO J'!L154</f>
        <v>123.6</v>
      </c>
      <c r="GS201" s="2413">
        <f>+'ANEXO J'!M154</f>
        <v>122.75</v>
      </c>
      <c r="GT201" s="2413">
        <f>+'ANEXO J'!N154</f>
        <v>123.45</v>
      </c>
      <c r="GU201" s="2413">
        <f>+'ANEXO J'!O154</f>
        <v>126.15</v>
      </c>
      <c r="GV201" s="2413">
        <f>+'ANEXO J'!P154</f>
        <v>126.7</v>
      </c>
      <c r="GW201" s="2415">
        <f>+'ANEXO J'!E161</f>
        <v>129.6</v>
      </c>
      <c r="GX201" s="2415">
        <f>+'ANEXO J'!F161</f>
        <v>133.9</v>
      </c>
      <c r="GY201" s="2415">
        <f>+'ANEXO J'!G161</f>
        <v>137.4</v>
      </c>
      <c r="GZ201" s="2415">
        <f>+'ANEXO J'!H161</f>
        <v>141.85</v>
      </c>
      <c r="HA201" s="2415">
        <f>+'ANEXO J'!I161</f>
        <v>153.35</v>
      </c>
      <c r="HB201" s="2415">
        <f>+'ANEXO J'!J161</f>
        <v>155.44999999999999</v>
      </c>
      <c r="HC201" s="2415">
        <f>+'ANEXO J'!K161</f>
        <v>162.69999999999999</v>
      </c>
      <c r="HD201" s="2415">
        <f>+'ANEXO J'!L161</f>
        <v>157.1</v>
      </c>
      <c r="HE201" s="2415">
        <f>+'ANEXO J'!M161</f>
        <v>193.25</v>
      </c>
      <c r="HF201" s="2415">
        <f>+'ANEXO J'!N161</f>
        <v>198.6</v>
      </c>
      <c r="HG201" s="2415">
        <f>+'ANEXO J'!O161</f>
        <v>200.5</v>
      </c>
      <c r="HH201" s="2415">
        <f>+'ANEXO J'!P161</f>
        <v>203.75</v>
      </c>
      <c r="HI201" s="2415">
        <f>+'ANEXO J'!E168</f>
        <v>202.75</v>
      </c>
      <c r="HJ201" s="2415">
        <f>+'ANEXO J'!F168</f>
        <v>217.8</v>
      </c>
      <c r="HK201" s="2415">
        <f>+'ANEXO J'!G168</f>
        <v>219.85</v>
      </c>
      <c r="HL201" s="2415">
        <f>+'ANEXO J'!H168</f>
        <v>225.8</v>
      </c>
      <c r="HM201" s="2415">
        <f>+'ANEXO J'!I168</f>
        <v>227.15</v>
      </c>
      <c r="HN201" s="2415">
        <f>+'ANEXO J'!J168</f>
        <v>231.4</v>
      </c>
      <c r="HO201" s="2415">
        <f>+'ANEXO J'!K168</f>
        <v>235.2</v>
      </c>
      <c r="HP201" s="2415">
        <f>+'ANEXO J'!L168</f>
        <v>276.2</v>
      </c>
      <c r="HQ201" s="2415">
        <f>+'ANEXO J'!M168</f>
        <v>288.7</v>
      </c>
      <c r="HR201" s="2415">
        <f>+'ANEXO J'!N168</f>
        <v>302.85000000000002</v>
      </c>
      <c r="HS201" s="2415">
        <f>+'ANEXO J'!O168</f>
        <v>309.39999999999998</v>
      </c>
      <c r="HT201" s="2415">
        <f>+'ANEXO J'!P168</f>
        <v>318.39999999999998</v>
      </c>
      <c r="HU201" s="2420">
        <f>+'ANEXO J'!E175</f>
        <v>328.85</v>
      </c>
      <c r="HV201" s="2417">
        <f>+'ANEXO J'!F175</f>
        <v>333.1</v>
      </c>
      <c r="HW201" s="2417">
        <f>+'ANEXO J'!G175</f>
        <v>333.1</v>
      </c>
      <c r="HX201" s="2417">
        <f>+'ANEXO J'!H175</f>
        <v>333.1</v>
      </c>
      <c r="HY201" s="2417">
        <f>+'ANEXO J'!I175</f>
        <v>333.35</v>
      </c>
      <c r="HZ201" s="2417">
        <f>+'ANEXO J'!J175</f>
        <v>332.8</v>
      </c>
      <c r="IA201" s="2417">
        <f>+'ANEXO J'!K175</f>
        <v>332.55</v>
      </c>
      <c r="IB201" s="2417">
        <f>+'ANEXO J'!L175</f>
        <v>335.3</v>
      </c>
      <c r="IC201" s="2417">
        <f>+'ANEXO J'!M175</f>
        <v>335.3</v>
      </c>
      <c r="ID201" s="2417">
        <f>+'ANEXO J'!N175</f>
        <v>336.1</v>
      </c>
      <c r="IE201" s="2417">
        <f>+'ANEXO J'!O175</f>
        <v>338.05</v>
      </c>
      <c r="IF201" s="2419">
        <f>+'ANEXO J'!P175</f>
        <v>341.35</v>
      </c>
      <c r="IG201" s="2420">
        <f>+'ANEXO J'!E182</f>
        <v>347.65</v>
      </c>
      <c r="IH201" s="2417">
        <f>+'ANEXO J'!F182</f>
        <v>347.35</v>
      </c>
      <c r="II201" s="2417">
        <f>+'ANEXO J'!G182</f>
        <v>348.4</v>
      </c>
      <c r="IJ201" s="2417">
        <f>+'ANEXO J'!H182</f>
        <v>363.3</v>
      </c>
      <c r="IK201" s="2417">
        <f>+'ANEXO J'!I182</f>
        <v>371.8</v>
      </c>
      <c r="IL201" s="2417">
        <f>+'ANEXO J'!J182</f>
        <v>379.7</v>
      </c>
      <c r="IM201" s="2417">
        <f>+'ANEXO J'!K182</f>
        <v>394.45</v>
      </c>
      <c r="IN201" s="2417">
        <f>+'ANEXO J'!L182</f>
        <v>420.55</v>
      </c>
      <c r="IO201" s="2417">
        <f>+'ANEXO J'!M182</f>
        <v>432.5</v>
      </c>
      <c r="IP201" s="2417">
        <f>+'ANEXO J'!N182</f>
        <v>462.8</v>
      </c>
      <c r="IQ201" s="2417">
        <f>+'ANEXO J'!O182</f>
        <v>476.15</v>
      </c>
      <c r="IR201" s="2419">
        <f>+'ANEXO J'!P182</f>
        <v>485.2</v>
      </c>
      <c r="IS201" s="2420">
        <f>+'ANEXO J'!E189</f>
        <v>516.15</v>
      </c>
      <c r="IT201" s="2417">
        <f>+'ANEXO J'!F189</f>
        <v>522.9</v>
      </c>
      <c r="IU201" s="2417">
        <f>+'ANEXO J'!G189</f>
        <v>529.54999999999995</v>
      </c>
      <c r="IV201" s="2417">
        <f>+'ANEXO J'!H189</f>
        <v>557.9</v>
      </c>
      <c r="IW201" s="2417">
        <f>+'ANEXO J'!I189</f>
        <v>590.29999999999995</v>
      </c>
      <c r="IX201" s="2417">
        <f>+'ANEXO J'!J189</f>
        <v>597.5</v>
      </c>
      <c r="IY201" s="2417">
        <f>+'ANEXO J'!K189</f>
        <v>678.8</v>
      </c>
      <c r="IZ201" s="2417">
        <f>+'ANEXO J'!L189</f>
        <v>727.4</v>
      </c>
      <c r="JA201" s="2417">
        <f>+'ANEXO J'!M189</f>
        <v>749.95</v>
      </c>
      <c r="JB201" s="2417">
        <f>+'ANEXO J'!N189</f>
        <v>791</v>
      </c>
      <c r="JC201" s="2417">
        <f>+'ANEXO J'!O189</f>
        <v>816.25</v>
      </c>
      <c r="JD201" s="2415">
        <f>+'ANEXO J'!P189</f>
        <v>857.5</v>
      </c>
      <c r="JE201" s="2422">
        <f>+'ANEXO J'!E196</f>
        <v>901.6</v>
      </c>
      <c r="JF201" s="2418">
        <f>+'ANEXO J'!F196</f>
        <v>1006</v>
      </c>
      <c r="JG201" s="2103">
        <f t="shared" si="19"/>
        <v>1.1157941437444543</v>
      </c>
      <c r="JI201" s="2155"/>
      <c r="JJ201" s="2104"/>
    </row>
    <row r="202" spans="2:271" ht="20.25" customHeight="1">
      <c r="B202" s="2105">
        <v>602</v>
      </c>
      <c r="C202" s="2106" t="s">
        <v>387</v>
      </c>
      <c r="D202" s="2425" t="s">
        <v>1250</v>
      </c>
      <c r="E202" s="2128" t="s">
        <v>388</v>
      </c>
      <c r="F202" s="2106" t="s">
        <v>918</v>
      </c>
      <c r="G202" s="2425" t="s">
        <v>1112</v>
      </c>
      <c r="H202" s="2106" t="s">
        <v>929</v>
      </c>
      <c r="I202" s="2106"/>
      <c r="J202" s="2359"/>
      <c r="K202" s="2425" t="s">
        <v>389</v>
      </c>
      <c r="L202" s="2110">
        <v>91.6</v>
      </c>
      <c r="M202" s="2110">
        <v>102.2</v>
      </c>
      <c r="N202" s="2110">
        <v>136.19999999999999</v>
      </c>
      <c r="O202" s="2110">
        <v>169.2</v>
      </c>
      <c r="P202" s="2110">
        <v>177.5</v>
      </c>
      <c r="Q202" s="2110">
        <v>205.9</v>
      </c>
      <c r="R202" s="2110">
        <v>222.2</v>
      </c>
      <c r="S202" s="2110">
        <v>223.2</v>
      </c>
      <c r="T202" s="2110">
        <v>242.1</v>
      </c>
      <c r="U202" s="2110">
        <v>243.7</v>
      </c>
      <c r="V202" s="2110">
        <v>243.4</v>
      </c>
      <c r="W202" s="2110">
        <v>242.5</v>
      </c>
      <c r="X202" s="2110">
        <v>242.7</v>
      </c>
      <c r="Y202" s="2110">
        <v>240.4</v>
      </c>
      <c r="Z202" s="2110">
        <v>237.8</v>
      </c>
      <c r="AA202" s="2110">
        <v>236.8</v>
      </c>
      <c r="AB202" s="2110">
        <v>235.2</v>
      </c>
      <c r="AC202" s="2110">
        <v>231.6</v>
      </c>
      <c r="AD202" s="2110">
        <v>225.2</v>
      </c>
      <c r="AE202" s="2110">
        <v>225.2</v>
      </c>
      <c r="AF202" s="2110">
        <v>225.7</v>
      </c>
      <c r="AG202" s="2110">
        <v>226.6</v>
      </c>
      <c r="AH202" s="2110">
        <v>221.8</v>
      </c>
      <c r="AI202" s="2110">
        <v>222</v>
      </c>
      <c r="AJ202" s="2110">
        <v>227.3</v>
      </c>
      <c r="AK202" s="2110">
        <v>223.7</v>
      </c>
      <c r="AL202" s="2110">
        <v>226.4</v>
      </c>
      <c r="AM202" s="2110">
        <v>227.7</v>
      </c>
      <c r="AN202" s="2110">
        <v>227.6</v>
      </c>
      <c r="AO202" s="2110">
        <v>232.2</v>
      </c>
      <c r="AP202" s="2110">
        <v>234.7</v>
      </c>
      <c r="AQ202" s="2110">
        <v>234.6</v>
      </c>
      <c r="AR202" s="2110">
        <v>238.5</v>
      </c>
      <c r="AS202" s="2110">
        <v>241.3</v>
      </c>
      <c r="AT202" s="2110">
        <v>246.5</v>
      </c>
      <c r="AU202" s="2110">
        <v>246.4</v>
      </c>
      <c r="AV202" s="2110">
        <v>246.4</v>
      </c>
      <c r="AW202" s="2111">
        <v>254.8</v>
      </c>
      <c r="AX202" s="2111">
        <v>256.3</v>
      </c>
      <c r="AY202" s="2111">
        <v>258.89999999999998</v>
      </c>
      <c r="AZ202" s="2111">
        <v>259.3</v>
      </c>
      <c r="BA202" s="2111">
        <v>259.39999999999998</v>
      </c>
      <c r="BB202" s="2111">
        <v>259.2</v>
      </c>
      <c r="BC202" s="2111">
        <v>259.39999999999998</v>
      </c>
      <c r="BD202" s="2112">
        <v>261.8</v>
      </c>
      <c r="BE202" s="2111">
        <v>263.7</v>
      </c>
      <c r="BF202" s="2112">
        <v>264.60000000000002</v>
      </c>
      <c r="BG202" s="2112">
        <v>264.10000000000002</v>
      </c>
      <c r="BH202" s="2112">
        <v>265.3</v>
      </c>
      <c r="BI202" s="2108">
        <v>268.10000000000002</v>
      </c>
      <c r="BJ202" s="2108">
        <v>268.3</v>
      </c>
      <c r="BK202" s="2108">
        <v>269</v>
      </c>
      <c r="BL202" s="2108">
        <v>268.8</v>
      </c>
      <c r="BM202" s="2108">
        <v>269.89999999999998</v>
      </c>
      <c r="BN202" s="2108">
        <v>273.10000000000002</v>
      </c>
      <c r="BO202" s="2108">
        <v>275.5</v>
      </c>
      <c r="BP202" s="2108">
        <v>278</v>
      </c>
      <c r="BQ202" s="2108">
        <v>280.10000000000002</v>
      </c>
      <c r="BR202" s="2108">
        <v>280.2</v>
      </c>
      <c r="BS202" s="2108">
        <v>280</v>
      </c>
      <c r="BT202" s="2108">
        <v>280.10000000000002</v>
      </c>
      <c r="BU202" s="2108">
        <v>286</v>
      </c>
      <c r="BV202" s="2108">
        <v>287.3</v>
      </c>
      <c r="BW202" s="2108">
        <v>287.39999999999998</v>
      </c>
      <c r="BX202" s="2108">
        <v>288.89999999999998</v>
      </c>
      <c r="BY202" s="2108">
        <v>295.5</v>
      </c>
      <c r="BZ202" s="2108">
        <v>295.3</v>
      </c>
      <c r="CA202" s="2108">
        <v>297.3</v>
      </c>
      <c r="CB202" s="2108">
        <v>303.8</v>
      </c>
      <c r="CC202" s="2108">
        <v>311.89999999999998</v>
      </c>
      <c r="CD202" s="2108">
        <v>325.10000000000002</v>
      </c>
      <c r="CE202" s="2108">
        <v>325.39999999999998</v>
      </c>
      <c r="CF202" s="2108">
        <v>328</v>
      </c>
      <c r="CG202" s="2108">
        <v>328</v>
      </c>
      <c r="CH202" s="2108">
        <v>333.2</v>
      </c>
      <c r="CI202" s="2108">
        <v>329.8</v>
      </c>
      <c r="CJ202" s="2108">
        <v>330.7</v>
      </c>
      <c r="CK202" s="2108">
        <v>331.3</v>
      </c>
      <c r="CL202" s="2108">
        <v>337.3</v>
      </c>
      <c r="CM202" s="2108">
        <v>344.1</v>
      </c>
      <c r="CN202" s="2108">
        <v>348.6</v>
      </c>
      <c r="CO202" s="2108">
        <v>349.5</v>
      </c>
      <c r="CP202" s="2108">
        <v>349.5</v>
      </c>
      <c r="CQ202" s="2108">
        <v>352.3</v>
      </c>
      <c r="CR202" s="2108">
        <v>360.9</v>
      </c>
      <c r="CS202" s="2108">
        <v>361.7</v>
      </c>
      <c r="CT202" s="2108">
        <v>364.2</v>
      </c>
      <c r="CU202" s="2108">
        <v>373.2</v>
      </c>
      <c r="CV202" s="2108">
        <v>376.3</v>
      </c>
      <c r="CW202" s="2108">
        <v>377.7</v>
      </c>
      <c r="CX202" s="2108">
        <v>391.6</v>
      </c>
      <c r="CY202" s="2108">
        <v>393.1</v>
      </c>
      <c r="CZ202" s="2108">
        <v>396.9</v>
      </c>
      <c r="DA202" s="2108">
        <v>397.6</v>
      </c>
      <c r="DB202" s="2108">
        <v>397.8</v>
      </c>
      <c r="DC202" s="2108">
        <v>405</v>
      </c>
      <c r="DD202" s="2108">
        <v>409.4</v>
      </c>
      <c r="DE202" s="2108">
        <v>409.9</v>
      </c>
      <c r="DF202" s="2108">
        <v>411</v>
      </c>
      <c r="DG202" s="2108">
        <v>411</v>
      </c>
      <c r="DH202" s="2108">
        <v>397.6</v>
      </c>
      <c r="DI202" s="2108">
        <v>398.8</v>
      </c>
      <c r="DJ202" s="2108">
        <v>403.2</v>
      </c>
      <c r="DK202" s="2108">
        <v>404.1</v>
      </c>
      <c r="DL202" s="2108">
        <v>404.1</v>
      </c>
      <c r="DM202" s="2108">
        <v>409.4</v>
      </c>
      <c r="DN202" s="2108">
        <v>410.3</v>
      </c>
      <c r="DO202" s="2108">
        <v>411.9</v>
      </c>
      <c r="DP202" s="2108">
        <v>412.8</v>
      </c>
      <c r="DQ202" s="2108">
        <v>415</v>
      </c>
      <c r="DR202" s="2108">
        <v>416.2</v>
      </c>
      <c r="DS202" s="2108">
        <v>419.1</v>
      </c>
      <c r="DT202" s="2108">
        <v>428.7</v>
      </c>
      <c r="DU202" s="2108">
        <v>435.1</v>
      </c>
      <c r="DV202" s="2108">
        <v>438.9</v>
      </c>
      <c r="DW202" s="2108">
        <v>445.1</v>
      </c>
      <c r="DX202" s="2108">
        <v>446.5</v>
      </c>
      <c r="DY202" s="2108">
        <v>447.8</v>
      </c>
      <c r="DZ202" s="2108">
        <v>450.7</v>
      </c>
      <c r="EA202" s="2108">
        <v>452</v>
      </c>
      <c r="EB202" s="2108">
        <v>453.2</v>
      </c>
      <c r="EC202" s="2108">
        <v>458</v>
      </c>
      <c r="ED202" s="2108">
        <v>471.4</v>
      </c>
      <c r="EE202" s="2108">
        <v>484</v>
      </c>
      <c r="EF202" s="2108">
        <v>486.3</v>
      </c>
      <c r="EG202" s="2108">
        <v>487.4</v>
      </c>
      <c r="EH202" s="2108">
        <v>490.6</v>
      </c>
      <c r="EI202" s="2108">
        <v>504</v>
      </c>
      <c r="EJ202" s="2108">
        <v>516.29999999999995</v>
      </c>
      <c r="EK202" s="2108">
        <v>517.70000000000005</v>
      </c>
      <c r="EL202" s="2108">
        <v>521.1</v>
      </c>
      <c r="EM202" s="2108">
        <v>530.1</v>
      </c>
      <c r="EN202" s="2108">
        <v>535</v>
      </c>
      <c r="EO202" s="2108">
        <v>539</v>
      </c>
      <c r="EP202" s="2108">
        <v>538.29999999999995</v>
      </c>
      <c r="EQ202" s="2108">
        <v>541.1</v>
      </c>
      <c r="ER202" s="2108">
        <v>542.79999999999995</v>
      </c>
      <c r="ES202" s="2108">
        <v>545.20000000000005</v>
      </c>
      <c r="ET202" s="2108">
        <v>550.9</v>
      </c>
      <c r="EU202" s="2108">
        <v>552.6</v>
      </c>
      <c r="EV202" s="2108">
        <v>556.29999999999995</v>
      </c>
      <c r="EW202" s="2108">
        <v>573.29999999999995</v>
      </c>
      <c r="EX202" s="2108">
        <v>566.20000000000005</v>
      </c>
      <c r="EY202" s="2108">
        <v>584.4</v>
      </c>
      <c r="EZ202" s="2108">
        <v>599.4</v>
      </c>
      <c r="FA202" s="2108">
        <v>651.6</v>
      </c>
      <c r="FB202" s="2108">
        <v>765.2</v>
      </c>
      <c r="FC202" s="2108">
        <v>773.6</v>
      </c>
      <c r="FD202" s="2108">
        <v>782.9</v>
      </c>
      <c r="FE202" s="2108">
        <v>786.3</v>
      </c>
      <c r="FF202" s="2108">
        <v>797.7</v>
      </c>
      <c r="FG202" s="2108">
        <v>807.2</v>
      </c>
      <c r="FH202" s="2108">
        <v>809.8</v>
      </c>
      <c r="FI202" s="2108">
        <v>814</v>
      </c>
      <c r="FJ202" s="2108">
        <v>831.7</v>
      </c>
      <c r="FK202" s="2108">
        <v>835</v>
      </c>
      <c r="FL202" s="2108">
        <v>822.6</v>
      </c>
      <c r="FM202" s="2108">
        <v>830.3</v>
      </c>
      <c r="FN202" s="2108">
        <v>836.2</v>
      </c>
      <c r="FO202" s="2108">
        <v>839.3</v>
      </c>
      <c r="FP202" s="2108">
        <v>867.8</v>
      </c>
      <c r="FQ202" s="2108">
        <v>893.3</v>
      </c>
      <c r="FR202" s="2108">
        <v>897.1</v>
      </c>
      <c r="FS202" s="2108">
        <v>900.9</v>
      </c>
      <c r="FT202" s="2108">
        <v>896.9</v>
      </c>
      <c r="FU202" s="2108">
        <v>921.1</v>
      </c>
      <c r="FV202" s="2108">
        <v>926.4</v>
      </c>
      <c r="FW202" s="2113">
        <v>1475.621167747282</v>
      </c>
      <c r="FX202" s="2113">
        <v>1723.5884735729862</v>
      </c>
      <c r="FY202" s="2113">
        <v>100</v>
      </c>
      <c r="FZ202" s="2113">
        <v>108.13792943954468</v>
      </c>
      <c r="GA202" s="2113">
        <v>114.02055190716567</v>
      </c>
      <c r="GB202" s="2113">
        <v>116.94663622435097</v>
      </c>
      <c r="GC202" s="2113">
        <v>125.40732400691128</v>
      </c>
      <c r="GD202" s="2113">
        <v>130.69632493902174</v>
      </c>
      <c r="GE202" s="2113">
        <v>132.13866343919125</v>
      </c>
      <c r="GF202" s="2114">
        <v>133.95296528493242</v>
      </c>
      <c r="GG202" s="1960">
        <v>137.39199192864066</v>
      </c>
      <c r="GH202" s="2114">
        <v>138.56894387823613</v>
      </c>
      <c r="GI202" s="2114">
        <v>146.40578110946691</v>
      </c>
      <c r="GJ202" s="2113">
        <v>146.45899509045194</v>
      </c>
      <c r="GK202" s="2113">
        <v>149.46520251016381</v>
      </c>
      <c r="GL202" s="2113">
        <v>154.87969840740905</v>
      </c>
      <c r="GM202" s="2114">
        <v>154.51618768642959</v>
      </c>
      <c r="GN202" s="2114">
        <v>156.84936405438921</v>
      </c>
      <c r="GO202" s="2115">
        <v>157.34261468950709</v>
      </c>
      <c r="GP202" s="2116">
        <v>157.63782641147552</v>
      </c>
      <c r="GQ202" s="2116">
        <v>158.68853754115815</v>
      </c>
      <c r="GR202" s="2116">
        <v>158.68853754115815</v>
      </c>
      <c r="GS202" s="2116">
        <v>158.68853754115815</v>
      </c>
      <c r="GT202" s="1960">
        <v>160.11941168512527</v>
      </c>
      <c r="GU202" s="1960">
        <v>160.19895021982518</v>
      </c>
      <c r="GV202" s="1960">
        <v>160.67819453017637</v>
      </c>
      <c r="GW202" s="1960">
        <v>163.64340026901152</v>
      </c>
      <c r="GX202" s="1960">
        <v>163.75539462623317</v>
      </c>
      <c r="GY202" s="1960">
        <v>164.79401817034071</v>
      </c>
      <c r="GZ202" s="1960">
        <v>181.9267765889841</v>
      </c>
      <c r="HA202" s="1960">
        <v>217.29652142921998</v>
      </c>
      <c r="HB202" s="1960">
        <v>222.55402707006513</v>
      </c>
      <c r="HC202" s="1960">
        <v>226.3729079044713</v>
      </c>
      <c r="HD202" s="1960">
        <v>232.26204745409686</v>
      </c>
      <c r="HE202" s="1960">
        <v>259.35339401580666</v>
      </c>
      <c r="HF202" s="1960">
        <v>266.39682996328077</v>
      </c>
      <c r="HG202" s="1960">
        <v>265.12595080593883</v>
      </c>
      <c r="HH202" s="2117">
        <v>268.27268941218068</v>
      </c>
      <c r="HI202" s="1960">
        <v>272.729857617812</v>
      </c>
      <c r="HJ202" s="1960">
        <v>278.7192867466585</v>
      </c>
      <c r="HK202" s="1960">
        <v>291.08827204640841</v>
      </c>
      <c r="HL202" s="1960">
        <v>309.60359856583949</v>
      </c>
      <c r="HM202" s="1960">
        <v>313.55527014693473</v>
      </c>
      <c r="HN202" s="1960">
        <v>316.21136519637099</v>
      </c>
      <c r="HO202" s="1960">
        <v>325.76641910488149</v>
      </c>
      <c r="HP202" s="1960">
        <v>378.31735657587262</v>
      </c>
      <c r="HQ202" s="1960">
        <v>380.94732612642963</v>
      </c>
      <c r="HR202" s="1960">
        <v>440.67760040639752</v>
      </c>
      <c r="HS202" s="1960">
        <v>446.10343431562188</v>
      </c>
      <c r="HT202" s="1962">
        <v>456.70413478027729</v>
      </c>
      <c r="HU202" s="1961">
        <v>462.70535818457455</v>
      </c>
      <c r="HV202" s="1960">
        <v>472.38537693854232</v>
      </c>
      <c r="HW202" s="1960">
        <v>472.38537693854232</v>
      </c>
      <c r="HX202" s="1960">
        <v>472.38537693854232</v>
      </c>
      <c r="HY202" s="1960">
        <v>472.38537693854232</v>
      </c>
      <c r="HZ202" s="1960">
        <v>472.38537693854232</v>
      </c>
      <c r="IA202" s="1960">
        <v>472.38537693854232</v>
      </c>
      <c r="IB202" s="1960">
        <v>472.38537693854232</v>
      </c>
      <c r="IC202" s="1960">
        <v>472.38537693854232</v>
      </c>
      <c r="ID202" s="1960">
        <v>472.38537693854232</v>
      </c>
      <c r="IE202" s="1960">
        <v>472.38537693854232</v>
      </c>
      <c r="IF202" s="1960">
        <v>472.38537693854232</v>
      </c>
      <c r="IG202" s="1961">
        <v>478.07980051873955</v>
      </c>
      <c r="IH202" s="1960">
        <v>478.07980051873955</v>
      </c>
      <c r="II202" s="1960">
        <v>478.07980051873955</v>
      </c>
      <c r="IJ202" s="1961">
        <v>478.07980051873955</v>
      </c>
      <c r="IK202" s="1960">
        <v>489.34703463280499</v>
      </c>
      <c r="IL202" s="1960">
        <v>499.15034016350603</v>
      </c>
      <c r="IM202" s="1960">
        <v>500.74088075057136</v>
      </c>
      <c r="IN202" s="1960">
        <v>524.98485193332567</v>
      </c>
      <c r="IO202" s="1960">
        <v>545.79892635792623</v>
      </c>
      <c r="IP202" s="1960">
        <v>550.43056853754479</v>
      </c>
      <c r="IQ202" s="1960">
        <v>564.11372204081954</v>
      </c>
      <c r="IR202" s="1960">
        <v>576.27648186680301</v>
      </c>
      <c r="IS202" s="2274">
        <v>581.36434187653128</v>
      </c>
      <c r="IT202" s="1960">
        <v>590.83637908842127</v>
      </c>
      <c r="IU202" s="1960">
        <v>599.82005170747391</v>
      </c>
      <c r="IV202" s="1960">
        <v>620.08466173224895</v>
      </c>
      <c r="IW202" s="1960">
        <v>648.24776089659099</v>
      </c>
      <c r="IX202" s="1960">
        <v>667.0465273306545</v>
      </c>
      <c r="IY202" s="1960">
        <v>725.48853844929056</v>
      </c>
      <c r="IZ202" s="1960">
        <v>776.27702871809856</v>
      </c>
      <c r="JA202" s="1960">
        <v>791.48356959099863</v>
      </c>
      <c r="JB202" s="1960">
        <v>824.82814183789515</v>
      </c>
      <c r="JC202" s="1960">
        <v>847.35631318984485</v>
      </c>
      <c r="JD202" s="1960">
        <v>907.08694904647393</v>
      </c>
      <c r="JE202" s="2274">
        <v>953.59361933626167</v>
      </c>
      <c r="JF202" s="2117">
        <v>1206.1543863964453</v>
      </c>
      <c r="JG202" s="2103">
        <f t="shared" si="19"/>
        <v>1.2648515698290597</v>
      </c>
      <c r="JI202" s="2155"/>
      <c r="JJ202" s="2104"/>
    </row>
    <row r="203" spans="2:271" ht="24.6" hidden="1" customHeight="1">
      <c r="B203" s="2105">
        <v>603</v>
      </c>
      <c r="C203" s="2106" t="s">
        <v>390</v>
      </c>
      <c r="D203" s="2425">
        <v>0</v>
      </c>
      <c r="E203" s="2128" t="s">
        <v>391</v>
      </c>
      <c r="F203" s="2106" t="s">
        <v>918</v>
      </c>
      <c r="G203" s="2106"/>
      <c r="H203" s="2106" t="s">
        <v>919</v>
      </c>
      <c r="I203" s="2106"/>
      <c r="J203" s="2359" t="s">
        <v>115</v>
      </c>
      <c r="K203" s="2425" t="s">
        <v>393</v>
      </c>
      <c r="L203" s="2110">
        <v>108.16</v>
      </c>
      <c r="M203" s="2110">
        <v>148.18</v>
      </c>
      <c r="N203" s="2110">
        <v>187.83</v>
      </c>
      <c r="O203" s="2110">
        <v>200.36</v>
      </c>
      <c r="P203" s="2110">
        <v>274.82</v>
      </c>
      <c r="Q203" s="2110">
        <v>327.79</v>
      </c>
      <c r="R203" s="2110">
        <v>361.45</v>
      </c>
      <c r="S203" s="2110">
        <v>371.11</v>
      </c>
      <c r="T203" s="2110">
        <v>380.48</v>
      </c>
      <c r="U203" s="2110">
        <v>401.02</v>
      </c>
      <c r="V203" s="2110">
        <v>400.69</v>
      </c>
      <c r="W203" s="2110">
        <v>391.63</v>
      </c>
      <c r="X203" s="2110">
        <v>400.69</v>
      </c>
      <c r="Y203" s="2110">
        <v>357.16</v>
      </c>
      <c r="Z203" s="2110">
        <v>357.47</v>
      </c>
      <c r="AA203" s="2110">
        <v>377.33</v>
      </c>
      <c r="AB203" s="2110">
        <v>356.29</v>
      </c>
      <c r="AC203" s="2110">
        <v>345.37</v>
      </c>
      <c r="AD203" s="2110">
        <v>340.5</v>
      </c>
      <c r="AE203" s="2110">
        <v>338.08</v>
      </c>
      <c r="AF203" s="2110">
        <v>345.21</v>
      </c>
      <c r="AG203" s="2110">
        <v>344.58</v>
      </c>
      <c r="AH203" s="2110">
        <v>338.65</v>
      </c>
      <c r="AI203" s="2110">
        <v>341.64</v>
      </c>
      <c r="AJ203" s="2110">
        <v>346.88</v>
      </c>
      <c r="AK203" s="2110">
        <v>341.64</v>
      </c>
      <c r="AL203" s="2110">
        <v>347.96</v>
      </c>
      <c r="AM203" s="2110">
        <v>359.91</v>
      </c>
      <c r="AN203" s="2110">
        <v>337.86</v>
      </c>
      <c r="AO203" s="2110">
        <v>371.74</v>
      </c>
      <c r="AP203" s="2110">
        <v>391.29</v>
      </c>
      <c r="AQ203" s="2110">
        <v>392.01</v>
      </c>
      <c r="AR203" s="2110">
        <v>427.11</v>
      </c>
      <c r="AS203" s="2110">
        <v>434.73</v>
      </c>
      <c r="AT203" s="2110">
        <v>432.85</v>
      </c>
      <c r="AU203" s="2110">
        <v>439.75</v>
      </c>
      <c r="AV203" s="2110">
        <v>442.03</v>
      </c>
      <c r="AW203" s="2111">
        <v>437.52</v>
      </c>
      <c r="AX203" s="2111">
        <v>475.65</v>
      </c>
      <c r="AY203" s="2111">
        <v>478.4</v>
      </c>
      <c r="AZ203" s="2111">
        <v>478.93</v>
      </c>
      <c r="BA203" s="2111">
        <v>474.83</v>
      </c>
      <c r="BB203" s="2111">
        <v>472.38</v>
      </c>
      <c r="BC203" s="2111">
        <v>469.1</v>
      </c>
      <c r="BD203" s="2112">
        <v>476.76</v>
      </c>
      <c r="BE203" s="2111">
        <v>477.44</v>
      </c>
      <c r="BF203" s="2112">
        <v>501.59</v>
      </c>
      <c r="BG203" s="2112">
        <v>516.05999999999995</v>
      </c>
      <c r="BH203" s="2112">
        <v>528.21</v>
      </c>
      <c r="BI203" s="2108">
        <v>513.54999999999995</v>
      </c>
      <c r="BJ203" s="2108">
        <v>521.98</v>
      </c>
      <c r="BK203" s="2108">
        <v>521.16</v>
      </c>
      <c r="BL203" s="2108">
        <v>521.98</v>
      </c>
      <c r="BM203" s="2108">
        <v>502.08</v>
      </c>
      <c r="BN203" s="2108">
        <v>520.78</v>
      </c>
      <c r="BO203" s="2108">
        <v>538.58000000000004</v>
      </c>
      <c r="BP203" s="2108">
        <v>557.42999999999995</v>
      </c>
      <c r="BQ203" s="2108">
        <v>577.57000000000005</v>
      </c>
      <c r="BR203" s="2108">
        <v>581.66999999999996</v>
      </c>
      <c r="BS203" s="2108">
        <v>576.08000000000004</v>
      </c>
      <c r="BT203" s="2108">
        <v>569.91</v>
      </c>
      <c r="BU203" s="2108">
        <v>570.49</v>
      </c>
      <c r="BV203" s="2108">
        <v>576.08000000000004</v>
      </c>
      <c r="BW203" s="2108">
        <v>577.96</v>
      </c>
      <c r="BX203" s="2108">
        <v>577.96</v>
      </c>
      <c r="BY203" s="2108">
        <v>592.27</v>
      </c>
      <c r="BZ203" s="2108">
        <v>607.08000000000004</v>
      </c>
      <c r="CA203" s="2108">
        <v>603.16999999999996</v>
      </c>
      <c r="CB203" s="2108">
        <v>611.03</v>
      </c>
      <c r="CC203" s="2108">
        <v>627.38</v>
      </c>
      <c r="CD203" s="2108">
        <v>627.38</v>
      </c>
      <c r="CE203" s="2108">
        <v>629.03</v>
      </c>
      <c r="CF203" s="2108">
        <v>644.16</v>
      </c>
      <c r="CG203" s="2108">
        <v>644.16</v>
      </c>
      <c r="CH203" s="2108">
        <v>666.86</v>
      </c>
      <c r="CI203" s="2108">
        <v>685.79</v>
      </c>
      <c r="CJ203" s="2108">
        <v>727.51</v>
      </c>
      <c r="CK203" s="2108">
        <v>749.98</v>
      </c>
      <c r="CL203" s="2108">
        <v>824.54</v>
      </c>
      <c r="CM203" s="2108">
        <v>866.49</v>
      </c>
      <c r="CN203" s="2108">
        <v>900.3</v>
      </c>
      <c r="CO203" s="2108">
        <v>976.49</v>
      </c>
      <c r="CP203" s="2108">
        <v>976.49</v>
      </c>
      <c r="CQ203" s="2108">
        <v>991.64</v>
      </c>
      <c r="CR203" s="2108">
        <v>881.3</v>
      </c>
      <c r="CS203" s="2108">
        <v>753.37</v>
      </c>
      <c r="CT203" s="2108">
        <v>685.84</v>
      </c>
      <c r="CU203" s="2108">
        <v>642.89</v>
      </c>
      <c r="CV203" s="2108">
        <v>615.63</v>
      </c>
      <c r="CW203" s="2108">
        <v>590.41999999999996</v>
      </c>
      <c r="CX203" s="2108">
        <v>599.16</v>
      </c>
      <c r="CY203" s="2108">
        <v>662.2</v>
      </c>
      <c r="CZ203" s="2108">
        <v>746.58</v>
      </c>
      <c r="DA203" s="2108">
        <v>783.12</v>
      </c>
      <c r="DB203" s="2108">
        <v>809.21</v>
      </c>
      <c r="DC203" s="2108">
        <v>804.96</v>
      </c>
      <c r="DD203" s="2108">
        <v>804.96</v>
      </c>
      <c r="DE203" s="2108">
        <v>807.01</v>
      </c>
      <c r="DF203" s="2108">
        <v>855.2</v>
      </c>
      <c r="DG203" s="2108">
        <v>884.76</v>
      </c>
      <c r="DH203" s="2108">
        <v>903.34</v>
      </c>
      <c r="DI203" s="2108">
        <v>943.38</v>
      </c>
      <c r="DJ203" s="2108">
        <v>962.6</v>
      </c>
      <c r="DK203" s="2108">
        <v>969.94</v>
      </c>
      <c r="DL203" s="2108">
        <v>967.47</v>
      </c>
      <c r="DM203" s="2108">
        <v>965.06</v>
      </c>
      <c r="DN203" s="2108">
        <v>940.89</v>
      </c>
      <c r="DO203" s="2108">
        <v>940.89</v>
      </c>
      <c r="DP203" s="2108">
        <v>945.69</v>
      </c>
      <c r="DQ203" s="2108">
        <v>944.47</v>
      </c>
      <c r="DR203" s="2108">
        <v>989.75</v>
      </c>
      <c r="DS203" s="2108">
        <v>1016.41</v>
      </c>
      <c r="DT203" s="2108">
        <v>1053.31</v>
      </c>
      <c r="DU203" s="2108">
        <v>1119.24</v>
      </c>
      <c r="DV203" s="2108">
        <v>1211.68</v>
      </c>
      <c r="DW203" s="2108">
        <v>1234.57</v>
      </c>
      <c r="DX203" s="2108">
        <v>1310.23</v>
      </c>
      <c r="DY203" s="2108">
        <v>1329.16</v>
      </c>
      <c r="DZ203" s="2108">
        <v>1281.94</v>
      </c>
      <c r="EA203" s="2108">
        <v>1202.8800000000001</v>
      </c>
      <c r="EB203" s="2108">
        <v>1287.1300000000001</v>
      </c>
      <c r="EC203" s="2108">
        <v>1133.28</v>
      </c>
      <c r="ED203" s="2108">
        <v>1271.07</v>
      </c>
      <c r="EE203" s="2108">
        <v>1271.07</v>
      </c>
      <c r="EF203" s="2108">
        <v>1310.33</v>
      </c>
      <c r="EG203" s="2108">
        <v>1322.33</v>
      </c>
      <c r="EH203" s="2108">
        <v>1253.23</v>
      </c>
      <c r="EI203" s="2108">
        <v>1188.3399999999999</v>
      </c>
      <c r="EJ203" s="2108">
        <v>1204.08</v>
      </c>
      <c r="EK203" s="2108">
        <v>1071.2</v>
      </c>
      <c r="EL203" s="2108">
        <v>1085.0999999999999</v>
      </c>
      <c r="EM203" s="2108">
        <v>1101.33</v>
      </c>
      <c r="EN203" s="2108">
        <v>1050.51</v>
      </c>
      <c r="EO203" s="2108">
        <v>1072.43</v>
      </c>
      <c r="EP203" s="2108">
        <v>1042.1600000000001</v>
      </c>
      <c r="EQ203" s="2108">
        <v>1084.28</v>
      </c>
      <c r="ER203" s="2108">
        <v>1099.3699999999999</v>
      </c>
      <c r="ES203" s="2108">
        <v>1114.46</v>
      </c>
      <c r="ET203" s="2108">
        <v>1103.17</v>
      </c>
      <c r="EU203" s="2108">
        <v>1073.48</v>
      </c>
      <c r="EV203" s="2108">
        <v>1029.71</v>
      </c>
      <c r="EW203" s="2108">
        <v>971.09</v>
      </c>
      <c r="EX203" s="2108">
        <v>994.01</v>
      </c>
      <c r="EY203" s="2108">
        <v>1048.95</v>
      </c>
      <c r="EZ203" s="2108">
        <v>1073.98</v>
      </c>
      <c r="FA203" s="2108">
        <v>1100.49</v>
      </c>
      <c r="FB203" s="2108">
        <v>1211.1600000000001</v>
      </c>
      <c r="FC203" s="2108">
        <v>1291.44</v>
      </c>
      <c r="FD203" s="2108">
        <v>1340.35</v>
      </c>
      <c r="FE203" s="2108">
        <v>1372.21</v>
      </c>
      <c r="FF203" s="2108">
        <v>1384.22</v>
      </c>
      <c r="FG203" s="2108">
        <v>1341.9</v>
      </c>
      <c r="FH203" s="2108">
        <v>1375.62</v>
      </c>
      <c r="FI203" s="2108">
        <v>1384.39</v>
      </c>
      <c r="FJ203" s="2108">
        <v>1347.69</v>
      </c>
      <c r="FK203" s="2108">
        <v>1301.3800000000001</v>
      </c>
      <c r="FL203" s="2108">
        <v>1355</v>
      </c>
      <c r="FM203" s="2108">
        <v>1183.28</v>
      </c>
      <c r="FN203" s="2108">
        <v>1133.06</v>
      </c>
      <c r="FO203" s="2108">
        <v>1087.6400000000001</v>
      </c>
      <c r="FP203" s="2108">
        <v>1098.8800000000001</v>
      </c>
      <c r="FQ203" s="2108">
        <v>1108.8900000000001</v>
      </c>
      <c r="FR203" s="2108">
        <v>1194.25</v>
      </c>
      <c r="FS203" s="2108">
        <v>1189.18</v>
      </c>
      <c r="FT203" s="2108">
        <v>1202.28</v>
      </c>
      <c r="FU203" s="2108">
        <v>1215.3900000000001</v>
      </c>
      <c r="FV203" s="2108">
        <v>1183.1500000000001</v>
      </c>
      <c r="FW203" s="2113" t="s">
        <v>521</v>
      </c>
      <c r="FX203" s="2113" t="s">
        <v>521</v>
      </c>
      <c r="FY203" s="2113">
        <v>100</v>
      </c>
      <c r="FZ203" s="2113" t="e">
        <v>#VALUE!</v>
      </c>
      <c r="GA203" s="2113" t="e">
        <v>#VALUE!</v>
      </c>
      <c r="GB203" s="2113" t="e">
        <v>#VALUE!</v>
      </c>
      <c r="GC203" s="2113" t="e">
        <v>#VALUE!</v>
      </c>
      <c r="GD203" s="2113" t="e">
        <v>#VALUE!</v>
      </c>
      <c r="GE203" s="2113" t="e">
        <v>#VALUE!</v>
      </c>
      <c r="GF203" s="2114" t="e">
        <v>#VALUE!</v>
      </c>
      <c r="GG203" s="1960" t="e">
        <v>#VALUE!</v>
      </c>
      <c r="GH203" s="2114" t="e">
        <v>#VALUE!</v>
      </c>
      <c r="GI203" s="2114" t="e">
        <v>#VALUE!</v>
      </c>
      <c r="GJ203" s="2113" t="e">
        <v>#VALUE!</v>
      </c>
      <c r="GK203" s="2113" t="e">
        <v>#VALUE!</v>
      </c>
      <c r="GL203" s="2113" t="e">
        <v>#VALUE!</v>
      </c>
      <c r="GM203" s="2114" t="e">
        <v>#VALUE!</v>
      </c>
      <c r="GN203" s="2114" t="e">
        <v>#VALUE!</v>
      </c>
      <c r="GO203" s="2115" t="e">
        <v>#VALUE!</v>
      </c>
      <c r="GP203" s="2116" t="e">
        <v>#VALUE!</v>
      </c>
      <c r="GQ203" s="2116" t="e">
        <v>#VALUE!</v>
      </c>
      <c r="GR203" s="2116" t="e">
        <v>#VALUE!</v>
      </c>
      <c r="GS203" s="2116" t="e">
        <v>#VALUE!</v>
      </c>
      <c r="GT203" s="1960" t="e">
        <v>#VALUE!</v>
      </c>
      <c r="GU203" s="1960" t="e">
        <v>#VALUE!</v>
      </c>
      <c r="GV203" s="1960" t="e">
        <v>#VALUE!</v>
      </c>
      <c r="GW203" s="1960" t="e">
        <v>#VALUE!</v>
      </c>
      <c r="GX203" s="1960" t="e">
        <v>#VALUE!</v>
      </c>
      <c r="GY203" s="1960" t="e">
        <v>#VALUE!</v>
      </c>
      <c r="GZ203" s="1960" t="e">
        <v>#VALUE!</v>
      </c>
      <c r="HA203" s="1960" t="e">
        <v>#VALUE!</v>
      </c>
      <c r="HB203" s="1960" t="e">
        <v>#VALUE!</v>
      </c>
      <c r="HC203" s="1960" t="e">
        <v>#VALUE!</v>
      </c>
      <c r="HD203" s="1960" t="e">
        <v>#VALUE!</v>
      </c>
      <c r="HE203" s="1960" t="e">
        <v>#VALUE!</v>
      </c>
      <c r="HF203" s="1960" t="e">
        <v>#VALUE!</v>
      </c>
      <c r="HG203" s="1960" t="e">
        <v>#VALUE!</v>
      </c>
      <c r="HH203" s="2117" t="e">
        <v>#VALUE!</v>
      </c>
      <c r="HI203" s="1960" t="e">
        <v>#VALUE!</v>
      </c>
      <c r="HJ203" s="1960" t="e">
        <v>#VALUE!</v>
      </c>
      <c r="HK203" s="1960" t="e">
        <v>#VALUE!</v>
      </c>
      <c r="HL203" s="1960" t="e">
        <v>#VALUE!</v>
      </c>
      <c r="HM203" s="1960" t="e">
        <v>#VALUE!</v>
      </c>
      <c r="HN203" s="1960" t="e">
        <v>#VALUE!</v>
      </c>
      <c r="HO203" s="1960" t="e">
        <v>#VALUE!</v>
      </c>
      <c r="HP203" s="1960" t="e">
        <v>#VALUE!</v>
      </c>
      <c r="HQ203" s="1960" t="e">
        <v>#VALUE!</v>
      </c>
      <c r="HR203" s="1960" t="e">
        <v>#VALUE!</v>
      </c>
      <c r="HS203" s="1960" t="e">
        <v>#VALUE!</v>
      </c>
      <c r="HT203" s="1962" t="e">
        <v>#VALUE!</v>
      </c>
      <c r="HU203" s="1961" t="e">
        <v>#VALUE!</v>
      </c>
      <c r="HV203" s="1960" t="e">
        <v>#VALUE!</v>
      </c>
      <c r="HW203" s="1960" t="e">
        <v>#VALUE!</v>
      </c>
      <c r="HX203" s="1960" t="e">
        <v>#VALUE!</v>
      </c>
      <c r="HY203" s="1960" t="e">
        <v>#VALUE!</v>
      </c>
      <c r="HZ203" s="1960" t="e">
        <v>#VALUE!</v>
      </c>
      <c r="IA203" s="1960" t="e">
        <v>#VALUE!</v>
      </c>
      <c r="IB203" s="1960" t="e">
        <v>#VALUE!</v>
      </c>
      <c r="IC203" s="1960" t="e">
        <v>#VALUE!</v>
      </c>
      <c r="ID203" s="1960" t="e">
        <v>#VALUE!</v>
      </c>
      <c r="IE203" s="1960" t="e">
        <v>#VALUE!</v>
      </c>
      <c r="IF203" s="1960" t="e">
        <v>#VALUE!</v>
      </c>
      <c r="IG203" s="1961" t="e">
        <v>#VALUE!</v>
      </c>
      <c r="IH203" s="1960" t="e">
        <v>#VALUE!</v>
      </c>
      <c r="II203" s="1960" t="e">
        <v>#VALUE!</v>
      </c>
      <c r="IJ203" s="1961" t="e">
        <v>#VALUE!</v>
      </c>
      <c r="IK203" s="1960" t="e">
        <v>#VALUE!</v>
      </c>
      <c r="IL203" s="1960" t="e">
        <v>#VALUE!</v>
      </c>
      <c r="IM203" s="1960" t="e">
        <v>#VALUE!</v>
      </c>
      <c r="IN203" s="1960" t="e">
        <v>#VALUE!</v>
      </c>
      <c r="IO203" s="1960" t="e">
        <v>#VALUE!</v>
      </c>
      <c r="IP203" s="1960" t="e">
        <v>#VALUE!</v>
      </c>
      <c r="IQ203" s="1960" t="e">
        <v>#VALUE!</v>
      </c>
      <c r="IR203" s="1960" t="e">
        <v>#VALUE!</v>
      </c>
      <c r="IS203" s="2274" t="e">
        <v>#VALUE!</v>
      </c>
      <c r="IT203" s="1960" t="e">
        <v>#VALUE!</v>
      </c>
      <c r="IU203" s="1960" t="e">
        <v>#VALUE!</v>
      </c>
      <c r="IV203" s="1960" t="e">
        <v>#VALUE!</v>
      </c>
      <c r="IW203" s="1960" t="e">
        <v>#VALUE!</v>
      </c>
      <c r="IX203" s="1960" t="e">
        <v>#VALUE!</v>
      </c>
      <c r="IY203" s="1960" t="e">
        <v>#VALUE!</v>
      </c>
      <c r="IZ203" s="1960" t="e">
        <v>#VALUE!</v>
      </c>
      <c r="JA203" s="1960" t="e">
        <v>#VALUE!</v>
      </c>
      <c r="JB203" s="1960" t="e">
        <v>#VALUE!</v>
      </c>
      <c r="JC203" s="1960" t="e">
        <v>#VALUE!</v>
      </c>
      <c r="JD203" s="1960" t="e">
        <v>#VALUE!</v>
      </c>
      <c r="JE203" s="2274">
        <v>0</v>
      </c>
      <c r="JF203" s="2117">
        <v>0</v>
      </c>
      <c r="JG203" s="2103" t="e">
        <f t="shared" si="19"/>
        <v>#DIV/0!</v>
      </c>
      <c r="JI203" s="2155"/>
      <c r="JJ203" s="2104"/>
    </row>
    <row r="204" spans="2:271" ht="31.5">
      <c r="B204" s="2105">
        <v>604</v>
      </c>
      <c r="C204" s="2106">
        <v>2413</v>
      </c>
      <c r="D204" s="2425" t="s">
        <v>1251</v>
      </c>
      <c r="E204" s="2128" t="s">
        <v>369</v>
      </c>
      <c r="F204" s="2106" t="s">
        <v>378</v>
      </c>
      <c r="G204" s="2425" t="s">
        <v>1112</v>
      </c>
      <c r="H204" s="2106" t="s">
        <v>223</v>
      </c>
      <c r="I204" s="2106" t="s">
        <v>930</v>
      </c>
      <c r="J204" s="2359" t="s">
        <v>456</v>
      </c>
      <c r="K204" s="2425" t="s">
        <v>1153</v>
      </c>
      <c r="L204" s="2110">
        <v>111.19</v>
      </c>
      <c r="M204" s="2110">
        <v>117.03</v>
      </c>
      <c r="N204" s="2110">
        <v>134.69</v>
      </c>
      <c r="O204" s="2110">
        <v>152.66</v>
      </c>
      <c r="P204" s="2110">
        <v>185.74</v>
      </c>
      <c r="Q204" s="2110">
        <v>220.98</v>
      </c>
      <c r="R204" s="2110">
        <v>263.19</v>
      </c>
      <c r="S204" s="2110">
        <v>273.33999999999997</v>
      </c>
      <c r="T204" s="2110">
        <v>276.61</v>
      </c>
      <c r="U204" s="2110">
        <v>275.74</v>
      </c>
      <c r="V204" s="2110">
        <v>280.04000000000002</v>
      </c>
      <c r="W204" s="2110">
        <v>273.52</v>
      </c>
      <c r="X204" s="2110">
        <v>267.27</v>
      </c>
      <c r="Y204" s="2110">
        <v>267.66000000000003</v>
      </c>
      <c r="Z204" s="2110">
        <v>277.05</v>
      </c>
      <c r="AA204" s="2110">
        <v>300.04000000000002</v>
      </c>
      <c r="AB204" s="2110">
        <v>288.48</v>
      </c>
      <c r="AC204" s="2110">
        <v>276.82</v>
      </c>
      <c r="AD204" s="2110">
        <v>256.58</v>
      </c>
      <c r="AE204" s="2110">
        <v>248.6</v>
      </c>
      <c r="AF204" s="2110">
        <v>251.59</v>
      </c>
      <c r="AG204" s="2110">
        <v>259.31</v>
      </c>
      <c r="AH204" s="2110">
        <v>249.72</v>
      </c>
      <c r="AI204" s="2110">
        <v>254.92</v>
      </c>
      <c r="AJ204" s="2110">
        <v>260.51</v>
      </c>
      <c r="AK204" s="2110">
        <v>264.60000000000002</v>
      </c>
      <c r="AL204" s="2110">
        <v>273.25</v>
      </c>
      <c r="AM204" s="2110">
        <v>275.37</v>
      </c>
      <c r="AN204" s="2110">
        <v>275.08</v>
      </c>
      <c r="AO204" s="2110">
        <v>279.11</v>
      </c>
      <c r="AP204" s="2110">
        <v>288.83999999999997</v>
      </c>
      <c r="AQ204" s="2110">
        <v>293.86</v>
      </c>
      <c r="AR204" s="2110">
        <v>309.55</v>
      </c>
      <c r="AS204" s="2110">
        <v>318.86</v>
      </c>
      <c r="AT204" s="2110">
        <v>327.58</v>
      </c>
      <c r="AU204" s="2110">
        <v>337.62</v>
      </c>
      <c r="AV204" s="2110">
        <v>341.8</v>
      </c>
      <c r="AW204" s="2111">
        <v>345.82</v>
      </c>
      <c r="AX204" s="2111">
        <v>345.77</v>
      </c>
      <c r="AY204" s="2111">
        <v>342.32</v>
      </c>
      <c r="AZ204" s="2111">
        <v>340.79</v>
      </c>
      <c r="BA204" s="2111">
        <v>337.66</v>
      </c>
      <c r="BB204" s="2112">
        <v>330.63</v>
      </c>
      <c r="BC204" s="2112">
        <v>324.07</v>
      </c>
      <c r="BD204" s="2112">
        <v>321.82</v>
      </c>
      <c r="BE204" s="2111">
        <v>322.52999999999997</v>
      </c>
      <c r="BF204" s="2112">
        <v>350.15</v>
      </c>
      <c r="BG204" s="2112">
        <v>354.67</v>
      </c>
      <c r="BH204" s="2112">
        <v>355.34</v>
      </c>
      <c r="BI204" s="2108">
        <v>360.61</v>
      </c>
      <c r="BJ204" s="2108">
        <v>497.14</v>
      </c>
      <c r="BK204" s="2108">
        <v>362.88</v>
      </c>
      <c r="BL204" s="2108">
        <v>360.96</v>
      </c>
      <c r="BM204" s="2108">
        <v>356.67</v>
      </c>
      <c r="BN204" s="2108">
        <v>360.83</v>
      </c>
      <c r="BO204" s="2108">
        <v>368.11</v>
      </c>
      <c r="BP204" s="2108">
        <v>375.21</v>
      </c>
      <c r="BQ204" s="2108">
        <v>379.31</v>
      </c>
      <c r="BR204" s="2108">
        <v>382.52</v>
      </c>
      <c r="BS204" s="2108">
        <v>384.57</v>
      </c>
      <c r="BT204" s="2108">
        <v>382.47</v>
      </c>
      <c r="BU204" s="2108">
        <v>381.98</v>
      </c>
      <c r="BV204" s="2108">
        <v>380.77</v>
      </c>
      <c r="BW204" s="2108">
        <v>382.14</v>
      </c>
      <c r="BX204" s="2108">
        <v>385.24</v>
      </c>
      <c r="BY204" s="2108">
        <v>389.32</v>
      </c>
      <c r="BZ204" s="2108">
        <v>396.91</v>
      </c>
      <c r="CA204" s="2108">
        <v>415.91</v>
      </c>
      <c r="CB204" s="2108">
        <v>419.96</v>
      </c>
      <c r="CC204" s="2108">
        <v>431.85</v>
      </c>
      <c r="CD204" s="2108">
        <v>443.29</v>
      </c>
      <c r="CE204" s="2108">
        <v>446.69</v>
      </c>
      <c r="CF204" s="2108">
        <v>448.86</v>
      </c>
      <c r="CG204" s="2108">
        <v>457.62</v>
      </c>
      <c r="CH204" s="2108">
        <v>466.05</v>
      </c>
      <c r="CI204" s="2108">
        <v>473.73</v>
      </c>
      <c r="CJ204" s="2108">
        <v>491.39</v>
      </c>
      <c r="CK204" s="2108">
        <v>497.93</v>
      </c>
      <c r="CL204" s="2108">
        <v>504.57</v>
      </c>
      <c r="CM204" s="2108">
        <v>520.22</v>
      </c>
      <c r="CN204" s="2108">
        <v>530.17999999999995</v>
      </c>
      <c r="CO204" s="2108">
        <v>543.37</v>
      </c>
      <c r="CP204" s="2108">
        <v>549.05999999999995</v>
      </c>
      <c r="CQ204" s="2108">
        <v>555.21</v>
      </c>
      <c r="CR204" s="2108">
        <v>538.4</v>
      </c>
      <c r="CS204" s="2108">
        <v>502.41</v>
      </c>
      <c r="CT204" s="2108">
        <v>464.97</v>
      </c>
      <c r="CU204" s="2108">
        <v>459.33</v>
      </c>
      <c r="CV204" s="2108">
        <v>444.2</v>
      </c>
      <c r="CW204" s="2108">
        <v>453.09</v>
      </c>
      <c r="CX204" s="2108">
        <v>455.09</v>
      </c>
      <c r="CY204" s="2108">
        <v>462.85</v>
      </c>
      <c r="CZ204" s="2108">
        <v>462.85</v>
      </c>
      <c r="DA204" s="2108">
        <v>486.44</v>
      </c>
      <c r="DB204" s="2108">
        <v>503.3</v>
      </c>
      <c r="DC204" s="2108">
        <v>516.64</v>
      </c>
      <c r="DD204" s="2108">
        <v>527.83000000000004</v>
      </c>
      <c r="DE204" s="2108">
        <v>528.99</v>
      </c>
      <c r="DF204" s="2108">
        <v>540.12</v>
      </c>
      <c r="DG204" s="2108">
        <v>554.86</v>
      </c>
      <c r="DH204" s="2108">
        <v>560.12</v>
      </c>
      <c r="DI204" s="2108">
        <v>570.98</v>
      </c>
      <c r="DJ204" s="2108">
        <v>573.22</v>
      </c>
      <c r="DK204" s="2108">
        <v>563.44000000000005</v>
      </c>
      <c r="DL204" s="2108">
        <v>564.25</v>
      </c>
      <c r="DM204" s="2108">
        <v>565.79999999999995</v>
      </c>
      <c r="DN204" s="2108">
        <v>578.53</v>
      </c>
      <c r="DO204" s="2108">
        <v>603.19000000000005</v>
      </c>
      <c r="DP204" s="2108">
        <v>617.39</v>
      </c>
      <c r="DQ204" s="2108">
        <v>621.38</v>
      </c>
      <c r="DR204" s="2108">
        <v>627.86</v>
      </c>
      <c r="DS204" s="2108">
        <v>637.28</v>
      </c>
      <c r="DT204" s="2108">
        <v>640.07000000000005</v>
      </c>
      <c r="DU204" s="2108">
        <v>653.61</v>
      </c>
      <c r="DV204" s="2108">
        <v>662.87</v>
      </c>
      <c r="DW204" s="2108">
        <v>665.04</v>
      </c>
      <c r="DX204" s="2108">
        <v>668.53</v>
      </c>
      <c r="DY204" s="2108">
        <v>680.96</v>
      </c>
      <c r="DZ204" s="2108">
        <v>677.42</v>
      </c>
      <c r="EA204" s="2108">
        <v>676.92</v>
      </c>
      <c r="EB204" s="2108">
        <v>675.51</v>
      </c>
      <c r="EC204" s="2108">
        <v>665.8</v>
      </c>
      <c r="ED204" s="2108">
        <v>677.79</v>
      </c>
      <c r="EE204" s="2108">
        <v>686.4</v>
      </c>
      <c r="EF204" s="2108">
        <v>700.99</v>
      </c>
      <c r="EG204" s="2108">
        <v>701.67</v>
      </c>
      <c r="EH204" s="2108">
        <v>707.87</v>
      </c>
      <c r="EI204" s="2108">
        <v>722.09</v>
      </c>
      <c r="EJ204" s="2108">
        <v>726.52</v>
      </c>
      <c r="EK204" s="2108">
        <v>725.85</v>
      </c>
      <c r="EL204" s="2108">
        <v>723.96</v>
      </c>
      <c r="EM204" s="2108">
        <v>727.73</v>
      </c>
      <c r="EN204" s="2108">
        <v>737.53</v>
      </c>
      <c r="EO204" s="2108">
        <v>741.05</v>
      </c>
      <c r="EP204" s="2108">
        <v>744.64</v>
      </c>
      <c r="EQ204" s="2108">
        <v>754.79</v>
      </c>
      <c r="ER204" s="2108">
        <v>792.11</v>
      </c>
      <c r="ES204" s="2108">
        <v>806.94</v>
      </c>
      <c r="ET204" s="2108">
        <v>818.39</v>
      </c>
      <c r="EU204" s="2108">
        <v>822.37</v>
      </c>
      <c r="EV204" s="2108">
        <v>833.21</v>
      </c>
      <c r="EW204" s="2108">
        <v>840.88</v>
      </c>
      <c r="EX204" s="2108">
        <v>860.24</v>
      </c>
      <c r="EY204" s="2108">
        <v>878.81</v>
      </c>
      <c r="EZ204" s="2108">
        <v>895.75</v>
      </c>
      <c r="FA204" s="2108">
        <v>937.8</v>
      </c>
      <c r="FB204" s="2108">
        <v>1008.93</v>
      </c>
      <c r="FC204" s="2108">
        <v>1088.0999999999999</v>
      </c>
      <c r="FD204" s="2108">
        <v>1111.81</v>
      </c>
      <c r="FE204" s="2108">
        <v>1130.68</v>
      </c>
      <c r="FF204" s="2108">
        <v>1155</v>
      </c>
      <c r="FG204" s="2108">
        <v>1165.0999999999999</v>
      </c>
      <c r="FH204" s="2108">
        <v>1177.3</v>
      </c>
      <c r="FI204" s="2108">
        <v>1188.01</v>
      </c>
      <c r="FJ204" s="2108">
        <v>1221.55</v>
      </c>
      <c r="FK204" s="2108">
        <v>1217.42</v>
      </c>
      <c r="FL204" s="2108">
        <v>1223.47</v>
      </c>
      <c r="FM204" s="2108">
        <v>1176.27</v>
      </c>
      <c r="FN204" s="2108">
        <v>1170.3800000000001</v>
      </c>
      <c r="FO204" s="2108">
        <v>1154.53</v>
      </c>
      <c r="FP204" s="2108">
        <v>1151.6300000000001</v>
      </c>
      <c r="FQ204" s="2108">
        <v>1154.8699999999999</v>
      </c>
      <c r="FR204" s="2108">
        <v>1169.33</v>
      </c>
      <c r="FS204" s="2108">
        <v>1176.23</v>
      </c>
      <c r="FT204" s="2108">
        <v>1181</v>
      </c>
      <c r="FU204" s="2108">
        <v>1210.7</v>
      </c>
      <c r="FV204" s="2108">
        <v>1214.07</v>
      </c>
      <c r="FW204" s="2113">
        <v>1471.3707185115672</v>
      </c>
      <c r="FX204" s="2113">
        <v>1570.2306136346826</v>
      </c>
      <c r="FY204" s="2113">
        <v>100</v>
      </c>
      <c r="FZ204" s="2113">
        <v>101.84884071350098</v>
      </c>
      <c r="GA204" s="2113">
        <v>101.31087061367337</v>
      </c>
      <c r="GB204" s="2113">
        <v>102.39514927502279</v>
      </c>
      <c r="GC204" s="2113">
        <v>103.78497601343446</v>
      </c>
      <c r="GD204" s="2113">
        <v>107.28803419584325</v>
      </c>
      <c r="GE204" s="2113">
        <v>107.28803419584325</v>
      </c>
      <c r="GF204" s="2114">
        <v>104.02185041698739</v>
      </c>
      <c r="GG204" s="1960">
        <v>105.16172970993811</v>
      </c>
      <c r="GH204" s="2114">
        <v>105.30074424259401</v>
      </c>
      <c r="GI204" s="2114">
        <v>105.46755875940536</v>
      </c>
      <c r="GJ204" s="2113">
        <v>104.52229192398198</v>
      </c>
      <c r="GK204" s="2113">
        <v>106.2182138971486</v>
      </c>
      <c r="GL204" s="2113">
        <v>114.04393331097339</v>
      </c>
      <c r="GM204" s="2114">
        <v>116.54611077902108</v>
      </c>
      <c r="GN204" s="2114">
        <v>116.54611077902108</v>
      </c>
      <c r="GO204" s="2115">
        <v>118.15807619176002</v>
      </c>
      <c r="GP204" s="2116">
        <v>118.15807619176002</v>
      </c>
      <c r="GQ204" s="2116">
        <v>119.35355825512777</v>
      </c>
      <c r="GR204" s="2116">
        <v>121.38033016053623</v>
      </c>
      <c r="GS204" s="2116">
        <v>122.68757738773095</v>
      </c>
      <c r="GT204" s="1960">
        <v>122.68757738773095</v>
      </c>
      <c r="GU204" s="1960">
        <v>125.24535776934532</v>
      </c>
      <c r="GV204" s="1960">
        <v>125.24535776934532</v>
      </c>
      <c r="GW204" s="1960">
        <v>128.88019597368896</v>
      </c>
      <c r="GX204" s="1960">
        <v>133.84452008121889</v>
      </c>
      <c r="GY204" s="1960">
        <v>133.84452008121889</v>
      </c>
      <c r="GZ204" s="1960">
        <v>144.10964113526418</v>
      </c>
      <c r="HA204" s="1960">
        <v>152.04354909529536</v>
      </c>
      <c r="HB204" s="1960">
        <v>163.95651574997962</v>
      </c>
      <c r="HC204" s="1960">
        <v>167.04171606106036</v>
      </c>
      <c r="HD204" s="1960">
        <v>177.6353499292656</v>
      </c>
      <c r="HE204" s="1960">
        <v>208.65503628110326</v>
      </c>
      <c r="HF204" s="1960">
        <v>223.49744450838207</v>
      </c>
      <c r="HG204" s="1960">
        <v>232.51505998564716</v>
      </c>
      <c r="HH204" s="2117">
        <v>230.75631134520708</v>
      </c>
      <c r="HI204" s="1960">
        <v>243.73580918499431</v>
      </c>
      <c r="HJ204" s="1960">
        <v>231.87691318163311</v>
      </c>
      <c r="HK204" s="1960">
        <v>246.86330923357292</v>
      </c>
      <c r="HL204" s="1960">
        <v>252.78122233865349</v>
      </c>
      <c r="HM204" s="1960">
        <v>259.79400336769885</v>
      </c>
      <c r="HN204" s="1960">
        <v>263.63708572339078</v>
      </c>
      <c r="HO204" s="1960">
        <v>267.51621450515188</v>
      </c>
      <c r="HP204" s="1960">
        <v>298.94176170893377</v>
      </c>
      <c r="HQ204" s="1960">
        <v>331.45698387276303</v>
      </c>
      <c r="HR204" s="1960">
        <v>341.91325952052648</v>
      </c>
      <c r="HS204" s="1960">
        <v>371.37095262119186</v>
      </c>
      <c r="HT204" s="1962">
        <v>376.98033704226413</v>
      </c>
      <c r="HU204" s="1961">
        <v>376.98033704226413</v>
      </c>
      <c r="HV204" s="1960">
        <v>384.54868258262672</v>
      </c>
      <c r="HW204" s="1960">
        <v>384.54868258262672</v>
      </c>
      <c r="HX204" s="1960">
        <v>433.29854834207322</v>
      </c>
      <c r="HY204" s="1960">
        <v>453.58784592063074</v>
      </c>
      <c r="HZ204" s="1960">
        <v>459.02182574953503</v>
      </c>
      <c r="IA204" s="1960">
        <v>484.8364848276039</v>
      </c>
      <c r="IB204" s="1960">
        <v>489.29851353718283</v>
      </c>
      <c r="IC204" s="1960">
        <v>513.36299552184346</v>
      </c>
      <c r="ID204" s="1960">
        <v>552.99802081370956</v>
      </c>
      <c r="IE204" s="1960">
        <v>564.59980792982117</v>
      </c>
      <c r="IF204" s="1960">
        <v>579.66822090603409</v>
      </c>
      <c r="IG204" s="1961">
        <v>625.19468614606217</v>
      </c>
      <c r="IH204" s="1960">
        <v>629.23477223678515</v>
      </c>
      <c r="II204" s="1960">
        <v>675.37049178708799</v>
      </c>
      <c r="IJ204" s="1961">
        <v>689.10812464664741</v>
      </c>
      <c r="IK204" s="1960">
        <v>745.55970356635919</v>
      </c>
      <c r="IL204" s="1960">
        <v>768.69022620182386</v>
      </c>
      <c r="IM204" s="1960">
        <v>790.60335895472724</v>
      </c>
      <c r="IN204" s="1960">
        <v>809.947401366083</v>
      </c>
      <c r="IO204" s="1960">
        <v>818.07036385438346</v>
      </c>
      <c r="IP204" s="1960">
        <v>838.48807037876054</v>
      </c>
      <c r="IQ204" s="1960">
        <v>881.54359430463956</v>
      </c>
      <c r="IR204" s="1960">
        <v>895.2929592071813</v>
      </c>
      <c r="IS204" s="2274">
        <v>976.86911807670401</v>
      </c>
      <c r="IT204" s="1960">
        <v>1019.8929266893001</v>
      </c>
      <c r="IU204" s="1960">
        <v>1090.5071227279232</v>
      </c>
      <c r="IV204" s="1960">
        <v>1160.4407422310642</v>
      </c>
      <c r="IW204" s="1960">
        <v>1170.0817495072756</v>
      </c>
      <c r="IX204" s="1960">
        <v>1222.1854252182263</v>
      </c>
      <c r="IY204" s="1960">
        <v>1413.6570632909386</v>
      </c>
      <c r="IZ204" s="1960">
        <v>1528.4031245373681</v>
      </c>
      <c r="JA204" s="1960">
        <v>1629.705633170392</v>
      </c>
      <c r="JB204" s="1960">
        <v>1711.5171402324115</v>
      </c>
      <c r="JC204" s="1960">
        <v>1814.4239186973684</v>
      </c>
      <c r="JD204" s="1960">
        <v>2044.969599449671</v>
      </c>
      <c r="JE204" s="2274">
        <v>2268.3567360326192</v>
      </c>
      <c r="JF204" s="2117">
        <v>2346.2012890809738</v>
      </c>
      <c r="JG204" s="2103">
        <f t="shared" si="19"/>
        <v>1.0343175973213568</v>
      </c>
      <c r="JI204" s="2155"/>
      <c r="JJ204" s="2104"/>
    </row>
    <row r="205" spans="2:271" ht="22.9" customHeight="1">
      <c r="B205" s="2105">
        <v>605</v>
      </c>
      <c r="C205" s="2106"/>
      <c r="D205" s="2425" t="s">
        <v>1049</v>
      </c>
      <c r="E205" s="2128" t="s">
        <v>396</v>
      </c>
      <c r="F205" s="2106" t="s">
        <v>378</v>
      </c>
      <c r="G205" s="2106" t="s">
        <v>1006</v>
      </c>
      <c r="H205" s="2106" t="s">
        <v>1006</v>
      </c>
      <c r="I205" s="2106"/>
      <c r="J205" s="2359" t="s">
        <v>1050</v>
      </c>
      <c r="K205" s="2425" t="s">
        <v>1039</v>
      </c>
      <c r="L205" s="2409">
        <v>61.47</v>
      </c>
      <c r="M205" s="2409">
        <v>61.47</v>
      </c>
      <c r="N205" s="2409">
        <v>71.31</v>
      </c>
      <c r="O205" s="2409">
        <v>99.89</v>
      </c>
      <c r="P205" s="2409">
        <v>166.54</v>
      </c>
      <c r="Q205" s="2409">
        <v>179.11</v>
      </c>
      <c r="R205" s="2409">
        <v>191.97</v>
      </c>
      <c r="S205" s="2409">
        <v>195.93</v>
      </c>
      <c r="T205" s="2409">
        <v>195.12</v>
      </c>
      <c r="U205" s="2409">
        <v>194.69</v>
      </c>
      <c r="V205" s="2409">
        <v>194.5</v>
      </c>
      <c r="W205" s="2409">
        <v>196.08</v>
      </c>
      <c r="X205" s="2409">
        <v>193.91</v>
      </c>
      <c r="Y205" s="2409">
        <v>193.77</v>
      </c>
      <c r="Z205" s="2409">
        <v>192.25</v>
      </c>
      <c r="AA205" s="2409">
        <v>190.77</v>
      </c>
      <c r="AB205" s="2409">
        <v>190.34</v>
      </c>
      <c r="AC205" s="2409">
        <v>190.34</v>
      </c>
      <c r="AD205" s="2409">
        <v>191.41</v>
      </c>
      <c r="AE205" s="2409">
        <v>189.27</v>
      </c>
      <c r="AF205" s="2409">
        <v>188.72</v>
      </c>
      <c r="AG205" s="2409">
        <v>187.95</v>
      </c>
      <c r="AH205" s="2409">
        <v>187.68</v>
      </c>
      <c r="AI205" s="2409">
        <v>184.06</v>
      </c>
      <c r="AJ205" s="2409">
        <v>185.88</v>
      </c>
      <c r="AK205" s="2409">
        <v>183.9</v>
      </c>
      <c r="AL205" s="2409">
        <v>182.3</v>
      </c>
      <c r="AM205" s="2409">
        <v>187.17</v>
      </c>
      <c r="AN205" s="2409">
        <v>183.01</v>
      </c>
      <c r="AO205" s="2409">
        <v>182.18</v>
      </c>
      <c r="AP205" s="2409">
        <v>183.67</v>
      </c>
      <c r="AQ205" s="2409">
        <v>187.82</v>
      </c>
      <c r="AR205" s="2409">
        <v>192.65</v>
      </c>
      <c r="AS205" s="2409">
        <v>185.16</v>
      </c>
      <c r="AT205" s="2409">
        <v>194.29</v>
      </c>
      <c r="AU205" s="2409">
        <v>203.59</v>
      </c>
      <c r="AV205" s="2409">
        <v>212.25</v>
      </c>
      <c r="AW205" s="2410">
        <v>218.46</v>
      </c>
      <c r="AX205" s="2410">
        <v>224.65</v>
      </c>
      <c r="AY205" s="2410">
        <v>225.84</v>
      </c>
      <c r="AZ205" s="2410">
        <v>226.2</v>
      </c>
      <c r="BA205" s="2410">
        <v>226.2</v>
      </c>
      <c r="BB205" s="2410">
        <v>228.6</v>
      </c>
      <c r="BC205" s="2410">
        <v>227.23</v>
      </c>
      <c r="BD205" s="2411">
        <v>229.37</v>
      </c>
      <c r="BE205" s="2410">
        <v>229.68</v>
      </c>
      <c r="BF205" s="2411">
        <v>228.96</v>
      </c>
      <c r="BG205" s="2411">
        <v>231.28</v>
      </c>
      <c r="BH205" s="2411">
        <v>232.8</v>
      </c>
      <c r="BI205" s="2412">
        <v>233.63</v>
      </c>
      <c r="BJ205" s="2412">
        <v>233.48</v>
      </c>
      <c r="BK205" s="2412">
        <v>235.43</v>
      </c>
      <c r="BL205" s="2412">
        <v>235.43</v>
      </c>
      <c r="BM205" s="2412">
        <v>232.02</v>
      </c>
      <c r="BN205" s="2412">
        <v>233.41</v>
      </c>
      <c r="BO205" s="2412">
        <v>234.35</v>
      </c>
      <c r="BP205" s="2412">
        <v>235.46</v>
      </c>
      <c r="BQ205" s="2412">
        <v>234.34</v>
      </c>
      <c r="BR205" s="2412">
        <v>234.49</v>
      </c>
      <c r="BS205" s="2412">
        <v>233.57</v>
      </c>
      <c r="BT205" s="2412">
        <v>231.83</v>
      </c>
      <c r="BU205" s="2412">
        <v>233.12</v>
      </c>
      <c r="BV205" s="2412">
        <v>230.3</v>
      </c>
      <c r="BW205" s="2412">
        <v>234.18</v>
      </c>
      <c r="BX205" s="2412">
        <v>234.59</v>
      </c>
      <c r="BY205" s="2412">
        <v>232</v>
      </c>
      <c r="BZ205" s="2412">
        <v>233.64</v>
      </c>
      <c r="CA205" s="2412">
        <v>258.89</v>
      </c>
      <c r="CB205" s="2412">
        <v>259.44</v>
      </c>
      <c r="CC205" s="2412">
        <v>258.29000000000002</v>
      </c>
      <c r="CD205" s="2412">
        <v>261.14</v>
      </c>
      <c r="CE205" s="2412">
        <v>265.06</v>
      </c>
      <c r="CF205" s="2412">
        <v>265.06</v>
      </c>
      <c r="CG205" s="2412">
        <v>291.64999999999998</v>
      </c>
      <c r="CH205" s="2412">
        <v>312.45999999999998</v>
      </c>
      <c r="CI205" s="2412">
        <v>328.87</v>
      </c>
      <c r="CJ205" s="2412">
        <v>367.87</v>
      </c>
      <c r="CK205" s="2412">
        <v>372.8</v>
      </c>
      <c r="CL205" s="2412">
        <v>371.85</v>
      </c>
      <c r="CM205" s="2412">
        <v>375.16</v>
      </c>
      <c r="CN205" s="2412">
        <v>379.27</v>
      </c>
      <c r="CO205" s="2412">
        <v>384.88</v>
      </c>
      <c r="CP205" s="2412">
        <v>390.72</v>
      </c>
      <c r="CQ205" s="2412">
        <v>405.48</v>
      </c>
      <c r="CR205" s="2412">
        <v>402.84</v>
      </c>
      <c r="CS205" s="2412">
        <v>407.25</v>
      </c>
      <c r="CT205" s="2412">
        <v>392.16</v>
      </c>
      <c r="CU205" s="2412">
        <v>386</v>
      </c>
      <c r="CV205" s="2412">
        <v>382.27</v>
      </c>
      <c r="CW205" s="2412">
        <v>378.88</v>
      </c>
      <c r="CX205" s="2412">
        <v>379.46</v>
      </c>
      <c r="CY205" s="2412">
        <v>384.16</v>
      </c>
      <c r="CZ205" s="2412">
        <v>369.34</v>
      </c>
      <c r="DA205" s="2412">
        <v>382.89</v>
      </c>
      <c r="DB205" s="2412">
        <v>426.64</v>
      </c>
      <c r="DC205" s="2412">
        <v>431.45</v>
      </c>
      <c r="DD205" s="2412">
        <v>426.57</v>
      </c>
      <c r="DE205" s="2412">
        <v>419.52</v>
      </c>
      <c r="DF205" s="2412">
        <v>429.03</v>
      </c>
      <c r="DG205" s="2412">
        <v>430.6</v>
      </c>
      <c r="DH205" s="2412">
        <v>433.8</v>
      </c>
      <c r="DI205" s="2412">
        <v>435.99</v>
      </c>
      <c r="DJ205" s="2412">
        <v>438.61</v>
      </c>
      <c r="DK205" s="2412">
        <v>440</v>
      </c>
      <c r="DL205" s="2412">
        <v>444.06</v>
      </c>
      <c r="DM205" s="2412">
        <v>459.11</v>
      </c>
      <c r="DN205" s="2412">
        <v>466.08</v>
      </c>
      <c r="DO205" s="2412">
        <v>481.25</v>
      </c>
      <c r="DP205" s="2412">
        <v>493.97</v>
      </c>
      <c r="DQ205" s="2412">
        <v>513.09</v>
      </c>
      <c r="DR205" s="2412">
        <v>515.48</v>
      </c>
      <c r="DS205" s="2412">
        <v>525.36</v>
      </c>
      <c r="DT205" s="2412">
        <v>523.84</v>
      </c>
      <c r="DU205" s="2412">
        <v>543.54</v>
      </c>
      <c r="DV205" s="2412">
        <v>556.41</v>
      </c>
      <c r="DW205" s="2412">
        <v>563.42999999999995</v>
      </c>
      <c r="DX205" s="2412">
        <v>574.69000000000005</v>
      </c>
      <c r="DY205" s="2412">
        <v>571.63</v>
      </c>
      <c r="DZ205" s="2412">
        <v>565.02</v>
      </c>
      <c r="EA205" s="2412">
        <v>578.1</v>
      </c>
      <c r="EB205" s="2412">
        <v>587.52</v>
      </c>
      <c r="EC205" s="2412">
        <v>600.79999999999995</v>
      </c>
      <c r="ED205" s="2412">
        <v>601.70000000000005</v>
      </c>
      <c r="EE205" s="2412">
        <v>604.22</v>
      </c>
      <c r="EF205" s="2412">
        <v>618.94000000000005</v>
      </c>
      <c r="EG205" s="2412">
        <v>618.77</v>
      </c>
      <c r="EH205" s="2412">
        <v>629.63</v>
      </c>
      <c r="EI205" s="2412">
        <v>639.79</v>
      </c>
      <c r="EJ205" s="2412">
        <v>640.23</v>
      </c>
      <c r="EK205" s="2412">
        <v>642.51</v>
      </c>
      <c r="EL205" s="2412">
        <v>639.82000000000005</v>
      </c>
      <c r="EM205" s="2412">
        <v>644.45000000000005</v>
      </c>
      <c r="EN205" s="2412">
        <v>653.17999999999995</v>
      </c>
      <c r="EO205" s="2412">
        <v>658.84</v>
      </c>
      <c r="EP205" s="2412">
        <v>669.27</v>
      </c>
      <c r="EQ205" s="2412">
        <v>664.3</v>
      </c>
      <c r="ER205" s="2412">
        <v>673.08</v>
      </c>
      <c r="ES205" s="2412">
        <v>692.77</v>
      </c>
      <c r="ET205" s="2412">
        <v>708.72</v>
      </c>
      <c r="EU205" s="2412">
        <v>716.06</v>
      </c>
      <c r="EV205" s="2412">
        <v>726.99</v>
      </c>
      <c r="EW205" s="2412">
        <v>736.66</v>
      </c>
      <c r="EX205" s="2412">
        <v>752.49</v>
      </c>
      <c r="EY205" s="2412">
        <v>766.15</v>
      </c>
      <c r="EZ205" s="2412">
        <v>785.76</v>
      </c>
      <c r="FA205" s="2412">
        <v>825.67</v>
      </c>
      <c r="FB205" s="2412">
        <v>881.88</v>
      </c>
      <c r="FC205" s="2412">
        <v>989.88</v>
      </c>
      <c r="FD205" s="2412">
        <v>1004.61</v>
      </c>
      <c r="FE205" s="2412">
        <v>1025.1199999999999</v>
      </c>
      <c r="FF205" s="2412">
        <v>1029.8900000000001</v>
      </c>
      <c r="FG205" s="2412">
        <v>1038.3</v>
      </c>
      <c r="FH205" s="2412">
        <v>1035.24</v>
      </c>
      <c r="FI205" s="2412">
        <v>1050.8900000000001</v>
      </c>
      <c r="FJ205" s="2412">
        <v>1064.83</v>
      </c>
      <c r="FK205" s="2412">
        <v>1076.6199999999999</v>
      </c>
      <c r="FL205" s="2412">
        <v>1084.05</v>
      </c>
      <c r="FM205" s="2412">
        <v>1083.46</v>
      </c>
      <c r="FN205" s="2412">
        <v>1091.6099999999999</v>
      </c>
      <c r="FO205" s="2412">
        <v>1097.22</v>
      </c>
      <c r="FP205" s="2412">
        <v>1108.52</v>
      </c>
      <c r="FQ205" s="2412">
        <v>1121.48</v>
      </c>
      <c r="FR205" s="2412">
        <v>1133.6400000000001</v>
      </c>
      <c r="FS205" s="2412">
        <v>1137.8399999999999</v>
      </c>
      <c r="FT205" s="2412">
        <v>1152.8900000000001</v>
      </c>
      <c r="FU205" s="2412">
        <v>1160.56</v>
      </c>
      <c r="FV205" s="2412">
        <v>1172.93</v>
      </c>
      <c r="FW205" s="2413">
        <f>+D.P.V.!M220</f>
        <v>1182.0151444247217</v>
      </c>
      <c r="FX205" s="2413">
        <f>+D.P.V.!N220</f>
        <v>1194.0151060190415</v>
      </c>
      <c r="FY205" s="2413">
        <f>+D.P.V.!C227</f>
        <v>100</v>
      </c>
      <c r="FZ205" s="2413">
        <f>+D.P.V.!D227</f>
        <v>101.949183492461</v>
      </c>
      <c r="GA205" s="2413">
        <f>+D.P.V.!E227</f>
        <v>105.0607815516252</v>
      </c>
      <c r="GB205" s="2413">
        <f>+D.P.V.!F227</f>
        <v>109.66639049406012</v>
      </c>
      <c r="GC205" s="2413">
        <f>+D.P.V.!G227</f>
        <v>110.0088765536525</v>
      </c>
      <c r="GD205" s="2413">
        <f>+D.P.V.!H227</f>
        <v>111.04881477384346</v>
      </c>
      <c r="GE205" s="2413">
        <f>+D.P.V.!I227</f>
        <v>112.91731340412736</v>
      </c>
      <c r="GF205" s="2413">
        <f>+D.P.V.!J227</f>
        <v>113.98388863819066</v>
      </c>
      <c r="GG205" s="2413">
        <f>+D.P.V.!K227</f>
        <v>114.38504106340065</v>
      </c>
      <c r="GH205" s="2413">
        <f>+D.P.V.!L227</f>
        <v>117.0377339671313</v>
      </c>
      <c r="GI205" s="2413">
        <f>+D.P.V.!M227</f>
        <v>117.43010931609243</v>
      </c>
      <c r="GJ205" s="2413">
        <f>+D.P.V.!N227</f>
        <v>120.00657328673421</v>
      </c>
      <c r="GK205" s="2413">
        <f>+D.P.V.!C234</f>
        <v>120.67994315365257</v>
      </c>
      <c r="GL205" s="2413">
        <f>+D.P.V.!D234</f>
        <v>123.16558786672164</v>
      </c>
      <c r="GM205" s="2413">
        <f>+D.P.V.!E234</f>
        <v>123.9155958682914</v>
      </c>
      <c r="GN205" s="2413">
        <f>+D.P.V.!F234</f>
        <v>126.60004530747005</v>
      </c>
      <c r="GO205" s="2413">
        <f>+D.P.V.!G234</f>
        <v>127.32143837478364</v>
      </c>
      <c r="GP205" s="2413">
        <f>+D.P.V.!H234</f>
        <v>130.30089567969139</v>
      </c>
      <c r="GQ205" s="2413">
        <f>+D.P.V.!I234</f>
        <v>131.57885247311771</v>
      </c>
      <c r="GR205" s="2413">
        <f>+D.P.V.!J234</f>
        <v>134.43830187744581</v>
      </c>
      <c r="GS205" s="2413">
        <f>+D.P.V.!K234</f>
        <v>135.80682265263957</v>
      </c>
      <c r="GT205" s="2413">
        <f>+D.P.V.!L234</f>
        <v>138.88915081633002</v>
      </c>
      <c r="GU205" s="2413">
        <f>+D.P.V.!M234</f>
        <v>140.18390954554678</v>
      </c>
      <c r="GV205" s="2413">
        <f>+D.P.V.!N234</f>
        <v>143.41627433745802</v>
      </c>
      <c r="GW205" s="2415">
        <f>+D.P.V.!C241</f>
        <v>144.84528587198739</v>
      </c>
      <c r="GX205" s="2415">
        <f>+D.P.V.!D241</f>
        <v>148.13759321302248</v>
      </c>
      <c r="GY205" s="2415">
        <f>+D.P.V.!E241</f>
        <v>149.57579373702666</v>
      </c>
      <c r="GZ205" s="2415">
        <f>+D.P.V.!F241</f>
        <v>153.41081619835384</v>
      </c>
      <c r="HA205" s="2415">
        <f>+D.P.V.!G241</f>
        <v>154.83189636541343</v>
      </c>
      <c r="HB205" s="2415">
        <f>+D.P.V.!H241</f>
        <v>158.7507000686158</v>
      </c>
      <c r="HC205" s="2415">
        <f>+D.P.V.!I241</f>
        <v>160.9971332571881</v>
      </c>
      <c r="HD205" s="2415">
        <f>+D.P.V.!J241</f>
        <v>165.51824592477669</v>
      </c>
      <c r="HE205" s="2415">
        <f>+D.P.V.!K241</f>
        <v>169.19157669467276</v>
      </c>
      <c r="HF205" s="2415">
        <f>+D.P.V.!L241</f>
        <v>173.64334132894132</v>
      </c>
      <c r="HG205" s="2415">
        <f>+D.P.V.!M241</f>
        <v>178.43928367914529</v>
      </c>
      <c r="HH205" s="2415">
        <f>+D.P.V.!N241</f>
        <v>183.12076743277021</v>
      </c>
      <c r="HI205" s="2415">
        <f>+D.P.V.!C248</f>
        <v>187.7414305838158</v>
      </c>
      <c r="HJ205" s="2415">
        <f>+D.P.V.!D248</f>
        <v>193.0600264478328</v>
      </c>
      <c r="HK205" s="2415">
        <f>+D.P.V.!E248</f>
        <v>198.14704269759807</v>
      </c>
      <c r="HL205" s="2415">
        <f>+D.P.V.!F248</f>
        <v>203.81672302131668</v>
      </c>
      <c r="HM205" s="2415">
        <f>+D.P.V.!G248</f>
        <v>208.78230232160038</v>
      </c>
      <c r="HN205" s="2415">
        <f>+D.P.V.!H248</f>
        <v>215.24447109714762</v>
      </c>
      <c r="HO205" s="2415">
        <f>+D.P.V.!I248</f>
        <v>220.63233682892459</v>
      </c>
      <c r="HP205" s="2415">
        <f>+D.P.V.!J248</f>
        <v>227.58546269244553</v>
      </c>
      <c r="HQ205" s="2415">
        <f>+D.P.V.!K248</f>
        <v>233.57146541684108</v>
      </c>
      <c r="HR205" s="2415">
        <f>+D.P.V.!L248</f>
        <v>240.80672850000596</v>
      </c>
      <c r="HS205" s="2415">
        <f>+D.P.V.!M248</f>
        <v>248.14226942012905</v>
      </c>
      <c r="HT205" s="2415">
        <f>+D.P.V.!N248</f>
        <v>256.02637683499239</v>
      </c>
      <c r="HU205" s="2420">
        <f>+D.P.V.!C255</f>
        <v>263.23684633499016</v>
      </c>
      <c r="HV205" s="2417">
        <f>+D.P.V.!D255</f>
        <v>271.08774644614005</v>
      </c>
      <c r="HW205" s="2417">
        <f>+D.P.V.!E255</f>
        <v>279.11230092619786</v>
      </c>
      <c r="HX205" s="2417">
        <f>+D.P.V.!F255</f>
        <v>286.69556390294537</v>
      </c>
      <c r="HY205" s="2417">
        <f>+D.P.V.!G255</f>
        <v>294.39101107801264</v>
      </c>
      <c r="HZ205" s="2417">
        <f>+D.P.V.!H255</f>
        <v>301.6820833385267</v>
      </c>
      <c r="IA205" s="2417">
        <f>+D.P.V.!I255</f>
        <v>309.10926063231756</v>
      </c>
      <c r="IB205" s="2417">
        <f>+D.P.V.!J255</f>
        <v>316.93446053945513</v>
      </c>
      <c r="IC205" s="2417">
        <f>+D.P.V.!K255</f>
        <v>325.1482087007841</v>
      </c>
      <c r="ID205" s="2417">
        <f>+D.P.V.!L255</f>
        <v>333.14544363641539</v>
      </c>
      <c r="IE205" s="2417">
        <f>+D.P.V.!M255</f>
        <v>344.88875937341811</v>
      </c>
      <c r="IF205" s="2419">
        <f>+D.P.V.!N255</f>
        <v>352.88550489373495</v>
      </c>
      <c r="IG205" s="2420">
        <f>+D.P.V.!C262</f>
        <v>365.34870556882208</v>
      </c>
      <c r="IH205" s="2417">
        <f>+D.P.V.!D262</f>
        <v>374.67506371246134</v>
      </c>
      <c r="II205" s="2417">
        <f>+D.P.V.!E262</f>
        <v>388.13949361989467</v>
      </c>
      <c r="IJ205" s="2417">
        <f>+D.P.V.!F262</f>
        <v>399.65448979576161</v>
      </c>
      <c r="IK205" s="2417">
        <f>+D.P.V.!G262</f>
        <v>413.83399542445756</v>
      </c>
      <c r="IL205" s="2417">
        <f>+D.P.V.!H262</f>
        <v>425.14313001854549</v>
      </c>
      <c r="IM205" s="2417">
        <f>+D.P.V.!I262</f>
        <v>439.9443830480883</v>
      </c>
      <c r="IN205" s="2417">
        <f>+D.P.V.!J262</f>
        <v>450.92469264489824</v>
      </c>
      <c r="IO205" s="2417">
        <f>+D.P.V.!K262</f>
        <v>465.94167895674434</v>
      </c>
      <c r="IP205" s="2417">
        <f>+D.P.V.!L262</f>
        <v>477.37188524843793</v>
      </c>
      <c r="IQ205" s="2417">
        <f>+D.P.V.!M262</f>
        <v>492.05590911061336</v>
      </c>
      <c r="IR205" s="2419">
        <f>+D.P.V.!N262</f>
        <v>503.1979848896093</v>
      </c>
      <c r="IS205" s="2420">
        <f>+D.P.V.!C269</f>
        <v>519.73670495793658</v>
      </c>
      <c r="IT205" s="2417">
        <f>+D.P.V.!D269</f>
        <v>531.43814661496663</v>
      </c>
      <c r="IU205" s="2417">
        <f>+D.P.V.!E269</f>
        <v>550.8222877486478</v>
      </c>
      <c r="IV205" s="2417">
        <f>+D.P.V.!F269</f>
        <v>562.51100593533647</v>
      </c>
      <c r="IW205" s="2417">
        <f>+D.P.V.!G269</f>
        <v>585.47828856454089</v>
      </c>
      <c r="IX205" s="2417">
        <f>+D.P.V.!H269</f>
        <v>612.87562390984681</v>
      </c>
      <c r="IY205" s="2417">
        <f>+D.P.V.!I269</f>
        <v>636.19872193396168</v>
      </c>
      <c r="IZ205" s="2417">
        <f>+D.P.V.!J269</f>
        <v>669.44166408695889</v>
      </c>
      <c r="JA205" s="2417">
        <f>+D.P.V.!K269</f>
        <v>696.74214426163269</v>
      </c>
      <c r="JB205" s="2417">
        <f>+D.P.V.!L269</f>
        <v>735.49979649259819</v>
      </c>
      <c r="JC205" s="2417">
        <f>+D.P.V.!M269</f>
        <v>768.35487484436067</v>
      </c>
      <c r="JD205" s="2415">
        <f>+D.P.V.!N269</f>
        <v>811.22322415335464</v>
      </c>
      <c r="JE205" s="2422">
        <f>+D.P.V.!C276</f>
        <v>849.5095811332011</v>
      </c>
      <c r="JF205" s="2418">
        <f>+D.P.V.!D276</f>
        <v>897.81620975704629</v>
      </c>
      <c r="JG205" s="2103">
        <f t="shared" si="19"/>
        <v>1.0568641363166342</v>
      </c>
      <c r="JI205" s="2155"/>
      <c r="JJ205" s="2104"/>
    </row>
    <row r="206" spans="2:271" ht="31.5" hidden="1">
      <c r="B206" s="2105">
        <v>606</v>
      </c>
      <c r="C206" s="2106" t="s">
        <v>397</v>
      </c>
      <c r="D206" s="2425" t="s">
        <v>1154</v>
      </c>
      <c r="E206" s="2128" t="s">
        <v>106</v>
      </c>
      <c r="F206" s="2106" t="s">
        <v>378</v>
      </c>
      <c r="G206" s="2106"/>
      <c r="H206" s="2106" t="s">
        <v>919</v>
      </c>
      <c r="I206" s="2106"/>
      <c r="J206" s="2359" t="s">
        <v>440</v>
      </c>
      <c r="K206" s="2425" t="s">
        <v>393</v>
      </c>
      <c r="L206" s="2110">
        <v>108.05</v>
      </c>
      <c r="M206" s="2110">
        <v>116.76</v>
      </c>
      <c r="N206" s="2110">
        <v>142.79</v>
      </c>
      <c r="O206" s="2110">
        <v>142.79</v>
      </c>
      <c r="P206" s="2110">
        <v>155.19999999999999</v>
      </c>
      <c r="Q206" s="2110">
        <v>178.43</v>
      </c>
      <c r="R206" s="2110">
        <v>191.57</v>
      </c>
      <c r="S206" s="2110">
        <v>203.83</v>
      </c>
      <c r="T206" s="2110">
        <v>203.83</v>
      </c>
      <c r="U206" s="2110">
        <v>203.83</v>
      </c>
      <c r="V206" s="2110">
        <v>203.83</v>
      </c>
      <c r="W206" s="2110">
        <v>203.83</v>
      </c>
      <c r="X206" s="2110">
        <v>203.83</v>
      </c>
      <c r="Y206" s="2110">
        <v>203.83</v>
      </c>
      <c r="Z206" s="2110">
        <v>203.83</v>
      </c>
      <c r="AA206" s="2110">
        <v>203.83</v>
      </c>
      <c r="AB206" s="2110">
        <v>203.83</v>
      </c>
      <c r="AC206" s="2110">
        <v>203.83</v>
      </c>
      <c r="AD206" s="2110">
        <v>203.83</v>
      </c>
      <c r="AE206" s="2110">
        <v>203.83</v>
      </c>
      <c r="AF206" s="2110">
        <v>203.83</v>
      </c>
      <c r="AG206" s="2110">
        <v>203.83</v>
      </c>
      <c r="AH206" s="2110">
        <v>203.83</v>
      </c>
      <c r="AI206" s="2110">
        <v>203.83</v>
      </c>
      <c r="AJ206" s="2110">
        <v>203.83</v>
      </c>
      <c r="AK206" s="2110">
        <v>203.83</v>
      </c>
      <c r="AL206" s="2110">
        <v>203.83</v>
      </c>
      <c r="AM206" s="2110">
        <v>203.83</v>
      </c>
      <c r="AN206" s="2110">
        <v>203.83</v>
      </c>
      <c r="AO206" s="2110">
        <v>203.83</v>
      </c>
      <c r="AP206" s="2110">
        <v>203.83</v>
      </c>
      <c r="AQ206" s="2110">
        <v>207.28</v>
      </c>
      <c r="AR206" s="2110">
        <v>213.94</v>
      </c>
      <c r="AS206" s="2110">
        <v>216.01</v>
      </c>
      <c r="AT206" s="2110">
        <v>217.64</v>
      </c>
      <c r="AU206" s="2110">
        <v>217.64</v>
      </c>
      <c r="AV206" s="2110">
        <v>211.72</v>
      </c>
      <c r="AW206" s="2111">
        <v>217.52</v>
      </c>
      <c r="AX206" s="2111">
        <v>221.07</v>
      </c>
      <c r="AY206" s="2111">
        <v>221.07</v>
      </c>
      <c r="AZ206" s="2111">
        <v>224.99</v>
      </c>
      <c r="BA206" s="2111">
        <v>233.59</v>
      </c>
      <c r="BB206" s="2111">
        <v>233.59</v>
      </c>
      <c r="BC206" s="2111">
        <v>233.59</v>
      </c>
      <c r="BD206" s="2112">
        <v>240.99</v>
      </c>
      <c r="BE206" s="2111">
        <v>244.63</v>
      </c>
      <c r="BF206" s="2112">
        <v>245.04</v>
      </c>
      <c r="BG206" s="2112">
        <v>252.12</v>
      </c>
      <c r="BH206" s="2112">
        <v>253.25</v>
      </c>
      <c r="BI206" s="2108">
        <v>253.25</v>
      </c>
      <c r="BJ206" s="2108">
        <v>260.39999999999998</v>
      </c>
      <c r="BK206" s="2108">
        <v>260.39999999999998</v>
      </c>
      <c r="BL206" s="2108">
        <v>261.16000000000003</v>
      </c>
      <c r="BM206" s="2108">
        <v>269.57</v>
      </c>
      <c r="BN206" s="2108">
        <v>274.63</v>
      </c>
      <c r="BO206" s="2108">
        <v>274.63</v>
      </c>
      <c r="BP206" s="2108">
        <v>283.94</v>
      </c>
      <c r="BQ206" s="2108">
        <v>290.60000000000002</v>
      </c>
      <c r="BR206" s="2108">
        <v>290.60000000000002</v>
      </c>
      <c r="BS206" s="2108">
        <v>290.60000000000002</v>
      </c>
      <c r="BT206" s="2108">
        <v>290.60000000000002</v>
      </c>
      <c r="BU206" s="2108">
        <v>290.60000000000002</v>
      </c>
      <c r="BV206" s="2108">
        <v>290.60000000000002</v>
      </c>
      <c r="BW206" s="2108">
        <v>301.8</v>
      </c>
      <c r="BX206" s="2108">
        <v>302.83</v>
      </c>
      <c r="BY206" s="2108">
        <v>300.18</v>
      </c>
      <c r="BZ206" s="2108">
        <v>311.45999999999998</v>
      </c>
      <c r="CA206" s="2108">
        <v>313.45999999999998</v>
      </c>
      <c r="CB206" s="2108">
        <v>313.45999999999998</v>
      </c>
      <c r="CC206" s="2108">
        <v>313.45999999999998</v>
      </c>
      <c r="CD206" s="2108">
        <v>324.76</v>
      </c>
      <c r="CE206" s="2108">
        <v>326.14</v>
      </c>
      <c r="CF206" s="2108">
        <v>337.86</v>
      </c>
      <c r="CG206" s="2108">
        <v>355.56</v>
      </c>
      <c r="CH206" s="2108">
        <v>368.96</v>
      </c>
      <c r="CI206" s="2108">
        <v>368.96</v>
      </c>
      <c r="CJ206" s="2108">
        <v>394.33</v>
      </c>
      <c r="CK206" s="2108">
        <v>401.36</v>
      </c>
      <c r="CL206" s="2108">
        <v>401.36</v>
      </c>
      <c r="CM206" s="2108">
        <v>401.36</v>
      </c>
      <c r="CN206" s="2108">
        <v>411.27</v>
      </c>
      <c r="CO206" s="2108">
        <v>411.27</v>
      </c>
      <c r="CP206" s="2108">
        <v>444.22</v>
      </c>
      <c r="CQ206" s="2108">
        <v>454.27</v>
      </c>
      <c r="CR206" s="2108">
        <v>454.27</v>
      </c>
      <c r="CS206" s="2108">
        <v>457.7</v>
      </c>
      <c r="CT206" s="2108">
        <v>457.7</v>
      </c>
      <c r="CU206" s="2108">
        <v>470.57</v>
      </c>
      <c r="CV206" s="2108">
        <v>477.91</v>
      </c>
      <c r="CW206" s="2108">
        <v>482.3</v>
      </c>
      <c r="CX206" s="2108">
        <v>482.3</v>
      </c>
      <c r="CY206" s="2108">
        <v>483.93</v>
      </c>
      <c r="CZ206" s="2108">
        <v>491.13</v>
      </c>
      <c r="DA206" s="2108">
        <v>495.62</v>
      </c>
      <c r="DB206" s="2108">
        <v>495.62</v>
      </c>
      <c r="DC206" s="2108">
        <v>495.62</v>
      </c>
      <c r="DD206" s="2108">
        <v>495.62</v>
      </c>
      <c r="DE206" s="2108">
        <v>504.69</v>
      </c>
      <c r="DF206" s="2108">
        <v>506.44</v>
      </c>
      <c r="DG206" s="2108">
        <v>508.88</v>
      </c>
      <c r="DH206" s="2108">
        <v>519.16999999999996</v>
      </c>
      <c r="DI206" s="2108">
        <v>519.16999999999996</v>
      </c>
      <c r="DJ206" s="2108">
        <v>545.89</v>
      </c>
      <c r="DK206" s="2108">
        <v>545.89</v>
      </c>
      <c r="DL206" s="2108">
        <v>545.89</v>
      </c>
      <c r="DM206" s="2108">
        <v>548.35</v>
      </c>
      <c r="DN206" s="2108">
        <v>548.35</v>
      </c>
      <c r="DO206" s="2108">
        <v>557.55999999999995</v>
      </c>
      <c r="DP206" s="2108">
        <v>564.66999999999996</v>
      </c>
      <c r="DQ206" s="2108">
        <v>564.66999999999996</v>
      </c>
      <c r="DR206" s="2108">
        <v>585.41</v>
      </c>
      <c r="DS206" s="2108">
        <v>588.5</v>
      </c>
      <c r="DT206" s="2108">
        <v>588.5</v>
      </c>
      <c r="DU206" s="2108">
        <v>609.64</v>
      </c>
      <c r="DV206" s="2108">
        <v>624.55999999999995</v>
      </c>
      <c r="DW206" s="2108">
        <v>626.28</v>
      </c>
      <c r="DX206" s="2108">
        <v>641.08000000000004</v>
      </c>
      <c r="DY206" s="2108">
        <v>620.45000000000005</v>
      </c>
      <c r="DZ206" s="2108">
        <v>641.08000000000004</v>
      </c>
      <c r="EA206" s="2108">
        <v>653.09</v>
      </c>
      <c r="EB206" s="2108">
        <v>651</v>
      </c>
      <c r="EC206" s="2108">
        <v>653.65</v>
      </c>
      <c r="ED206" s="2108">
        <v>660.09</v>
      </c>
      <c r="EE206" s="2108">
        <v>685.93</v>
      </c>
      <c r="EF206" s="2108">
        <v>710.88</v>
      </c>
      <c r="EG206" s="2108">
        <v>734.39</v>
      </c>
      <c r="EH206" s="2108">
        <v>741.14</v>
      </c>
      <c r="EI206" s="2108">
        <v>741.14</v>
      </c>
      <c r="EJ206" s="2108">
        <v>744.52</v>
      </c>
      <c r="EK206" s="2108">
        <v>746.03</v>
      </c>
      <c r="EL206" s="2108">
        <v>749.18</v>
      </c>
      <c r="EM206" s="2108">
        <v>751.95</v>
      </c>
      <c r="EN206" s="2108">
        <v>751.95</v>
      </c>
      <c r="EO206" s="2108">
        <v>770.21</v>
      </c>
      <c r="EP206" s="2108">
        <v>775.08</v>
      </c>
      <c r="EQ206" s="2108">
        <v>775.12</v>
      </c>
      <c r="ER206" s="2108">
        <v>781.55</v>
      </c>
      <c r="ES206" s="2108">
        <v>787.71</v>
      </c>
      <c r="ET206" s="2108">
        <v>797.23</v>
      </c>
      <c r="EU206" s="2108">
        <v>820.63</v>
      </c>
      <c r="EV206" s="2108">
        <v>831.16</v>
      </c>
      <c r="EW206" s="2108">
        <v>848.9</v>
      </c>
      <c r="EX206" s="2108">
        <v>856.46</v>
      </c>
      <c r="EY206" s="2108">
        <v>859.89</v>
      </c>
      <c r="EZ206" s="2108">
        <v>859.9</v>
      </c>
      <c r="FA206" s="2108">
        <v>859.89</v>
      </c>
      <c r="FB206" s="2108">
        <v>918.96</v>
      </c>
      <c r="FC206" s="2108">
        <v>918.96</v>
      </c>
      <c r="FD206" s="2108">
        <v>918.96</v>
      </c>
      <c r="FE206" s="2108">
        <v>918.96</v>
      </c>
      <c r="FF206" s="2108">
        <v>918.96</v>
      </c>
      <c r="FG206" s="2108">
        <v>918.96</v>
      </c>
      <c r="FH206" s="2108">
        <v>946.04</v>
      </c>
      <c r="FI206" s="2108">
        <v>946.04</v>
      </c>
      <c r="FJ206" s="2108">
        <v>946.04</v>
      </c>
      <c r="FK206" s="2108">
        <v>945.96</v>
      </c>
      <c r="FL206" s="2108">
        <v>1053.96</v>
      </c>
      <c r="FM206" s="2108">
        <v>1053.96</v>
      </c>
      <c r="FN206" s="2108">
        <v>1084.53</v>
      </c>
      <c r="FO206" s="2108">
        <v>1084.53</v>
      </c>
      <c r="FP206" s="2108">
        <v>1110.46</v>
      </c>
      <c r="FQ206" s="2108">
        <v>1116.3900000000001</v>
      </c>
      <c r="FR206" s="2108">
        <v>1117.8499999999999</v>
      </c>
      <c r="FS206" s="2108">
        <v>1119.93</v>
      </c>
      <c r="FT206" s="2108">
        <v>1122.1199999999999</v>
      </c>
      <c r="FU206" s="2108">
        <v>1204.9100000000001</v>
      </c>
      <c r="FV206" s="2108">
        <v>1207.2</v>
      </c>
      <c r="FW206" s="2113" t="s">
        <v>521</v>
      </c>
      <c r="FX206" s="2113" t="s">
        <v>521</v>
      </c>
      <c r="FY206" s="2113" t="s">
        <v>521</v>
      </c>
      <c r="FZ206" s="2113" t="s">
        <v>521</v>
      </c>
      <c r="GA206" s="2113" t="s">
        <v>521</v>
      </c>
      <c r="GB206" s="2113" t="s">
        <v>521</v>
      </c>
      <c r="GC206" s="2113" t="s">
        <v>521</v>
      </c>
      <c r="GD206" s="2113" t="s">
        <v>521</v>
      </c>
      <c r="GE206" s="2113" t="s">
        <v>521</v>
      </c>
      <c r="GF206" s="2114" t="s">
        <v>521</v>
      </c>
      <c r="GG206" s="1960" t="s">
        <v>521</v>
      </c>
      <c r="GH206" s="2114" t="s">
        <v>521</v>
      </c>
      <c r="GI206" s="2114" t="s">
        <v>521</v>
      </c>
      <c r="GJ206" s="2113" t="s">
        <v>521</v>
      </c>
      <c r="GK206" s="2113" t="s">
        <v>521</v>
      </c>
      <c r="GL206" s="2113" t="s">
        <v>521</v>
      </c>
      <c r="GM206" s="2114" t="s">
        <v>521</v>
      </c>
      <c r="GN206" s="2114" t="s">
        <v>521</v>
      </c>
      <c r="GO206" s="2115" t="s">
        <v>521</v>
      </c>
      <c r="GP206" s="2116" t="s">
        <v>521</v>
      </c>
      <c r="GQ206" s="2116" t="s">
        <v>521</v>
      </c>
      <c r="GR206" s="2116" t="s">
        <v>521</v>
      </c>
      <c r="GS206" s="2116" t="s">
        <v>521</v>
      </c>
      <c r="GT206" s="1960" t="s">
        <v>521</v>
      </c>
      <c r="GU206" s="1960" t="s">
        <v>521</v>
      </c>
      <c r="GV206" s="1960" t="s">
        <v>521</v>
      </c>
      <c r="GW206" s="1960" t="s">
        <v>521</v>
      </c>
      <c r="GX206" s="1960" t="s">
        <v>521</v>
      </c>
      <c r="GY206" s="1960" t="s">
        <v>521</v>
      </c>
      <c r="GZ206" s="1960">
        <v>100</v>
      </c>
      <c r="HA206" s="1960">
        <v>115.68247975128271</v>
      </c>
      <c r="HB206" s="1960">
        <v>122.6741409419825</v>
      </c>
      <c r="HC206" s="1960">
        <v>128.11281345602049</v>
      </c>
      <c r="HD206" s="1960">
        <v>128.21996283932407</v>
      </c>
      <c r="HE206" s="1960">
        <v>151.68127510714041</v>
      </c>
      <c r="HF206" s="1960">
        <v>151.67744718776589</v>
      </c>
      <c r="HG206" s="1960">
        <v>158.00379499154823</v>
      </c>
      <c r="HH206" s="2117">
        <v>158.07747083373306</v>
      </c>
      <c r="HI206" s="2166">
        <v>158.29187194334671</v>
      </c>
      <c r="HJ206" s="2166">
        <v>159.06401829696895</v>
      </c>
      <c r="HK206" s="2166">
        <v>160.17995645534054</v>
      </c>
      <c r="HL206" s="2166">
        <v>170.51356351549438</v>
      </c>
      <c r="HM206" s="2166">
        <v>170.51356351549438</v>
      </c>
      <c r="HN206" s="2166">
        <v>172.97230798526152</v>
      </c>
      <c r="HO206" s="2166">
        <v>179.45347048211283</v>
      </c>
      <c r="HP206" s="1960">
        <v>208.07527987596492</v>
      </c>
      <c r="HQ206" s="1960">
        <v>218.0132492160341</v>
      </c>
      <c r="HR206" s="1960">
        <v>222.35292444226093</v>
      </c>
      <c r="HS206" s="1960">
        <v>222.35292444226093</v>
      </c>
      <c r="HT206" s="1962">
        <v>222.35292444226093</v>
      </c>
      <c r="HU206" s="1961"/>
      <c r="HV206" s="1960">
        <v>0</v>
      </c>
      <c r="HW206" s="1960">
        <v>0</v>
      </c>
      <c r="HX206" s="1960">
        <v>0</v>
      </c>
      <c r="HY206" s="1960">
        <v>0</v>
      </c>
      <c r="HZ206" s="1960">
        <v>0</v>
      </c>
      <c r="IA206" s="1960">
        <v>0</v>
      </c>
      <c r="IB206" s="1960">
        <v>0</v>
      </c>
      <c r="IC206" s="1960">
        <v>0</v>
      </c>
      <c r="ID206" s="1960">
        <v>0</v>
      </c>
      <c r="IE206" s="1960">
        <v>0</v>
      </c>
      <c r="IF206" s="1960">
        <v>0</v>
      </c>
      <c r="IG206" s="1961">
        <v>0</v>
      </c>
      <c r="IH206" s="1960">
        <v>0</v>
      </c>
      <c r="II206" s="1960">
        <v>0</v>
      </c>
      <c r="IJ206" s="1961">
        <v>0</v>
      </c>
      <c r="IK206" s="1960">
        <v>0</v>
      </c>
      <c r="IL206" s="1960">
        <v>0</v>
      </c>
      <c r="IM206" s="1960">
        <v>0</v>
      </c>
      <c r="IN206" s="1960">
        <v>0</v>
      </c>
      <c r="IO206" s="1960">
        <v>0</v>
      </c>
      <c r="IP206" s="1960">
        <v>0</v>
      </c>
      <c r="IQ206" s="1960">
        <v>0</v>
      </c>
      <c r="IR206" s="1960">
        <v>0</v>
      </c>
      <c r="IS206" s="2274">
        <v>0</v>
      </c>
      <c r="IT206" s="1960">
        <v>0</v>
      </c>
      <c r="IU206" s="1960">
        <v>0</v>
      </c>
      <c r="IV206" s="1960">
        <v>0</v>
      </c>
      <c r="IW206" s="1960">
        <v>0</v>
      </c>
      <c r="IX206" s="1960">
        <v>0</v>
      </c>
      <c r="IY206" s="1960">
        <v>0</v>
      </c>
      <c r="IZ206" s="1960">
        <v>0</v>
      </c>
      <c r="JA206" s="1960">
        <v>0</v>
      </c>
      <c r="JB206" s="1960">
        <v>0</v>
      </c>
      <c r="JC206" s="1960">
        <v>0</v>
      </c>
      <c r="JD206" s="1960">
        <v>0</v>
      </c>
      <c r="JE206" s="2274">
        <v>0</v>
      </c>
      <c r="JF206" s="2117">
        <v>0</v>
      </c>
      <c r="JG206" s="2103" t="e">
        <f t="shared" si="19"/>
        <v>#DIV/0!</v>
      </c>
      <c r="JI206" s="2155"/>
      <c r="JJ206" s="2104"/>
    </row>
    <row r="207" spans="2:271">
      <c r="B207" s="2105">
        <v>607</v>
      </c>
      <c r="C207" s="2106"/>
      <c r="D207" s="2425" t="s">
        <v>1335</v>
      </c>
      <c r="E207" s="2128" t="s">
        <v>1337</v>
      </c>
      <c r="F207" s="2106"/>
      <c r="G207" s="2106" t="s">
        <v>1006</v>
      </c>
      <c r="H207" s="2106"/>
      <c r="I207" s="2106"/>
      <c r="J207" s="2359" t="s">
        <v>1336</v>
      </c>
      <c r="K207" s="2425" t="s">
        <v>1039</v>
      </c>
      <c r="L207" s="2409"/>
      <c r="M207" s="2409"/>
      <c r="N207" s="2409"/>
      <c r="O207" s="2409"/>
      <c r="P207" s="2409"/>
      <c r="Q207" s="2409"/>
      <c r="R207" s="2409"/>
      <c r="S207" s="2409"/>
      <c r="T207" s="2409"/>
      <c r="U207" s="2409"/>
      <c r="V207" s="2409"/>
      <c r="W207" s="2409"/>
      <c r="X207" s="2409"/>
      <c r="Y207" s="2409"/>
      <c r="Z207" s="2409"/>
      <c r="AA207" s="2409"/>
      <c r="AB207" s="2409"/>
      <c r="AC207" s="2409"/>
      <c r="AD207" s="2409"/>
      <c r="AE207" s="2409"/>
      <c r="AF207" s="2409"/>
      <c r="AG207" s="2409"/>
      <c r="AH207" s="2409"/>
      <c r="AI207" s="2409"/>
      <c r="AJ207" s="2409"/>
      <c r="AK207" s="2409"/>
      <c r="AL207" s="2409"/>
      <c r="AM207" s="2409"/>
      <c r="AN207" s="2409"/>
      <c r="AO207" s="2409"/>
      <c r="AP207" s="2409"/>
      <c r="AQ207" s="2409"/>
      <c r="AR207" s="2409"/>
      <c r="AS207" s="2409"/>
      <c r="AT207" s="2409"/>
      <c r="AU207" s="2409"/>
      <c r="AV207" s="2409"/>
      <c r="AW207" s="2410"/>
      <c r="AX207" s="2410"/>
      <c r="AY207" s="2410"/>
      <c r="AZ207" s="2410"/>
      <c r="BA207" s="2410"/>
      <c r="BB207" s="2410"/>
      <c r="BC207" s="2410"/>
      <c r="BD207" s="2411"/>
      <c r="BE207" s="2410"/>
      <c r="BF207" s="2411"/>
      <c r="BG207" s="2411"/>
      <c r="BH207" s="2411"/>
      <c r="BI207" s="2412"/>
      <c r="BJ207" s="2412"/>
      <c r="BK207" s="2412"/>
      <c r="BL207" s="2412"/>
      <c r="BM207" s="2412"/>
      <c r="BN207" s="2412"/>
      <c r="BO207" s="2412"/>
      <c r="BP207" s="2412"/>
      <c r="BQ207" s="2412"/>
      <c r="BR207" s="2412"/>
      <c r="BS207" s="2412"/>
      <c r="BT207" s="2412"/>
      <c r="BU207" s="2412"/>
      <c r="BV207" s="2412"/>
      <c r="BW207" s="2412"/>
      <c r="BX207" s="2412"/>
      <c r="BY207" s="2412"/>
      <c r="BZ207" s="2412"/>
      <c r="CA207" s="2412"/>
      <c r="CB207" s="2412"/>
      <c r="CC207" s="2412"/>
      <c r="CD207" s="2412"/>
      <c r="CE207" s="2412"/>
      <c r="CF207" s="2412"/>
      <c r="CG207" s="2412"/>
      <c r="CH207" s="2412"/>
      <c r="CI207" s="2412"/>
      <c r="CJ207" s="2412"/>
      <c r="CK207" s="2412"/>
      <c r="CL207" s="2412"/>
      <c r="CM207" s="2412"/>
      <c r="CN207" s="2412"/>
      <c r="CO207" s="2412"/>
      <c r="CP207" s="2412"/>
      <c r="CQ207" s="2412"/>
      <c r="CR207" s="2412"/>
      <c r="CS207" s="2412"/>
      <c r="CT207" s="2412"/>
      <c r="CU207" s="2412"/>
      <c r="CV207" s="2412"/>
      <c r="CW207" s="2412"/>
      <c r="CX207" s="2412"/>
      <c r="CY207" s="2412"/>
      <c r="CZ207" s="2412"/>
      <c r="DA207" s="2412"/>
      <c r="DB207" s="2412"/>
      <c r="DC207" s="2412"/>
      <c r="DD207" s="2412"/>
      <c r="DE207" s="2412"/>
      <c r="DF207" s="2412"/>
      <c r="DG207" s="2412"/>
      <c r="DH207" s="2412"/>
      <c r="DI207" s="2412"/>
      <c r="DJ207" s="2412"/>
      <c r="DK207" s="2412"/>
      <c r="DL207" s="2412"/>
      <c r="DM207" s="2412"/>
      <c r="DN207" s="2412"/>
      <c r="DO207" s="2412"/>
      <c r="DP207" s="2412"/>
      <c r="DQ207" s="2412"/>
      <c r="DR207" s="2412"/>
      <c r="DS207" s="2412"/>
      <c r="DT207" s="2412"/>
      <c r="DU207" s="2412"/>
      <c r="DV207" s="2412"/>
      <c r="DW207" s="2412"/>
      <c r="DX207" s="2412"/>
      <c r="DY207" s="2412"/>
      <c r="DZ207" s="2412"/>
      <c r="EA207" s="2412"/>
      <c r="EB207" s="2412"/>
      <c r="EC207" s="2412"/>
      <c r="ED207" s="2412"/>
      <c r="EE207" s="2412"/>
      <c r="EF207" s="2412"/>
      <c r="EG207" s="2412"/>
      <c r="EH207" s="2412"/>
      <c r="EI207" s="2412"/>
      <c r="EJ207" s="2412"/>
      <c r="EK207" s="2412"/>
      <c r="EL207" s="2412"/>
      <c r="EM207" s="2412"/>
      <c r="EN207" s="2412"/>
      <c r="EO207" s="2412"/>
      <c r="EP207" s="2412"/>
      <c r="EQ207" s="2412"/>
      <c r="ER207" s="2412"/>
      <c r="ES207" s="2412"/>
      <c r="ET207" s="2412"/>
      <c r="EU207" s="2412"/>
      <c r="EV207" s="2412"/>
      <c r="EW207" s="2412"/>
      <c r="EX207" s="2412"/>
      <c r="EY207" s="2412"/>
      <c r="EZ207" s="2412"/>
      <c r="FA207" s="2412"/>
      <c r="FB207" s="2412"/>
      <c r="FC207" s="2412"/>
      <c r="FD207" s="2412"/>
      <c r="FE207" s="2412"/>
      <c r="FF207" s="2412"/>
      <c r="FG207" s="2412"/>
      <c r="FH207" s="2412"/>
      <c r="FI207" s="2412"/>
      <c r="FJ207" s="2412"/>
      <c r="FK207" s="2412"/>
      <c r="FL207" s="2412"/>
      <c r="FM207" s="2412"/>
      <c r="FN207" s="2412"/>
      <c r="FO207" s="2412"/>
      <c r="FP207" s="2412"/>
      <c r="FQ207" s="2412"/>
      <c r="FR207" s="2412"/>
      <c r="FS207" s="2412"/>
      <c r="FT207" s="2412"/>
      <c r="FU207" s="2412"/>
      <c r="FV207" s="2412"/>
      <c r="FW207" s="2413"/>
      <c r="FX207" s="2413"/>
      <c r="FY207" s="2413"/>
      <c r="FZ207" s="2413"/>
      <c r="GA207" s="2413"/>
      <c r="GB207" s="2413"/>
      <c r="GC207" s="2413"/>
      <c r="GD207" s="2413"/>
      <c r="GE207" s="2413"/>
      <c r="GF207" s="2414"/>
      <c r="GG207" s="2415"/>
      <c r="GH207" s="2414"/>
      <c r="GI207" s="2414"/>
      <c r="GJ207" s="2413"/>
      <c r="GK207" s="2413"/>
      <c r="GL207" s="2413"/>
      <c r="GM207" s="2414"/>
      <c r="GN207" s="2414"/>
      <c r="GO207" s="2416"/>
      <c r="GP207" s="2417"/>
      <c r="GQ207" s="2417"/>
      <c r="GR207" s="2417"/>
      <c r="GS207" s="2417"/>
      <c r="GT207" s="2415"/>
      <c r="GU207" s="2415"/>
      <c r="GV207" s="2415"/>
      <c r="GW207" s="2415">
        <f>+D.P.V.!C283</f>
        <v>100</v>
      </c>
      <c r="GX207" s="2415">
        <f>+D.P.V.!D283</f>
        <v>101.03817245771074</v>
      </c>
      <c r="GY207" s="2415">
        <f>+D.P.V.!E283</f>
        <v>106.1124365436705</v>
      </c>
      <c r="GZ207" s="2415">
        <f>+D.P.V.!F283</f>
        <v>110.026100059196</v>
      </c>
      <c r="HA207" s="2415">
        <f>+D.P.V.!G283</f>
        <v>114.19044971029831</v>
      </c>
      <c r="HB207" s="2415">
        <f>+D.P.V.!H283</f>
        <v>126.98710244497462</v>
      </c>
      <c r="HC207" s="2415">
        <f>+D.P.V.!I283</f>
        <v>136.36384020664792</v>
      </c>
      <c r="HD207" s="2415">
        <f>+D.P.V.!J283</f>
        <v>138.20698871688165</v>
      </c>
      <c r="HE207" s="2415">
        <f>+D.P.V.!K283</f>
        <v>138.78101063734374</v>
      </c>
      <c r="HF207" s="2415">
        <f>+D.P.V.!L283</f>
        <v>172.13347803469247</v>
      </c>
      <c r="HG207" s="2415">
        <f>+D.P.V.!M283</f>
        <v>166.11521696234777</v>
      </c>
      <c r="HH207" s="2418">
        <f>+D.P.V.!N283</f>
        <v>171.6787450445764</v>
      </c>
      <c r="HI207" s="2415">
        <f>+D.P.V.!C290</f>
        <v>174.10936911403303</v>
      </c>
      <c r="HJ207" s="2415">
        <f>+D.P.V.!D290</f>
        <v>174.42283889716037</v>
      </c>
      <c r="HK207" s="2415">
        <f>+D.P.V.!E290</f>
        <v>188.07783378477762</v>
      </c>
      <c r="HL207" s="2415">
        <f>+D.P.V.!F290</f>
        <v>199.49324627334204</v>
      </c>
      <c r="HM207" s="2415">
        <f>+D.P.V.!G290</f>
        <v>202.33151559725184</v>
      </c>
      <c r="HN207" s="2415">
        <f>+D.P.V.!H290</f>
        <v>204.468401887097</v>
      </c>
      <c r="HO207" s="2415">
        <f>+D.P.V.!I290</f>
        <v>204.06927727052573</v>
      </c>
      <c r="HP207" s="2415">
        <f>+D.P.V.!J290</f>
        <v>220.87690817443087</v>
      </c>
      <c r="HQ207" s="2415">
        <f>+D.P.V.!K290</f>
        <v>221.18634186592993</v>
      </c>
      <c r="HR207" s="2415">
        <f>+D.P.V.!L290</f>
        <v>250.96911044540508</v>
      </c>
      <c r="HS207" s="2415">
        <f>+D.P.V.!M290</f>
        <v>258.23407537625337</v>
      </c>
      <c r="HT207" s="2419">
        <f>+D.P.V.!N290</f>
        <v>260.38665757798617</v>
      </c>
      <c r="HU207" s="2420">
        <f>+D.P.V.!C297</f>
        <v>265.8111647263529</v>
      </c>
      <c r="HV207" s="2415">
        <f>+D.P.V.!D297</f>
        <v>269.67504977846335</v>
      </c>
      <c r="HW207" s="2415">
        <f>+D.P.V.!E297</f>
        <v>281.80754121298003</v>
      </c>
      <c r="HX207" s="2415">
        <f>+D.P.V.!F297</f>
        <v>281.82817012574662</v>
      </c>
      <c r="HY207" s="2415">
        <f>+D.P.V.!G297</f>
        <v>281.82817012574662</v>
      </c>
      <c r="HZ207" s="2415">
        <f>+D.P.V.!H297</f>
        <v>293.56736685382162</v>
      </c>
      <c r="IA207" s="2415">
        <f>+D.P.V.!I297</f>
        <v>300.07354655855909</v>
      </c>
      <c r="IB207" s="2415">
        <f>+D.P.V.!J297</f>
        <v>309.70097045580917</v>
      </c>
      <c r="IC207" s="2415">
        <f>+D.P.V.!K297</f>
        <v>317.90096328053517</v>
      </c>
      <c r="ID207" s="2415">
        <f>+D.P.V.!L297</f>
        <v>324.4627513588174</v>
      </c>
      <c r="IE207" s="2415">
        <f>+D.P.V.!M297</f>
        <v>348.61292984375825</v>
      </c>
      <c r="IF207" s="2415">
        <f>+D.P.V.!N297</f>
        <v>349.20578685848557</v>
      </c>
      <c r="IG207" s="2420">
        <f>+D.P.V.!C304</f>
        <v>358.82244784472698</v>
      </c>
      <c r="IH207" s="2415">
        <f>+D.P.V.!D304</f>
        <v>375.49464545177307</v>
      </c>
      <c r="II207" s="2415">
        <f>+D.P.V.!E304</f>
        <v>384.46598023211999</v>
      </c>
      <c r="IJ207" s="2420">
        <f>+D.P.V.!F304</f>
        <v>403.93743161066953</v>
      </c>
      <c r="IK207" s="2415">
        <f>+D.P.V.!G304</f>
        <v>411.43335067357879</v>
      </c>
      <c r="IL207" s="2415">
        <f>+D.P.V.!H304</f>
        <v>415.9223814734425</v>
      </c>
      <c r="IM207" s="2415">
        <f>+D.P.V.!I304</f>
        <v>428.34502305056776</v>
      </c>
      <c r="IN207" s="2415">
        <f>+D.P.V.!J304</f>
        <v>431.74565447468024</v>
      </c>
      <c r="IO207" s="2421">
        <f>+D.P.V.!K304</f>
        <v>439.14919188476512</v>
      </c>
      <c r="IP207" s="2415">
        <f>+D.P.V.!L304</f>
        <v>449.43449871741979</v>
      </c>
      <c r="IQ207" s="2415">
        <f>+D.P.V.!M304</f>
        <v>452.62525337686327</v>
      </c>
      <c r="IR207" s="2415">
        <f>+D.P.V.!N304</f>
        <v>456.28284930130758</v>
      </c>
      <c r="IS207" s="2422">
        <f>+D.P.V.!C311</f>
        <v>465.23759126051618</v>
      </c>
      <c r="IT207" s="2415">
        <f>+D.P.V.!D311</f>
        <v>477.0023499022368</v>
      </c>
      <c r="IU207" s="2415">
        <f>+D.P.V.!E311</f>
        <v>492.4951118445835</v>
      </c>
      <c r="IV207" s="2415">
        <f>+D.P.V.!F311</f>
        <v>501.32383805406573</v>
      </c>
      <c r="IW207" s="2415">
        <f>+D.P.V.!G311</f>
        <v>525.99287854054933</v>
      </c>
      <c r="IX207" s="2415">
        <f>+D.P.V.!H311</f>
        <v>558.09819362476912</v>
      </c>
      <c r="IY207" s="2415">
        <f>+D.P.V.!I311</f>
        <v>575.39464007031779</v>
      </c>
      <c r="IZ207" s="2415">
        <f>+D.P.V.!J311</f>
        <v>604.00156062209635</v>
      </c>
      <c r="JA207" s="2415">
        <f>+D.P.V.!K311</f>
        <v>656.54295298401723</v>
      </c>
      <c r="JB207" s="2415">
        <f>+D.P.V.!L311</f>
        <v>692.87540136688995</v>
      </c>
      <c r="JC207" s="2415">
        <f>+D.P.V.!M311</f>
        <v>731.02588480097609</v>
      </c>
      <c r="JD207" s="2415">
        <f>+D.P.V.!N311</f>
        <v>773.46404290813882</v>
      </c>
      <c r="JE207" s="2422">
        <f>+D.P.V.!C318</f>
        <v>827.63377401474554</v>
      </c>
      <c r="JF207" s="2418">
        <f>+D.P.V.!D318</f>
        <v>878.77509103628927</v>
      </c>
      <c r="JG207" s="2103">
        <f t="shared" si="19"/>
        <v>1.0617922064410974</v>
      </c>
      <c r="JI207" s="2155"/>
      <c r="JJ207" s="2104"/>
    </row>
    <row r="208" spans="2:271" s="2164" customFormat="1" ht="33" hidden="1" customHeight="1">
      <c r="B208" s="2142">
        <v>610</v>
      </c>
      <c r="C208" s="2143">
        <v>269</v>
      </c>
      <c r="D208" s="2145">
        <v>0</v>
      </c>
      <c r="E208" s="2160" t="s">
        <v>643</v>
      </c>
      <c r="F208" s="2143" t="s">
        <v>378</v>
      </c>
      <c r="G208" s="2143"/>
      <c r="H208" s="2145" t="s">
        <v>871</v>
      </c>
      <c r="I208" s="2143"/>
      <c r="J208" s="2146" t="s">
        <v>868</v>
      </c>
      <c r="K208" s="2145"/>
      <c r="L208" s="2147"/>
      <c r="M208" s="2147"/>
      <c r="N208" s="2147"/>
      <c r="O208" s="2147"/>
      <c r="P208" s="2147"/>
      <c r="Q208" s="2147"/>
      <c r="R208" s="2147"/>
      <c r="S208" s="2147"/>
      <c r="T208" s="2147"/>
      <c r="U208" s="2147"/>
      <c r="V208" s="2147"/>
      <c r="W208" s="2147"/>
      <c r="X208" s="2147"/>
      <c r="Y208" s="2147"/>
      <c r="Z208" s="2147"/>
      <c r="AA208" s="2147"/>
      <c r="AB208" s="2147"/>
      <c r="AC208" s="2147"/>
      <c r="AD208" s="2147"/>
      <c r="AE208" s="2147"/>
      <c r="AF208" s="2147"/>
      <c r="AG208" s="2147"/>
      <c r="AH208" s="2147"/>
      <c r="AI208" s="2147"/>
      <c r="AJ208" s="2147"/>
      <c r="AK208" s="2147"/>
      <c r="AL208" s="2147"/>
      <c r="AM208" s="2147"/>
      <c r="AN208" s="2147"/>
      <c r="AO208" s="2147"/>
      <c r="AP208" s="2147"/>
      <c r="AQ208" s="2147"/>
      <c r="AR208" s="2147"/>
      <c r="AS208" s="2147"/>
      <c r="AT208" s="2147"/>
      <c r="AU208" s="2147"/>
      <c r="AV208" s="2147"/>
      <c r="AW208" s="2148"/>
      <c r="AX208" s="2148"/>
      <c r="AY208" s="2148"/>
      <c r="AZ208" s="2148"/>
      <c r="BA208" s="2148"/>
      <c r="BB208" s="2148"/>
      <c r="BC208" s="2148"/>
      <c r="BD208" s="2149"/>
      <c r="BE208" s="2148"/>
      <c r="BF208" s="2149"/>
      <c r="BG208" s="2149"/>
      <c r="BH208" s="2149"/>
      <c r="BI208" s="2150"/>
      <c r="BJ208" s="2150"/>
      <c r="BK208" s="2150"/>
      <c r="BL208" s="2150"/>
      <c r="BM208" s="2150"/>
      <c r="BN208" s="2150"/>
      <c r="BO208" s="2150"/>
      <c r="BP208" s="2150"/>
      <c r="BQ208" s="2150"/>
      <c r="BR208" s="2150"/>
      <c r="BS208" s="2150"/>
      <c r="BT208" s="2150"/>
      <c r="BU208" s="2150"/>
      <c r="BV208" s="2150"/>
      <c r="BW208" s="2150"/>
      <c r="BX208" s="2150"/>
      <c r="BY208" s="2150"/>
      <c r="BZ208" s="2150"/>
      <c r="CA208" s="2150"/>
      <c r="CB208" s="2150"/>
      <c r="CC208" s="2150"/>
      <c r="CD208" s="2150"/>
      <c r="CE208" s="2150"/>
      <c r="CF208" s="2150"/>
      <c r="CG208" s="2150"/>
      <c r="CH208" s="2150"/>
      <c r="CI208" s="2150"/>
      <c r="CJ208" s="2150"/>
      <c r="CK208" s="2150"/>
      <c r="CL208" s="2150"/>
      <c r="CM208" s="2150"/>
      <c r="CN208" s="2150"/>
      <c r="CO208" s="2150"/>
      <c r="CP208" s="2150"/>
      <c r="CQ208" s="2150"/>
      <c r="CR208" s="2150"/>
      <c r="CS208" s="2150"/>
      <c r="CT208" s="2150"/>
      <c r="CU208" s="2150"/>
      <c r="CV208" s="2150"/>
      <c r="CW208" s="2150"/>
      <c r="CX208" s="2150"/>
      <c r="CY208" s="2150"/>
      <c r="CZ208" s="2150"/>
      <c r="DA208" s="2150"/>
      <c r="DB208" s="2150"/>
      <c r="DC208" s="2150"/>
      <c r="DD208" s="2150"/>
      <c r="DE208" s="2150"/>
      <c r="DF208" s="2150"/>
      <c r="DG208" s="2150">
        <v>395.45</v>
      </c>
      <c r="DH208" s="2150">
        <v>399.06</v>
      </c>
      <c r="DI208" s="2150">
        <v>408.64</v>
      </c>
      <c r="DJ208" s="2150">
        <v>409.99</v>
      </c>
      <c r="DK208" s="2150">
        <v>412.39</v>
      </c>
      <c r="DL208" s="2150">
        <v>415.28</v>
      </c>
      <c r="DM208" s="2150">
        <v>421.63</v>
      </c>
      <c r="DN208" s="2150">
        <v>424.37</v>
      </c>
      <c r="DO208" s="2150">
        <v>436.36</v>
      </c>
      <c r="DP208" s="2150">
        <v>439.07</v>
      </c>
      <c r="DQ208" s="2150">
        <v>440.85</v>
      </c>
      <c r="DR208" s="2150">
        <v>451.24</v>
      </c>
      <c r="DS208" s="2150">
        <v>452.8</v>
      </c>
      <c r="DT208" s="2150">
        <v>457.43</v>
      </c>
      <c r="DU208" s="2150">
        <v>466.01</v>
      </c>
      <c r="DV208" s="2150">
        <v>476.95</v>
      </c>
      <c r="DW208" s="2150">
        <v>480.35</v>
      </c>
      <c r="DX208" s="2150">
        <v>485.7</v>
      </c>
      <c r="DY208" s="2150">
        <v>489.46</v>
      </c>
      <c r="DZ208" s="2150">
        <v>493.46</v>
      </c>
      <c r="EA208" s="2150">
        <v>502.43</v>
      </c>
      <c r="EB208" s="2150">
        <v>514.72</v>
      </c>
      <c r="EC208" s="2150">
        <v>519.64</v>
      </c>
      <c r="ED208" s="2150">
        <v>528.32000000000005</v>
      </c>
      <c r="EE208" s="2150">
        <v>530.80999999999995</v>
      </c>
      <c r="EF208" s="2150">
        <v>541.79999999999995</v>
      </c>
      <c r="EG208" s="2150">
        <v>549.11</v>
      </c>
      <c r="EH208" s="2150">
        <v>558.42999999999995</v>
      </c>
      <c r="EI208" s="2150">
        <v>613.26</v>
      </c>
      <c r="EJ208" s="2150">
        <v>577.75</v>
      </c>
      <c r="EK208" s="2150">
        <v>587.82000000000005</v>
      </c>
      <c r="EL208" s="2150">
        <v>598.52</v>
      </c>
      <c r="EM208" s="2150">
        <v>610.46</v>
      </c>
      <c r="EN208" s="2150">
        <v>613.08000000000004</v>
      </c>
      <c r="EO208" s="2150">
        <v>615.29999999999995</v>
      </c>
      <c r="EP208" s="2150">
        <v>623.46</v>
      </c>
      <c r="EQ208" s="2150">
        <v>631.45000000000005</v>
      </c>
      <c r="ER208" s="2150">
        <v>635.39</v>
      </c>
      <c r="ES208" s="2150">
        <v>651.07000000000005</v>
      </c>
      <c r="ET208" s="2150">
        <v>661.71</v>
      </c>
      <c r="EU208" s="2150">
        <v>664.89</v>
      </c>
      <c r="EV208" s="2150">
        <v>676.43</v>
      </c>
      <c r="EW208" s="2150">
        <v>680.93</v>
      </c>
      <c r="EX208" s="2150">
        <v>687.9</v>
      </c>
      <c r="EY208" s="2150">
        <v>692.39</v>
      </c>
      <c r="EZ208" s="2150">
        <v>712.53</v>
      </c>
      <c r="FA208" s="2150">
        <v>737.56</v>
      </c>
      <c r="FB208" s="2150">
        <v>767.83</v>
      </c>
      <c r="FC208" s="2150">
        <v>795.77</v>
      </c>
      <c r="FD208" s="2150">
        <v>817.35</v>
      </c>
      <c r="FE208" s="2150">
        <v>824.58</v>
      </c>
      <c r="FF208" s="2150">
        <v>844.6</v>
      </c>
      <c r="FG208" s="2150">
        <v>852.49</v>
      </c>
      <c r="FH208" s="2150">
        <v>860.6</v>
      </c>
      <c r="FI208" s="2150">
        <v>889.34</v>
      </c>
      <c r="FJ208" s="2150">
        <v>900.64</v>
      </c>
      <c r="FK208" s="2150">
        <v>918.39</v>
      </c>
      <c r="FL208" s="2150">
        <v>927.17</v>
      </c>
      <c r="FM208" s="2150">
        <v>939.8</v>
      </c>
      <c r="FN208" s="2150">
        <v>945.82</v>
      </c>
      <c r="FO208" s="2150">
        <v>975.66</v>
      </c>
      <c r="FP208" s="2150">
        <v>986.68</v>
      </c>
      <c r="FQ208" s="2150">
        <v>1004.15</v>
      </c>
      <c r="FR208" s="2150">
        <v>1045.6300000000001</v>
      </c>
      <c r="FS208" s="2150">
        <v>1051.0999999999999</v>
      </c>
      <c r="FT208" s="2150">
        <v>1079.82</v>
      </c>
      <c r="FU208" s="2150">
        <v>1087.1400000000001</v>
      </c>
      <c r="FV208" s="2150">
        <v>1100.47</v>
      </c>
      <c r="FW208" s="2150" t="s">
        <v>521</v>
      </c>
      <c r="FX208" s="2150" t="s">
        <v>521</v>
      </c>
      <c r="FY208" s="2150" t="s">
        <v>521</v>
      </c>
      <c r="FZ208" s="2150" t="s">
        <v>521</v>
      </c>
      <c r="GA208" s="2150" t="s">
        <v>521</v>
      </c>
      <c r="GB208" s="2150" t="s">
        <v>521</v>
      </c>
      <c r="GC208" s="2150" t="s">
        <v>521</v>
      </c>
      <c r="GD208" s="2150" t="s">
        <v>521</v>
      </c>
      <c r="GE208" s="2150" t="s">
        <v>521</v>
      </c>
      <c r="GF208" s="2151" t="s">
        <v>521</v>
      </c>
      <c r="GG208" s="1964" t="s">
        <v>521</v>
      </c>
      <c r="GH208" s="2151" t="s">
        <v>521</v>
      </c>
      <c r="GI208" s="2151" t="s">
        <v>521</v>
      </c>
      <c r="GJ208" s="2150" t="s">
        <v>521</v>
      </c>
      <c r="GK208" s="2150" t="s">
        <v>521</v>
      </c>
      <c r="GL208" s="2150" t="s">
        <v>521</v>
      </c>
      <c r="GM208" s="2151" t="s">
        <v>521</v>
      </c>
      <c r="GN208" s="2151" t="s">
        <v>521</v>
      </c>
      <c r="GO208" s="2152" t="s">
        <v>521</v>
      </c>
      <c r="GP208" s="2153" t="s">
        <v>521</v>
      </c>
      <c r="GQ208" s="2153" t="s">
        <v>521</v>
      </c>
      <c r="GR208" s="2153" t="s">
        <v>521</v>
      </c>
      <c r="GS208" s="2153" t="s">
        <v>521</v>
      </c>
      <c r="GT208" s="1964" t="s">
        <v>521</v>
      </c>
      <c r="GU208" s="1964" t="s">
        <v>521</v>
      </c>
      <c r="GV208" s="1964" t="s">
        <v>521</v>
      </c>
      <c r="GW208" s="1964" t="s">
        <v>521</v>
      </c>
      <c r="GX208" s="1964" t="s">
        <v>521</v>
      </c>
      <c r="GY208" s="1964" t="s">
        <v>521</v>
      </c>
      <c r="GZ208" s="1964" t="s">
        <v>521</v>
      </c>
      <c r="HA208" s="1964" t="s">
        <v>521</v>
      </c>
      <c r="HB208" s="1964" t="s">
        <v>521</v>
      </c>
      <c r="HC208" s="1964" t="s">
        <v>521</v>
      </c>
      <c r="HD208" s="1964" t="s">
        <v>521</v>
      </c>
      <c r="HE208" s="1964" t="s">
        <v>521</v>
      </c>
      <c r="HF208" s="1964" t="s">
        <v>521</v>
      </c>
      <c r="HG208" s="1964" t="s">
        <v>521</v>
      </c>
      <c r="HH208" s="2154" t="s">
        <v>521</v>
      </c>
      <c r="HI208" s="1964" t="s">
        <v>521</v>
      </c>
      <c r="HJ208" s="1964" t="s">
        <v>521</v>
      </c>
      <c r="HK208" s="1964" t="s">
        <v>521</v>
      </c>
      <c r="HL208" s="1964" t="s">
        <v>521</v>
      </c>
      <c r="HM208" s="1964" t="s">
        <v>521</v>
      </c>
      <c r="HN208" s="1964" t="s">
        <v>521</v>
      </c>
      <c r="HO208" s="1964" t="s">
        <v>521</v>
      </c>
      <c r="HP208" s="1960" t="s">
        <v>481</v>
      </c>
      <c r="HQ208" s="1960" t="s">
        <v>481</v>
      </c>
      <c r="HR208" s="1960" t="s">
        <v>481</v>
      </c>
      <c r="HS208" s="1960"/>
      <c r="HT208" s="1962"/>
      <c r="HU208" s="1961"/>
      <c r="HV208" s="1960">
        <v>0</v>
      </c>
      <c r="HW208" s="1960">
        <v>0</v>
      </c>
      <c r="HX208" s="1960">
        <v>0</v>
      </c>
      <c r="HY208" s="1960">
        <v>0</v>
      </c>
      <c r="HZ208" s="1960">
        <v>0</v>
      </c>
      <c r="IA208" s="1960">
        <v>0</v>
      </c>
      <c r="IB208" s="1960">
        <v>0</v>
      </c>
      <c r="IC208" s="1960">
        <v>0</v>
      </c>
      <c r="ID208" s="1960">
        <v>0</v>
      </c>
      <c r="IE208" s="1960">
        <v>0</v>
      </c>
      <c r="IF208" s="1960">
        <v>0</v>
      </c>
      <c r="IG208" s="1961">
        <v>0</v>
      </c>
      <c r="IH208" s="1960">
        <v>0</v>
      </c>
      <c r="II208" s="1960">
        <v>0</v>
      </c>
      <c r="IJ208" s="1961">
        <v>0</v>
      </c>
      <c r="IK208" s="1960">
        <v>0</v>
      </c>
      <c r="IL208" s="1960">
        <v>0</v>
      </c>
      <c r="IM208" s="1960">
        <v>0</v>
      </c>
      <c r="IN208" s="1960">
        <v>0</v>
      </c>
      <c r="IO208" s="1960">
        <v>0</v>
      </c>
      <c r="IP208" s="1960">
        <v>0</v>
      </c>
      <c r="IQ208" s="1960">
        <v>0</v>
      </c>
      <c r="IR208" s="1960">
        <v>0</v>
      </c>
      <c r="IS208" s="2274">
        <v>0</v>
      </c>
      <c r="IT208" s="1960">
        <v>0</v>
      </c>
      <c r="IU208" s="1960">
        <v>0</v>
      </c>
      <c r="IV208" s="1960">
        <v>0</v>
      </c>
      <c r="IW208" s="1960">
        <v>0</v>
      </c>
      <c r="IX208" s="1960">
        <v>0</v>
      </c>
      <c r="IY208" s="1960">
        <v>0</v>
      </c>
      <c r="IZ208" s="1960">
        <v>0</v>
      </c>
      <c r="JA208" s="1960">
        <v>0</v>
      </c>
      <c r="JB208" s="1960">
        <v>0</v>
      </c>
      <c r="JC208" s="1960">
        <v>0</v>
      </c>
      <c r="JD208" s="1960">
        <v>0</v>
      </c>
      <c r="JE208" s="2274">
        <v>0</v>
      </c>
      <c r="JF208" s="2117">
        <v>0</v>
      </c>
      <c r="JG208" s="2103" t="e">
        <f t="shared" si="19"/>
        <v>#DIV/0!</v>
      </c>
      <c r="JI208" s="2528"/>
      <c r="JJ208" s="2104"/>
      <c r="JK208" s="2528"/>
    </row>
    <row r="209" spans="2:271" ht="33" customHeight="1">
      <c r="B209" s="2105">
        <v>611</v>
      </c>
      <c r="C209" s="2106" t="s">
        <v>459</v>
      </c>
      <c r="D209" s="2425" t="s">
        <v>1252</v>
      </c>
      <c r="E209" s="2128" t="s">
        <v>458</v>
      </c>
      <c r="F209" s="2106"/>
      <c r="G209" s="2425" t="s">
        <v>1112</v>
      </c>
      <c r="H209" s="2106" t="s">
        <v>919</v>
      </c>
      <c r="I209" s="2106"/>
      <c r="J209" s="2359" t="s">
        <v>870</v>
      </c>
      <c r="K209" s="2425"/>
      <c r="L209" s="2110"/>
      <c r="M209" s="2110"/>
      <c r="N209" s="2110"/>
      <c r="O209" s="2110"/>
      <c r="P209" s="2110"/>
      <c r="Q209" s="2110"/>
      <c r="R209" s="2110"/>
      <c r="S209" s="2110"/>
      <c r="T209" s="2110"/>
      <c r="U209" s="2110"/>
      <c r="V209" s="2110"/>
      <c r="W209" s="2110"/>
      <c r="X209" s="2110"/>
      <c r="Y209" s="2110"/>
      <c r="Z209" s="2110"/>
      <c r="AA209" s="2110"/>
      <c r="AB209" s="2110"/>
      <c r="AC209" s="2110"/>
      <c r="AD209" s="2110"/>
      <c r="AE209" s="2110"/>
      <c r="AF209" s="2110"/>
      <c r="AG209" s="2110"/>
      <c r="AH209" s="2110"/>
      <c r="AI209" s="2110"/>
      <c r="AJ209" s="2110"/>
      <c r="AK209" s="2110"/>
      <c r="AL209" s="2110"/>
      <c r="AM209" s="2110"/>
      <c r="AN209" s="2110"/>
      <c r="AO209" s="2110"/>
      <c r="AP209" s="2110"/>
      <c r="AQ209" s="2110"/>
      <c r="AR209" s="2110"/>
      <c r="AS209" s="2110"/>
      <c r="AT209" s="2110"/>
      <c r="AU209" s="2110"/>
      <c r="AV209" s="2110"/>
      <c r="AW209" s="2111"/>
      <c r="AX209" s="2111"/>
      <c r="AY209" s="2111"/>
      <c r="AZ209" s="2111"/>
      <c r="BA209" s="2111"/>
      <c r="BB209" s="2111"/>
      <c r="BC209" s="2111"/>
      <c r="BD209" s="2112"/>
      <c r="BE209" s="2111"/>
      <c r="BF209" s="2112"/>
      <c r="BG209" s="2112"/>
      <c r="BH209" s="2112"/>
      <c r="BI209" s="2108"/>
      <c r="BJ209" s="2108"/>
      <c r="BK209" s="2108"/>
      <c r="BL209" s="2108"/>
      <c r="BM209" s="2108"/>
      <c r="BN209" s="2108"/>
      <c r="BO209" s="2108"/>
      <c r="BP209" s="2108"/>
      <c r="BQ209" s="2108"/>
      <c r="BR209" s="2108"/>
      <c r="BS209" s="2108"/>
      <c r="BT209" s="2108"/>
      <c r="BU209" s="2108"/>
      <c r="BV209" s="2108"/>
      <c r="BW209" s="2108"/>
      <c r="BX209" s="2108"/>
      <c r="BY209" s="2108"/>
      <c r="BZ209" s="2108"/>
      <c r="CA209" s="2108"/>
      <c r="CB209" s="2108"/>
      <c r="CC209" s="2108"/>
      <c r="CD209" s="2108"/>
      <c r="CE209" s="2108"/>
      <c r="CF209" s="2108"/>
      <c r="CG209" s="2108"/>
      <c r="CH209" s="2108"/>
      <c r="CI209" s="2108"/>
      <c r="CJ209" s="2108"/>
      <c r="CK209" s="2108"/>
      <c r="CL209" s="2108"/>
      <c r="CM209" s="2108"/>
      <c r="CN209" s="2108"/>
      <c r="CO209" s="2108"/>
      <c r="CP209" s="2108"/>
      <c r="CQ209" s="2108"/>
      <c r="CR209" s="2108"/>
      <c r="CS209" s="2108"/>
      <c r="CT209" s="2108"/>
      <c r="CU209" s="2108"/>
      <c r="CV209" s="2108"/>
      <c r="CW209" s="2108"/>
      <c r="CX209" s="2108"/>
      <c r="CY209" s="2108"/>
      <c r="CZ209" s="2108"/>
      <c r="DA209" s="2108"/>
      <c r="DB209" s="2108"/>
      <c r="DC209" s="2108"/>
      <c r="DD209" s="2108"/>
      <c r="DE209" s="2108"/>
      <c r="DF209" s="2108"/>
      <c r="DG209" s="2108">
        <v>387.96</v>
      </c>
      <c r="DH209" s="2108">
        <v>402.13</v>
      </c>
      <c r="DI209" s="2108">
        <v>420.83</v>
      </c>
      <c r="DJ209" s="2108">
        <v>422.44</v>
      </c>
      <c r="DK209" s="2108">
        <v>412.85</v>
      </c>
      <c r="DL209" s="2108">
        <v>421.04</v>
      </c>
      <c r="DM209" s="2108">
        <v>426.01</v>
      </c>
      <c r="DN209" s="2108">
        <v>425.78</v>
      </c>
      <c r="DO209" s="2108">
        <v>430.09</v>
      </c>
      <c r="DP209" s="2108">
        <v>432.64</v>
      </c>
      <c r="DQ209" s="2108">
        <v>433.82</v>
      </c>
      <c r="DR209" s="2108">
        <v>437.87</v>
      </c>
      <c r="DS209" s="2108">
        <v>438.97</v>
      </c>
      <c r="DT209" s="2108">
        <v>447.66</v>
      </c>
      <c r="DU209" s="2108">
        <v>456.95</v>
      </c>
      <c r="DV209" s="2108">
        <v>469.57</v>
      </c>
      <c r="DW209" s="2108">
        <v>470.95</v>
      </c>
      <c r="DX209" s="2108">
        <v>476.41</v>
      </c>
      <c r="DY209" s="2108">
        <v>484.19</v>
      </c>
      <c r="DZ209" s="2108">
        <v>484.56</v>
      </c>
      <c r="EA209" s="2108">
        <v>488.6</v>
      </c>
      <c r="EB209" s="2108">
        <v>497.06</v>
      </c>
      <c r="EC209" s="2108">
        <v>500.11</v>
      </c>
      <c r="ED209" s="2108">
        <v>500.14</v>
      </c>
      <c r="EE209" s="2108">
        <v>502.45</v>
      </c>
      <c r="EF209" s="2108">
        <v>517.23</v>
      </c>
      <c r="EG209" s="2108">
        <v>518.65</v>
      </c>
      <c r="EH209" s="2108">
        <v>524.22</v>
      </c>
      <c r="EI209" s="2108">
        <v>528.02</v>
      </c>
      <c r="EJ209" s="2108">
        <v>532.4</v>
      </c>
      <c r="EK209" s="2108">
        <v>545.91999999999996</v>
      </c>
      <c r="EL209" s="2108">
        <v>555.62</v>
      </c>
      <c r="EM209" s="2108">
        <v>562.49</v>
      </c>
      <c r="EN209" s="2108">
        <v>574.51</v>
      </c>
      <c r="EO209" s="2108">
        <v>579.13</v>
      </c>
      <c r="EP209" s="2108">
        <v>590.95000000000005</v>
      </c>
      <c r="EQ209" s="2108">
        <v>607.12</v>
      </c>
      <c r="ER209" s="2108">
        <v>611.16</v>
      </c>
      <c r="ES209" s="2108">
        <v>613.86</v>
      </c>
      <c r="ET209" s="2108">
        <v>623.59</v>
      </c>
      <c r="EU209" s="2108">
        <v>646.02</v>
      </c>
      <c r="EV209" s="2108">
        <v>662.39</v>
      </c>
      <c r="EW209" s="2108">
        <v>645.42999999999995</v>
      </c>
      <c r="EX209" s="2108">
        <v>565.41</v>
      </c>
      <c r="EY209" s="2108">
        <v>666.03</v>
      </c>
      <c r="EZ209" s="2108">
        <v>667.73</v>
      </c>
      <c r="FA209" s="2108">
        <v>675.54</v>
      </c>
      <c r="FB209" s="2108">
        <v>690.35</v>
      </c>
      <c r="FC209" s="2108">
        <v>809.17</v>
      </c>
      <c r="FD209" s="2108">
        <v>823.68</v>
      </c>
      <c r="FE209" s="2108">
        <v>825.53</v>
      </c>
      <c r="FF209" s="2108">
        <v>834.58</v>
      </c>
      <c r="FG209" s="2108">
        <v>866.24</v>
      </c>
      <c r="FH209" s="2108">
        <v>883.06</v>
      </c>
      <c r="FI209" s="2108">
        <v>892.37</v>
      </c>
      <c r="FJ209" s="2108">
        <v>915.7</v>
      </c>
      <c r="FK209" s="2108">
        <v>917.73</v>
      </c>
      <c r="FL209" s="2108">
        <v>919</v>
      </c>
      <c r="FM209" s="2108">
        <v>925.82</v>
      </c>
      <c r="FN209" s="2108">
        <v>930.45</v>
      </c>
      <c r="FO209" s="2108">
        <v>947.2</v>
      </c>
      <c r="FP209" s="2108">
        <v>951.81</v>
      </c>
      <c r="FQ209" s="2108">
        <v>956.64</v>
      </c>
      <c r="FR209" s="2108">
        <v>1000.57</v>
      </c>
      <c r="FS209" s="2108">
        <v>1015.09</v>
      </c>
      <c r="FT209" s="2108">
        <v>1023.06</v>
      </c>
      <c r="FU209" s="2108">
        <v>1036.54</v>
      </c>
      <c r="FV209" s="2108">
        <v>1057.55</v>
      </c>
      <c r="FW209" s="2113">
        <v>1245.8110469967874</v>
      </c>
      <c r="FX209" s="2113">
        <v>1369.4177925278011</v>
      </c>
      <c r="FY209" s="2113">
        <v>100</v>
      </c>
      <c r="FZ209" s="2113">
        <v>106.27307891845703</v>
      </c>
      <c r="GA209" s="2113">
        <v>110.18439982403834</v>
      </c>
      <c r="GB209" s="2113">
        <v>113.3189503189963</v>
      </c>
      <c r="GC209" s="2113">
        <v>117.13428547976386</v>
      </c>
      <c r="GD209" s="2113">
        <v>120.07889333218552</v>
      </c>
      <c r="GE209" s="2113">
        <v>120.94894414581557</v>
      </c>
      <c r="GF209" s="2114">
        <v>123.10321629581456</v>
      </c>
      <c r="GG209" s="1960">
        <v>124.71057418890965</v>
      </c>
      <c r="GH209" s="2114">
        <v>125.17234748250993</v>
      </c>
      <c r="GI209" s="2114">
        <v>129.94413019744152</v>
      </c>
      <c r="GJ209" s="2113">
        <v>132.11059169105567</v>
      </c>
      <c r="GK209" s="2113">
        <v>133.19166873824068</v>
      </c>
      <c r="GL209" s="2113">
        <v>136.01942078430193</v>
      </c>
      <c r="GM209" s="2114">
        <v>135.89832071094918</v>
      </c>
      <c r="GN209" s="2114">
        <v>137.11914610321159</v>
      </c>
      <c r="GO209" s="2115">
        <v>137.55976553641889</v>
      </c>
      <c r="GP209" s="2116">
        <v>138.36723924537975</v>
      </c>
      <c r="GQ209" s="2116">
        <v>139.22481312838948</v>
      </c>
      <c r="GR209" s="2116">
        <v>141.73927531789425</v>
      </c>
      <c r="GS209" s="2116">
        <v>139.96660675097723</v>
      </c>
      <c r="GT209" s="1960">
        <v>141.44429203881998</v>
      </c>
      <c r="GU209" s="1960">
        <v>143.08373311354114</v>
      </c>
      <c r="GV209" s="1960">
        <v>144.24056687514098</v>
      </c>
      <c r="GW209" s="1960">
        <v>146.92237346966158</v>
      </c>
      <c r="GX209" s="1960">
        <v>149.11995428926662</v>
      </c>
      <c r="GY209" s="1960">
        <v>149.72515468053274</v>
      </c>
      <c r="GZ209" s="1960">
        <v>158.40319395188556</v>
      </c>
      <c r="HA209" s="1960">
        <v>181.43515802724207</v>
      </c>
      <c r="HB209" s="1960">
        <v>184.57065719755153</v>
      </c>
      <c r="HC209" s="1960">
        <v>199.11952669803125</v>
      </c>
      <c r="HD209" s="1960">
        <v>186.95575611192098</v>
      </c>
      <c r="HE209" s="1960">
        <v>239.70819962092457</v>
      </c>
      <c r="HF209" s="1960">
        <v>248.25355116141102</v>
      </c>
      <c r="HG209" s="1960">
        <v>249.92498491726647</v>
      </c>
      <c r="HH209" s="2117">
        <v>253.85042149554889</v>
      </c>
      <c r="HI209" s="1960">
        <v>254.41706056964907</v>
      </c>
      <c r="HJ209" s="1960">
        <v>260.12932363459771</v>
      </c>
      <c r="HK209" s="1960">
        <v>267.53422727779446</v>
      </c>
      <c r="HL209" s="1960">
        <v>277.83933577247302</v>
      </c>
      <c r="HM209" s="1960">
        <v>280.48052126275462</v>
      </c>
      <c r="HN209" s="1960">
        <v>282.14950969216466</v>
      </c>
      <c r="HO209" s="1960">
        <v>287.91550614173582</v>
      </c>
      <c r="HP209" s="1960">
        <v>332.81096339335249</v>
      </c>
      <c r="HQ209" s="1960">
        <v>353.82559473257481</v>
      </c>
      <c r="HR209" s="1960">
        <v>373.916911518782</v>
      </c>
      <c r="HS209" s="1960">
        <v>383.86925060959152</v>
      </c>
      <c r="HT209" s="1962">
        <v>394.12823637464237</v>
      </c>
      <c r="HU209" s="1961">
        <v>402.76220075433758</v>
      </c>
      <c r="HV209" s="1960">
        <v>411.31547367598625</v>
      </c>
      <c r="HW209" s="1960">
        <v>411.31547367598625</v>
      </c>
      <c r="HX209" s="1960">
        <v>411.31547367598625</v>
      </c>
      <c r="HY209" s="1960">
        <v>411.77542947545618</v>
      </c>
      <c r="HZ209" s="1960">
        <v>410.68676507523213</v>
      </c>
      <c r="IA209" s="1960">
        <v>410.19057614694395</v>
      </c>
      <c r="IB209" s="1960">
        <v>415.65423226669935</v>
      </c>
      <c r="IC209" s="1960">
        <v>415.65423226669935</v>
      </c>
      <c r="ID209" s="1960">
        <v>417.27785299516319</v>
      </c>
      <c r="IE209" s="1960">
        <v>421.21245314644523</v>
      </c>
      <c r="IF209" s="1960">
        <v>428.2182035412921</v>
      </c>
      <c r="IG209" s="1961">
        <v>440.40314457923273</v>
      </c>
      <c r="IH209" s="1960">
        <v>439.82605393886166</v>
      </c>
      <c r="II209" s="1960">
        <v>441.90272359308028</v>
      </c>
      <c r="IJ209" s="1961">
        <v>453.14478647773268</v>
      </c>
      <c r="IK209" s="1960">
        <v>461.36657936993294</v>
      </c>
      <c r="IL209" s="1960">
        <v>467.33709569937093</v>
      </c>
      <c r="IM209" s="1960">
        <v>469.51925850344452</v>
      </c>
      <c r="IN209" s="1960">
        <v>502.80447804573186</v>
      </c>
      <c r="IO209" s="1960">
        <v>521.7709668838861</v>
      </c>
      <c r="IP209" s="1960">
        <v>539.54726408875649</v>
      </c>
      <c r="IQ209" s="1960">
        <v>557.3304181847634</v>
      </c>
      <c r="IR209" s="1960">
        <v>568.45506214161094</v>
      </c>
      <c r="IS209" s="2274">
        <v>589.19668471145155</v>
      </c>
      <c r="IT209" s="1960">
        <v>596.76606292918962</v>
      </c>
      <c r="IU209" s="1960">
        <v>604.05129212196653</v>
      </c>
      <c r="IV209" s="1960">
        <v>617.96055322809639</v>
      </c>
      <c r="IW209" s="1960">
        <v>641.92130969117352</v>
      </c>
      <c r="IX209" s="1960">
        <v>658.10932153313411</v>
      </c>
      <c r="IY209" s="1960">
        <v>727.55647327897611</v>
      </c>
      <c r="IZ209" s="1960">
        <v>758.0921123084878</v>
      </c>
      <c r="JA209" s="1960">
        <v>789.38760365364055</v>
      </c>
      <c r="JB209" s="1960">
        <v>854.87328931981847</v>
      </c>
      <c r="JC209" s="1960">
        <v>878.66703728760149</v>
      </c>
      <c r="JD209" s="1960">
        <v>932.34237250462161</v>
      </c>
      <c r="JE209" s="2274">
        <v>1002.0742137923485</v>
      </c>
      <c r="JF209" s="2117">
        <v>1172.2455641188064</v>
      </c>
      <c r="JG209" s="2103">
        <f t="shared" si="19"/>
        <v>1.1698191091879759</v>
      </c>
      <c r="JI209" s="2155"/>
      <c r="JJ209" s="2104"/>
    </row>
    <row r="210" spans="2:271" ht="49.5" customHeight="1" thickBot="1">
      <c r="B210" s="2167">
        <v>612</v>
      </c>
      <c r="C210" s="2168"/>
      <c r="D210" s="2427" t="s">
        <v>1296</v>
      </c>
      <c r="E210" s="2169" t="s">
        <v>1295</v>
      </c>
      <c r="F210" s="2168"/>
      <c r="G210" s="2427" t="s">
        <v>1112</v>
      </c>
      <c r="H210" s="2168"/>
      <c r="I210" s="2168"/>
      <c r="J210" s="2170" t="s">
        <v>1303</v>
      </c>
      <c r="K210" s="2427" t="s">
        <v>1305</v>
      </c>
      <c r="L210" s="2171"/>
      <c r="M210" s="2171"/>
      <c r="N210" s="2171"/>
      <c r="O210" s="2171"/>
      <c r="P210" s="2171"/>
      <c r="Q210" s="2171"/>
      <c r="R210" s="2171"/>
      <c r="S210" s="2171"/>
      <c r="T210" s="2171"/>
      <c r="U210" s="2171"/>
      <c r="V210" s="2171"/>
      <c r="W210" s="2171"/>
      <c r="X210" s="2171"/>
      <c r="Y210" s="2171"/>
      <c r="Z210" s="2171"/>
      <c r="AA210" s="2171"/>
      <c r="AB210" s="2171"/>
      <c r="AC210" s="2171"/>
      <c r="AD210" s="2171"/>
      <c r="AE210" s="2171"/>
      <c r="AF210" s="2171"/>
      <c r="AG210" s="2171"/>
      <c r="AH210" s="2171"/>
      <c r="AI210" s="2171"/>
      <c r="AJ210" s="2171"/>
      <c r="AK210" s="2171"/>
      <c r="AL210" s="2171"/>
      <c r="AM210" s="2171"/>
      <c r="AN210" s="2171"/>
      <c r="AO210" s="2171"/>
      <c r="AP210" s="2171"/>
      <c r="AQ210" s="2171"/>
      <c r="AR210" s="2171"/>
      <c r="AS210" s="2171"/>
      <c r="AT210" s="2171"/>
      <c r="AU210" s="2171"/>
      <c r="AV210" s="2171"/>
      <c r="AW210" s="2172"/>
      <c r="AX210" s="2172"/>
      <c r="AY210" s="2172"/>
      <c r="AZ210" s="2172"/>
      <c r="BA210" s="2172"/>
      <c r="BB210" s="2172"/>
      <c r="BC210" s="2172"/>
      <c r="BD210" s="2173"/>
      <c r="BE210" s="2172"/>
      <c r="BF210" s="2173"/>
      <c r="BG210" s="2173"/>
      <c r="BH210" s="2173"/>
      <c r="BI210" s="2174"/>
      <c r="BJ210" s="2174"/>
      <c r="BK210" s="2174"/>
      <c r="BL210" s="2174"/>
      <c r="BM210" s="2174"/>
      <c r="BN210" s="2174"/>
      <c r="BO210" s="2174"/>
      <c r="BP210" s="2174"/>
      <c r="BQ210" s="2174"/>
      <c r="BR210" s="2174"/>
      <c r="BS210" s="2174"/>
      <c r="BT210" s="2174"/>
      <c r="BU210" s="2174"/>
      <c r="BV210" s="2174"/>
      <c r="BW210" s="2174"/>
      <c r="BX210" s="2174"/>
      <c r="BY210" s="2174"/>
      <c r="BZ210" s="2174"/>
      <c r="CA210" s="2174"/>
      <c r="CB210" s="2174"/>
      <c r="CC210" s="2174"/>
      <c r="CD210" s="2174"/>
      <c r="CE210" s="2174"/>
      <c r="CF210" s="2174"/>
      <c r="CG210" s="2174"/>
      <c r="CH210" s="2174"/>
      <c r="CI210" s="2174"/>
      <c r="CJ210" s="2174"/>
      <c r="CK210" s="2174"/>
      <c r="CL210" s="2174"/>
      <c r="CM210" s="2174"/>
      <c r="CN210" s="2174"/>
      <c r="CO210" s="2174"/>
      <c r="CP210" s="2174"/>
      <c r="CQ210" s="2174"/>
      <c r="CR210" s="2174"/>
      <c r="CS210" s="2174"/>
      <c r="CT210" s="2174"/>
      <c r="CU210" s="2174"/>
      <c r="CV210" s="2174"/>
      <c r="CW210" s="2174"/>
      <c r="CX210" s="2174"/>
      <c r="CY210" s="2174"/>
      <c r="CZ210" s="2174"/>
      <c r="DA210" s="2174"/>
      <c r="DB210" s="2174"/>
      <c r="DC210" s="2174"/>
      <c r="DD210" s="2174"/>
      <c r="DE210" s="2174"/>
      <c r="DF210" s="2174"/>
      <c r="DG210" s="2174"/>
      <c r="DH210" s="2174"/>
      <c r="DI210" s="2174"/>
      <c r="DJ210" s="2174"/>
      <c r="DK210" s="2174"/>
      <c r="DL210" s="2174"/>
      <c r="DM210" s="2174"/>
      <c r="DN210" s="2174"/>
      <c r="DO210" s="2174"/>
      <c r="DP210" s="2174"/>
      <c r="DQ210" s="2174"/>
      <c r="DR210" s="2174"/>
      <c r="DS210" s="2174"/>
      <c r="DT210" s="2174"/>
      <c r="DU210" s="2174"/>
      <c r="DV210" s="2174"/>
      <c r="DW210" s="2174"/>
      <c r="DX210" s="2174"/>
      <c r="DY210" s="2174"/>
      <c r="DZ210" s="2174"/>
      <c r="EA210" s="2174"/>
      <c r="EB210" s="2174"/>
      <c r="EC210" s="2174"/>
      <c r="ED210" s="2174"/>
      <c r="EE210" s="2174"/>
      <c r="EF210" s="2174"/>
      <c r="EG210" s="2174"/>
      <c r="EH210" s="2174"/>
      <c r="EI210" s="2174"/>
      <c r="EJ210" s="2174"/>
      <c r="EK210" s="2174"/>
      <c r="EL210" s="2174"/>
      <c r="EM210" s="2174"/>
      <c r="EN210" s="2174"/>
      <c r="EO210" s="2174"/>
      <c r="EP210" s="2174"/>
      <c r="EQ210" s="2174"/>
      <c r="ER210" s="2174"/>
      <c r="ES210" s="2174"/>
      <c r="ET210" s="2174"/>
      <c r="EU210" s="2174"/>
      <c r="EV210" s="2174"/>
      <c r="EW210" s="2174"/>
      <c r="EX210" s="2174"/>
      <c r="EY210" s="2174"/>
      <c r="EZ210" s="2174"/>
      <c r="FA210" s="2174"/>
      <c r="FB210" s="2174"/>
      <c r="FC210" s="2174"/>
      <c r="FD210" s="2174"/>
      <c r="FE210" s="2174"/>
      <c r="FF210" s="2174"/>
      <c r="FG210" s="2174"/>
      <c r="FH210" s="2174"/>
      <c r="FI210" s="2174"/>
      <c r="FJ210" s="2174"/>
      <c r="FK210" s="2174"/>
      <c r="FL210" s="2174"/>
      <c r="FM210" s="2174"/>
      <c r="FN210" s="2174"/>
      <c r="FO210" s="2174"/>
      <c r="FP210" s="2174"/>
      <c r="FQ210" s="2174"/>
      <c r="FR210" s="2174"/>
      <c r="FS210" s="2174"/>
      <c r="FT210" s="2174"/>
      <c r="FU210" s="2174"/>
      <c r="FV210" s="2174"/>
      <c r="FW210" s="2175"/>
      <c r="FX210" s="2175"/>
      <c r="FY210" s="2175"/>
      <c r="FZ210" s="2175"/>
      <c r="GA210" s="2175"/>
      <c r="GB210" s="2175"/>
      <c r="GC210" s="2175"/>
      <c r="GD210" s="2175"/>
      <c r="GE210" s="2175"/>
      <c r="GF210" s="2295"/>
      <c r="GG210" s="2296"/>
      <c r="GH210" s="2295"/>
      <c r="GI210" s="2295"/>
      <c r="GJ210" s="2175"/>
      <c r="GK210" s="2175"/>
      <c r="GL210" s="2175"/>
      <c r="GM210" s="2295"/>
      <c r="GN210" s="2295"/>
      <c r="GO210" s="2297"/>
      <c r="GP210" s="2298"/>
      <c r="GQ210" s="2298"/>
      <c r="GR210" s="2298"/>
      <c r="GS210" s="2298"/>
      <c r="GT210" s="2296"/>
      <c r="GU210" s="2296"/>
      <c r="GV210" s="2296"/>
      <c r="GW210" s="2296"/>
      <c r="GX210" s="2296"/>
      <c r="GY210" s="2296"/>
      <c r="GZ210" s="2296"/>
      <c r="HA210" s="2296"/>
      <c r="HB210" s="2296"/>
      <c r="HC210" s="2296"/>
      <c r="HD210" s="2296"/>
      <c r="HE210" s="2296"/>
      <c r="HF210" s="2296"/>
      <c r="HG210" s="2296"/>
      <c r="HH210" s="2299"/>
      <c r="HI210" s="2296"/>
      <c r="HJ210" s="2296"/>
      <c r="HK210" s="2296"/>
      <c r="HL210" s="2296"/>
      <c r="HM210" s="2296"/>
      <c r="HN210" s="2296"/>
      <c r="HO210" s="2296"/>
      <c r="HP210" s="2296"/>
      <c r="HQ210" s="2296"/>
      <c r="HR210" s="2296"/>
      <c r="HS210" s="2296"/>
      <c r="HT210" s="2300"/>
      <c r="HU210" s="2301">
        <v>100</v>
      </c>
      <c r="HV210" s="2296">
        <v>101.49498328022084</v>
      </c>
      <c r="HW210" s="2296">
        <v>104.76905018964111</v>
      </c>
      <c r="HX210" s="2296">
        <v>108.14873329585176</v>
      </c>
      <c r="HY210" s="2296">
        <v>111.63743960956243</v>
      </c>
      <c r="HZ210" s="2296">
        <v>115.23868604623534</v>
      </c>
      <c r="IA210" s="2296">
        <v>118.95610297143797</v>
      </c>
      <c r="IB210" s="2296">
        <v>122.79343786056322</v>
      </c>
      <c r="IC210" s="2296">
        <v>126.75455907660633</v>
      </c>
      <c r="ID210" s="2296">
        <v>130.84345976980688</v>
      </c>
      <c r="IE210" s="2296">
        <v>162.71480511779097</v>
      </c>
      <c r="IF210" s="2296">
        <v>173.78195205112448</v>
      </c>
      <c r="IG210" s="2301">
        <v>174.17410095073953</v>
      </c>
      <c r="IH210" s="2296">
        <v>181.95856740176029</v>
      </c>
      <c r="II210" s="2296">
        <v>184.26575761499788</v>
      </c>
      <c r="IJ210" s="2301">
        <v>182.96710307968777</v>
      </c>
      <c r="IK210" s="2296">
        <v>191.95865750388674</v>
      </c>
      <c r="IL210" s="2296">
        <v>198.33470173636724</v>
      </c>
      <c r="IM210" s="2296">
        <v>201.93176586210379</v>
      </c>
      <c r="IN210" s="2296">
        <v>205.657896993675</v>
      </c>
      <c r="IO210" s="2296">
        <v>205.66179935227044</v>
      </c>
      <c r="IP210" s="2296">
        <v>205.71907121680275</v>
      </c>
      <c r="IQ210" s="2296">
        <v>206.14974409239511</v>
      </c>
      <c r="IR210" s="2296">
        <v>206.29854312221121</v>
      </c>
      <c r="IS210" s="2302">
        <v>207.02304900398528</v>
      </c>
      <c r="IT210" s="2296">
        <v>211.32212930476263</v>
      </c>
      <c r="IU210" s="2296">
        <v>216.23682541887692</v>
      </c>
      <c r="IV210" s="2296">
        <v>240.91921180535692</v>
      </c>
      <c r="IW210" s="2296">
        <v>261.18864273266672</v>
      </c>
      <c r="IX210" s="2296">
        <v>274.15591416152506</v>
      </c>
      <c r="IY210" s="2296">
        <v>297.50249311127334</v>
      </c>
      <c r="IZ210" s="2296">
        <v>334.78064702699987</v>
      </c>
      <c r="JA210" s="2296">
        <v>340.37568958373834</v>
      </c>
      <c r="JB210" s="2296">
        <v>357.68251099788807</v>
      </c>
      <c r="JC210" s="2296">
        <v>363.99832378988435</v>
      </c>
      <c r="JD210" s="2296">
        <v>376.04809337118337</v>
      </c>
      <c r="JE210" s="2302">
        <v>391.2155623021668</v>
      </c>
      <c r="JF210" s="2299">
        <v>413.80538918638973</v>
      </c>
      <c r="JG210" s="2103">
        <f t="shared" si="19"/>
        <v>1.0577426591909833</v>
      </c>
      <c r="JI210" s="2155"/>
      <c r="JJ210" s="2104"/>
    </row>
    <row r="211" spans="2:271" ht="16.5" hidden="1" thickBot="1">
      <c r="B211" s="2305"/>
      <c r="C211" s="2306"/>
      <c r="D211" s="2307"/>
      <c r="E211" s="2308"/>
      <c r="F211" s="2306"/>
      <c r="G211" s="2306"/>
      <c r="H211" s="2306"/>
      <c r="I211" s="2306"/>
      <c r="J211" s="2309"/>
      <c r="K211" s="2307"/>
      <c r="L211" s="2310"/>
      <c r="M211" s="2310"/>
      <c r="N211" s="2310"/>
      <c r="O211" s="2310"/>
      <c r="P211" s="2310"/>
      <c r="Q211" s="2310"/>
      <c r="R211" s="2310"/>
      <c r="S211" s="2310"/>
      <c r="T211" s="2310"/>
      <c r="U211" s="2310"/>
      <c r="V211" s="2310"/>
      <c r="W211" s="2310"/>
      <c r="X211" s="2310"/>
      <c r="Y211" s="2310"/>
      <c r="Z211" s="2310"/>
      <c r="AA211" s="2310"/>
      <c r="AB211" s="2310"/>
      <c r="AC211" s="2310"/>
      <c r="AD211" s="2310"/>
      <c r="AE211" s="2310"/>
      <c r="AF211" s="2310"/>
      <c r="AG211" s="2310"/>
      <c r="AH211" s="2310"/>
      <c r="AI211" s="2310"/>
      <c r="AJ211" s="2310"/>
      <c r="AK211" s="2310"/>
      <c r="AL211" s="2310"/>
      <c r="AM211" s="2310"/>
      <c r="AN211" s="2310"/>
      <c r="AO211" s="2310"/>
      <c r="AP211" s="2310"/>
      <c r="AQ211" s="2310"/>
      <c r="AR211" s="2310"/>
      <c r="AS211" s="2310"/>
      <c r="AT211" s="2310"/>
      <c r="AU211" s="2310"/>
      <c r="AV211" s="2310"/>
      <c r="AW211" s="2311"/>
      <c r="AX211" s="2311"/>
      <c r="AY211" s="2311"/>
      <c r="AZ211" s="2311"/>
      <c r="BA211" s="2311"/>
      <c r="BB211" s="2311"/>
      <c r="BC211" s="2311"/>
      <c r="BD211" s="2312"/>
      <c r="BE211" s="2311"/>
      <c r="BF211" s="2312"/>
      <c r="BG211" s="2312"/>
      <c r="BH211" s="2312"/>
      <c r="BI211" s="2313"/>
      <c r="BJ211" s="2313"/>
      <c r="BK211" s="2313"/>
      <c r="BL211" s="2313"/>
      <c r="BM211" s="2313"/>
      <c r="BN211" s="2313"/>
      <c r="BO211" s="2313"/>
      <c r="BP211" s="2313"/>
      <c r="BQ211" s="2313"/>
      <c r="BR211" s="2313"/>
      <c r="BS211" s="2313"/>
      <c r="BT211" s="2313"/>
      <c r="BU211" s="2313"/>
      <c r="BV211" s="2313"/>
      <c r="BW211" s="2313"/>
      <c r="BX211" s="2313"/>
      <c r="BY211" s="2313"/>
      <c r="BZ211" s="2313"/>
      <c r="CA211" s="2313"/>
      <c r="CB211" s="2313"/>
      <c r="CC211" s="2313"/>
      <c r="CD211" s="2313"/>
      <c r="CE211" s="2313"/>
      <c r="CF211" s="2313"/>
      <c r="CG211" s="2313"/>
      <c r="CH211" s="2313"/>
      <c r="CI211" s="2313"/>
      <c r="CJ211" s="2313"/>
      <c r="CK211" s="2313"/>
      <c r="CL211" s="2313"/>
      <c r="CM211" s="2313"/>
      <c r="CN211" s="2313"/>
      <c r="CO211" s="2313"/>
      <c r="CP211" s="2313"/>
      <c r="CQ211" s="2313"/>
      <c r="CR211" s="2313"/>
      <c r="CS211" s="2313"/>
      <c r="CT211" s="2313"/>
      <c r="CU211" s="2313"/>
      <c r="CV211" s="2313"/>
      <c r="CW211" s="2313"/>
      <c r="CX211" s="2313"/>
      <c r="CY211" s="2313"/>
      <c r="CZ211" s="2313"/>
      <c r="DA211" s="2313"/>
      <c r="DB211" s="2313"/>
      <c r="DC211" s="2313"/>
      <c r="DD211" s="2313"/>
      <c r="DE211" s="2313"/>
      <c r="DF211" s="2313"/>
      <c r="DG211" s="2313"/>
      <c r="DH211" s="2313"/>
      <c r="DI211" s="2313"/>
      <c r="DJ211" s="2313"/>
      <c r="DK211" s="2313"/>
      <c r="DL211" s="2313"/>
      <c r="DM211" s="2313"/>
      <c r="DN211" s="2313"/>
      <c r="DO211" s="2313"/>
      <c r="DP211" s="2313"/>
      <c r="DQ211" s="2313"/>
      <c r="DR211" s="2313"/>
      <c r="DS211" s="2313"/>
      <c r="DT211" s="2313"/>
      <c r="DU211" s="2313"/>
      <c r="DV211" s="2313"/>
      <c r="DW211" s="2313"/>
      <c r="DX211" s="2313"/>
      <c r="DY211" s="2313"/>
      <c r="DZ211" s="2313"/>
      <c r="EA211" s="2313"/>
      <c r="EB211" s="2313"/>
      <c r="EC211" s="2313"/>
      <c r="ED211" s="2313"/>
      <c r="EE211" s="2313"/>
      <c r="EF211" s="2313"/>
      <c r="EG211" s="2313"/>
      <c r="EH211" s="2313"/>
      <c r="EI211" s="2313"/>
      <c r="EJ211" s="2313"/>
      <c r="EK211" s="2313"/>
      <c r="EL211" s="2313"/>
      <c r="EM211" s="2313"/>
      <c r="EN211" s="2313"/>
      <c r="EO211" s="2313"/>
      <c r="EP211" s="2313"/>
      <c r="EQ211" s="2313"/>
      <c r="ER211" s="2313"/>
      <c r="ES211" s="2313"/>
      <c r="ET211" s="2313"/>
      <c r="EU211" s="2313"/>
      <c r="EV211" s="2313"/>
      <c r="EW211" s="2313"/>
      <c r="EX211" s="2313"/>
      <c r="EY211" s="2313"/>
      <c r="EZ211" s="2313"/>
      <c r="FA211" s="2313"/>
      <c r="FB211" s="2313"/>
      <c r="FC211" s="2313"/>
      <c r="FD211" s="2313"/>
      <c r="FE211" s="2313"/>
      <c r="FF211" s="2313"/>
      <c r="FG211" s="2313"/>
      <c r="FH211" s="2313"/>
      <c r="FI211" s="2313"/>
      <c r="FJ211" s="2313"/>
      <c r="FK211" s="2313"/>
      <c r="FL211" s="2313"/>
      <c r="FM211" s="2313"/>
      <c r="FN211" s="2313"/>
      <c r="FO211" s="2313"/>
      <c r="FP211" s="2313"/>
      <c r="FQ211" s="2313"/>
      <c r="FR211" s="2313"/>
      <c r="FS211" s="2313"/>
      <c r="FT211" s="2313"/>
      <c r="FU211" s="2313"/>
      <c r="FV211" s="2313"/>
      <c r="FW211" s="2314"/>
      <c r="FX211" s="2314"/>
      <c r="FY211" s="2314" t="s">
        <v>481</v>
      </c>
      <c r="FZ211" s="2314" t="s">
        <v>481</v>
      </c>
      <c r="GA211" s="2314" t="s">
        <v>481</v>
      </c>
      <c r="GB211" s="2315"/>
      <c r="GC211" s="2315"/>
      <c r="GD211" s="2315"/>
      <c r="GE211" s="2315"/>
      <c r="GF211" s="2316"/>
      <c r="GG211" s="2317"/>
      <c r="GH211" s="2316"/>
      <c r="GI211" s="2316"/>
      <c r="GJ211" s="2315"/>
      <c r="GK211" s="2315"/>
      <c r="GL211" s="2315"/>
      <c r="GM211" s="2316"/>
      <c r="GN211" s="2316"/>
      <c r="GO211" s="2318"/>
      <c r="GP211" s="2319"/>
      <c r="GQ211" s="2319"/>
      <c r="GR211" s="2319"/>
      <c r="GS211" s="2319"/>
      <c r="GT211" s="2317"/>
      <c r="GU211" s="2317"/>
      <c r="GV211" s="2317"/>
      <c r="GW211" s="2317"/>
      <c r="GX211" s="2317"/>
      <c r="GY211" s="2317"/>
      <c r="GZ211" s="2317"/>
      <c r="HA211" s="2317"/>
      <c r="HB211" s="2317"/>
      <c r="HC211" s="2317"/>
      <c r="HD211" s="2317"/>
      <c r="HE211" s="2317"/>
      <c r="HF211" s="2317"/>
      <c r="HG211" s="2317"/>
      <c r="HH211" s="2320"/>
      <c r="HI211" s="2317"/>
      <c r="HJ211" s="2317"/>
      <c r="HK211" s="2317"/>
      <c r="HL211" s="2317"/>
      <c r="HM211" s="2317"/>
      <c r="HN211" s="2317"/>
      <c r="HO211" s="2317"/>
      <c r="HP211" s="2317"/>
      <c r="HQ211" s="2317"/>
      <c r="HR211" s="2317"/>
      <c r="HS211" s="2317"/>
      <c r="HT211" s="2321"/>
      <c r="HU211" s="2322"/>
      <c r="HV211" s="2317"/>
      <c r="HW211" s="2317"/>
      <c r="HX211" s="2317"/>
      <c r="HY211" s="2317"/>
      <c r="HZ211" s="2317"/>
      <c r="IA211" s="2317"/>
      <c r="IB211" s="2317"/>
      <c r="IC211" s="2317"/>
      <c r="ID211" s="2317"/>
      <c r="IE211" s="2317"/>
      <c r="IF211" s="2317"/>
      <c r="IG211" s="2322"/>
      <c r="IH211" s="2317"/>
      <c r="II211" s="2317"/>
      <c r="IJ211" s="2317"/>
      <c r="IK211" s="2317"/>
      <c r="IL211" s="2317"/>
      <c r="IM211" s="2317"/>
      <c r="IN211" s="2317"/>
      <c r="IO211" s="2317"/>
      <c r="IP211" s="2317"/>
      <c r="IQ211" s="2317"/>
      <c r="IR211" s="2317"/>
      <c r="IS211" s="2317"/>
      <c r="IT211" s="2317"/>
      <c r="IU211" s="2317"/>
      <c r="IV211" s="2321"/>
      <c r="IW211" s="2321"/>
      <c r="IX211" s="2321"/>
      <c r="IY211" s="2321"/>
      <c r="IZ211" s="2321"/>
      <c r="JA211" s="2321"/>
      <c r="JB211" s="2321"/>
      <c r="JC211" s="2321"/>
      <c r="JD211" s="2321"/>
      <c r="JE211" s="2321"/>
      <c r="JF211" s="2321"/>
      <c r="JG211" s="2103" t="e">
        <f t="shared" si="19"/>
        <v>#DIV/0!</v>
      </c>
    </row>
    <row r="212" spans="2:271">
      <c r="B212" s="2176" t="s">
        <v>398</v>
      </c>
      <c r="C212" s="2177"/>
      <c r="D212" s="2178"/>
      <c r="E212" s="2177"/>
      <c r="F212" s="2177"/>
      <c r="G212" s="2365"/>
      <c r="H212" s="2177"/>
      <c r="I212" s="2177"/>
      <c r="J212" s="2179"/>
      <c r="K212" s="2178"/>
      <c r="L212" s="2180"/>
      <c r="M212" s="2180"/>
      <c r="N212" s="2180"/>
      <c r="O212" s="2180"/>
      <c r="P212" s="2180"/>
      <c r="Q212" s="2180"/>
      <c r="R212" s="2180"/>
      <c r="S212" s="2180"/>
      <c r="T212" s="2180"/>
      <c r="U212" s="2180"/>
      <c r="V212" s="2180"/>
      <c r="W212" s="2181"/>
      <c r="X212" s="2181"/>
      <c r="Y212" s="2182"/>
      <c r="Z212" s="2182"/>
      <c r="AA212" s="2177"/>
      <c r="AB212" s="2177"/>
      <c r="AC212" s="2177"/>
      <c r="AD212" s="2177"/>
      <c r="AE212" s="2177"/>
      <c r="AF212" s="2177"/>
      <c r="AG212" s="2177"/>
      <c r="AH212" s="2177"/>
      <c r="AI212" s="2183"/>
      <c r="AJ212" s="2183"/>
      <c r="AK212" s="2182"/>
      <c r="AL212" s="2182"/>
      <c r="AM212" s="2177"/>
      <c r="AN212" s="2177"/>
      <c r="AO212" s="2177"/>
      <c r="AP212" s="2177"/>
      <c r="AQ212" s="2183"/>
      <c r="AR212" s="2183"/>
      <c r="AS212" s="2177"/>
      <c r="AT212" s="2177"/>
      <c r="AU212" s="2177"/>
      <c r="AV212" s="2177"/>
      <c r="AW212" s="2177"/>
      <c r="AX212" s="2177"/>
      <c r="AY212" s="2177"/>
      <c r="AZ212" s="2183"/>
      <c r="BA212" s="2183"/>
      <c r="BB212" s="2177"/>
      <c r="BC212" s="2177"/>
      <c r="BD212" s="2184"/>
      <c r="BE212" s="2183"/>
      <c r="BF212" s="2184"/>
      <c r="BG212" s="2184"/>
      <c r="BH212" s="2184"/>
      <c r="BI212" s="2184"/>
      <c r="BJ212" s="2184"/>
      <c r="BK212" s="2184"/>
      <c r="BL212" s="2184"/>
      <c r="BM212" s="2184"/>
      <c r="BN212" s="2184"/>
      <c r="BO212" s="2184"/>
      <c r="BP212" s="2184"/>
      <c r="BQ212" s="2184"/>
      <c r="BR212" s="2184"/>
      <c r="BS212" s="2184"/>
      <c r="BT212" s="2184"/>
      <c r="BU212" s="2184"/>
      <c r="BV212" s="2184"/>
      <c r="BW212" s="2184"/>
      <c r="BX212" s="2184"/>
      <c r="BY212" s="2184"/>
      <c r="BZ212" s="2184"/>
      <c r="CA212" s="2184"/>
      <c r="CB212" s="2184"/>
      <c r="CC212" s="2184"/>
      <c r="CD212" s="2184"/>
      <c r="CE212" s="2184"/>
      <c r="CF212" s="2184"/>
      <c r="CG212" s="2184"/>
      <c r="CH212" s="2184"/>
      <c r="CI212" s="2184"/>
      <c r="CJ212" s="2184"/>
      <c r="CK212" s="2184"/>
      <c r="CL212" s="2184"/>
      <c r="CM212" s="2184"/>
      <c r="CN212" s="2184"/>
      <c r="CO212" s="2184"/>
      <c r="CP212" s="2184"/>
      <c r="CQ212" s="2184"/>
      <c r="CR212" s="2184"/>
      <c r="CS212" s="2184"/>
      <c r="CT212" s="2184"/>
      <c r="CU212" s="2184"/>
      <c r="CV212" s="2184"/>
      <c r="CW212" s="2184"/>
      <c r="CX212" s="2184"/>
      <c r="CY212" s="2184"/>
      <c r="CZ212" s="2184"/>
      <c r="DA212" s="2184"/>
      <c r="DB212" s="2184"/>
      <c r="DC212" s="2184"/>
      <c r="DD212" s="2184"/>
      <c r="DE212" s="2184"/>
      <c r="DF212" s="2184"/>
      <c r="DG212" s="2184"/>
      <c r="DH212" s="2184"/>
      <c r="DI212" s="2184" t="s">
        <v>779</v>
      </c>
      <c r="DJ212" s="2184"/>
      <c r="DK212" s="2184"/>
      <c r="DL212" s="2184"/>
      <c r="DM212" s="2184"/>
      <c r="DN212" s="2184"/>
      <c r="DO212" s="2184"/>
      <c r="DP212" s="2184"/>
      <c r="DQ212" s="2184"/>
      <c r="DR212" s="2184"/>
      <c r="DS212" s="2184"/>
      <c r="DT212" s="2184"/>
      <c r="DU212" s="2184"/>
      <c r="DV212" s="2184"/>
      <c r="DW212" s="2184"/>
      <c r="DX212" s="2184"/>
      <c r="DY212" s="2184"/>
      <c r="DZ212" s="2184"/>
      <c r="EA212" s="2184"/>
      <c r="EB212" s="2184"/>
      <c r="EC212" s="2184"/>
      <c r="ED212" s="2184"/>
      <c r="EE212" s="2184"/>
      <c r="EF212" s="2184"/>
      <c r="EG212" s="2184"/>
      <c r="EH212" s="2184"/>
      <c r="EI212" s="2184"/>
      <c r="EJ212" s="2184"/>
      <c r="EK212" s="2184"/>
      <c r="EL212" s="2184"/>
      <c r="EM212" s="2184"/>
      <c r="EN212" s="2184"/>
      <c r="EO212" s="2184"/>
      <c r="EP212" s="2184"/>
      <c r="EQ212" s="2184"/>
      <c r="ER212" s="2184"/>
      <c r="ES212" s="2184"/>
      <c r="ET212" s="2184"/>
      <c r="EU212" s="2184"/>
      <c r="EV212" s="2184"/>
      <c r="EW212" s="2184"/>
      <c r="EX212" s="2184"/>
      <c r="EY212" s="2184"/>
      <c r="EZ212" s="2184"/>
      <c r="FA212" s="2184"/>
      <c r="FB212" s="2184"/>
      <c r="FC212" s="2184"/>
      <c r="FD212" s="2184"/>
      <c r="FE212" s="2184"/>
      <c r="FF212" s="2184"/>
      <c r="FG212" s="2184"/>
      <c r="FH212" s="2184"/>
      <c r="FI212" s="2184"/>
      <c r="FJ212" s="2184"/>
      <c r="FK212" s="2184"/>
      <c r="FL212" s="2184"/>
      <c r="FM212" s="2184"/>
      <c r="FN212" s="2184"/>
      <c r="FO212" s="2184"/>
      <c r="FP212" s="2184"/>
      <c r="FQ212" s="2184"/>
      <c r="FR212" s="2184"/>
      <c r="FS212" s="2184"/>
      <c r="FT212" s="2184"/>
      <c r="FU212" s="2184"/>
      <c r="FV212" s="2184"/>
      <c r="FW212" s="2185"/>
      <c r="FX212" s="2185"/>
      <c r="FY212" s="2186"/>
      <c r="FZ212" s="2186"/>
      <c r="GA212" s="2186"/>
      <c r="GB212" s="2187"/>
      <c r="GC212" s="2187"/>
      <c r="GD212" s="2187"/>
      <c r="GE212" s="2187"/>
      <c r="GF212" s="2187"/>
      <c r="GG212" s="2187"/>
      <c r="GH212" s="2187"/>
      <c r="GI212" s="2187"/>
      <c r="GJ212" s="2187"/>
      <c r="GK212" s="2187"/>
      <c r="GL212" s="2187"/>
      <c r="GM212" s="2187"/>
      <c r="GN212" s="2187"/>
      <c r="GO212" s="2187"/>
      <c r="GP212" s="2187"/>
      <c r="GQ212" s="2187"/>
      <c r="GR212" s="2187"/>
      <c r="GS212" s="2187"/>
      <c r="GT212" s="2187"/>
      <c r="GU212" s="2187"/>
      <c r="GV212" s="2187"/>
      <c r="GW212" s="2187"/>
      <c r="GX212" s="2187"/>
      <c r="GY212" s="2187"/>
      <c r="GZ212" s="2187"/>
      <c r="HA212" s="2187"/>
      <c r="HB212" s="2187"/>
      <c r="HC212" s="2187"/>
      <c r="HD212" s="2187"/>
      <c r="HE212" s="2187"/>
      <c r="HF212" s="2187"/>
      <c r="HG212" s="2187"/>
      <c r="HH212" s="2187"/>
      <c r="HI212" s="2187"/>
      <c r="HJ212" s="2187"/>
      <c r="HK212" s="2187"/>
      <c r="HL212" s="2187"/>
      <c r="HM212" s="2187"/>
      <c r="HN212" s="2187"/>
      <c r="HO212" s="2187"/>
      <c r="HP212" s="2187"/>
      <c r="HQ212" s="2187"/>
      <c r="HR212" s="2187"/>
      <c r="HS212" s="2187"/>
      <c r="HT212" s="2187"/>
      <c r="HU212" s="2187"/>
      <c r="HV212" s="2187"/>
      <c r="HW212" s="2187"/>
      <c r="HX212" s="2187"/>
      <c r="HY212" s="2187"/>
      <c r="HZ212" s="2187"/>
      <c r="IA212" s="2187"/>
      <c r="IB212" s="2187"/>
      <c r="IC212" s="2187"/>
      <c r="ID212" s="2187"/>
      <c r="IE212" s="2187"/>
      <c r="IF212" s="2187"/>
      <c r="IG212" s="2187"/>
      <c r="IH212" s="2187"/>
      <c r="II212" s="2187"/>
      <c r="IJ212" s="2187"/>
      <c r="IK212" s="2187"/>
      <c r="IL212" s="2187"/>
      <c r="IM212" s="2187"/>
      <c r="IN212" s="2187"/>
      <c r="IO212" s="2187"/>
      <c r="IP212" s="2187"/>
      <c r="IQ212" s="2187"/>
      <c r="IR212" s="2187"/>
      <c r="IS212" s="2187"/>
      <c r="IT212" s="2187"/>
      <c r="IU212" s="2187"/>
      <c r="IV212" s="2187"/>
      <c r="IW212" s="2187"/>
      <c r="IX212" s="2187"/>
      <c r="IY212" s="2187"/>
      <c r="IZ212" s="2187"/>
      <c r="JA212" s="2187"/>
      <c r="JB212" s="2187"/>
      <c r="JC212" s="2187"/>
      <c r="JD212" s="2187"/>
      <c r="JE212" s="2187"/>
      <c r="JF212" s="2188"/>
    </row>
    <row r="213" spans="2:271">
      <c r="B213" s="2189">
        <v>1</v>
      </c>
      <c r="C213" s="2190"/>
      <c r="D213" s="2191" t="s">
        <v>399</v>
      </c>
      <c r="E213" s="2423"/>
      <c r="F213" s="2191"/>
      <c r="G213" s="2237"/>
      <c r="H213" s="2191"/>
      <c r="I213" s="2191"/>
      <c r="J213" s="2191"/>
      <c r="K213" s="2238"/>
      <c r="L213" s="2423" t="s">
        <v>882</v>
      </c>
      <c r="M213" s="2192"/>
      <c r="N213" s="2192"/>
      <c r="O213" s="2192"/>
      <c r="P213" s="2192"/>
      <c r="Q213" s="2192"/>
      <c r="R213" s="2192"/>
      <c r="S213" s="2192"/>
      <c r="T213" s="2192"/>
      <c r="U213" s="2192"/>
      <c r="V213" s="2192"/>
      <c r="W213" s="2192"/>
      <c r="X213" s="2192"/>
      <c r="Y213" s="2192"/>
      <c r="Z213" s="2191"/>
      <c r="AA213" s="2191"/>
      <c r="AB213" s="2191"/>
      <c r="AC213" s="2191"/>
      <c r="AD213" s="2191"/>
      <c r="AE213" s="2191"/>
      <c r="AF213" s="2191"/>
      <c r="AG213" s="2191"/>
      <c r="AH213" s="2191"/>
      <c r="AI213" s="2191"/>
      <c r="AJ213" s="2193"/>
      <c r="AK213" s="2193"/>
      <c r="AL213" s="2191"/>
      <c r="AM213" s="2191"/>
      <c r="AN213" s="2191"/>
      <c r="AO213" s="2191"/>
      <c r="AP213" s="2191"/>
      <c r="AQ213" s="2191"/>
      <c r="AR213" s="2193"/>
      <c r="AS213" s="2193"/>
      <c r="AT213" s="2191"/>
      <c r="AU213" s="2191"/>
      <c r="AV213" s="2191"/>
      <c r="AW213" s="2191"/>
      <c r="AX213" s="2191"/>
      <c r="AY213" s="2191"/>
      <c r="AZ213" s="2191"/>
      <c r="BA213" s="2194" t="s">
        <v>481</v>
      </c>
      <c r="BB213" s="2194" t="s">
        <v>481</v>
      </c>
      <c r="BC213" s="2191"/>
      <c r="BD213" s="2191"/>
      <c r="BE213" s="2193"/>
      <c r="BF213" s="2193"/>
      <c r="BG213" s="2193"/>
      <c r="BH213" s="2193"/>
      <c r="BI213" s="2193"/>
      <c r="BJ213" s="2193"/>
      <c r="BK213" s="2193"/>
      <c r="BL213" s="2193"/>
      <c r="BM213" s="2193"/>
      <c r="BN213" s="2193"/>
      <c r="BO213" s="2193"/>
      <c r="BP213" s="2193"/>
      <c r="BQ213" s="2193"/>
      <c r="BR213" s="2193"/>
      <c r="BS213" s="2193"/>
      <c r="BT213" s="2193"/>
      <c r="BU213" s="2193"/>
      <c r="BV213" s="2193"/>
      <c r="BW213" s="2193"/>
      <c r="BX213" s="2193"/>
      <c r="BY213" s="2193"/>
      <c r="BZ213" s="2193"/>
      <c r="CA213" s="2193"/>
      <c r="CB213" s="2193"/>
      <c r="CC213" s="2193"/>
      <c r="CD213" s="2193"/>
      <c r="CE213" s="2193"/>
      <c r="CF213" s="2193"/>
      <c r="CG213" s="2193"/>
      <c r="CH213" s="2193"/>
      <c r="CI213" s="2193"/>
      <c r="CJ213" s="2193"/>
      <c r="CK213" s="2193"/>
      <c r="CL213" s="2193"/>
      <c r="CM213" s="2193"/>
      <c r="CN213" s="2193"/>
      <c r="CO213" s="2193"/>
      <c r="CP213" s="2193"/>
      <c r="CQ213" s="2193"/>
      <c r="CR213" s="2193"/>
      <c r="CS213" s="2193"/>
      <c r="CT213" s="2193"/>
      <c r="CU213" s="2193"/>
      <c r="CV213" s="2193"/>
      <c r="CW213" s="2193"/>
      <c r="CX213" s="2193"/>
      <c r="CY213" s="2193"/>
      <c r="CZ213" s="2193"/>
      <c r="DA213" s="2193"/>
      <c r="DB213" s="2193"/>
      <c r="DC213" s="2193"/>
      <c r="DD213" s="2193"/>
      <c r="DE213" s="2193"/>
      <c r="DF213" s="2193"/>
      <c r="DG213" s="2193"/>
      <c r="DH213" s="2193"/>
      <c r="DI213" s="2193"/>
      <c r="DJ213" s="2193"/>
      <c r="DK213" s="2193"/>
      <c r="DL213" s="2193"/>
      <c r="DM213" s="2193"/>
      <c r="DN213" s="2193"/>
      <c r="DO213" s="2193"/>
      <c r="DP213" s="2193"/>
      <c r="DQ213" s="2193"/>
      <c r="DR213" s="2193"/>
      <c r="DS213" s="2193"/>
      <c r="DT213" s="2193"/>
      <c r="DU213" s="2193"/>
      <c r="DV213" s="2193"/>
      <c r="DW213" s="2193"/>
      <c r="DX213" s="2193"/>
      <c r="DY213" s="2193"/>
      <c r="DZ213" s="2193"/>
      <c r="EA213" s="2193"/>
      <c r="EB213" s="2193"/>
      <c r="EC213" s="2193"/>
      <c r="ED213" s="2193"/>
      <c r="EE213" s="2193"/>
      <c r="EF213" s="2193"/>
      <c r="EG213" s="2193"/>
      <c r="EH213" s="2193"/>
      <c r="EI213" s="2193"/>
      <c r="EJ213" s="2193"/>
      <c r="EK213" s="2193"/>
      <c r="EL213" s="2193"/>
      <c r="EM213" s="2193"/>
      <c r="EN213" s="2193"/>
      <c r="EO213" s="2193"/>
      <c r="EP213" s="2193"/>
      <c r="EQ213" s="2193"/>
      <c r="ER213" s="2193"/>
      <c r="ES213" s="2193"/>
      <c r="ET213" s="2193"/>
      <c r="EU213" s="2193"/>
      <c r="EV213" s="2193"/>
      <c r="EW213" s="2193"/>
      <c r="EX213" s="2193"/>
      <c r="EY213" s="2193"/>
      <c r="EZ213" s="2193"/>
      <c r="FA213" s="2193"/>
      <c r="FB213" s="2193"/>
      <c r="FC213" s="2193"/>
      <c r="FD213" s="2193"/>
      <c r="FE213" s="2193"/>
      <c r="FF213" s="2193"/>
      <c r="FG213" s="2193"/>
      <c r="FH213" s="2193"/>
      <c r="FI213" s="2193"/>
      <c r="FJ213" s="2193"/>
      <c r="FK213" s="2193"/>
      <c r="FL213" s="2193"/>
      <c r="FM213" s="2193"/>
      <c r="FN213" s="2193"/>
      <c r="FO213" s="2193"/>
      <c r="FP213" s="2193"/>
      <c r="FQ213" s="2193"/>
      <c r="FR213" s="2193"/>
      <c r="FS213" s="2193"/>
      <c r="FT213" s="2193"/>
      <c r="FU213" s="2193"/>
      <c r="FV213" s="2193"/>
      <c r="FW213" s="2195"/>
      <c r="FX213" s="2195"/>
      <c r="FY213" s="2195"/>
      <c r="FZ213" s="2195"/>
      <c r="GA213" s="2195"/>
      <c r="GB213" s="2196"/>
      <c r="GC213" s="2196"/>
      <c r="GD213" s="2196"/>
      <c r="GE213" s="2196"/>
      <c r="GF213" s="2196"/>
      <c r="GG213" s="2196"/>
      <c r="GH213" s="2196"/>
      <c r="GI213" s="2196"/>
      <c r="GJ213" s="2196"/>
      <c r="GK213" s="2196"/>
      <c r="GL213" s="2196"/>
      <c r="GM213" s="2196"/>
      <c r="GN213" s="2196"/>
      <c r="GO213" s="2196"/>
      <c r="GP213" s="2196"/>
      <c r="GQ213" s="2196"/>
      <c r="GR213" s="2196"/>
      <c r="GS213" s="2196"/>
      <c r="GT213" s="2196"/>
      <c r="GU213" s="2196"/>
      <c r="GV213" s="2196"/>
      <c r="GW213" s="2196"/>
      <c r="GX213" s="2196"/>
      <c r="GY213" s="2196"/>
      <c r="GZ213" s="2196"/>
      <c r="HA213" s="2196"/>
      <c r="HB213" s="2196"/>
      <c r="HC213" s="2196"/>
      <c r="HD213" s="2196"/>
      <c r="HE213" s="2196"/>
      <c r="HF213" s="2196"/>
      <c r="HG213" s="2196"/>
      <c r="HH213" s="2196"/>
      <c r="HI213" s="2196"/>
      <c r="HJ213" s="2196"/>
      <c r="HK213" s="2196"/>
      <c r="HL213" s="2196"/>
      <c r="HM213" s="2196"/>
      <c r="HN213" s="2196"/>
      <c r="HO213" s="2196"/>
      <c r="HP213" s="2196"/>
      <c r="HQ213" s="2196"/>
      <c r="HR213" s="2196"/>
      <c r="HS213" s="2196"/>
      <c r="HT213" s="2196"/>
      <c r="HU213" s="2196"/>
      <c r="HV213" s="2196"/>
      <c r="HW213" s="2196"/>
      <c r="HX213" s="2196"/>
      <c r="HY213" s="2196"/>
      <c r="HZ213" s="2196"/>
      <c r="IA213" s="2196"/>
      <c r="IB213" s="2196"/>
      <c r="IC213" s="2196"/>
      <c r="ID213" s="2196"/>
      <c r="IE213" s="2196"/>
      <c r="IF213" s="2196"/>
      <c r="IG213" s="2196"/>
      <c r="IH213" s="2196"/>
      <c r="II213" s="2196"/>
      <c r="IJ213" s="2196"/>
      <c r="IK213" s="2196"/>
      <c r="IL213" s="2196"/>
      <c r="IM213" s="2196"/>
      <c r="IN213" s="2196"/>
      <c r="IO213" s="2196"/>
      <c r="IP213" s="2196"/>
      <c r="IQ213" s="2196"/>
      <c r="IR213" s="2196"/>
      <c r="IS213" s="2196"/>
      <c r="IT213" s="2196"/>
      <c r="IU213" s="2196"/>
      <c r="IV213" s="2196"/>
      <c r="IW213" s="2196"/>
      <c r="IX213" s="2196"/>
      <c r="IY213" s="2196"/>
      <c r="IZ213" s="2196"/>
      <c r="JA213" s="2196"/>
      <c r="JB213" s="2196"/>
      <c r="JC213" s="2196"/>
      <c r="JD213" s="2196"/>
      <c r="JE213" s="2196"/>
      <c r="JF213" s="2197"/>
    </row>
    <row r="214" spans="2:271" hidden="1">
      <c r="B214" s="2198">
        <v>2</v>
      </c>
      <c r="C214" s="2190"/>
      <c r="D214" s="2199" t="s">
        <v>35</v>
      </c>
      <c r="E214" s="2200"/>
      <c r="F214" s="2201"/>
      <c r="G214" s="2199"/>
      <c r="H214" s="2201"/>
      <c r="I214" s="2201"/>
      <c r="J214" s="2201"/>
      <c r="K214" s="2370"/>
      <c r="L214" s="2200"/>
      <c r="M214" s="2201"/>
      <c r="N214" s="2201"/>
      <c r="O214" s="2201"/>
      <c r="P214" s="2201"/>
      <c r="Q214" s="2201"/>
      <c r="R214" s="2201"/>
      <c r="S214" s="2201"/>
      <c r="T214" s="2201"/>
      <c r="U214" s="2201"/>
      <c r="V214" s="2201"/>
      <c r="W214" s="2201"/>
      <c r="X214" s="2202"/>
      <c r="Y214" s="2202"/>
      <c r="Z214" s="2202"/>
      <c r="AA214" s="2202"/>
      <c r="AB214" s="2201"/>
      <c r="AC214" s="2201"/>
      <c r="AD214" s="2201"/>
      <c r="AE214" s="2201"/>
      <c r="AF214" s="2201"/>
      <c r="AG214" s="2201"/>
      <c r="AH214" s="2201"/>
      <c r="AI214" s="2201"/>
      <c r="AJ214" s="2201"/>
      <c r="AK214" s="2201"/>
      <c r="AL214" s="2202"/>
      <c r="AM214" s="2202"/>
      <c r="AN214" s="2201"/>
      <c r="AO214" s="2201"/>
      <c r="AP214" s="2201"/>
      <c r="AQ214" s="2201"/>
      <c r="AR214" s="2201"/>
      <c r="AS214" s="2201"/>
      <c r="AT214" s="2201"/>
      <c r="AU214" s="2201"/>
      <c r="AV214" s="2201"/>
      <c r="AW214" s="2201"/>
      <c r="AX214" s="2201"/>
      <c r="AY214" s="2201"/>
      <c r="AZ214" s="2201"/>
      <c r="BA214" s="2201"/>
      <c r="BB214" s="2201"/>
      <c r="BC214" s="2201"/>
      <c r="BD214" s="2201"/>
      <c r="BE214" s="2199"/>
      <c r="BF214" s="2201"/>
      <c r="BG214" s="2199"/>
      <c r="BH214" s="2199"/>
      <c r="BI214" s="2199"/>
      <c r="BJ214" s="2199"/>
      <c r="BK214" s="2199"/>
      <c r="BL214" s="2199"/>
      <c r="BM214" s="2199"/>
      <c r="BN214" s="2199"/>
      <c r="BO214" s="2199"/>
      <c r="BP214" s="2199"/>
      <c r="BQ214" s="2199"/>
      <c r="BR214" s="2199"/>
      <c r="BS214" s="2199"/>
      <c r="BT214" s="2199"/>
      <c r="BU214" s="2199"/>
      <c r="BV214" s="2199"/>
      <c r="BW214" s="2199"/>
      <c r="BX214" s="2199"/>
      <c r="BY214" s="2199"/>
      <c r="BZ214" s="2199"/>
      <c r="CA214" s="2199"/>
      <c r="CB214" s="2199"/>
      <c r="CC214" s="2199"/>
      <c r="CD214" s="2199"/>
      <c r="CE214" s="2199"/>
      <c r="CF214" s="2199"/>
      <c r="CG214" s="2199"/>
      <c r="CH214" s="2199"/>
      <c r="CI214" s="2199"/>
      <c r="CJ214" s="2199"/>
      <c r="CK214" s="2199"/>
      <c r="CL214" s="2199"/>
      <c r="CM214" s="2199"/>
      <c r="CN214" s="2199"/>
      <c r="CO214" s="2199"/>
      <c r="CP214" s="2199"/>
      <c r="CQ214" s="2199"/>
      <c r="CR214" s="2199"/>
      <c r="CS214" s="2199"/>
      <c r="CT214" s="2199"/>
      <c r="CU214" s="2199"/>
      <c r="CV214" s="2199"/>
      <c r="CW214" s="2199"/>
      <c r="CX214" s="2199"/>
      <c r="CY214" s="2199"/>
      <c r="CZ214" s="2199"/>
      <c r="DA214" s="2199"/>
      <c r="DB214" s="2199"/>
      <c r="DC214" s="2199"/>
      <c r="DD214" s="2199"/>
      <c r="DE214" s="2199"/>
      <c r="DF214" s="2199"/>
      <c r="DG214" s="2199"/>
      <c r="DH214" s="2199"/>
      <c r="DI214" s="2199"/>
      <c r="DJ214" s="2199"/>
      <c r="DK214" s="2199"/>
      <c r="DL214" s="2199"/>
      <c r="DM214" s="2199"/>
      <c r="DN214" s="2199"/>
      <c r="DO214" s="2199"/>
      <c r="DP214" s="2199"/>
      <c r="DQ214" s="2199"/>
      <c r="DR214" s="2199"/>
      <c r="DS214" s="2199"/>
      <c r="DT214" s="2199"/>
      <c r="DU214" s="2199"/>
      <c r="DV214" s="2199"/>
      <c r="DW214" s="2199"/>
      <c r="DX214" s="2199"/>
      <c r="DY214" s="2199"/>
      <c r="DZ214" s="2199"/>
      <c r="EA214" s="2199"/>
      <c r="EB214" s="2199"/>
      <c r="EC214" s="2199"/>
      <c r="ED214" s="2199"/>
      <c r="EE214" s="2199"/>
      <c r="EF214" s="2199"/>
      <c r="EG214" s="2199"/>
      <c r="EH214" s="2199"/>
      <c r="EI214" s="2199"/>
      <c r="EJ214" s="2199"/>
      <c r="EK214" s="2199"/>
      <c r="EL214" s="2199"/>
      <c r="EM214" s="2199"/>
      <c r="EN214" s="2199"/>
      <c r="EO214" s="2199"/>
      <c r="EP214" s="2199"/>
      <c r="EQ214" s="2199"/>
      <c r="ER214" s="2199"/>
      <c r="ES214" s="2199"/>
      <c r="ET214" s="2199"/>
      <c r="EU214" s="2199"/>
      <c r="EV214" s="2199"/>
      <c r="EW214" s="2199"/>
      <c r="EX214" s="2199"/>
      <c r="EY214" s="2199"/>
      <c r="EZ214" s="2199"/>
      <c r="FA214" s="2199"/>
      <c r="FB214" s="2199"/>
      <c r="FC214" s="2199"/>
      <c r="FD214" s="2199"/>
      <c r="FE214" s="2199"/>
      <c r="FF214" s="2199"/>
      <c r="FG214" s="2199"/>
      <c r="FH214" s="2199"/>
      <c r="FI214" s="2199"/>
      <c r="FJ214" s="2199"/>
      <c r="FK214" s="2199"/>
      <c r="FL214" s="2199"/>
      <c r="FM214" s="2199"/>
      <c r="FN214" s="2199"/>
      <c r="FO214" s="2199"/>
      <c r="FP214" s="2199"/>
      <c r="FQ214" s="2199"/>
      <c r="FR214" s="2199"/>
      <c r="FS214" s="2199"/>
      <c r="FT214" s="2199"/>
      <c r="FU214" s="2199"/>
      <c r="FV214" s="2199"/>
      <c r="FW214" s="2203"/>
      <c r="FX214" s="2203"/>
      <c r="FY214" s="2034"/>
      <c r="FZ214" s="2034"/>
      <c r="GA214" s="2034"/>
      <c r="GB214" s="2204"/>
      <c r="GC214" s="2204"/>
      <c r="GD214" s="2204"/>
      <c r="GE214" s="2204"/>
      <c r="GF214" s="2204"/>
      <c r="GG214" s="2204"/>
      <c r="GH214" s="2204"/>
      <c r="GI214" s="2204"/>
      <c r="GJ214" s="2204"/>
      <c r="GK214" s="2204"/>
      <c r="GL214" s="2204"/>
      <c r="GM214" s="2204"/>
      <c r="GN214" s="2204"/>
      <c r="GO214" s="2204"/>
      <c r="GP214" s="2204"/>
      <c r="GQ214" s="2204"/>
      <c r="GR214" s="2204"/>
      <c r="GS214" s="2204"/>
      <c r="GT214" s="2204"/>
      <c r="GU214" s="2204"/>
      <c r="GV214" s="2204"/>
      <c r="GW214" s="2204"/>
      <c r="GX214" s="2204"/>
      <c r="GY214" s="2204"/>
      <c r="GZ214" s="2204"/>
      <c r="HA214" s="2204"/>
      <c r="HB214" s="2204"/>
      <c r="HC214" s="2204"/>
      <c r="HD214" s="2204"/>
      <c r="HE214" s="2204"/>
      <c r="HF214" s="2204"/>
      <c r="HG214" s="2204"/>
      <c r="HH214" s="2204"/>
      <c r="HI214" s="2204"/>
      <c r="HJ214" s="2204"/>
      <c r="HK214" s="2204"/>
      <c r="HL214" s="2204"/>
      <c r="HM214" s="2204"/>
      <c r="HN214" s="2204"/>
      <c r="HO214" s="2204"/>
      <c r="HP214" s="2204"/>
      <c r="HQ214" s="2204"/>
      <c r="HR214" s="2204"/>
      <c r="HS214" s="2204"/>
      <c r="HT214" s="2204"/>
      <c r="HU214" s="2204"/>
      <c r="HV214" s="2204"/>
      <c r="HW214" s="2204"/>
      <c r="HX214" s="2204"/>
      <c r="HY214" s="2204"/>
      <c r="HZ214" s="2204"/>
      <c r="IA214" s="2204"/>
      <c r="IB214" s="2204"/>
      <c r="IC214" s="2204"/>
      <c r="ID214" s="2204"/>
      <c r="IE214" s="2204"/>
      <c r="IF214" s="2204"/>
      <c r="IG214" s="2204"/>
      <c r="IH214" s="2204"/>
      <c r="II214" s="2204"/>
      <c r="IJ214" s="2204"/>
      <c r="IK214" s="2204"/>
      <c r="IL214" s="2204"/>
      <c r="IM214" s="2204"/>
      <c r="IN214" s="2204"/>
      <c r="IO214" s="2204"/>
      <c r="IP214" s="2204"/>
      <c r="IQ214" s="2204"/>
      <c r="IR214" s="2204"/>
      <c r="IS214" s="2204"/>
      <c r="IT214" s="2204"/>
      <c r="IU214" s="2204"/>
      <c r="IV214" s="2204"/>
      <c r="IW214" s="2204"/>
      <c r="IX214" s="2204"/>
      <c r="IY214" s="2204"/>
      <c r="IZ214" s="2204"/>
      <c r="JA214" s="2204"/>
      <c r="JB214" s="2204"/>
      <c r="JC214" s="2204"/>
      <c r="JD214" s="2204"/>
      <c r="JE214" s="2204"/>
      <c r="JF214" s="2205"/>
    </row>
    <row r="215" spans="2:271">
      <c r="B215" s="2189">
        <v>3</v>
      </c>
      <c r="C215" s="2190"/>
      <c r="D215" s="2191" t="s">
        <v>400</v>
      </c>
      <c r="E215" s="2206"/>
      <c r="F215" s="2190"/>
      <c r="G215" s="2237"/>
      <c r="H215" s="2190"/>
      <c r="I215" s="2190"/>
      <c r="J215" s="2190"/>
      <c r="K215" s="2238"/>
      <c r="L215" s="2206"/>
      <c r="M215" s="2207"/>
      <c r="N215" s="2207"/>
      <c r="O215" s="2207"/>
      <c r="P215" s="2207"/>
      <c r="Q215" s="2207"/>
      <c r="R215" s="2207"/>
      <c r="S215" s="2207"/>
      <c r="T215" s="2207"/>
      <c r="U215" s="2207"/>
      <c r="V215" s="2207"/>
      <c r="W215" s="2207"/>
      <c r="X215" s="2208"/>
      <c r="Y215" s="2208"/>
      <c r="Z215" s="2209"/>
      <c r="AA215" s="2209"/>
      <c r="AB215" s="2190"/>
      <c r="AC215" s="2190"/>
      <c r="AD215" s="2190"/>
      <c r="AE215" s="2190"/>
      <c r="AF215" s="2190"/>
      <c r="AG215" s="2190"/>
      <c r="AH215" s="2190"/>
      <c r="AI215" s="2190"/>
      <c r="AJ215" s="2190"/>
      <c r="AK215" s="2210"/>
      <c r="AL215" s="2209"/>
      <c r="AM215" s="2209"/>
      <c r="AN215" s="2190"/>
      <c r="AO215" s="2190"/>
      <c r="AP215" s="2190"/>
      <c r="AQ215" s="2190"/>
      <c r="AR215" s="2210"/>
      <c r="AS215" s="2210"/>
      <c r="AT215" s="2190"/>
      <c r="AU215" s="2190"/>
      <c r="AV215" s="2190"/>
      <c r="AW215" s="2190"/>
      <c r="AX215" s="2190"/>
      <c r="AY215" s="2190"/>
      <c r="AZ215" s="2190"/>
      <c r="BA215" s="2210"/>
      <c r="BB215" s="2210"/>
      <c r="BC215" s="2190"/>
      <c r="BD215" s="2190"/>
      <c r="BE215" s="2211"/>
      <c r="BF215" s="2210"/>
      <c r="BG215" s="2211"/>
      <c r="BH215" s="2211"/>
      <c r="BI215" s="2211"/>
      <c r="BJ215" s="2211"/>
      <c r="BK215" s="2211"/>
      <c r="BL215" s="2211"/>
      <c r="BM215" s="2211"/>
      <c r="BN215" s="2211"/>
      <c r="BO215" s="2211"/>
      <c r="BP215" s="2211"/>
      <c r="BQ215" s="2211"/>
      <c r="BR215" s="2211"/>
      <c r="BS215" s="2211"/>
      <c r="BT215" s="2211"/>
      <c r="BU215" s="2211"/>
      <c r="BV215" s="2211"/>
      <c r="BW215" s="2211"/>
      <c r="BX215" s="2211"/>
      <c r="BY215" s="2211"/>
      <c r="BZ215" s="2211"/>
      <c r="CA215" s="2211"/>
      <c r="CB215" s="2211"/>
      <c r="CC215" s="2211"/>
      <c r="CD215" s="2211"/>
      <c r="CE215" s="2211"/>
      <c r="CF215" s="2211"/>
      <c r="CG215" s="2211"/>
      <c r="CH215" s="2211"/>
      <c r="CI215" s="2211"/>
      <c r="CJ215" s="2211"/>
      <c r="CK215" s="2211"/>
      <c r="CL215" s="2211"/>
      <c r="CM215" s="2211"/>
      <c r="CN215" s="2211"/>
      <c r="CO215" s="2211"/>
      <c r="CP215" s="2211"/>
      <c r="CQ215" s="2211"/>
      <c r="CR215" s="2211"/>
      <c r="CS215" s="2211"/>
      <c r="CT215" s="2211"/>
      <c r="CU215" s="2211"/>
      <c r="CV215" s="2211"/>
      <c r="CW215" s="2211"/>
      <c r="CX215" s="2211"/>
      <c r="CY215" s="2211"/>
      <c r="CZ215" s="2211"/>
      <c r="DA215" s="2211"/>
      <c r="DB215" s="2211"/>
      <c r="DC215" s="2211"/>
      <c r="DD215" s="2211"/>
      <c r="DE215" s="2211"/>
      <c r="DF215" s="2211"/>
      <c r="DG215" s="2211"/>
      <c r="DH215" s="2211"/>
      <c r="DI215" s="2211"/>
      <c r="DJ215" s="2211"/>
      <c r="DK215" s="2211"/>
      <c r="DL215" s="2211"/>
      <c r="DM215" s="2211"/>
      <c r="DN215" s="2211"/>
      <c r="DO215" s="2211"/>
      <c r="DP215" s="2211"/>
      <c r="DQ215" s="2211"/>
      <c r="DR215" s="2211"/>
      <c r="DS215" s="2211"/>
      <c r="DT215" s="2211"/>
      <c r="DU215" s="2211"/>
      <c r="DV215" s="2211"/>
      <c r="DW215" s="2211"/>
      <c r="DX215" s="2211"/>
      <c r="DY215" s="2211"/>
      <c r="DZ215" s="2211"/>
      <c r="EA215" s="2211"/>
      <c r="EB215" s="2211"/>
      <c r="EC215" s="2211"/>
      <c r="ED215" s="2211"/>
      <c r="EE215" s="2211"/>
      <c r="EF215" s="2211"/>
      <c r="EG215" s="2211"/>
      <c r="EH215" s="2211"/>
      <c r="EI215" s="2211"/>
      <c r="EJ215" s="2211"/>
      <c r="EK215" s="2211"/>
      <c r="EL215" s="2211"/>
      <c r="EM215" s="2211"/>
      <c r="EN215" s="2211"/>
      <c r="EO215" s="2211"/>
      <c r="EP215" s="2211"/>
      <c r="EQ215" s="2211"/>
      <c r="ER215" s="2211"/>
      <c r="ES215" s="2211"/>
      <c r="ET215" s="2211"/>
      <c r="EU215" s="2211"/>
      <c r="EV215" s="2211"/>
      <c r="EW215" s="2211"/>
      <c r="EX215" s="2211"/>
      <c r="EY215" s="2211"/>
      <c r="EZ215" s="2211"/>
      <c r="FA215" s="2211"/>
      <c r="FB215" s="2211"/>
      <c r="FC215" s="2211"/>
      <c r="FD215" s="2211"/>
      <c r="FE215" s="2211"/>
      <c r="FF215" s="2211"/>
      <c r="FG215" s="2211"/>
      <c r="FH215" s="2211"/>
      <c r="FI215" s="2211"/>
      <c r="FJ215" s="2211"/>
      <c r="FK215" s="2211"/>
      <c r="FL215" s="2211"/>
      <c r="FM215" s="2211"/>
      <c r="FN215" s="2211"/>
      <c r="FO215" s="2211"/>
      <c r="FP215" s="2211"/>
      <c r="FQ215" s="2211"/>
      <c r="FR215" s="2211"/>
      <c r="FS215" s="2211"/>
      <c r="FT215" s="2211"/>
      <c r="FU215" s="2211"/>
      <c r="FV215" s="2211"/>
      <c r="FW215" s="2203"/>
      <c r="FX215" s="2203"/>
      <c r="FY215" s="2034"/>
      <c r="FZ215" s="2034"/>
      <c r="GA215" s="2034"/>
      <c r="GB215" s="2204"/>
      <c r="GC215" s="2204"/>
      <c r="GD215" s="2204"/>
      <c r="GE215" s="2204"/>
      <c r="GF215" s="2204"/>
      <c r="GG215" s="2204"/>
      <c r="GH215" s="2204"/>
      <c r="GI215" s="2204"/>
      <c r="GJ215" s="2204"/>
      <c r="GK215" s="2204"/>
      <c r="GL215" s="2204"/>
      <c r="GM215" s="2204"/>
      <c r="GN215" s="2204"/>
      <c r="GO215" s="2204"/>
      <c r="GP215" s="2204"/>
      <c r="GQ215" s="2204"/>
      <c r="GR215" s="2204"/>
      <c r="GS215" s="2204"/>
      <c r="GT215" s="2204"/>
      <c r="GU215" s="2204"/>
      <c r="GV215" s="2204"/>
      <c r="GW215" s="2204"/>
      <c r="GX215" s="2204"/>
      <c r="GY215" s="2204"/>
      <c r="GZ215" s="2204"/>
      <c r="HA215" s="2204"/>
      <c r="HB215" s="2204"/>
      <c r="HC215" s="2204"/>
      <c r="HD215" s="2204"/>
      <c r="HE215" s="2204"/>
      <c r="HF215" s="2204"/>
      <c r="HG215" s="2204"/>
      <c r="HH215" s="2204"/>
      <c r="HI215" s="2204"/>
      <c r="HJ215" s="2204"/>
      <c r="HK215" s="2204"/>
      <c r="HL215" s="2204"/>
      <c r="HM215" s="2204"/>
      <c r="HN215" s="2204"/>
      <c r="HO215" s="2204"/>
      <c r="HP215" s="2204"/>
      <c r="HQ215" s="2204"/>
      <c r="HR215" s="2204"/>
      <c r="HS215" s="2204"/>
      <c r="HT215" s="2204"/>
      <c r="HU215" s="2204"/>
      <c r="HV215" s="2204"/>
      <c r="HW215" s="2204"/>
      <c r="HX215" s="2204"/>
      <c r="HY215" s="2204"/>
      <c r="HZ215" s="2204"/>
      <c r="IA215" s="2204"/>
      <c r="IB215" s="2204"/>
      <c r="IC215" s="2204"/>
      <c r="ID215" s="2204"/>
      <c r="IE215" s="2204"/>
      <c r="IF215" s="2204"/>
      <c r="IG215" s="2204"/>
      <c r="IH215" s="2204"/>
      <c r="II215" s="2204"/>
      <c r="IJ215" s="2204"/>
      <c r="IK215" s="2204"/>
      <c r="IL215" s="2204"/>
      <c r="IM215" s="2204"/>
      <c r="IN215" s="2204"/>
      <c r="IO215" s="2204"/>
      <c r="IP215" s="2204"/>
      <c r="IQ215" s="2204"/>
      <c r="IR215" s="2204"/>
      <c r="IS215" s="2204"/>
      <c r="IT215" s="2204"/>
      <c r="IU215" s="2204"/>
      <c r="IV215" s="2204"/>
      <c r="IW215" s="2204"/>
      <c r="IX215" s="2204"/>
      <c r="IY215" s="2204"/>
      <c r="IZ215" s="2204"/>
      <c r="JA215" s="2204"/>
      <c r="JB215" s="2204"/>
      <c r="JC215" s="2204"/>
      <c r="JD215" s="2204"/>
      <c r="JE215" s="2204"/>
      <c r="JF215" s="2205"/>
    </row>
    <row r="216" spans="2:271" hidden="1">
      <c r="B216" s="2198">
        <v>4</v>
      </c>
      <c r="C216" s="2190"/>
      <c r="D216" s="2212" t="s">
        <v>568</v>
      </c>
      <c r="E216" s="2213"/>
      <c r="F216" s="2214"/>
      <c r="G216" s="2244"/>
      <c r="H216" s="2214"/>
      <c r="I216" s="2214"/>
      <c r="J216" s="2214"/>
      <c r="K216" s="2243"/>
      <c r="L216" s="2213"/>
      <c r="M216" s="2216"/>
      <c r="N216" s="2216"/>
      <c r="O216" s="2216"/>
      <c r="P216" s="2216"/>
      <c r="Q216" s="2216"/>
      <c r="R216" s="2216"/>
      <c r="S216" s="2216"/>
      <c r="T216" s="2216"/>
      <c r="U216" s="2216"/>
      <c r="V216" s="2216"/>
      <c r="W216" s="2216"/>
      <c r="X216" s="2217"/>
      <c r="Y216" s="2217"/>
      <c r="Z216" s="2218"/>
      <c r="AA216" s="2218"/>
      <c r="AB216" s="2214"/>
      <c r="AC216" s="2214"/>
      <c r="AD216" s="2214"/>
      <c r="AE216" s="2214"/>
      <c r="AF216" s="2214"/>
      <c r="AG216" s="2214"/>
      <c r="AH216" s="2214"/>
      <c r="AI216" s="2214"/>
      <c r="AJ216" s="2214"/>
      <c r="AK216" s="2219"/>
      <c r="AL216" s="2218"/>
      <c r="AM216" s="2218"/>
      <c r="AN216" s="2214"/>
      <c r="AO216" s="2214"/>
      <c r="AP216" s="2214"/>
      <c r="AQ216" s="2214"/>
      <c r="AR216" s="2219"/>
      <c r="AS216" s="2219"/>
      <c r="AT216" s="2214"/>
      <c r="AU216" s="2214"/>
      <c r="AV216" s="2214"/>
      <c r="AW216" s="2214"/>
      <c r="AX216" s="2214"/>
      <c r="AY216" s="2214"/>
      <c r="AZ216" s="2214"/>
      <c r="BA216" s="2219"/>
      <c r="BB216" s="2219"/>
      <c r="BC216" s="2214"/>
      <c r="BD216" s="2214"/>
      <c r="BE216" s="2220"/>
      <c r="BF216" s="2219"/>
      <c r="BG216" s="2220"/>
      <c r="BH216" s="2220"/>
      <c r="BI216" s="2220"/>
      <c r="BJ216" s="2220"/>
      <c r="BK216" s="2220"/>
      <c r="BL216" s="2220"/>
      <c r="BM216" s="2220"/>
      <c r="BN216" s="2220"/>
      <c r="BO216" s="2220"/>
      <c r="BP216" s="2220"/>
      <c r="BQ216" s="2220"/>
      <c r="BR216" s="2220"/>
      <c r="BS216" s="2220"/>
      <c r="BT216" s="2220"/>
      <c r="BU216" s="2220"/>
      <c r="BV216" s="2220"/>
      <c r="BW216" s="2220"/>
      <c r="BX216" s="2220"/>
      <c r="BY216" s="2220"/>
      <c r="BZ216" s="2220"/>
      <c r="CA216" s="2220"/>
      <c r="CB216" s="2220"/>
      <c r="CC216" s="2220"/>
      <c r="CD216" s="2220"/>
      <c r="CE216" s="2220"/>
      <c r="CF216" s="2220"/>
      <c r="CG216" s="2220"/>
      <c r="CH216" s="2220"/>
      <c r="CI216" s="2220"/>
      <c r="CJ216" s="2220"/>
      <c r="CK216" s="2220"/>
      <c r="CL216" s="2220"/>
      <c r="CM216" s="2220"/>
      <c r="CN216" s="2220"/>
      <c r="CO216" s="2220"/>
      <c r="CP216" s="2220"/>
      <c r="CQ216" s="2220"/>
      <c r="CR216" s="2220"/>
      <c r="CS216" s="2220"/>
      <c r="CT216" s="2220"/>
      <c r="CU216" s="2220"/>
      <c r="CV216" s="2220"/>
      <c r="CW216" s="2220"/>
      <c r="CX216" s="2220"/>
      <c r="CY216" s="2220"/>
      <c r="CZ216" s="2220"/>
      <c r="DA216" s="2220"/>
      <c r="DB216" s="2220"/>
      <c r="DC216" s="2220"/>
      <c r="DD216" s="2220"/>
      <c r="DE216" s="2220"/>
      <c r="DF216" s="2220"/>
      <c r="DG216" s="2220"/>
      <c r="DH216" s="2220"/>
      <c r="DI216" s="2220"/>
      <c r="DJ216" s="2220"/>
      <c r="DK216" s="2220"/>
      <c r="DL216" s="2220"/>
      <c r="DM216" s="2220"/>
      <c r="DN216" s="2220"/>
      <c r="DO216" s="2220"/>
      <c r="DP216" s="2220"/>
      <c r="DQ216" s="2220"/>
      <c r="DR216" s="2220"/>
      <c r="DS216" s="2220"/>
      <c r="DT216" s="2220"/>
      <c r="DU216" s="2220"/>
      <c r="DV216" s="2220"/>
      <c r="DW216" s="2220"/>
      <c r="DX216" s="2220"/>
      <c r="DY216" s="2220"/>
      <c r="DZ216" s="2220"/>
      <c r="EA216" s="2220"/>
      <c r="EB216" s="2220"/>
      <c r="EC216" s="2220"/>
      <c r="ED216" s="2220"/>
      <c r="EE216" s="2220"/>
      <c r="EF216" s="2220"/>
      <c r="EG216" s="2220"/>
      <c r="EH216" s="2220"/>
      <c r="EI216" s="2220"/>
      <c r="EJ216" s="2220"/>
      <c r="EK216" s="2220"/>
      <c r="EL216" s="2220"/>
      <c r="EM216" s="2220"/>
      <c r="EN216" s="2220"/>
      <c r="EO216" s="2220"/>
      <c r="EP216" s="2220"/>
      <c r="EQ216" s="2220"/>
      <c r="ER216" s="2220"/>
      <c r="ES216" s="2220"/>
      <c r="ET216" s="2220"/>
      <c r="EU216" s="2220"/>
      <c r="EV216" s="2220"/>
      <c r="EW216" s="2220"/>
      <c r="EX216" s="2220"/>
      <c r="EY216" s="2220"/>
      <c r="EZ216" s="2220"/>
      <c r="FA216" s="2220"/>
      <c r="FB216" s="2220"/>
      <c r="FC216" s="2220"/>
      <c r="FD216" s="2220"/>
      <c r="FE216" s="2220"/>
      <c r="FF216" s="2220"/>
      <c r="FG216" s="2220"/>
      <c r="FH216" s="2220"/>
      <c r="FI216" s="2220"/>
      <c r="FJ216" s="2220"/>
      <c r="FK216" s="2220"/>
      <c r="FL216" s="2220"/>
      <c r="FM216" s="2220"/>
      <c r="FN216" s="2220"/>
      <c r="FO216" s="2220"/>
      <c r="FP216" s="2220"/>
      <c r="FQ216" s="2220"/>
      <c r="FR216" s="2220"/>
      <c r="FS216" s="2220"/>
      <c r="FT216" s="2220"/>
      <c r="FU216" s="2220"/>
      <c r="FV216" s="2220"/>
      <c r="FW216" s="2203"/>
      <c r="FX216" s="2203"/>
      <c r="FY216" s="2034"/>
      <c r="FZ216" s="2034"/>
      <c r="GA216" s="2034"/>
      <c r="GB216" s="2204"/>
      <c r="GC216" s="2204"/>
      <c r="GD216" s="2204"/>
      <c r="GE216" s="2204"/>
      <c r="GF216" s="2204"/>
      <c r="GG216" s="2204"/>
      <c r="GH216" s="2204"/>
      <c r="GI216" s="2204"/>
      <c r="GJ216" s="2204"/>
      <c r="GK216" s="2204"/>
      <c r="GL216" s="2204"/>
      <c r="GM216" s="2204"/>
      <c r="GN216" s="2204"/>
      <c r="GO216" s="2204"/>
      <c r="GP216" s="2204"/>
      <c r="GQ216" s="2204"/>
      <c r="GR216" s="2204"/>
      <c r="GS216" s="2204"/>
      <c r="GT216" s="2204"/>
      <c r="GU216" s="2204"/>
      <c r="GV216" s="2204"/>
      <c r="GW216" s="2204"/>
      <c r="GX216" s="2204"/>
      <c r="GY216" s="2204"/>
      <c r="GZ216" s="2204"/>
      <c r="HA216" s="2204"/>
      <c r="HB216" s="2204"/>
      <c r="HC216" s="2204"/>
      <c r="HD216" s="2204"/>
      <c r="HE216" s="2204"/>
      <c r="HF216" s="2204"/>
      <c r="HG216" s="2204"/>
      <c r="HH216" s="2204"/>
      <c r="HI216" s="2204"/>
      <c r="HJ216" s="2204"/>
      <c r="HK216" s="2204"/>
      <c r="HL216" s="2204"/>
      <c r="HM216" s="2204"/>
      <c r="HN216" s="2204"/>
      <c r="HO216" s="2204"/>
      <c r="HP216" s="2204"/>
      <c r="HQ216" s="2204"/>
      <c r="HR216" s="2204"/>
      <c r="HS216" s="2204"/>
      <c r="HT216" s="2204"/>
      <c r="HU216" s="2204"/>
      <c r="HV216" s="2204"/>
      <c r="HW216" s="2204"/>
      <c r="HX216" s="2204"/>
      <c r="HY216" s="2204"/>
      <c r="HZ216" s="2204"/>
      <c r="IA216" s="2204"/>
      <c r="IB216" s="2204"/>
      <c r="IC216" s="2204"/>
      <c r="ID216" s="2204"/>
      <c r="IE216" s="2204"/>
      <c r="IF216" s="2204"/>
      <c r="IG216" s="2204"/>
      <c r="IH216" s="2204"/>
      <c r="II216" s="2204"/>
      <c r="IJ216" s="2204"/>
      <c r="IK216" s="2204"/>
      <c r="IL216" s="2204"/>
      <c r="IM216" s="2204"/>
      <c r="IN216" s="2204"/>
      <c r="IO216" s="2204"/>
      <c r="IP216" s="2204"/>
      <c r="IQ216" s="2204"/>
      <c r="IR216" s="2204"/>
      <c r="IS216" s="2204"/>
      <c r="IT216" s="2204"/>
      <c r="IU216" s="2204"/>
      <c r="IV216" s="2204"/>
      <c r="IW216" s="2204"/>
      <c r="IX216" s="2204"/>
      <c r="IY216" s="2204"/>
      <c r="IZ216" s="2204"/>
      <c r="JA216" s="2204"/>
      <c r="JB216" s="2204"/>
      <c r="JC216" s="2204"/>
      <c r="JD216" s="2204"/>
      <c r="JE216" s="2204"/>
      <c r="JF216" s="2205"/>
    </row>
    <row r="217" spans="2:271" hidden="1">
      <c r="B217" s="2198">
        <v>5</v>
      </c>
      <c r="C217" s="2190"/>
      <c r="D217" s="2212" t="s">
        <v>569</v>
      </c>
      <c r="E217" s="2213"/>
      <c r="F217" s="2214"/>
      <c r="G217" s="2244"/>
      <c r="H217" s="2214"/>
      <c r="I217" s="2214"/>
      <c r="J217" s="2214"/>
      <c r="K217" s="2243"/>
      <c r="L217" s="2213"/>
      <c r="M217" s="2216"/>
      <c r="N217" s="2216"/>
      <c r="O217" s="2216"/>
      <c r="P217" s="2216"/>
      <c r="Q217" s="2216"/>
      <c r="R217" s="2216"/>
      <c r="S217" s="2216"/>
      <c r="T217" s="2216"/>
      <c r="U217" s="2216"/>
      <c r="V217" s="2216"/>
      <c r="W217" s="2216"/>
      <c r="X217" s="2217"/>
      <c r="Y217" s="2217"/>
      <c r="Z217" s="2218"/>
      <c r="AA217" s="2218"/>
      <c r="AB217" s="2214"/>
      <c r="AC217" s="2214"/>
      <c r="AD217" s="2214"/>
      <c r="AE217" s="2214"/>
      <c r="AF217" s="2214"/>
      <c r="AG217" s="2214"/>
      <c r="AH217" s="2214"/>
      <c r="AI217" s="2214"/>
      <c r="AJ217" s="2214"/>
      <c r="AK217" s="2219"/>
      <c r="AL217" s="2218"/>
      <c r="AM217" s="2218"/>
      <c r="AN217" s="2214"/>
      <c r="AO217" s="2214"/>
      <c r="AP217" s="2214"/>
      <c r="AQ217" s="2214"/>
      <c r="AR217" s="2219"/>
      <c r="AS217" s="2219"/>
      <c r="AT217" s="2214"/>
      <c r="AU217" s="2214"/>
      <c r="AV217" s="2214"/>
      <c r="AW217" s="2214"/>
      <c r="AX217" s="2214"/>
      <c r="AY217" s="2214"/>
      <c r="AZ217" s="2214"/>
      <c r="BA217" s="2219"/>
      <c r="BB217" s="2219"/>
      <c r="BC217" s="2214"/>
      <c r="BD217" s="2214"/>
      <c r="BE217" s="2220"/>
      <c r="BF217" s="2219"/>
      <c r="BG217" s="2220"/>
      <c r="BH217" s="2220"/>
      <c r="BI217" s="2220"/>
      <c r="BJ217" s="2220"/>
      <c r="BK217" s="2220"/>
      <c r="BL217" s="2220"/>
      <c r="BM217" s="2220"/>
      <c r="BN217" s="2220"/>
      <c r="BO217" s="2220"/>
      <c r="BP217" s="2220"/>
      <c r="BQ217" s="2220"/>
      <c r="BR217" s="2220"/>
      <c r="BS217" s="2220"/>
      <c r="BT217" s="2220"/>
      <c r="BU217" s="2220"/>
      <c r="BV217" s="2220"/>
      <c r="BW217" s="2220"/>
      <c r="BX217" s="2220"/>
      <c r="BY217" s="2220"/>
      <c r="BZ217" s="2220"/>
      <c r="CA217" s="2220"/>
      <c r="CB217" s="2220"/>
      <c r="CC217" s="2220"/>
      <c r="CD217" s="2220"/>
      <c r="CE217" s="2220"/>
      <c r="CF217" s="2220"/>
      <c r="CG217" s="2220"/>
      <c r="CH217" s="2220"/>
      <c r="CI217" s="2220"/>
      <c r="CJ217" s="2220"/>
      <c r="CK217" s="2220"/>
      <c r="CL217" s="2220"/>
      <c r="CM217" s="2220"/>
      <c r="CN217" s="2220"/>
      <c r="CO217" s="2220"/>
      <c r="CP217" s="2220"/>
      <c r="CQ217" s="2220"/>
      <c r="CR217" s="2220"/>
      <c r="CS217" s="2220"/>
      <c r="CT217" s="2220"/>
      <c r="CU217" s="2220"/>
      <c r="CV217" s="2220"/>
      <c r="CW217" s="2220"/>
      <c r="CX217" s="2220"/>
      <c r="CY217" s="2220"/>
      <c r="CZ217" s="2220"/>
      <c r="DA217" s="2220"/>
      <c r="DB217" s="2220"/>
      <c r="DC217" s="2220"/>
      <c r="DD217" s="2220"/>
      <c r="DE217" s="2220"/>
      <c r="DF217" s="2220"/>
      <c r="DG217" s="2220"/>
      <c r="DH217" s="2220"/>
      <c r="DI217" s="2220"/>
      <c r="DJ217" s="2220"/>
      <c r="DK217" s="2220"/>
      <c r="DL217" s="2220"/>
      <c r="DM217" s="2220"/>
      <c r="DN217" s="2220"/>
      <c r="DO217" s="2220"/>
      <c r="DP217" s="2220"/>
      <c r="DQ217" s="2220"/>
      <c r="DR217" s="2220"/>
      <c r="DS217" s="2220"/>
      <c r="DT217" s="2220"/>
      <c r="DU217" s="2220"/>
      <c r="DV217" s="2220"/>
      <c r="DW217" s="2220"/>
      <c r="DX217" s="2220"/>
      <c r="DY217" s="2220"/>
      <c r="DZ217" s="2220"/>
      <c r="EA217" s="2220"/>
      <c r="EB217" s="2220"/>
      <c r="EC217" s="2220"/>
      <c r="ED217" s="2220"/>
      <c r="EE217" s="2220"/>
      <c r="EF217" s="2220"/>
      <c r="EG217" s="2220"/>
      <c r="EH217" s="2220"/>
      <c r="EI217" s="2220"/>
      <c r="EJ217" s="2220"/>
      <c r="EK217" s="2220"/>
      <c r="EL217" s="2220"/>
      <c r="EM217" s="2220"/>
      <c r="EN217" s="2220"/>
      <c r="EO217" s="2220"/>
      <c r="EP217" s="2220"/>
      <c r="EQ217" s="2220"/>
      <c r="ER217" s="2220"/>
      <c r="ES217" s="2220"/>
      <c r="ET217" s="2220"/>
      <c r="EU217" s="2220"/>
      <c r="EV217" s="2220"/>
      <c r="EW217" s="2220"/>
      <c r="EX217" s="2220"/>
      <c r="EY217" s="2220"/>
      <c r="EZ217" s="2220"/>
      <c r="FA217" s="2220"/>
      <c r="FB217" s="2220"/>
      <c r="FC217" s="2220"/>
      <c r="FD217" s="2220"/>
      <c r="FE217" s="2220"/>
      <c r="FF217" s="2220"/>
      <c r="FG217" s="2220"/>
      <c r="FH217" s="2220"/>
      <c r="FI217" s="2220"/>
      <c r="FJ217" s="2220"/>
      <c r="FK217" s="2220"/>
      <c r="FL217" s="2220"/>
      <c r="FM217" s="2220"/>
      <c r="FN217" s="2220"/>
      <c r="FO217" s="2220"/>
      <c r="FP217" s="2220"/>
      <c r="FQ217" s="2220"/>
      <c r="FR217" s="2220"/>
      <c r="FS217" s="2220"/>
      <c r="FT217" s="2220"/>
      <c r="FU217" s="2220"/>
      <c r="FV217" s="2220"/>
      <c r="FW217" s="2203"/>
      <c r="FX217" s="2203"/>
      <c r="FY217" s="2034"/>
      <c r="FZ217" s="2034"/>
      <c r="GA217" s="2034"/>
      <c r="GB217" s="2204"/>
      <c r="GC217" s="2204"/>
      <c r="GD217" s="2204"/>
      <c r="GE217" s="2204"/>
      <c r="GF217" s="2204"/>
      <c r="GG217" s="2204"/>
      <c r="GH217" s="2204"/>
      <c r="GI217" s="2204"/>
      <c r="GJ217" s="2204"/>
      <c r="GK217" s="2204"/>
      <c r="GL217" s="2204"/>
      <c r="GM217" s="2204"/>
      <c r="GN217" s="2204"/>
      <c r="GO217" s="2204"/>
      <c r="GP217" s="2204"/>
      <c r="GQ217" s="2204"/>
      <c r="GR217" s="2204"/>
      <c r="GS217" s="2204"/>
      <c r="GT217" s="2204"/>
      <c r="GU217" s="2204"/>
      <c r="GV217" s="2204"/>
      <c r="GW217" s="2204"/>
      <c r="GX217" s="2204"/>
      <c r="GY217" s="2204"/>
      <c r="GZ217" s="2204"/>
      <c r="HA217" s="2204"/>
      <c r="HB217" s="2204"/>
      <c r="HC217" s="2204"/>
      <c r="HD217" s="2204"/>
      <c r="HE217" s="2204"/>
      <c r="HF217" s="2204"/>
      <c r="HG217" s="2204"/>
      <c r="HH217" s="2204"/>
      <c r="HI217" s="2204"/>
      <c r="HJ217" s="2204"/>
      <c r="HK217" s="2204"/>
      <c r="HL217" s="2204"/>
      <c r="HM217" s="2204"/>
      <c r="HN217" s="2204"/>
      <c r="HO217" s="2204"/>
      <c r="HP217" s="2204"/>
      <c r="HQ217" s="2204"/>
      <c r="HR217" s="2204"/>
      <c r="HS217" s="2204"/>
      <c r="HT217" s="2204"/>
      <c r="HU217" s="2204"/>
      <c r="HV217" s="2204"/>
      <c r="HW217" s="2204"/>
      <c r="HX217" s="2204"/>
      <c r="HY217" s="2204"/>
      <c r="HZ217" s="2204"/>
      <c r="IA217" s="2204"/>
      <c r="IB217" s="2204"/>
      <c r="IC217" s="2204"/>
      <c r="ID217" s="2204"/>
      <c r="IE217" s="2204"/>
      <c r="IF217" s="2204"/>
      <c r="IG217" s="2204"/>
      <c r="IH217" s="2204"/>
      <c r="II217" s="2204"/>
      <c r="IJ217" s="2204"/>
      <c r="IK217" s="2204"/>
      <c r="IL217" s="2204"/>
      <c r="IM217" s="2204"/>
      <c r="IN217" s="2204"/>
      <c r="IO217" s="2204"/>
      <c r="IP217" s="2204"/>
      <c r="IQ217" s="2204"/>
      <c r="IR217" s="2204"/>
      <c r="IS217" s="2204"/>
      <c r="IT217" s="2204"/>
      <c r="IU217" s="2204"/>
      <c r="IV217" s="2204"/>
      <c r="IW217" s="2204"/>
      <c r="IX217" s="2204"/>
      <c r="IY217" s="2204"/>
      <c r="IZ217" s="2204"/>
      <c r="JA217" s="2204"/>
      <c r="JB217" s="2204"/>
      <c r="JC217" s="2204"/>
      <c r="JD217" s="2204"/>
      <c r="JE217" s="2204"/>
      <c r="JF217" s="2205"/>
    </row>
    <row r="218" spans="2:271" s="2024" customFormat="1">
      <c r="B218" s="2189">
        <v>6</v>
      </c>
      <c r="C218" s="2203"/>
      <c r="D218" s="2191" t="s">
        <v>107</v>
      </c>
      <c r="E218" s="2206"/>
      <c r="F218" s="2190"/>
      <c r="G218" s="2237"/>
      <c r="H218" s="2190"/>
      <c r="I218" s="2190"/>
      <c r="J218" s="2190"/>
      <c r="K218" s="2238"/>
      <c r="L218" s="2206"/>
      <c r="M218" s="2207"/>
      <c r="N218" s="2207"/>
      <c r="O218" s="2207"/>
      <c r="P218" s="2207"/>
      <c r="Q218" s="2207"/>
      <c r="R218" s="2207"/>
      <c r="S218" s="2207"/>
      <c r="T218" s="2207"/>
      <c r="U218" s="2207"/>
      <c r="V218" s="2207"/>
      <c r="W218" s="2207"/>
      <c r="X218" s="2208"/>
      <c r="Y218" s="2208"/>
      <c r="Z218" s="2209"/>
      <c r="AA218" s="2209"/>
      <c r="AB218" s="2190"/>
      <c r="AC218" s="2190"/>
      <c r="AD218" s="2190"/>
      <c r="AE218" s="2190"/>
      <c r="AF218" s="2190"/>
      <c r="AG218" s="2190"/>
      <c r="AH218" s="2190"/>
      <c r="AI218" s="2190"/>
      <c r="AJ218" s="2190"/>
      <c r="AK218" s="2210"/>
      <c r="AL218" s="2209"/>
      <c r="AM218" s="2209"/>
      <c r="AN218" s="2190"/>
      <c r="AO218" s="2190"/>
      <c r="AP218" s="2190"/>
      <c r="AQ218" s="2190"/>
      <c r="AR218" s="2210"/>
      <c r="AS218" s="2210"/>
      <c r="AT218" s="2190"/>
      <c r="AU218" s="2190"/>
      <c r="AV218" s="2190"/>
      <c r="AW218" s="2190"/>
      <c r="AX218" s="2190"/>
      <c r="AY218" s="2190"/>
      <c r="AZ218" s="2190"/>
      <c r="BA218" s="2210"/>
      <c r="BB218" s="2210"/>
      <c r="BC218" s="2190"/>
      <c r="BD218" s="2190"/>
      <c r="BE218" s="2211"/>
      <c r="BF218" s="2210"/>
      <c r="BG218" s="2211"/>
      <c r="BH218" s="2211"/>
      <c r="BI218" s="2211"/>
      <c r="BJ218" s="2211"/>
      <c r="BK218" s="2211"/>
      <c r="BL218" s="2211"/>
      <c r="BM218" s="2211"/>
      <c r="BN218" s="2211"/>
      <c r="BO218" s="2211"/>
      <c r="BP218" s="2211"/>
      <c r="BQ218" s="2211"/>
      <c r="BR218" s="2211"/>
      <c r="BS218" s="2211"/>
      <c r="BT218" s="2211"/>
      <c r="BU218" s="2211"/>
      <c r="BV218" s="2211"/>
      <c r="BW218" s="2211"/>
      <c r="BX218" s="2211"/>
      <c r="BY218" s="2211"/>
      <c r="BZ218" s="2211"/>
      <c r="CA218" s="2211"/>
      <c r="CB218" s="2211"/>
      <c r="CC218" s="2211"/>
      <c r="CD218" s="2211"/>
      <c r="CE218" s="2211"/>
      <c r="CF218" s="2211"/>
      <c r="CG218" s="2211"/>
      <c r="CH218" s="2211"/>
      <c r="CI218" s="2211"/>
      <c r="CJ218" s="2211"/>
      <c r="CK218" s="2211"/>
      <c r="CL218" s="2211"/>
      <c r="CM218" s="2211"/>
      <c r="CN218" s="2211"/>
      <c r="CO218" s="2211"/>
      <c r="CP218" s="2211"/>
      <c r="CQ218" s="2211"/>
      <c r="CR218" s="2211"/>
      <c r="CS218" s="2211"/>
      <c r="CT218" s="2211"/>
      <c r="CU218" s="2211"/>
      <c r="CV218" s="2211"/>
      <c r="CW218" s="2211"/>
      <c r="CX218" s="2211"/>
      <c r="CY218" s="2211"/>
      <c r="CZ218" s="2211"/>
      <c r="DA218" s="2211"/>
      <c r="DB218" s="2211"/>
      <c r="DC218" s="2211"/>
      <c r="DD218" s="2211"/>
      <c r="DE218" s="2211"/>
      <c r="DF218" s="2211"/>
      <c r="DG218" s="2211"/>
      <c r="DH218" s="2211"/>
      <c r="DI218" s="2211"/>
      <c r="DJ218" s="2211"/>
      <c r="DK218" s="2211"/>
      <c r="DL218" s="2211"/>
      <c r="DM218" s="2211"/>
      <c r="DN218" s="2211"/>
      <c r="DO218" s="2211"/>
      <c r="DP218" s="2211"/>
      <c r="DQ218" s="2211"/>
      <c r="DR218" s="2211"/>
      <c r="DS218" s="2211"/>
      <c r="DT218" s="2211"/>
      <c r="DU218" s="2211"/>
      <c r="DV218" s="2211"/>
      <c r="DW218" s="2211"/>
      <c r="DX218" s="2211"/>
      <c r="DY218" s="2211"/>
      <c r="DZ218" s="2211"/>
      <c r="EA218" s="2211"/>
      <c r="EB218" s="2211"/>
      <c r="EC218" s="2211"/>
      <c r="ED218" s="2211"/>
      <c r="EE218" s="2211"/>
      <c r="EF218" s="2211"/>
      <c r="EG218" s="2211"/>
      <c r="EH218" s="2211"/>
      <c r="EI218" s="2211"/>
      <c r="EJ218" s="2211"/>
      <c r="EK218" s="2211"/>
      <c r="EL218" s="2211"/>
      <c r="EM218" s="2211"/>
      <c r="EN218" s="2211"/>
      <c r="EO218" s="2211"/>
      <c r="EP218" s="2211"/>
      <c r="EQ218" s="2211"/>
      <c r="ER218" s="2211"/>
      <c r="ES218" s="2211"/>
      <c r="ET218" s="2211"/>
      <c r="EU218" s="2211"/>
      <c r="EV218" s="2211"/>
      <c r="EW218" s="2211"/>
      <c r="EX218" s="2211"/>
      <c r="EY218" s="2211"/>
      <c r="EZ218" s="2211"/>
      <c r="FA218" s="2211"/>
      <c r="FB218" s="2211"/>
      <c r="FC218" s="2211"/>
      <c r="FD218" s="2211"/>
      <c r="FE218" s="2211"/>
      <c r="FF218" s="2211"/>
      <c r="FG218" s="2211"/>
      <c r="FH218" s="2211"/>
      <c r="FI218" s="2211"/>
      <c r="FJ218" s="2211"/>
      <c r="FK218" s="2211"/>
      <c r="FL218" s="2211"/>
      <c r="FM218" s="2211"/>
      <c r="FN218" s="2211"/>
      <c r="FO218" s="2211"/>
      <c r="FP218" s="2211"/>
      <c r="FQ218" s="2211"/>
      <c r="FR218" s="2211"/>
      <c r="FS218" s="2211"/>
      <c r="FT218" s="2211"/>
      <c r="FU218" s="2211"/>
      <c r="FV218" s="2211"/>
      <c r="FW218" s="2203"/>
      <c r="FX218" s="2203"/>
      <c r="FY218" s="2034"/>
      <c r="FZ218" s="2034"/>
      <c r="GA218" s="2034"/>
      <c r="GB218" s="2221"/>
      <c r="GC218" s="2221"/>
      <c r="GD218" s="2221"/>
      <c r="GE218" s="2221"/>
      <c r="GF218" s="2221"/>
      <c r="GG218" s="2221"/>
      <c r="GH218" s="2221"/>
      <c r="GI218" s="2221"/>
      <c r="GJ218" s="2221"/>
      <c r="GK218" s="2221"/>
      <c r="GL218" s="2221"/>
      <c r="GM218" s="2221"/>
      <c r="GN218" s="2221"/>
      <c r="GO218" s="2221"/>
      <c r="GP218" s="2221"/>
      <c r="GQ218" s="2221"/>
      <c r="GR218" s="2221"/>
      <c r="GS218" s="2221"/>
      <c r="GT218" s="2221"/>
      <c r="GU218" s="2221"/>
      <c r="GV218" s="2221"/>
      <c r="GW218" s="2221"/>
      <c r="GX218" s="2221"/>
      <c r="GY218" s="2221"/>
      <c r="GZ218" s="2221"/>
      <c r="HA218" s="2221"/>
      <c r="HB218" s="2221"/>
      <c r="HC218" s="2221"/>
      <c r="HD218" s="2221"/>
      <c r="HE218" s="2221"/>
      <c r="HF218" s="2221"/>
      <c r="HG218" s="2221"/>
      <c r="HH218" s="2221"/>
      <c r="HI218" s="2221"/>
      <c r="HJ218" s="2221"/>
      <c r="HK218" s="2221"/>
      <c r="HL218" s="2221"/>
      <c r="HM218" s="2221"/>
      <c r="HN218" s="2221"/>
      <c r="HO218" s="2221"/>
      <c r="HP218" s="2221"/>
      <c r="HQ218" s="2221"/>
      <c r="HR218" s="2221"/>
      <c r="HS218" s="2221"/>
      <c r="HT218" s="2221"/>
      <c r="HU218" s="2221"/>
      <c r="HV218" s="2221"/>
      <c r="HW218" s="2221"/>
      <c r="HX218" s="2221"/>
      <c r="HY218" s="2221"/>
      <c r="HZ218" s="2221"/>
      <c r="IA218" s="2221"/>
      <c r="IB218" s="2221"/>
      <c r="IC218" s="2221"/>
      <c r="ID218" s="2221"/>
      <c r="IE218" s="2221"/>
      <c r="IF218" s="2221"/>
      <c r="IG218" s="2221"/>
      <c r="IH218" s="2221"/>
      <c r="II218" s="2221"/>
      <c r="IJ218" s="2221"/>
      <c r="IK218" s="2221"/>
      <c r="IL218" s="2221"/>
      <c r="IM218" s="2221"/>
      <c r="IN218" s="2221"/>
      <c r="IO218" s="2221"/>
      <c r="IP218" s="2221"/>
      <c r="IQ218" s="2221"/>
      <c r="IR218" s="2221"/>
      <c r="IS218" s="2221"/>
      <c r="IT218" s="2221"/>
      <c r="IU218" s="2221"/>
      <c r="IV218" s="2221"/>
      <c r="IW218" s="2221"/>
      <c r="IX218" s="2221"/>
      <c r="IY218" s="2221"/>
      <c r="IZ218" s="2221"/>
      <c r="JA218" s="2221"/>
      <c r="JB218" s="2221"/>
      <c r="JC218" s="2221"/>
      <c r="JD218" s="2221"/>
      <c r="JE218" s="2221"/>
      <c r="JF218" s="2222"/>
      <c r="JG218" s="2026"/>
      <c r="JK218" s="2526"/>
    </row>
    <row r="219" spans="2:271" s="2024" customFormat="1">
      <c r="B219" s="2189">
        <v>7</v>
      </c>
      <c r="C219" s="2203"/>
      <c r="D219" s="2191" t="s">
        <v>1131</v>
      </c>
      <c r="E219" s="2213"/>
      <c r="F219" s="2214"/>
      <c r="G219" s="2244"/>
      <c r="H219" s="2214"/>
      <c r="I219" s="2214"/>
      <c r="J219" s="2214"/>
      <c r="K219" s="2243"/>
      <c r="L219" s="2213"/>
      <c r="M219" s="2207"/>
      <c r="N219" s="2207"/>
      <c r="O219" s="2207"/>
      <c r="P219" s="2207"/>
      <c r="Q219" s="2207"/>
      <c r="R219" s="2207"/>
      <c r="S219" s="2207"/>
      <c r="T219" s="2207"/>
      <c r="U219" s="2207"/>
      <c r="V219" s="2207"/>
      <c r="W219" s="2207"/>
      <c r="X219" s="2208"/>
      <c r="Y219" s="2208"/>
      <c r="Z219" s="2209"/>
      <c r="AA219" s="2209"/>
      <c r="AB219" s="2190"/>
      <c r="AC219" s="2190"/>
      <c r="AD219" s="2190"/>
      <c r="AE219" s="2190"/>
      <c r="AF219" s="2190"/>
      <c r="AG219" s="2190"/>
      <c r="AH219" s="2190"/>
      <c r="AI219" s="2190"/>
      <c r="AJ219" s="2190"/>
      <c r="AK219" s="2210"/>
      <c r="AL219" s="2209"/>
      <c r="AM219" s="2209"/>
      <c r="AN219" s="2190"/>
      <c r="AO219" s="2190"/>
      <c r="AP219" s="2190"/>
      <c r="AQ219" s="2190"/>
      <c r="AR219" s="2210"/>
      <c r="AS219" s="2210"/>
      <c r="AT219" s="2190"/>
      <c r="AU219" s="2190"/>
      <c r="AV219" s="2190"/>
      <c r="AW219" s="2190"/>
      <c r="AX219" s="2190"/>
      <c r="AY219" s="2190"/>
      <c r="AZ219" s="2190"/>
      <c r="BA219" s="2210"/>
      <c r="BB219" s="2210"/>
      <c r="BC219" s="2190"/>
      <c r="BD219" s="2190"/>
      <c r="BE219" s="2211"/>
      <c r="BF219" s="2210"/>
      <c r="BG219" s="2211"/>
      <c r="BH219" s="2211"/>
      <c r="BI219" s="2211"/>
      <c r="BJ219" s="2211"/>
      <c r="BK219" s="2211"/>
      <c r="BL219" s="2211"/>
      <c r="BM219" s="2211"/>
      <c r="BN219" s="2211"/>
      <c r="BO219" s="2211"/>
      <c r="BP219" s="2211"/>
      <c r="BQ219" s="2211"/>
      <c r="BR219" s="2211"/>
      <c r="BS219" s="2211"/>
      <c r="BT219" s="2211"/>
      <c r="BU219" s="2211"/>
      <c r="BV219" s="2211"/>
      <c r="BW219" s="2211"/>
      <c r="BX219" s="2211"/>
      <c r="BY219" s="2211"/>
      <c r="BZ219" s="2211"/>
      <c r="CA219" s="2211"/>
      <c r="CB219" s="2211"/>
      <c r="CC219" s="2211"/>
      <c r="CD219" s="2211"/>
      <c r="CE219" s="2211"/>
      <c r="CF219" s="2211"/>
      <c r="CG219" s="2211"/>
      <c r="CH219" s="2211"/>
      <c r="CI219" s="2211"/>
      <c r="CJ219" s="2211"/>
      <c r="CK219" s="2211"/>
      <c r="CL219" s="2211"/>
      <c r="CM219" s="2211"/>
      <c r="CN219" s="2211"/>
      <c r="CO219" s="2211"/>
      <c r="CP219" s="2211"/>
      <c r="CQ219" s="2211"/>
      <c r="CR219" s="2211"/>
      <c r="CS219" s="2211"/>
      <c r="CT219" s="2211"/>
      <c r="CU219" s="2211"/>
      <c r="CV219" s="2211"/>
      <c r="CW219" s="2211"/>
      <c r="CX219" s="2211"/>
      <c r="CY219" s="2211"/>
      <c r="CZ219" s="2211"/>
      <c r="DA219" s="2211"/>
      <c r="DB219" s="2211"/>
      <c r="DC219" s="2211"/>
      <c r="DD219" s="2211"/>
      <c r="DE219" s="2211"/>
      <c r="DF219" s="2211"/>
      <c r="DG219" s="2211"/>
      <c r="DH219" s="2211"/>
      <c r="DI219" s="2211"/>
      <c r="DJ219" s="2211"/>
      <c r="DK219" s="2211"/>
      <c r="DL219" s="2211"/>
      <c r="DM219" s="2211"/>
      <c r="DN219" s="2211"/>
      <c r="DO219" s="2211"/>
      <c r="DP219" s="2211"/>
      <c r="DQ219" s="2211"/>
      <c r="DR219" s="2211"/>
      <c r="DS219" s="2211"/>
      <c r="DT219" s="2211"/>
      <c r="DU219" s="2211"/>
      <c r="DV219" s="2211"/>
      <c r="DW219" s="2211"/>
      <c r="DX219" s="2211"/>
      <c r="DY219" s="2211"/>
      <c r="DZ219" s="2211"/>
      <c r="EA219" s="2211"/>
      <c r="EB219" s="2211"/>
      <c r="EC219" s="2211"/>
      <c r="ED219" s="2211"/>
      <c r="EE219" s="2211"/>
      <c r="EF219" s="2211"/>
      <c r="EG219" s="2211"/>
      <c r="EH219" s="2211"/>
      <c r="EI219" s="2211"/>
      <c r="EJ219" s="2211"/>
      <c r="EK219" s="2211"/>
      <c r="EL219" s="2211"/>
      <c r="EM219" s="2211"/>
      <c r="EN219" s="2211"/>
      <c r="EO219" s="2211"/>
      <c r="EP219" s="2211"/>
      <c r="EQ219" s="2211"/>
      <c r="ER219" s="2211"/>
      <c r="ES219" s="2211"/>
      <c r="ET219" s="2211"/>
      <c r="EU219" s="2211"/>
      <c r="EV219" s="2211"/>
      <c r="EW219" s="2211"/>
      <c r="EX219" s="2211"/>
      <c r="EY219" s="2211"/>
      <c r="EZ219" s="2211"/>
      <c r="FA219" s="2211"/>
      <c r="FB219" s="2211"/>
      <c r="FC219" s="2211"/>
      <c r="FD219" s="2211"/>
      <c r="FE219" s="2211"/>
      <c r="FF219" s="2211"/>
      <c r="FG219" s="2211"/>
      <c r="FH219" s="2211"/>
      <c r="FI219" s="2211"/>
      <c r="FJ219" s="2211"/>
      <c r="FK219" s="2211"/>
      <c r="FL219" s="2211"/>
      <c r="FM219" s="2211"/>
      <c r="FN219" s="2211"/>
      <c r="FO219" s="2211"/>
      <c r="FP219" s="2211"/>
      <c r="FQ219" s="2211"/>
      <c r="FR219" s="2211"/>
      <c r="FS219" s="2211"/>
      <c r="FT219" s="2211"/>
      <c r="FU219" s="2211"/>
      <c r="FV219" s="2211"/>
      <c r="FW219" s="2203"/>
      <c r="FX219" s="2203"/>
      <c r="FY219" s="2034"/>
      <c r="FZ219" s="2034"/>
      <c r="GA219" s="2034"/>
      <c r="GB219" s="2221"/>
      <c r="GC219" s="2221"/>
      <c r="GD219" s="2221"/>
      <c r="GE219" s="2221"/>
      <c r="GF219" s="2221"/>
      <c r="GG219" s="2221"/>
      <c r="GH219" s="2221"/>
      <c r="GI219" s="2221"/>
      <c r="GJ219" s="2221"/>
      <c r="GK219" s="2221"/>
      <c r="GL219" s="2221"/>
      <c r="GM219" s="2221"/>
      <c r="GN219" s="2221"/>
      <c r="GO219" s="2221"/>
      <c r="GP219" s="2221"/>
      <c r="GQ219" s="2221"/>
      <c r="GR219" s="2221"/>
      <c r="GS219" s="2221"/>
      <c r="GT219" s="2221"/>
      <c r="GU219" s="2221"/>
      <c r="GV219" s="2221"/>
      <c r="GW219" s="2221"/>
      <c r="GX219" s="2221"/>
      <c r="GY219" s="2221"/>
      <c r="GZ219" s="2221"/>
      <c r="HA219" s="2221"/>
      <c r="HB219" s="2221"/>
      <c r="HC219" s="2221"/>
      <c r="HD219" s="2221"/>
      <c r="HE219" s="2221"/>
      <c r="HF219" s="2221"/>
      <c r="HG219" s="2221"/>
      <c r="HH219" s="2221"/>
      <c r="HI219" s="2221"/>
      <c r="HJ219" s="2221"/>
      <c r="HK219" s="2221"/>
      <c r="HL219" s="2221"/>
      <c r="HM219" s="2221"/>
      <c r="HN219" s="2221"/>
      <c r="HO219" s="2221"/>
      <c r="HP219" s="2221"/>
      <c r="HQ219" s="2221"/>
      <c r="HR219" s="2221"/>
      <c r="HS219" s="2221"/>
      <c r="HT219" s="2221"/>
      <c r="HU219" s="2221"/>
      <c r="HV219" s="2221"/>
      <c r="HW219" s="2221"/>
      <c r="HX219" s="2221"/>
      <c r="HY219" s="2221"/>
      <c r="HZ219" s="2221"/>
      <c r="IA219" s="2221"/>
      <c r="IB219" s="2221"/>
      <c r="IC219" s="2221"/>
      <c r="ID219" s="2221"/>
      <c r="IE219" s="2221"/>
      <c r="IF219" s="2221"/>
      <c r="IG219" s="2221"/>
      <c r="IH219" s="2221"/>
      <c r="II219" s="2221"/>
      <c r="IJ219" s="2221"/>
      <c r="IK219" s="2221"/>
      <c r="IL219" s="2221"/>
      <c r="IM219" s="2221"/>
      <c r="IN219" s="2221"/>
      <c r="IO219" s="2221"/>
      <c r="IP219" s="2221"/>
      <c r="IQ219" s="2221"/>
      <c r="IR219" s="2221"/>
      <c r="IS219" s="2221"/>
      <c r="IT219" s="2221"/>
      <c r="IU219" s="2221"/>
      <c r="IV219" s="2221"/>
      <c r="IW219" s="2221"/>
      <c r="IX219" s="2221"/>
      <c r="IY219" s="2221"/>
      <c r="IZ219" s="2221"/>
      <c r="JA219" s="2221"/>
      <c r="JB219" s="2221"/>
      <c r="JC219" s="2221"/>
      <c r="JD219" s="2221"/>
      <c r="JE219" s="2221"/>
      <c r="JF219" s="2222"/>
      <c r="JG219" s="2026"/>
      <c r="JK219" s="2526"/>
    </row>
    <row r="220" spans="2:271" s="2024" customFormat="1">
      <c r="B220" s="2189">
        <v>8</v>
      </c>
      <c r="C220" s="2203"/>
      <c r="D220" s="2191" t="s">
        <v>108</v>
      </c>
      <c r="E220" s="2206"/>
      <c r="F220" s="2190"/>
      <c r="G220" s="2237"/>
      <c r="H220" s="2190"/>
      <c r="I220" s="2190"/>
      <c r="J220" s="2190"/>
      <c r="K220" s="2238"/>
      <c r="L220" s="2206"/>
      <c r="M220" s="2207"/>
      <c r="N220" s="2207"/>
      <c r="O220" s="2207"/>
      <c r="P220" s="2207"/>
      <c r="Q220" s="2207"/>
      <c r="R220" s="2207"/>
      <c r="S220" s="2207"/>
      <c r="T220" s="2207"/>
      <c r="U220" s="2207"/>
      <c r="V220" s="2207"/>
      <c r="W220" s="2207"/>
      <c r="X220" s="2208"/>
      <c r="Y220" s="2208"/>
      <c r="Z220" s="2209"/>
      <c r="AA220" s="2209"/>
      <c r="AB220" s="2190"/>
      <c r="AC220" s="2190"/>
      <c r="AD220" s="2190"/>
      <c r="AE220" s="2190"/>
      <c r="AF220" s="2190"/>
      <c r="AG220" s="2190"/>
      <c r="AH220" s="2190"/>
      <c r="AI220" s="2190"/>
      <c r="AJ220" s="2190"/>
      <c r="AK220" s="2210"/>
      <c r="AL220" s="2209"/>
      <c r="AM220" s="2209"/>
      <c r="AN220" s="2190"/>
      <c r="AO220" s="2190"/>
      <c r="AP220" s="2190"/>
      <c r="AQ220" s="2190"/>
      <c r="AR220" s="2210"/>
      <c r="AS220" s="2210"/>
      <c r="AT220" s="2190"/>
      <c r="AU220" s="2190"/>
      <c r="AV220" s="2190"/>
      <c r="AW220" s="2190"/>
      <c r="AX220" s="2190"/>
      <c r="AY220" s="2190"/>
      <c r="AZ220" s="2190"/>
      <c r="BA220" s="2210"/>
      <c r="BB220" s="2210"/>
      <c r="BC220" s="2190"/>
      <c r="BD220" s="2190"/>
      <c r="BE220" s="2211"/>
      <c r="BF220" s="2210"/>
      <c r="BG220" s="2211"/>
      <c r="BH220" s="2211"/>
      <c r="BI220" s="2211"/>
      <c r="BJ220" s="2211"/>
      <c r="BK220" s="2211"/>
      <c r="BL220" s="2211"/>
      <c r="BM220" s="2211"/>
      <c r="BN220" s="2211"/>
      <c r="BO220" s="2211"/>
      <c r="BP220" s="2211"/>
      <c r="BQ220" s="2211"/>
      <c r="BR220" s="2211"/>
      <c r="BS220" s="2211"/>
      <c r="BT220" s="2211"/>
      <c r="BU220" s="2211"/>
      <c r="BV220" s="2211"/>
      <c r="BW220" s="2211"/>
      <c r="BX220" s="2211"/>
      <c r="BY220" s="2211"/>
      <c r="BZ220" s="2211"/>
      <c r="CA220" s="2211"/>
      <c r="CB220" s="2211"/>
      <c r="CC220" s="2211"/>
      <c r="CD220" s="2211"/>
      <c r="CE220" s="2211"/>
      <c r="CF220" s="2211"/>
      <c r="CG220" s="2211"/>
      <c r="CH220" s="2211"/>
      <c r="CI220" s="2211"/>
      <c r="CJ220" s="2211"/>
      <c r="CK220" s="2211"/>
      <c r="CL220" s="2211"/>
      <c r="CM220" s="2211"/>
      <c r="CN220" s="2211"/>
      <c r="CO220" s="2211"/>
      <c r="CP220" s="2211"/>
      <c r="CQ220" s="2211"/>
      <c r="CR220" s="2211"/>
      <c r="CS220" s="2211"/>
      <c r="CT220" s="2211"/>
      <c r="CU220" s="2211"/>
      <c r="CV220" s="2211"/>
      <c r="CW220" s="2211"/>
      <c r="CX220" s="2211"/>
      <c r="CY220" s="2211"/>
      <c r="CZ220" s="2211"/>
      <c r="DA220" s="2211"/>
      <c r="DB220" s="2211"/>
      <c r="DC220" s="2211"/>
      <c r="DD220" s="2211"/>
      <c r="DE220" s="2211"/>
      <c r="DF220" s="2211"/>
      <c r="DG220" s="2211"/>
      <c r="DH220" s="2211"/>
      <c r="DI220" s="2211"/>
      <c r="DJ220" s="2211"/>
      <c r="DK220" s="2211"/>
      <c r="DL220" s="2211"/>
      <c r="DM220" s="2211"/>
      <c r="DN220" s="2211"/>
      <c r="DO220" s="2211"/>
      <c r="DP220" s="2211"/>
      <c r="DQ220" s="2211"/>
      <c r="DR220" s="2211"/>
      <c r="DS220" s="2211"/>
      <c r="DT220" s="2211"/>
      <c r="DU220" s="2211"/>
      <c r="DV220" s="2211"/>
      <c r="DW220" s="2211"/>
      <c r="DX220" s="2211"/>
      <c r="DY220" s="2211"/>
      <c r="DZ220" s="2211"/>
      <c r="EA220" s="2211"/>
      <c r="EB220" s="2211"/>
      <c r="EC220" s="2211"/>
      <c r="ED220" s="2211"/>
      <c r="EE220" s="2211"/>
      <c r="EF220" s="2211"/>
      <c r="EG220" s="2211"/>
      <c r="EH220" s="2211"/>
      <c r="EI220" s="2211"/>
      <c r="EJ220" s="2211"/>
      <c r="EK220" s="2211"/>
      <c r="EL220" s="2211"/>
      <c r="EM220" s="2211"/>
      <c r="EN220" s="2211"/>
      <c r="EO220" s="2211"/>
      <c r="EP220" s="2211"/>
      <c r="EQ220" s="2211"/>
      <c r="ER220" s="2211"/>
      <c r="ES220" s="2211"/>
      <c r="ET220" s="2211"/>
      <c r="EU220" s="2211"/>
      <c r="EV220" s="2211"/>
      <c r="EW220" s="2211"/>
      <c r="EX220" s="2211"/>
      <c r="EY220" s="2211"/>
      <c r="EZ220" s="2211"/>
      <c r="FA220" s="2211"/>
      <c r="FB220" s="2211"/>
      <c r="FC220" s="2211"/>
      <c r="FD220" s="2211"/>
      <c r="FE220" s="2211"/>
      <c r="FF220" s="2211"/>
      <c r="FG220" s="2211"/>
      <c r="FH220" s="2211"/>
      <c r="FI220" s="2211"/>
      <c r="FJ220" s="2211"/>
      <c r="FK220" s="2211"/>
      <c r="FL220" s="2211"/>
      <c r="FM220" s="2211"/>
      <c r="FN220" s="2211"/>
      <c r="FO220" s="2211"/>
      <c r="FP220" s="2211"/>
      <c r="FQ220" s="2211"/>
      <c r="FR220" s="2211"/>
      <c r="FS220" s="2211"/>
      <c r="FT220" s="2211"/>
      <c r="FU220" s="2211"/>
      <c r="FV220" s="2211"/>
      <c r="FW220" s="2203"/>
      <c r="FX220" s="2203"/>
      <c r="FY220" s="2034"/>
      <c r="FZ220" s="2034"/>
      <c r="GA220" s="2034"/>
      <c r="GB220" s="2221"/>
      <c r="GC220" s="2221"/>
      <c r="GD220" s="2221"/>
      <c r="GE220" s="2221"/>
      <c r="GF220" s="2221"/>
      <c r="GG220" s="2221"/>
      <c r="GH220" s="2221"/>
      <c r="GI220" s="2221"/>
      <c r="GJ220" s="2221"/>
      <c r="GK220" s="2221"/>
      <c r="GL220" s="2221"/>
      <c r="GM220" s="2221"/>
      <c r="GN220" s="2221"/>
      <c r="GO220" s="2221"/>
      <c r="GP220" s="2221"/>
      <c r="GQ220" s="2221"/>
      <c r="GR220" s="2221"/>
      <c r="GS220" s="2221"/>
      <c r="GT220" s="2221"/>
      <c r="GU220" s="2221"/>
      <c r="GV220" s="2221"/>
      <c r="GW220" s="2221"/>
      <c r="GX220" s="2221"/>
      <c r="GY220" s="2221"/>
      <c r="GZ220" s="2221"/>
      <c r="HA220" s="2221"/>
      <c r="HB220" s="2221"/>
      <c r="HC220" s="2221"/>
      <c r="HD220" s="2221"/>
      <c r="HE220" s="2221"/>
      <c r="HF220" s="2221"/>
      <c r="HG220" s="2221"/>
      <c r="HH220" s="2221"/>
      <c r="HI220" s="2221"/>
      <c r="HJ220" s="2221"/>
      <c r="HK220" s="2221"/>
      <c r="HL220" s="2221"/>
      <c r="HM220" s="2221"/>
      <c r="HN220" s="2221"/>
      <c r="HO220" s="2221"/>
      <c r="HP220" s="2221"/>
      <c r="HQ220" s="2221"/>
      <c r="HR220" s="2221"/>
      <c r="HS220" s="2221"/>
      <c r="HT220" s="2221"/>
      <c r="HU220" s="2221"/>
      <c r="HV220" s="2221"/>
      <c r="HW220" s="2221"/>
      <c r="HX220" s="2221"/>
      <c r="HY220" s="2221"/>
      <c r="HZ220" s="2221"/>
      <c r="IA220" s="2221"/>
      <c r="IB220" s="2221"/>
      <c r="IC220" s="2221"/>
      <c r="ID220" s="2221"/>
      <c r="IE220" s="2221"/>
      <c r="IF220" s="2221"/>
      <c r="IG220" s="2221"/>
      <c r="IH220" s="2221"/>
      <c r="II220" s="2221"/>
      <c r="IJ220" s="2221"/>
      <c r="IK220" s="2221"/>
      <c r="IL220" s="2221"/>
      <c r="IM220" s="2221"/>
      <c r="IN220" s="2221"/>
      <c r="IO220" s="2221"/>
      <c r="IP220" s="2221"/>
      <c r="IQ220" s="2221"/>
      <c r="IR220" s="2221"/>
      <c r="IS220" s="2221"/>
      <c r="IT220" s="2221"/>
      <c r="IU220" s="2221"/>
      <c r="IV220" s="2221"/>
      <c r="IW220" s="2221"/>
      <c r="IX220" s="2221"/>
      <c r="IY220" s="2221"/>
      <c r="IZ220" s="2221"/>
      <c r="JA220" s="2221"/>
      <c r="JB220" s="2221"/>
      <c r="JC220" s="2221"/>
      <c r="JD220" s="2221"/>
      <c r="JE220" s="2221"/>
      <c r="JF220" s="2222"/>
      <c r="JG220" s="2026"/>
      <c r="JK220" s="2526"/>
    </row>
    <row r="221" spans="2:271" s="2024" customFormat="1">
      <c r="B221" s="2189">
        <v>9</v>
      </c>
      <c r="C221" s="2203"/>
      <c r="D221" s="2191" t="s">
        <v>108</v>
      </c>
      <c r="E221" s="2206"/>
      <c r="F221" s="2190"/>
      <c r="G221" s="2237"/>
      <c r="H221" s="2190"/>
      <c r="I221" s="2190"/>
      <c r="J221" s="2190"/>
      <c r="K221" s="2238"/>
      <c r="L221" s="2206"/>
      <c r="M221" s="2207"/>
      <c r="N221" s="2207"/>
      <c r="O221" s="2207"/>
      <c r="P221" s="2207"/>
      <c r="Q221" s="2207"/>
      <c r="R221" s="2207"/>
      <c r="S221" s="2207"/>
      <c r="T221" s="2207"/>
      <c r="U221" s="2207"/>
      <c r="V221" s="2207"/>
      <c r="W221" s="2207"/>
      <c r="X221" s="2208"/>
      <c r="Y221" s="2208"/>
      <c r="Z221" s="2209"/>
      <c r="AA221" s="2209"/>
      <c r="AB221" s="2190"/>
      <c r="AC221" s="2190"/>
      <c r="AD221" s="2190"/>
      <c r="AE221" s="2190"/>
      <c r="AF221" s="2190"/>
      <c r="AG221" s="2190"/>
      <c r="AH221" s="2190"/>
      <c r="AI221" s="2190"/>
      <c r="AJ221" s="2190"/>
      <c r="AK221" s="2210"/>
      <c r="AL221" s="2209"/>
      <c r="AM221" s="2209"/>
      <c r="AN221" s="2190"/>
      <c r="AO221" s="2190"/>
      <c r="AP221" s="2190"/>
      <c r="AQ221" s="2190"/>
      <c r="AR221" s="2210"/>
      <c r="AS221" s="2210"/>
      <c r="AT221" s="2190"/>
      <c r="AU221" s="2190"/>
      <c r="AV221" s="2190"/>
      <c r="AW221" s="2190"/>
      <c r="AX221" s="2190"/>
      <c r="AY221" s="2190"/>
      <c r="AZ221" s="2190"/>
      <c r="BA221" s="2210"/>
      <c r="BB221" s="2210"/>
      <c r="BC221" s="2190"/>
      <c r="BD221" s="2190"/>
      <c r="BE221" s="2211"/>
      <c r="BF221" s="2210"/>
      <c r="BG221" s="2211"/>
      <c r="BH221" s="2211"/>
      <c r="BI221" s="2211"/>
      <c r="BJ221" s="2211"/>
      <c r="BK221" s="2211"/>
      <c r="BL221" s="2211"/>
      <c r="BM221" s="2211"/>
      <c r="BN221" s="2211"/>
      <c r="BO221" s="2211"/>
      <c r="BP221" s="2211"/>
      <c r="BQ221" s="2211"/>
      <c r="BR221" s="2211"/>
      <c r="BS221" s="2211"/>
      <c r="BT221" s="2211"/>
      <c r="BU221" s="2211"/>
      <c r="BV221" s="2211"/>
      <c r="BW221" s="2211"/>
      <c r="BX221" s="2211"/>
      <c r="BY221" s="2211"/>
      <c r="BZ221" s="2211"/>
      <c r="CA221" s="2211"/>
      <c r="CB221" s="2211"/>
      <c r="CC221" s="2211"/>
      <c r="CD221" s="2211"/>
      <c r="CE221" s="2211"/>
      <c r="CF221" s="2211"/>
      <c r="CG221" s="2211"/>
      <c r="CH221" s="2211"/>
      <c r="CI221" s="2211"/>
      <c r="CJ221" s="2211"/>
      <c r="CK221" s="2211"/>
      <c r="CL221" s="2211"/>
      <c r="CM221" s="2211"/>
      <c r="CN221" s="2211"/>
      <c r="CO221" s="2211"/>
      <c r="CP221" s="2211"/>
      <c r="CQ221" s="2211"/>
      <c r="CR221" s="2211"/>
      <c r="CS221" s="2211"/>
      <c r="CT221" s="2211"/>
      <c r="CU221" s="2211"/>
      <c r="CV221" s="2211"/>
      <c r="CW221" s="2211"/>
      <c r="CX221" s="2211"/>
      <c r="CY221" s="2211"/>
      <c r="CZ221" s="2211"/>
      <c r="DA221" s="2211"/>
      <c r="DB221" s="2211"/>
      <c r="DC221" s="2211"/>
      <c r="DD221" s="2211"/>
      <c r="DE221" s="2211"/>
      <c r="DF221" s="2211"/>
      <c r="DG221" s="2211"/>
      <c r="DH221" s="2211"/>
      <c r="DI221" s="2211"/>
      <c r="DJ221" s="2211"/>
      <c r="DK221" s="2211"/>
      <c r="DL221" s="2211"/>
      <c r="DM221" s="2211"/>
      <c r="DN221" s="2211"/>
      <c r="DO221" s="2211"/>
      <c r="DP221" s="2211"/>
      <c r="DQ221" s="2211"/>
      <c r="DR221" s="2211"/>
      <c r="DS221" s="2211"/>
      <c r="DT221" s="2211"/>
      <c r="DU221" s="2211"/>
      <c r="DV221" s="2211"/>
      <c r="DW221" s="2211"/>
      <c r="DX221" s="2211"/>
      <c r="DY221" s="2211"/>
      <c r="DZ221" s="2211"/>
      <c r="EA221" s="2211"/>
      <c r="EB221" s="2211"/>
      <c r="EC221" s="2211"/>
      <c r="ED221" s="2211"/>
      <c r="EE221" s="2211"/>
      <c r="EF221" s="2211"/>
      <c r="EG221" s="2211"/>
      <c r="EH221" s="2211"/>
      <c r="EI221" s="2211"/>
      <c r="EJ221" s="2211"/>
      <c r="EK221" s="2211"/>
      <c r="EL221" s="2211"/>
      <c r="EM221" s="2211"/>
      <c r="EN221" s="2211"/>
      <c r="EO221" s="2211"/>
      <c r="EP221" s="2211"/>
      <c r="EQ221" s="2211"/>
      <c r="ER221" s="2211"/>
      <c r="ES221" s="2211"/>
      <c r="ET221" s="2211"/>
      <c r="EU221" s="2211"/>
      <c r="EV221" s="2211"/>
      <c r="EW221" s="2211"/>
      <c r="EX221" s="2211"/>
      <c r="EY221" s="2211"/>
      <c r="EZ221" s="2211"/>
      <c r="FA221" s="2211"/>
      <c r="FB221" s="2211"/>
      <c r="FC221" s="2211"/>
      <c r="FD221" s="2211"/>
      <c r="FE221" s="2211"/>
      <c r="FF221" s="2211"/>
      <c r="FG221" s="2211"/>
      <c r="FH221" s="2211"/>
      <c r="FI221" s="2211"/>
      <c r="FJ221" s="2211"/>
      <c r="FK221" s="2211"/>
      <c r="FL221" s="2211"/>
      <c r="FM221" s="2211"/>
      <c r="FN221" s="2211"/>
      <c r="FO221" s="2211"/>
      <c r="FP221" s="2211"/>
      <c r="FQ221" s="2211"/>
      <c r="FR221" s="2211"/>
      <c r="FS221" s="2211"/>
      <c r="FT221" s="2211"/>
      <c r="FU221" s="2211"/>
      <c r="FV221" s="2211"/>
      <c r="FW221" s="2203"/>
      <c r="FX221" s="2203"/>
      <c r="FY221" s="2034"/>
      <c r="FZ221" s="2034"/>
      <c r="GA221" s="2034"/>
      <c r="GB221" s="2204"/>
      <c r="GC221" s="2204"/>
      <c r="GD221" s="2204"/>
      <c r="GE221" s="2204"/>
      <c r="GF221" s="2204"/>
      <c r="GG221" s="2204"/>
      <c r="GH221" s="2204"/>
      <c r="GI221" s="2204"/>
      <c r="GJ221" s="2204"/>
      <c r="GK221" s="2204"/>
      <c r="GL221" s="2204"/>
      <c r="GM221" s="2204"/>
      <c r="GN221" s="2204"/>
      <c r="GO221" s="2204"/>
      <c r="GP221" s="2204"/>
      <c r="GQ221" s="2204"/>
      <c r="GR221" s="2204"/>
      <c r="GS221" s="2204"/>
      <c r="GT221" s="2204"/>
      <c r="GU221" s="2204"/>
      <c r="GV221" s="2204"/>
      <c r="GW221" s="2204"/>
      <c r="GX221" s="2204"/>
      <c r="GY221" s="2204"/>
      <c r="GZ221" s="2204"/>
      <c r="HA221" s="2204"/>
      <c r="HB221" s="2204"/>
      <c r="HC221" s="2204"/>
      <c r="HD221" s="2204"/>
      <c r="HE221" s="2204"/>
      <c r="HF221" s="2204"/>
      <c r="HG221" s="2204"/>
      <c r="HH221" s="2204"/>
      <c r="HI221" s="2204"/>
      <c r="HJ221" s="2204"/>
      <c r="HK221" s="2204"/>
      <c r="HL221" s="2204"/>
      <c r="HM221" s="2204"/>
      <c r="HN221" s="2204"/>
      <c r="HO221" s="2204"/>
      <c r="HP221" s="2204"/>
      <c r="HQ221" s="2204"/>
      <c r="HR221" s="2204"/>
      <c r="HS221" s="2204"/>
      <c r="HT221" s="2204"/>
      <c r="HU221" s="2204"/>
      <c r="HV221" s="2204"/>
      <c r="HW221" s="2204"/>
      <c r="HX221" s="2204"/>
      <c r="HY221" s="2204"/>
      <c r="HZ221" s="2204"/>
      <c r="IA221" s="2204"/>
      <c r="IB221" s="2204"/>
      <c r="IC221" s="2204"/>
      <c r="ID221" s="2204"/>
      <c r="IE221" s="2204"/>
      <c r="IF221" s="2204"/>
      <c r="IG221" s="2204"/>
      <c r="IH221" s="2204"/>
      <c r="II221" s="2204"/>
      <c r="IJ221" s="2204"/>
      <c r="IK221" s="2204"/>
      <c r="IL221" s="2204"/>
      <c r="IM221" s="2204"/>
      <c r="IN221" s="2204"/>
      <c r="IO221" s="2204"/>
      <c r="IP221" s="2204"/>
      <c r="IQ221" s="2204"/>
      <c r="IR221" s="2204"/>
      <c r="IS221" s="2204"/>
      <c r="IT221" s="2204"/>
      <c r="IU221" s="2204"/>
      <c r="IV221" s="2204"/>
      <c r="IW221" s="2204"/>
      <c r="IX221" s="2204"/>
      <c r="IY221" s="2204"/>
      <c r="IZ221" s="2204"/>
      <c r="JA221" s="2204"/>
      <c r="JB221" s="2204"/>
      <c r="JC221" s="2204"/>
      <c r="JD221" s="2204"/>
      <c r="JE221" s="2204"/>
      <c r="JF221" s="2205"/>
      <c r="JG221" s="2026"/>
      <c r="JK221" s="2526"/>
    </row>
    <row r="222" spans="2:271" s="2024" customFormat="1">
      <c r="B222" s="2189">
        <v>10</v>
      </c>
      <c r="C222" s="2203"/>
      <c r="D222" s="2191" t="s">
        <v>401</v>
      </c>
      <c r="E222" s="2206"/>
      <c r="F222" s="2190"/>
      <c r="G222" s="2237"/>
      <c r="H222" s="2190"/>
      <c r="I222" s="2190"/>
      <c r="J222" s="2190"/>
      <c r="K222" s="2238"/>
      <c r="L222" s="2206"/>
      <c r="M222" s="2207"/>
      <c r="N222" s="2207"/>
      <c r="O222" s="2207"/>
      <c r="P222" s="2207"/>
      <c r="Q222" s="2207"/>
      <c r="R222" s="2207"/>
      <c r="S222" s="2207"/>
      <c r="T222" s="2207"/>
      <c r="U222" s="2207"/>
      <c r="V222" s="2207"/>
      <c r="W222" s="2207"/>
      <c r="X222" s="2208"/>
      <c r="Y222" s="2208"/>
      <c r="Z222" s="2209"/>
      <c r="AA222" s="2209"/>
      <c r="AB222" s="2190"/>
      <c r="AC222" s="2190"/>
      <c r="AD222" s="2190"/>
      <c r="AE222" s="2190"/>
      <c r="AF222" s="2190"/>
      <c r="AG222" s="2190"/>
      <c r="AH222" s="2190"/>
      <c r="AI222" s="2190"/>
      <c r="AJ222" s="2190"/>
      <c r="AK222" s="2210"/>
      <c r="AL222" s="2209"/>
      <c r="AM222" s="2209"/>
      <c r="AN222" s="2190"/>
      <c r="AO222" s="2190"/>
      <c r="AP222" s="2190"/>
      <c r="AQ222" s="2190"/>
      <c r="AR222" s="2210"/>
      <c r="AS222" s="2210"/>
      <c r="AT222" s="2190"/>
      <c r="AU222" s="2190"/>
      <c r="AV222" s="2190"/>
      <c r="AW222" s="2190"/>
      <c r="AX222" s="2190"/>
      <c r="AY222" s="2190"/>
      <c r="AZ222" s="2190"/>
      <c r="BA222" s="2210"/>
      <c r="BB222" s="2210"/>
      <c r="BC222" s="2190"/>
      <c r="BD222" s="2190"/>
      <c r="BE222" s="2211"/>
      <c r="BF222" s="2210"/>
      <c r="BG222" s="2211"/>
      <c r="BH222" s="2211"/>
      <c r="BI222" s="2211"/>
      <c r="BJ222" s="2211"/>
      <c r="BK222" s="2211"/>
      <c r="BL222" s="2211"/>
      <c r="BM222" s="2211"/>
      <c r="BN222" s="2211"/>
      <c r="BO222" s="2211"/>
      <c r="BP222" s="2211"/>
      <c r="BQ222" s="2211"/>
      <c r="BR222" s="2211"/>
      <c r="BS222" s="2211"/>
      <c r="BT222" s="2211"/>
      <c r="BU222" s="2211"/>
      <c r="BV222" s="2211"/>
      <c r="BW222" s="2211"/>
      <c r="BX222" s="2211"/>
      <c r="BY222" s="2211"/>
      <c r="BZ222" s="2211"/>
      <c r="CA222" s="2211"/>
      <c r="CB222" s="2211"/>
      <c r="CC222" s="2211"/>
      <c r="CD222" s="2211"/>
      <c r="CE222" s="2211"/>
      <c r="CF222" s="2211"/>
      <c r="CG222" s="2211"/>
      <c r="CH222" s="2211"/>
      <c r="CI222" s="2211"/>
      <c r="CJ222" s="2211"/>
      <c r="CK222" s="2211"/>
      <c r="CL222" s="2211"/>
      <c r="CM222" s="2211"/>
      <c r="CN222" s="2211"/>
      <c r="CO222" s="2211"/>
      <c r="CP222" s="2211"/>
      <c r="CQ222" s="2211"/>
      <c r="CR222" s="2211"/>
      <c r="CS222" s="2211"/>
      <c r="CT222" s="2211"/>
      <c r="CU222" s="2211"/>
      <c r="CV222" s="2211"/>
      <c r="CW222" s="2211"/>
      <c r="CX222" s="2211"/>
      <c r="CY222" s="2211"/>
      <c r="CZ222" s="2211"/>
      <c r="DA222" s="2211"/>
      <c r="DB222" s="2211"/>
      <c r="DC222" s="2211"/>
      <c r="DD222" s="2211"/>
      <c r="DE222" s="2211"/>
      <c r="DF222" s="2211"/>
      <c r="DG222" s="2211"/>
      <c r="DH222" s="2211"/>
      <c r="DI222" s="2211"/>
      <c r="DJ222" s="2211"/>
      <c r="DK222" s="2211"/>
      <c r="DL222" s="2211"/>
      <c r="DM222" s="2211"/>
      <c r="DN222" s="2211"/>
      <c r="DO222" s="2211"/>
      <c r="DP222" s="2211"/>
      <c r="DQ222" s="2211"/>
      <c r="DR222" s="2211"/>
      <c r="DS222" s="2211"/>
      <c r="DT222" s="2211"/>
      <c r="DU222" s="2211"/>
      <c r="DV222" s="2211"/>
      <c r="DW222" s="2211"/>
      <c r="DX222" s="2211"/>
      <c r="DY222" s="2211"/>
      <c r="DZ222" s="2211"/>
      <c r="EA222" s="2211"/>
      <c r="EB222" s="2211"/>
      <c r="EC222" s="2211"/>
      <c r="ED222" s="2211"/>
      <c r="EE222" s="2211"/>
      <c r="EF222" s="2211"/>
      <c r="EG222" s="2211"/>
      <c r="EH222" s="2211"/>
      <c r="EI222" s="2211"/>
      <c r="EJ222" s="2211"/>
      <c r="EK222" s="2211"/>
      <c r="EL222" s="2211"/>
      <c r="EM222" s="2211"/>
      <c r="EN222" s="2211"/>
      <c r="EO222" s="2211"/>
      <c r="EP222" s="2211"/>
      <c r="EQ222" s="2211"/>
      <c r="ER222" s="2211"/>
      <c r="ES222" s="2211"/>
      <c r="ET222" s="2211"/>
      <c r="EU222" s="2211"/>
      <c r="EV222" s="2211"/>
      <c r="EW222" s="2211"/>
      <c r="EX222" s="2211"/>
      <c r="EY222" s="2211"/>
      <c r="EZ222" s="2211"/>
      <c r="FA222" s="2211"/>
      <c r="FB222" s="2211"/>
      <c r="FC222" s="2211"/>
      <c r="FD222" s="2211"/>
      <c r="FE222" s="2211"/>
      <c r="FF222" s="2211"/>
      <c r="FG222" s="2211"/>
      <c r="FH222" s="2211"/>
      <c r="FI222" s="2211"/>
      <c r="FJ222" s="2211"/>
      <c r="FK222" s="2211"/>
      <c r="FL222" s="2211"/>
      <c r="FM222" s="2211"/>
      <c r="FN222" s="2211"/>
      <c r="FO222" s="2211"/>
      <c r="FP222" s="2211"/>
      <c r="FQ222" s="2211"/>
      <c r="FR222" s="2211"/>
      <c r="FS222" s="2211"/>
      <c r="FT222" s="2211"/>
      <c r="FU222" s="2211"/>
      <c r="FV222" s="2211"/>
      <c r="FW222" s="2203"/>
      <c r="FX222" s="2203"/>
      <c r="FY222" s="2034"/>
      <c r="FZ222" s="2034"/>
      <c r="GA222" s="2034"/>
      <c r="GB222" s="2204"/>
      <c r="GC222" s="2204"/>
      <c r="GD222" s="2204"/>
      <c r="GE222" s="2204"/>
      <c r="GF222" s="2204"/>
      <c r="GG222" s="2204"/>
      <c r="GH222" s="2204"/>
      <c r="GI222" s="2204"/>
      <c r="GJ222" s="2204"/>
      <c r="GK222" s="2204"/>
      <c r="GL222" s="2204"/>
      <c r="GM222" s="2204"/>
      <c r="GN222" s="2204"/>
      <c r="GO222" s="2204"/>
      <c r="GP222" s="2204"/>
      <c r="GQ222" s="2204"/>
      <c r="GR222" s="2204"/>
      <c r="GS222" s="2204"/>
      <c r="GT222" s="2204"/>
      <c r="GU222" s="2204"/>
      <c r="GV222" s="2204"/>
      <c r="GW222" s="2204"/>
      <c r="GX222" s="2204"/>
      <c r="GY222" s="2204"/>
      <c r="GZ222" s="2204"/>
      <c r="HA222" s="2204"/>
      <c r="HB222" s="2204"/>
      <c r="HC222" s="2204"/>
      <c r="HD222" s="2204"/>
      <c r="HE222" s="2204"/>
      <c r="HF222" s="2204"/>
      <c r="HG222" s="2204"/>
      <c r="HH222" s="2204"/>
      <c r="HI222" s="2204"/>
      <c r="HJ222" s="2204"/>
      <c r="HK222" s="2204"/>
      <c r="HL222" s="2204"/>
      <c r="HM222" s="2204"/>
      <c r="HN222" s="2204"/>
      <c r="HO222" s="2204"/>
      <c r="HP222" s="2204"/>
      <c r="HQ222" s="2204"/>
      <c r="HR222" s="2204"/>
      <c r="HS222" s="2204"/>
      <c r="HT222" s="2204"/>
      <c r="HU222" s="2204"/>
      <c r="HV222" s="2204"/>
      <c r="HW222" s="2204"/>
      <c r="HX222" s="2204"/>
      <c r="HY222" s="2204"/>
      <c r="HZ222" s="2204"/>
      <c r="IA222" s="2204"/>
      <c r="IB222" s="2204"/>
      <c r="IC222" s="2204"/>
      <c r="ID222" s="2204"/>
      <c r="IE222" s="2204"/>
      <c r="IF222" s="2204"/>
      <c r="IG222" s="2204"/>
      <c r="IH222" s="2204"/>
      <c r="II222" s="2204"/>
      <c r="IJ222" s="2204"/>
      <c r="IK222" s="2204"/>
      <c r="IL222" s="2204"/>
      <c r="IM222" s="2204"/>
      <c r="IN222" s="2204"/>
      <c r="IO222" s="2204"/>
      <c r="IP222" s="2204"/>
      <c r="IQ222" s="2204"/>
      <c r="IR222" s="2204"/>
      <c r="IS222" s="2204"/>
      <c r="IT222" s="2204"/>
      <c r="IU222" s="2204"/>
      <c r="IV222" s="2204"/>
      <c r="IW222" s="2204"/>
      <c r="IX222" s="2204"/>
      <c r="IY222" s="2204"/>
      <c r="IZ222" s="2204"/>
      <c r="JA222" s="2204"/>
      <c r="JB222" s="2204"/>
      <c r="JC222" s="2204"/>
      <c r="JD222" s="2204"/>
      <c r="JE222" s="2204"/>
      <c r="JF222" s="2205"/>
      <c r="JG222" s="2026"/>
      <c r="JK222" s="2526"/>
    </row>
    <row r="223" spans="2:271" s="2024" customFormat="1">
      <c r="B223" s="2189">
        <v>11</v>
      </c>
      <c r="C223" s="2203"/>
      <c r="D223" s="2191" t="s">
        <v>402</v>
      </c>
      <c r="E223" s="2206"/>
      <c r="F223" s="2190"/>
      <c r="G223" s="2237"/>
      <c r="H223" s="2190"/>
      <c r="I223" s="2190"/>
      <c r="J223" s="2190"/>
      <c r="K223" s="2238"/>
      <c r="L223" s="2206"/>
      <c r="M223" s="2207"/>
      <c r="N223" s="2207"/>
      <c r="O223" s="2207"/>
      <c r="P223" s="2207"/>
      <c r="Q223" s="2207"/>
      <c r="R223" s="2207"/>
      <c r="S223" s="2207"/>
      <c r="T223" s="2207"/>
      <c r="U223" s="2207"/>
      <c r="V223" s="2207"/>
      <c r="W223" s="2207"/>
      <c r="X223" s="2208"/>
      <c r="Y223" s="2208"/>
      <c r="Z223" s="2209"/>
      <c r="AA223" s="2209"/>
      <c r="AB223" s="2190"/>
      <c r="AC223" s="2190"/>
      <c r="AD223" s="2190"/>
      <c r="AE223" s="2190"/>
      <c r="AF223" s="2190"/>
      <c r="AG223" s="2190"/>
      <c r="AH223" s="2190"/>
      <c r="AI223" s="2190"/>
      <c r="AJ223" s="2190"/>
      <c r="AK223" s="2210"/>
      <c r="AL223" s="2209"/>
      <c r="AM223" s="2209"/>
      <c r="AN223" s="2190"/>
      <c r="AO223" s="2190"/>
      <c r="AP223" s="2190"/>
      <c r="AQ223" s="2190"/>
      <c r="AR223" s="2210"/>
      <c r="AS223" s="2210"/>
      <c r="AT223" s="2190"/>
      <c r="AU223" s="2190"/>
      <c r="AV223" s="2190"/>
      <c r="AW223" s="2190"/>
      <c r="AX223" s="2190"/>
      <c r="AY223" s="2190"/>
      <c r="AZ223" s="2190"/>
      <c r="BA223" s="2210"/>
      <c r="BB223" s="2210"/>
      <c r="BC223" s="2190"/>
      <c r="BD223" s="2190"/>
      <c r="BE223" s="2211"/>
      <c r="BF223" s="2210"/>
      <c r="BG223" s="2211"/>
      <c r="BH223" s="2211"/>
      <c r="BI223" s="2211"/>
      <c r="BJ223" s="2211"/>
      <c r="BK223" s="2211"/>
      <c r="BL223" s="2211"/>
      <c r="BM223" s="2211"/>
      <c r="BN223" s="2211"/>
      <c r="BO223" s="2211"/>
      <c r="BP223" s="2211"/>
      <c r="BQ223" s="2211"/>
      <c r="BR223" s="2211"/>
      <c r="BS223" s="2211"/>
      <c r="BT223" s="2211"/>
      <c r="BU223" s="2211"/>
      <c r="BV223" s="2211"/>
      <c r="BW223" s="2211"/>
      <c r="BX223" s="2211"/>
      <c r="BY223" s="2211"/>
      <c r="BZ223" s="2211"/>
      <c r="CA223" s="2211"/>
      <c r="CB223" s="2211"/>
      <c r="CC223" s="2211"/>
      <c r="CD223" s="2211"/>
      <c r="CE223" s="2211"/>
      <c r="CF223" s="2211"/>
      <c r="CG223" s="2211"/>
      <c r="CH223" s="2211"/>
      <c r="CI223" s="2211"/>
      <c r="CJ223" s="2211"/>
      <c r="CK223" s="2211"/>
      <c r="CL223" s="2211"/>
      <c r="CM223" s="2211"/>
      <c r="CN223" s="2211"/>
      <c r="CO223" s="2211"/>
      <c r="CP223" s="2211"/>
      <c r="CQ223" s="2211"/>
      <c r="CR223" s="2211"/>
      <c r="CS223" s="2211"/>
      <c r="CT223" s="2211"/>
      <c r="CU223" s="2211"/>
      <c r="CV223" s="2211"/>
      <c r="CW223" s="2211"/>
      <c r="CX223" s="2211"/>
      <c r="CY223" s="2211"/>
      <c r="CZ223" s="2211"/>
      <c r="DA223" s="2211"/>
      <c r="DB223" s="2211"/>
      <c r="DC223" s="2211"/>
      <c r="DD223" s="2211"/>
      <c r="DE223" s="2211"/>
      <c r="DF223" s="2211"/>
      <c r="DG223" s="2211"/>
      <c r="DH223" s="2211"/>
      <c r="DI223" s="2211"/>
      <c r="DJ223" s="2211"/>
      <c r="DK223" s="2211"/>
      <c r="DL223" s="2211"/>
      <c r="DM223" s="2211"/>
      <c r="DN223" s="2211"/>
      <c r="DO223" s="2211"/>
      <c r="DP223" s="2211"/>
      <c r="DQ223" s="2211"/>
      <c r="DR223" s="2211"/>
      <c r="DS223" s="2211"/>
      <c r="DT223" s="2211"/>
      <c r="DU223" s="2211"/>
      <c r="DV223" s="2211"/>
      <c r="DW223" s="2211"/>
      <c r="DX223" s="2211"/>
      <c r="DY223" s="2211"/>
      <c r="DZ223" s="2211"/>
      <c r="EA223" s="2211"/>
      <c r="EB223" s="2211"/>
      <c r="EC223" s="2211"/>
      <c r="ED223" s="2211"/>
      <c r="EE223" s="2211"/>
      <c r="EF223" s="2211"/>
      <c r="EG223" s="2211"/>
      <c r="EH223" s="2211"/>
      <c r="EI223" s="2211"/>
      <c r="EJ223" s="2211"/>
      <c r="EK223" s="2211"/>
      <c r="EL223" s="2211"/>
      <c r="EM223" s="2211"/>
      <c r="EN223" s="2211"/>
      <c r="EO223" s="2211"/>
      <c r="EP223" s="2211"/>
      <c r="EQ223" s="2211"/>
      <c r="ER223" s="2211"/>
      <c r="ES223" s="2211"/>
      <c r="ET223" s="2211"/>
      <c r="EU223" s="2211"/>
      <c r="EV223" s="2211"/>
      <c r="EW223" s="2211"/>
      <c r="EX223" s="2211"/>
      <c r="EY223" s="2211"/>
      <c r="EZ223" s="2211"/>
      <c r="FA223" s="2211"/>
      <c r="FB223" s="2211"/>
      <c r="FC223" s="2211"/>
      <c r="FD223" s="2211"/>
      <c r="FE223" s="2211"/>
      <c r="FF223" s="2211"/>
      <c r="FG223" s="2211"/>
      <c r="FH223" s="2211"/>
      <c r="FI223" s="2211"/>
      <c r="FJ223" s="2211"/>
      <c r="FK223" s="2211"/>
      <c r="FL223" s="2211"/>
      <c r="FM223" s="2211"/>
      <c r="FN223" s="2211"/>
      <c r="FO223" s="2211"/>
      <c r="FP223" s="2211"/>
      <c r="FQ223" s="2211"/>
      <c r="FR223" s="2211"/>
      <c r="FS223" s="2211"/>
      <c r="FT223" s="2211"/>
      <c r="FU223" s="2211"/>
      <c r="FV223" s="2211"/>
      <c r="FW223" s="2203"/>
      <c r="FX223" s="2203"/>
      <c r="FY223" s="2034"/>
      <c r="FZ223" s="2034"/>
      <c r="GA223" s="2034"/>
      <c r="GB223" s="2204"/>
      <c r="GC223" s="2204"/>
      <c r="GD223" s="2204"/>
      <c r="GE223" s="2204"/>
      <c r="GF223" s="2204"/>
      <c r="GG223" s="2204"/>
      <c r="GH223" s="2204"/>
      <c r="GI223" s="2204"/>
      <c r="GJ223" s="2204"/>
      <c r="GK223" s="2204"/>
      <c r="GL223" s="2204"/>
      <c r="GM223" s="2204"/>
      <c r="GN223" s="2204"/>
      <c r="GO223" s="2204"/>
      <c r="GP223" s="2204"/>
      <c r="GQ223" s="2204"/>
      <c r="GR223" s="2204"/>
      <c r="GS223" s="2204"/>
      <c r="GT223" s="2204"/>
      <c r="GU223" s="2204"/>
      <c r="GV223" s="2204"/>
      <c r="GW223" s="2204"/>
      <c r="GX223" s="2204"/>
      <c r="GY223" s="2204"/>
      <c r="GZ223" s="2204"/>
      <c r="HA223" s="2204"/>
      <c r="HB223" s="2204"/>
      <c r="HC223" s="2204"/>
      <c r="HD223" s="2204"/>
      <c r="HE223" s="2204"/>
      <c r="HF223" s="2204"/>
      <c r="HG223" s="2204"/>
      <c r="HH223" s="2204"/>
      <c r="HI223" s="2204"/>
      <c r="HJ223" s="2204"/>
      <c r="HK223" s="2204"/>
      <c r="HL223" s="2204"/>
      <c r="HM223" s="2204"/>
      <c r="HN223" s="2204"/>
      <c r="HO223" s="2204"/>
      <c r="HP223" s="2204"/>
      <c r="HQ223" s="2204"/>
      <c r="HR223" s="2204"/>
      <c r="HS223" s="2204"/>
      <c r="HT223" s="2204"/>
      <c r="HU223" s="2204"/>
      <c r="HV223" s="2204"/>
      <c r="HW223" s="2204"/>
      <c r="HX223" s="2204"/>
      <c r="HY223" s="2204"/>
      <c r="HZ223" s="2204"/>
      <c r="IA223" s="2204"/>
      <c r="IB223" s="2204"/>
      <c r="IC223" s="2204"/>
      <c r="ID223" s="2204"/>
      <c r="IE223" s="2204"/>
      <c r="IF223" s="2204"/>
      <c r="IG223" s="2204"/>
      <c r="IH223" s="2204"/>
      <c r="II223" s="2204"/>
      <c r="IJ223" s="2204"/>
      <c r="IK223" s="2204"/>
      <c r="IL223" s="2204"/>
      <c r="IM223" s="2204"/>
      <c r="IN223" s="2204"/>
      <c r="IO223" s="2204"/>
      <c r="IP223" s="2204"/>
      <c r="IQ223" s="2204"/>
      <c r="IR223" s="2204"/>
      <c r="IS223" s="2204"/>
      <c r="IT223" s="2204"/>
      <c r="IU223" s="2204"/>
      <c r="IV223" s="2204"/>
      <c r="IW223" s="2204"/>
      <c r="IX223" s="2204"/>
      <c r="IY223" s="2204"/>
      <c r="IZ223" s="2204"/>
      <c r="JA223" s="2204"/>
      <c r="JB223" s="2204"/>
      <c r="JC223" s="2204"/>
      <c r="JD223" s="2204"/>
      <c r="JE223" s="2204"/>
      <c r="JF223" s="2205"/>
      <c r="JG223" s="2026"/>
      <c r="JK223" s="2526"/>
    </row>
    <row r="224" spans="2:271" s="2236" customFormat="1" hidden="1">
      <c r="B224" s="2223">
        <v>12</v>
      </c>
      <c r="C224" s="2224"/>
      <c r="D224" s="2225" t="s">
        <v>109</v>
      </c>
      <c r="E224" s="2226"/>
      <c r="F224" s="2227"/>
      <c r="G224" s="2224"/>
      <c r="H224" s="2227"/>
      <c r="I224" s="2227"/>
      <c r="J224" s="2227"/>
      <c r="K224" s="2240"/>
      <c r="L224" s="2226"/>
      <c r="M224" s="2229"/>
      <c r="N224" s="2229"/>
      <c r="O224" s="2229"/>
      <c r="P224" s="2229"/>
      <c r="Q224" s="2229"/>
      <c r="R224" s="2229"/>
      <c r="S224" s="2229"/>
      <c r="T224" s="2229"/>
      <c r="U224" s="2229"/>
      <c r="V224" s="2229"/>
      <c r="W224" s="2229"/>
      <c r="X224" s="2230"/>
      <c r="Y224" s="2230"/>
      <c r="Z224" s="2231"/>
      <c r="AA224" s="2231"/>
      <c r="AB224" s="2227"/>
      <c r="AC224" s="2227"/>
      <c r="AD224" s="2227"/>
      <c r="AE224" s="2227"/>
      <c r="AF224" s="2227"/>
      <c r="AG224" s="2227"/>
      <c r="AH224" s="2227"/>
      <c r="AI224" s="2227"/>
      <c r="AJ224" s="2227"/>
      <c r="AK224" s="2232"/>
      <c r="AL224" s="2231"/>
      <c r="AM224" s="2231"/>
      <c r="AN224" s="2227"/>
      <c r="AO224" s="2227"/>
      <c r="AP224" s="2227"/>
      <c r="AQ224" s="2227"/>
      <c r="AR224" s="2232"/>
      <c r="AS224" s="2232"/>
      <c r="AT224" s="2227"/>
      <c r="AU224" s="2227"/>
      <c r="AV224" s="2227"/>
      <c r="AW224" s="2227"/>
      <c r="AX224" s="2227"/>
      <c r="AY224" s="2227"/>
      <c r="AZ224" s="2227"/>
      <c r="BA224" s="2232"/>
      <c r="BB224" s="2232"/>
      <c r="BC224" s="2227"/>
      <c r="BD224" s="2227"/>
      <c r="BE224" s="2233"/>
      <c r="BF224" s="2232"/>
      <c r="BG224" s="2233"/>
      <c r="BH224" s="2233"/>
      <c r="BI224" s="2233"/>
      <c r="BJ224" s="2233"/>
      <c r="BK224" s="2233"/>
      <c r="BL224" s="2233"/>
      <c r="BM224" s="2233"/>
      <c r="BN224" s="2233"/>
      <c r="BO224" s="2233"/>
      <c r="BP224" s="2233"/>
      <c r="BQ224" s="2233"/>
      <c r="BR224" s="2233"/>
      <c r="BS224" s="2233"/>
      <c r="BT224" s="2233"/>
      <c r="BU224" s="2233"/>
      <c r="BV224" s="2233"/>
      <c r="BW224" s="2233"/>
      <c r="BX224" s="2233"/>
      <c r="BY224" s="2233"/>
      <c r="BZ224" s="2233"/>
      <c r="CA224" s="2233"/>
      <c r="CB224" s="2233"/>
      <c r="CC224" s="2233"/>
      <c r="CD224" s="2233"/>
      <c r="CE224" s="2233"/>
      <c r="CF224" s="2233"/>
      <c r="CG224" s="2233"/>
      <c r="CH224" s="2233"/>
      <c r="CI224" s="2233"/>
      <c r="CJ224" s="2233"/>
      <c r="CK224" s="2233"/>
      <c r="CL224" s="2233"/>
      <c r="CM224" s="2233"/>
      <c r="CN224" s="2233"/>
      <c r="CO224" s="2233"/>
      <c r="CP224" s="2233"/>
      <c r="CQ224" s="2233"/>
      <c r="CR224" s="2233"/>
      <c r="CS224" s="2233"/>
      <c r="CT224" s="2233"/>
      <c r="CU224" s="2233"/>
      <c r="CV224" s="2233"/>
      <c r="CW224" s="2233"/>
      <c r="CX224" s="2233"/>
      <c r="CY224" s="2233"/>
      <c r="CZ224" s="2233"/>
      <c r="DA224" s="2233"/>
      <c r="DB224" s="2233"/>
      <c r="DC224" s="2233"/>
      <c r="DD224" s="2233"/>
      <c r="DE224" s="2233"/>
      <c r="DF224" s="2233"/>
      <c r="DG224" s="2233"/>
      <c r="DH224" s="2233"/>
      <c r="DI224" s="2233"/>
      <c r="DJ224" s="2233"/>
      <c r="DK224" s="2233"/>
      <c r="DL224" s="2233"/>
      <c r="DM224" s="2233"/>
      <c r="DN224" s="2233"/>
      <c r="DO224" s="2233"/>
      <c r="DP224" s="2233"/>
      <c r="DQ224" s="2233"/>
      <c r="DR224" s="2233"/>
      <c r="DS224" s="2233"/>
      <c r="DT224" s="2233"/>
      <c r="DU224" s="2233"/>
      <c r="DV224" s="2233"/>
      <c r="DW224" s="2233"/>
      <c r="DX224" s="2233"/>
      <c r="DY224" s="2233"/>
      <c r="DZ224" s="2233"/>
      <c r="EA224" s="2233"/>
      <c r="EB224" s="2233"/>
      <c r="EC224" s="2233"/>
      <c r="ED224" s="2233"/>
      <c r="EE224" s="2233"/>
      <c r="EF224" s="2233"/>
      <c r="EG224" s="2233"/>
      <c r="EH224" s="2233"/>
      <c r="EI224" s="2233"/>
      <c r="EJ224" s="2233"/>
      <c r="EK224" s="2233"/>
      <c r="EL224" s="2233"/>
      <c r="EM224" s="2233"/>
      <c r="EN224" s="2233"/>
      <c r="EO224" s="2233"/>
      <c r="EP224" s="2233"/>
      <c r="EQ224" s="2233"/>
      <c r="ER224" s="2233"/>
      <c r="ES224" s="2233"/>
      <c r="ET224" s="2233"/>
      <c r="EU224" s="2233"/>
      <c r="EV224" s="2233"/>
      <c r="EW224" s="2233"/>
      <c r="EX224" s="2233"/>
      <c r="EY224" s="2233"/>
      <c r="EZ224" s="2233"/>
      <c r="FA224" s="2233"/>
      <c r="FB224" s="2233"/>
      <c r="FC224" s="2233"/>
      <c r="FD224" s="2233"/>
      <c r="FE224" s="2233"/>
      <c r="FF224" s="2233"/>
      <c r="FG224" s="2233"/>
      <c r="FH224" s="2233"/>
      <c r="FI224" s="2233"/>
      <c r="FJ224" s="2233"/>
      <c r="FK224" s="2233"/>
      <c r="FL224" s="2233"/>
      <c r="FM224" s="2233"/>
      <c r="FN224" s="2233"/>
      <c r="FO224" s="2233"/>
      <c r="FP224" s="2233"/>
      <c r="FQ224" s="2233"/>
      <c r="FR224" s="2233"/>
      <c r="FS224" s="2233"/>
      <c r="FT224" s="2233"/>
      <c r="FU224" s="2233"/>
      <c r="FV224" s="2233"/>
      <c r="FW224" s="2224"/>
      <c r="FX224" s="2224"/>
      <c r="FY224" s="2227"/>
      <c r="FZ224" s="2227"/>
      <c r="GA224" s="2227"/>
      <c r="GB224" s="2232"/>
      <c r="GC224" s="2232"/>
      <c r="GD224" s="2232"/>
      <c r="GE224" s="2232"/>
      <c r="GF224" s="2232"/>
      <c r="GG224" s="2232"/>
      <c r="GH224" s="2232"/>
      <c r="GI224" s="2232"/>
      <c r="GJ224" s="2232"/>
      <c r="GK224" s="2232"/>
      <c r="GL224" s="2232"/>
      <c r="GM224" s="2232"/>
      <c r="GN224" s="2232"/>
      <c r="GO224" s="2232"/>
      <c r="GP224" s="2232"/>
      <c r="GQ224" s="2232"/>
      <c r="GR224" s="2232"/>
      <c r="GS224" s="2232"/>
      <c r="GT224" s="2232"/>
      <c r="GU224" s="2232"/>
      <c r="GV224" s="2232"/>
      <c r="GW224" s="2232"/>
      <c r="GX224" s="2232"/>
      <c r="GY224" s="2232"/>
      <c r="GZ224" s="2232"/>
      <c r="HA224" s="2232"/>
      <c r="HB224" s="2232"/>
      <c r="HC224" s="2232"/>
      <c r="HD224" s="2232"/>
      <c r="HE224" s="2232"/>
      <c r="HF224" s="2232"/>
      <c r="HG224" s="2232"/>
      <c r="HH224" s="2232"/>
      <c r="HI224" s="2232"/>
      <c r="HJ224" s="2232"/>
      <c r="HK224" s="2232"/>
      <c r="HL224" s="2232"/>
      <c r="HM224" s="2232"/>
      <c r="HN224" s="2232"/>
      <c r="HO224" s="2232"/>
      <c r="HP224" s="2232"/>
      <c r="HQ224" s="2232"/>
      <c r="HR224" s="2232"/>
      <c r="HS224" s="2232"/>
      <c r="HT224" s="2232"/>
      <c r="HU224" s="2232"/>
      <c r="HV224" s="2232"/>
      <c r="HW224" s="2232"/>
      <c r="HX224" s="2232"/>
      <c r="HY224" s="2232"/>
      <c r="HZ224" s="2232"/>
      <c r="IA224" s="2232"/>
      <c r="IB224" s="2232"/>
      <c r="IC224" s="2232"/>
      <c r="ID224" s="2232"/>
      <c r="IE224" s="2232"/>
      <c r="IF224" s="2232"/>
      <c r="IG224" s="2232"/>
      <c r="IH224" s="2232"/>
      <c r="II224" s="2232"/>
      <c r="IJ224" s="2232"/>
      <c r="IK224" s="2232"/>
      <c r="IL224" s="2232"/>
      <c r="IM224" s="2232"/>
      <c r="IN224" s="2232"/>
      <c r="IO224" s="2232"/>
      <c r="IP224" s="2232"/>
      <c r="IQ224" s="2232"/>
      <c r="IR224" s="2232"/>
      <c r="IS224" s="2232"/>
      <c r="IT224" s="2232"/>
      <c r="IU224" s="2232"/>
      <c r="IV224" s="2232"/>
      <c r="IW224" s="2232"/>
      <c r="IX224" s="2232"/>
      <c r="IY224" s="2232"/>
      <c r="IZ224" s="2232"/>
      <c r="JA224" s="2232"/>
      <c r="JB224" s="2232"/>
      <c r="JC224" s="2232"/>
      <c r="JD224" s="2232"/>
      <c r="JE224" s="2232"/>
      <c r="JF224" s="2234"/>
      <c r="JG224" s="2235"/>
      <c r="JK224" s="2530"/>
    </row>
    <row r="225" spans="2:271" s="2024" customFormat="1" hidden="1">
      <c r="B225" s="2198">
        <v>13</v>
      </c>
      <c r="C225" s="2203"/>
      <c r="D225" s="2212" t="s">
        <v>449</v>
      </c>
      <c r="E225" s="2213"/>
      <c r="F225" s="2214"/>
      <c r="G225" s="2244"/>
      <c r="H225" s="2214"/>
      <c r="I225" s="2214"/>
      <c r="J225" s="2214"/>
      <c r="K225" s="2243"/>
      <c r="L225" s="2213"/>
      <c r="M225" s="2216"/>
      <c r="N225" s="2216"/>
      <c r="O225" s="2216"/>
      <c r="P225" s="2216"/>
      <c r="Q225" s="2216"/>
      <c r="R225" s="2216"/>
      <c r="S225" s="2216"/>
      <c r="T225" s="2216"/>
      <c r="U225" s="2216"/>
      <c r="V225" s="2216"/>
      <c r="W225" s="2216"/>
      <c r="X225" s="2217"/>
      <c r="Y225" s="2217"/>
      <c r="Z225" s="2218"/>
      <c r="AA225" s="2218"/>
      <c r="AB225" s="2214"/>
      <c r="AC225" s="2214"/>
      <c r="AD225" s="2214"/>
      <c r="AE225" s="2214"/>
      <c r="AF225" s="2214"/>
      <c r="AG225" s="2214"/>
      <c r="AH225" s="2214"/>
      <c r="AI225" s="2214"/>
      <c r="AJ225" s="2214"/>
      <c r="AK225" s="2219"/>
      <c r="AL225" s="2218"/>
      <c r="AM225" s="2218"/>
      <c r="AN225" s="2214"/>
      <c r="AO225" s="2214"/>
      <c r="AP225" s="2214"/>
      <c r="AQ225" s="2214"/>
      <c r="AR225" s="2219"/>
      <c r="AS225" s="2219"/>
      <c r="AT225" s="2214"/>
      <c r="AU225" s="2214"/>
      <c r="AV225" s="2214"/>
      <c r="AW225" s="2214"/>
      <c r="AX225" s="2214"/>
      <c r="AY225" s="2214"/>
      <c r="AZ225" s="2214"/>
      <c r="BA225" s="2219"/>
      <c r="BB225" s="2219"/>
      <c r="BC225" s="2214"/>
      <c r="BD225" s="2214"/>
      <c r="BE225" s="2220"/>
      <c r="BF225" s="2219"/>
      <c r="BG225" s="2220"/>
      <c r="BH225" s="2220"/>
      <c r="BI225" s="2220"/>
      <c r="BJ225" s="2220"/>
      <c r="BK225" s="2220"/>
      <c r="BL225" s="2220"/>
      <c r="BM225" s="2220"/>
      <c r="BN225" s="2220"/>
      <c r="BO225" s="2220"/>
      <c r="BP225" s="2220"/>
      <c r="BQ225" s="2220"/>
      <c r="BR225" s="2220"/>
      <c r="BS225" s="2220"/>
      <c r="BT225" s="2220"/>
      <c r="BU225" s="2220"/>
      <c r="BV225" s="2220"/>
      <c r="BW225" s="2220"/>
      <c r="BX225" s="2220"/>
      <c r="BY225" s="2220"/>
      <c r="BZ225" s="2220"/>
      <c r="CA225" s="2220"/>
      <c r="CB225" s="2220"/>
      <c r="CC225" s="2220"/>
      <c r="CD225" s="2220"/>
      <c r="CE225" s="2220"/>
      <c r="CF225" s="2220"/>
      <c r="CG225" s="2220"/>
      <c r="CH225" s="2220"/>
      <c r="CI225" s="2220"/>
      <c r="CJ225" s="2220"/>
      <c r="CK225" s="2220"/>
      <c r="CL225" s="2220"/>
      <c r="CM225" s="2220"/>
      <c r="CN225" s="2220"/>
      <c r="CO225" s="2220"/>
      <c r="CP225" s="2220"/>
      <c r="CQ225" s="2220"/>
      <c r="CR225" s="2220"/>
      <c r="CS225" s="2220"/>
      <c r="CT225" s="2220"/>
      <c r="CU225" s="2220"/>
      <c r="CV225" s="2220"/>
      <c r="CW225" s="2220"/>
      <c r="CX225" s="2220"/>
      <c r="CY225" s="2220"/>
      <c r="CZ225" s="2220"/>
      <c r="DA225" s="2220"/>
      <c r="DB225" s="2220"/>
      <c r="DC225" s="2220"/>
      <c r="DD225" s="2220"/>
      <c r="DE225" s="2220"/>
      <c r="DF225" s="2220"/>
      <c r="DG225" s="2220"/>
      <c r="DH225" s="2220"/>
      <c r="DI225" s="2220"/>
      <c r="DJ225" s="2220"/>
      <c r="DK225" s="2220"/>
      <c r="DL225" s="2220"/>
      <c r="DM225" s="2220"/>
      <c r="DN225" s="2220"/>
      <c r="DO225" s="2220"/>
      <c r="DP225" s="2220"/>
      <c r="DQ225" s="2220"/>
      <c r="DR225" s="2220"/>
      <c r="DS225" s="2220"/>
      <c r="DT225" s="2220"/>
      <c r="DU225" s="2220"/>
      <c r="DV225" s="2220"/>
      <c r="DW225" s="2220"/>
      <c r="DX225" s="2220"/>
      <c r="DY225" s="2220"/>
      <c r="DZ225" s="2220"/>
      <c r="EA225" s="2220"/>
      <c r="EB225" s="2220"/>
      <c r="EC225" s="2220"/>
      <c r="ED225" s="2220"/>
      <c r="EE225" s="2220"/>
      <c r="EF225" s="2220"/>
      <c r="EG225" s="2220"/>
      <c r="EH225" s="2220"/>
      <c r="EI225" s="2220"/>
      <c r="EJ225" s="2220"/>
      <c r="EK225" s="2220"/>
      <c r="EL225" s="2220"/>
      <c r="EM225" s="2220"/>
      <c r="EN225" s="2220"/>
      <c r="EO225" s="2220"/>
      <c r="EP225" s="2220"/>
      <c r="EQ225" s="2220"/>
      <c r="ER225" s="2220"/>
      <c r="ES225" s="2220"/>
      <c r="ET225" s="2220"/>
      <c r="EU225" s="2220"/>
      <c r="EV225" s="2220"/>
      <c r="EW225" s="2220"/>
      <c r="EX225" s="2220"/>
      <c r="EY225" s="2220"/>
      <c r="EZ225" s="2220"/>
      <c r="FA225" s="2220"/>
      <c r="FB225" s="2220"/>
      <c r="FC225" s="2220"/>
      <c r="FD225" s="2220"/>
      <c r="FE225" s="2220"/>
      <c r="FF225" s="2220"/>
      <c r="FG225" s="2220"/>
      <c r="FH225" s="2220"/>
      <c r="FI225" s="2220"/>
      <c r="FJ225" s="2220"/>
      <c r="FK225" s="2220"/>
      <c r="FL225" s="2220"/>
      <c r="FM225" s="2220"/>
      <c r="FN225" s="2220"/>
      <c r="FO225" s="2220"/>
      <c r="FP225" s="2220"/>
      <c r="FQ225" s="2220"/>
      <c r="FR225" s="2220"/>
      <c r="FS225" s="2220"/>
      <c r="FT225" s="2220"/>
      <c r="FU225" s="2220"/>
      <c r="FV225" s="2220"/>
      <c r="FW225" s="2203"/>
      <c r="FX225" s="2203"/>
      <c r="FY225" s="2034"/>
      <c r="FZ225" s="2034"/>
      <c r="GA225" s="2034"/>
      <c r="GB225" s="2204"/>
      <c r="GC225" s="2204"/>
      <c r="GD225" s="2204"/>
      <c r="GE225" s="2204"/>
      <c r="GF225" s="2204"/>
      <c r="GG225" s="2204"/>
      <c r="GH225" s="2204"/>
      <c r="GI225" s="2204"/>
      <c r="GJ225" s="2204"/>
      <c r="GK225" s="2204"/>
      <c r="GL225" s="2204"/>
      <c r="GM225" s="2204"/>
      <c r="GN225" s="2204"/>
      <c r="GO225" s="2204"/>
      <c r="GP225" s="2204"/>
      <c r="GQ225" s="2204"/>
      <c r="GR225" s="2204"/>
      <c r="GS225" s="2204"/>
      <c r="GT225" s="2204"/>
      <c r="GU225" s="2204"/>
      <c r="GV225" s="2204"/>
      <c r="GW225" s="2204"/>
      <c r="GX225" s="2204"/>
      <c r="GY225" s="2204"/>
      <c r="GZ225" s="2204"/>
      <c r="HA225" s="2204"/>
      <c r="HB225" s="2204"/>
      <c r="HC225" s="2204"/>
      <c r="HD225" s="2204"/>
      <c r="HE225" s="2204"/>
      <c r="HF225" s="2204"/>
      <c r="HG225" s="2204"/>
      <c r="HH225" s="2204"/>
      <c r="HI225" s="2204"/>
      <c r="HJ225" s="2204"/>
      <c r="HK225" s="2204"/>
      <c r="HL225" s="2204"/>
      <c r="HM225" s="2204"/>
      <c r="HN225" s="2204"/>
      <c r="HO225" s="2204"/>
      <c r="HP225" s="2204"/>
      <c r="HQ225" s="2204"/>
      <c r="HR225" s="2204"/>
      <c r="HS225" s="2204"/>
      <c r="HT225" s="2204"/>
      <c r="HU225" s="2204"/>
      <c r="HV225" s="2204"/>
      <c r="HW225" s="2204"/>
      <c r="HX225" s="2204"/>
      <c r="HY225" s="2204"/>
      <c r="HZ225" s="2204"/>
      <c r="IA225" s="2204"/>
      <c r="IB225" s="2204"/>
      <c r="IC225" s="2204"/>
      <c r="ID225" s="2204"/>
      <c r="IE225" s="2204"/>
      <c r="IF225" s="2204"/>
      <c r="IG225" s="2204"/>
      <c r="IH225" s="2204"/>
      <c r="II225" s="2204"/>
      <c r="IJ225" s="2204"/>
      <c r="IK225" s="2204"/>
      <c r="IL225" s="2204"/>
      <c r="IM225" s="2204"/>
      <c r="IN225" s="2204"/>
      <c r="IO225" s="2204"/>
      <c r="IP225" s="2204"/>
      <c r="IQ225" s="2204"/>
      <c r="IR225" s="2204"/>
      <c r="IS225" s="2204"/>
      <c r="IT225" s="2204"/>
      <c r="IU225" s="2204"/>
      <c r="IV225" s="2204"/>
      <c r="IW225" s="2204"/>
      <c r="IX225" s="2204"/>
      <c r="IY225" s="2204"/>
      <c r="IZ225" s="2204"/>
      <c r="JA225" s="2204"/>
      <c r="JB225" s="2204"/>
      <c r="JC225" s="2204"/>
      <c r="JD225" s="2204"/>
      <c r="JE225" s="2204"/>
      <c r="JF225" s="2205"/>
      <c r="JG225" s="2026"/>
      <c r="JK225" s="2526"/>
    </row>
    <row r="226" spans="2:271" s="2024" customFormat="1">
      <c r="B226" s="2189">
        <v>14</v>
      </c>
      <c r="C226" s="2203"/>
      <c r="D226" s="2191" t="s">
        <v>1127</v>
      </c>
      <c r="E226" s="2206"/>
      <c r="F226" s="2237"/>
      <c r="G226" s="2237"/>
      <c r="H226" s="2237"/>
      <c r="I226" s="2237"/>
      <c r="J226" s="2237"/>
      <c r="K226" s="2238"/>
      <c r="L226" s="2238"/>
      <c r="M226" s="2239"/>
      <c r="N226" s="2239"/>
      <c r="O226" s="2239"/>
      <c r="P226" s="2239"/>
      <c r="Q226" s="2239"/>
      <c r="R226" s="2239"/>
      <c r="S226" s="2239"/>
      <c r="T226" s="2239"/>
      <c r="U226" s="2239"/>
      <c r="V226" s="2239"/>
      <c r="W226" s="2239"/>
      <c r="X226" s="2208"/>
      <c r="Y226" s="2208"/>
      <c r="Z226" s="2209"/>
      <c r="AA226" s="2209"/>
      <c r="AB226" s="2190"/>
      <c r="AC226" s="2190"/>
      <c r="AD226" s="2190"/>
      <c r="AE226" s="2190"/>
      <c r="AF226" s="2190"/>
      <c r="AG226" s="2190"/>
      <c r="AH226" s="2190"/>
      <c r="AI226" s="2190"/>
      <c r="AJ226" s="2190"/>
      <c r="AK226" s="2210"/>
      <c r="AL226" s="2190"/>
      <c r="AM226" s="2190"/>
      <c r="AN226" s="2190"/>
      <c r="AO226" s="2190"/>
      <c r="AP226" s="2190"/>
      <c r="AQ226" s="2190"/>
      <c r="AR226" s="2210"/>
      <c r="AS226" s="2210"/>
      <c r="AT226" s="2190"/>
      <c r="AU226" s="2190"/>
      <c r="AV226" s="2190"/>
      <c r="AW226" s="2190"/>
      <c r="AX226" s="2190"/>
      <c r="AY226" s="2190"/>
      <c r="AZ226" s="2190"/>
      <c r="BA226" s="2210"/>
      <c r="BB226" s="2210"/>
      <c r="BC226" s="2190"/>
      <c r="BD226" s="2190"/>
      <c r="BE226" s="2211"/>
      <c r="BF226" s="2210"/>
      <c r="BG226" s="2211"/>
      <c r="BH226" s="2211"/>
      <c r="BI226" s="2211"/>
      <c r="BJ226" s="2211"/>
      <c r="BK226" s="2211"/>
      <c r="BL226" s="2211"/>
      <c r="BM226" s="2211"/>
      <c r="BN226" s="2211"/>
      <c r="BO226" s="2211"/>
      <c r="BP226" s="2211"/>
      <c r="BQ226" s="2211"/>
      <c r="BR226" s="2211"/>
      <c r="BS226" s="2211"/>
      <c r="BT226" s="2211"/>
      <c r="BU226" s="2211"/>
      <c r="BV226" s="2211"/>
      <c r="BW226" s="2211"/>
      <c r="BX226" s="2211"/>
      <c r="BY226" s="2211"/>
      <c r="BZ226" s="2211"/>
      <c r="CA226" s="2211"/>
      <c r="CB226" s="2211"/>
      <c r="CC226" s="2211"/>
      <c r="CD226" s="2211"/>
      <c r="CE226" s="2211"/>
      <c r="CF226" s="2211"/>
      <c r="CG226" s="2211"/>
      <c r="CH226" s="2211"/>
      <c r="CI226" s="2211"/>
      <c r="CJ226" s="2211"/>
      <c r="CK226" s="2211"/>
      <c r="CL226" s="2211"/>
      <c r="CM226" s="2211"/>
      <c r="CN226" s="2211"/>
      <c r="CO226" s="2211"/>
      <c r="CP226" s="2211"/>
      <c r="CQ226" s="2211"/>
      <c r="CR226" s="2211"/>
      <c r="CS226" s="2211"/>
      <c r="CT226" s="2211"/>
      <c r="CU226" s="2211"/>
      <c r="CV226" s="2211"/>
      <c r="CW226" s="2211"/>
      <c r="CX226" s="2211"/>
      <c r="CY226" s="2211"/>
      <c r="CZ226" s="2211"/>
      <c r="DA226" s="2211"/>
      <c r="DB226" s="2211"/>
      <c r="DC226" s="2211"/>
      <c r="DD226" s="2211"/>
      <c r="DE226" s="2211"/>
      <c r="DF226" s="2211"/>
      <c r="DG226" s="2211"/>
      <c r="DH226" s="2211"/>
      <c r="DI226" s="2211"/>
      <c r="DJ226" s="2211"/>
      <c r="DK226" s="2211"/>
      <c r="DL226" s="2211"/>
      <c r="DM226" s="2211"/>
      <c r="DN226" s="2211"/>
      <c r="DO226" s="2211"/>
      <c r="DP226" s="2211"/>
      <c r="DQ226" s="2211"/>
      <c r="DR226" s="2211"/>
      <c r="DS226" s="2211"/>
      <c r="DT226" s="2211"/>
      <c r="DU226" s="2211"/>
      <c r="DV226" s="2211"/>
      <c r="DW226" s="2211"/>
      <c r="DX226" s="2211"/>
      <c r="DY226" s="2211"/>
      <c r="DZ226" s="2211"/>
      <c r="EA226" s="2211"/>
      <c r="EB226" s="2211"/>
      <c r="EC226" s="2211"/>
      <c r="ED226" s="2211"/>
      <c r="EE226" s="2211"/>
      <c r="EF226" s="2211"/>
      <c r="EG226" s="2211"/>
      <c r="EH226" s="2211"/>
      <c r="EI226" s="2211"/>
      <c r="EJ226" s="2211"/>
      <c r="EK226" s="2211"/>
      <c r="EL226" s="2211"/>
      <c r="EM226" s="2211"/>
      <c r="EN226" s="2211"/>
      <c r="EO226" s="2211"/>
      <c r="EP226" s="2211"/>
      <c r="EQ226" s="2211"/>
      <c r="ER226" s="2211"/>
      <c r="ES226" s="2211"/>
      <c r="ET226" s="2211"/>
      <c r="EU226" s="2211"/>
      <c r="EV226" s="2211"/>
      <c r="EW226" s="2211"/>
      <c r="EX226" s="2211"/>
      <c r="EY226" s="2211"/>
      <c r="EZ226" s="2211"/>
      <c r="FA226" s="2211"/>
      <c r="FB226" s="2211"/>
      <c r="FC226" s="2211"/>
      <c r="FD226" s="2211"/>
      <c r="FE226" s="2211"/>
      <c r="FF226" s="2211"/>
      <c r="FG226" s="2211"/>
      <c r="FH226" s="2211"/>
      <c r="FI226" s="2211"/>
      <c r="FJ226" s="2211"/>
      <c r="FK226" s="2211"/>
      <c r="FL226" s="2211"/>
      <c r="FM226" s="2211"/>
      <c r="FN226" s="2211"/>
      <c r="FO226" s="2211"/>
      <c r="FP226" s="2211"/>
      <c r="FQ226" s="2211"/>
      <c r="FR226" s="2211"/>
      <c r="FS226" s="2211"/>
      <c r="FT226" s="2211"/>
      <c r="FU226" s="2211"/>
      <c r="FV226" s="2211"/>
      <c r="FW226" s="2203"/>
      <c r="FX226" s="2203"/>
      <c r="FY226" s="2034"/>
      <c r="FZ226" s="2034"/>
      <c r="GA226" s="2034"/>
      <c r="GB226" s="2204"/>
      <c r="GC226" s="2204"/>
      <c r="GD226" s="2204"/>
      <c r="GE226" s="2204"/>
      <c r="GF226" s="2204"/>
      <c r="GG226" s="2204"/>
      <c r="GH226" s="2204"/>
      <c r="GI226" s="2204"/>
      <c r="GJ226" s="2204"/>
      <c r="GK226" s="2204"/>
      <c r="GL226" s="2204"/>
      <c r="GM226" s="2204"/>
      <c r="GN226" s="2204"/>
      <c r="GO226" s="2204"/>
      <c r="GP226" s="2204"/>
      <c r="GQ226" s="2204"/>
      <c r="GR226" s="2204"/>
      <c r="GS226" s="2204"/>
      <c r="GT226" s="2204"/>
      <c r="GU226" s="2204"/>
      <c r="GV226" s="2204"/>
      <c r="GW226" s="2204"/>
      <c r="GX226" s="2204"/>
      <c r="GY226" s="2204"/>
      <c r="GZ226" s="2204"/>
      <c r="HA226" s="2204"/>
      <c r="HB226" s="2204"/>
      <c r="HC226" s="2204"/>
      <c r="HD226" s="2204"/>
      <c r="HE226" s="2204"/>
      <c r="HF226" s="2204"/>
      <c r="HG226" s="2204"/>
      <c r="HH226" s="2204"/>
      <c r="HI226" s="2204"/>
      <c r="HJ226" s="2204"/>
      <c r="HK226" s="2204"/>
      <c r="HL226" s="2204"/>
      <c r="HM226" s="2204"/>
      <c r="HN226" s="2204"/>
      <c r="HO226" s="2204"/>
      <c r="HP226" s="2204"/>
      <c r="HQ226" s="2204"/>
      <c r="HR226" s="2204"/>
      <c r="HS226" s="2204"/>
      <c r="HT226" s="2204"/>
      <c r="HU226" s="2204"/>
      <c r="HV226" s="2204"/>
      <c r="HW226" s="2204"/>
      <c r="HX226" s="2204"/>
      <c r="HY226" s="2204"/>
      <c r="HZ226" s="2204"/>
      <c r="IA226" s="2204"/>
      <c r="IB226" s="2204"/>
      <c r="IC226" s="2204"/>
      <c r="ID226" s="2204"/>
      <c r="IE226" s="2204"/>
      <c r="IF226" s="2204"/>
      <c r="IG226" s="2204"/>
      <c r="IH226" s="2204"/>
      <c r="II226" s="2204"/>
      <c r="IJ226" s="2204"/>
      <c r="IK226" s="2204"/>
      <c r="IL226" s="2204"/>
      <c r="IM226" s="2204"/>
      <c r="IN226" s="2204"/>
      <c r="IO226" s="2204"/>
      <c r="IP226" s="2204"/>
      <c r="IQ226" s="2204"/>
      <c r="IR226" s="2204"/>
      <c r="IS226" s="2204"/>
      <c r="IT226" s="2204"/>
      <c r="IU226" s="2204"/>
      <c r="IV226" s="2204"/>
      <c r="IW226" s="2204"/>
      <c r="IX226" s="2204"/>
      <c r="IY226" s="2204"/>
      <c r="IZ226" s="2204"/>
      <c r="JA226" s="2204"/>
      <c r="JB226" s="2204"/>
      <c r="JC226" s="2204"/>
      <c r="JD226" s="2204"/>
      <c r="JE226" s="2204"/>
      <c r="JF226" s="2205"/>
      <c r="JG226" s="2026"/>
      <c r="JK226" s="2526"/>
    </row>
    <row r="227" spans="2:271" s="2024" customFormat="1">
      <c r="B227" s="2189">
        <v>15</v>
      </c>
      <c r="C227" s="2203"/>
      <c r="D227" s="2191" t="s">
        <v>1128</v>
      </c>
      <c r="E227" s="2206"/>
      <c r="F227" s="2237"/>
      <c r="G227" s="2237"/>
      <c r="H227" s="2237"/>
      <c r="I227" s="2237"/>
      <c r="J227" s="2237"/>
      <c r="K227" s="2238"/>
      <c r="L227" s="2238"/>
      <c r="M227" s="2239"/>
      <c r="N227" s="2239"/>
      <c r="O227" s="2239"/>
      <c r="P227" s="2239"/>
      <c r="Q227" s="2239"/>
      <c r="R227" s="2239"/>
      <c r="S227" s="2239"/>
      <c r="T227" s="2239"/>
      <c r="U227" s="2239"/>
      <c r="V227" s="2239"/>
      <c r="W227" s="2239"/>
      <c r="X227" s="2208"/>
      <c r="Y227" s="2208"/>
      <c r="Z227" s="2209"/>
      <c r="AA227" s="2209"/>
      <c r="AB227" s="2190"/>
      <c r="AC227" s="2190"/>
      <c r="AD227" s="2190"/>
      <c r="AE227" s="2190"/>
      <c r="AF227" s="2190"/>
      <c r="AG227" s="2190"/>
      <c r="AH227" s="2190"/>
      <c r="AI227" s="2190"/>
      <c r="AJ227" s="2190"/>
      <c r="AK227" s="2210"/>
      <c r="AL227" s="2190"/>
      <c r="AM227" s="2190"/>
      <c r="AN227" s="2190"/>
      <c r="AO227" s="2190"/>
      <c r="AP227" s="2190"/>
      <c r="AQ227" s="2190"/>
      <c r="AR227" s="2210"/>
      <c r="AS227" s="2210"/>
      <c r="AT227" s="2190"/>
      <c r="AU227" s="2190"/>
      <c r="AV227" s="2190"/>
      <c r="AW227" s="2190"/>
      <c r="AX227" s="2190"/>
      <c r="AY227" s="2190"/>
      <c r="AZ227" s="2190"/>
      <c r="BA227" s="2210"/>
      <c r="BB227" s="2210"/>
      <c r="BC227" s="2190"/>
      <c r="BD227" s="2190"/>
      <c r="BE227" s="2211"/>
      <c r="BF227" s="2210"/>
      <c r="BG227" s="2211"/>
      <c r="BH227" s="2211"/>
      <c r="BI227" s="2211"/>
      <c r="BJ227" s="2211"/>
      <c r="BK227" s="2211"/>
      <c r="BL227" s="2211"/>
      <c r="BM227" s="2211"/>
      <c r="BN227" s="2211"/>
      <c r="BO227" s="2211"/>
      <c r="BP227" s="2211"/>
      <c r="BQ227" s="2211"/>
      <c r="BR227" s="2211"/>
      <c r="BS227" s="2211"/>
      <c r="BT227" s="2211"/>
      <c r="BU227" s="2211"/>
      <c r="BV227" s="2211"/>
      <c r="BW227" s="2211"/>
      <c r="BX227" s="2211"/>
      <c r="BY227" s="2211"/>
      <c r="BZ227" s="2211"/>
      <c r="CA227" s="2211"/>
      <c r="CB227" s="2211"/>
      <c r="CC227" s="2211"/>
      <c r="CD227" s="2211"/>
      <c r="CE227" s="2211"/>
      <c r="CF227" s="2211"/>
      <c r="CG227" s="2211"/>
      <c r="CH227" s="2211"/>
      <c r="CI227" s="2211"/>
      <c r="CJ227" s="2211"/>
      <c r="CK227" s="2211"/>
      <c r="CL227" s="2211"/>
      <c r="CM227" s="2211"/>
      <c r="CN227" s="2211"/>
      <c r="CO227" s="2211"/>
      <c r="CP227" s="2211"/>
      <c r="CQ227" s="2211"/>
      <c r="CR227" s="2211"/>
      <c r="CS227" s="2211"/>
      <c r="CT227" s="2211"/>
      <c r="CU227" s="2211"/>
      <c r="CV227" s="2211"/>
      <c r="CW227" s="2211"/>
      <c r="CX227" s="2211"/>
      <c r="CY227" s="2211"/>
      <c r="CZ227" s="2211"/>
      <c r="DA227" s="2211"/>
      <c r="DB227" s="2211"/>
      <c r="DC227" s="2211"/>
      <c r="DD227" s="2211"/>
      <c r="DE227" s="2211"/>
      <c r="DF227" s="2211"/>
      <c r="DG227" s="2211"/>
      <c r="DH227" s="2211"/>
      <c r="DI227" s="2211"/>
      <c r="DJ227" s="2211"/>
      <c r="DK227" s="2211"/>
      <c r="DL227" s="2211"/>
      <c r="DM227" s="2211"/>
      <c r="DN227" s="2211"/>
      <c r="DO227" s="2211"/>
      <c r="DP227" s="2211"/>
      <c r="DQ227" s="2211"/>
      <c r="DR227" s="2211"/>
      <c r="DS227" s="2211"/>
      <c r="DT227" s="2211"/>
      <c r="DU227" s="2211"/>
      <c r="DV227" s="2211"/>
      <c r="DW227" s="2211"/>
      <c r="DX227" s="2211"/>
      <c r="DY227" s="2211"/>
      <c r="DZ227" s="2211"/>
      <c r="EA227" s="2211"/>
      <c r="EB227" s="2211"/>
      <c r="EC227" s="2211"/>
      <c r="ED227" s="2211"/>
      <c r="EE227" s="2211"/>
      <c r="EF227" s="2211"/>
      <c r="EG227" s="2211"/>
      <c r="EH227" s="2211"/>
      <c r="EI227" s="2211"/>
      <c r="EJ227" s="2211"/>
      <c r="EK227" s="2211"/>
      <c r="EL227" s="2211"/>
      <c r="EM227" s="2211"/>
      <c r="EN227" s="2211"/>
      <c r="EO227" s="2211"/>
      <c r="EP227" s="2211"/>
      <c r="EQ227" s="2211"/>
      <c r="ER227" s="2211"/>
      <c r="ES227" s="2211"/>
      <c r="ET227" s="2211"/>
      <c r="EU227" s="2211"/>
      <c r="EV227" s="2211"/>
      <c r="EW227" s="2211"/>
      <c r="EX227" s="2211"/>
      <c r="EY227" s="2211"/>
      <c r="EZ227" s="2211"/>
      <c r="FA227" s="2211"/>
      <c r="FB227" s="2211"/>
      <c r="FC227" s="2211"/>
      <c r="FD227" s="2211"/>
      <c r="FE227" s="2211"/>
      <c r="FF227" s="2211"/>
      <c r="FG227" s="2211"/>
      <c r="FH227" s="2211"/>
      <c r="FI227" s="2211"/>
      <c r="FJ227" s="2211"/>
      <c r="FK227" s="2211"/>
      <c r="FL227" s="2211"/>
      <c r="FM227" s="2211"/>
      <c r="FN227" s="2211"/>
      <c r="FO227" s="2211"/>
      <c r="FP227" s="2211"/>
      <c r="FQ227" s="2211"/>
      <c r="FR227" s="2211"/>
      <c r="FS227" s="2211"/>
      <c r="FT227" s="2211"/>
      <c r="FU227" s="2211"/>
      <c r="FV227" s="2211"/>
      <c r="FW227" s="2203"/>
      <c r="FX227" s="2203"/>
      <c r="FY227" s="2034"/>
      <c r="FZ227" s="2034"/>
      <c r="GA227" s="2034"/>
      <c r="GB227" s="2204"/>
      <c r="GC227" s="2204"/>
      <c r="GD227" s="2204"/>
      <c r="GE227" s="2204"/>
      <c r="GF227" s="2204"/>
      <c r="GG227" s="2204"/>
      <c r="GH227" s="2204"/>
      <c r="GI227" s="2204"/>
      <c r="GJ227" s="2204"/>
      <c r="GK227" s="2204"/>
      <c r="GL227" s="2204"/>
      <c r="GM227" s="2204"/>
      <c r="GN227" s="2204"/>
      <c r="GO227" s="2204"/>
      <c r="GP227" s="2204"/>
      <c r="GQ227" s="2204"/>
      <c r="GR227" s="2204"/>
      <c r="GS227" s="2204"/>
      <c r="GT227" s="2204"/>
      <c r="GU227" s="2204"/>
      <c r="GV227" s="2204"/>
      <c r="GW227" s="2204"/>
      <c r="GX227" s="2204"/>
      <c r="GY227" s="2204"/>
      <c r="GZ227" s="2204"/>
      <c r="HA227" s="2204"/>
      <c r="HB227" s="2204"/>
      <c r="HC227" s="2204"/>
      <c r="HD227" s="2204"/>
      <c r="HE227" s="2204"/>
      <c r="HF227" s="2204"/>
      <c r="HG227" s="2204"/>
      <c r="HH227" s="2204"/>
      <c r="HI227" s="2204"/>
      <c r="HJ227" s="2204"/>
      <c r="HK227" s="2204"/>
      <c r="HL227" s="2204"/>
      <c r="HM227" s="2204"/>
      <c r="HN227" s="2204"/>
      <c r="HO227" s="2204"/>
      <c r="HP227" s="2204"/>
      <c r="HQ227" s="2204"/>
      <c r="HR227" s="2204"/>
      <c r="HS227" s="2204"/>
      <c r="HT227" s="2204"/>
      <c r="HU227" s="2204"/>
      <c r="HV227" s="2204"/>
      <c r="HW227" s="2204"/>
      <c r="HX227" s="2204"/>
      <c r="HY227" s="2204"/>
      <c r="HZ227" s="2204"/>
      <c r="IA227" s="2204"/>
      <c r="IB227" s="2204"/>
      <c r="IC227" s="2204"/>
      <c r="ID227" s="2204"/>
      <c r="IE227" s="2204"/>
      <c r="IF227" s="2204"/>
      <c r="IG227" s="2204"/>
      <c r="IH227" s="2204"/>
      <c r="II227" s="2204"/>
      <c r="IJ227" s="2204"/>
      <c r="IK227" s="2204"/>
      <c r="IL227" s="2204"/>
      <c r="IM227" s="2204"/>
      <c r="IN227" s="2204"/>
      <c r="IO227" s="2204"/>
      <c r="IP227" s="2204"/>
      <c r="IQ227" s="2204"/>
      <c r="IR227" s="2204"/>
      <c r="IS227" s="2204"/>
      <c r="IT227" s="2204"/>
      <c r="IU227" s="2204"/>
      <c r="IV227" s="2204"/>
      <c r="IW227" s="2204"/>
      <c r="IX227" s="2204"/>
      <c r="IY227" s="2204"/>
      <c r="IZ227" s="2204"/>
      <c r="JA227" s="2204"/>
      <c r="JB227" s="2204"/>
      <c r="JC227" s="2204"/>
      <c r="JD227" s="2204"/>
      <c r="JE227" s="2204"/>
      <c r="JF227" s="2205"/>
      <c r="JG227" s="2026"/>
      <c r="JK227" s="2526"/>
    </row>
    <row r="228" spans="2:271" s="2024" customFormat="1" hidden="1">
      <c r="B228" s="2189">
        <v>16</v>
      </c>
      <c r="C228" s="2203"/>
      <c r="D228" s="2191" t="s">
        <v>110</v>
      </c>
      <c r="E228" s="2206"/>
      <c r="F228" s="2237"/>
      <c r="G228" s="2237"/>
      <c r="H228" s="2237"/>
      <c r="I228" s="2237"/>
      <c r="J228" s="2237"/>
      <c r="K228" s="2238"/>
      <c r="L228" s="2238"/>
      <c r="M228" s="2239"/>
      <c r="N228" s="2239"/>
      <c r="O228" s="2239"/>
      <c r="P228" s="2239"/>
      <c r="Q228" s="2239"/>
      <c r="R228" s="2239"/>
      <c r="S228" s="2239"/>
      <c r="T228" s="2239"/>
      <c r="U228" s="2239"/>
      <c r="V228" s="2239"/>
      <c r="W228" s="2239"/>
      <c r="X228" s="2208"/>
      <c r="Y228" s="2208"/>
      <c r="Z228" s="2209"/>
      <c r="AA228" s="2209"/>
      <c r="AB228" s="2190"/>
      <c r="AC228" s="2190"/>
      <c r="AD228" s="2190"/>
      <c r="AE228" s="2190"/>
      <c r="AF228" s="2190"/>
      <c r="AG228" s="2190"/>
      <c r="AH228" s="2190"/>
      <c r="AI228" s="2190"/>
      <c r="AJ228" s="2190"/>
      <c r="AK228" s="2210"/>
      <c r="AL228" s="2190"/>
      <c r="AM228" s="2190"/>
      <c r="AN228" s="2190"/>
      <c r="AO228" s="2190"/>
      <c r="AP228" s="2190"/>
      <c r="AQ228" s="2190"/>
      <c r="AR228" s="2210"/>
      <c r="AS228" s="2210"/>
      <c r="AT228" s="2190"/>
      <c r="AU228" s="2190"/>
      <c r="AV228" s="2190"/>
      <c r="AW228" s="2190"/>
      <c r="AX228" s="2190"/>
      <c r="AY228" s="2190"/>
      <c r="AZ228" s="2190"/>
      <c r="BA228" s="2210"/>
      <c r="BB228" s="2210"/>
      <c r="BC228" s="2190"/>
      <c r="BD228" s="2190"/>
      <c r="BE228" s="2211"/>
      <c r="BF228" s="2210"/>
      <c r="BG228" s="2211"/>
      <c r="BH228" s="2211"/>
      <c r="BI228" s="2211"/>
      <c r="BJ228" s="2211"/>
      <c r="BK228" s="2211"/>
      <c r="BL228" s="2211"/>
      <c r="BM228" s="2211"/>
      <c r="BN228" s="2211"/>
      <c r="BO228" s="2211"/>
      <c r="BP228" s="2211"/>
      <c r="BQ228" s="2211"/>
      <c r="BR228" s="2211"/>
      <c r="BS228" s="2211"/>
      <c r="BT228" s="2211"/>
      <c r="BU228" s="2211"/>
      <c r="BV228" s="2211"/>
      <c r="BW228" s="2211"/>
      <c r="BX228" s="2211"/>
      <c r="BY228" s="2211"/>
      <c r="BZ228" s="2211"/>
      <c r="CA228" s="2211"/>
      <c r="CB228" s="2211"/>
      <c r="CC228" s="2211"/>
      <c r="CD228" s="2211"/>
      <c r="CE228" s="2211"/>
      <c r="CF228" s="2211"/>
      <c r="CG228" s="2211"/>
      <c r="CH228" s="2211"/>
      <c r="CI228" s="2211"/>
      <c r="CJ228" s="2211"/>
      <c r="CK228" s="2211"/>
      <c r="CL228" s="2211"/>
      <c r="CM228" s="2211"/>
      <c r="CN228" s="2211"/>
      <c r="CO228" s="2211"/>
      <c r="CP228" s="2211"/>
      <c r="CQ228" s="2211"/>
      <c r="CR228" s="2211"/>
      <c r="CS228" s="2211"/>
      <c r="CT228" s="2211"/>
      <c r="CU228" s="2211"/>
      <c r="CV228" s="2211"/>
      <c r="CW228" s="2211"/>
      <c r="CX228" s="2211"/>
      <c r="CY228" s="2211"/>
      <c r="CZ228" s="2211"/>
      <c r="DA228" s="2211"/>
      <c r="DB228" s="2211"/>
      <c r="DC228" s="2211"/>
      <c r="DD228" s="2211"/>
      <c r="DE228" s="2211"/>
      <c r="DF228" s="2211"/>
      <c r="DG228" s="2211"/>
      <c r="DH228" s="2211"/>
      <c r="DI228" s="2211"/>
      <c r="DJ228" s="2211"/>
      <c r="DK228" s="2211"/>
      <c r="DL228" s="2211"/>
      <c r="DM228" s="2211"/>
      <c r="DN228" s="2211"/>
      <c r="DO228" s="2211"/>
      <c r="DP228" s="2211"/>
      <c r="DQ228" s="2211"/>
      <c r="DR228" s="2211"/>
      <c r="DS228" s="2211"/>
      <c r="DT228" s="2211"/>
      <c r="DU228" s="2211"/>
      <c r="DV228" s="2211"/>
      <c r="DW228" s="2211"/>
      <c r="DX228" s="2211"/>
      <c r="DY228" s="2211"/>
      <c r="DZ228" s="2211"/>
      <c r="EA228" s="2211"/>
      <c r="EB228" s="2211"/>
      <c r="EC228" s="2211"/>
      <c r="ED228" s="2211"/>
      <c r="EE228" s="2211"/>
      <c r="EF228" s="2211"/>
      <c r="EG228" s="2211"/>
      <c r="EH228" s="2211"/>
      <c r="EI228" s="2211"/>
      <c r="EJ228" s="2211"/>
      <c r="EK228" s="2211"/>
      <c r="EL228" s="2211"/>
      <c r="EM228" s="2211"/>
      <c r="EN228" s="2211"/>
      <c r="EO228" s="2211"/>
      <c r="EP228" s="2211"/>
      <c r="EQ228" s="2211"/>
      <c r="ER228" s="2211"/>
      <c r="ES228" s="2211"/>
      <c r="ET228" s="2211"/>
      <c r="EU228" s="2211"/>
      <c r="EV228" s="2211"/>
      <c r="EW228" s="2211"/>
      <c r="EX228" s="2211"/>
      <c r="EY228" s="2211"/>
      <c r="EZ228" s="2211"/>
      <c r="FA228" s="2211"/>
      <c r="FB228" s="2211"/>
      <c r="FC228" s="2211"/>
      <c r="FD228" s="2211"/>
      <c r="FE228" s="2211"/>
      <c r="FF228" s="2211"/>
      <c r="FG228" s="2211"/>
      <c r="FH228" s="2211"/>
      <c r="FI228" s="2211"/>
      <c r="FJ228" s="2211"/>
      <c r="FK228" s="2211"/>
      <c r="FL228" s="2211"/>
      <c r="FM228" s="2211"/>
      <c r="FN228" s="2211"/>
      <c r="FO228" s="2211"/>
      <c r="FP228" s="2211"/>
      <c r="FQ228" s="2211"/>
      <c r="FR228" s="2211"/>
      <c r="FS228" s="2211"/>
      <c r="FT228" s="2211"/>
      <c r="FU228" s="2211"/>
      <c r="FV228" s="2211"/>
      <c r="FW228" s="2203"/>
      <c r="FX228" s="2203"/>
      <c r="FY228" s="2034"/>
      <c r="FZ228" s="2034"/>
      <c r="GA228" s="2034"/>
      <c r="GB228" s="2204"/>
      <c r="GC228" s="2204"/>
      <c r="GD228" s="2204"/>
      <c r="GE228" s="2204"/>
      <c r="GF228" s="2204"/>
      <c r="GG228" s="2204"/>
      <c r="GH228" s="2204"/>
      <c r="GI228" s="2204"/>
      <c r="GJ228" s="2204"/>
      <c r="GK228" s="2204"/>
      <c r="GL228" s="2204"/>
      <c r="GM228" s="2204"/>
      <c r="GN228" s="2204"/>
      <c r="GO228" s="2204"/>
      <c r="GP228" s="2204"/>
      <c r="GQ228" s="2204"/>
      <c r="GR228" s="2204"/>
      <c r="GS228" s="2204"/>
      <c r="GT228" s="2204"/>
      <c r="GU228" s="2204"/>
      <c r="GV228" s="2204"/>
      <c r="GW228" s="2204"/>
      <c r="GX228" s="2204"/>
      <c r="GY228" s="2204"/>
      <c r="GZ228" s="2204"/>
      <c r="HA228" s="2204"/>
      <c r="HB228" s="2204"/>
      <c r="HC228" s="2204"/>
      <c r="HD228" s="2204"/>
      <c r="HE228" s="2204"/>
      <c r="HF228" s="2204"/>
      <c r="HG228" s="2204"/>
      <c r="HH228" s="2204"/>
      <c r="HI228" s="2204"/>
      <c r="HJ228" s="2204"/>
      <c r="HK228" s="2204"/>
      <c r="HL228" s="2204"/>
      <c r="HM228" s="2204"/>
      <c r="HN228" s="2204"/>
      <c r="HO228" s="2204"/>
      <c r="HP228" s="2204"/>
      <c r="HQ228" s="2204"/>
      <c r="HR228" s="2204"/>
      <c r="HS228" s="2204"/>
      <c r="HT228" s="2204"/>
      <c r="HU228" s="2204"/>
      <c r="HV228" s="2204"/>
      <c r="HW228" s="2204"/>
      <c r="HX228" s="2204"/>
      <c r="HY228" s="2204"/>
      <c r="HZ228" s="2204"/>
      <c r="IA228" s="2204"/>
      <c r="IB228" s="2204"/>
      <c r="IC228" s="2204"/>
      <c r="ID228" s="2204"/>
      <c r="IE228" s="2204"/>
      <c r="IF228" s="2204"/>
      <c r="IG228" s="2204"/>
      <c r="IH228" s="2204"/>
      <c r="II228" s="2204"/>
      <c r="IJ228" s="2204"/>
      <c r="IK228" s="2204"/>
      <c r="IL228" s="2204"/>
      <c r="IM228" s="2204"/>
      <c r="IN228" s="2204"/>
      <c r="IO228" s="2204"/>
      <c r="IP228" s="2204"/>
      <c r="IQ228" s="2204"/>
      <c r="IR228" s="2204"/>
      <c r="IS228" s="2204"/>
      <c r="IT228" s="2204"/>
      <c r="IU228" s="2204"/>
      <c r="IV228" s="2204"/>
      <c r="IW228" s="2204"/>
      <c r="IX228" s="2204"/>
      <c r="IY228" s="2204"/>
      <c r="IZ228" s="2204"/>
      <c r="JA228" s="2204"/>
      <c r="JB228" s="2204"/>
      <c r="JC228" s="2204"/>
      <c r="JD228" s="2204"/>
      <c r="JE228" s="2204"/>
      <c r="JF228" s="2205"/>
      <c r="JG228" s="2026"/>
      <c r="JK228" s="2526"/>
    </row>
    <row r="229" spans="2:271" s="2236" customFormat="1" hidden="1">
      <c r="B229" s="2223">
        <v>17</v>
      </c>
      <c r="C229" s="2224"/>
      <c r="D229" s="2225" t="s">
        <v>111</v>
      </c>
      <c r="E229" s="2226"/>
      <c r="F229" s="2227"/>
      <c r="G229" s="2224"/>
      <c r="H229" s="2227"/>
      <c r="I229" s="2224"/>
      <c r="J229" s="2224"/>
      <c r="K229" s="2240"/>
      <c r="L229" s="2240"/>
      <c r="M229" s="2229"/>
      <c r="N229" s="2229"/>
      <c r="O229" s="2229"/>
      <c r="P229" s="2229"/>
      <c r="Q229" s="2229"/>
      <c r="R229" s="2229"/>
      <c r="S229" s="2229"/>
      <c r="T229" s="2229"/>
      <c r="U229" s="2229"/>
      <c r="V229" s="2229"/>
      <c r="W229" s="2229"/>
      <c r="X229" s="2230"/>
      <c r="Y229" s="2230"/>
      <c r="Z229" s="2231"/>
      <c r="AA229" s="2231"/>
      <c r="AB229" s="2227"/>
      <c r="AC229" s="2227"/>
      <c r="AD229" s="2227"/>
      <c r="AE229" s="2227"/>
      <c r="AF229" s="2227"/>
      <c r="AG229" s="2227"/>
      <c r="AH229" s="2227"/>
      <c r="AI229" s="2227"/>
      <c r="AJ229" s="2227"/>
      <c r="AK229" s="2232"/>
      <c r="AL229" s="2227"/>
      <c r="AM229" s="2227"/>
      <c r="AN229" s="2227"/>
      <c r="AO229" s="2227"/>
      <c r="AP229" s="2227"/>
      <c r="AQ229" s="2227"/>
      <c r="AR229" s="2232"/>
      <c r="AS229" s="2232"/>
      <c r="AT229" s="2227"/>
      <c r="AU229" s="2227"/>
      <c r="AV229" s="2227"/>
      <c r="AW229" s="2227"/>
      <c r="AX229" s="2227"/>
      <c r="AY229" s="2227"/>
      <c r="AZ229" s="2227"/>
      <c r="BA229" s="2232"/>
      <c r="BB229" s="2232"/>
      <c r="BC229" s="2227"/>
      <c r="BD229" s="2227"/>
      <c r="BE229" s="2233"/>
      <c r="BF229" s="2232"/>
      <c r="BG229" s="2233"/>
      <c r="BH229" s="2233"/>
      <c r="BI229" s="2233"/>
      <c r="BJ229" s="2233"/>
      <c r="BK229" s="2233"/>
      <c r="BL229" s="2233"/>
      <c r="BM229" s="2233"/>
      <c r="BN229" s="2233"/>
      <c r="BO229" s="2233"/>
      <c r="BP229" s="2233"/>
      <c r="BQ229" s="2233"/>
      <c r="BR229" s="2233"/>
      <c r="BS229" s="2233"/>
      <c r="BT229" s="2233"/>
      <c r="BU229" s="2233"/>
      <c r="BV229" s="2233"/>
      <c r="BW229" s="2233"/>
      <c r="BX229" s="2233"/>
      <c r="BY229" s="2233"/>
      <c r="BZ229" s="2233"/>
      <c r="CA229" s="2233"/>
      <c r="CB229" s="2233"/>
      <c r="CC229" s="2233"/>
      <c r="CD229" s="2233"/>
      <c r="CE229" s="2233"/>
      <c r="CF229" s="2233"/>
      <c r="CG229" s="2233"/>
      <c r="CH229" s="2233"/>
      <c r="CI229" s="2233"/>
      <c r="CJ229" s="2233"/>
      <c r="CK229" s="2233"/>
      <c r="CL229" s="2233"/>
      <c r="CM229" s="2233"/>
      <c r="CN229" s="2233"/>
      <c r="CO229" s="2233"/>
      <c r="CP229" s="2233"/>
      <c r="CQ229" s="2233"/>
      <c r="CR229" s="2233"/>
      <c r="CS229" s="2233"/>
      <c r="CT229" s="2233"/>
      <c r="CU229" s="2233"/>
      <c r="CV229" s="2233"/>
      <c r="CW229" s="2233"/>
      <c r="CX229" s="2233"/>
      <c r="CY229" s="2233"/>
      <c r="CZ229" s="2233"/>
      <c r="DA229" s="2233"/>
      <c r="DB229" s="2233"/>
      <c r="DC229" s="2233"/>
      <c r="DD229" s="2233"/>
      <c r="DE229" s="2233"/>
      <c r="DF229" s="2233"/>
      <c r="DG229" s="2233"/>
      <c r="DH229" s="2233"/>
      <c r="DI229" s="2233"/>
      <c r="DJ229" s="2233"/>
      <c r="DK229" s="2233"/>
      <c r="DL229" s="2233"/>
      <c r="DM229" s="2233"/>
      <c r="DN229" s="2233"/>
      <c r="DO229" s="2233"/>
      <c r="DP229" s="2233"/>
      <c r="DQ229" s="2233"/>
      <c r="DR229" s="2233"/>
      <c r="DS229" s="2233"/>
      <c r="DT229" s="2233"/>
      <c r="DU229" s="2233"/>
      <c r="DV229" s="2233"/>
      <c r="DW229" s="2233"/>
      <c r="DX229" s="2233"/>
      <c r="DY229" s="2233"/>
      <c r="DZ229" s="2233"/>
      <c r="EA229" s="2233"/>
      <c r="EB229" s="2233"/>
      <c r="EC229" s="2233"/>
      <c r="ED229" s="2233"/>
      <c r="EE229" s="2233"/>
      <c r="EF229" s="2233"/>
      <c r="EG229" s="2233"/>
      <c r="EH229" s="2233"/>
      <c r="EI229" s="2233"/>
      <c r="EJ229" s="2233"/>
      <c r="EK229" s="2233"/>
      <c r="EL229" s="2233"/>
      <c r="EM229" s="2233"/>
      <c r="EN229" s="2233"/>
      <c r="EO229" s="2233"/>
      <c r="EP229" s="2233"/>
      <c r="EQ229" s="2233"/>
      <c r="ER229" s="2233"/>
      <c r="ES229" s="2233"/>
      <c r="ET229" s="2233"/>
      <c r="EU229" s="2233"/>
      <c r="EV229" s="2233"/>
      <c r="EW229" s="2233"/>
      <c r="EX229" s="2233"/>
      <c r="EY229" s="2233"/>
      <c r="EZ229" s="2233"/>
      <c r="FA229" s="2233"/>
      <c r="FB229" s="2233"/>
      <c r="FC229" s="2233"/>
      <c r="FD229" s="2233"/>
      <c r="FE229" s="2233"/>
      <c r="FF229" s="2233"/>
      <c r="FG229" s="2233"/>
      <c r="FH229" s="2233"/>
      <c r="FI229" s="2233"/>
      <c r="FJ229" s="2233"/>
      <c r="FK229" s="2233"/>
      <c r="FL229" s="2233"/>
      <c r="FM229" s="2233"/>
      <c r="FN229" s="2233"/>
      <c r="FO229" s="2233"/>
      <c r="FP229" s="2233"/>
      <c r="FQ229" s="2233"/>
      <c r="FR229" s="2233"/>
      <c r="FS229" s="2233"/>
      <c r="FT229" s="2233"/>
      <c r="FU229" s="2233"/>
      <c r="FV229" s="2233"/>
      <c r="FW229" s="2224"/>
      <c r="FX229" s="2224"/>
      <c r="FY229" s="2227"/>
      <c r="FZ229" s="2227"/>
      <c r="GA229" s="2227"/>
      <c r="GB229" s="2232"/>
      <c r="GC229" s="2232"/>
      <c r="GD229" s="2232"/>
      <c r="GE229" s="2232"/>
      <c r="GF229" s="2232"/>
      <c r="GG229" s="2232"/>
      <c r="GH229" s="2232"/>
      <c r="GI229" s="2232"/>
      <c r="GJ229" s="2232"/>
      <c r="GK229" s="2232"/>
      <c r="GL229" s="2232"/>
      <c r="GM229" s="2232"/>
      <c r="GN229" s="2232"/>
      <c r="GO229" s="2232"/>
      <c r="GP229" s="2232"/>
      <c r="GQ229" s="2232"/>
      <c r="GR229" s="2232"/>
      <c r="GS229" s="2232"/>
      <c r="GT229" s="2232"/>
      <c r="GU229" s="2232"/>
      <c r="GV229" s="2232"/>
      <c r="GW229" s="2232"/>
      <c r="GX229" s="2232"/>
      <c r="GY229" s="2232"/>
      <c r="GZ229" s="2232"/>
      <c r="HA229" s="2232"/>
      <c r="HB229" s="2232"/>
      <c r="HC229" s="2232"/>
      <c r="HD229" s="2232"/>
      <c r="HE229" s="2232"/>
      <c r="HF229" s="2232"/>
      <c r="HG229" s="2232"/>
      <c r="HH229" s="2232"/>
      <c r="HI229" s="2232"/>
      <c r="HJ229" s="2232"/>
      <c r="HK229" s="2232"/>
      <c r="HL229" s="2232"/>
      <c r="HM229" s="2232"/>
      <c r="HN229" s="2232"/>
      <c r="HO229" s="2232"/>
      <c r="HP229" s="2232"/>
      <c r="HQ229" s="2232"/>
      <c r="HR229" s="2232"/>
      <c r="HS229" s="2232"/>
      <c r="HT229" s="2232"/>
      <c r="HU229" s="2232"/>
      <c r="HV229" s="2232"/>
      <c r="HW229" s="2232"/>
      <c r="HX229" s="2232"/>
      <c r="HY229" s="2232"/>
      <c r="HZ229" s="2232"/>
      <c r="IA229" s="2232"/>
      <c r="IB229" s="2232"/>
      <c r="IC229" s="2232"/>
      <c r="ID229" s="2232"/>
      <c r="IE229" s="2232"/>
      <c r="IF229" s="2232"/>
      <c r="IG229" s="2232"/>
      <c r="IH229" s="2232"/>
      <c r="II229" s="2232"/>
      <c r="IJ229" s="2232"/>
      <c r="IK229" s="2232"/>
      <c r="IL229" s="2232"/>
      <c r="IM229" s="2232"/>
      <c r="IN229" s="2232"/>
      <c r="IO229" s="2232"/>
      <c r="IP229" s="2232"/>
      <c r="IQ229" s="2232"/>
      <c r="IR229" s="2232"/>
      <c r="IS229" s="2232"/>
      <c r="IT229" s="2232"/>
      <c r="IU229" s="2232"/>
      <c r="IV229" s="2232"/>
      <c r="IW229" s="2232"/>
      <c r="IX229" s="2232"/>
      <c r="IY229" s="2232"/>
      <c r="IZ229" s="2232"/>
      <c r="JA229" s="2232"/>
      <c r="JB229" s="2232"/>
      <c r="JC229" s="2232"/>
      <c r="JD229" s="2232"/>
      <c r="JE229" s="2232"/>
      <c r="JF229" s="2234"/>
      <c r="JG229" s="2235"/>
      <c r="JK229" s="2530"/>
    </row>
    <row r="230" spans="2:271" s="2024" customFormat="1">
      <c r="B230" s="2189">
        <v>18</v>
      </c>
      <c r="C230" s="2203"/>
      <c r="D230" s="2191" t="s">
        <v>451</v>
      </c>
      <c r="E230" s="2206"/>
      <c r="F230" s="2190"/>
      <c r="G230" s="2237"/>
      <c r="H230" s="2190"/>
      <c r="I230" s="2237"/>
      <c r="J230" s="2237"/>
      <c r="K230" s="2238"/>
      <c r="L230" s="2238"/>
      <c r="M230" s="2207"/>
      <c r="N230" s="2207"/>
      <c r="O230" s="2207"/>
      <c r="P230" s="2207"/>
      <c r="Q230" s="2207"/>
      <c r="R230" s="2207"/>
      <c r="S230" s="2207"/>
      <c r="T230" s="2207"/>
      <c r="U230" s="2207"/>
      <c r="V230" s="2207"/>
      <c r="W230" s="2207"/>
      <c r="X230" s="2208"/>
      <c r="Y230" s="2208"/>
      <c r="Z230" s="2209"/>
      <c r="AA230" s="2209"/>
      <c r="AB230" s="2190"/>
      <c r="AC230" s="2190"/>
      <c r="AD230" s="2190"/>
      <c r="AE230" s="2190"/>
      <c r="AF230" s="2190"/>
      <c r="AG230" s="2190"/>
      <c r="AH230" s="2190"/>
      <c r="AI230" s="2190"/>
      <c r="AJ230" s="2190"/>
      <c r="AK230" s="2210"/>
      <c r="AL230" s="2190"/>
      <c r="AM230" s="2190"/>
      <c r="AN230" s="2190"/>
      <c r="AO230" s="2190"/>
      <c r="AP230" s="2190"/>
      <c r="AQ230" s="2190"/>
      <c r="AR230" s="2210"/>
      <c r="AS230" s="2210"/>
      <c r="AT230" s="2190"/>
      <c r="AU230" s="2190"/>
      <c r="AV230" s="2190"/>
      <c r="AW230" s="2190"/>
      <c r="AX230" s="2190"/>
      <c r="AY230" s="2190"/>
      <c r="AZ230" s="2190"/>
      <c r="BA230" s="2210"/>
      <c r="BB230" s="2210"/>
      <c r="BC230" s="2190"/>
      <c r="BD230" s="2190"/>
      <c r="BE230" s="2211"/>
      <c r="BF230" s="2210"/>
      <c r="BG230" s="2211"/>
      <c r="BH230" s="2211"/>
      <c r="BI230" s="2211"/>
      <c r="BJ230" s="2211"/>
      <c r="BK230" s="2211"/>
      <c r="BL230" s="2211"/>
      <c r="BM230" s="2211"/>
      <c r="BN230" s="2211"/>
      <c r="BO230" s="2211"/>
      <c r="BP230" s="2211"/>
      <c r="BQ230" s="2211"/>
      <c r="BR230" s="2211"/>
      <c r="BS230" s="2211"/>
      <c r="BT230" s="2211"/>
      <c r="BU230" s="2211"/>
      <c r="BV230" s="2211"/>
      <c r="BW230" s="2211"/>
      <c r="BX230" s="2211"/>
      <c r="BY230" s="2211"/>
      <c r="BZ230" s="2211"/>
      <c r="CA230" s="2211"/>
      <c r="CB230" s="2211"/>
      <c r="CC230" s="2211"/>
      <c r="CD230" s="2211"/>
      <c r="CE230" s="2211"/>
      <c r="CF230" s="2211"/>
      <c r="CG230" s="2211"/>
      <c r="CH230" s="2211"/>
      <c r="CI230" s="2211"/>
      <c r="CJ230" s="2211"/>
      <c r="CK230" s="2211"/>
      <c r="CL230" s="2211"/>
      <c r="CM230" s="2211"/>
      <c r="CN230" s="2211"/>
      <c r="CO230" s="2211"/>
      <c r="CP230" s="2211"/>
      <c r="CQ230" s="2211"/>
      <c r="CR230" s="2211"/>
      <c r="CS230" s="2211"/>
      <c r="CT230" s="2211"/>
      <c r="CU230" s="2211"/>
      <c r="CV230" s="2211"/>
      <c r="CW230" s="2211"/>
      <c r="CX230" s="2211"/>
      <c r="CY230" s="2211"/>
      <c r="CZ230" s="2211"/>
      <c r="DA230" s="2211"/>
      <c r="DB230" s="2211"/>
      <c r="DC230" s="2211"/>
      <c r="DD230" s="2211"/>
      <c r="DE230" s="2211"/>
      <c r="DF230" s="2211"/>
      <c r="DG230" s="2211"/>
      <c r="DH230" s="2211"/>
      <c r="DI230" s="2211"/>
      <c r="DJ230" s="2211"/>
      <c r="DK230" s="2211"/>
      <c r="DL230" s="2211"/>
      <c r="DM230" s="2211"/>
      <c r="DN230" s="2211"/>
      <c r="DO230" s="2211"/>
      <c r="DP230" s="2211"/>
      <c r="DQ230" s="2211"/>
      <c r="DR230" s="2211"/>
      <c r="DS230" s="2211"/>
      <c r="DT230" s="2211"/>
      <c r="DU230" s="2211"/>
      <c r="DV230" s="2211"/>
      <c r="DW230" s="2211"/>
      <c r="DX230" s="2211"/>
      <c r="DY230" s="2211"/>
      <c r="DZ230" s="2211"/>
      <c r="EA230" s="2211"/>
      <c r="EB230" s="2211"/>
      <c r="EC230" s="2211"/>
      <c r="ED230" s="2211"/>
      <c r="EE230" s="2211"/>
      <c r="EF230" s="2211"/>
      <c r="EG230" s="2211"/>
      <c r="EH230" s="2211"/>
      <c r="EI230" s="2211"/>
      <c r="EJ230" s="2211"/>
      <c r="EK230" s="2211"/>
      <c r="EL230" s="2211"/>
      <c r="EM230" s="2211"/>
      <c r="EN230" s="2211"/>
      <c r="EO230" s="2211"/>
      <c r="EP230" s="2211"/>
      <c r="EQ230" s="2211"/>
      <c r="ER230" s="2211"/>
      <c r="ES230" s="2211"/>
      <c r="ET230" s="2211"/>
      <c r="EU230" s="2211"/>
      <c r="EV230" s="2211"/>
      <c r="EW230" s="2211"/>
      <c r="EX230" s="2211"/>
      <c r="EY230" s="2211"/>
      <c r="EZ230" s="2211"/>
      <c r="FA230" s="2211"/>
      <c r="FB230" s="2211"/>
      <c r="FC230" s="2211"/>
      <c r="FD230" s="2211"/>
      <c r="FE230" s="2211"/>
      <c r="FF230" s="2211"/>
      <c r="FG230" s="2211"/>
      <c r="FH230" s="2211"/>
      <c r="FI230" s="2211"/>
      <c r="FJ230" s="2211"/>
      <c r="FK230" s="2211"/>
      <c r="FL230" s="2211"/>
      <c r="FM230" s="2211"/>
      <c r="FN230" s="2211"/>
      <c r="FO230" s="2211"/>
      <c r="FP230" s="2211"/>
      <c r="FQ230" s="2211"/>
      <c r="FR230" s="2211"/>
      <c r="FS230" s="2211"/>
      <c r="FT230" s="2211"/>
      <c r="FU230" s="2211"/>
      <c r="FV230" s="2211"/>
      <c r="FW230" s="2203"/>
      <c r="FX230" s="2203"/>
      <c r="FY230" s="2034"/>
      <c r="FZ230" s="2034"/>
      <c r="GA230" s="2034"/>
      <c r="GB230" s="2204"/>
      <c r="GC230" s="2204"/>
      <c r="GD230" s="2204"/>
      <c r="GE230" s="2204"/>
      <c r="GF230" s="2204"/>
      <c r="GG230" s="2204"/>
      <c r="GH230" s="2204"/>
      <c r="GI230" s="2204"/>
      <c r="GJ230" s="2204"/>
      <c r="GK230" s="2204"/>
      <c r="GL230" s="2204"/>
      <c r="GM230" s="2204"/>
      <c r="GN230" s="2204"/>
      <c r="GO230" s="2204"/>
      <c r="GP230" s="2204"/>
      <c r="GQ230" s="2204"/>
      <c r="GR230" s="2204"/>
      <c r="GS230" s="2204"/>
      <c r="GT230" s="2204"/>
      <c r="GU230" s="2204"/>
      <c r="GV230" s="2204"/>
      <c r="GW230" s="2204"/>
      <c r="GX230" s="2204"/>
      <c r="GY230" s="2204"/>
      <c r="GZ230" s="2204"/>
      <c r="HA230" s="2204"/>
      <c r="HB230" s="2204"/>
      <c r="HC230" s="2204"/>
      <c r="HD230" s="2204"/>
      <c r="HE230" s="2204"/>
      <c r="HF230" s="2204"/>
      <c r="HG230" s="2204"/>
      <c r="HH230" s="2204"/>
      <c r="HI230" s="2204"/>
      <c r="HJ230" s="2204"/>
      <c r="HK230" s="2204"/>
      <c r="HL230" s="2204"/>
      <c r="HM230" s="2204"/>
      <c r="HN230" s="2204"/>
      <c r="HO230" s="2204"/>
      <c r="HP230" s="2204"/>
      <c r="HQ230" s="2204"/>
      <c r="HR230" s="2204"/>
      <c r="HS230" s="2204"/>
      <c r="HT230" s="2204"/>
      <c r="HU230" s="2204"/>
      <c r="HV230" s="2204"/>
      <c r="HW230" s="2204"/>
      <c r="HX230" s="2204"/>
      <c r="HY230" s="2204"/>
      <c r="HZ230" s="2204"/>
      <c r="IA230" s="2204"/>
      <c r="IB230" s="2204"/>
      <c r="IC230" s="2204"/>
      <c r="ID230" s="2204"/>
      <c r="IE230" s="2204"/>
      <c r="IF230" s="2204"/>
      <c r="IG230" s="2204"/>
      <c r="IH230" s="2204"/>
      <c r="II230" s="2204"/>
      <c r="IJ230" s="2204"/>
      <c r="IK230" s="2204"/>
      <c r="IL230" s="2204"/>
      <c r="IM230" s="2204"/>
      <c r="IN230" s="2204"/>
      <c r="IO230" s="2204"/>
      <c r="IP230" s="2204"/>
      <c r="IQ230" s="2204"/>
      <c r="IR230" s="2204"/>
      <c r="IS230" s="2204"/>
      <c r="IT230" s="2204"/>
      <c r="IU230" s="2204"/>
      <c r="IV230" s="2204"/>
      <c r="IW230" s="2204"/>
      <c r="IX230" s="2204"/>
      <c r="IY230" s="2204"/>
      <c r="IZ230" s="2204"/>
      <c r="JA230" s="2204"/>
      <c r="JB230" s="2204"/>
      <c r="JC230" s="2204"/>
      <c r="JD230" s="2204"/>
      <c r="JE230" s="2204"/>
      <c r="JF230" s="2205"/>
      <c r="JG230" s="2026"/>
      <c r="JK230" s="2526"/>
    </row>
    <row r="231" spans="2:271" s="2024" customFormat="1" hidden="1">
      <c r="B231" s="2198">
        <v>19</v>
      </c>
      <c r="C231" s="2203"/>
      <c r="D231" s="2241" t="s">
        <v>1308</v>
      </c>
      <c r="E231" s="2242"/>
      <c r="F231" s="2214"/>
      <c r="G231" s="2244"/>
      <c r="H231" s="2214"/>
      <c r="I231" s="2214"/>
      <c r="J231" s="2214"/>
      <c r="K231" s="2243"/>
      <c r="L231" s="2243"/>
      <c r="M231" s="2216"/>
      <c r="N231" s="2216"/>
      <c r="O231" s="2216"/>
      <c r="P231" s="2216"/>
      <c r="Q231" s="2216"/>
      <c r="R231" s="2216"/>
      <c r="S231" s="2216"/>
      <c r="T231" s="2216"/>
      <c r="U231" s="2216"/>
      <c r="V231" s="2216"/>
      <c r="W231" s="2216"/>
      <c r="X231" s="2217"/>
      <c r="Y231" s="2217"/>
      <c r="Z231" s="2218"/>
      <c r="AA231" s="2218"/>
      <c r="AB231" s="2214"/>
      <c r="AC231" s="2214"/>
      <c r="AD231" s="2214"/>
      <c r="AE231" s="2214"/>
      <c r="AF231" s="2214"/>
      <c r="AG231" s="2214"/>
      <c r="AH231" s="2214"/>
      <c r="AI231" s="2214"/>
      <c r="AJ231" s="2214"/>
      <c r="AK231" s="2219"/>
      <c r="AL231" s="2214"/>
      <c r="AM231" s="2214"/>
      <c r="AN231" s="2214"/>
      <c r="AO231" s="2214"/>
      <c r="AP231" s="2214"/>
      <c r="AQ231" s="2214"/>
      <c r="AR231" s="2219"/>
      <c r="AS231" s="2219"/>
      <c r="AT231" s="2214"/>
      <c r="AU231" s="2214"/>
      <c r="AV231" s="2214"/>
      <c r="AW231" s="2214"/>
      <c r="AX231" s="2214"/>
      <c r="AY231" s="2214"/>
      <c r="AZ231" s="2214"/>
      <c r="BA231" s="2219"/>
      <c r="BB231" s="2219"/>
      <c r="BC231" s="2214"/>
      <c r="BD231" s="2214"/>
      <c r="BE231" s="2220"/>
      <c r="BF231" s="2219"/>
      <c r="BG231" s="2220"/>
      <c r="BH231" s="2220"/>
      <c r="BI231" s="2220"/>
      <c r="BJ231" s="2220"/>
      <c r="BK231" s="2220"/>
      <c r="BL231" s="2220"/>
      <c r="BM231" s="2220"/>
      <c r="BN231" s="2220"/>
      <c r="BO231" s="2220"/>
      <c r="BP231" s="2220"/>
      <c r="BQ231" s="2220"/>
      <c r="BR231" s="2220"/>
      <c r="BS231" s="2220"/>
      <c r="BT231" s="2220"/>
      <c r="BU231" s="2220"/>
      <c r="BV231" s="2220"/>
      <c r="BW231" s="2220"/>
      <c r="BX231" s="2220"/>
      <c r="BY231" s="2220"/>
      <c r="BZ231" s="2220"/>
      <c r="CA231" s="2220"/>
      <c r="CB231" s="2220"/>
      <c r="CC231" s="2220"/>
      <c r="CD231" s="2220"/>
      <c r="CE231" s="2220"/>
      <c r="CF231" s="2220"/>
      <c r="CG231" s="2220"/>
      <c r="CH231" s="2220"/>
      <c r="CI231" s="2220"/>
      <c r="CJ231" s="2220"/>
      <c r="CK231" s="2220"/>
      <c r="CL231" s="2220"/>
      <c r="CM231" s="2220"/>
      <c r="CN231" s="2220"/>
      <c r="CO231" s="2220"/>
      <c r="CP231" s="2220"/>
      <c r="CQ231" s="2220"/>
      <c r="CR231" s="2220"/>
      <c r="CS231" s="2220"/>
      <c r="CT231" s="2220"/>
      <c r="CU231" s="2220"/>
      <c r="CV231" s="2220"/>
      <c r="CW231" s="2220"/>
      <c r="CX231" s="2220"/>
      <c r="CY231" s="2220"/>
      <c r="CZ231" s="2220"/>
      <c r="DA231" s="2220"/>
      <c r="DB231" s="2220"/>
      <c r="DC231" s="2220"/>
      <c r="DD231" s="2220"/>
      <c r="DE231" s="2220"/>
      <c r="DF231" s="2220"/>
      <c r="DG231" s="2220"/>
      <c r="DH231" s="2220"/>
      <c r="DI231" s="2220"/>
      <c r="DJ231" s="2220"/>
      <c r="DK231" s="2220"/>
      <c r="DL231" s="2220"/>
      <c r="DM231" s="2220"/>
      <c r="DN231" s="2220"/>
      <c r="DO231" s="2220"/>
      <c r="DP231" s="2220"/>
      <c r="DQ231" s="2220"/>
      <c r="DR231" s="2220"/>
      <c r="DS231" s="2220"/>
      <c r="DT231" s="2220"/>
      <c r="DU231" s="2220"/>
      <c r="DV231" s="2220"/>
      <c r="DW231" s="2220"/>
      <c r="DX231" s="2220"/>
      <c r="DY231" s="2220"/>
      <c r="DZ231" s="2220"/>
      <c r="EA231" s="2220"/>
      <c r="EB231" s="2220"/>
      <c r="EC231" s="2220"/>
      <c r="ED231" s="2220"/>
      <c r="EE231" s="2220"/>
      <c r="EF231" s="2220"/>
      <c r="EG231" s="2220"/>
      <c r="EH231" s="2220"/>
      <c r="EI231" s="2220"/>
      <c r="EJ231" s="2220"/>
      <c r="EK231" s="2220"/>
      <c r="EL231" s="2220"/>
      <c r="EM231" s="2220"/>
      <c r="EN231" s="2220"/>
      <c r="EO231" s="2220"/>
      <c r="EP231" s="2220"/>
      <c r="EQ231" s="2220"/>
      <c r="ER231" s="2220"/>
      <c r="ES231" s="2220"/>
      <c r="ET231" s="2220"/>
      <c r="EU231" s="2220"/>
      <c r="EV231" s="2220"/>
      <c r="EW231" s="2220"/>
      <c r="EX231" s="2220"/>
      <c r="EY231" s="2220"/>
      <c r="EZ231" s="2220"/>
      <c r="FA231" s="2220"/>
      <c r="FB231" s="2220"/>
      <c r="FC231" s="2220"/>
      <c r="FD231" s="2220"/>
      <c r="FE231" s="2220"/>
      <c r="FF231" s="2220"/>
      <c r="FG231" s="2220"/>
      <c r="FH231" s="2220"/>
      <c r="FI231" s="2220"/>
      <c r="FJ231" s="2220"/>
      <c r="FK231" s="2220"/>
      <c r="FL231" s="2220"/>
      <c r="FM231" s="2220"/>
      <c r="FN231" s="2220"/>
      <c r="FO231" s="2220"/>
      <c r="FP231" s="2220"/>
      <c r="FQ231" s="2220"/>
      <c r="FR231" s="2220"/>
      <c r="FS231" s="2220"/>
      <c r="FT231" s="2220"/>
      <c r="FU231" s="2220"/>
      <c r="FV231" s="2220"/>
      <c r="FW231" s="2203"/>
      <c r="FX231" s="2203"/>
      <c r="FY231" s="2034"/>
      <c r="FZ231" s="2034"/>
      <c r="GA231" s="2034"/>
      <c r="GB231" s="2204"/>
      <c r="GC231" s="2204"/>
      <c r="GD231" s="2204"/>
      <c r="GE231" s="2204"/>
      <c r="GF231" s="2204"/>
      <c r="GG231" s="2204"/>
      <c r="GH231" s="2204"/>
      <c r="GI231" s="2204"/>
      <c r="GJ231" s="2204"/>
      <c r="GK231" s="2204"/>
      <c r="GL231" s="2204"/>
      <c r="GM231" s="2204"/>
      <c r="GN231" s="2204"/>
      <c r="GO231" s="2204"/>
      <c r="GP231" s="2204"/>
      <c r="GQ231" s="2204"/>
      <c r="GR231" s="2204"/>
      <c r="GS231" s="2204"/>
      <c r="GT231" s="2204"/>
      <c r="GU231" s="2204"/>
      <c r="GV231" s="2204"/>
      <c r="GW231" s="2204"/>
      <c r="GX231" s="2204"/>
      <c r="GY231" s="2204"/>
      <c r="GZ231" s="2204"/>
      <c r="HA231" s="2204"/>
      <c r="HB231" s="2204"/>
      <c r="HC231" s="2204"/>
      <c r="HD231" s="2204"/>
      <c r="HE231" s="2204"/>
      <c r="HF231" s="2204"/>
      <c r="HG231" s="2204"/>
      <c r="HH231" s="2204"/>
      <c r="HI231" s="2204"/>
      <c r="HJ231" s="2204"/>
      <c r="HK231" s="2204"/>
      <c r="HL231" s="2204"/>
      <c r="HM231" s="2204"/>
      <c r="HN231" s="2204"/>
      <c r="HO231" s="2204"/>
      <c r="HP231" s="2204"/>
      <c r="HQ231" s="2204"/>
      <c r="HR231" s="2204"/>
      <c r="HS231" s="2204"/>
      <c r="HT231" s="2204"/>
      <c r="HU231" s="2204"/>
      <c r="HV231" s="2204"/>
      <c r="HW231" s="2204"/>
      <c r="HX231" s="2204"/>
      <c r="HY231" s="2204"/>
      <c r="HZ231" s="2204"/>
      <c r="IA231" s="2204"/>
      <c r="IB231" s="2204"/>
      <c r="IC231" s="2204"/>
      <c r="ID231" s="2204"/>
      <c r="IE231" s="2204"/>
      <c r="IF231" s="2204"/>
      <c r="IG231" s="2204"/>
      <c r="IH231" s="2204"/>
      <c r="II231" s="2204"/>
      <c r="IJ231" s="2204"/>
      <c r="IK231" s="2204"/>
      <c r="IL231" s="2204"/>
      <c r="IM231" s="2204"/>
      <c r="IN231" s="2204"/>
      <c r="IO231" s="2204"/>
      <c r="IP231" s="2204"/>
      <c r="IQ231" s="2204"/>
      <c r="IR231" s="2204"/>
      <c r="IS231" s="2204"/>
      <c r="IT231" s="2204"/>
      <c r="IU231" s="2204"/>
      <c r="IV231" s="2204"/>
      <c r="IW231" s="2204"/>
      <c r="IX231" s="2204"/>
      <c r="IY231" s="2204"/>
      <c r="IZ231" s="2204"/>
      <c r="JA231" s="2204"/>
      <c r="JB231" s="2204"/>
      <c r="JC231" s="2204"/>
      <c r="JD231" s="2204"/>
      <c r="JE231" s="2204"/>
      <c r="JF231" s="2205"/>
      <c r="JG231" s="2026"/>
      <c r="JK231" s="2526"/>
    </row>
    <row r="232" spans="2:271" s="2024" customFormat="1" hidden="1">
      <c r="B232" s="2223">
        <v>20</v>
      </c>
      <c r="C232" s="2224"/>
      <c r="D232" s="2225" t="s">
        <v>1129</v>
      </c>
      <c r="E232" s="2226"/>
      <c r="F232" s="2227"/>
      <c r="G232" s="2224"/>
      <c r="H232" s="2227"/>
      <c r="I232" s="2227"/>
      <c r="J232" s="2227"/>
      <c r="K232" s="2240"/>
      <c r="L232" s="2238"/>
      <c r="M232" s="2207"/>
      <c r="N232" s="2207"/>
      <c r="O232" s="2207"/>
      <c r="P232" s="2207"/>
      <c r="Q232" s="2207"/>
      <c r="R232" s="2207"/>
      <c r="S232" s="2207"/>
      <c r="T232" s="2207"/>
      <c r="U232" s="2207"/>
      <c r="V232" s="2207"/>
      <c r="W232" s="2207"/>
      <c r="X232" s="2208"/>
      <c r="Y232" s="2208"/>
      <c r="Z232" s="2209"/>
      <c r="AA232" s="2209"/>
      <c r="AB232" s="2190"/>
      <c r="AC232" s="2190"/>
      <c r="AD232" s="2190"/>
      <c r="AE232" s="2190"/>
      <c r="AF232" s="2190"/>
      <c r="AG232" s="2190"/>
      <c r="AH232" s="2190"/>
      <c r="AI232" s="2190"/>
      <c r="AJ232" s="2190"/>
      <c r="AK232" s="2210"/>
      <c r="AL232" s="2190"/>
      <c r="AM232" s="2190"/>
      <c r="AN232" s="2190"/>
      <c r="AO232" s="2190"/>
      <c r="AP232" s="2190"/>
      <c r="AQ232" s="2190"/>
      <c r="AR232" s="2210"/>
      <c r="AS232" s="2210"/>
      <c r="AT232" s="2190"/>
      <c r="AU232" s="2190"/>
      <c r="AV232" s="2190"/>
      <c r="AW232" s="2190"/>
      <c r="AX232" s="2190"/>
      <c r="AY232" s="2190"/>
      <c r="AZ232" s="2190"/>
      <c r="BA232" s="2210"/>
      <c r="BB232" s="2210"/>
      <c r="BC232" s="2190"/>
      <c r="BD232" s="2190"/>
      <c r="BE232" s="2211"/>
      <c r="BF232" s="2210"/>
      <c r="BG232" s="2211"/>
      <c r="BH232" s="2211"/>
      <c r="BI232" s="2211"/>
      <c r="BJ232" s="2211"/>
      <c r="BK232" s="2211"/>
      <c r="BL232" s="2211"/>
      <c r="BM232" s="2211"/>
      <c r="BN232" s="2211"/>
      <c r="BO232" s="2211"/>
      <c r="BP232" s="2211"/>
      <c r="BQ232" s="2211"/>
      <c r="BR232" s="2211"/>
      <c r="BS232" s="2211"/>
      <c r="BT232" s="2211"/>
      <c r="BU232" s="2211"/>
      <c r="BV232" s="2211"/>
      <c r="BW232" s="2211"/>
      <c r="BX232" s="2211"/>
      <c r="BY232" s="2211"/>
      <c r="BZ232" s="2211"/>
      <c r="CA232" s="2211"/>
      <c r="CB232" s="2211"/>
      <c r="CC232" s="2211"/>
      <c r="CD232" s="2211"/>
      <c r="CE232" s="2211"/>
      <c r="CF232" s="2211"/>
      <c r="CG232" s="2211"/>
      <c r="CH232" s="2211"/>
      <c r="CI232" s="2211"/>
      <c r="CJ232" s="2211"/>
      <c r="CK232" s="2211"/>
      <c r="CL232" s="2211"/>
      <c r="CM232" s="2211"/>
      <c r="CN232" s="2211"/>
      <c r="CO232" s="2211"/>
      <c r="CP232" s="2211"/>
      <c r="CQ232" s="2211"/>
      <c r="CR232" s="2211"/>
      <c r="CS232" s="2211"/>
      <c r="CT232" s="2211"/>
      <c r="CU232" s="2211"/>
      <c r="CV232" s="2211"/>
      <c r="CW232" s="2211"/>
      <c r="CX232" s="2211"/>
      <c r="CY232" s="2211"/>
      <c r="CZ232" s="2211"/>
      <c r="DA232" s="2211"/>
      <c r="DB232" s="2211"/>
      <c r="DC232" s="2211"/>
      <c r="DD232" s="2211"/>
      <c r="DE232" s="2211"/>
      <c r="DF232" s="2211"/>
      <c r="DG232" s="2211"/>
      <c r="DH232" s="2211"/>
      <c r="DI232" s="2211"/>
      <c r="DJ232" s="2211"/>
      <c r="DK232" s="2211"/>
      <c r="DL232" s="2211"/>
      <c r="DM232" s="2211"/>
      <c r="DN232" s="2211"/>
      <c r="DO232" s="2211"/>
      <c r="DP232" s="2211"/>
      <c r="DQ232" s="2211"/>
      <c r="DR232" s="2211"/>
      <c r="DS232" s="2211"/>
      <c r="DT232" s="2211"/>
      <c r="DU232" s="2211"/>
      <c r="DV232" s="2211"/>
      <c r="DW232" s="2211"/>
      <c r="DX232" s="2211"/>
      <c r="DY232" s="2211"/>
      <c r="DZ232" s="2211"/>
      <c r="EA232" s="2211"/>
      <c r="EB232" s="2211"/>
      <c r="EC232" s="2211"/>
      <c r="ED232" s="2211"/>
      <c r="EE232" s="2211"/>
      <c r="EF232" s="2211"/>
      <c r="EG232" s="2211"/>
      <c r="EH232" s="2211"/>
      <c r="EI232" s="2211"/>
      <c r="EJ232" s="2211"/>
      <c r="EK232" s="2211"/>
      <c r="EL232" s="2211"/>
      <c r="EM232" s="2211"/>
      <c r="EN232" s="2211"/>
      <c r="EO232" s="2211"/>
      <c r="EP232" s="2211"/>
      <c r="EQ232" s="2211"/>
      <c r="ER232" s="2211"/>
      <c r="ES232" s="2211"/>
      <c r="ET232" s="2211"/>
      <c r="EU232" s="2211"/>
      <c r="EV232" s="2211"/>
      <c r="EW232" s="2211"/>
      <c r="EX232" s="2211"/>
      <c r="EY232" s="2211"/>
      <c r="EZ232" s="2211"/>
      <c r="FA232" s="2211"/>
      <c r="FB232" s="2211"/>
      <c r="FC232" s="2211"/>
      <c r="FD232" s="2211"/>
      <c r="FE232" s="2211"/>
      <c r="FF232" s="2211"/>
      <c r="FG232" s="2211"/>
      <c r="FH232" s="2211"/>
      <c r="FI232" s="2211"/>
      <c r="FJ232" s="2211"/>
      <c r="FK232" s="2211"/>
      <c r="FL232" s="2211"/>
      <c r="FM232" s="2211"/>
      <c r="FN232" s="2211"/>
      <c r="FO232" s="2211"/>
      <c r="FP232" s="2211"/>
      <c r="FQ232" s="2211"/>
      <c r="FR232" s="2211"/>
      <c r="FS232" s="2211"/>
      <c r="FT232" s="2211"/>
      <c r="FU232" s="2211"/>
      <c r="FV232" s="2211"/>
      <c r="FW232" s="2203"/>
      <c r="FX232" s="2203"/>
      <c r="FY232" s="2034"/>
      <c r="FZ232" s="2034"/>
      <c r="GA232" s="2034"/>
      <c r="GB232" s="2204"/>
      <c r="GC232" s="2204"/>
      <c r="GD232" s="2204"/>
      <c r="GE232" s="2204"/>
      <c r="GF232" s="2204"/>
      <c r="GG232" s="2204"/>
      <c r="GH232" s="2204"/>
      <c r="GI232" s="2204"/>
      <c r="GJ232" s="2204"/>
      <c r="GK232" s="2204"/>
      <c r="GL232" s="2204"/>
      <c r="GM232" s="2204"/>
      <c r="GN232" s="2204"/>
      <c r="GO232" s="2204"/>
      <c r="GP232" s="2204"/>
      <c r="GQ232" s="2204"/>
      <c r="GR232" s="2204"/>
      <c r="GS232" s="2204"/>
      <c r="GT232" s="2204"/>
      <c r="GU232" s="2204"/>
      <c r="GV232" s="2204"/>
      <c r="GW232" s="2204"/>
      <c r="GX232" s="2204"/>
      <c r="GY232" s="2204"/>
      <c r="GZ232" s="2204"/>
      <c r="HA232" s="2204"/>
      <c r="HB232" s="2204"/>
      <c r="HC232" s="2204"/>
      <c r="HD232" s="2204"/>
      <c r="HE232" s="2204"/>
      <c r="HF232" s="2204"/>
      <c r="HG232" s="2204"/>
      <c r="HH232" s="2204"/>
      <c r="HI232" s="2204"/>
      <c r="HJ232" s="2204"/>
      <c r="HK232" s="2204"/>
      <c r="HL232" s="2204"/>
      <c r="HM232" s="2204"/>
      <c r="HN232" s="2204"/>
      <c r="HO232" s="2204"/>
      <c r="HP232" s="2204"/>
      <c r="HQ232" s="2204"/>
      <c r="HR232" s="2204"/>
      <c r="HS232" s="2204"/>
      <c r="HT232" s="2204"/>
      <c r="HU232" s="2204"/>
      <c r="HV232" s="2204"/>
      <c r="HW232" s="2204"/>
      <c r="HX232" s="2204"/>
      <c r="HY232" s="2204"/>
      <c r="HZ232" s="2204"/>
      <c r="IA232" s="2204"/>
      <c r="IB232" s="2204"/>
      <c r="IC232" s="2204"/>
      <c r="ID232" s="2204"/>
      <c r="IE232" s="2204"/>
      <c r="IF232" s="2204"/>
      <c r="IG232" s="2204"/>
      <c r="IH232" s="2204"/>
      <c r="II232" s="2204"/>
      <c r="IJ232" s="2204"/>
      <c r="IK232" s="2204"/>
      <c r="IL232" s="2204"/>
      <c r="IM232" s="2204"/>
      <c r="IN232" s="2204"/>
      <c r="IO232" s="2204"/>
      <c r="IP232" s="2204"/>
      <c r="IQ232" s="2204"/>
      <c r="IR232" s="2204"/>
      <c r="IS232" s="2204"/>
      <c r="IT232" s="2204"/>
      <c r="IU232" s="2204"/>
      <c r="IV232" s="2204"/>
      <c r="IW232" s="2204"/>
      <c r="IX232" s="2204"/>
      <c r="IY232" s="2204"/>
      <c r="IZ232" s="2204"/>
      <c r="JA232" s="2204"/>
      <c r="JB232" s="2204"/>
      <c r="JC232" s="2204"/>
      <c r="JD232" s="2204"/>
      <c r="JE232" s="2204"/>
      <c r="JF232" s="2205"/>
      <c r="JG232" s="2026"/>
      <c r="JK232" s="2526"/>
    </row>
    <row r="233" spans="2:271" s="2236" customFormat="1" hidden="1">
      <c r="B233" s="2223">
        <v>21</v>
      </c>
      <c r="C233" s="2224"/>
      <c r="D233" s="2225" t="s">
        <v>1130</v>
      </c>
      <c r="E233" s="2226"/>
      <c r="F233" s="2227"/>
      <c r="G233" s="2224"/>
      <c r="H233" s="2227"/>
      <c r="I233" s="2227"/>
      <c r="J233" s="2227"/>
      <c r="K233" s="2240"/>
      <c r="L233" s="2240"/>
      <c r="M233" s="2229"/>
      <c r="N233" s="2229"/>
      <c r="O233" s="2229"/>
      <c r="P233" s="2229"/>
      <c r="Q233" s="2229"/>
      <c r="R233" s="2229"/>
      <c r="S233" s="2229"/>
      <c r="T233" s="2229"/>
      <c r="U233" s="2229"/>
      <c r="V233" s="2229"/>
      <c r="W233" s="2229"/>
      <c r="X233" s="2230"/>
      <c r="Y233" s="2230"/>
      <c r="Z233" s="2231"/>
      <c r="AA233" s="2231"/>
      <c r="AB233" s="2227"/>
      <c r="AC233" s="2227"/>
      <c r="AD233" s="2227"/>
      <c r="AE233" s="2227"/>
      <c r="AF233" s="2227"/>
      <c r="AG233" s="2227"/>
      <c r="AH233" s="2227"/>
      <c r="AI233" s="2227"/>
      <c r="AJ233" s="2227"/>
      <c r="AK233" s="2232"/>
      <c r="AL233" s="2227"/>
      <c r="AM233" s="2227"/>
      <c r="AN233" s="2227"/>
      <c r="AO233" s="2227"/>
      <c r="AP233" s="2227"/>
      <c r="AQ233" s="2227"/>
      <c r="AR233" s="2232"/>
      <c r="AS233" s="2232"/>
      <c r="AT233" s="2227"/>
      <c r="AU233" s="2227"/>
      <c r="AV233" s="2227"/>
      <c r="AW233" s="2227"/>
      <c r="AX233" s="2227"/>
      <c r="AY233" s="2227"/>
      <c r="AZ233" s="2227"/>
      <c r="BA233" s="2232"/>
      <c r="BB233" s="2232"/>
      <c r="BC233" s="2227"/>
      <c r="BD233" s="2227"/>
      <c r="BE233" s="2233"/>
      <c r="BF233" s="2232"/>
      <c r="BG233" s="2233"/>
      <c r="BH233" s="2233"/>
      <c r="BI233" s="2233"/>
      <c r="BJ233" s="2233"/>
      <c r="BK233" s="2233"/>
      <c r="BL233" s="2233"/>
      <c r="BM233" s="2233"/>
      <c r="BN233" s="2233"/>
      <c r="BO233" s="2233"/>
      <c r="BP233" s="2233"/>
      <c r="BQ233" s="2233"/>
      <c r="BR233" s="2233"/>
      <c r="BS233" s="2233"/>
      <c r="BT233" s="2233"/>
      <c r="BU233" s="2233"/>
      <c r="BV233" s="2233"/>
      <c r="BW233" s="2233"/>
      <c r="BX233" s="2233"/>
      <c r="BY233" s="2233"/>
      <c r="BZ233" s="2233"/>
      <c r="CA233" s="2233"/>
      <c r="CB233" s="2233"/>
      <c r="CC233" s="2233"/>
      <c r="CD233" s="2233"/>
      <c r="CE233" s="2233"/>
      <c r="CF233" s="2233"/>
      <c r="CG233" s="2233"/>
      <c r="CH233" s="2233"/>
      <c r="CI233" s="2233"/>
      <c r="CJ233" s="2233"/>
      <c r="CK233" s="2233"/>
      <c r="CL233" s="2233"/>
      <c r="CM233" s="2233"/>
      <c r="CN233" s="2233"/>
      <c r="CO233" s="2233"/>
      <c r="CP233" s="2233"/>
      <c r="CQ233" s="2233"/>
      <c r="CR233" s="2233"/>
      <c r="CS233" s="2233"/>
      <c r="CT233" s="2233"/>
      <c r="CU233" s="2233"/>
      <c r="CV233" s="2233"/>
      <c r="CW233" s="2233"/>
      <c r="CX233" s="2233"/>
      <c r="CY233" s="2233"/>
      <c r="CZ233" s="2233"/>
      <c r="DA233" s="2233"/>
      <c r="DB233" s="2233"/>
      <c r="DC233" s="2233"/>
      <c r="DD233" s="2233"/>
      <c r="DE233" s="2233"/>
      <c r="DF233" s="2233"/>
      <c r="DG233" s="2233"/>
      <c r="DH233" s="2233"/>
      <c r="DI233" s="2233"/>
      <c r="DJ233" s="2233"/>
      <c r="DK233" s="2233"/>
      <c r="DL233" s="2233"/>
      <c r="DM233" s="2233"/>
      <c r="DN233" s="2233"/>
      <c r="DO233" s="2233"/>
      <c r="DP233" s="2233"/>
      <c r="DQ233" s="2233"/>
      <c r="DR233" s="2233"/>
      <c r="DS233" s="2233"/>
      <c r="DT233" s="2233"/>
      <c r="DU233" s="2233"/>
      <c r="DV233" s="2233"/>
      <c r="DW233" s="2233"/>
      <c r="DX233" s="2233"/>
      <c r="DY233" s="2233"/>
      <c r="DZ233" s="2233"/>
      <c r="EA233" s="2233"/>
      <c r="EB233" s="2233"/>
      <c r="EC233" s="2233"/>
      <c r="ED233" s="2233"/>
      <c r="EE233" s="2233"/>
      <c r="EF233" s="2233"/>
      <c r="EG233" s="2233"/>
      <c r="EH233" s="2233"/>
      <c r="EI233" s="2233"/>
      <c r="EJ233" s="2233"/>
      <c r="EK233" s="2233"/>
      <c r="EL233" s="2233"/>
      <c r="EM233" s="2233"/>
      <c r="EN233" s="2233"/>
      <c r="EO233" s="2233"/>
      <c r="EP233" s="2233"/>
      <c r="EQ233" s="2233"/>
      <c r="ER233" s="2233"/>
      <c r="ES233" s="2233"/>
      <c r="ET233" s="2233"/>
      <c r="EU233" s="2233"/>
      <c r="EV233" s="2233"/>
      <c r="EW233" s="2233"/>
      <c r="EX233" s="2233"/>
      <c r="EY233" s="2233"/>
      <c r="EZ233" s="2233"/>
      <c r="FA233" s="2233"/>
      <c r="FB233" s="2233"/>
      <c r="FC233" s="2233"/>
      <c r="FD233" s="2233"/>
      <c r="FE233" s="2233"/>
      <c r="FF233" s="2233"/>
      <c r="FG233" s="2233"/>
      <c r="FH233" s="2233"/>
      <c r="FI233" s="2233"/>
      <c r="FJ233" s="2233"/>
      <c r="FK233" s="2233"/>
      <c r="FL233" s="2233"/>
      <c r="FM233" s="2233"/>
      <c r="FN233" s="2233"/>
      <c r="FO233" s="2233"/>
      <c r="FP233" s="2233"/>
      <c r="FQ233" s="2233"/>
      <c r="FR233" s="2233"/>
      <c r="FS233" s="2233"/>
      <c r="FT233" s="2233"/>
      <c r="FU233" s="2233"/>
      <c r="FV233" s="2233"/>
      <c r="FW233" s="2224"/>
      <c r="FX233" s="2224"/>
      <c r="FY233" s="2227"/>
      <c r="FZ233" s="2227"/>
      <c r="GA233" s="2227"/>
      <c r="GB233" s="2232"/>
      <c r="GC233" s="2232"/>
      <c r="GD233" s="2232"/>
      <c r="GE233" s="2232"/>
      <c r="GF233" s="2232"/>
      <c r="GG233" s="2232"/>
      <c r="GH233" s="2232"/>
      <c r="GI233" s="2232"/>
      <c r="GJ233" s="2232"/>
      <c r="GK233" s="2232"/>
      <c r="GL233" s="2232"/>
      <c r="GM233" s="2232"/>
      <c r="GN233" s="2232"/>
      <c r="GO233" s="2232"/>
      <c r="GP233" s="2232"/>
      <c r="GQ233" s="2232"/>
      <c r="GR233" s="2232"/>
      <c r="GS233" s="2232"/>
      <c r="GT233" s="2232"/>
      <c r="GU233" s="2232"/>
      <c r="GV233" s="2232"/>
      <c r="GW233" s="2232"/>
      <c r="GX233" s="2232"/>
      <c r="GY233" s="2232"/>
      <c r="GZ233" s="2232"/>
      <c r="HA233" s="2232"/>
      <c r="HB233" s="2232"/>
      <c r="HC233" s="2232"/>
      <c r="HD233" s="2232"/>
      <c r="HE233" s="2232"/>
      <c r="HF233" s="2232"/>
      <c r="HG233" s="2232"/>
      <c r="HH233" s="2232"/>
      <c r="HI233" s="2232"/>
      <c r="HJ233" s="2232"/>
      <c r="HK233" s="2232"/>
      <c r="HL233" s="2232"/>
      <c r="HM233" s="2232"/>
      <c r="HN233" s="2232"/>
      <c r="HO233" s="2232"/>
      <c r="HP233" s="2232"/>
      <c r="HQ233" s="2232"/>
      <c r="HR233" s="2232"/>
      <c r="HS233" s="2232"/>
      <c r="HT233" s="2232"/>
      <c r="HU233" s="2232"/>
      <c r="HV233" s="2232"/>
      <c r="HW233" s="2232"/>
      <c r="HX233" s="2232"/>
      <c r="HY233" s="2232"/>
      <c r="HZ233" s="2232"/>
      <c r="IA233" s="2232"/>
      <c r="IB233" s="2232"/>
      <c r="IC233" s="2232"/>
      <c r="ID233" s="2232"/>
      <c r="IE233" s="2232"/>
      <c r="IF233" s="2232"/>
      <c r="IG233" s="2232"/>
      <c r="IH233" s="2232"/>
      <c r="II233" s="2232"/>
      <c r="IJ233" s="2232"/>
      <c r="IK233" s="2232"/>
      <c r="IL233" s="2232"/>
      <c r="IM233" s="2232"/>
      <c r="IN233" s="2232"/>
      <c r="IO233" s="2232"/>
      <c r="IP233" s="2232"/>
      <c r="IQ233" s="2232"/>
      <c r="IR233" s="2232"/>
      <c r="IS233" s="2232"/>
      <c r="IT233" s="2232"/>
      <c r="IU233" s="2232"/>
      <c r="IV233" s="2232"/>
      <c r="IW233" s="2232"/>
      <c r="IX233" s="2232"/>
      <c r="IY233" s="2232"/>
      <c r="IZ233" s="2232"/>
      <c r="JA233" s="2232"/>
      <c r="JB233" s="2232"/>
      <c r="JC233" s="2232"/>
      <c r="JD233" s="2232"/>
      <c r="JE233" s="2232"/>
      <c r="JF233" s="2234"/>
      <c r="JG233" s="2235"/>
      <c r="JK233" s="2530"/>
    </row>
    <row r="234" spans="2:271" s="2024" customFormat="1" hidden="1">
      <c r="B234" s="2198">
        <v>22</v>
      </c>
      <c r="C234" s="2203"/>
      <c r="D234" s="2212" t="s">
        <v>31</v>
      </c>
      <c r="E234" s="2213"/>
      <c r="F234" s="2214"/>
      <c r="G234" s="2244"/>
      <c r="H234" s="2214"/>
      <c r="I234" s="2244"/>
      <c r="J234" s="2214"/>
      <c r="K234" s="2243"/>
      <c r="L234" s="2213"/>
      <c r="M234" s="2216"/>
      <c r="N234" s="2216"/>
      <c r="O234" s="2216"/>
      <c r="P234" s="2216"/>
      <c r="Q234" s="2216"/>
      <c r="R234" s="2216"/>
      <c r="S234" s="2216"/>
      <c r="T234" s="2216"/>
      <c r="U234" s="2216"/>
      <c r="V234" s="2216"/>
      <c r="W234" s="2216"/>
      <c r="X234" s="2217"/>
      <c r="Y234" s="2217"/>
      <c r="Z234" s="2218"/>
      <c r="AA234" s="2218"/>
      <c r="AB234" s="2214"/>
      <c r="AC234" s="2214"/>
      <c r="AD234" s="2214"/>
      <c r="AE234" s="2214"/>
      <c r="AF234" s="2214"/>
      <c r="AG234" s="2214"/>
      <c r="AH234" s="2214"/>
      <c r="AI234" s="2214"/>
      <c r="AJ234" s="2214"/>
      <c r="AK234" s="2219"/>
      <c r="AL234" s="2214"/>
      <c r="AM234" s="2214"/>
      <c r="AN234" s="2214"/>
      <c r="AO234" s="2214"/>
      <c r="AP234" s="2214"/>
      <c r="AQ234" s="2214"/>
      <c r="AR234" s="2219"/>
      <c r="AS234" s="2219"/>
      <c r="AT234" s="2214"/>
      <c r="AU234" s="2214"/>
      <c r="AV234" s="2214"/>
      <c r="AW234" s="2214"/>
      <c r="AX234" s="2214"/>
      <c r="AY234" s="2214"/>
      <c r="AZ234" s="2214"/>
      <c r="BA234" s="2219"/>
      <c r="BB234" s="2219"/>
      <c r="BC234" s="2214"/>
      <c r="BD234" s="2214"/>
      <c r="BE234" s="2220"/>
      <c r="BF234" s="2219"/>
      <c r="BG234" s="2220"/>
      <c r="BH234" s="2220"/>
      <c r="BI234" s="2220"/>
      <c r="BJ234" s="2220"/>
      <c r="BK234" s="2220"/>
      <c r="BL234" s="2220"/>
      <c r="BM234" s="2220"/>
      <c r="BN234" s="2220"/>
      <c r="BO234" s="2220"/>
      <c r="BP234" s="2220"/>
      <c r="BQ234" s="2220"/>
      <c r="BR234" s="2220"/>
      <c r="BS234" s="2220"/>
      <c r="BT234" s="2220"/>
      <c r="BU234" s="2220"/>
      <c r="BV234" s="2220"/>
      <c r="BW234" s="2220"/>
      <c r="BX234" s="2220"/>
      <c r="BY234" s="2220"/>
      <c r="BZ234" s="2220"/>
      <c r="CA234" s="2220"/>
      <c r="CB234" s="2220"/>
      <c r="CC234" s="2220"/>
      <c r="CD234" s="2220"/>
      <c r="CE234" s="2220"/>
      <c r="CF234" s="2220"/>
      <c r="CG234" s="2220"/>
      <c r="CH234" s="2220"/>
      <c r="CI234" s="2220"/>
      <c r="CJ234" s="2220"/>
      <c r="CK234" s="2220"/>
      <c r="CL234" s="2220"/>
      <c r="CM234" s="2220"/>
      <c r="CN234" s="2220"/>
      <c r="CO234" s="2220"/>
      <c r="CP234" s="2220"/>
      <c r="CQ234" s="2220"/>
      <c r="CR234" s="2220"/>
      <c r="CS234" s="2220"/>
      <c r="CT234" s="2220"/>
      <c r="CU234" s="2220"/>
      <c r="CV234" s="2220"/>
      <c r="CW234" s="2220"/>
      <c r="CX234" s="2220"/>
      <c r="CY234" s="2220"/>
      <c r="CZ234" s="2220"/>
      <c r="DA234" s="2220"/>
      <c r="DB234" s="2220"/>
      <c r="DC234" s="2220"/>
      <c r="DD234" s="2220"/>
      <c r="DE234" s="2220"/>
      <c r="DF234" s="2220"/>
      <c r="DG234" s="2220"/>
      <c r="DH234" s="2220"/>
      <c r="DI234" s="2220"/>
      <c r="DJ234" s="2220"/>
      <c r="DK234" s="2220"/>
      <c r="DL234" s="2220"/>
      <c r="DM234" s="2220"/>
      <c r="DN234" s="2220"/>
      <c r="DO234" s="2220"/>
      <c r="DP234" s="2220"/>
      <c r="DQ234" s="2220"/>
      <c r="DR234" s="2220"/>
      <c r="DS234" s="2220"/>
      <c r="DT234" s="2220"/>
      <c r="DU234" s="2220"/>
      <c r="DV234" s="2220"/>
      <c r="DW234" s="2220"/>
      <c r="DX234" s="2220"/>
      <c r="DY234" s="2220"/>
      <c r="DZ234" s="2220"/>
      <c r="EA234" s="2220"/>
      <c r="EB234" s="2220"/>
      <c r="EC234" s="2220"/>
      <c r="ED234" s="2220"/>
      <c r="EE234" s="2220"/>
      <c r="EF234" s="2220"/>
      <c r="EG234" s="2220"/>
      <c r="EH234" s="2220"/>
      <c r="EI234" s="2220"/>
      <c r="EJ234" s="2220"/>
      <c r="EK234" s="2220"/>
      <c r="EL234" s="2220"/>
      <c r="EM234" s="2220"/>
      <c r="EN234" s="2220"/>
      <c r="EO234" s="2220"/>
      <c r="EP234" s="2220"/>
      <c r="EQ234" s="2220"/>
      <c r="ER234" s="2220"/>
      <c r="ES234" s="2220"/>
      <c r="ET234" s="2220"/>
      <c r="EU234" s="2220"/>
      <c r="EV234" s="2220"/>
      <c r="EW234" s="2220"/>
      <c r="EX234" s="2220"/>
      <c r="EY234" s="2220"/>
      <c r="EZ234" s="2220"/>
      <c r="FA234" s="2220"/>
      <c r="FB234" s="2220"/>
      <c r="FC234" s="2220"/>
      <c r="FD234" s="2220"/>
      <c r="FE234" s="2220"/>
      <c r="FF234" s="2220"/>
      <c r="FG234" s="2220"/>
      <c r="FH234" s="2220"/>
      <c r="FI234" s="2220"/>
      <c r="FJ234" s="2220"/>
      <c r="FK234" s="2220"/>
      <c r="FL234" s="2220"/>
      <c r="FM234" s="2220"/>
      <c r="FN234" s="2220"/>
      <c r="FO234" s="2220"/>
      <c r="FP234" s="2220"/>
      <c r="FQ234" s="2220"/>
      <c r="FR234" s="2220"/>
      <c r="FS234" s="2220"/>
      <c r="FT234" s="2220"/>
      <c r="FU234" s="2220"/>
      <c r="FV234" s="2220"/>
      <c r="FW234" s="2203"/>
      <c r="FX234" s="2203"/>
      <c r="FY234" s="2034"/>
      <c r="FZ234" s="2034"/>
      <c r="GA234" s="2034"/>
      <c r="GB234" s="2204"/>
      <c r="GC234" s="2204"/>
      <c r="GD234" s="2204"/>
      <c r="GE234" s="2204"/>
      <c r="GF234" s="2204"/>
      <c r="GG234" s="2204"/>
      <c r="GH234" s="2204"/>
      <c r="GI234" s="2204"/>
      <c r="GJ234" s="2204"/>
      <c r="GK234" s="2204"/>
      <c r="GL234" s="2204"/>
      <c r="GM234" s="2204"/>
      <c r="GN234" s="2204"/>
      <c r="GO234" s="2204"/>
      <c r="GP234" s="2204"/>
      <c r="GQ234" s="2204"/>
      <c r="GR234" s="2204"/>
      <c r="GS234" s="2204"/>
      <c r="GT234" s="2204"/>
      <c r="GU234" s="2204"/>
      <c r="GV234" s="2204"/>
      <c r="GW234" s="2204"/>
      <c r="GX234" s="2204"/>
      <c r="GY234" s="2204"/>
      <c r="GZ234" s="2204"/>
      <c r="HA234" s="2204"/>
      <c r="HB234" s="2204"/>
      <c r="HC234" s="2204"/>
      <c r="HD234" s="2204"/>
      <c r="HE234" s="2204"/>
      <c r="HF234" s="2204"/>
      <c r="HG234" s="2204"/>
      <c r="HH234" s="2204"/>
      <c r="HI234" s="2204"/>
      <c r="HJ234" s="2204"/>
      <c r="HK234" s="2204"/>
      <c r="HL234" s="2204"/>
      <c r="HM234" s="2204"/>
      <c r="HN234" s="2204"/>
      <c r="HO234" s="2204"/>
      <c r="HP234" s="2204"/>
      <c r="HQ234" s="2204"/>
      <c r="HR234" s="2204"/>
      <c r="HS234" s="2204"/>
      <c r="HT234" s="2204"/>
      <c r="HU234" s="2204"/>
      <c r="HV234" s="2204"/>
      <c r="HW234" s="2204"/>
      <c r="HX234" s="2204"/>
      <c r="HY234" s="2204"/>
      <c r="HZ234" s="2204"/>
      <c r="IA234" s="2204"/>
      <c r="IB234" s="2204"/>
      <c r="IC234" s="2204"/>
      <c r="ID234" s="2204"/>
      <c r="IE234" s="2204"/>
      <c r="IF234" s="2204"/>
      <c r="IG234" s="2204"/>
      <c r="IH234" s="2204"/>
      <c r="II234" s="2204"/>
      <c r="IJ234" s="2204"/>
      <c r="IK234" s="2204"/>
      <c r="IL234" s="2204"/>
      <c r="IM234" s="2204"/>
      <c r="IN234" s="2204"/>
      <c r="IO234" s="2204"/>
      <c r="IP234" s="2204"/>
      <c r="IQ234" s="2204"/>
      <c r="IR234" s="2204"/>
      <c r="IS234" s="2204"/>
      <c r="IT234" s="2204"/>
      <c r="IU234" s="2204"/>
      <c r="IV234" s="2204"/>
      <c r="IW234" s="2204"/>
      <c r="IX234" s="2204"/>
      <c r="IY234" s="2204"/>
      <c r="IZ234" s="2204"/>
      <c r="JA234" s="2204"/>
      <c r="JB234" s="2204"/>
      <c r="JC234" s="2204"/>
      <c r="JD234" s="2204"/>
      <c r="JE234" s="2204"/>
      <c r="JF234" s="2205"/>
      <c r="JG234" s="2026"/>
      <c r="JK234" s="2526"/>
    </row>
    <row r="235" spans="2:271" s="2024" customFormat="1" hidden="1">
      <c r="B235" s="2198">
        <v>23</v>
      </c>
      <c r="C235" s="2203"/>
      <c r="D235" s="2212" t="s">
        <v>32</v>
      </c>
      <c r="E235" s="2213"/>
      <c r="F235" s="2214"/>
      <c r="G235" s="2244"/>
      <c r="H235" s="2214"/>
      <c r="I235" s="2244"/>
      <c r="J235" s="2214"/>
      <c r="K235" s="2243"/>
      <c r="L235" s="2213"/>
      <c r="M235" s="2216"/>
      <c r="N235" s="2216"/>
      <c r="O235" s="2216"/>
      <c r="P235" s="2216"/>
      <c r="Q235" s="2216"/>
      <c r="R235" s="2216"/>
      <c r="S235" s="2216"/>
      <c r="T235" s="2216"/>
      <c r="U235" s="2216"/>
      <c r="V235" s="2216"/>
      <c r="W235" s="2216"/>
      <c r="X235" s="2217"/>
      <c r="Y235" s="2217"/>
      <c r="Z235" s="2218"/>
      <c r="AA235" s="2218"/>
      <c r="AB235" s="2214"/>
      <c r="AC235" s="2214"/>
      <c r="AD235" s="2214"/>
      <c r="AE235" s="2214"/>
      <c r="AF235" s="2214"/>
      <c r="AG235" s="2214"/>
      <c r="AH235" s="2214"/>
      <c r="AI235" s="2214"/>
      <c r="AJ235" s="2214"/>
      <c r="AK235" s="2219"/>
      <c r="AL235" s="2214"/>
      <c r="AM235" s="2214"/>
      <c r="AN235" s="2214"/>
      <c r="AO235" s="2214"/>
      <c r="AP235" s="2214"/>
      <c r="AQ235" s="2214"/>
      <c r="AR235" s="2219"/>
      <c r="AS235" s="2219"/>
      <c r="AT235" s="2214"/>
      <c r="AU235" s="2214"/>
      <c r="AV235" s="2214"/>
      <c r="AW235" s="2214"/>
      <c r="AX235" s="2214"/>
      <c r="AY235" s="2214"/>
      <c r="AZ235" s="2214"/>
      <c r="BA235" s="2219"/>
      <c r="BB235" s="2219"/>
      <c r="BC235" s="2214"/>
      <c r="BD235" s="2214"/>
      <c r="BE235" s="2220"/>
      <c r="BF235" s="2219"/>
      <c r="BG235" s="2220"/>
      <c r="BH235" s="2220"/>
      <c r="BI235" s="2220"/>
      <c r="BJ235" s="2220"/>
      <c r="BK235" s="2220"/>
      <c r="BL235" s="2220"/>
      <c r="BM235" s="2220"/>
      <c r="BN235" s="2220"/>
      <c r="BO235" s="2220"/>
      <c r="BP235" s="2220"/>
      <c r="BQ235" s="2220"/>
      <c r="BR235" s="2220"/>
      <c r="BS235" s="2220"/>
      <c r="BT235" s="2220"/>
      <c r="BU235" s="2220"/>
      <c r="BV235" s="2220"/>
      <c r="BW235" s="2220"/>
      <c r="BX235" s="2220"/>
      <c r="BY235" s="2220"/>
      <c r="BZ235" s="2220"/>
      <c r="CA235" s="2220"/>
      <c r="CB235" s="2220"/>
      <c r="CC235" s="2220"/>
      <c r="CD235" s="2220"/>
      <c r="CE235" s="2220"/>
      <c r="CF235" s="2220"/>
      <c r="CG235" s="2220"/>
      <c r="CH235" s="2220"/>
      <c r="CI235" s="2220"/>
      <c r="CJ235" s="2220"/>
      <c r="CK235" s="2220"/>
      <c r="CL235" s="2220"/>
      <c r="CM235" s="2220"/>
      <c r="CN235" s="2220"/>
      <c r="CO235" s="2220"/>
      <c r="CP235" s="2220"/>
      <c r="CQ235" s="2220"/>
      <c r="CR235" s="2220"/>
      <c r="CS235" s="2220"/>
      <c r="CT235" s="2220"/>
      <c r="CU235" s="2220"/>
      <c r="CV235" s="2220"/>
      <c r="CW235" s="2220"/>
      <c r="CX235" s="2220"/>
      <c r="CY235" s="2220"/>
      <c r="CZ235" s="2220"/>
      <c r="DA235" s="2220"/>
      <c r="DB235" s="2220"/>
      <c r="DC235" s="2220"/>
      <c r="DD235" s="2220"/>
      <c r="DE235" s="2220"/>
      <c r="DF235" s="2220"/>
      <c r="DG235" s="2220"/>
      <c r="DH235" s="2220"/>
      <c r="DI235" s="2220"/>
      <c r="DJ235" s="2220"/>
      <c r="DK235" s="2220"/>
      <c r="DL235" s="2220"/>
      <c r="DM235" s="2220"/>
      <c r="DN235" s="2220"/>
      <c r="DO235" s="2220"/>
      <c r="DP235" s="2220"/>
      <c r="DQ235" s="2220"/>
      <c r="DR235" s="2220"/>
      <c r="DS235" s="2220"/>
      <c r="DT235" s="2220"/>
      <c r="DU235" s="2220"/>
      <c r="DV235" s="2220"/>
      <c r="DW235" s="2220"/>
      <c r="DX235" s="2220"/>
      <c r="DY235" s="2220"/>
      <c r="DZ235" s="2220"/>
      <c r="EA235" s="2220"/>
      <c r="EB235" s="2220"/>
      <c r="EC235" s="2220"/>
      <c r="ED235" s="2220"/>
      <c r="EE235" s="2220"/>
      <c r="EF235" s="2220"/>
      <c r="EG235" s="2220"/>
      <c r="EH235" s="2220"/>
      <c r="EI235" s="2220"/>
      <c r="EJ235" s="2220"/>
      <c r="EK235" s="2220"/>
      <c r="EL235" s="2220"/>
      <c r="EM235" s="2220"/>
      <c r="EN235" s="2220"/>
      <c r="EO235" s="2220"/>
      <c r="EP235" s="2220"/>
      <c r="EQ235" s="2220"/>
      <c r="ER235" s="2220"/>
      <c r="ES235" s="2220"/>
      <c r="ET235" s="2220"/>
      <c r="EU235" s="2220"/>
      <c r="EV235" s="2220"/>
      <c r="EW235" s="2220"/>
      <c r="EX235" s="2220"/>
      <c r="EY235" s="2220"/>
      <c r="EZ235" s="2220"/>
      <c r="FA235" s="2220"/>
      <c r="FB235" s="2220"/>
      <c r="FC235" s="2220"/>
      <c r="FD235" s="2220"/>
      <c r="FE235" s="2220"/>
      <c r="FF235" s="2220"/>
      <c r="FG235" s="2220"/>
      <c r="FH235" s="2220"/>
      <c r="FI235" s="2220"/>
      <c r="FJ235" s="2220"/>
      <c r="FK235" s="2220"/>
      <c r="FL235" s="2220"/>
      <c r="FM235" s="2220"/>
      <c r="FN235" s="2220"/>
      <c r="FO235" s="2220"/>
      <c r="FP235" s="2220"/>
      <c r="FQ235" s="2220"/>
      <c r="FR235" s="2220"/>
      <c r="FS235" s="2220"/>
      <c r="FT235" s="2220"/>
      <c r="FU235" s="2220"/>
      <c r="FV235" s="2220"/>
      <c r="FW235" s="2203"/>
      <c r="FX235" s="2203"/>
      <c r="FY235" s="2034"/>
      <c r="FZ235" s="2034"/>
      <c r="GA235" s="2034"/>
      <c r="GB235" s="2204"/>
      <c r="GC235" s="2204"/>
      <c r="GD235" s="2204"/>
      <c r="GE235" s="2204"/>
      <c r="GF235" s="2204"/>
      <c r="GG235" s="2204"/>
      <c r="GH235" s="2204"/>
      <c r="GI235" s="2204"/>
      <c r="GJ235" s="2204"/>
      <c r="GK235" s="2204"/>
      <c r="GL235" s="2204"/>
      <c r="GM235" s="2204"/>
      <c r="GN235" s="2204"/>
      <c r="GO235" s="2204"/>
      <c r="GP235" s="2204"/>
      <c r="GQ235" s="2204"/>
      <c r="GR235" s="2204"/>
      <c r="GS235" s="2204"/>
      <c r="GT235" s="2204"/>
      <c r="GU235" s="2204"/>
      <c r="GV235" s="2204"/>
      <c r="GW235" s="2204"/>
      <c r="GX235" s="2204"/>
      <c r="GY235" s="2204"/>
      <c r="GZ235" s="2204"/>
      <c r="HA235" s="2204"/>
      <c r="HB235" s="2204"/>
      <c r="HC235" s="2204"/>
      <c r="HD235" s="2204"/>
      <c r="HE235" s="2204"/>
      <c r="HF235" s="2204"/>
      <c r="HG235" s="2204"/>
      <c r="HH235" s="2204"/>
      <c r="HI235" s="2204"/>
      <c r="HJ235" s="2204"/>
      <c r="HK235" s="2204"/>
      <c r="HL235" s="2204"/>
      <c r="HM235" s="2204"/>
      <c r="HN235" s="2204"/>
      <c r="HO235" s="2204"/>
      <c r="HP235" s="2204"/>
      <c r="HQ235" s="2204"/>
      <c r="HR235" s="2204"/>
      <c r="HS235" s="2204"/>
      <c r="HT235" s="2204"/>
      <c r="HU235" s="2204"/>
      <c r="HV235" s="2204"/>
      <c r="HW235" s="2204"/>
      <c r="HX235" s="2204"/>
      <c r="HY235" s="2204"/>
      <c r="HZ235" s="2204"/>
      <c r="IA235" s="2204"/>
      <c r="IB235" s="2204"/>
      <c r="IC235" s="2204"/>
      <c r="ID235" s="2204"/>
      <c r="IE235" s="2204"/>
      <c r="IF235" s="2204"/>
      <c r="IG235" s="2204"/>
      <c r="IH235" s="2204"/>
      <c r="II235" s="2204"/>
      <c r="IJ235" s="2204"/>
      <c r="IK235" s="2204"/>
      <c r="IL235" s="2204"/>
      <c r="IM235" s="2204"/>
      <c r="IN235" s="2204"/>
      <c r="IO235" s="2204"/>
      <c r="IP235" s="2204"/>
      <c r="IQ235" s="2204"/>
      <c r="IR235" s="2204"/>
      <c r="IS235" s="2204"/>
      <c r="IT235" s="2204"/>
      <c r="IU235" s="2204"/>
      <c r="IV235" s="2204"/>
      <c r="IW235" s="2204"/>
      <c r="IX235" s="2204"/>
      <c r="IY235" s="2204"/>
      <c r="IZ235" s="2204"/>
      <c r="JA235" s="2204"/>
      <c r="JB235" s="2204"/>
      <c r="JC235" s="2204"/>
      <c r="JD235" s="2204"/>
      <c r="JE235" s="2204"/>
      <c r="JF235" s="2205"/>
      <c r="JG235" s="2026"/>
      <c r="JK235" s="2526"/>
    </row>
    <row r="236" spans="2:271" s="2024" customFormat="1">
      <c r="B236" s="2189">
        <v>24</v>
      </c>
      <c r="C236" s="2203"/>
      <c r="D236" s="2191" t="s">
        <v>570</v>
      </c>
      <c r="E236" s="2206"/>
      <c r="F236" s="2190"/>
      <c r="G236" s="2237"/>
      <c r="H236" s="2190"/>
      <c r="I236" s="2237"/>
      <c r="J236" s="2190"/>
      <c r="K236" s="2238"/>
      <c r="L236" s="2206"/>
      <c r="M236" s="2207"/>
      <c r="N236" s="2207"/>
      <c r="O236" s="2207"/>
      <c r="P236" s="2207"/>
      <c r="Q236" s="2207"/>
      <c r="R236" s="2207"/>
      <c r="S236" s="2207"/>
      <c r="T236" s="2207"/>
      <c r="U236" s="2207"/>
      <c r="V236" s="2207"/>
      <c r="W236" s="2207"/>
      <c r="X236" s="2208"/>
      <c r="Y236" s="2208"/>
      <c r="Z236" s="2209"/>
      <c r="AA236" s="2209"/>
      <c r="AB236" s="2190"/>
      <c r="AC236" s="2190"/>
      <c r="AD236" s="2190"/>
      <c r="AE236" s="2190"/>
      <c r="AF236" s="2190"/>
      <c r="AG236" s="2190"/>
      <c r="AH236" s="2190"/>
      <c r="AI236" s="2190"/>
      <c r="AJ236" s="2190"/>
      <c r="AK236" s="2210"/>
      <c r="AL236" s="2190"/>
      <c r="AM236" s="2190"/>
      <c r="AN236" s="2190"/>
      <c r="AO236" s="2190"/>
      <c r="AP236" s="2190"/>
      <c r="AQ236" s="2190"/>
      <c r="AR236" s="2210"/>
      <c r="AS236" s="2210"/>
      <c r="AT236" s="2190"/>
      <c r="AU236" s="2190"/>
      <c r="AV236" s="2190"/>
      <c r="AW236" s="2190"/>
      <c r="AX236" s="2190"/>
      <c r="AY236" s="2190"/>
      <c r="AZ236" s="2190"/>
      <c r="BA236" s="2210"/>
      <c r="BB236" s="2210"/>
      <c r="BC236" s="2190"/>
      <c r="BD236" s="2190"/>
      <c r="BE236" s="2211"/>
      <c r="BF236" s="2210"/>
      <c r="BG236" s="2211"/>
      <c r="BH236" s="2211"/>
      <c r="BI236" s="2211"/>
      <c r="BJ236" s="2211"/>
      <c r="BK236" s="2211"/>
      <c r="BL236" s="2211"/>
      <c r="BM236" s="2211"/>
      <c r="BN236" s="2211"/>
      <c r="BO236" s="2211"/>
      <c r="BP236" s="2211"/>
      <c r="BQ236" s="2211"/>
      <c r="BR236" s="2211"/>
      <c r="BS236" s="2211"/>
      <c r="BT236" s="2211"/>
      <c r="BU236" s="2211"/>
      <c r="BV236" s="2211"/>
      <c r="BW236" s="2211"/>
      <c r="BX236" s="2211"/>
      <c r="BY236" s="2211"/>
      <c r="BZ236" s="2211"/>
      <c r="CA236" s="2211"/>
      <c r="CB236" s="2211"/>
      <c r="CC236" s="2211"/>
      <c r="CD236" s="2211"/>
      <c r="CE236" s="2211"/>
      <c r="CF236" s="2211"/>
      <c r="CG236" s="2211"/>
      <c r="CH236" s="2211"/>
      <c r="CI236" s="2211"/>
      <c r="CJ236" s="2211"/>
      <c r="CK236" s="2211"/>
      <c r="CL236" s="2211"/>
      <c r="CM236" s="2211"/>
      <c r="CN236" s="2211"/>
      <c r="CO236" s="2211"/>
      <c r="CP236" s="2211"/>
      <c r="CQ236" s="2211"/>
      <c r="CR236" s="2211"/>
      <c r="CS236" s="2211"/>
      <c r="CT236" s="2211"/>
      <c r="CU236" s="2211"/>
      <c r="CV236" s="2211"/>
      <c r="CW236" s="2211"/>
      <c r="CX236" s="2211"/>
      <c r="CY236" s="2211"/>
      <c r="CZ236" s="2211"/>
      <c r="DA236" s="2211"/>
      <c r="DB236" s="2211"/>
      <c r="DC236" s="2211"/>
      <c r="DD236" s="2211"/>
      <c r="DE236" s="2211"/>
      <c r="DF236" s="2211"/>
      <c r="DG236" s="2211"/>
      <c r="DH236" s="2211"/>
      <c r="DI236" s="2211"/>
      <c r="DJ236" s="2211"/>
      <c r="DK236" s="2211"/>
      <c r="DL236" s="2211"/>
      <c r="DM236" s="2211"/>
      <c r="DN236" s="2211"/>
      <c r="DO236" s="2211"/>
      <c r="DP236" s="2211"/>
      <c r="DQ236" s="2211"/>
      <c r="DR236" s="2211"/>
      <c r="DS236" s="2211"/>
      <c r="DT236" s="2211"/>
      <c r="DU236" s="2211"/>
      <c r="DV236" s="2211"/>
      <c r="DW236" s="2211"/>
      <c r="DX236" s="2211"/>
      <c r="DY236" s="2211"/>
      <c r="DZ236" s="2211"/>
      <c r="EA236" s="2211"/>
      <c r="EB236" s="2211"/>
      <c r="EC236" s="2211"/>
      <c r="ED236" s="2211"/>
      <c r="EE236" s="2211"/>
      <c r="EF236" s="2211"/>
      <c r="EG236" s="2211"/>
      <c r="EH236" s="2211"/>
      <c r="EI236" s="2211"/>
      <c r="EJ236" s="2211"/>
      <c r="EK236" s="2211"/>
      <c r="EL236" s="2211"/>
      <c r="EM236" s="2211"/>
      <c r="EN236" s="2211"/>
      <c r="EO236" s="2211"/>
      <c r="EP236" s="2211"/>
      <c r="EQ236" s="2211"/>
      <c r="ER236" s="2211"/>
      <c r="ES236" s="2211"/>
      <c r="ET236" s="2211"/>
      <c r="EU236" s="2211"/>
      <c r="EV236" s="2211"/>
      <c r="EW236" s="2211"/>
      <c r="EX236" s="2211"/>
      <c r="EY236" s="2211"/>
      <c r="EZ236" s="2211"/>
      <c r="FA236" s="2211"/>
      <c r="FB236" s="2211"/>
      <c r="FC236" s="2211"/>
      <c r="FD236" s="2211"/>
      <c r="FE236" s="2211"/>
      <c r="FF236" s="2211"/>
      <c r="FG236" s="2211"/>
      <c r="FH236" s="2211"/>
      <c r="FI236" s="2211"/>
      <c r="FJ236" s="2211"/>
      <c r="FK236" s="2211"/>
      <c r="FL236" s="2211"/>
      <c r="FM236" s="2211"/>
      <c r="FN236" s="2211"/>
      <c r="FO236" s="2211"/>
      <c r="FP236" s="2211"/>
      <c r="FQ236" s="2211"/>
      <c r="FR236" s="2211"/>
      <c r="FS236" s="2211"/>
      <c r="FT236" s="2211"/>
      <c r="FU236" s="2211"/>
      <c r="FV236" s="2211"/>
      <c r="FW236" s="2203"/>
      <c r="FX236" s="2203"/>
      <c r="FY236" s="2034"/>
      <c r="FZ236" s="2034"/>
      <c r="GA236" s="2034"/>
      <c r="GB236" s="2204"/>
      <c r="GC236" s="2204"/>
      <c r="GD236" s="2204"/>
      <c r="GE236" s="2204"/>
      <c r="GF236" s="2204"/>
      <c r="GG236" s="2204"/>
      <c r="GH236" s="2204"/>
      <c r="GI236" s="2204"/>
      <c r="GJ236" s="2204"/>
      <c r="GK236" s="2204"/>
      <c r="GL236" s="2204"/>
      <c r="GM236" s="2204"/>
      <c r="GN236" s="2204"/>
      <c r="GO236" s="2204"/>
      <c r="GP236" s="2204"/>
      <c r="GQ236" s="2204"/>
      <c r="GR236" s="2204"/>
      <c r="GS236" s="2204"/>
      <c r="GT236" s="2204"/>
      <c r="GU236" s="2204"/>
      <c r="GV236" s="2204"/>
      <c r="GW236" s="2204"/>
      <c r="GX236" s="2204"/>
      <c r="GY236" s="2204"/>
      <c r="GZ236" s="2204"/>
      <c r="HA236" s="2204"/>
      <c r="HB236" s="2204"/>
      <c r="HC236" s="2204"/>
      <c r="HD236" s="2204"/>
      <c r="HE236" s="2204"/>
      <c r="HF236" s="2204"/>
      <c r="HG236" s="2204"/>
      <c r="HH236" s="2204"/>
      <c r="HI236" s="2204"/>
      <c r="HJ236" s="2204"/>
      <c r="HK236" s="2204"/>
      <c r="HL236" s="2204"/>
      <c r="HM236" s="2204"/>
      <c r="HN236" s="2204"/>
      <c r="HO236" s="2204"/>
      <c r="HP236" s="2204"/>
      <c r="HQ236" s="2204"/>
      <c r="HR236" s="2204"/>
      <c r="HS236" s="2204"/>
      <c r="HT236" s="2204"/>
      <c r="HU236" s="2204"/>
      <c r="HV236" s="2204"/>
      <c r="HW236" s="2204"/>
      <c r="HX236" s="2204"/>
      <c r="HY236" s="2204"/>
      <c r="HZ236" s="2204"/>
      <c r="IA236" s="2204"/>
      <c r="IB236" s="2204"/>
      <c r="IC236" s="2204"/>
      <c r="ID236" s="2204"/>
      <c r="IE236" s="2204"/>
      <c r="IF236" s="2204"/>
      <c r="IG236" s="2204"/>
      <c r="IH236" s="2204"/>
      <c r="II236" s="2204"/>
      <c r="IJ236" s="2204"/>
      <c r="IK236" s="2204"/>
      <c r="IL236" s="2204"/>
      <c r="IM236" s="2204"/>
      <c r="IN236" s="2204"/>
      <c r="IO236" s="2204"/>
      <c r="IP236" s="2204"/>
      <c r="IQ236" s="2204"/>
      <c r="IR236" s="2204"/>
      <c r="IS236" s="2204"/>
      <c r="IT236" s="2204"/>
      <c r="IU236" s="2204"/>
      <c r="IV236" s="2204"/>
      <c r="IW236" s="2204"/>
      <c r="IX236" s="2204"/>
      <c r="IY236" s="2204"/>
      <c r="IZ236" s="2204"/>
      <c r="JA236" s="2204"/>
      <c r="JB236" s="2204"/>
      <c r="JC236" s="2204"/>
      <c r="JD236" s="2204"/>
      <c r="JE236" s="2204"/>
      <c r="JF236" s="2205"/>
      <c r="JG236" s="2026"/>
      <c r="JK236" s="2526"/>
    </row>
    <row r="237" spans="2:271" s="2024" customFormat="1">
      <c r="B237" s="2189" t="s">
        <v>454</v>
      </c>
      <c r="C237" s="2203"/>
      <c r="D237" s="2191" t="s">
        <v>114</v>
      </c>
      <c r="E237" s="2206"/>
      <c r="F237" s="2190"/>
      <c r="G237" s="2237"/>
      <c r="H237" s="2190"/>
      <c r="I237" s="2237"/>
      <c r="J237" s="2190"/>
      <c r="K237" s="2238"/>
      <c r="L237" s="2206"/>
      <c r="M237" s="2207"/>
      <c r="N237" s="2207"/>
      <c r="O237" s="2207"/>
      <c r="P237" s="2207"/>
      <c r="Q237" s="2207"/>
      <c r="R237" s="2207"/>
      <c r="S237" s="2207"/>
      <c r="T237" s="2207"/>
      <c r="U237" s="2207"/>
      <c r="V237" s="2207"/>
      <c r="W237" s="2207"/>
      <c r="X237" s="2208"/>
      <c r="Y237" s="2208"/>
      <c r="Z237" s="2209"/>
      <c r="AA237" s="2209"/>
      <c r="AB237" s="2190"/>
      <c r="AC237" s="2190"/>
      <c r="AD237" s="2190"/>
      <c r="AE237" s="2190"/>
      <c r="AF237" s="2190"/>
      <c r="AG237" s="2190"/>
      <c r="AH237" s="2190"/>
      <c r="AI237" s="2190"/>
      <c r="AJ237" s="2190"/>
      <c r="AK237" s="2210"/>
      <c r="AL237" s="2190"/>
      <c r="AM237" s="2190"/>
      <c r="AN237" s="2190"/>
      <c r="AO237" s="2190"/>
      <c r="AP237" s="2190"/>
      <c r="AQ237" s="2190"/>
      <c r="AR237" s="2210"/>
      <c r="AS237" s="2210"/>
      <c r="AT237" s="2190"/>
      <c r="AU237" s="2190"/>
      <c r="AV237" s="2190"/>
      <c r="AW237" s="2190"/>
      <c r="AX237" s="2190"/>
      <c r="AY237" s="2190"/>
      <c r="AZ237" s="2190"/>
      <c r="BA237" s="2210"/>
      <c r="BB237" s="2210"/>
      <c r="BC237" s="2190"/>
      <c r="BD237" s="2190"/>
      <c r="BE237" s="2211"/>
      <c r="BF237" s="2210"/>
      <c r="BG237" s="2211"/>
      <c r="BH237" s="2211"/>
      <c r="BI237" s="2211"/>
      <c r="BJ237" s="2211"/>
      <c r="BK237" s="2211"/>
      <c r="BL237" s="2211"/>
      <c r="BM237" s="2211"/>
      <c r="BN237" s="2211"/>
      <c r="BO237" s="2211"/>
      <c r="BP237" s="2211"/>
      <c r="BQ237" s="2211"/>
      <c r="BR237" s="2211"/>
      <c r="BS237" s="2211"/>
      <c r="BT237" s="2211"/>
      <c r="BU237" s="2211"/>
      <c r="BV237" s="2211"/>
      <c r="BW237" s="2211"/>
      <c r="BX237" s="2211"/>
      <c r="BY237" s="2211"/>
      <c r="BZ237" s="2211"/>
      <c r="CA237" s="2211"/>
      <c r="CB237" s="2211"/>
      <c r="CC237" s="2211"/>
      <c r="CD237" s="2211"/>
      <c r="CE237" s="2211"/>
      <c r="CF237" s="2211"/>
      <c r="CG237" s="2211"/>
      <c r="CH237" s="2211"/>
      <c r="CI237" s="2211"/>
      <c r="CJ237" s="2211"/>
      <c r="CK237" s="2211"/>
      <c r="CL237" s="2211"/>
      <c r="CM237" s="2211"/>
      <c r="CN237" s="2211"/>
      <c r="CO237" s="2211"/>
      <c r="CP237" s="2211"/>
      <c r="CQ237" s="2211"/>
      <c r="CR237" s="2211"/>
      <c r="CS237" s="2211"/>
      <c r="CT237" s="2211"/>
      <c r="CU237" s="2211"/>
      <c r="CV237" s="2211"/>
      <c r="CW237" s="2211"/>
      <c r="CX237" s="2211"/>
      <c r="CY237" s="2211"/>
      <c r="CZ237" s="2211"/>
      <c r="DA237" s="2211"/>
      <c r="DB237" s="2211"/>
      <c r="DC237" s="2211"/>
      <c r="DD237" s="2211"/>
      <c r="DE237" s="2211"/>
      <c r="DF237" s="2211"/>
      <c r="DG237" s="2211"/>
      <c r="DH237" s="2211"/>
      <c r="DI237" s="2211"/>
      <c r="DJ237" s="2211"/>
      <c r="DK237" s="2211"/>
      <c r="DL237" s="2211"/>
      <c r="DM237" s="2211"/>
      <c r="DN237" s="2211"/>
      <c r="DO237" s="2211"/>
      <c r="DP237" s="2211"/>
      <c r="DQ237" s="2211"/>
      <c r="DR237" s="2211"/>
      <c r="DS237" s="2211"/>
      <c r="DT237" s="2211"/>
      <c r="DU237" s="2211"/>
      <c r="DV237" s="2211"/>
      <c r="DW237" s="2211"/>
      <c r="DX237" s="2211"/>
      <c r="DY237" s="2211"/>
      <c r="DZ237" s="2211"/>
      <c r="EA237" s="2211"/>
      <c r="EB237" s="2211"/>
      <c r="EC237" s="2211"/>
      <c r="ED237" s="2211"/>
      <c r="EE237" s="2211"/>
      <c r="EF237" s="2211"/>
      <c r="EG237" s="2211"/>
      <c r="EH237" s="2211"/>
      <c r="EI237" s="2211"/>
      <c r="EJ237" s="2211"/>
      <c r="EK237" s="2211"/>
      <c r="EL237" s="2211"/>
      <c r="EM237" s="2211"/>
      <c r="EN237" s="2211"/>
      <c r="EO237" s="2211"/>
      <c r="EP237" s="2211"/>
      <c r="EQ237" s="2211"/>
      <c r="ER237" s="2211"/>
      <c r="ES237" s="2211"/>
      <c r="ET237" s="2211"/>
      <c r="EU237" s="2211"/>
      <c r="EV237" s="2211"/>
      <c r="EW237" s="2211"/>
      <c r="EX237" s="2211"/>
      <c r="EY237" s="2211"/>
      <c r="EZ237" s="2211"/>
      <c r="FA237" s="2211"/>
      <c r="FB237" s="2211"/>
      <c r="FC237" s="2211"/>
      <c r="FD237" s="2211"/>
      <c r="FE237" s="2211"/>
      <c r="FF237" s="2211"/>
      <c r="FG237" s="2211"/>
      <c r="FH237" s="2211"/>
      <c r="FI237" s="2211"/>
      <c r="FJ237" s="2211"/>
      <c r="FK237" s="2211"/>
      <c r="FL237" s="2211"/>
      <c r="FM237" s="2211"/>
      <c r="FN237" s="2211"/>
      <c r="FO237" s="2211"/>
      <c r="FP237" s="2211"/>
      <c r="FQ237" s="2211"/>
      <c r="FR237" s="2211"/>
      <c r="FS237" s="2211"/>
      <c r="FT237" s="2211"/>
      <c r="FU237" s="2211"/>
      <c r="FV237" s="2211"/>
      <c r="FW237" s="2203"/>
      <c r="FX237" s="2203"/>
      <c r="FY237" s="2034"/>
      <c r="FZ237" s="2034"/>
      <c r="GA237" s="2034"/>
      <c r="GB237" s="2204"/>
      <c r="GC237" s="2204"/>
      <c r="GD237" s="2204"/>
      <c r="GE237" s="2204"/>
      <c r="GF237" s="2204"/>
      <c r="GG237" s="2204"/>
      <c r="GH237" s="2204"/>
      <c r="GI237" s="2204"/>
      <c r="GJ237" s="2204"/>
      <c r="GK237" s="2204"/>
      <c r="GL237" s="2204"/>
      <c r="GM237" s="2204"/>
      <c r="GN237" s="2204"/>
      <c r="GO237" s="2204"/>
      <c r="GP237" s="2204"/>
      <c r="GQ237" s="2204"/>
      <c r="GR237" s="2204"/>
      <c r="GS237" s="2204"/>
      <c r="GT237" s="2204"/>
      <c r="GU237" s="2204"/>
      <c r="GV237" s="2204"/>
      <c r="GW237" s="2204"/>
      <c r="GX237" s="2204"/>
      <c r="GY237" s="2204"/>
      <c r="GZ237" s="2204"/>
      <c r="HA237" s="2204"/>
      <c r="HB237" s="2204"/>
      <c r="HC237" s="2204"/>
      <c r="HD237" s="2204"/>
      <c r="HE237" s="2204"/>
      <c r="HF237" s="2204"/>
      <c r="HG237" s="2204"/>
      <c r="HH237" s="2204"/>
      <c r="HI237" s="2204"/>
      <c r="HJ237" s="2204"/>
      <c r="HK237" s="2204"/>
      <c r="HL237" s="2204"/>
      <c r="HM237" s="2204"/>
      <c r="HN237" s="2204"/>
      <c r="HO237" s="2204"/>
      <c r="HP237" s="2204"/>
      <c r="HQ237" s="2204"/>
      <c r="HR237" s="2204"/>
      <c r="HS237" s="2204"/>
      <c r="HT237" s="2204"/>
      <c r="HU237" s="2204"/>
      <c r="HV237" s="2204"/>
      <c r="HW237" s="2204"/>
      <c r="HX237" s="2204"/>
      <c r="HY237" s="2204"/>
      <c r="HZ237" s="2204"/>
      <c r="IA237" s="2204"/>
      <c r="IB237" s="2204"/>
      <c r="IC237" s="2204"/>
      <c r="ID237" s="2204"/>
      <c r="IE237" s="2204"/>
      <c r="IF237" s="2204"/>
      <c r="IG237" s="2204"/>
      <c r="IH237" s="2204"/>
      <c r="II237" s="2204"/>
      <c r="IJ237" s="2204"/>
      <c r="IK237" s="2204"/>
      <c r="IL237" s="2204"/>
      <c r="IM237" s="2204"/>
      <c r="IN237" s="2204"/>
      <c r="IO237" s="2204"/>
      <c r="IP237" s="2204"/>
      <c r="IQ237" s="2204"/>
      <c r="IR237" s="2204"/>
      <c r="IS237" s="2204"/>
      <c r="IT237" s="2204"/>
      <c r="IU237" s="2204"/>
      <c r="IV237" s="2204"/>
      <c r="IW237" s="2204"/>
      <c r="IX237" s="2204"/>
      <c r="IY237" s="2204"/>
      <c r="IZ237" s="2204"/>
      <c r="JA237" s="2204"/>
      <c r="JB237" s="2204"/>
      <c r="JC237" s="2204"/>
      <c r="JD237" s="2204"/>
      <c r="JE237" s="2204"/>
      <c r="JF237" s="2205"/>
      <c r="JG237" s="2026"/>
      <c r="JK237" s="2526"/>
    </row>
    <row r="238" spans="2:271" s="2024" customFormat="1">
      <c r="B238" s="2189">
        <v>25</v>
      </c>
      <c r="C238" s="2203"/>
      <c r="D238" s="2191" t="s">
        <v>571</v>
      </c>
      <c r="E238" s="2206"/>
      <c r="F238" s="2190"/>
      <c r="G238" s="2237"/>
      <c r="H238" s="2190"/>
      <c r="I238" s="2237"/>
      <c r="J238" s="2190"/>
      <c r="K238" s="2238"/>
      <c r="L238" s="2206"/>
      <c r="M238" s="2207"/>
      <c r="N238" s="2207"/>
      <c r="O238" s="2207"/>
      <c r="P238" s="2207"/>
      <c r="Q238" s="2207"/>
      <c r="R238" s="2207"/>
      <c r="S238" s="2207"/>
      <c r="T238" s="2207"/>
      <c r="U238" s="2207"/>
      <c r="V238" s="2207"/>
      <c r="W238" s="2207"/>
      <c r="X238" s="2208"/>
      <c r="Y238" s="2208"/>
      <c r="Z238" s="2209"/>
      <c r="AA238" s="2209"/>
      <c r="AB238" s="2190"/>
      <c r="AC238" s="2190"/>
      <c r="AD238" s="2190"/>
      <c r="AE238" s="2190"/>
      <c r="AF238" s="2190"/>
      <c r="AG238" s="2190"/>
      <c r="AH238" s="2190"/>
      <c r="AI238" s="2190"/>
      <c r="AJ238" s="2190"/>
      <c r="AK238" s="2210"/>
      <c r="AL238" s="2190"/>
      <c r="AM238" s="2190"/>
      <c r="AN238" s="2190"/>
      <c r="AO238" s="2190"/>
      <c r="AP238" s="2190"/>
      <c r="AQ238" s="2190"/>
      <c r="AR238" s="2210"/>
      <c r="AS238" s="2210"/>
      <c r="AT238" s="2190"/>
      <c r="AU238" s="2190"/>
      <c r="AV238" s="2190"/>
      <c r="AW238" s="2190"/>
      <c r="AX238" s="2190"/>
      <c r="AY238" s="2190"/>
      <c r="AZ238" s="2190"/>
      <c r="BA238" s="2210"/>
      <c r="BB238" s="2210"/>
      <c r="BC238" s="2190"/>
      <c r="BD238" s="2190"/>
      <c r="BE238" s="2211"/>
      <c r="BF238" s="2210"/>
      <c r="BG238" s="2211"/>
      <c r="BH238" s="2211"/>
      <c r="BI238" s="2211"/>
      <c r="BJ238" s="2211"/>
      <c r="BK238" s="2211"/>
      <c r="BL238" s="2211"/>
      <c r="BM238" s="2211"/>
      <c r="BN238" s="2211"/>
      <c r="BO238" s="2211"/>
      <c r="BP238" s="2211"/>
      <c r="BQ238" s="2211"/>
      <c r="BR238" s="2211"/>
      <c r="BS238" s="2211"/>
      <c r="BT238" s="2211"/>
      <c r="BU238" s="2211"/>
      <c r="BV238" s="2211"/>
      <c r="BW238" s="2211"/>
      <c r="BX238" s="2211"/>
      <c r="BY238" s="2211"/>
      <c r="BZ238" s="2211"/>
      <c r="CA238" s="2211"/>
      <c r="CB238" s="2211"/>
      <c r="CC238" s="2211"/>
      <c r="CD238" s="2211"/>
      <c r="CE238" s="2211"/>
      <c r="CF238" s="2211"/>
      <c r="CG238" s="2211"/>
      <c r="CH238" s="2211"/>
      <c r="CI238" s="2211"/>
      <c r="CJ238" s="2211"/>
      <c r="CK238" s="2211"/>
      <c r="CL238" s="2211"/>
      <c r="CM238" s="2211"/>
      <c r="CN238" s="2211"/>
      <c r="CO238" s="2211"/>
      <c r="CP238" s="2211"/>
      <c r="CQ238" s="2211"/>
      <c r="CR238" s="2211"/>
      <c r="CS238" s="2211"/>
      <c r="CT238" s="2211"/>
      <c r="CU238" s="2211"/>
      <c r="CV238" s="2211"/>
      <c r="CW238" s="2211"/>
      <c r="CX238" s="2211"/>
      <c r="CY238" s="2211"/>
      <c r="CZ238" s="2211"/>
      <c r="DA238" s="2211"/>
      <c r="DB238" s="2211"/>
      <c r="DC238" s="2211"/>
      <c r="DD238" s="2211"/>
      <c r="DE238" s="2211"/>
      <c r="DF238" s="2211"/>
      <c r="DG238" s="2211"/>
      <c r="DH238" s="2211"/>
      <c r="DI238" s="2211"/>
      <c r="DJ238" s="2211"/>
      <c r="DK238" s="2211"/>
      <c r="DL238" s="2211"/>
      <c r="DM238" s="2211"/>
      <c r="DN238" s="2211"/>
      <c r="DO238" s="2211"/>
      <c r="DP238" s="2211"/>
      <c r="DQ238" s="2211"/>
      <c r="DR238" s="2211"/>
      <c r="DS238" s="2211"/>
      <c r="DT238" s="2211"/>
      <c r="DU238" s="2211"/>
      <c r="DV238" s="2211"/>
      <c r="DW238" s="2211"/>
      <c r="DX238" s="2211"/>
      <c r="DY238" s="2211"/>
      <c r="DZ238" s="2211"/>
      <c r="EA238" s="2211"/>
      <c r="EB238" s="2211"/>
      <c r="EC238" s="2211"/>
      <c r="ED238" s="2211"/>
      <c r="EE238" s="2211"/>
      <c r="EF238" s="2211"/>
      <c r="EG238" s="2211"/>
      <c r="EH238" s="2211"/>
      <c r="EI238" s="2211"/>
      <c r="EJ238" s="2211"/>
      <c r="EK238" s="2211"/>
      <c r="EL238" s="2211"/>
      <c r="EM238" s="2211"/>
      <c r="EN238" s="2211"/>
      <c r="EO238" s="2211"/>
      <c r="EP238" s="2211"/>
      <c r="EQ238" s="2211"/>
      <c r="ER238" s="2211"/>
      <c r="ES238" s="2211"/>
      <c r="ET238" s="2211"/>
      <c r="EU238" s="2211"/>
      <c r="EV238" s="2211"/>
      <c r="EW238" s="2211"/>
      <c r="EX238" s="2211"/>
      <c r="EY238" s="2211"/>
      <c r="EZ238" s="2211"/>
      <c r="FA238" s="2211"/>
      <c r="FB238" s="2211"/>
      <c r="FC238" s="2211"/>
      <c r="FD238" s="2211"/>
      <c r="FE238" s="2211"/>
      <c r="FF238" s="2211"/>
      <c r="FG238" s="2211"/>
      <c r="FH238" s="2211"/>
      <c r="FI238" s="2211"/>
      <c r="FJ238" s="2211"/>
      <c r="FK238" s="2211"/>
      <c r="FL238" s="2211"/>
      <c r="FM238" s="2211"/>
      <c r="FN238" s="2211"/>
      <c r="FO238" s="2211"/>
      <c r="FP238" s="2211"/>
      <c r="FQ238" s="2211"/>
      <c r="FR238" s="2211"/>
      <c r="FS238" s="2211"/>
      <c r="FT238" s="2211"/>
      <c r="FU238" s="2211"/>
      <c r="FV238" s="2211"/>
      <c r="FW238" s="2203"/>
      <c r="FX238" s="2203"/>
      <c r="FY238" s="2034"/>
      <c r="FZ238" s="2034"/>
      <c r="GA238" s="2034"/>
      <c r="GB238" s="2204"/>
      <c r="GC238" s="2204"/>
      <c r="GD238" s="2204"/>
      <c r="GE238" s="2204"/>
      <c r="GF238" s="2204"/>
      <c r="GG238" s="2204"/>
      <c r="GH238" s="2204"/>
      <c r="GI238" s="2204"/>
      <c r="GJ238" s="2204"/>
      <c r="GK238" s="2204"/>
      <c r="GL238" s="2204"/>
      <c r="GM238" s="2204"/>
      <c r="GN238" s="2204"/>
      <c r="GO238" s="2204"/>
      <c r="GP238" s="2204"/>
      <c r="GQ238" s="2204"/>
      <c r="GR238" s="2204"/>
      <c r="GS238" s="2204"/>
      <c r="GT238" s="2204"/>
      <c r="GU238" s="2204"/>
      <c r="GV238" s="2204"/>
      <c r="GW238" s="2204"/>
      <c r="GX238" s="2204"/>
      <c r="GY238" s="2204"/>
      <c r="GZ238" s="2204"/>
      <c r="HA238" s="2204"/>
      <c r="HB238" s="2204"/>
      <c r="HC238" s="2204"/>
      <c r="HD238" s="2204"/>
      <c r="HE238" s="2204"/>
      <c r="HF238" s="2204"/>
      <c r="HG238" s="2204"/>
      <c r="HH238" s="2204"/>
      <c r="HI238" s="2204"/>
      <c r="HJ238" s="2204"/>
      <c r="HK238" s="2204"/>
      <c r="HL238" s="2204"/>
      <c r="HM238" s="2204"/>
      <c r="HN238" s="2204"/>
      <c r="HO238" s="2204"/>
      <c r="HP238" s="2204"/>
      <c r="HQ238" s="2204"/>
      <c r="HR238" s="2204"/>
      <c r="HS238" s="2204"/>
      <c r="HT238" s="2204"/>
      <c r="HU238" s="2204"/>
      <c r="HV238" s="2204"/>
      <c r="HW238" s="2204"/>
      <c r="HX238" s="2204"/>
      <c r="HY238" s="2204"/>
      <c r="HZ238" s="2204"/>
      <c r="IA238" s="2204"/>
      <c r="IB238" s="2204"/>
      <c r="IC238" s="2204"/>
      <c r="ID238" s="2204"/>
      <c r="IE238" s="2204"/>
      <c r="IF238" s="2204"/>
      <c r="IG238" s="2204"/>
      <c r="IH238" s="2204"/>
      <c r="II238" s="2204"/>
      <c r="IJ238" s="2204"/>
      <c r="IK238" s="2204"/>
      <c r="IL238" s="2204"/>
      <c r="IM238" s="2204"/>
      <c r="IN238" s="2204"/>
      <c r="IO238" s="2204"/>
      <c r="IP238" s="2204"/>
      <c r="IQ238" s="2204"/>
      <c r="IR238" s="2204"/>
      <c r="IS238" s="2204"/>
      <c r="IT238" s="2204"/>
      <c r="IU238" s="2204"/>
      <c r="IV238" s="2204"/>
      <c r="IW238" s="2204"/>
      <c r="IX238" s="2204"/>
      <c r="IY238" s="2204"/>
      <c r="IZ238" s="2204"/>
      <c r="JA238" s="2204"/>
      <c r="JB238" s="2204"/>
      <c r="JC238" s="2204"/>
      <c r="JD238" s="2204"/>
      <c r="JE238" s="2204"/>
      <c r="JF238" s="2205"/>
      <c r="JG238" s="2026"/>
      <c r="JK238" s="2526"/>
    </row>
    <row r="239" spans="2:271" s="2024" customFormat="1">
      <c r="B239" s="2189">
        <v>26</v>
      </c>
      <c r="C239" s="2203"/>
      <c r="D239" s="2191" t="s">
        <v>574</v>
      </c>
      <c r="E239" s="2206"/>
      <c r="F239" s="2190"/>
      <c r="G239" s="2237"/>
      <c r="H239" s="2190"/>
      <c r="I239" s="2237"/>
      <c r="J239" s="2190"/>
      <c r="K239" s="2238"/>
      <c r="L239" s="2206"/>
      <c r="M239" s="2207"/>
      <c r="N239" s="2207"/>
      <c r="O239" s="2207"/>
      <c r="P239" s="2207"/>
      <c r="Q239" s="2207"/>
      <c r="R239" s="2207"/>
      <c r="S239" s="2207"/>
      <c r="T239" s="2207"/>
      <c r="U239" s="2207"/>
      <c r="V239" s="2207"/>
      <c r="W239" s="2207"/>
      <c r="X239" s="2208"/>
      <c r="Y239" s="2208"/>
      <c r="Z239" s="2209"/>
      <c r="AA239" s="2209"/>
      <c r="AB239" s="2190"/>
      <c r="AC239" s="2190"/>
      <c r="AD239" s="2190"/>
      <c r="AE239" s="2190"/>
      <c r="AF239" s="2190"/>
      <c r="AG239" s="2190"/>
      <c r="AH239" s="2190"/>
      <c r="AI239" s="2190"/>
      <c r="AJ239" s="2190"/>
      <c r="AK239" s="2210"/>
      <c r="AL239" s="2190"/>
      <c r="AM239" s="2190"/>
      <c r="AN239" s="2190"/>
      <c r="AO239" s="2190"/>
      <c r="AP239" s="2190"/>
      <c r="AQ239" s="2190"/>
      <c r="AR239" s="2210"/>
      <c r="AS239" s="2210"/>
      <c r="AT239" s="2190"/>
      <c r="AU239" s="2190"/>
      <c r="AV239" s="2190"/>
      <c r="AW239" s="2190"/>
      <c r="AX239" s="2190"/>
      <c r="AY239" s="2190"/>
      <c r="AZ239" s="2190"/>
      <c r="BA239" s="2210"/>
      <c r="BB239" s="2210"/>
      <c r="BC239" s="2190"/>
      <c r="BD239" s="2190"/>
      <c r="BE239" s="2211"/>
      <c r="BF239" s="2210"/>
      <c r="BG239" s="2211"/>
      <c r="BH239" s="2211"/>
      <c r="BI239" s="2211"/>
      <c r="BJ239" s="2211"/>
      <c r="BK239" s="2211"/>
      <c r="BL239" s="2211"/>
      <c r="BM239" s="2211"/>
      <c r="BN239" s="2211"/>
      <c r="BO239" s="2211"/>
      <c r="BP239" s="2211"/>
      <c r="BQ239" s="2211"/>
      <c r="BR239" s="2211"/>
      <c r="BS239" s="2211"/>
      <c r="BT239" s="2211"/>
      <c r="BU239" s="2211"/>
      <c r="BV239" s="2211"/>
      <c r="BW239" s="2211"/>
      <c r="BX239" s="2211"/>
      <c r="BY239" s="2211"/>
      <c r="BZ239" s="2211"/>
      <c r="CA239" s="2211"/>
      <c r="CB239" s="2211"/>
      <c r="CC239" s="2211"/>
      <c r="CD239" s="2211"/>
      <c r="CE239" s="2211"/>
      <c r="CF239" s="2211"/>
      <c r="CG239" s="2211"/>
      <c r="CH239" s="2211"/>
      <c r="CI239" s="2211"/>
      <c r="CJ239" s="2211"/>
      <c r="CK239" s="2211"/>
      <c r="CL239" s="2211"/>
      <c r="CM239" s="2211"/>
      <c r="CN239" s="2211"/>
      <c r="CO239" s="2211"/>
      <c r="CP239" s="2211"/>
      <c r="CQ239" s="2211"/>
      <c r="CR239" s="2211"/>
      <c r="CS239" s="2211"/>
      <c r="CT239" s="2211"/>
      <c r="CU239" s="2211"/>
      <c r="CV239" s="2211"/>
      <c r="CW239" s="2211"/>
      <c r="CX239" s="2211"/>
      <c r="CY239" s="2211"/>
      <c r="CZ239" s="2211"/>
      <c r="DA239" s="2211"/>
      <c r="DB239" s="2211"/>
      <c r="DC239" s="2211"/>
      <c r="DD239" s="2211"/>
      <c r="DE239" s="2211"/>
      <c r="DF239" s="2211"/>
      <c r="DG239" s="2211"/>
      <c r="DH239" s="2211"/>
      <c r="DI239" s="2211"/>
      <c r="DJ239" s="2211"/>
      <c r="DK239" s="2211"/>
      <c r="DL239" s="2211"/>
      <c r="DM239" s="2211"/>
      <c r="DN239" s="2211"/>
      <c r="DO239" s="2211"/>
      <c r="DP239" s="2211"/>
      <c r="DQ239" s="2211"/>
      <c r="DR239" s="2211"/>
      <c r="DS239" s="2211"/>
      <c r="DT239" s="2211"/>
      <c r="DU239" s="2211"/>
      <c r="DV239" s="2211"/>
      <c r="DW239" s="2211"/>
      <c r="DX239" s="2211"/>
      <c r="DY239" s="2211"/>
      <c r="DZ239" s="2211"/>
      <c r="EA239" s="2211"/>
      <c r="EB239" s="2211"/>
      <c r="EC239" s="2211"/>
      <c r="ED239" s="2211"/>
      <c r="EE239" s="2211"/>
      <c r="EF239" s="2211"/>
      <c r="EG239" s="2211"/>
      <c r="EH239" s="2211"/>
      <c r="EI239" s="2211"/>
      <c r="EJ239" s="2211"/>
      <c r="EK239" s="2211"/>
      <c r="EL239" s="2211"/>
      <c r="EM239" s="2211"/>
      <c r="EN239" s="2211"/>
      <c r="EO239" s="2211"/>
      <c r="EP239" s="2211"/>
      <c r="EQ239" s="2211"/>
      <c r="ER239" s="2211"/>
      <c r="ES239" s="2211"/>
      <c r="ET239" s="2211"/>
      <c r="EU239" s="2211"/>
      <c r="EV239" s="2211"/>
      <c r="EW239" s="2211"/>
      <c r="EX239" s="2211"/>
      <c r="EY239" s="2211"/>
      <c r="EZ239" s="2211"/>
      <c r="FA239" s="2211"/>
      <c r="FB239" s="2211"/>
      <c r="FC239" s="2211"/>
      <c r="FD239" s="2211"/>
      <c r="FE239" s="2211"/>
      <c r="FF239" s="2211"/>
      <c r="FG239" s="2211"/>
      <c r="FH239" s="2211"/>
      <c r="FI239" s="2211"/>
      <c r="FJ239" s="2211"/>
      <c r="FK239" s="2211"/>
      <c r="FL239" s="2211"/>
      <c r="FM239" s="2211"/>
      <c r="FN239" s="2211"/>
      <c r="FO239" s="2211"/>
      <c r="FP239" s="2211"/>
      <c r="FQ239" s="2211"/>
      <c r="FR239" s="2211"/>
      <c r="FS239" s="2211"/>
      <c r="FT239" s="2211"/>
      <c r="FU239" s="2211"/>
      <c r="FV239" s="2211"/>
      <c r="FW239" s="2203"/>
      <c r="FX239" s="2203"/>
      <c r="FY239" s="2034"/>
      <c r="FZ239" s="2034"/>
      <c r="GA239" s="2034"/>
      <c r="GB239" s="2204"/>
      <c r="GC239" s="2204"/>
      <c r="GD239" s="2204"/>
      <c r="GE239" s="2204"/>
      <c r="GF239" s="2204"/>
      <c r="GG239" s="2204"/>
      <c r="GH239" s="2204"/>
      <c r="GI239" s="2204"/>
      <c r="GJ239" s="2204"/>
      <c r="GK239" s="2204"/>
      <c r="GL239" s="2204"/>
      <c r="GM239" s="2204"/>
      <c r="GN239" s="2204"/>
      <c r="GO239" s="2204"/>
      <c r="GP239" s="2204"/>
      <c r="GQ239" s="2204"/>
      <c r="GR239" s="2204"/>
      <c r="GS239" s="2204"/>
      <c r="GT239" s="2204"/>
      <c r="GU239" s="2204"/>
      <c r="GV239" s="2204"/>
      <c r="GW239" s="2204"/>
      <c r="GX239" s="2204"/>
      <c r="GY239" s="2204"/>
      <c r="GZ239" s="2204"/>
      <c r="HA239" s="2204"/>
      <c r="HB239" s="2204"/>
      <c r="HC239" s="2204"/>
      <c r="HD239" s="2204"/>
      <c r="HE239" s="2204"/>
      <c r="HF239" s="2204"/>
      <c r="HG239" s="2204"/>
      <c r="HH239" s="2204"/>
      <c r="HI239" s="2204"/>
      <c r="HJ239" s="2204"/>
      <c r="HK239" s="2204"/>
      <c r="HL239" s="2204"/>
      <c r="HM239" s="2204"/>
      <c r="HN239" s="2204"/>
      <c r="HO239" s="2204"/>
      <c r="HP239" s="2204"/>
      <c r="HQ239" s="2204"/>
      <c r="HR239" s="2204"/>
      <c r="HS239" s="2204"/>
      <c r="HT239" s="2204"/>
      <c r="HU239" s="2204"/>
      <c r="HV239" s="2204"/>
      <c r="HW239" s="2204"/>
      <c r="HX239" s="2204"/>
      <c r="HY239" s="2204"/>
      <c r="HZ239" s="2204"/>
      <c r="IA239" s="2204"/>
      <c r="IB239" s="2204"/>
      <c r="IC239" s="2204"/>
      <c r="ID239" s="2204"/>
      <c r="IE239" s="2204"/>
      <c r="IF239" s="2204"/>
      <c r="IG239" s="2204"/>
      <c r="IH239" s="2204"/>
      <c r="II239" s="2204"/>
      <c r="IJ239" s="2204"/>
      <c r="IK239" s="2204"/>
      <c r="IL239" s="2204"/>
      <c r="IM239" s="2204"/>
      <c r="IN239" s="2204"/>
      <c r="IO239" s="2204"/>
      <c r="IP239" s="2204"/>
      <c r="IQ239" s="2204"/>
      <c r="IR239" s="2204"/>
      <c r="IS239" s="2204"/>
      <c r="IT239" s="2204"/>
      <c r="IU239" s="2204"/>
      <c r="IV239" s="2204"/>
      <c r="IW239" s="2204"/>
      <c r="IX239" s="2204"/>
      <c r="IY239" s="2204"/>
      <c r="IZ239" s="2204"/>
      <c r="JA239" s="2204"/>
      <c r="JB239" s="2204"/>
      <c r="JC239" s="2204"/>
      <c r="JD239" s="2204"/>
      <c r="JE239" s="2204"/>
      <c r="JF239" s="2205"/>
      <c r="JG239" s="2026"/>
      <c r="JK239" s="2526"/>
    </row>
    <row r="240" spans="2:271" s="2024" customFormat="1">
      <c r="B240" s="2189">
        <v>27</v>
      </c>
      <c r="C240" s="2203"/>
      <c r="D240" s="2191" t="s">
        <v>575</v>
      </c>
      <c r="E240" s="2206"/>
      <c r="F240" s="2190"/>
      <c r="G240" s="2237"/>
      <c r="H240" s="2190"/>
      <c r="I240" s="2237"/>
      <c r="J240" s="2190"/>
      <c r="K240" s="2238"/>
      <c r="L240" s="2206"/>
      <c r="M240" s="2207"/>
      <c r="N240" s="2207"/>
      <c r="O240" s="2207"/>
      <c r="P240" s="2207"/>
      <c r="Q240" s="2207"/>
      <c r="R240" s="2207"/>
      <c r="S240" s="2207"/>
      <c r="T240" s="2207"/>
      <c r="U240" s="2207"/>
      <c r="V240" s="2207"/>
      <c r="W240" s="2207"/>
      <c r="X240" s="2208"/>
      <c r="Y240" s="2208"/>
      <c r="Z240" s="2209"/>
      <c r="AA240" s="2209"/>
      <c r="AB240" s="2190"/>
      <c r="AC240" s="2190"/>
      <c r="AD240" s="2190"/>
      <c r="AE240" s="2190"/>
      <c r="AF240" s="2190"/>
      <c r="AG240" s="2190"/>
      <c r="AH240" s="2190"/>
      <c r="AI240" s="2190"/>
      <c r="AJ240" s="2190"/>
      <c r="AK240" s="2210"/>
      <c r="AL240" s="2190"/>
      <c r="AM240" s="2190"/>
      <c r="AN240" s="2190"/>
      <c r="AO240" s="2190"/>
      <c r="AP240" s="2190"/>
      <c r="AQ240" s="2190"/>
      <c r="AR240" s="2210"/>
      <c r="AS240" s="2210"/>
      <c r="AT240" s="2190"/>
      <c r="AU240" s="2190"/>
      <c r="AV240" s="2190"/>
      <c r="AW240" s="2190"/>
      <c r="AX240" s="2190"/>
      <c r="AY240" s="2190"/>
      <c r="AZ240" s="2190"/>
      <c r="BA240" s="2210"/>
      <c r="BB240" s="2210"/>
      <c r="BC240" s="2190"/>
      <c r="BD240" s="2190"/>
      <c r="BE240" s="2211"/>
      <c r="BF240" s="2210"/>
      <c r="BG240" s="2211"/>
      <c r="BH240" s="2211"/>
      <c r="BI240" s="2211"/>
      <c r="BJ240" s="2211"/>
      <c r="BK240" s="2211"/>
      <c r="BL240" s="2211"/>
      <c r="BM240" s="2211"/>
      <c r="BN240" s="2211"/>
      <c r="BO240" s="2211"/>
      <c r="BP240" s="2211"/>
      <c r="BQ240" s="2211"/>
      <c r="BR240" s="2211"/>
      <c r="BS240" s="2211"/>
      <c r="BT240" s="2211"/>
      <c r="BU240" s="2211"/>
      <c r="BV240" s="2211"/>
      <c r="BW240" s="2211"/>
      <c r="BX240" s="2211"/>
      <c r="BY240" s="2211"/>
      <c r="BZ240" s="2211"/>
      <c r="CA240" s="2211"/>
      <c r="CB240" s="2211"/>
      <c r="CC240" s="2211"/>
      <c r="CD240" s="2211"/>
      <c r="CE240" s="2211"/>
      <c r="CF240" s="2211"/>
      <c r="CG240" s="2211"/>
      <c r="CH240" s="2211"/>
      <c r="CI240" s="2211"/>
      <c r="CJ240" s="2211"/>
      <c r="CK240" s="2211"/>
      <c r="CL240" s="2211"/>
      <c r="CM240" s="2211"/>
      <c r="CN240" s="2211"/>
      <c r="CO240" s="2211"/>
      <c r="CP240" s="2211"/>
      <c r="CQ240" s="2211"/>
      <c r="CR240" s="2211"/>
      <c r="CS240" s="2211"/>
      <c r="CT240" s="2211"/>
      <c r="CU240" s="2211"/>
      <c r="CV240" s="2211"/>
      <c r="CW240" s="2211"/>
      <c r="CX240" s="2211"/>
      <c r="CY240" s="2211"/>
      <c r="CZ240" s="2211"/>
      <c r="DA240" s="2211"/>
      <c r="DB240" s="2211"/>
      <c r="DC240" s="2211"/>
      <c r="DD240" s="2211"/>
      <c r="DE240" s="2211"/>
      <c r="DF240" s="2211"/>
      <c r="DG240" s="2211"/>
      <c r="DH240" s="2211"/>
      <c r="DI240" s="2211"/>
      <c r="DJ240" s="2211"/>
      <c r="DK240" s="2211"/>
      <c r="DL240" s="2211"/>
      <c r="DM240" s="2211"/>
      <c r="DN240" s="2211"/>
      <c r="DO240" s="2211"/>
      <c r="DP240" s="2211"/>
      <c r="DQ240" s="2211"/>
      <c r="DR240" s="2211"/>
      <c r="DS240" s="2211"/>
      <c r="DT240" s="2211"/>
      <c r="DU240" s="2211"/>
      <c r="DV240" s="2211"/>
      <c r="DW240" s="2211"/>
      <c r="DX240" s="2211"/>
      <c r="DY240" s="2211"/>
      <c r="DZ240" s="2211"/>
      <c r="EA240" s="2211"/>
      <c r="EB240" s="2211"/>
      <c r="EC240" s="2211"/>
      <c r="ED240" s="2211"/>
      <c r="EE240" s="2211"/>
      <c r="EF240" s="2211"/>
      <c r="EG240" s="2211"/>
      <c r="EH240" s="2211"/>
      <c r="EI240" s="2211"/>
      <c r="EJ240" s="2211"/>
      <c r="EK240" s="2211"/>
      <c r="EL240" s="2211"/>
      <c r="EM240" s="2211"/>
      <c r="EN240" s="2211"/>
      <c r="EO240" s="2211"/>
      <c r="EP240" s="2211"/>
      <c r="EQ240" s="2211"/>
      <c r="ER240" s="2211"/>
      <c r="ES240" s="2211"/>
      <c r="ET240" s="2211"/>
      <c r="EU240" s="2211"/>
      <c r="EV240" s="2211"/>
      <c r="EW240" s="2211"/>
      <c r="EX240" s="2211"/>
      <c r="EY240" s="2211"/>
      <c r="EZ240" s="2211"/>
      <c r="FA240" s="2211"/>
      <c r="FB240" s="2211"/>
      <c r="FC240" s="2211"/>
      <c r="FD240" s="2211"/>
      <c r="FE240" s="2211"/>
      <c r="FF240" s="2211"/>
      <c r="FG240" s="2211"/>
      <c r="FH240" s="2211"/>
      <c r="FI240" s="2211"/>
      <c r="FJ240" s="2211"/>
      <c r="FK240" s="2211"/>
      <c r="FL240" s="2211"/>
      <c r="FM240" s="2211"/>
      <c r="FN240" s="2211"/>
      <c r="FO240" s="2211"/>
      <c r="FP240" s="2211"/>
      <c r="FQ240" s="2211"/>
      <c r="FR240" s="2211"/>
      <c r="FS240" s="2211"/>
      <c r="FT240" s="2211"/>
      <c r="FU240" s="2211"/>
      <c r="FV240" s="2211"/>
      <c r="FW240" s="2203"/>
      <c r="FX240" s="2203"/>
      <c r="FY240" s="2034"/>
      <c r="FZ240" s="2034"/>
      <c r="GA240" s="2034"/>
      <c r="GB240" s="2204"/>
      <c r="GC240" s="2204"/>
      <c r="GD240" s="2204"/>
      <c r="GE240" s="2204"/>
      <c r="GF240" s="2204"/>
      <c r="GG240" s="2204"/>
      <c r="GH240" s="2204"/>
      <c r="GI240" s="2204"/>
      <c r="GJ240" s="2204"/>
      <c r="GK240" s="2204"/>
      <c r="GL240" s="2204"/>
      <c r="GM240" s="2204"/>
      <c r="GN240" s="2204"/>
      <c r="GO240" s="2204"/>
      <c r="GP240" s="2204"/>
      <c r="GQ240" s="2204"/>
      <c r="GR240" s="2204"/>
      <c r="GS240" s="2204"/>
      <c r="GT240" s="2204"/>
      <c r="GU240" s="2204"/>
      <c r="GV240" s="2204"/>
      <c r="GW240" s="2204"/>
      <c r="GX240" s="2204"/>
      <c r="GY240" s="2204"/>
      <c r="GZ240" s="2204"/>
      <c r="HA240" s="2204"/>
      <c r="HB240" s="2204"/>
      <c r="HC240" s="2204"/>
      <c r="HD240" s="2204"/>
      <c r="HE240" s="2204"/>
      <c r="HF240" s="2204"/>
      <c r="HG240" s="2204"/>
      <c r="HH240" s="2204"/>
      <c r="HI240" s="2204"/>
      <c r="HJ240" s="2204"/>
      <c r="HK240" s="2204"/>
      <c r="HL240" s="2204"/>
      <c r="HM240" s="2204"/>
      <c r="HN240" s="2204"/>
      <c r="HO240" s="2204"/>
      <c r="HP240" s="2204"/>
      <c r="HQ240" s="2204"/>
      <c r="HR240" s="2204"/>
      <c r="HS240" s="2204"/>
      <c r="HT240" s="2204"/>
      <c r="HU240" s="2204"/>
      <c r="HV240" s="2204"/>
      <c r="HW240" s="2204"/>
      <c r="HX240" s="2204"/>
      <c r="HY240" s="2204"/>
      <c r="HZ240" s="2204"/>
      <c r="IA240" s="2204"/>
      <c r="IB240" s="2204"/>
      <c r="IC240" s="2204"/>
      <c r="ID240" s="2204"/>
      <c r="IE240" s="2204"/>
      <c r="IF240" s="2204"/>
      <c r="IG240" s="2204"/>
      <c r="IH240" s="2204"/>
      <c r="II240" s="2204"/>
      <c r="IJ240" s="2204"/>
      <c r="IK240" s="2204"/>
      <c r="IL240" s="2204"/>
      <c r="IM240" s="2204"/>
      <c r="IN240" s="2204"/>
      <c r="IO240" s="2204"/>
      <c r="IP240" s="2204"/>
      <c r="IQ240" s="2204"/>
      <c r="IR240" s="2204"/>
      <c r="IS240" s="2204"/>
      <c r="IT240" s="2204"/>
      <c r="IU240" s="2204"/>
      <c r="IV240" s="2204"/>
      <c r="IW240" s="2204"/>
      <c r="IX240" s="2204"/>
      <c r="IY240" s="2204"/>
      <c r="IZ240" s="2204"/>
      <c r="JA240" s="2204"/>
      <c r="JB240" s="2204"/>
      <c r="JC240" s="2204"/>
      <c r="JD240" s="2204"/>
      <c r="JE240" s="2204"/>
      <c r="JF240" s="2205"/>
      <c r="JG240" s="2026"/>
      <c r="JK240" s="2526"/>
    </row>
    <row r="241" spans="2:271" s="2236" customFormat="1" ht="16.5" hidden="1" customHeight="1">
      <c r="B241" s="2223">
        <v>28</v>
      </c>
      <c r="C241" s="2224"/>
      <c r="D241" s="2225" t="s">
        <v>1111</v>
      </c>
      <c r="E241" s="2228"/>
      <c r="F241" s="2228"/>
      <c r="G241" s="2240"/>
      <c r="H241" s="2228"/>
      <c r="I241" s="2228"/>
      <c r="J241" s="2228"/>
      <c r="K241" s="2240"/>
      <c r="L241" s="2228"/>
      <c r="M241" s="2228"/>
      <c r="N241" s="2228"/>
      <c r="O241" s="2228"/>
      <c r="P241" s="2228"/>
      <c r="Q241" s="2228"/>
      <c r="R241" s="2228"/>
      <c r="S241" s="2228"/>
      <c r="T241" s="2228"/>
      <c r="U241" s="2228"/>
      <c r="V241" s="2228"/>
      <c r="W241" s="2228"/>
      <c r="X241" s="2228"/>
      <c r="Y241" s="2228"/>
      <c r="Z241" s="2228"/>
      <c r="AA241" s="2228"/>
      <c r="AB241" s="2228"/>
      <c r="AC241" s="2228"/>
      <c r="AD241" s="2228"/>
      <c r="AE241" s="2228"/>
      <c r="AF241" s="2228"/>
      <c r="AG241" s="2228"/>
      <c r="AH241" s="2228"/>
      <c r="AI241" s="2228"/>
      <c r="AJ241" s="2228"/>
      <c r="AK241" s="2228"/>
      <c r="AL241" s="2228"/>
      <c r="AM241" s="2228"/>
      <c r="AN241" s="2228"/>
      <c r="AO241" s="2228"/>
      <c r="AP241" s="2228"/>
      <c r="AQ241" s="2228"/>
      <c r="AR241" s="2228"/>
      <c r="AS241" s="2228"/>
      <c r="AT241" s="2228"/>
      <c r="AU241" s="2228"/>
      <c r="AV241" s="2228"/>
      <c r="AW241" s="2228"/>
      <c r="AX241" s="2228"/>
      <c r="AY241" s="2228"/>
      <c r="AZ241" s="2228"/>
      <c r="BA241" s="2228"/>
      <c r="BB241" s="2228"/>
      <c r="BC241" s="2228"/>
      <c r="BD241" s="2228"/>
      <c r="BE241" s="2228"/>
      <c r="BF241" s="2228"/>
      <c r="BG241" s="2228"/>
      <c r="BH241" s="2228"/>
      <c r="BI241" s="2228"/>
      <c r="BJ241" s="2228"/>
      <c r="BK241" s="2228"/>
      <c r="BL241" s="2228"/>
      <c r="BM241" s="2228"/>
      <c r="BN241" s="2228"/>
      <c r="BO241" s="2228"/>
      <c r="BP241" s="2228"/>
      <c r="BQ241" s="2228"/>
      <c r="BR241" s="2228"/>
      <c r="BS241" s="2228"/>
      <c r="BT241" s="2228"/>
      <c r="BU241" s="2228"/>
      <c r="BV241" s="2228"/>
      <c r="BW241" s="2228"/>
      <c r="BX241" s="2228"/>
      <c r="BY241" s="2228"/>
      <c r="BZ241" s="2228"/>
      <c r="CA241" s="2228"/>
      <c r="CB241" s="2228"/>
      <c r="CC241" s="2228"/>
      <c r="CD241" s="2228"/>
      <c r="CE241" s="2228"/>
      <c r="CF241" s="2228"/>
      <c r="CG241" s="2228"/>
      <c r="CH241" s="2228"/>
      <c r="CI241" s="2228"/>
      <c r="CJ241" s="2228"/>
      <c r="CK241" s="2228"/>
      <c r="CL241" s="2228"/>
      <c r="CM241" s="2228"/>
      <c r="CN241" s="2228"/>
      <c r="CO241" s="2228"/>
      <c r="CP241" s="2228"/>
      <c r="CQ241" s="2228"/>
      <c r="CR241" s="2228"/>
      <c r="CS241" s="2228"/>
      <c r="CT241" s="2228"/>
      <c r="CU241" s="2228"/>
      <c r="CV241" s="2228"/>
      <c r="CW241" s="2228"/>
      <c r="CX241" s="2228"/>
      <c r="CY241" s="2228"/>
      <c r="CZ241" s="2228"/>
      <c r="DA241" s="2228"/>
      <c r="DB241" s="2228"/>
      <c r="DC241" s="2228"/>
      <c r="DD241" s="2228"/>
      <c r="DE241" s="2228"/>
      <c r="DF241" s="2228"/>
      <c r="DG241" s="2228"/>
      <c r="DH241" s="2228"/>
      <c r="DI241" s="2228"/>
      <c r="DJ241" s="2228"/>
      <c r="DK241" s="2228"/>
      <c r="DL241" s="2228"/>
      <c r="DM241" s="2228"/>
      <c r="DN241" s="2228"/>
      <c r="DO241" s="2228"/>
      <c r="DP241" s="2228"/>
      <c r="DQ241" s="2228"/>
      <c r="DR241" s="2228"/>
      <c r="DS241" s="2228"/>
      <c r="DT241" s="2228"/>
      <c r="DU241" s="2228"/>
      <c r="DV241" s="2228"/>
      <c r="DW241" s="2228"/>
      <c r="DX241" s="2228"/>
      <c r="DY241" s="2228"/>
      <c r="DZ241" s="2228"/>
      <c r="EA241" s="2228"/>
      <c r="EB241" s="2228"/>
      <c r="EC241" s="2228"/>
      <c r="ED241" s="2228"/>
      <c r="EE241" s="2228"/>
      <c r="EF241" s="2228"/>
      <c r="EG241" s="2228"/>
      <c r="EH241" s="2228"/>
      <c r="EI241" s="2228"/>
      <c r="EJ241" s="2228"/>
      <c r="EK241" s="2228"/>
      <c r="EL241" s="2228"/>
      <c r="EM241" s="2228"/>
      <c r="EN241" s="2228"/>
      <c r="EO241" s="2228"/>
      <c r="EP241" s="2228"/>
      <c r="EQ241" s="2228"/>
      <c r="ER241" s="2228"/>
      <c r="ES241" s="2228"/>
      <c r="ET241" s="2228"/>
      <c r="EU241" s="2228"/>
      <c r="EV241" s="2228"/>
      <c r="EW241" s="2228"/>
      <c r="EX241" s="2233"/>
      <c r="EY241" s="2233"/>
      <c r="EZ241" s="2233"/>
      <c r="FA241" s="2233"/>
      <c r="FB241" s="2233"/>
      <c r="FC241" s="2233"/>
      <c r="FD241" s="2233"/>
      <c r="FE241" s="2233"/>
      <c r="FF241" s="2233"/>
      <c r="FG241" s="2233"/>
      <c r="FH241" s="2233"/>
      <c r="FI241" s="2233"/>
      <c r="FJ241" s="2233"/>
      <c r="FK241" s="2233"/>
      <c r="FL241" s="2233"/>
      <c r="FM241" s="2233"/>
      <c r="FN241" s="2233"/>
      <c r="FO241" s="2233"/>
      <c r="FP241" s="2233"/>
      <c r="FQ241" s="2233"/>
      <c r="FR241" s="2233"/>
      <c r="FS241" s="2233"/>
      <c r="FT241" s="2233"/>
      <c r="FU241" s="2233"/>
      <c r="FV241" s="2233"/>
      <c r="FW241" s="2224"/>
      <c r="FX241" s="2224"/>
      <c r="FY241" s="2227"/>
      <c r="FZ241" s="2227"/>
      <c r="GA241" s="2227"/>
      <c r="GB241" s="2232"/>
      <c r="GC241" s="2232"/>
      <c r="GD241" s="2232"/>
      <c r="GE241" s="2232"/>
      <c r="GF241" s="2232"/>
      <c r="GG241" s="2232"/>
      <c r="GH241" s="2232"/>
      <c r="GI241" s="2232"/>
      <c r="GJ241" s="2232"/>
      <c r="GK241" s="2232"/>
      <c r="GL241" s="2232"/>
      <c r="GM241" s="2232"/>
      <c r="GN241" s="2232"/>
      <c r="GO241" s="2232"/>
      <c r="GP241" s="2232"/>
      <c r="GQ241" s="2232"/>
      <c r="GR241" s="2232"/>
      <c r="GS241" s="2232"/>
      <c r="GT241" s="2232"/>
      <c r="GU241" s="2232"/>
      <c r="GV241" s="2232"/>
      <c r="GW241" s="2232"/>
      <c r="GX241" s="2232"/>
      <c r="GY241" s="2232"/>
      <c r="GZ241" s="2232"/>
      <c r="HA241" s="2232"/>
      <c r="HB241" s="2232"/>
      <c r="HC241" s="2232"/>
      <c r="HD241" s="2232"/>
      <c r="HE241" s="2232"/>
      <c r="HF241" s="2232"/>
      <c r="HG241" s="2232"/>
      <c r="HH241" s="2232"/>
      <c r="HI241" s="2232"/>
      <c r="HJ241" s="2232"/>
      <c r="HK241" s="2232"/>
      <c r="HL241" s="2232"/>
      <c r="HM241" s="2232"/>
      <c r="HN241" s="2232"/>
      <c r="HO241" s="2232"/>
      <c r="HP241" s="2232"/>
      <c r="HQ241" s="2232"/>
      <c r="HR241" s="2232"/>
      <c r="HS241" s="2232"/>
      <c r="HT241" s="2232"/>
      <c r="HU241" s="2232"/>
      <c r="HV241" s="2232"/>
      <c r="HW241" s="2232"/>
      <c r="HX241" s="2232"/>
      <c r="HY241" s="2232"/>
      <c r="HZ241" s="2232"/>
      <c r="IA241" s="2232"/>
      <c r="IB241" s="2232"/>
      <c r="IC241" s="2232"/>
      <c r="ID241" s="2232"/>
      <c r="IE241" s="2232"/>
      <c r="IF241" s="2232"/>
      <c r="IG241" s="2232"/>
      <c r="IH241" s="2232"/>
      <c r="II241" s="2232"/>
      <c r="IJ241" s="2232"/>
      <c r="IK241" s="2232"/>
      <c r="IL241" s="2232"/>
      <c r="IM241" s="2232"/>
      <c r="IN241" s="2232"/>
      <c r="IO241" s="2232"/>
      <c r="IP241" s="2232"/>
      <c r="IQ241" s="2232"/>
      <c r="IR241" s="2232"/>
      <c r="IS241" s="2232"/>
      <c r="IT241" s="2232"/>
      <c r="IU241" s="2232"/>
      <c r="IV241" s="2232"/>
      <c r="IW241" s="2232"/>
      <c r="IX241" s="2232"/>
      <c r="IY241" s="2232"/>
      <c r="IZ241" s="2232"/>
      <c r="JA241" s="2232"/>
      <c r="JB241" s="2232"/>
      <c r="JC241" s="2232"/>
      <c r="JD241" s="2232"/>
      <c r="JE241" s="2232"/>
      <c r="JF241" s="2234"/>
      <c r="JG241" s="2235"/>
      <c r="JK241" s="2530"/>
    </row>
    <row r="242" spans="2:271" s="2024" customFormat="1" hidden="1">
      <c r="B242" s="2198">
        <v>29</v>
      </c>
      <c r="C242" s="2203"/>
      <c r="D242" s="2241" t="s">
        <v>1309</v>
      </c>
      <c r="E242" s="2242"/>
      <c r="F242" s="2214"/>
      <c r="G242" s="2244"/>
      <c r="H242" s="2214"/>
      <c r="I242" s="2244"/>
      <c r="J242" s="2214"/>
      <c r="K242" s="2243"/>
      <c r="L242" s="2213"/>
      <c r="M242" s="2216"/>
      <c r="N242" s="2216"/>
      <c r="O242" s="2216"/>
      <c r="P242" s="2216"/>
      <c r="Q242" s="2216"/>
      <c r="R242" s="2216"/>
      <c r="S242" s="2216"/>
      <c r="T242" s="2216"/>
      <c r="U242" s="2216"/>
      <c r="V242" s="2216"/>
      <c r="W242" s="2216"/>
      <c r="X242" s="2217"/>
      <c r="Y242" s="2217"/>
      <c r="Z242" s="2218"/>
      <c r="AA242" s="2218"/>
      <c r="AB242" s="2214"/>
      <c r="AC242" s="2214"/>
      <c r="AD242" s="2214"/>
      <c r="AE242" s="2214"/>
      <c r="AF242" s="2214"/>
      <c r="AG242" s="2214"/>
      <c r="AH242" s="2214"/>
      <c r="AI242" s="2214"/>
      <c r="AJ242" s="2214"/>
      <c r="AK242" s="2219"/>
      <c r="AL242" s="2214"/>
      <c r="AM242" s="2214"/>
      <c r="AN242" s="2214"/>
      <c r="AO242" s="2214"/>
      <c r="AP242" s="2214"/>
      <c r="AQ242" s="2214"/>
      <c r="AR242" s="2219"/>
      <c r="AS242" s="2219"/>
      <c r="AT242" s="2214"/>
      <c r="AU242" s="2214"/>
      <c r="AV242" s="2214"/>
      <c r="AW242" s="2214"/>
      <c r="AX242" s="2214"/>
      <c r="AY242" s="2214"/>
      <c r="AZ242" s="2214"/>
      <c r="BA242" s="2219"/>
      <c r="BB242" s="2219"/>
      <c r="BC242" s="2214"/>
      <c r="BD242" s="2214"/>
      <c r="BE242" s="2220"/>
      <c r="BF242" s="2219"/>
      <c r="BG242" s="2220"/>
      <c r="BH242" s="2220"/>
      <c r="BI242" s="2220"/>
      <c r="BJ242" s="2220"/>
      <c r="BK242" s="2220"/>
      <c r="BL242" s="2220"/>
      <c r="BM242" s="2220"/>
      <c r="BN242" s="2220"/>
      <c r="BO242" s="2220"/>
      <c r="BP242" s="2220"/>
      <c r="BQ242" s="2220"/>
      <c r="BR242" s="2220"/>
      <c r="BS242" s="2220"/>
      <c r="BT242" s="2220"/>
      <c r="BU242" s="2220"/>
      <c r="BV242" s="2220"/>
      <c r="BW242" s="2220"/>
      <c r="BX242" s="2220"/>
      <c r="BY242" s="2220"/>
      <c r="BZ242" s="2220"/>
      <c r="CA242" s="2220"/>
      <c r="CB242" s="2220"/>
      <c r="CC242" s="2220"/>
      <c r="CD242" s="2220"/>
      <c r="CE242" s="2220"/>
      <c r="CF242" s="2220"/>
      <c r="CG242" s="2220"/>
      <c r="CH242" s="2220"/>
      <c r="CI242" s="2220"/>
      <c r="CJ242" s="2220"/>
      <c r="CK242" s="2220"/>
      <c r="CL242" s="2220"/>
      <c r="CM242" s="2220"/>
      <c r="CN242" s="2220"/>
      <c r="CO242" s="2220"/>
      <c r="CP242" s="2220"/>
      <c r="CQ242" s="2220"/>
      <c r="CR242" s="2220"/>
      <c r="CS242" s="2220"/>
      <c r="CT242" s="2220"/>
      <c r="CU242" s="2220"/>
      <c r="CV242" s="2220"/>
      <c r="CW242" s="2220"/>
      <c r="CX242" s="2220"/>
      <c r="CY242" s="2220"/>
      <c r="CZ242" s="2220"/>
      <c r="DA242" s="2220"/>
      <c r="DB242" s="2220"/>
      <c r="DC242" s="2220"/>
      <c r="DD242" s="2220"/>
      <c r="DE242" s="2220"/>
      <c r="DF242" s="2220"/>
      <c r="DG242" s="2220"/>
      <c r="DH242" s="2220"/>
      <c r="DI242" s="2220"/>
      <c r="DJ242" s="2220"/>
      <c r="DK242" s="2220"/>
      <c r="DL242" s="2220"/>
      <c r="DM242" s="2220"/>
      <c r="DN242" s="2220"/>
      <c r="DO242" s="2220"/>
      <c r="DP242" s="2220"/>
      <c r="DQ242" s="2220"/>
      <c r="DR242" s="2220"/>
      <c r="DS242" s="2220"/>
      <c r="DT242" s="2220"/>
      <c r="DU242" s="2220"/>
      <c r="DV242" s="2220"/>
      <c r="DW242" s="2220"/>
      <c r="DX242" s="2220"/>
      <c r="DY242" s="2220"/>
      <c r="DZ242" s="2220"/>
      <c r="EA242" s="2220"/>
      <c r="EB242" s="2220"/>
      <c r="EC242" s="2220"/>
      <c r="ED242" s="2220"/>
      <c r="EE242" s="2220"/>
      <c r="EF242" s="2220"/>
      <c r="EG242" s="2220"/>
      <c r="EH242" s="2220"/>
      <c r="EI242" s="2220"/>
      <c r="EJ242" s="2220"/>
      <c r="EK242" s="2220"/>
      <c r="EL242" s="2220"/>
      <c r="EM242" s="2220"/>
      <c r="EN242" s="2220"/>
      <c r="EO242" s="2220"/>
      <c r="EP242" s="2220"/>
      <c r="EQ242" s="2220"/>
      <c r="ER242" s="2220"/>
      <c r="ES242" s="2220"/>
      <c r="ET242" s="2220"/>
      <c r="EU242" s="2220"/>
      <c r="EV242" s="2220"/>
      <c r="EW242" s="2220"/>
      <c r="EX242" s="2220"/>
      <c r="EY242" s="2220"/>
      <c r="EZ242" s="2220"/>
      <c r="FA242" s="2220"/>
      <c r="FB242" s="2220"/>
      <c r="FC242" s="2220"/>
      <c r="FD242" s="2220"/>
      <c r="FE242" s="2220"/>
      <c r="FF242" s="2220"/>
      <c r="FG242" s="2220"/>
      <c r="FH242" s="2220"/>
      <c r="FI242" s="2220"/>
      <c r="FJ242" s="2220"/>
      <c r="FK242" s="2220"/>
      <c r="FL242" s="2220"/>
      <c r="FM242" s="2220"/>
      <c r="FN242" s="2220"/>
      <c r="FO242" s="2220"/>
      <c r="FP242" s="2220"/>
      <c r="FQ242" s="2220"/>
      <c r="FR242" s="2220"/>
      <c r="FS242" s="2220"/>
      <c r="FT242" s="2220"/>
      <c r="FU242" s="2220"/>
      <c r="FV242" s="2220"/>
      <c r="FW242" s="2203"/>
      <c r="FX242" s="2203"/>
      <c r="FY242" s="2034"/>
      <c r="FZ242" s="2034"/>
      <c r="GA242" s="2034"/>
      <c r="GB242" s="2204"/>
      <c r="GC242" s="2204"/>
      <c r="GD242" s="2204"/>
      <c r="GE242" s="2204"/>
      <c r="GF242" s="2204"/>
      <c r="GG242" s="2204"/>
      <c r="GH242" s="2204"/>
      <c r="GI242" s="2204"/>
      <c r="GJ242" s="2204"/>
      <c r="GK242" s="2204"/>
      <c r="GL242" s="2204"/>
      <c r="GM242" s="2204"/>
      <c r="GN242" s="2204"/>
      <c r="GO242" s="2204"/>
      <c r="GP242" s="2204"/>
      <c r="GQ242" s="2204"/>
      <c r="GR242" s="2204"/>
      <c r="GS242" s="2204"/>
      <c r="GT242" s="2204"/>
      <c r="GU242" s="2204"/>
      <c r="GV242" s="2204"/>
      <c r="GW242" s="2204"/>
      <c r="GX242" s="2204"/>
      <c r="GY242" s="2204"/>
      <c r="GZ242" s="2204"/>
      <c r="HA242" s="2204"/>
      <c r="HB242" s="2204"/>
      <c r="HC242" s="2204"/>
      <c r="HD242" s="2204"/>
      <c r="HE242" s="2204"/>
      <c r="HF242" s="2204"/>
      <c r="HG242" s="2204"/>
      <c r="HH242" s="2204"/>
      <c r="HI242" s="2204"/>
      <c r="HJ242" s="2204"/>
      <c r="HK242" s="2204"/>
      <c r="HL242" s="2204"/>
      <c r="HM242" s="2204"/>
      <c r="HN242" s="2204"/>
      <c r="HO242" s="2204"/>
      <c r="HP242" s="2204"/>
      <c r="HQ242" s="2204"/>
      <c r="HR242" s="2204"/>
      <c r="HS242" s="2204"/>
      <c r="HT242" s="2204"/>
      <c r="HU242" s="2204"/>
      <c r="HV242" s="2204"/>
      <c r="HW242" s="2204"/>
      <c r="HX242" s="2204"/>
      <c r="HY242" s="2204"/>
      <c r="HZ242" s="2204"/>
      <c r="IA242" s="2204"/>
      <c r="IB242" s="2204"/>
      <c r="IC242" s="2204"/>
      <c r="ID242" s="2204"/>
      <c r="IE242" s="2204"/>
      <c r="IF242" s="2204"/>
      <c r="IG242" s="2204"/>
      <c r="IH242" s="2204"/>
      <c r="II242" s="2204"/>
      <c r="IJ242" s="2204"/>
      <c r="IK242" s="2204"/>
      <c r="IL242" s="2204"/>
      <c r="IM242" s="2204"/>
      <c r="IN242" s="2204"/>
      <c r="IO242" s="2204"/>
      <c r="IP242" s="2204"/>
      <c r="IQ242" s="2204"/>
      <c r="IR242" s="2204"/>
      <c r="IS242" s="2204"/>
      <c r="IT242" s="2204"/>
      <c r="IU242" s="2204"/>
      <c r="IV242" s="2204"/>
      <c r="IW242" s="2204"/>
      <c r="IX242" s="2204"/>
      <c r="IY242" s="2204"/>
      <c r="IZ242" s="2204"/>
      <c r="JA242" s="2204"/>
      <c r="JB242" s="2204"/>
      <c r="JC242" s="2204"/>
      <c r="JD242" s="2204"/>
      <c r="JE242" s="2204"/>
      <c r="JF242" s="2205"/>
      <c r="JG242" s="2026"/>
      <c r="JK242" s="2526"/>
    </row>
    <row r="243" spans="2:271" s="2024" customFormat="1" hidden="1">
      <c r="B243" s="2198">
        <v>30</v>
      </c>
      <c r="C243" s="2203"/>
      <c r="D243" s="2241" t="s">
        <v>1310</v>
      </c>
      <c r="E243" s="2242"/>
      <c r="F243" s="2214"/>
      <c r="G243" s="2244"/>
      <c r="H243" s="2214"/>
      <c r="I243" s="2244"/>
      <c r="J243" s="2214"/>
      <c r="K243" s="2243"/>
      <c r="L243" s="2213"/>
      <c r="M243" s="2216"/>
      <c r="N243" s="2216"/>
      <c r="O243" s="2216"/>
      <c r="P243" s="2216"/>
      <c r="Q243" s="2216"/>
      <c r="R243" s="2216"/>
      <c r="S243" s="2216"/>
      <c r="T243" s="2216"/>
      <c r="U243" s="2216"/>
      <c r="V243" s="2216"/>
      <c r="W243" s="2216"/>
      <c r="X243" s="2217"/>
      <c r="Y243" s="2217"/>
      <c r="Z243" s="2218"/>
      <c r="AA243" s="2218"/>
      <c r="AB243" s="2214"/>
      <c r="AC243" s="2214"/>
      <c r="AD243" s="2214"/>
      <c r="AE243" s="2214"/>
      <c r="AF243" s="2214"/>
      <c r="AG243" s="2214"/>
      <c r="AH243" s="2214"/>
      <c r="AI243" s="2214"/>
      <c r="AJ243" s="2214"/>
      <c r="AK243" s="2219"/>
      <c r="AL243" s="2214"/>
      <c r="AM243" s="2214"/>
      <c r="AN243" s="2214"/>
      <c r="AO243" s="2214"/>
      <c r="AP243" s="2214"/>
      <c r="AQ243" s="2214"/>
      <c r="AR243" s="2219"/>
      <c r="AS243" s="2219"/>
      <c r="AT243" s="2214"/>
      <c r="AU243" s="2214"/>
      <c r="AV243" s="2214"/>
      <c r="AW243" s="2214"/>
      <c r="AX243" s="2214"/>
      <c r="AY243" s="2214"/>
      <c r="AZ243" s="2214"/>
      <c r="BA243" s="2219"/>
      <c r="BB243" s="2219"/>
      <c r="BC243" s="2214"/>
      <c r="BD243" s="2214"/>
      <c r="BE243" s="2220"/>
      <c r="BF243" s="2219"/>
      <c r="BG243" s="2220"/>
      <c r="BH243" s="2220"/>
      <c r="BI243" s="2220"/>
      <c r="BJ243" s="2220"/>
      <c r="BK243" s="2220"/>
      <c r="BL243" s="2220"/>
      <c r="BM243" s="2220"/>
      <c r="BN243" s="2220"/>
      <c r="BO243" s="2220"/>
      <c r="BP243" s="2220"/>
      <c r="BQ243" s="2220"/>
      <c r="BR243" s="2220"/>
      <c r="BS243" s="2220"/>
      <c r="BT243" s="2220"/>
      <c r="BU243" s="2220"/>
      <c r="BV243" s="2220"/>
      <c r="BW243" s="2220"/>
      <c r="BX243" s="2220"/>
      <c r="BY243" s="2220"/>
      <c r="BZ243" s="2220"/>
      <c r="CA243" s="2220"/>
      <c r="CB243" s="2220"/>
      <c r="CC243" s="2220"/>
      <c r="CD243" s="2220"/>
      <c r="CE243" s="2220"/>
      <c r="CF243" s="2220"/>
      <c r="CG243" s="2220"/>
      <c r="CH243" s="2220"/>
      <c r="CI243" s="2220"/>
      <c r="CJ243" s="2220"/>
      <c r="CK243" s="2220"/>
      <c r="CL243" s="2220"/>
      <c r="CM243" s="2220"/>
      <c r="CN243" s="2220"/>
      <c r="CO243" s="2220"/>
      <c r="CP243" s="2220"/>
      <c r="CQ243" s="2220"/>
      <c r="CR243" s="2220"/>
      <c r="CS243" s="2220"/>
      <c r="CT243" s="2220"/>
      <c r="CU243" s="2220"/>
      <c r="CV243" s="2220"/>
      <c r="CW243" s="2220"/>
      <c r="CX243" s="2220"/>
      <c r="CY243" s="2220"/>
      <c r="CZ243" s="2220"/>
      <c r="DA243" s="2220"/>
      <c r="DB243" s="2220"/>
      <c r="DC243" s="2220"/>
      <c r="DD243" s="2220"/>
      <c r="DE243" s="2220"/>
      <c r="DF243" s="2220"/>
      <c r="DG243" s="2220"/>
      <c r="DH243" s="2220"/>
      <c r="DI243" s="2220"/>
      <c r="DJ243" s="2220"/>
      <c r="DK243" s="2220"/>
      <c r="DL243" s="2220"/>
      <c r="DM243" s="2220"/>
      <c r="DN243" s="2220"/>
      <c r="DO243" s="2220"/>
      <c r="DP243" s="2220"/>
      <c r="DQ243" s="2220"/>
      <c r="DR243" s="2220"/>
      <c r="DS243" s="2220"/>
      <c r="DT243" s="2220"/>
      <c r="DU243" s="2220"/>
      <c r="DV243" s="2220"/>
      <c r="DW243" s="2220"/>
      <c r="DX243" s="2220"/>
      <c r="DY243" s="2220"/>
      <c r="DZ243" s="2220"/>
      <c r="EA243" s="2220"/>
      <c r="EB243" s="2220"/>
      <c r="EC243" s="2220"/>
      <c r="ED243" s="2220"/>
      <c r="EE243" s="2220"/>
      <c r="EF243" s="2220"/>
      <c r="EG243" s="2220"/>
      <c r="EH243" s="2220"/>
      <c r="EI243" s="2220"/>
      <c r="EJ243" s="2220"/>
      <c r="EK243" s="2220"/>
      <c r="EL243" s="2220"/>
      <c r="EM243" s="2220"/>
      <c r="EN243" s="2220"/>
      <c r="EO243" s="2220"/>
      <c r="EP243" s="2220"/>
      <c r="EQ243" s="2220"/>
      <c r="ER243" s="2220"/>
      <c r="ES243" s="2220"/>
      <c r="ET243" s="2220"/>
      <c r="EU243" s="2220"/>
      <c r="EV243" s="2220"/>
      <c r="EW243" s="2220"/>
      <c r="EX243" s="2220"/>
      <c r="EY243" s="2220"/>
      <c r="EZ243" s="2220"/>
      <c r="FA243" s="2220"/>
      <c r="FB243" s="2220"/>
      <c r="FC243" s="2220"/>
      <c r="FD243" s="2220"/>
      <c r="FE243" s="2220"/>
      <c r="FF243" s="2220"/>
      <c r="FG243" s="2220"/>
      <c r="FH243" s="2220"/>
      <c r="FI243" s="2220"/>
      <c r="FJ243" s="2220"/>
      <c r="FK243" s="2220"/>
      <c r="FL243" s="2220"/>
      <c r="FM243" s="2220"/>
      <c r="FN243" s="2220"/>
      <c r="FO243" s="2220"/>
      <c r="FP243" s="2220"/>
      <c r="FQ243" s="2220"/>
      <c r="FR243" s="2220"/>
      <c r="FS243" s="2220"/>
      <c r="FT243" s="2220"/>
      <c r="FU243" s="2220"/>
      <c r="FV243" s="2220"/>
      <c r="FW243" s="2203"/>
      <c r="FX243" s="2203"/>
      <c r="FY243" s="2034"/>
      <c r="FZ243" s="2034"/>
      <c r="GA243" s="2034"/>
      <c r="GB243" s="2204"/>
      <c r="GC243" s="2204"/>
      <c r="GD243" s="2204"/>
      <c r="GE243" s="2204"/>
      <c r="GF243" s="2204"/>
      <c r="GG243" s="2204"/>
      <c r="GH243" s="2204"/>
      <c r="GI243" s="2204"/>
      <c r="GJ243" s="2204"/>
      <c r="GK243" s="2204"/>
      <c r="GL243" s="2204"/>
      <c r="GM243" s="2204"/>
      <c r="GN243" s="2204"/>
      <c r="GO243" s="2204"/>
      <c r="GP243" s="2204"/>
      <c r="GQ243" s="2204"/>
      <c r="GR243" s="2204"/>
      <c r="GS243" s="2204"/>
      <c r="GT243" s="2204"/>
      <c r="GU243" s="2204"/>
      <c r="GV243" s="2204"/>
      <c r="GW243" s="2204"/>
      <c r="GX243" s="2204"/>
      <c r="GY243" s="2204"/>
      <c r="GZ243" s="2204"/>
      <c r="HA243" s="2204"/>
      <c r="HB243" s="2204"/>
      <c r="HC243" s="2204"/>
      <c r="HD243" s="2204"/>
      <c r="HE243" s="2204"/>
      <c r="HF243" s="2204"/>
      <c r="HG243" s="2204"/>
      <c r="HH243" s="2204"/>
      <c r="HI243" s="2204"/>
      <c r="HJ243" s="2204"/>
      <c r="HK243" s="2204"/>
      <c r="HL243" s="2204"/>
      <c r="HM243" s="2204"/>
      <c r="HN243" s="2204"/>
      <c r="HO243" s="2204"/>
      <c r="HP243" s="2204"/>
      <c r="HQ243" s="2204"/>
      <c r="HR243" s="2204"/>
      <c r="HS243" s="2204"/>
      <c r="HT243" s="2204"/>
      <c r="HU243" s="2204"/>
      <c r="HV243" s="2204"/>
      <c r="HW243" s="2204"/>
      <c r="HX243" s="2204"/>
      <c r="HY243" s="2204"/>
      <c r="HZ243" s="2204"/>
      <c r="IA243" s="2204"/>
      <c r="IB243" s="2204"/>
      <c r="IC243" s="2204"/>
      <c r="ID243" s="2204"/>
      <c r="IE243" s="2204"/>
      <c r="IF243" s="2204"/>
      <c r="IG243" s="2204"/>
      <c r="IH243" s="2204"/>
      <c r="II243" s="2204"/>
      <c r="IJ243" s="2204"/>
      <c r="IK243" s="2204"/>
      <c r="IL243" s="2204"/>
      <c r="IM243" s="2204"/>
      <c r="IN243" s="2204"/>
      <c r="IO243" s="2204"/>
      <c r="IP243" s="2204"/>
      <c r="IQ243" s="2204"/>
      <c r="IR243" s="2204"/>
      <c r="IS243" s="2204"/>
      <c r="IT243" s="2204"/>
      <c r="IU243" s="2204"/>
      <c r="IV243" s="2204"/>
      <c r="IW243" s="2204"/>
      <c r="IX243" s="2204"/>
      <c r="IY243" s="2204"/>
      <c r="IZ243" s="2204"/>
      <c r="JA243" s="2204"/>
      <c r="JB243" s="2204"/>
      <c r="JC243" s="2204"/>
      <c r="JD243" s="2204"/>
      <c r="JE243" s="2204"/>
      <c r="JF243" s="2205"/>
      <c r="JG243" s="2026"/>
      <c r="JK243" s="2526"/>
    </row>
    <row r="244" spans="2:271" s="2024" customFormat="1" hidden="1">
      <c r="B244" s="2198">
        <v>31</v>
      </c>
      <c r="C244" s="2203"/>
      <c r="D244" s="2241" t="s">
        <v>1311</v>
      </c>
      <c r="E244" s="2242"/>
      <c r="F244" s="2214"/>
      <c r="G244" s="2244"/>
      <c r="H244" s="2214"/>
      <c r="I244" s="2214"/>
      <c r="J244" s="2214"/>
      <c r="K244" s="2244"/>
      <c r="L244" s="2214"/>
      <c r="M244" s="2214"/>
      <c r="N244" s="2214"/>
      <c r="O244" s="2214"/>
      <c r="P244" s="2214"/>
      <c r="Q244" s="2214"/>
      <c r="R244" s="2214"/>
      <c r="S244" s="2214"/>
      <c r="T244" s="2214"/>
      <c r="U244" s="2214"/>
      <c r="V244" s="2214"/>
      <c r="W244" s="2214"/>
      <c r="X244" s="2214"/>
      <c r="Y244" s="2214"/>
      <c r="Z244" s="2214"/>
      <c r="AA244" s="2214"/>
      <c r="AB244" s="2214"/>
      <c r="AC244" s="2214"/>
      <c r="AD244" s="2214"/>
      <c r="AE244" s="2214"/>
      <c r="AF244" s="2214"/>
      <c r="AG244" s="2214"/>
      <c r="AH244" s="2214"/>
      <c r="AI244" s="2214"/>
      <c r="AJ244" s="2214"/>
      <c r="AK244" s="2219"/>
      <c r="AL244" s="2214"/>
      <c r="AM244" s="2214"/>
      <c r="AN244" s="2214"/>
      <c r="AO244" s="2214"/>
      <c r="AP244" s="2214"/>
      <c r="AQ244" s="2214"/>
      <c r="AR244" s="2219"/>
      <c r="AS244" s="2219"/>
      <c r="AT244" s="2214"/>
      <c r="AU244" s="2214"/>
      <c r="AV244" s="2214"/>
      <c r="AW244" s="2214"/>
      <c r="AX244" s="2214"/>
      <c r="AY244" s="2214"/>
      <c r="AZ244" s="2214"/>
      <c r="BA244" s="2219"/>
      <c r="BB244" s="2219"/>
      <c r="BC244" s="2214"/>
      <c r="BD244" s="2214"/>
      <c r="BE244" s="2220"/>
      <c r="BF244" s="2219"/>
      <c r="BG244" s="2220"/>
      <c r="BH244" s="2220"/>
      <c r="BI244" s="2220"/>
      <c r="BJ244" s="2220"/>
      <c r="BK244" s="2220"/>
      <c r="BL244" s="2220"/>
      <c r="BM244" s="2220"/>
      <c r="BN244" s="2220"/>
      <c r="BO244" s="2220"/>
      <c r="BP244" s="2220"/>
      <c r="BQ244" s="2220"/>
      <c r="BR244" s="2220"/>
      <c r="BS244" s="2220"/>
      <c r="BT244" s="2220"/>
      <c r="BU244" s="2220"/>
      <c r="BV244" s="2220"/>
      <c r="BW244" s="2220"/>
      <c r="BX244" s="2220"/>
      <c r="BY244" s="2220"/>
      <c r="BZ244" s="2220"/>
      <c r="CA244" s="2220"/>
      <c r="CB244" s="2220"/>
      <c r="CC244" s="2220"/>
      <c r="CD244" s="2220"/>
      <c r="CE244" s="2220"/>
      <c r="CF244" s="2220"/>
      <c r="CG244" s="2220"/>
      <c r="CH244" s="2220"/>
      <c r="CI244" s="2220"/>
      <c r="CJ244" s="2220"/>
      <c r="CK244" s="2220"/>
      <c r="CL244" s="2220"/>
      <c r="CM244" s="2220"/>
      <c r="CN244" s="2220"/>
      <c r="CO244" s="2220"/>
      <c r="CP244" s="2220"/>
      <c r="CQ244" s="2220"/>
      <c r="CR244" s="2220"/>
      <c r="CS244" s="2220"/>
      <c r="CT244" s="2220"/>
      <c r="CU244" s="2220"/>
      <c r="CV244" s="2220"/>
      <c r="CW244" s="2220"/>
      <c r="CX244" s="2220"/>
      <c r="CY244" s="2220"/>
      <c r="CZ244" s="2220"/>
      <c r="DA244" s="2220"/>
      <c r="DB244" s="2220"/>
      <c r="DC244" s="2220"/>
      <c r="DD244" s="2220"/>
      <c r="DE244" s="2220"/>
      <c r="DF244" s="2220"/>
      <c r="DG244" s="2220"/>
      <c r="DH244" s="2220"/>
      <c r="DI244" s="2220"/>
      <c r="DJ244" s="2220"/>
      <c r="DK244" s="2220"/>
      <c r="DL244" s="2220"/>
      <c r="DM244" s="2220"/>
      <c r="DN244" s="2220"/>
      <c r="DO244" s="2220"/>
      <c r="DP244" s="2220"/>
      <c r="DQ244" s="2220"/>
      <c r="DR244" s="2220"/>
      <c r="DS244" s="2220"/>
      <c r="DT244" s="2220"/>
      <c r="DU244" s="2220"/>
      <c r="DV244" s="2220"/>
      <c r="DW244" s="2220"/>
      <c r="DX244" s="2220"/>
      <c r="DY244" s="2220"/>
      <c r="DZ244" s="2220"/>
      <c r="EA244" s="2220"/>
      <c r="EB244" s="2220"/>
      <c r="EC244" s="2220"/>
      <c r="ED244" s="2220"/>
      <c r="EE244" s="2220"/>
      <c r="EF244" s="2220"/>
      <c r="EG244" s="2220"/>
      <c r="EH244" s="2220"/>
      <c r="EI244" s="2220"/>
      <c r="EJ244" s="2220"/>
      <c r="EK244" s="2220"/>
      <c r="EL244" s="2220"/>
      <c r="EM244" s="2220"/>
      <c r="EN244" s="2220"/>
      <c r="EO244" s="2220"/>
      <c r="EP244" s="2220"/>
      <c r="EQ244" s="2220"/>
      <c r="ER244" s="2220"/>
      <c r="ES244" s="2220"/>
      <c r="ET244" s="2220"/>
      <c r="EU244" s="2220"/>
      <c r="EV244" s="2220"/>
      <c r="EW244" s="2220"/>
      <c r="EX244" s="2220"/>
      <c r="EY244" s="2220"/>
      <c r="EZ244" s="2220"/>
      <c r="FA244" s="2220"/>
      <c r="FB244" s="2220"/>
      <c r="FC244" s="2220"/>
      <c r="FD244" s="2220"/>
      <c r="FE244" s="2220"/>
      <c r="FF244" s="2220"/>
      <c r="FG244" s="2220"/>
      <c r="FH244" s="2220"/>
      <c r="FI244" s="2220"/>
      <c r="FJ244" s="2220"/>
      <c r="FK244" s="2220"/>
      <c r="FL244" s="2220"/>
      <c r="FM244" s="2220"/>
      <c r="FN244" s="2220"/>
      <c r="FO244" s="2220"/>
      <c r="FP244" s="2220"/>
      <c r="FQ244" s="2220"/>
      <c r="FR244" s="2220"/>
      <c r="FS244" s="2220"/>
      <c r="FT244" s="2220"/>
      <c r="FU244" s="2220"/>
      <c r="FV244" s="2220"/>
      <c r="FW244" s="2203"/>
      <c r="FX244" s="2203"/>
      <c r="FY244" s="2034"/>
      <c r="FZ244" s="2034"/>
      <c r="GA244" s="2034"/>
      <c r="GB244" s="2204"/>
      <c r="GC244" s="2204"/>
      <c r="GD244" s="2204"/>
      <c r="GE244" s="2204"/>
      <c r="GF244" s="2204"/>
      <c r="GG244" s="2204"/>
      <c r="GH244" s="2204"/>
      <c r="GI244" s="2204"/>
      <c r="GJ244" s="2204"/>
      <c r="GK244" s="2204"/>
      <c r="GL244" s="2204"/>
      <c r="GM244" s="2204"/>
      <c r="GN244" s="2204"/>
      <c r="GO244" s="2204"/>
      <c r="GP244" s="2204"/>
      <c r="GQ244" s="2204"/>
      <c r="GR244" s="2204"/>
      <c r="GS244" s="2204"/>
      <c r="GT244" s="2204"/>
      <c r="GU244" s="2204"/>
      <c r="GV244" s="2204"/>
      <c r="GW244" s="2204"/>
      <c r="GX244" s="2204"/>
      <c r="GY244" s="2204"/>
      <c r="GZ244" s="2204"/>
      <c r="HA244" s="2204"/>
      <c r="HB244" s="2204"/>
      <c r="HC244" s="2204"/>
      <c r="HD244" s="2204"/>
      <c r="HE244" s="2204"/>
      <c r="HF244" s="2204"/>
      <c r="HG244" s="2204"/>
      <c r="HH244" s="2204"/>
      <c r="HI244" s="2204"/>
      <c r="HJ244" s="2204"/>
      <c r="HK244" s="2204"/>
      <c r="HL244" s="2204"/>
      <c r="HM244" s="2204"/>
      <c r="HN244" s="2204"/>
      <c r="HO244" s="2204"/>
      <c r="HP244" s="2204"/>
      <c r="HQ244" s="2204"/>
      <c r="HR244" s="2204"/>
      <c r="HS244" s="2204"/>
      <c r="HT244" s="2204"/>
      <c r="HU244" s="2204"/>
      <c r="HV244" s="2204"/>
      <c r="HW244" s="2204"/>
      <c r="HX244" s="2204"/>
      <c r="HY244" s="2204"/>
      <c r="HZ244" s="2204"/>
      <c r="IA244" s="2204"/>
      <c r="IB244" s="2204"/>
      <c r="IC244" s="2204"/>
      <c r="ID244" s="2204"/>
      <c r="IE244" s="2204"/>
      <c r="IF244" s="2204"/>
      <c r="IG244" s="2204"/>
      <c r="IH244" s="2204"/>
      <c r="II244" s="2204"/>
      <c r="IJ244" s="2204"/>
      <c r="IK244" s="2204"/>
      <c r="IL244" s="2204"/>
      <c r="IM244" s="2204"/>
      <c r="IN244" s="2204"/>
      <c r="IO244" s="2204"/>
      <c r="IP244" s="2204"/>
      <c r="IQ244" s="2204"/>
      <c r="IR244" s="2204"/>
      <c r="IS244" s="2204"/>
      <c r="IT244" s="2204"/>
      <c r="IU244" s="2204"/>
      <c r="IV244" s="2204"/>
      <c r="IW244" s="2204"/>
      <c r="IX244" s="2204"/>
      <c r="IY244" s="2204"/>
      <c r="IZ244" s="2204"/>
      <c r="JA244" s="2204"/>
      <c r="JB244" s="2204"/>
      <c r="JC244" s="2204"/>
      <c r="JD244" s="2204"/>
      <c r="JE244" s="2204"/>
      <c r="JF244" s="2205"/>
      <c r="JG244" s="2026"/>
      <c r="JK244" s="2526"/>
    </row>
    <row r="245" spans="2:271" s="2024" customFormat="1" hidden="1">
      <c r="B245" s="2198">
        <v>32</v>
      </c>
      <c r="C245" s="2203"/>
      <c r="D245" s="2241" t="s">
        <v>1312</v>
      </c>
      <c r="E245" s="2242"/>
      <c r="F245" s="2213"/>
      <c r="G245" s="2243"/>
      <c r="H245" s="2213"/>
      <c r="I245" s="2213"/>
      <c r="J245" s="2213"/>
      <c r="K245" s="2243"/>
      <c r="L245" s="2213"/>
      <c r="M245" s="2213"/>
      <c r="N245" s="2213"/>
      <c r="O245" s="2213"/>
      <c r="P245" s="2213"/>
      <c r="Q245" s="2213"/>
      <c r="R245" s="2213"/>
      <c r="S245" s="2213"/>
      <c r="T245" s="2213"/>
      <c r="U245" s="2213"/>
      <c r="V245" s="2213"/>
      <c r="W245" s="2213"/>
      <c r="X245" s="2213"/>
      <c r="Y245" s="2213"/>
      <c r="Z245" s="2213"/>
      <c r="AA245" s="2213"/>
      <c r="AB245" s="2213"/>
      <c r="AC245" s="2213"/>
      <c r="AD245" s="2213"/>
      <c r="AE245" s="2213"/>
      <c r="AF245" s="2213"/>
      <c r="AG245" s="2213"/>
      <c r="AH245" s="2214"/>
      <c r="AI245" s="2214"/>
      <c r="AJ245" s="2214"/>
      <c r="AK245" s="2219"/>
      <c r="AL245" s="2214"/>
      <c r="AM245" s="2214"/>
      <c r="AN245" s="2214"/>
      <c r="AO245" s="2214"/>
      <c r="AP245" s="2214"/>
      <c r="AQ245" s="2214"/>
      <c r="AR245" s="2219"/>
      <c r="AS245" s="2219"/>
      <c r="AT245" s="2214"/>
      <c r="AU245" s="2214"/>
      <c r="AV245" s="2214"/>
      <c r="AW245" s="2214"/>
      <c r="AX245" s="2214"/>
      <c r="AY245" s="2214"/>
      <c r="AZ245" s="2214"/>
      <c r="BA245" s="2219"/>
      <c r="BB245" s="2219"/>
      <c r="BC245" s="2214"/>
      <c r="BD245" s="2214"/>
      <c r="BE245" s="2220"/>
      <c r="BF245" s="2219"/>
      <c r="BG245" s="2220"/>
      <c r="BH245" s="2220"/>
      <c r="BI245" s="2220"/>
      <c r="BJ245" s="2220"/>
      <c r="BK245" s="2220"/>
      <c r="BL245" s="2220"/>
      <c r="BM245" s="2220"/>
      <c r="BN245" s="2220"/>
      <c r="BO245" s="2220"/>
      <c r="BP245" s="2220"/>
      <c r="BQ245" s="2220"/>
      <c r="BR245" s="2220"/>
      <c r="BS245" s="2220"/>
      <c r="BT245" s="2220"/>
      <c r="BU245" s="2220"/>
      <c r="BV245" s="2220"/>
      <c r="BW245" s="2220"/>
      <c r="BX245" s="2220"/>
      <c r="BY245" s="2220"/>
      <c r="BZ245" s="2220"/>
      <c r="CA245" s="2220"/>
      <c r="CB245" s="2220"/>
      <c r="CC245" s="2220"/>
      <c r="CD245" s="2220"/>
      <c r="CE245" s="2220"/>
      <c r="CF245" s="2220"/>
      <c r="CG245" s="2220"/>
      <c r="CH245" s="2220"/>
      <c r="CI245" s="2220"/>
      <c r="CJ245" s="2220"/>
      <c r="CK245" s="2220"/>
      <c r="CL245" s="2220"/>
      <c r="CM245" s="2220"/>
      <c r="CN245" s="2220"/>
      <c r="CO245" s="2220"/>
      <c r="CP245" s="2220"/>
      <c r="CQ245" s="2220"/>
      <c r="CR245" s="2220"/>
      <c r="CS245" s="2220"/>
      <c r="CT245" s="2220"/>
      <c r="CU245" s="2220"/>
      <c r="CV245" s="2220"/>
      <c r="CW245" s="2220"/>
      <c r="CX245" s="2220"/>
      <c r="CY245" s="2220"/>
      <c r="CZ245" s="2220"/>
      <c r="DA245" s="2220"/>
      <c r="DB245" s="2220"/>
      <c r="DC245" s="2220"/>
      <c r="DD245" s="2220"/>
      <c r="DE245" s="2220"/>
      <c r="DF245" s="2220"/>
      <c r="DG245" s="2220"/>
      <c r="DH245" s="2220"/>
      <c r="DI245" s="2220"/>
      <c r="DJ245" s="2220"/>
      <c r="DK245" s="2220"/>
      <c r="DL245" s="2220"/>
      <c r="DM245" s="2220"/>
      <c r="DN245" s="2220"/>
      <c r="DO245" s="2220"/>
      <c r="DP245" s="2220"/>
      <c r="DQ245" s="2220"/>
      <c r="DR245" s="2220"/>
      <c r="DS245" s="2220"/>
      <c r="DT245" s="2220"/>
      <c r="DU245" s="2220"/>
      <c r="DV245" s="2220"/>
      <c r="DW245" s="2220"/>
      <c r="DX245" s="2220"/>
      <c r="DY245" s="2220"/>
      <c r="DZ245" s="2220"/>
      <c r="EA245" s="2220"/>
      <c r="EB245" s="2220"/>
      <c r="EC245" s="2220"/>
      <c r="ED245" s="2220"/>
      <c r="EE245" s="2220"/>
      <c r="EF245" s="2220"/>
      <c r="EG245" s="2220"/>
      <c r="EH245" s="2220"/>
      <c r="EI245" s="2220"/>
      <c r="EJ245" s="2220"/>
      <c r="EK245" s="2220"/>
      <c r="EL245" s="2220"/>
      <c r="EM245" s="2220"/>
      <c r="EN245" s="2220"/>
      <c r="EO245" s="2220"/>
      <c r="EP245" s="2220"/>
      <c r="EQ245" s="2220"/>
      <c r="ER245" s="2220"/>
      <c r="ES245" s="2220"/>
      <c r="ET245" s="2220"/>
      <c r="EU245" s="2220"/>
      <c r="EV245" s="2220"/>
      <c r="EW245" s="2220"/>
      <c r="EX245" s="2220"/>
      <c r="EY245" s="2220"/>
      <c r="EZ245" s="2220"/>
      <c r="FA245" s="2220"/>
      <c r="FB245" s="2220"/>
      <c r="FC245" s="2220"/>
      <c r="FD245" s="2220"/>
      <c r="FE245" s="2220"/>
      <c r="FF245" s="2220"/>
      <c r="FG245" s="2220"/>
      <c r="FH245" s="2220"/>
      <c r="FI245" s="2220"/>
      <c r="FJ245" s="2220"/>
      <c r="FK245" s="2220"/>
      <c r="FL245" s="2220"/>
      <c r="FM245" s="2220"/>
      <c r="FN245" s="2220"/>
      <c r="FO245" s="2220"/>
      <c r="FP245" s="2220"/>
      <c r="FQ245" s="2220"/>
      <c r="FR245" s="2220"/>
      <c r="FS245" s="2220"/>
      <c r="FT245" s="2220"/>
      <c r="FU245" s="2220"/>
      <c r="FV245" s="2220"/>
      <c r="FW245" s="2203"/>
      <c r="FX245" s="2203"/>
      <c r="FY245" s="2034"/>
      <c r="FZ245" s="2034"/>
      <c r="GA245" s="2034"/>
      <c r="GB245" s="2204"/>
      <c r="GC245" s="2204"/>
      <c r="GD245" s="2204"/>
      <c r="GE245" s="2204"/>
      <c r="GF245" s="2204"/>
      <c r="GG245" s="2204"/>
      <c r="GH245" s="2204"/>
      <c r="GI245" s="2204"/>
      <c r="GJ245" s="2204"/>
      <c r="GK245" s="2204"/>
      <c r="GL245" s="2204"/>
      <c r="GM245" s="2204"/>
      <c r="GN245" s="2204"/>
      <c r="GO245" s="2204"/>
      <c r="GP245" s="2204"/>
      <c r="GQ245" s="2204"/>
      <c r="GR245" s="2204"/>
      <c r="GS245" s="2204"/>
      <c r="GT245" s="2204"/>
      <c r="GU245" s="2204"/>
      <c r="GV245" s="2204"/>
      <c r="GW245" s="2204"/>
      <c r="GX245" s="2204"/>
      <c r="GY245" s="2204"/>
      <c r="GZ245" s="2204"/>
      <c r="HA245" s="2204"/>
      <c r="HB245" s="2204"/>
      <c r="HC245" s="2204"/>
      <c r="HD245" s="2204"/>
      <c r="HE245" s="2204"/>
      <c r="HF245" s="2204"/>
      <c r="HG245" s="2204"/>
      <c r="HH245" s="2204"/>
      <c r="HI245" s="2204"/>
      <c r="HJ245" s="2204"/>
      <c r="HK245" s="2204"/>
      <c r="HL245" s="2204"/>
      <c r="HM245" s="2204"/>
      <c r="HN245" s="2204"/>
      <c r="HO245" s="2204"/>
      <c r="HP245" s="2204"/>
      <c r="HQ245" s="2204"/>
      <c r="HR245" s="2204"/>
      <c r="HS245" s="2204"/>
      <c r="HT245" s="2204"/>
      <c r="HU245" s="2204"/>
      <c r="HV245" s="2204"/>
      <c r="HW245" s="2204"/>
      <c r="HX245" s="2204"/>
      <c r="HY245" s="2204"/>
      <c r="HZ245" s="2204"/>
      <c r="IA245" s="2204"/>
      <c r="IB245" s="2204"/>
      <c r="IC245" s="2204"/>
      <c r="ID245" s="2204"/>
      <c r="IE245" s="2204"/>
      <c r="IF245" s="2204"/>
      <c r="IG245" s="2204"/>
      <c r="IH245" s="2204"/>
      <c r="II245" s="2204"/>
      <c r="IJ245" s="2204"/>
      <c r="IK245" s="2204"/>
      <c r="IL245" s="2204"/>
      <c r="IM245" s="2204"/>
      <c r="IN245" s="2204"/>
      <c r="IO245" s="2204"/>
      <c r="IP245" s="2204"/>
      <c r="IQ245" s="2204"/>
      <c r="IR245" s="2204"/>
      <c r="IS245" s="2204"/>
      <c r="IT245" s="2204"/>
      <c r="IU245" s="2204"/>
      <c r="IV245" s="2204"/>
      <c r="IW245" s="2204"/>
      <c r="IX245" s="2204"/>
      <c r="IY245" s="2204"/>
      <c r="IZ245" s="2204"/>
      <c r="JA245" s="2204"/>
      <c r="JB245" s="2204"/>
      <c r="JC245" s="2204"/>
      <c r="JD245" s="2204"/>
      <c r="JE245" s="2204"/>
      <c r="JF245" s="2205"/>
      <c r="JG245" s="2026"/>
      <c r="JK245" s="2526"/>
    </row>
    <row r="246" spans="2:271" s="2024" customFormat="1" hidden="1">
      <c r="B246" s="2198">
        <v>33</v>
      </c>
      <c r="C246" s="2203"/>
      <c r="D246" s="2241" t="s">
        <v>1313</v>
      </c>
      <c r="E246" s="2242"/>
      <c r="F246" s="2214"/>
      <c r="G246" s="2244"/>
      <c r="H246" s="2214"/>
      <c r="I246" s="2214"/>
      <c r="J246" s="2214"/>
      <c r="K246" s="2244"/>
      <c r="L246" s="2214"/>
      <c r="M246" s="2214"/>
      <c r="N246" s="2214"/>
      <c r="O246" s="2214"/>
      <c r="P246" s="2214"/>
      <c r="Q246" s="2214"/>
      <c r="R246" s="2214"/>
      <c r="S246" s="2214"/>
      <c r="T246" s="2214"/>
      <c r="U246" s="2214"/>
      <c r="V246" s="2214"/>
      <c r="W246" s="2214"/>
      <c r="X246" s="2214"/>
      <c r="Y246" s="2214"/>
      <c r="Z246" s="2214"/>
      <c r="AA246" s="2214"/>
      <c r="AB246" s="2214"/>
      <c r="AC246" s="2214"/>
      <c r="AD246" s="2214"/>
      <c r="AE246" s="2214"/>
      <c r="AF246" s="2214"/>
      <c r="AG246" s="2214"/>
      <c r="AH246" s="2214"/>
      <c r="AI246" s="2214"/>
      <c r="AJ246" s="2214"/>
      <c r="AK246" s="2219"/>
      <c r="AL246" s="2214"/>
      <c r="AM246" s="2214"/>
      <c r="AN246" s="2214"/>
      <c r="AO246" s="2214"/>
      <c r="AP246" s="2214"/>
      <c r="AQ246" s="2214"/>
      <c r="AR246" s="2219"/>
      <c r="AS246" s="2219"/>
      <c r="AT246" s="2214"/>
      <c r="AU246" s="2214"/>
      <c r="AV246" s="2214"/>
      <c r="AW246" s="2214"/>
      <c r="AX246" s="2214"/>
      <c r="AY246" s="2214"/>
      <c r="AZ246" s="2214"/>
      <c r="BA246" s="2219"/>
      <c r="BB246" s="2219"/>
      <c r="BC246" s="2214"/>
      <c r="BD246" s="2214"/>
      <c r="BE246" s="2220"/>
      <c r="BF246" s="2219"/>
      <c r="BG246" s="2220"/>
      <c r="BH246" s="2220"/>
      <c r="BI246" s="2220"/>
      <c r="BJ246" s="2220"/>
      <c r="BK246" s="2220"/>
      <c r="BL246" s="2220"/>
      <c r="BM246" s="2220"/>
      <c r="BN246" s="2220"/>
      <c r="BO246" s="2220"/>
      <c r="BP246" s="2220"/>
      <c r="BQ246" s="2220"/>
      <c r="BR246" s="2220"/>
      <c r="BS246" s="2220"/>
      <c r="BT246" s="2220"/>
      <c r="BU246" s="2220"/>
      <c r="BV246" s="2220"/>
      <c r="BW246" s="2220"/>
      <c r="BX246" s="2220"/>
      <c r="BY246" s="2220"/>
      <c r="BZ246" s="2220"/>
      <c r="CA246" s="2220"/>
      <c r="CB246" s="2220"/>
      <c r="CC246" s="2220"/>
      <c r="CD246" s="2220"/>
      <c r="CE246" s="2220"/>
      <c r="CF246" s="2220"/>
      <c r="CG246" s="2220"/>
      <c r="CH246" s="2220"/>
      <c r="CI246" s="2220"/>
      <c r="CJ246" s="2220"/>
      <c r="CK246" s="2220"/>
      <c r="CL246" s="2220"/>
      <c r="CM246" s="2220"/>
      <c r="CN246" s="2220"/>
      <c r="CO246" s="2220"/>
      <c r="CP246" s="2220"/>
      <c r="CQ246" s="2220"/>
      <c r="CR246" s="2220"/>
      <c r="CS246" s="2220"/>
      <c r="CT246" s="2220"/>
      <c r="CU246" s="2220"/>
      <c r="CV246" s="2220"/>
      <c r="CW246" s="2220"/>
      <c r="CX246" s="2220"/>
      <c r="CY246" s="2220"/>
      <c r="CZ246" s="2220"/>
      <c r="DA246" s="2220"/>
      <c r="DB246" s="2220"/>
      <c r="DC246" s="2220"/>
      <c r="DD246" s="2220"/>
      <c r="DE246" s="2220"/>
      <c r="DF246" s="2220"/>
      <c r="DG246" s="2220"/>
      <c r="DH246" s="2220"/>
      <c r="DI246" s="2220"/>
      <c r="DJ246" s="2220"/>
      <c r="DK246" s="2220"/>
      <c r="DL246" s="2220"/>
      <c r="DM246" s="2220"/>
      <c r="DN246" s="2220"/>
      <c r="DO246" s="2220"/>
      <c r="DP246" s="2220"/>
      <c r="DQ246" s="2220"/>
      <c r="DR246" s="2220"/>
      <c r="DS246" s="2220"/>
      <c r="DT246" s="2220"/>
      <c r="DU246" s="2220"/>
      <c r="DV246" s="2220"/>
      <c r="DW246" s="2220"/>
      <c r="DX246" s="2220"/>
      <c r="DY246" s="2220"/>
      <c r="DZ246" s="2220"/>
      <c r="EA246" s="2220"/>
      <c r="EB246" s="2220"/>
      <c r="EC246" s="2220"/>
      <c r="ED246" s="2220"/>
      <c r="EE246" s="2220"/>
      <c r="EF246" s="2220"/>
      <c r="EG246" s="2220"/>
      <c r="EH246" s="2220"/>
      <c r="EI246" s="2220"/>
      <c r="EJ246" s="2220"/>
      <c r="EK246" s="2220"/>
      <c r="EL246" s="2220"/>
      <c r="EM246" s="2220"/>
      <c r="EN246" s="2220"/>
      <c r="EO246" s="2220"/>
      <c r="EP246" s="2220"/>
      <c r="EQ246" s="2220"/>
      <c r="ER246" s="2220"/>
      <c r="ES246" s="2220"/>
      <c r="ET246" s="2220"/>
      <c r="EU246" s="2220"/>
      <c r="EV246" s="2220"/>
      <c r="EW246" s="2220"/>
      <c r="EX246" s="2220"/>
      <c r="EY246" s="2220"/>
      <c r="EZ246" s="2220"/>
      <c r="FA246" s="2220"/>
      <c r="FB246" s="2220"/>
      <c r="FC246" s="2220"/>
      <c r="FD246" s="2220"/>
      <c r="FE246" s="2220"/>
      <c r="FF246" s="2220"/>
      <c r="FG246" s="2220"/>
      <c r="FH246" s="2220"/>
      <c r="FI246" s="2220"/>
      <c r="FJ246" s="2220"/>
      <c r="FK246" s="2220"/>
      <c r="FL246" s="2220"/>
      <c r="FM246" s="2220"/>
      <c r="FN246" s="2220"/>
      <c r="FO246" s="2220"/>
      <c r="FP246" s="2220"/>
      <c r="FQ246" s="2220"/>
      <c r="FR246" s="2220"/>
      <c r="FS246" s="2220"/>
      <c r="FT246" s="2220"/>
      <c r="FU246" s="2220"/>
      <c r="FV246" s="2220"/>
      <c r="FW246" s="2203"/>
      <c r="FX246" s="2203"/>
      <c r="FY246" s="2034"/>
      <c r="FZ246" s="2034"/>
      <c r="GA246" s="2034"/>
      <c r="GB246" s="2204"/>
      <c r="GC246" s="2204"/>
      <c r="GD246" s="2204"/>
      <c r="GE246" s="2204"/>
      <c r="GF246" s="2204"/>
      <c r="GG246" s="2204"/>
      <c r="GH246" s="2204"/>
      <c r="GI246" s="2204"/>
      <c r="GJ246" s="2204"/>
      <c r="GK246" s="2204"/>
      <c r="GL246" s="2204"/>
      <c r="GM246" s="2204"/>
      <c r="GN246" s="2204"/>
      <c r="GO246" s="2204"/>
      <c r="GP246" s="2204"/>
      <c r="GQ246" s="2204"/>
      <c r="GR246" s="2204"/>
      <c r="GS246" s="2204"/>
      <c r="GT246" s="2204"/>
      <c r="GU246" s="2204"/>
      <c r="GV246" s="2204"/>
      <c r="GW246" s="2204"/>
      <c r="GX246" s="2204"/>
      <c r="GY246" s="2204"/>
      <c r="GZ246" s="2204"/>
      <c r="HA246" s="2204"/>
      <c r="HB246" s="2204"/>
      <c r="HC246" s="2204"/>
      <c r="HD246" s="2204"/>
      <c r="HE246" s="2204"/>
      <c r="HF246" s="2204"/>
      <c r="HG246" s="2204"/>
      <c r="HH246" s="2204"/>
      <c r="HI246" s="2204"/>
      <c r="HJ246" s="2204"/>
      <c r="HK246" s="2204"/>
      <c r="HL246" s="2204"/>
      <c r="HM246" s="2204"/>
      <c r="HN246" s="2204"/>
      <c r="HO246" s="2204"/>
      <c r="HP246" s="2204"/>
      <c r="HQ246" s="2204"/>
      <c r="HR246" s="2204"/>
      <c r="HS246" s="2204"/>
      <c r="HT246" s="2204"/>
      <c r="HU246" s="2204"/>
      <c r="HV246" s="2204"/>
      <c r="HW246" s="2204"/>
      <c r="HX246" s="2204"/>
      <c r="HY246" s="2204"/>
      <c r="HZ246" s="2204"/>
      <c r="IA246" s="2204"/>
      <c r="IB246" s="2204"/>
      <c r="IC246" s="2204"/>
      <c r="ID246" s="2204"/>
      <c r="IE246" s="2204"/>
      <c r="IF246" s="2204"/>
      <c r="IG246" s="2204"/>
      <c r="IH246" s="2204"/>
      <c r="II246" s="2204"/>
      <c r="IJ246" s="2204"/>
      <c r="IK246" s="2204"/>
      <c r="IL246" s="2204"/>
      <c r="IM246" s="2204"/>
      <c r="IN246" s="2204"/>
      <c r="IO246" s="2204"/>
      <c r="IP246" s="2204"/>
      <c r="IQ246" s="2204"/>
      <c r="IR246" s="2204"/>
      <c r="IS246" s="2204"/>
      <c r="IT246" s="2204"/>
      <c r="IU246" s="2204"/>
      <c r="IV246" s="2204"/>
      <c r="IW246" s="2204"/>
      <c r="IX246" s="2204"/>
      <c r="IY246" s="2204"/>
      <c r="IZ246" s="2204"/>
      <c r="JA246" s="2204"/>
      <c r="JB246" s="2204"/>
      <c r="JC246" s="2204"/>
      <c r="JD246" s="2204"/>
      <c r="JE246" s="2204"/>
      <c r="JF246" s="2205"/>
      <c r="JG246" s="2026"/>
      <c r="JK246" s="2526"/>
    </row>
    <row r="247" spans="2:271" s="2024" customFormat="1" hidden="1">
      <c r="B247" s="2198">
        <v>34</v>
      </c>
      <c r="C247" s="2203"/>
      <c r="D247" s="2241" t="s">
        <v>1314</v>
      </c>
      <c r="E247" s="2242"/>
      <c r="F247" s="2214"/>
      <c r="G247" s="2244"/>
      <c r="H247" s="2214"/>
      <c r="I247" s="2214"/>
      <c r="J247" s="2214"/>
      <c r="K247" s="2244"/>
      <c r="L247" s="2214"/>
      <c r="M247" s="2214"/>
      <c r="N247" s="2214"/>
      <c r="O247" s="2214"/>
      <c r="P247" s="2214"/>
      <c r="Q247" s="2214"/>
      <c r="R247" s="2214"/>
      <c r="S247" s="2214"/>
      <c r="T247" s="2214"/>
      <c r="U247" s="2214"/>
      <c r="V247" s="2214"/>
      <c r="W247" s="2214"/>
      <c r="X247" s="2214"/>
      <c r="Y247" s="2214"/>
      <c r="Z247" s="2214"/>
      <c r="AA247" s="2214"/>
      <c r="AB247" s="2214"/>
      <c r="AC247" s="2214"/>
      <c r="AD247" s="2214"/>
      <c r="AE247" s="2214"/>
      <c r="AF247" s="2214"/>
      <c r="AG247" s="2214"/>
      <c r="AH247" s="2214"/>
      <c r="AI247" s="2214"/>
      <c r="AJ247" s="2214"/>
      <c r="AK247" s="2219"/>
      <c r="AL247" s="2214"/>
      <c r="AM247" s="2214"/>
      <c r="AN247" s="2214"/>
      <c r="AO247" s="2214"/>
      <c r="AP247" s="2214"/>
      <c r="AQ247" s="2214"/>
      <c r="AR247" s="2219"/>
      <c r="AS247" s="2219"/>
      <c r="AT247" s="2214"/>
      <c r="AU247" s="2214"/>
      <c r="AV247" s="2214"/>
      <c r="AW247" s="2214"/>
      <c r="AX247" s="2214"/>
      <c r="AY247" s="2214"/>
      <c r="AZ247" s="2214"/>
      <c r="BA247" s="2219"/>
      <c r="BB247" s="2219"/>
      <c r="BC247" s="2214"/>
      <c r="BD247" s="2214"/>
      <c r="BE247" s="2220"/>
      <c r="BF247" s="2219"/>
      <c r="BG247" s="2220"/>
      <c r="BH247" s="2220"/>
      <c r="BI247" s="2220"/>
      <c r="BJ247" s="2220"/>
      <c r="BK247" s="2220"/>
      <c r="BL247" s="2220"/>
      <c r="BM247" s="2220"/>
      <c r="BN247" s="2220"/>
      <c r="BO247" s="2220"/>
      <c r="BP247" s="2220"/>
      <c r="BQ247" s="2220"/>
      <c r="BR247" s="2220"/>
      <c r="BS247" s="2220"/>
      <c r="BT247" s="2220"/>
      <c r="BU247" s="2220"/>
      <c r="BV247" s="2220"/>
      <c r="BW247" s="2220"/>
      <c r="BX247" s="2220"/>
      <c r="BY247" s="2220"/>
      <c r="BZ247" s="2220"/>
      <c r="CA247" s="2220"/>
      <c r="CB247" s="2220"/>
      <c r="CC247" s="2220"/>
      <c r="CD247" s="2220"/>
      <c r="CE247" s="2220"/>
      <c r="CF247" s="2220"/>
      <c r="CG247" s="2220"/>
      <c r="CH247" s="2220"/>
      <c r="CI247" s="2220"/>
      <c r="CJ247" s="2220"/>
      <c r="CK247" s="2220"/>
      <c r="CL247" s="2220"/>
      <c r="CM247" s="2220"/>
      <c r="CN247" s="2220"/>
      <c r="CO247" s="2220"/>
      <c r="CP247" s="2220"/>
      <c r="CQ247" s="2220"/>
      <c r="CR247" s="2220"/>
      <c r="CS247" s="2220"/>
      <c r="CT247" s="2220"/>
      <c r="CU247" s="2220"/>
      <c r="CV247" s="2220"/>
      <c r="CW247" s="2220"/>
      <c r="CX247" s="2220"/>
      <c r="CY247" s="2220"/>
      <c r="CZ247" s="2220"/>
      <c r="DA247" s="2220"/>
      <c r="DB247" s="2220"/>
      <c r="DC247" s="2220"/>
      <c r="DD247" s="2220"/>
      <c r="DE247" s="2220"/>
      <c r="DF247" s="2220"/>
      <c r="DG247" s="2220"/>
      <c r="DH247" s="2220"/>
      <c r="DI247" s="2220"/>
      <c r="DJ247" s="2220"/>
      <c r="DK247" s="2220"/>
      <c r="DL247" s="2220"/>
      <c r="DM247" s="2220"/>
      <c r="DN247" s="2220"/>
      <c r="DO247" s="2220"/>
      <c r="DP247" s="2220"/>
      <c r="DQ247" s="2220"/>
      <c r="DR247" s="2220"/>
      <c r="DS247" s="2220"/>
      <c r="DT247" s="2220"/>
      <c r="DU247" s="2220"/>
      <c r="DV247" s="2220"/>
      <c r="DW247" s="2220"/>
      <c r="DX247" s="2220"/>
      <c r="DY247" s="2220"/>
      <c r="DZ247" s="2220"/>
      <c r="EA247" s="2220"/>
      <c r="EB247" s="2220"/>
      <c r="EC247" s="2220"/>
      <c r="ED247" s="2220"/>
      <c r="EE247" s="2220"/>
      <c r="EF247" s="2220"/>
      <c r="EG247" s="2220"/>
      <c r="EH247" s="2220"/>
      <c r="EI247" s="2220"/>
      <c r="EJ247" s="2220"/>
      <c r="EK247" s="2220"/>
      <c r="EL247" s="2220"/>
      <c r="EM247" s="2220"/>
      <c r="EN247" s="2220"/>
      <c r="EO247" s="2220"/>
      <c r="EP247" s="2220"/>
      <c r="EQ247" s="2220"/>
      <c r="ER247" s="2220"/>
      <c r="ES247" s="2220"/>
      <c r="ET247" s="2220"/>
      <c r="EU247" s="2220"/>
      <c r="EV247" s="2220"/>
      <c r="EW247" s="2220"/>
      <c r="EX247" s="2220"/>
      <c r="EY247" s="2220"/>
      <c r="EZ247" s="2220"/>
      <c r="FA247" s="2220"/>
      <c r="FB247" s="2220"/>
      <c r="FC247" s="2220"/>
      <c r="FD247" s="2220"/>
      <c r="FE247" s="2220"/>
      <c r="FF247" s="2220"/>
      <c r="FG247" s="2220"/>
      <c r="FH247" s="2220"/>
      <c r="FI247" s="2220"/>
      <c r="FJ247" s="2220"/>
      <c r="FK247" s="2220"/>
      <c r="FL247" s="2220"/>
      <c r="FM247" s="2220"/>
      <c r="FN247" s="2220"/>
      <c r="FO247" s="2220"/>
      <c r="FP247" s="2220"/>
      <c r="FQ247" s="2220"/>
      <c r="FR247" s="2220"/>
      <c r="FS247" s="2220"/>
      <c r="FT247" s="2220"/>
      <c r="FU247" s="2220"/>
      <c r="FV247" s="2220"/>
      <c r="FW247" s="2203"/>
      <c r="FX247" s="2203"/>
      <c r="FY247" s="2034"/>
      <c r="FZ247" s="2034"/>
      <c r="GA247" s="2034"/>
      <c r="GB247" s="2204"/>
      <c r="GC247" s="2204"/>
      <c r="GD247" s="2204"/>
      <c r="GE247" s="2204"/>
      <c r="GF247" s="2204"/>
      <c r="GG247" s="2204"/>
      <c r="GH247" s="2204"/>
      <c r="GI247" s="2204"/>
      <c r="GJ247" s="2204"/>
      <c r="GK247" s="2204"/>
      <c r="GL247" s="2204"/>
      <c r="GM247" s="2204"/>
      <c r="GN247" s="2204"/>
      <c r="GO247" s="2204"/>
      <c r="GP247" s="2204"/>
      <c r="GQ247" s="2204"/>
      <c r="GR247" s="2204"/>
      <c r="GS247" s="2204"/>
      <c r="GT247" s="2204"/>
      <c r="GU247" s="2204"/>
      <c r="GV247" s="2204"/>
      <c r="GW247" s="2204"/>
      <c r="GX247" s="2204"/>
      <c r="GY247" s="2204"/>
      <c r="GZ247" s="2204"/>
      <c r="HA247" s="2204"/>
      <c r="HB247" s="2204"/>
      <c r="HC247" s="2204"/>
      <c r="HD247" s="2204"/>
      <c r="HE247" s="2204"/>
      <c r="HF247" s="2204"/>
      <c r="HG247" s="2204"/>
      <c r="HH247" s="2204"/>
      <c r="HI247" s="2204"/>
      <c r="HJ247" s="2204"/>
      <c r="HK247" s="2204"/>
      <c r="HL247" s="2204"/>
      <c r="HM247" s="2204"/>
      <c r="HN247" s="2204"/>
      <c r="HO247" s="2204"/>
      <c r="HP247" s="2204"/>
      <c r="HQ247" s="2204"/>
      <c r="HR247" s="2204"/>
      <c r="HS247" s="2204"/>
      <c r="HT247" s="2204"/>
      <c r="HU247" s="2204"/>
      <c r="HV247" s="2204"/>
      <c r="HW247" s="2204"/>
      <c r="HX247" s="2204"/>
      <c r="HY247" s="2204"/>
      <c r="HZ247" s="2204"/>
      <c r="IA247" s="2204"/>
      <c r="IB247" s="2204"/>
      <c r="IC247" s="2204"/>
      <c r="ID247" s="2204"/>
      <c r="IE247" s="2204"/>
      <c r="IF247" s="2204"/>
      <c r="IG247" s="2204"/>
      <c r="IH247" s="2204"/>
      <c r="II247" s="2204"/>
      <c r="IJ247" s="2204"/>
      <c r="IK247" s="2204"/>
      <c r="IL247" s="2204"/>
      <c r="IM247" s="2204"/>
      <c r="IN247" s="2204"/>
      <c r="IO247" s="2204"/>
      <c r="IP247" s="2204"/>
      <c r="IQ247" s="2204"/>
      <c r="IR247" s="2204"/>
      <c r="IS247" s="2204"/>
      <c r="IT247" s="2204"/>
      <c r="IU247" s="2204"/>
      <c r="IV247" s="2204"/>
      <c r="IW247" s="2204"/>
      <c r="IX247" s="2204"/>
      <c r="IY247" s="2204"/>
      <c r="IZ247" s="2204"/>
      <c r="JA247" s="2204"/>
      <c r="JB247" s="2204"/>
      <c r="JC247" s="2204"/>
      <c r="JD247" s="2204"/>
      <c r="JE247" s="2204"/>
      <c r="JF247" s="2205"/>
      <c r="JG247" s="2026"/>
      <c r="JK247" s="2526"/>
    </row>
    <row r="248" spans="2:271" s="2024" customFormat="1" ht="17.25" hidden="1" customHeight="1" thickBot="1">
      <c r="B248" s="2189">
        <v>35</v>
      </c>
      <c r="C248" s="2203"/>
      <c r="D248" s="2215" t="s">
        <v>490</v>
      </c>
      <c r="E248" s="2213"/>
      <c r="F248" s="2213"/>
      <c r="G248" s="2243"/>
      <c r="H248" s="2213"/>
      <c r="I248" s="2213"/>
      <c r="J248" s="2213"/>
      <c r="K248" s="2243"/>
      <c r="L248" s="2213"/>
      <c r="M248" s="2213"/>
      <c r="N248" s="2213"/>
      <c r="O248" s="2213"/>
      <c r="P248" s="2213"/>
      <c r="Q248" s="2213"/>
      <c r="R248" s="2213"/>
      <c r="S248" s="2213"/>
      <c r="T248" s="2213"/>
      <c r="U248" s="2213"/>
      <c r="V248" s="2213"/>
      <c r="W248" s="2213"/>
      <c r="X248" s="2213"/>
      <c r="Y248" s="2213"/>
      <c r="Z248" s="2245"/>
      <c r="AA248" s="2245"/>
      <c r="AB248" s="2245"/>
      <c r="AC248" s="2245"/>
      <c r="AD248" s="2245"/>
      <c r="AE248" s="2245"/>
      <c r="AF248" s="2245"/>
      <c r="AG248" s="2245"/>
      <c r="AH248" s="2245"/>
      <c r="AI248" s="2245"/>
      <c r="AJ248" s="2245"/>
      <c r="AK248" s="2245"/>
      <c r="AL248" s="2245"/>
      <c r="AM248" s="2245"/>
      <c r="AN248" s="2245"/>
      <c r="AO248" s="2246"/>
      <c r="AP248" s="2246"/>
      <c r="AQ248" s="2246"/>
      <c r="AR248" s="2247"/>
      <c r="AS248" s="2247"/>
      <c r="AT248" s="2246"/>
      <c r="AU248" s="2246"/>
      <c r="AV248" s="2246"/>
      <c r="AW248" s="2246"/>
      <c r="AX248" s="2246"/>
      <c r="AY248" s="2246"/>
      <c r="AZ248" s="2246"/>
      <c r="BA248" s="2247"/>
      <c r="BB248" s="2247"/>
      <c r="BC248" s="2246"/>
      <c r="BD248" s="2246"/>
      <c r="BE248" s="2248"/>
      <c r="BF248" s="2247"/>
      <c r="BG248" s="2248"/>
      <c r="BH248" s="2248"/>
      <c r="BI248" s="2248"/>
      <c r="BJ248" s="2248"/>
      <c r="BK248" s="2248"/>
      <c r="BL248" s="2248"/>
      <c r="BM248" s="2248"/>
      <c r="BN248" s="2248"/>
      <c r="BO248" s="2248"/>
      <c r="BP248" s="2248"/>
      <c r="BQ248" s="2248"/>
      <c r="BR248" s="2248"/>
      <c r="BS248" s="2248"/>
      <c r="BT248" s="2248"/>
      <c r="BU248" s="2248"/>
      <c r="BV248" s="2248"/>
      <c r="BW248" s="2248"/>
      <c r="BX248" s="2248"/>
      <c r="BY248" s="2248"/>
      <c r="BZ248" s="2248"/>
      <c r="CA248" s="2248"/>
      <c r="CB248" s="2211"/>
      <c r="CC248" s="2211"/>
      <c r="CD248" s="2211"/>
      <c r="CE248" s="2211"/>
      <c r="CF248" s="2211"/>
      <c r="CG248" s="2211"/>
      <c r="CH248" s="2211"/>
      <c r="CI248" s="2211"/>
      <c r="CJ248" s="2211"/>
      <c r="CK248" s="2211"/>
      <c r="CL248" s="2211"/>
      <c r="CM248" s="2211"/>
      <c r="CN248" s="2211"/>
      <c r="CO248" s="2211"/>
      <c r="CP248" s="2211"/>
      <c r="CQ248" s="2211"/>
      <c r="CR248" s="2211"/>
      <c r="CS248" s="2211"/>
      <c r="CT248" s="2211"/>
      <c r="CU248" s="2211"/>
      <c r="CV248" s="2211"/>
      <c r="CW248" s="2211"/>
      <c r="CX248" s="2211"/>
      <c r="CY248" s="2211"/>
      <c r="CZ248" s="2211"/>
      <c r="DA248" s="2211"/>
      <c r="DB248" s="2211"/>
      <c r="DC248" s="2211"/>
      <c r="DD248" s="2211"/>
      <c r="DE248" s="2211"/>
      <c r="DF248" s="2211"/>
      <c r="DG248" s="2211"/>
      <c r="DH248" s="2211"/>
      <c r="DI248" s="2211"/>
      <c r="DJ248" s="2211"/>
      <c r="DK248" s="2211"/>
      <c r="DL248" s="2211"/>
      <c r="DM248" s="2211"/>
      <c r="DN248" s="2211"/>
      <c r="DO248" s="2211"/>
      <c r="DP248" s="2211"/>
      <c r="DQ248" s="2211"/>
      <c r="DR248" s="2211"/>
      <c r="DS248" s="2211"/>
      <c r="DT248" s="2211"/>
      <c r="DU248" s="2211"/>
      <c r="DV248" s="2211"/>
      <c r="DW248" s="2211"/>
      <c r="DX248" s="2211"/>
      <c r="DY248" s="2211"/>
      <c r="DZ248" s="2211"/>
      <c r="EA248" s="2211"/>
      <c r="EB248" s="2211"/>
      <c r="EC248" s="2211"/>
      <c r="ED248" s="2211"/>
      <c r="EE248" s="2211"/>
      <c r="EF248" s="2211"/>
      <c r="EG248" s="2211"/>
      <c r="EH248" s="2211"/>
      <c r="EI248" s="2211"/>
      <c r="EJ248" s="2211"/>
      <c r="EK248" s="2211"/>
      <c r="EL248" s="2211"/>
      <c r="EM248" s="2211"/>
      <c r="EN248" s="2211"/>
      <c r="EO248" s="2211"/>
      <c r="EP248" s="2211"/>
      <c r="EQ248" s="2211"/>
      <c r="ER248" s="2211"/>
      <c r="ES248" s="2211"/>
      <c r="ET248" s="2211"/>
      <c r="EU248" s="2211"/>
      <c r="EV248" s="2211"/>
      <c r="EW248" s="2211"/>
      <c r="EX248" s="2211"/>
      <c r="EY248" s="2211"/>
      <c r="EZ248" s="2211"/>
      <c r="FA248" s="2211"/>
      <c r="FB248" s="2211"/>
      <c r="FC248" s="2211"/>
      <c r="FD248" s="2211"/>
      <c r="FE248" s="2211"/>
      <c r="FF248" s="2211"/>
      <c r="FG248" s="2211"/>
      <c r="FH248" s="2211"/>
      <c r="FI248" s="2211"/>
      <c r="FJ248" s="2211"/>
      <c r="FK248" s="2211"/>
      <c r="FL248" s="2211"/>
      <c r="FM248" s="2211"/>
      <c r="FN248" s="2211"/>
      <c r="FO248" s="2211"/>
      <c r="FP248" s="2211"/>
      <c r="FQ248" s="2211"/>
      <c r="FR248" s="2211"/>
      <c r="FS248" s="2211"/>
      <c r="FT248" s="2211"/>
      <c r="FU248" s="2211"/>
      <c r="FV248" s="2211"/>
      <c r="FW248" s="2203"/>
      <c r="FX248" s="2203"/>
      <c r="FY248" s="2034"/>
      <c r="FZ248" s="2034"/>
      <c r="GA248" s="2034"/>
      <c r="GB248" s="2204"/>
      <c r="GC248" s="2204"/>
      <c r="GD248" s="2204"/>
      <c r="GE248" s="2204"/>
      <c r="GF248" s="2204"/>
      <c r="GG248" s="2204"/>
      <c r="GH248" s="2204"/>
      <c r="GI248" s="2204"/>
      <c r="GJ248" s="2204"/>
      <c r="GK248" s="2204"/>
      <c r="GL248" s="2204"/>
      <c r="GM248" s="2204"/>
      <c r="GN248" s="2204"/>
      <c r="GO248" s="2204"/>
      <c r="GP248" s="2204"/>
      <c r="GQ248" s="2204"/>
      <c r="GR248" s="2204"/>
      <c r="GS248" s="2204"/>
      <c r="GT248" s="2204"/>
      <c r="GU248" s="2204"/>
      <c r="GV248" s="2204"/>
      <c r="GW248" s="2204"/>
      <c r="GX248" s="2204"/>
      <c r="GY248" s="2204"/>
      <c r="GZ248" s="2204"/>
      <c r="HA248" s="2204"/>
      <c r="HB248" s="2204"/>
      <c r="HC248" s="2204"/>
      <c r="HD248" s="2204"/>
      <c r="HE248" s="2204"/>
      <c r="HF248" s="2204"/>
      <c r="HG248" s="2204"/>
      <c r="HH248" s="2204"/>
      <c r="HI248" s="2204"/>
      <c r="HJ248" s="2204"/>
      <c r="HK248" s="2204"/>
      <c r="HL248" s="2204"/>
      <c r="HM248" s="2204"/>
      <c r="HN248" s="2204"/>
      <c r="HO248" s="2204"/>
      <c r="HP248" s="2204"/>
      <c r="HQ248" s="2204"/>
      <c r="HR248" s="2204"/>
      <c r="HS248" s="2204"/>
      <c r="HT248" s="2204"/>
      <c r="HU248" s="2204"/>
      <c r="HV248" s="2204"/>
      <c r="HW248" s="2204"/>
      <c r="HX248" s="2204"/>
      <c r="HY248" s="2204"/>
      <c r="HZ248" s="2204"/>
      <c r="IA248" s="2204"/>
      <c r="IB248" s="2204"/>
      <c r="IC248" s="2204"/>
      <c r="ID248" s="2204"/>
      <c r="IE248" s="2204"/>
      <c r="IF248" s="2204"/>
      <c r="IG248" s="2204"/>
      <c r="IH248" s="2204"/>
      <c r="II248" s="2204"/>
      <c r="IJ248" s="2204"/>
      <c r="IK248" s="2204"/>
      <c r="IL248" s="2204"/>
      <c r="IM248" s="2204"/>
      <c r="IN248" s="2204"/>
      <c r="IO248" s="2204"/>
      <c r="IP248" s="2204"/>
      <c r="IQ248" s="2204"/>
      <c r="IR248" s="2204"/>
      <c r="IS248" s="2204"/>
      <c r="IT248" s="2204"/>
      <c r="IU248" s="2204"/>
      <c r="IV248" s="2204"/>
      <c r="IW248" s="2204"/>
      <c r="IX248" s="2204"/>
      <c r="IY248" s="2204"/>
      <c r="IZ248" s="2204"/>
      <c r="JA248" s="2204"/>
      <c r="JB248" s="2204"/>
      <c r="JC248" s="2204"/>
      <c r="JD248" s="2204"/>
      <c r="JE248" s="2204"/>
      <c r="JF248" s="2205"/>
      <c r="JG248" s="2026"/>
      <c r="JK248" s="2526"/>
    </row>
    <row r="249" spans="2:271" s="2024" customFormat="1" ht="16.5" hidden="1" customHeight="1">
      <c r="B249" s="2189">
        <v>36</v>
      </c>
      <c r="C249" s="2203"/>
      <c r="D249" s="2215" t="s">
        <v>855</v>
      </c>
      <c r="E249" s="2215"/>
      <c r="F249" s="2215"/>
      <c r="G249" s="2243"/>
      <c r="H249" s="2215"/>
      <c r="I249" s="2215"/>
      <c r="J249" s="2215"/>
      <c r="K249" s="2243"/>
      <c r="L249" s="2215"/>
      <c r="M249" s="2215"/>
      <c r="N249" s="2215"/>
      <c r="O249" s="2215"/>
      <c r="P249" s="2215"/>
      <c r="Q249" s="2215"/>
      <c r="R249" s="2215"/>
      <c r="S249" s="2215"/>
      <c r="T249" s="2215"/>
      <c r="U249" s="2215"/>
      <c r="V249" s="2215"/>
      <c r="W249" s="2215"/>
      <c r="X249" s="2215"/>
      <c r="Y249" s="2215"/>
      <c r="Z249" s="2215"/>
      <c r="AA249" s="2215"/>
      <c r="AB249" s="2215"/>
      <c r="AC249" s="2215"/>
      <c r="AD249" s="2215"/>
      <c r="AE249" s="2215"/>
      <c r="AF249" s="2215"/>
      <c r="AG249" s="2215"/>
      <c r="AH249" s="2215"/>
      <c r="AI249" s="2215"/>
      <c r="AJ249" s="2215"/>
      <c r="AK249" s="2215"/>
      <c r="AL249" s="2215"/>
      <c r="AM249" s="2215"/>
      <c r="AN249" s="2215"/>
      <c r="AO249" s="2215"/>
      <c r="AP249" s="2215"/>
      <c r="AQ249" s="2215"/>
      <c r="AR249" s="2215"/>
      <c r="AS249" s="2215"/>
      <c r="AT249" s="2215"/>
      <c r="AU249" s="2215"/>
      <c r="AV249" s="2215"/>
      <c r="AW249" s="2215"/>
      <c r="AX249" s="2215"/>
      <c r="AY249" s="2215"/>
      <c r="AZ249" s="2215"/>
      <c r="BA249" s="2215"/>
      <c r="BB249" s="2215"/>
      <c r="BC249" s="2215"/>
      <c r="BD249" s="2215"/>
      <c r="BE249" s="2215"/>
      <c r="BF249" s="2215"/>
      <c r="BG249" s="2215"/>
      <c r="BH249" s="2215"/>
      <c r="BI249" s="2215"/>
      <c r="BJ249" s="2215"/>
      <c r="BK249" s="2215"/>
      <c r="BL249" s="2215"/>
      <c r="BM249" s="2215"/>
      <c r="BN249" s="2215"/>
      <c r="BO249" s="2215"/>
      <c r="BP249" s="2215"/>
      <c r="BQ249" s="2215"/>
      <c r="BR249" s="2215"/>
      <c r="BS249" s="2215"/>
      <c r="BT249" s="2215"/>
      <c r="BU249" s="2215"/>
      <c r="BV249" s="2215"/>
      <c r="BW249" s="2215"/>
      <c r="BX249" s="2215"/>
      <c r="BY249" s="2215"/>
      <c r="BZ249" s="2215"/>
      <c r="CA249" s="2215"/>
      <c r="CB249" s="2215"/>
      <c r="CC249" s="2215"/>
      <c r="CD249" s="2215"/>
      <c r="CE249" s="2215"/>
      <c r="CF249" s="2215"/>
      <c r="CG249" s="2215"/>
      <c r="CH249" s="2215"/>
      <c r="CI249" s="2215"/>
      <c r="CJ249" s="2215"/>
      <c r="CK249" s="2215"/>
      <c r="CL249" s="2215"/>
      <c r="CM249" s="2215"/>
      <c r="CN249" s="2215"/>
      <c r="CO249" s="2423"/>
      <c r="CP249" s="2423"/>
      <c r="CQ249" s="2423"/>
      <c r="CR249" s="2423"/>
      <c r="CS249" s="2423"/>
      <c r="CT249" s="2423"/>
      <c r="CU249" s="2423"/>
      <c r="CV249" s="2423"/>
      <c r="CW249" s="2423"/>
      <c r="CX249" s="2423"/>
      <c r="CY249" s="2423"/>
      <c r="CZ249" s="2423"/>
      <c r="DA249" s="2423"/>
      <c r="DB249" s="2423"/>
      <c r="DC249" s="2423"/>
      <c r="DD249" s="2423"/>
      <c r="DE249" s="2423"/>
      <c r="DF249" s="2423"/>
      <c r="DG249" s="2423"/>
      <c r="DH249" s="2423"/>
      <c r="DI249" s="2423"/>
      <c r="DJ249" s="2211"/>
      <c r="DK249" s="2211"/>
      <c r="DL249" s="2211"/>
      <c r="DM249" s="2211"/>
      <c r="DN249" s="2211"/>
      <c r="DO249" s="2211"/>
      <c r="DP249" s="2211"/>
      <c r="DQ249" s="2211"/>
      <c r="DR249" s="2211"/>
      <c r="DS249" s="2211"/>
      <c r="DT249" s="2211"/>
      <c r="DU249" s="2211"/>
      <c r="DV249" s="2211"/>
      <c r="DW249" s="2211"/>
      <c r="DX249" s="2211"/>
      <c r="DY249" s="2211"/>
      <c r="DZ249" s="2211"/>
      <c r="EA249" s="2211"/>
      <c r="EB249" s="2211"/>
      <c r="EC249" s="2211"/>
      <c r="ED249" s="2211"/>
      <c r="EE249" s="2211"/>
      <c r="EF249" s="2211"/>
      <c r="EG249" s="2211"/>
      <c r="EH249" s="2211"/>
      <c r="EI249" s="2211"/>
      <c r="EJ249" s="2211"/>
      <c r="EK249" s="2211"/>
      <c r="EL249" s="2211"/>
      <c r="EM249" s="2211"/>
      <c r="EN249" s="2211"/>
      <c r="EO249" s="2211"/>
      <c r="EP249" s="2211"/>
      <c r="EQ249" s="2211"/>
      <c r="ER249" s="2211"/>
      <c r="ES249" s="2211"/>
      <c r="ET249" s="2211"/>
      <c r="EU249" s="2211"/>
      <c r="EV249" s="2211"/>
      <c r="EW249" s="2211"/>
      <c r="EX249" s="2211"/>
      <c r="EY249" s="2211"/>
      <c r="EZ249" s="2211"/>
      <c r="FA249" s="2211"/>
      <c r="FB249" s="2211"/>
      <c r="FC249" s="2211"/>
      <c r="FD249" s="2211"/>
      <c r="FE249" s="2211"/>
      <c r="FF249" s="2211"/>
      <c r="FG249" s="2211"/>
      <c r="FH249" s="2211"/>
      <c r="FI249" s="2211"/>
      <c r="FJ249" s="2211"/>
      <c r="FK249" s="2211"/>
      <c r="FL249" s="2211"/>
      <c r="FM249" s="2211"/>
      <c r="FN249" s="2211"/>
      <c r="FO249" s="2211"/>
      <c r="FP249" s="2211"/>
      <c r="FQ249" s="2211"/>
      <c r="FR249" s="2211"/>
      <c r="FS249" s="2211"/>
      <c r="FT249" s="2211"/>
      <c r="FU249" s="2211"/>
      <c r="FV249" s="2211"/>
      <c r="FW249" s="2203"/>
      <c r="FX249" s="2203"/>
      <c r="FY249" s="2034"/>
      <c r="FZ249" s="2034"/>
      <c r="GA249" s="2034"/>
      <c r="GB249" s="2204"/>
      <c r="GC249" s="2204"/>
      <c r="GD249" s="2204"/>
      <c r="GE249" s="2204"/>
      <c r="GF249" s="2204"/>
      <c r="GG249" s="2204"/>
      <c r="GH249" s="2204"/>
      <c r="GI249" s="2204"/>
      <c r="GJ249" s="2204"/>
      <c r="GK249" s="2204"/>
      <c r="GL249" s="2204"/>
      <c r="GM249" s="2204"/>
      <c r="GN249" s="2204"/>
      <c r="GO249" s="2204"/>
      <c r="GP249" s="2204"/>
      <c r="GQ249" s="2204"/>
      <c r="GR249" s="2204"/>
      <c r="GS249" s="2204"/>
      <c r="GT249" s="2204"/>
      <c r="GU249" s="2204"/>
      <c r="GV249" s="2204"/>
      <c r="GW249" s="2204"/>
      <c r="GX249" s="2204"/>
      <c r="GY249" s="2204"/>
      <c r="GZ249" s="2204"/>
      <c r="HA249" s="2204"/>
      <c r="HB249" s="2204"/>
      <c r="HC249" s="2204"/>
      <c r="HD249" s="2204"/>
      <c r="HE249" s="2204"/>
      <c r="HF249" s="2204"/>
      <c r="HG249" s="2204"/>
      <c r="HH249" s="2204"/>
      <c r="HI249" s="2204"/>
      <c r="HJ249" s="2204"/>
      <c r="HK249" s="2204"/>
      <c r="HL249" s="2204"/>
      <c r="HM249" s="2204"/>
      <c r="HN249" s="2204"/>
      <c r="HO249" s="2204"/>
      <c r="HP249" s="2204"/>
      <c r="HQ249" s="2204"/>
      <c r="HR249" s="2204"/>
      <c r="HS249" s="2204"/>
      <c r="HT249" s="2204"/>
      <c r="HU249" s="2204"/>
      <c r="HV249" s="2204"/>
      <c r="HW249" s="2204"/>
      <c r="HX249" s="2204"/>
      <c r="HY249" s="2204"/>
      <c r="HZ249" s="2204"/>
      <c r="IA249" s="2204"/>
      <c r="IB249" s="2204"/>
      <c r="IC249" s="2204"/>
      <c r="ID249" s="2204"/>
      <c r="IE249" s="2204"/>
      <c r="IF249" s="2204"/>
      <c r="IG249" s="2204"/>
      <c r="IH249" s="2204"/>
      <c r="II249" s="2204"/>
      <c r="IJ249" s="2204"/>
      <c r="IK249" s="2204"/>
      <c r="IL249" s="2204"/>
      <c r="IM249" s="2204"/>
      <c r="IN249" s="2204"/>
      <c r="IO249" s="2204"/>
      <c r="IP249" s="2204"/>
      <c r="IQ249" s="2204"/>
      <c r="IR249" s="2204"/>
      <c r="IS249" s="2204"/>
      <c r="IT249" s="2204"/>
      <c r="IU249" s="2204"/>
      <c r="IV249" s="2204"/>
      <c r="IW249" s="2204"/>
      <c r="IX249" s="2204"/>
      <c r="IY249" s="2204"/>
      <c r="IZ249" s="2204"/>
      <c r="JA249" s="2204"/>
      <c r="JB249" s="2204"/>
      <c r="JC249" s="2204"/>
      <c r="JD249" s="2204"/>
      <c r="JE249" s="2204"/>
      <c r="JF249" s="2205"/>
      <c r="JG249" s="2026"/>
      <c r="JK249" s="2526"/>
    </row>
    <row r="250" spans="2:271" s="2024" customFormat="1" ht="16.5" hidden="1" customHeight="1">
      <c r="B250" s="2189" t="s">
        <v>136</v>
      </c>
      <c r="C250" s="2203"/>
      <c r="D250" s="2215" t="s">
        <v>119</v>
      </c>
      <c r="E250" s="2215"/>
      <c r="F250" s="2215"/>
      <c r="G250" s="2243"/>
      <c r="H250" s="2215"/>
      <c r="I250" s="2215"/>
      <c r="J250" s="2215"/>
      <c r="K250" s="2243"/>
      <c r="L250" s="2215"/>
      <c r="M250" s="2215"/>
      <c r="N250" s="2215"/>
      <c r="O250" s="2215"/>
      <c r="P250" s="2215"/>
      <c r="Q250" s="2215"/>
      <c r="R250" s="2215"/>
      <c r="S250" s="2215"/>
      <c r="T250" s="2215"/>
      <c r="U250" s="2215"/>
      <c r="V250" s="2215"/>
      <c r="W250" s="2215"/>
      <c r="X250" s="2215"/>
      <c r="Y250" s="2215"/>
      <c r="Z250" s="2215"/>
      <c r="AA250" s="2215"/>
      <c r="AB250" s="2215"/>
      <c r="AC250" s="2215"/>
      <c r="AD250" s="2215"/>
      <c r="AE250" s="2215"/>
      <c r="AF250" s="2215"/>
      <c r="AG250" s="2215"/>
      <c r="AH250" s="2215"/>
      <c r="AI250" s="2215"/>
      <c r="AJ250" s="2215"/>
      <c r="AK250" s="2215"/>
      <c r="AL250" s="2215"/>
      <c r="AM250" s="2215"/>
      <c r="AN250" s="2215"/>
      <c r="AO250" s="2215"/>
      <c r="AP250" s="2215"/>
      <c r="AQ250" s="2215"/>
      <c r="AR250" s="2215"/>
      <c r="AS250" s="2215"/>
      <c r="AT250" s="2215"/>
      <c r="AU250" s="2215"/>
      <c r="AV250" s="2215"/>
      <c r="AW250" s="2215"/>
      <c r="AX250" s="2215"/>
      <c r="AY250" s="2215"/>
      <c r="AZ250" s="2215"/>
      <c r="BA250" s="2215"/>
      <c r="BB250" s="2215"/>
      <c r="BC250" s="2215"/>
      <c r="BD250" s="2215"/>
      <c r="BE250" s="2215"/>
      <c r="BF250" s="2215"/>
      <c r="BG250" s="2215"/>
      <c r="BH250" s="2215"/>
      <c r="BI250" s="2215"/>
      <c r="BJ250" s="2215"/>
      <c r="BK250" s="2215"/>
      <c r="BL250" s="2215"/>
      <c r="BM250" s="2215"/>
      <c r="BN250" s="2215"/>
      <c r="BO250" s="2215"/>
      <c r="BP250" s="2215"/>
      <c r="BQ250" s="2215"/>
      <c r="BR250" s="2215"/>
      <c r="BS250" s="2215"/>
      <c r="BT250" s="2215"/>
      <c r="BU250" s="2215"/>
      <c r="BV250" s="2215"/>
      <c r="BW250" s="2215"/>
      <c r="BX250" s="2215"/>
      <c r="BY250" s="2215"/>
      <c r="BZ250" s="2215"/>
      <c r="CA250" s="2215"/>
      <c r="CB250" s="2215"/>
      <c r="CC250" s="2215"/>
      <c r="CD250" s="2215"/>
      <c r="CE250" s="2215"/>
      <c r="CF250" s="2215"/>
      <c r="CG250" s="2215"/>
      <c r="CH250" s="2215"/>
      <c r="CI250" s="2215"/>
      <c r="CJ250" s="2215"/>
      <c r="CK250" s="2215"/>
      <c r="CL250" s="2215"/>
      <c r="CM250" s="2215"/>
      <c r="CN250" s="2215"/>
      <c r="CO250" s="2423"/>
      <c r="CP250" s="2423"/>
      <c r="CQ250" s="2423"/>
      <c r="CR250" s="2423"/>
      <c r="CS250" s="2423"/>
      <c r="CT250" s="2423"/>
      <c r="CU250" s="2423"/>
      <c r="CV250" s="2423"/>
      <c r="CW250" s="2423"/>
      <c r="CX250" s="2423"/>
      <c r="CY250" s="2423"/>
      <c r="CZ250" s="2423"/>
      <c r="DA250" s="2423"/>
      <c r="DB250" s="2423"/>
      <c r="DC250" s="2423"/>
      <c r="DD250" s="2423"/>
      <c r="DE250" s="2423"/>
      <c r="DF250" s="2423"/>
      <c r="DG250" s="2423"/>
      <c r="DH250" s="2423"/>
      <c r="DI250" s="2423"/>
      <c r="DJ250" s="2211"/>
      <c r="DK250" s="2211"/>
      <c r="DL250" s="2211"/>
      <c r="DM250" s="2211"/>
      <c r="DN250" s="2211"/>
      <c r="DO250" s="2211"/>
      <c r="DP250" s="2211"/>
      <c r="DQ250" s="2211"/>
      <c r="DR250" s="2211"/>
      <c r="DS250" s="2211"/>
      <c r="DT250" s="2211"/>
      <c r="DU250" s="2211"/>
      <c r="DV250" s="2211"/>
      <c r="DW250" s="2211"/>
      <c r="DX250" s="2211"/>
      <c r="DY250" s="2211"/>
      <c r="DZ250" s="2211"/>
      <c r="EA250" s="2211"/>
      <c r="EB250" s="2211"/>
      <c r="EC250" s="2211"/>
      <c r="ED250" s="2211"/>
      <c r="EE250" s="2211"/>
      <c r="EF250" s="2211"/>
      <c r="EG250" s="2211"/>
      <c r="EH250" s="2211"/>
      <c r="EI250" s="2211"/>
      <c r="EJ250" s="2211"/>
      <c r="EK250" s="2211"/>
      <c r="EL250" s="2211"/>
      <c r="EM250" s="2211"/>
      <c r="EN250" s="2211"/>
      <c r="EO250" s="2211"/>
      <c r="EP250" s="2211"/>
      <c r="EQ250" s="2211"/>
      <c r="ER250" s="2211"/>
      <c r="ES250" s="2211"/>
      <c r="ET250" s="2211"/>
      <c r="EU250" s="2211"/>
      <c r="EV250" s="2211"/>
      <c r="EW250" s="2211"/>
      <c r="EX250" s="2211"/>
      <c r="EY250" s="2211"/>
      <c r="EZ250" s="2211"/>
      <c r="FA250" s="2211"/>
      <c r="FB250" s="2211"/>
      <c r="FC250" s="2211"/>
      <c r="FD250" s="2211"/>
      <c r="FE250" s="2211"/>
      <c r="FF250" s="2211"/>
      <c r="FG250" s="2211"/>
      <c r="FH250" s="2211"/>
      <c r="FI250" s="2211"/>
      <c r="FJ250" s="2211"/>
      <c r="FK250" s="2211"/>
      <c r="FL250" s="2211"/>
      <c r="FM250" s="2211"/>
      <c r="FN250" s="2211"/>
      <c r="FO250" s="2211"/>
      <c r="FP250" s="2211"/>
      <c r="FQ250" s="2211"/>
      <c r="FR250" s="2211"/>
      <c r="FS250" s="2211"/>
      <c r="FT250" s="2211"/>
      <c r="FU250" s="2211"/>
      <c r="FV250" s="2211"/>
      <c r="FW250" s="2203"/>
      <c r="FX250" s="2203"/>
      <c r="FY250" s="2034"/>
      <c r="FZ250" s="2034"/>
      <c r="GA250" s="2034"/>
      <c r="GB250" s="2204"/>
      <c r="GC250" s="2204"/>
      <c r="GD250" s="2204"/>
      <c r="GE250" s="2204"/>
      <c r="GF250" s="2204"/>
      <c r="GG250" s="2204"/>
      <c r="GH250" s="2204"/>
      <c r="GI250" s="2204"/>
      <c r="GJ250" s="2204"/>
      <c r="GK250" s="2204"/>
      <c r="GL250" s="2204"/>
      <c r="GM250" s="2204"/>
      <c r="GN250" s="2204"/>
      <c r="GO250" s="2204"/>
      <c r="GP250" s="2204"/>
      <c r="GQ250" s="2204"/>
      <c r="GR250" s="2204"/>
      <c r="GS250" s="2204"/>
      <c r="GT250" s="2204"/>
      <c r="GU250" s="2204"/>
      <c r="GV250" s="2204"/>
      <c r="GW250" s="2204"/>
      <c r="GX250" s="2204"/>
      <c r="GY250" s="2204"/>
      <c r="GZ250" s="2204"/>
      <c r="HA250" s="2204"/>
      <c r="HB250" s="2204"/>
      <c r="HC250" s="2204"/>
      <c r="HD250" s="2204"/>
      <c r="HE250" s="2204"/>
      <c r="HF250" s="2204"/>
      <c r="HG250" s="2204"/>
      <c r="HH250" s="2204"/>
      <c r="HI250" s="2204"/>
      <c r="HJ250" s="2204"/>
      <c r="HK250" s="2204"/>
      <c r="HL250" s="2204"/>
      <c r="HM250" s="2204"/>
      <c r="HN250" s="2204"/>
      <c r="HO250" s="2204"/>
      <c r="HP250" s="2204"/>
      <c r="HQ250" s="2204"/>
      <c r="HR250" s="2204"/>
      <c r="HS250" s="2204"/>
      <c r="HT250" s="2204"/>
      <c r="HU250" s="2204"/>
      <c r="HV250" s="2204"/>
      <c r="HW250" s="2204"/>
      <c r="HX250" s="2204"/>
      <c r="HY250" s="2204"/>
      <c r="HZ250" s="2204"/>
      <c r="IA250" s="2204"/>
      <c r="IB250" s="2204"/>
      <c r="IC250" s="2204"/>
      <c r="ID250" s="2204"/>
      <c r="IE250" s="2204"/>
      <c r="IF250" s="2204"/>
      <c r="IG250" s="2204"/>
      <c r="IH250" s="2204"/>
      <c r="II250" s="2204"/>
      <c r="IJ250" s="2204"/>
      <c r="IK250" s="2204"/>
      <c r="IL250" s="2204"/>
      <c r="IM250" s="2204"/>
      <c r="IN250" s="2204"/>
      <c r="IO250" s="2204"/>
      <c r="IP250" s="2204"/>
      <c r="IQ250" s="2204"/>
      <c r="IR250" s="2204"/>
      <c r="IS250" s="2204"/>
      <c r="IT250" s="2204"/>
      <c r="IU250" s="2204"/>
      <c r="IV250" s="2204"/>
      <c r="IW250" s="2204"/>
      <c r="IX250" s="2204"/>
      <c r="IY250" s="2204"/>
      <c r="IZ250" s="2204"/>
      <c r="JA250" s="2204"/>
      <c r="JB250" s="2204"/>
      <c r="JC250" s="2204"/>
      <c r="JD250" s="2204"/>
      <c r="JE250" s="2204"/>
      <c r="JF250" s="2205"/>
      <c r="JG250" s="2026"/>
      <c r="JK250" s="2526"/>
    </row>
    <row r="251" spans="2:271" s="2024" customFormat="1" hidden="1">
      <c r="B251" s="2198">
        <v>38</v>
      </c>
      <c r="C251" s="2203"/>
      <c r="D251" s="2212" t="s">
        <v>120</v>
      </c>
      <c r="E251" s="2213"/>
      <c r="F251" s="2214"/>
      <c r="G251" s="2244"/>
      <c r="H251" s="2214"/>
      <c r="I251" s="2214"/>
      <c r="J251" s="2214"/>
      <c r="K251" s="2244"/>
      <c r="L251" s="2214"/>
      <c r="M251" s="2214"/>
      <c r="N251" s="2214"/>
      <c r="O251" s="2214"/>
      <c r="P251" s="2216"/>
      <c r="Q251" s="2216"/>
      <c r="R251" s="2216"/>
      <c r="S251" s="2216"/>
      <c r="T251" s="2216"/>
      <c r="U251" s="2216"/>
      <c r="V251" s="2216"/>
      <c r="W251" s="2216"/>
      <c r="X251" s="2217"/>
      <c r="Y251" s="2217"/>
      <c r="Z251" s="2214"/>
      <c r="AA251" s="2249"/>
      <c r="AB251" s="2214"/>
      <c r="AC251" s="2214"/>
      <c r="AD251" s="2214"/>
      <c r="AE251" s="2214"/>
      <c r="AF251" s="2214"/>
      <c r="AG251" s="2214"/>
      <c r="AH251" s="2214"/>
      <c r="AI251" s="2214"/>
      <c r="AJ251" s="2214"/>
      <c r="AK251" s="2219"/>
      <c r="AL251" s="2214"/>
      <c r="AM251" s="2214"/>
      <c r="AN251" s="2214"/>
      <c r="AO251" s="2214"/>
      <c r="AP251" s="2214"/>
      <c r="AQ251" s="2214"/>
      <c r="AR251" s="2219"/>
      <c r="AS251" s="2214"/>
      <c r="AT251" s="2214"/>
      <c r="AU251" s="2214"/>
      <c r="AV251" s="2214"/>
      <c r="AW251" s="2214"/>
      <c r="AX251" s="2214"/>
      <c r="AY251" s="2214"/>
      <c r="AZ251" s="2214"/>
      <c r="BA251" s="2219"/>
      <c r="BB251" s="2219"/>
      <c r="BC251" s="2214"/>
      <c r="BD251" s="2214"/>
      <c r="BE251" s="2220"/>
      <c r="BF251" s="2219"/>
      <c r="BG251" s="2220"/>
      <c r="BH251" s="2220"/>
      <c r="BI251" s="2220"/>
      <c r="BJ251" s="2220"/>
      <c r="BK251" s="2220"/>
      <c r="BL251" s="2220"/>
      <c r="BM251" s="2220"/>
      <c r="BN251" s="2220"/>
      <c r="BO251" s="2220"/>
      <c r="BP251" s="2220"/>
      <c r="BQ251" s="2220"/>
      <c r="BR251" s="2220"/>
      <c r="BS251" s="2220"/>
      <c r="BT251" s="2220"/>
      <c r="BU251" s="2220"/>
      <c r="BV251" s="2220"/>
      <c r="BW251" s="2220"/>
      <c r="BX251" s="2220"/>
      <c r="BY251" s="2220"/>
      <c r="BZ251" s="2220"/>
      <c r="CA251" s="2220"/>
      <c r="CB251" s="2220"/>
      <c r="CC251" s="2220"/>
      <c r="CD251" s="2220"/>
      <c r="CE251" s="2220"/>
      <c r="CF251" s="2220"/>
      <c r="CG251" s="2220"/>
      <c r="CH251" s="2220"/>
      <c r="CI251" s="2220"/>
      <c r="CJ251" s="2220"/>
      <c r="CK251" s="2220"/>
      <c r="CL251" s="2220"/>
      <c r="CM251" s="2220"/>
      <c r="CN251" s="2220"/>
      <c r="CO251" s="2220"/>
      <c r="CP251" s="2220"/>
      <c r="CQ251" s="2220"/>
      <c r="CR251" s="2220"/>
      <c r="CS251" s="2220"/>
      <c r="CT251" s="2220"/>
      <c r="CU251" s="2220"/>
      <c r="CV251" s="2220"/>
      <c r="CW251" s="2220"/>
      <c r="CX251" s="2220"/>
      <c r="CY251" s="2220"/>
      <c r="CZ251" s="2220"/>
      <c r="DA251" s="2220"/>
      <c r="DB251" s="2220"/>
      <c r="DC251" s="2220"/>
      <c r="DD251" s="2220"/>
      <c r="DE251" s="2220"/>
      <c r="DF251" s="2220"/>
      <c r="DG251" s="2220"/>
      <c r="DH251" s="2220"/>
      <c r="DI251" s="2220"/>
      <c r="DJ251" s="2220"/>
      <c r="DK251" s="2220"/>
      <c r="DL251" s="2220"/>
      <c r="DM251" s="2220"/>
      <c r="DN251" s="2220"/>
      <c r="DO251" s="2220"/>
      <c r="DP251" s="2220"/>
      <c r="DQ251" s="2220"/>
      <c r="DR251" s="2220"/>
      <c r="DS251" s="2220"/>
      <c r="DT251" s="2220"/>
      <c r="DU251" s="2220"/>
      <c r="DV251" s="2220"/>
      <c r="DW251" s="2220"/>
      <c r="DX251" s="2220"/>
      <c r="DY251" s="2220"/>
      <c r="DZ251" s="2220"/>
      <c r="EA251" s="2220"/>
      <c r="EB251" s="2220"/>
      <c r="EC251" s="2220"/>
      <c r="ED251" s="2220"/>
      <c r="EE251" s="2220"/>
      <c r="EF251" s="2220"/>
      <c r="EG251" s="2220"/>
      <c r="EH251" s="2220"/>
      <c r="EI251" s="2220"/>
      <c r="EJ251" s="2220"/>
      <c r="EK251" s="2220"/>
      <c r="EL251" s="2220"/>
      <c r="EM251" s="2220"/>
      <c r="EN251" s="2220"/>
      <c r="EO251" s="2220"/>
      <c r="EP251" s="2220"/>
      <c r="EQ251" s="2220"/>
      <c r="ER251" s="2220"/>
      <c r="ES251" s="2220"/>
      <c r="ET251" s="2220"/>
      <c r="EU251" s="2220"/>
      <c r="EV251" s="2220"/>
      <c r="EW251" s="2220"/>
      <c r="EX251" s="2220"/>
      <c r="EY251" s="2220"/>
      <c r="EZ251" s="2220"/>
      <c r="FA251" s="2220"/>
      <c r="FB251" s="2220"/>
      <c r="FC251" s="2220"/>
      <c r="FD251" s="2220"/>
      <c r="FE251" s="2220"/>
      <c r="FF251" s="2220"/>
      <c r="FG251" s="2220"/>
      <c r="FH251" s="2220"/>
      <c r="FI251" s="2220"/>
      <c r="FJ251" s="2220"/>
      <c r="FK251" s="2220"/>
      <c r="FL251" s="2220"/>
      <c r="FM251" s="2220"/>
      <c r="FN251" s="2220"/>
      <c r="FO251" s="2220"/>
      <c r="FP251" s="2220"/>
      <c r="FQ251" s="2220"/>
      <c r="FR251" s="2220"/>
      <c r="FS251" s="2220"/>
      <c r="FT251" s="2220"/>
      <c r="FU251" s="2220"/>
      <c r="FV251" s="2220"/>
      <c r="FW251" s="2203"/>
      <c r="FX251" s="2203"/>
      <c r="FY251" s="2034"/>
      <c r="FZ251" s="2034"/>
      <c r="GA251" s="2034"/>
      <c r="GB251" s="2204"/>
      <c r="GC251" s="2204"/>
      <c r="GD251" s="2204"/>
      <c r="GE251" s="2204"/>
      <c r="GF251" s="2204"/>
      <c r="GG251" s="2204"/>
      <c r="GH251" s="2204"/>
      <c r="GI251" s="2204"/>
      <c r="GJ251" s="2204"/>
      <c r="GK251" s="2204"/>
      <c r="GL251" s="2204"/>
      <c r="GM251" s="2204"/>
      <c r="GN251" s="2204"/>
      <c r="GO251" s="2204"/>
      <c r="GP251" s="2204"/>
      <c r="GQ251" s="2204"/>
      <c r="GR251" s="2204"/>
      <c r="GS251" s="2204"/>
      <c r="GT251" s="2204"/>
      <c r="GU251" s="2204"/>
      <c r="GV251" s="2204"/>
      <c r="GW251" s="2204"/>
      <c r="GX251" s="2204"/>
      <c r="GY251" s="2204"/>
      <c r="GZ251" s="2204"/>
      <c r="HA251" s="2204"/>
      <c r="HB251" s="2204"/>
      <c r="HC251" s="2204"/>
      <c r="HD251" s="2204"/>
      <c r="HE251" s="2204"/>
      <c r="HF251" s="2204"/>
      <c r="HG251" s="2204"/>
      <c r="HH251" s="2204"/>
      <c r="HI251" s="2204"/>
      <c r="HJ251" s="2204"/>
      <c r="HK251" s="2204"/>
      <c r="HL251" s="2204"/>
      <c r="HM251" s="2204"/>
      <c r="HN251" s="2204"/>
      <c r="HO251" s="2204"/>
      <c r="HP251" s="2204"/>
      <c r="HQ251" s="2204"/>
      <c r="HR251" s="2204"/>
      <c r="HS251" s="2204"/>
      <c r="HT251" s="2204"/>
      <c r="HU251" s="2204"/>
      <c r="HV251" s="2204"/>
      <c r="HW251" s="2204"/>
      <c r="HX251" s="2204"/>
      <c r="HY251" s="2204"/>
      <c r="HZ251" s="2204"/>
      <c r="IA251" s="2204"/>
      <c r="IB251" s="2204"/>
      <c r="IC251" s="2204"/>
      <c r="ID251" s="2204"/>
      <c r="IE251" s="2204"/>
      <c r="IF251" s="2204"/>
      <c r="IG251" s="2204"/>
      <c r="IH251" s="2204"/>
      <c r="II251" s="2204"/>
      <c r="IJ251" s="2204"/>
      <c r="IK251" s="2204"/>
      <c r="IL251" s="2204"/>
      <c r="IM251" s="2204"/>
      <c r="IN251" s="2204"/>
      <c r="IO251" s="2204"/>
      <c r="IP251" s="2204"/>
      <c r="IQ251" s="2204"/>
      <c r="IR251" s="2204"/>
      <c r="IS251" s="2204"/>
      <c r="IT251" s="2204"/>
      <c r="IU251" s="2204"/>
      <c r="IV251" s="2204"/>
      <c r="IW251" s="2204"/>
      <c r="IX251" s="2204"/>
      <c r="IY251" s="2204"/>
      <c r="IZ251" s="2204"/>
      <c r="JA251" s="2204"/>
      <c r="JB251" s="2204"/>
      <c r="JC251" s="2204"/>
      <c r="JD251" s="2204"/>
      <c r="JE251" s="2204"/>
      <c r="JF251" s="2205"/>
      <c r="JG251" s="2026"/>
      <c r="JK251" s="2526"/>
    </row>
    <row r="252" spans="2:271" s="2024" customFormat="1" hidden="1">
      <c r="B252" s="2198">
        <v>39</v>
      </c>
      <c r="C252" s="2203"/>
      <c r="D252" s="2212" t="s">
        <v>1315</v>
      </c>
      <c r="E252" s="2213"/>
      <c r="F252" s="2214"/>
      <c r="G252" s="2244"/>
      <c r="H252" s="2214"/>
      <c r="I252" s="2214"/>
      <c r="J252" s="2214"/>
      <c r="K252" s="2243"/>
      <c r="L252" s="2213"/>
      <c r="M252" s="2216"/>
      <c r="N252" s="2216"/>
      <c r="O252" s="2216"/>
      <c r="P252" s="2216"/>
      <c r="Q252" s="2216"/>
      <c r="R252" s="2216"/>
      <c r="S252" s="2216"/>
      <c r="T252" s="2216"/>
      <c r="U252" s="2216"/>
      <c r="V252" s="2216"/>
      <c r="W252" s="2216"/>
      <c r="X252" s="2217"/>
      <c r="Y252" s="2217"/>
      <c r="Z252" s="2214"/>
      <c r="AA252" s="2249"/>
      <c r="AB252" s="2214"/>
      <c r="AC252" s="2214"/>
      <c r="AD252" s="2214"/>
      <c r="AE252" s="2214"/>
      <c r="AF252" s="2214"/>
      <c r="AG252" s="2214"/>
      <c r="AH252" s="2214"/>
      <c r="AI252" s="2214"/>
      <c r="AJ252" s="2214"/>
      <c r="AK252" s="2219"/>
      <c r="AL252" s="2214"/>
      <c r="AM252" s="2214"/>
      <c r="AN252" s="2214"/>
      <c r="AO252" s="2214"/>
      <c r="AP252" s="2214"/>
      <c r="AQ252" s="2214"/>
      <c r="AR252" s="2219"/>
      <c r="AS252" s="2214"/>
      <c r="AT252" s="2214"/>
      <c r="AU252" s="2214"/>
      <c r="AV252" s="2214"/>
      <c r="AW252" s="2214"/>
      <c r="AX252" s="2214"/>
      <c r="AY252" s="2214"/>
      <c r="AZ252" s="2214"/>
      <c r="BA252" s="2219"/>
      <c r="BB252" s="2219"/>
      <c r="BC252" s="2214"/>
      <c r="BD252" s="2214"/>
      <c r="BE252" s="2220"/>
      <c r="BF252" s="2219"/>
      <c r="BG252" s="2220"/>
      <c r="BH252" s="2220"/>
      <c r="BI252" s="2220"/>
      <c r="BJ252" s="2220"/>
      <c r="BK252" s="2220"/>
      <c r="BL252" s="2220"/>
      <c r="BM252" s="2220"/>
      <c r="BN252" s="2220"/>
      <c r="BO252" s="2220"/>
      <c r="BP252" s="2220"/>
      <c r="BQ252" s="2220"/>
      <c r="BR252" s="2220"/>
      <c r="BS252" s="2220"/>
      <c r="BT252" s="2220"/>
      <c r="BU252" s="2220"/>
      <c r="BV252" s="2220"/>
      <c r="BW252" s="2220"/>
      <c r="BX252" s="2220"/>
      <c r="BY252" s="2220"/>
      <c r="BZ252" s="2220"/>
      <c r="CA252" s="2220"/>
      <c r="CB252" s="2220"/>
      <c r="CC252" s="2220"/>
      <c r="CD252" s="2220"/>
      <c r="CE252" s="2220"/>
      <c r="CF252" s="2220"/>
      <c r="CG252" s="2220"/>
      <c r="CH252" s="2220"/>
      <c r="CI252" s="2220"/>
      <c r="CJ252" s="2220"/>
      <c r="CK252" s="2220"/>
      <c r="CL252" s="2220"/>
      <c r="CM252" s="2220"/>
      <c r="CN252" s="2220"/>
      <c r="CO252" s="2220"/>
      <c r="CP252" s="2220"/>
      <c r="CQ252" s="2220"/>
      <c r="CR252" s="2220"/>
      <c r="CS252" s="2220"/>
      <c r="CT252" s="2220"/>
      <c r="CU252" s="2220"/>
      <c r="CV252" s="2220"/>
      <c r="CW252" s="2220"/>
      <c r="CX252" s="2220"/>
      <c r="CY252" s="2220"/>
      <c r="CZ252" s="2220"/>
      <c r="DA252" s="2220"/>
      <c r="DB252" s="2220"/>
      <c r="DC252" s="2220"/>
      <c r="DD252" s="2220"/>
      <c r="DE252" s="2220"/>
      <c r="DF252" s="2220"/>
      <c r="DG252" s="2220"/>
      <c r="DH252" s="2220"/>
      <c r="DI252" s="2220"/>
      <c r="DJ252" s="2220"/>
      <c r="DK252" s="2220"/>
      <c r="DL252" s="2220"/>
      <c r="DM252" s="2220"/>
      <c r="DN252" s="2220"/>
      <c r="DO252" s="2220"/>
      <c r="DP252" s="2220"/>
      <c r="DQ252" s="2220"/>
      <c r="DR252" s="2220"/>
      <c r="DS252" s="2220"/>
      <c r="DT252" s="2220"/>
      <c r="DU252" s="2220"/>
      <c r="DV252" s="2220"/>
      <c r="DW252" s="2220"/>
      <c r="DX252" s="2220"/>
      <c r="DY252" s="2220"/>
      <c r="DZ252" s="2220"/>
      <c r="EA252" s="2220"/>
      <c r="EB252" s="2220"/>
      <c r="EC252" s="2220"/>
      <c r="ED252" s="2220"/>
      <c r="EE252" s="2220"/>
      <c r="EF252" s="2220"/>
      <c r="EG252" s="2220"/>
      <c r="EH252" s="2220"/>
      <c r="EI252" s="2220"/>
      <c r="EJ252" s="2220"/>
      <c r="EK252" s="2220"/>
      <c r="EL252" s="2220"/>
      <c r="EM252" s="2220"/>
      <c r="EN252" s="2220"/>
      <c r="EO252" s="2220"/>
      <c r="EP252" s="2220"/>
      <c r="EQ252" s="2220"/>
      <c r="ER252" s="2220"/>
      <c r="ES252" s="2220"/>
      <c r="ET252" s="2220"/>
      <c r="EU252" s="2220"/>
      <c r="EV252" s="2220"/>
      <c r="EW252" s="2220"/>
      <c r="EX252" s="2220"/>
      <c r="EY252" s="2220"/>
      <c r="EZ252" s="2220"/>
      <c r="FA252" s="2220"/>
      <c r="FB252" s="2220"/>
      <c r="FC252" s="2220"/>
      <c r="FD252" s="2220"/>
      <c r="FE252" s="2220"/>
      <c r="FF252" s="2220"/>
      <c r="FG252" s="2220"/>
      <c r="FH252" s="2220"/>
      <c r="FI252" s="2220"/>
      <c r="FJ252" s="2220"/>
      <c r="FK252" s="2220"/>
      <c r="FL252" s="2220"/>
      <c r="FM252" s="2220"/>
      <c r="FN252" s="2220"/>
      <c r="FO252" s="2220"/>
      <c r="FP252" s="2220"/>
      <c r="FQ252" s="2220"/>
      <c r="FR252" s="2220"/>
      <c r="FS252" s="2220"/>
      <c r="FT252" s="2220"/>
      <c r="FU252" s="2220"/>
      <c r="FV252" s="2220"/>
      <c r="FW252" s="2203"/>
      <c r="FX252" s="2203"/>
      <c r="FY252" s="2034"/>
      <c r="FZ252" s="2034"/>
      <c r="GA252" s="2034"/>
      <c r="GB252" s="2204"/>
      <c r="GC252" s="2204"/>
      <c r="GD252" s="2204"/>
      <c r="GE252" s="2204"/>
      <c r="GF252" s="2204"/>
      <c r="GG252" s="2204"/>
      <c r="GH252" s="2204"/>
      <c r="GI252" s="2204"/>
      <c r="GJ252" s="2204"/>
      <c r="GK252" s="2204"/>
      <c r="GL252" s="2204"/>
      <c r="GM252" s="2204"/>
      <c r="GN252" s="2204"/>
      <c r="GO252" s="2204"/>
      <c r="GP252" s="2204"/>
      <c r="GQ252" s="2204"/>
      <c r="GR252" s="2204"/>
      <c r="GS252" s="2204"/>
      <c r="GT252" s="2204"/>
      <c r="GU252" s="2204"/>
      <c r="GV252" s="2204"/>
      <c r="GW252" s="2204"/>
      <c r="GX252" s="2204"/>
      <c r="GY252" s="2204"/>
      <c r="GZ252" s="2204"/>
      <c r="HA252" s="2204"/>
      <c r="HB252" s="2204"/>
      <c r="HC252" s="2204"/>
      <c r="HD252" s="2204"/>
      <c r="HE252" s="2204"/>
      <c r="HF252" s="2204"/>
      <c r="HG252" s="2204"/>
      <c r="HH252" s="2204"/>
      <c r="HI252" s="2204"/>
      <c r="HJ252" s="2204"/>
      <c r="HK252" s="2204"/>
      <c r="HL252" s="2204"/>
      <c r="HM252" s="2204"/>
      <c r="HN252" s="2204"/>
      <c r="HO252" s="2204"/>
      <c r="HP252" s="2204"/>
      <c r="HQ252" s="2204"/>
      <c r="HR252" s="2204"/>
      <c r="HS252" s="2204"/>
      <c r="HT252" s="2204"/>
      <c r="HU252" s="2204"/>
      <c r="HV252" s="2204"/>
      <c r="HW252" s="2204"/>
      <c r="HX252" s="2204"/>
      <c r="HY252" s="2204"/>
      <c r="HZ252" s="2204"/>
      <c r="IA252" s="2204"/>
      <c r="IB252" s="2204"/>
      <c r="IC252" s="2204"/>
      <c r="ID252" s="2204"/>
      <c r="IE252" s="2204"/>
      <c r="IF252" s="2204"/>
      <c r="IG252" s="2204"/>
      <c r="IH252" s="2204"/>
      <c r="II252" s="2204"/>
      <c r="IJ252" s="2204"/>
      <c r="IK252" s="2204"/>
      <c r="IL252" s="2204"/>
      <c r="IM252" s="2204"/>
      <c r="IN252" s="2204"/>
      <c r="IO252" s="2204"/>
      <c r="IP252" s="2204"/>
      <c r="IQ252" s="2204"/>
      <c r="IR252" s="2204"/>
      <c r="IS252" s="2204"/>
      <c r="IT252" s="2204"/>
      <c r="IU252" s="2204"/>
      <c r="IV252" s="2204"/>
      <c r="IW252" s="2204"/>
      <c r="IX252" s="2204"/>
      <c r="IY252" s="2204"/>
      <c r="IZ252" s="2204"/>
      <c r="JA252" s="2204"/>
      <c r="JB252" s="2204"/>
      <c r="JC252" s="2204"/>
      <c r="JD252" s="2204"/>
      <c r="JE252" s="2204"/>
      <c r="JF252" s="2205"/>
      <c r="JG252" s="2026"/>
      <c r="JK252" s="2526"/>
    </row>
    <row r="253" spans="2:271" s="2024" customFormat="1" hidden="1">
      <c r="B253" s="2198">
        <v>40</v>
      </c>
      <c r="C253" s="2203"/>
      <c r="D253" s="2212" t="s">
        <v>1316</v>
      </c>
      <c r="E253" s="2213"/>
      <c r="F253" s="2214"/>
      <c r="G253" s="2244"/>
      <c r="H253" s="2214"/>
      <c r="I253" s="2214"/>
      <c r="J253" s="2214"/>
      <c r="K253" s="2243"/>
      <c r="L253" s="2213"/>
      <c r="M253" s="2216"/>
      <c r="N253" s="2216"/>
      <c r="O253" s="2216"/>
      <c r="P253" s="2216"/>
      <c r="Q253" s="2216"/>
      <c r="R253" s="2216"/>
      <c r="S253" s="2216"/>
      <c r="T253" s="2216"/>
      <c r="U253" s="2216"/>
      <c r="V253" s="2216"/>
      <c r="W253" s="2216"/>
      <c r="X253" s="2217"/>
      <c r="Y253" s="2217"/>
      <c r="Z253" s="2214"/>
      <c r="AA253" s="2249"/>
      <c r="AB253" s="2214"/>
      <c r="AC253" s="2214"/>
      <c r="AD253" s="2214"/>
      <c r="AE253" s="2214"/>
      <c r="AF253" s="2214"/>
      <c r="AG253" s="2214"/>
      <c r="AH253" s="2214"/>
      <c r="AI253" s="2214"/>
      <c r="AJ253" s="2214"/>
      <c r="AK253" s="2219"/>
      <c r="AL253" s="2214"/>
      <c r="AM253" s="2214"/>
      <c r="AN253" s="2214"/>
      <c r="AO253" s="2214"/>
      <c r="AP253" s="2214"/>
      <c r="AQ253" s="2214"/>
      <c r="AR253" s="2219"/>
      <c r="AS253" s="2214"/>
      <c r="AT253" s="2214"/>
      <c r="AU253" s="2214"/>
      <c r="AV253" s="2214"/>
      <c r="AW253" s="2214"/>
      <c r="AX253" s="2214"/>
      <c r="AY253" s="2214"/>
      <c r="AZ253" s="2214"/>
      <c r="BA253" s="2219"/>
      <c r="BB253" s="2219"/>
      <c r="BC253" s="2214"/>
      <c r="BD253" s="2214"/>
      <c r="BE253" s="2220"/>
      <c r="BF253" s="2219"/>
      <c r="BG253" s="2220"/>
      <c r="BH253" s="2220"/>
      <c r="BI253" s="2220"/>
      <c r="BJ253" s="2220"/>
      <c r="BK253" s="2220"/>
      <c r="BL253" s="2220"/>
      <c r="BM253" s="2220"/>
      <c r="BN253" s="2220"/>
      <c r="BO253" s="2220"/>
      <c r="BP253" s="2220"/>
      <c r="BQ253" s="2220"/>
      <c r="BR253" s="2220"/>
      <c r="BS253" s="2220"/>
      <c r="BT253" s="2220"/>
      <c r="BU253" s="2220"/>
      <c r="BV253" s="2220"/>
      <c r="BW253" s="2220"/>
      <c r="BX253" s="2220"/>
      <c r="BY253" s="2220"/>
      <c r="BZ253" s="2220"/>
      <c r="CA253" s="2220"/>
      <c r="CB253" s="2220"/>
      <c r="CC253" s="2220"/>
      <c r="CD253" s="2220"/>
      <c r="CE253" s="2220"/>
      <c r="CF253" s="2220"/>
      <c r="CG253" s="2220"/>
      <c r="CH253" s="2220"/>
      <c r="CI253" s="2220"/>
      <c r="CJ253" s="2220"/>
      <c r="CK253" s="2220"/>
      <c r="CL253" s="2220"/>
      <c r="CM253" s="2220"/>
      <c r="CN253" s="2220"/>
      <c r="CO253" s="2220"/>
      <c r="CP253" s="2220"/>
      <c r="CQ253" s="2220"/>
      <c r="CR253" s="2220"/>
      <c r="CS253" s="2220"/>
      <c r="CT253" s="2220"/>
      <c r="CU253" s="2220"/>
      <c r="CV253" s="2220"/>
      <c r="CW253" s="2220"/>
      <c r="CX253" s="2220"/>
      <c r="CY253" s="2220"/>
      <c r="CZ253" s="2220"/>
      <c r="DA253" s="2220"/>
      <c r="DB253" s="2220"/>
      <c r="DC253" s="2220"/>
      <c r="DD253" s="2220"/>
      <c r="DE253" s="2220"/>
      <c r="DF253" s="2220"/>
      <c r="DG253" s="2220"/>
      <c r="DH253" s="2220"/>
      <c r="DI253" s="2220"/>
      <c r="DJ253" s="2220"/>
      <c r="DK253" s="2220"/>
      <c r="DL253" s="2220"/>
      <c r="DM253" s="2220"/>
      <c r="DN253" s="2220"/>
      <c r="DO253" s="2220"/>
      <c r="DP253" s="2220"/>
      <c r="DQ253" s="2220"/>
      <c r="DR253" s="2220"/>
      <c r="DS253" s="2220"/>
      <c r="DT253" s="2220"/>
      <c r="DU253" s="2220"/>
      <c r="DV253" s="2220"/>
      <c r="DW253" s="2220"/>
      <c r="DX253" s="2220"/>
      <c r="DY253" s="2220"/>
      <c r="DZ253" s="2220"/>
      <c r="EA253" s="2220"/>
      <c r="EB253" s="2220"/>
      <c r="EC253" s="2220"/>
      <c r="ED253" s="2220"/>
      <c r="EE253" s="2220"/>
      <c r="EF253" s="2220"/>
      <c r="EG253" s="2220"/>
      <c r="EH253" s="2220"/>
      <c r="EI253" s="2220"/>
      <c r="EJ253" s="2220"/>
      <c r="EK253" s="2220"/>
      <c r="EL253" s="2220"/>
      <c r="EM253" s="2220"/>
      <c r="EN253" s="2220"/>
      <c r="EO253" s="2220"/>
      <c r="EP253" s="2220"/>
      <c r="EQ253" s="2220"/>
      <c r="ER253" s="2220"/>
      <c r="ES253" s="2220"/>
      <c r="ET253" s="2220"/>
      <c r="EU253" s="2220"/>
      <c r="EV253" s="2220"/>
      <c r="EW253" s="2220"/>
      <c r="EX253" s="2220"/>
      <c r="EY253" s="2220"/>
      <c r="EZ253" s="2220"/>
      <c r="FA253" s="2220"/>
      <c r="FB253" s="2220"/>
      <c r="FC253" s="2220"/>
      <c r="FD253" s="2220"/>
      <c r="FE253" s="2220"/>
      <c r="FF253" s="2220"/>
      <c r="FG253" s="2220"/>
      <c r="FH253" s="2220"/>
      <c r="FI253" s="2220"/>
      <c r="FJ253" s="2220"/>
      <c r="FK253" s="2220"/>
      <c r="FL253" s="2220"/>
      <c r="FM253" s="2220"/>
      <c r="FN253" s="2220"/>
      <c r="FO253" s="2220"/>
      <c r="FP253" s="2220"/>
      <c r="FQ253" s="2220"/>
      <c r="FR253" s="2220"/>
      <c r="FS253" s="2220"/>
      <c r="FT253" s="2220"/>
      <c r="FU253" s="2220"/>
      <c r="FV253" s="2220"/>
      <c r="FW253" s="2203"/>
      <c r="FX253" s="2203"/>
      <c r="FY253" s="2034"/>
      <c r="FZ253" s="2034"/>
      <c r="GA253" s="2034"/>
      <c r="GB253" s="2204"/>
      <c r="GC253" s="2204"/>
      <c r="GD253" s="2204"/>
      <c r="GE253" s="2204"/>
      <c r="GF253" s="2204"/>
      <c r="GG253" s="2204"/>
      <c r="GH253" s="2204"/>
      <c r="GI253" s="2204"/>
      <c r="GJ253" s="2204"/>
      <c r="GK253" s="2204"/>
      <c r="GL253" s="2204"/>
      <c r="GM253" s="2204"/>
      <c r="GN253" s="2204"/>
      <c r="GO253" s="2204"/>
      <c r="GP253" s="2204"/>
      <c r="GQ253" s="2204"/>
      <c r="GR253" s="2204"/>
      <c r="GS253" s="2204"/>
      <c r="GT253" s="2204"/>
      <c r="GU253" s="2204"/>
      <c r="GV253" s="2204"/>
      <c r="GW253" s="2204"/>
      <c r="GX253" s="2204"/>
      <c r="GY253" s="2204"/>
      <c r="GZ253" s="2204"/>
      <c r="HA253" s="2204"/>
      <c r="HB253" s="2204"/>
      <c r="HC253" s="2204"/>
      <c r="HD253" s="2204"/>
      <c r="HE253" s="2204"/>
      <c r="HF253" s="2204"/>
      <c r="HG253" s="2204"/>
      <c r="HH253" s="2204"/>
      <c r="HI253" s="2204"/>
      <c r="HJ253" s="2204"/>
      <c r="HK253" s="2204"/>
      <c r="HL253" s="2204"/>
      <c r="HM253" s="2204"/>
      <c r="HN253" s="2204"/>
      <c r="HO253" s="2204"/>
      <c r="HP253" s="2204"/>
      <c r="HQ253" s="2204"/>
      <c r="HR253" s="2204"/>
      <c r="HS253" s="2204"/>
      <c r="HT253" s="2204"/>
      <c r="HU253" s="2204"/>
      <c r="HV253" s="2204"/>
      <c r="HW253" s="2204"/>
      <c r="HX253" s="2204"/>
      <c r="HY253" s="2204"/>
      <c r="HZ253" s="2204"/>
      <c r="IA253" s="2204"/>
      <c r="IB253" s="2204"/>
      <c r="IC253" s="2204"/>
      <c r="ID253" s="2204"/>
      <c r="IE253" s="2204"/>
      <c r="IF253" s="2204"/>
      <c r="IG253" s="2204"/>
      <c r="IH253" s="2204"/>
      <c r="II253" s="2204"/>
      <c r="IJ253" s="2204"/>
      <c r="IK253" s="2204"/>
      <c r="IL253" s="2204"/>
      <c r="IM253" s="2204"/>
      <c r="IN253" s="2204"/>
      <c r="IO253" s="2204"/>
      <c r="IP253" s="2204"/>
      <c r="IQ253" s="2204"/>
      <c r="IR253" s="2204"/>
      <c r="IS253" s="2204"/>
      <c r="IT253" s="2204"/>
      <c r="IU253" s="2204"/>
      <c r="IV253" s="2204"/>
      <c r="IW253" s="2204"/>
      <c r="IX253" s="2204"/>
      <c r="IY253" s="2204"/>
      <c r="IZ253" s="2204"/>
      <c r="JA253" s="2204"/>
      <c r="JB253" s="2204"/>
      <c r="JC253" s="2204"/>
      <c r="JD253" s="2204"/>
      <c r="JE253" s="2204"/>
      <c r="JF253" s="2205"/>
      <c r="JG253" s="2026"/>
      <c r="JK253" s="2526"/>
    </row>
    <row r="254" spans="2:271" s="2024" customFormat="1">
      <c r="B254" s="2189">
        <v>41</v>
      </c>
      <c r="C254" s="2203"/>
      <c r="D254" s="2191" t="s">
        <v>762</v>
      </c>
      <c r="E254" s="2206"/>
      <c r="F254" s="2190"/>
      <c r="G254" s="2237"/>
      <c r="H254" s="2190"/>
      <c r="I254" s="2207"/>
      <c r="J254" s="2190"/>
      <c r="K254" s="2238"/>
      <c r="L254" s="2206"/>
      <c r="M254" s="2207"/>
      <c r="N254" s="2207"/>
      <c r="O254" s="2207"/>
      <c r="P254" s="2207"/>
      <c r="Q254" s="2207"/>
      <c r="R254" s="2207"/>
      <c r="S254" s="2207"/>
      <c r="T254" s="2207"/>
      <c r="U254" s="2207"/>
      <c r="V254" s="2207"/>
      <c r="W254" s="2207"/>
      <c r="X254" s="2208"/>
      <c r="Y254" s="2208"/>
      <c r="Z254" s="2190"/>
      <c r="AA254" s="2209"/>
      <c r="AB254" s="2190"/>
      <c r="AC254" s="2190"/>
      <c r="AD254" s="2190"/>
      <c r="AE254" s="2190"/>
      <c r="AF254" s="2190"/>
      <c r="AG254" s="2190"/>
      <c r="AH254" s="2190"/>
      <c r="AI254" s="2190"/>
      <c r="AJ254" s="2190"/>
      <c r="AK254" s="2210"/>
      <c r="AL254" s="2190"/>
      <c r="AM254" s="2190"/>
      <c r="AN254" s="2190"/>
      <c r="AO254" s="2190"/>
      <c r="AP254" s="2190"/>
      <c r="AQ254" s="2190"/>
      <c r="AR254" s="2210"/>
      <c r="AS254" s="2190"/>
      <c r="AT254" s="2190"/>
      <c r="AU254" s="2190"/>
      <c r="AV254" s="2190"/>
      <c r="AW254" s="2190"/>
      <c r="AX254" s="2190"/>
      <c r="AY254" s="2190"/>
      <c r="AZ254" s="2190"/>
      <c r="BA254" s="2210"/>
      <c r="BB254" s="2210"/>
      <c r="BC254" s="2190"/>
      <c r="BD254" s="2190"/>
      <c r="BE254" s="2211"/>
      <c r="BF254" s="2210"/>
      <c r="BG254" s="2211"/>
      <c r="BH254" s="2211"/>
      <c r="BI254" s="2211"/>
      <c r="BJ254" s="2211"/>
      <c r="BK254" s="2211"/>
      <c r="BL254" s="2211"/>
      <c r="BM254" s="2211"/>
      <c r="BN254" s="2211"/>
      <c r="BO254" s="2211"/>
      <c r="BP254" s="2211"/>
      <c r="BQ254" s="2211"/>
      <c r="BR254" s="2211"/>
      <c r="BS254" s="2211"/>
      <c r="BT254" s="2211"/>
      <c r="BU254" s="2211"/>
      <c r="BV254" s="2211"/>
      <c r="BW254" s="2211"/>
      <c r="BX254" s="2211"/>
      <c r="BY254" s="2211"/>
      <c r="BZ254" s="2211"/>
      <c r="CA254" s="2211"/>
      <c r="CB254" s="2211"/>
      <c r="CC254" s="2211"/>
      <c r="CD254" s="2211"/>
      <c r="CE254" s="2211"/>
      <c r="CF254" s="2211"/>
      <c r="CG254" s="2211"/>
      <c r="CH254" s="2211"/>
      <c r="CI254" s="2211"/>
      <c r="CJ254" s="2211"/>
      <c r="CK254" s="2211"/>
      <c r="CL254" s="2211"/>
      <c r="CM254" s="2211"/>
      <c r="CN254" s="2211"/>
      <c r="CO254" s="2211"/>
      <c r="CP254" s="2211"/>
      <c r="CQ254" s="2211"/>
      <c r="CR254" s="2211"/>
      <c r="CS254" s="2211"/>
      <c r="CT254" s="2211"/>
      <c r="CU254" s="2211"/>
      <c r="CV254" s="2211"/>
      <c r="CW254" s="2211"/>
      <c r="CX254" s="2211"/>
      <c r="CY254" s="2211"/>
      <c r="CZ254" s="2211"/>
      <c r="DA254" s="2211"/>
      <c r="DB254" s="2211"/>
      <c r="DC254" s="2211"/>
      <c r="DD254" s="2211"/>
      <c r="DE254" s="2211"/>
      <c r="DF254" s="2211"/>
      <c r="DG254" s="2211"/>
      <c r="DH254" s="2211"/>
      <c r="DI254" s="2211"/>
      <c r="DJ254" s="2211"/>
      <c r="DK254" s="2211"/>
      <c r="DL254" s="2211"/>
      <c r="DM254" s="2211"/>
      <c r="DN254" s="2211"/>
      <c r="DO254" s="2211"/>
      <c r="DP254" s="2211"/>
      <c r="DQ254" s="2211"/>
      <c r="DR254" s="2211"/>
      <c r="DS254" s="2211"/>
      <c r="DT254" s="2211"/>
      <c r="DU254" s="2211"/>
      <c r="DV254" s="2211"/>
      <c r="DW254" s="2211"/>
      <c r="DX254" s="2211"/>
      <c r="DY254" s="2211"/>
      <c r="DZ254" s="2211"/>
      <c r="EA254" s="2211"/>
      <c r="EB254" s="2211"/>
      <c r="EC254" s="2211"/>
      <c r="ED254" s="2211"/>
      <c r="EE254" s="2211"/>
      <c r="EF254" s="2211"/>
      <c r="EG254" s="2211"/>
      <c r="EH254" s="2211"/>
      <c r="EI254" s="2211"/>
      <c r="EJ254" s="2211"/>
      <c r="EK254" s="2211"/>
      <c r="EL254" s="2211"/>
      <c r="EM254" s="2211"/>
      <c r="EN254" s="2211"/>
      <c r="EO254" s="2211"/>
      <c r="EP254" s="2211"/>
      <c r="EQ254" s="2211"/>
      <c r="ER254" s="2211"/>
      <c r="ES254" s="2211"/>
      <c r="ET254" s="2211"/>
      <c r="EU254" s="2211"/>
      <c r="EV254" s="2211"/>
      <c r="EW254" s="2211"/>
      <c r="EX254" s="2211"/>
      <c r="EY254" s="2211"/>
      <c r="EZ254" s="2211"/>
      <c r="FA254" s="2211"/>
      <c r="FB254" s="2211"/>
      <c r="FC254" s="2211"/>
      <c r="FD254" s="2211"/>
      <c r="FE254" s="2211"/>
      <c r="FF254" s="2211"/>
      <c r="FG254" s="2211"/>
      <c r="FH254" s="2211"/>
      <c r="FI254" s="2211"/>
      <c r="FJ254" s="2211"/>
      <c r="FK254" s="2211"/>
      <c r="FL254" s="2211"/>
      <c r="FM254" s="2211"/>
      <c r="FN254" s="2211"/>
      <c r="FO254" s="2211"/>
      <c r="FP254" s="2211"/>
      <c r="FQ254" s="2211"/>
      <c r="FR254" s="2211"/>
      <c r="FS254" s="2211"/>
      <c r="FT254" s="2211"/>
      <c r="FU254" s="2211"/>
      <c r="FV254" s="2211"/>
      <c r="FW254" s="2203"/>
      <c r="FX254" s="2203"/>
      <c r="FY254" s="2034"/>
      <c r="FZ254" s="2034"/>
      <c r="GA254" s="2034"/>
      <c r="GB254" s="2204"/>
      <c r="GC254" s="2204"/>
      <c r="GD254" s="2204"/>
      <c r="GE254" s="2204"/>
      <c r="GF254" s="2204"/>
      <c r="GG254" s="2204"/>
      <c r="GH254" s="2204"/>
      <c r="GI254" s="2204"/>
      <c r="GJ254" s="2204"/>
      <c r="GK254" s="2204"/>
      <c r="GL254" s="2204"/>
      <c r="GM254" s="2204"/>
      <c r="GN254" s="2204"/>
      <c r="GO254" s="2204"/>
      <c r="GP254" s="2204"/>
      <c r="GQ254" s="2204"/>
      <c r="GR254" s="2204"/>
      <c r="GS254" s="2204"/>
      <c r="GT254" s="2204"/>
      <c r="GU254" s="2204"/>
      <c r="GV254" s="2204"/>
      <c r="GW254" s="2204"/>
      <c r="GX254" s="2204"/>
      <c r="GY254" s="2204"/>
      <c r="GZ254" s="2204"/>
      <c r="HA254" s="2204"/>
      <c r="HB254" s="2204"/>
      <c r="HC254" s="2204"/>
      <c r="HD254" s="2204"/>
      <c r="HE254" s="2204"/>
      <c r="HF254" s="2204"/>
      <c r="HG254" s="2204"/>
      <c r="HH254" s="2204"/>
      <c r="HI254" s="2204"/>
      <c r="HJ254" s="2204"/>
      <c r="HK254" s="2204"/>
      <c r="HL254" s="2204"/>
      <c r="HM254" s="2204"/>
      <c r="HN254" s="2204"/>
      <c r="HO254" s="2204"/>
      <c r="HP254" s="2204"/>
      <c r="HQ254" s="2204"/>
      <c r="HR254" s="2204"/>
      <c r="HS254" s="2204"/>
      <c r="HT254" s="2204"/>
      <c r="HU254" s="2204"/>
      <c r="HV254" s="2204"/>
      <c r="HW254" s="2204"/>
      <c r="HX254" s="2204"/>
      <c r="HY254" s="2204"/>
      <c r="HZ254" s="2204"/>
      <c r="IA254" s="2204"/>
      <c r="IB254" s="2204"/>
      <c r="IC254" s="2204"/>
      <c r="ID254" s="2204"/>
      <c r="IE254" s="2204"/>
      <c r="IF254" s="2204"/>
      <c r="IG254" s="2204"/>
      <c r="IH254" s="2204"/>
      <c r="II254" s="2204"/>
      <c r="IJ254" s="2204"/>
      <c r="IK254" s="2204"/>
      <c r="IL254" s="2204"/>
      <c r="IM254" s="2204"/>
      <c r="IN254" s="2204"/>
      <c r="IO254" s="2204"/>
      <c r="IP254" s="2204"/>
      <c r="IQ254" s="2204"/>
      <c r="IR254" s="2204"/>
      <c r="IS254" s="2204"/>
      <c r="IT254" s="2204"/>
      <c r="IU254" s="2204"/>
      <c r="IV254" s="2204"/>
      <c r="IW254" s="2204"/>
      <c r="IX254" s="2204"/>
      <c r="IY254" s="2204"/>
      <c r="IZ254" s="2204"/>
      <c r="JA254" s="2204"/>
      <c r="JB254" s="2204"/>
      <c r="JC254" s="2204"/>
      <c r="JD254" s="2204"/>
      <c r="JE254" s="2204"/>
      <c r="JF254" s="2205"/>
      <c r="JG254" s="2026"/>
      <c r="JK254" s="2526"/>
    </row>
    <row r="255" spans="2:271" s="2024" customFormat="1" ht="16.149999999999999" customHeight="1">
      <c r="B255" s="2189">
        <v>42</v>
      </c>
      <c r="C255" s="2203"/>
      <c r="D255" s="2555" t="s">
        <v>825</v>
      </c>
      <c r="E255" s="2555"/>
      <c r="F255" s="2555"/>
      <c r="G255" s="2555"/>
      <c r="H255" s="2555"/>
      <c r="I255" s="2555"/>
      <c r="J255" s="2555"/>
      <c r="K255" s="2555"/>
      <c r="L255" s="2555"/>
      <c r="M255" s="2555"/>
      <c r="N255" s="2555"/>
      <c r="O255" s="2555"/>
      <c r="P255" s="2555"/>
      <c r="Q255" s="2555"/>
      <c r="R255" s="2555"/>
      <c r="S255" s="2555"/>
      <c r="T255" s="2555"/>
      <c r="U255" s="2555"/>
      <c r="V255" s="2555"/>
      <c r="W255" s="2555"/>
      <c r="X255" s="2555"/>
      <c r="Y255" s="2555"/>
      <c r="Z255" s="2555"/>
      <c r="AA255" s="2555"/>
      <c r="AB255" s="2555"/>
      <c r="AC255" s="2555"/>
      <c r="AD255" s="2555"/>
      <c r="AE255" s="2555"/>
      <c r="AF255" s="2555"/>
      <c r="AG255" s="2555"/>
      <c r="AH255" s="2555"/>
      <c r="AI255" s="2555"/>
      <c r="AJ255" s="2555"/>
      <c r="AK255" s="2555"/>
      <c r="AL255" s="2555"/>
      <c r="AM255" s="2555"/>
      <c r="AN255" s="2555"/>
      <c r="AO255" s="2555"/>
      <c r="AP255" s="2555"/>
      <c r="AQ255" s="2555"/>
      <c r="AR255" s="2555"/>
      <c r="AS255" s="2555"/>
      <c r="AT255" s="2555"/>
      <c r="AU255" s="2555"/>
      <c r="AV255" s="2555"/>
      <c r="AW255" s="2555"/>
      <c r="AX255" s="2555"/>
      <c r="AY255" s="2555"/>
      <c r="AZ255" s="2555"/>
      <c r="BA255" s="2555"/>
      <c r="BB255" s="2555"/>
      <c r="BC255" s="2555"/>
      <c r="BD255" s="2555"/>
      <c r="BE255" s="2555"/>
      <c r="BF255" s="2555"/>
      <c r="BG255" s="2555"/>
      <c r="BH255" s="2555"/>
      <c r="BI255" s="2555"/>
      <c r="BJ255" s="2555"/>
      <c r="BK255" s="2555"/>
      <c r="BL255" s="2555"/>
      <c r="BM255" s="2555"/>
      <c r="BN255" s="2555"/>
      <c r="BO255" s="2555"/>
      <c r="BP255" s="2555"/>
      <c r="BQ255" s="2555"/>
      <c r="BR255" s="2555"/>
      <c r="BS255" s="2555"/>
      <c r="BT255" s="2555"/>
      <c r="BU255" s="2555"/>
      <c r="BV255" s="2555"/>
      <c r="BW255" s="2555"/>
      <c r="BX255" s="2555"/>
      <c r="BY255" s="2555"/>
      <c r="BZ255" s="2555"/>
      <c r="CA255" s="2555"/>
      <c r="CB255" s="2555"/>
      <c r="CC255" s="2555"/>
      <c r="CD255" s="2555"/>
      <c r="CE255" s="2555"/>
      <c r="CF255" s="2555"/>
      <c r="CG255" s="2555"/>
      <c r="CH255" s="2555"/>
      <c r="CI255" s="2555"/>
      <c r="CJ255" s="2555"/>
      <c r="CK255" s="2555"/>
      <c r="CL255" s="2555"/>
      <c r="CM255" s="2555"/>
      <c r="CN255" s="2555"/>
      <c r="CO255" s="2555"/>
      <c r="CP255" s="2555"/>
      <c r="CQ255" s="2555"/>
      <c r="CR255" s="2555"/>
      <c r="CS255" s="2555"/>
      <c r="CT255" s="2555"/>
      <c r="CU255" s="2555"/>
      <c r="CV255" s="2555"/>
      <c r="CW255" s="2555"/>
      <c r="CX255" s="2555"/>
      <c r="CY255" s="2555"/>
      <c r="CZ255" s="2555"/>
      <c r="DA255" s="2555"/>
      <c r="DB255" s="2555"/>
      <c r="DC255" s="2555"/>
      <c r="DD255" s="2555"/>
      <c r="DE255" s="2555"/>
      <c r="DF255" s="2555"/>
      <c r="DG255" s="2555"/>
      <c r="DH255" s="2555"/>
      <c r="DI255" s="2555"/>
      <c r="DJ255" s="2555"/>
      <c r="DK255" s="2555"/>
      <c r="DL255" s="2555"/>
      <c r="DM255" s="2555"/>
      <c r="DN255" s="2555"/>
      <c r="DO255" s="2555"/>
      <c r="DP255" s="2555"/>
      <c r="DQ255" s="2555"/>
      <c r="DR255" s="2555"/>
      <c r="DS255" s="2555"/>
      <c r="DT255" s="2555"/>
      <c r="DU255" s="2555"/>
      <c r="DV255" s="2555"/>
      <c r="DW255" s="2555"/>
      <c r="DX255" s="2555"/>
      <c r="DY255" s="2555"/>
      <c r="DZ255" s="2555"/>
      <c r="EA255" s="2555"/>
      <c r="EB255" s="2555"/>
      <c r="EC255" s="2555"/>
      <c r="ED255" s="2555"/>
      <c r="EE255" s="2555"/>
      <c r="EF255" s="2555"/>
      <c r="EG255" s="2555"/>
      <c r="EH255" s="2555"/>
      <c r="EI255" s="2555"/>
      <c r="EJ255" s="2555"/>
      <c r="EK255" s="2555"/>
      <c r="EL255" s="2555"/>
      <c r="EM255" s="2555"/>
      <c r="EN255" s="2555"/>
      <c r="EO255" s="2555"/>
      <c r="EP255" s="2555"/>
      <c r="EQ255" s="2555"/>
      <c r="ER255" s="2555"/>
      <c r="ES255" s="2555"/>
      <c r="ET255" s="2555"/>
      <c r="EU255" s="2555"/>
      <c r="EV255" s="2555"/>
      <c r="EW255" s="2555"/>
      <c r="EX255" s="2555"/>
      <c r="EY255" s="2555"/>
      <c r="EZ255" s="2555"/>
      <c r="FA255" s="2555"/>
      <c r="FB255" s="2555"/>
      <c r="FC255" s="2555"/>
      <c r="FD255" s="2555"/>
      <c r="FE255" s="2555"/>
      <c r="FF255" s="2555"/>
      <c r="FG255" s="2555"/>
      <c r="FH255" s="2555"/>
      <c r="FI255" s="2555"/>
      <c r="FJ255" s="2555"/>
      <c r="FK255" s="2555"/>
      <c r="FL255" s="2555"/>
      <c r="FM255" s="2555"/>
      <c r="FN255" s="2555"/>
      <c r="FO255" s="2555"/>
      <c r="FP255" s="2555"/>
      <c r="FQ255" s="2555"/>
      <c r="FR255" s="2555"/>
      <c r="FS255" s="2555"/>
      <c r="FT255" s="2555"/>
      <c r="FU255" s="2555"/>
      <c r="FV255" s="2555"/>
      <c r="FW255" s="2555"/>
      <c r="FX255" s="2555"/>
      <c r="FY255" s="2555"/>
      <c r="FZ255" s="2555"/>
      <c r="GA255" s="2555"/>
      <c r="GB255" s="2555"/>
      <c r="GC255" s="2555"/>
      <c r="GD255" s="2555"/>
      <c r="GE255" s="2555"/>
      <c r="GF255" s="2555"/>
      <c r="GG255" s="2555"/>
      <c r="GH255" s="2555"/>
      <c r="GI255" s="2555"/>
      <c r="GJ255" s="2555"/>
      <c r="GK255" s="2555"/>
      <c r="GL255" s="2555"/>
      <c r="GM255" s="2555"/>
      <c r="GN255" s="2555"/>
      <c r="GO255" s="2555"/>
      <c r="GP255" s="2555"/>
      <c r="GQ255" s="2555"/>
      <c r="GR255" s="2555"/>
      <c r="GS255" s="2555"/>
      <c r="GT255" s="2555"/>
      <c r="GU255" s="2555"/>
      <c r="GV255" s="2555"/>
      <c r="GW255" s="2555"/>
      <c r="GX255" s="2555"/>
      <c r="GY255" s="2555"/>
      <c r="GZ255" s="2555"/>
      <c r="HA255" s="2555"/>
      <c r="HB255" s="2555"/>
      <c r="HC255" s="2555"/>
      <c r="HD255" s="2555"/>
      <c r="HE255" s="2555"/>
      <c r="HF255" s="2555"/>
      <c r="HG255" s="2555"/>
      <c r="HH255" s="2555"/>
      <c r="HI255" s="2555"/>
      <c r="HJ255" s="2555"/>
      <c r="HK255" s="2555"/>
      <c r="HL255" s="2555"/>
      <c r="HM255" s="2555"/>
      <c r="HN255" s="2555"/>
      <c r="HO255" s="2555"/>
      <c r="HP255" s="2555"/>
      <c r="HQ255" s="2555"/>
      <c r="HR255" s="2555"/>
      <c r="HS255" s="2555"/>
      <c r="HT255" s="2555"/>
      <c r="HU255" s="2555"/>
      <c r="HV255" s="2555"/>
      <c r="HW255" s="2555"/>
      <c r="HX255" s="2555"/>
      <c r="HY255" s="2555"/>
      <c r="HZ255" s="2555"/>
      <c r="IA255" s="2555"/>
      <c r="IB255" s="2555"/>
      <c r="IC255" s="2555"/>
      <c r="ID255" s="2555"/>
      <c r="IE255" s="2555"/>
      <c r="IF255" s="2555"/>
      <c r="IG255" s="2555"/>
      <c r="IH255" s="2555"/>
      <c r="II255" s="2555"/>
      <c r="IJ255" s="2555"/>
      <c r="IK255" s="2555"/>
      <c r="IL255" s="2555"/>
      <c r="IM255" s="2204"/>
      <c r="IN255" s="2204"/>
      <c r="IO255" s="2204"/>
      <c r="IP255" s="2204"/>
      <c r="IQ255" s="2204"/>
      <c r="IR255" s="2204"/>
      <c r="IS255" s="2204"/>
      <c r="IT255" s="2204"/>
      <c r="IU255" s="2204"/>
      <c r="IV255" s="2204"/>
      <c r="IW255" s="2204"/>
      <c r="IX255" s="2204"/>
      <c r="IY255" s="2204"/>
      <c r="IZ255" s="2204"/>
      <c r="JA255" s="2204"/>
      <c r="JB255" s="2204"/>
      <c r="JC255" s="2204"/>
      <c r="JD255" s="2204"/>
      <c r="JE255" s="2204"/>
      <c r="JF255" s="2205"/>
      <c r="JG255" s="2026"/>
      <c r="JK255" s="2526"/>
    </row>
    <row r="256" spans="2:271" s="2024" customFormat="1">
      <c r="B256" s="2189">
        <v>43</v>
      </c>
      <c r="C256" s="2203"/>
      <c r="D256" s="2191" t="s">
        <v>413</v>
      </c>
      <c r="E256" s="2206"/>
      <c r="F256" s="2190"/>
      <c r="G256" s="2237"/>
      <c r="H256" s="2190"/>
      <c r="I256" s="2190"/>
      <c r="J256" s="2190"/>
      <c r="K256" s="2238"/>
      <c r="L256" s="2206"/>
      <c r="M256" s="2207"/>
      <c r="N256" s="2207"/>
      <c r="O256" s="2207"/>
      <c r="P256" s="2207"/>
      <c r="Q256" s="2207"/>
      <c r="R256" s="2207"/>
      <c r="S256" s="2207"/>
      <c r="T256" s="2207"/>
      <c r="U256" s="2207"/>
      <c r="V256" s="2207"/>
      <c r="W256" s="2207"/>
      <c r="X256" s="2208"/>
      <c r="Y256" s="2208"/>
      <c r="Z256" s="2190"/>
      <c r="AA256" s="2250"/>
      <c r="AB256" s="2190"/>
      <c r="AC256" s="2190"/>
      <c r="AD256" s="2190"/>
      <c r="AE256" s="2190"/>
      <c r="AF256" s="2190"/>
      <c r="AG256" s="2190"/>
      <c r="AH256" s="2190"/>
      <c r="AI256" s="2190"/>
      <c r="AJ256" s="2190"/>
      <c r="AK256" s="2210"/>
      <c r="AL256" s="2190"/>
      <c r="AM256" s="2190"/>
      <c r="AN256" s="2190"/>
      <c r="AO256" s="2190"/>
      <c r="AP256" s="2190"/>
      <c r="AQ256" s="2190"/>
      <c r="AR256" s="2210"/>
      <c r="AS256" s="2190"/>
      <c r="AT256" s="2190"/>
      <c r="AU256" s="2190"/>
      <c r="AV256" s="2190"/>
      <c r="AW256" s="2190"/>
      <c r="AX256" s="2190"/>
      <c r="AY256" s="2190"/>
      <c r="AZ256" s="2190"/>
      <c r="BA256" s="2210"/>
      <c r="BB256" s="2210"/>
      <c r="BC256" s="2190"/>
      <c r="BD256" s="2190"/>
      <c r="BE256" s="2211"/>
      <c r="BF256" s="2210"/>
      <c r="BG256" s="2211"/>
      <c r="BH256" s="2211"/>
      <c r="BI256" s="2211"/>
      <c r="BJ256" s="2211"/>
      <c r="BK256" s="2211"/>
      <c r="BL256" s="2211"/>
      <c r="BM256" s="2211"/>
      <c r="BN256" s="2211"/>
      <c r="BO256" s="2211"/>
      <c r="BP256" s="2211"/>
      <c r="BQ256" s="2211"/>
      <c r="BR256" s="2211"/>
      <c r="BS256" s="2211"/>
      <c r="BT256" s="2211"/>
      <c r="BU256" s="2211"/>
      <c r="BV256" s="2211"/>
      <c r="BW256" s="2211"/>
      <c r="BX256" s="2211"/>
      <c r="BY256" s="2211"/>
      <c r="BZ256" s="2211"/>
      <c r="CA256" s="2211"/>
      <c r="CB256" s="2211"/>
      <c r="CC256" s="2211"/>
      <c r="CD256" s="2211"/>
      <c r="CE256" s="2211"/>
      <c r="CF256" s="2211"/>
      <c r="CG256" s="2211"/>
      <c r="CH256" s="2211"/>
      <c r="CI256" s="2211"/>
      <c r="CJ256" s="2211"/>
      <c r="CK256" s="2211"/>
      <c r="CL256" s="2211"/>
      <c r="CM256" s="2211"/>
      <c r="CN256" s="2211"/>
      <c r="CO256" s="2211"/>
      <c r="CP256" s="2211"/>
      <c r="CQ256" s="2211"/>
      <c r="CR256" s="2211"/>
      <c r="CS256" s="2211"/>
      <c r="CT256" s="2211"/>
      <c r="CU256" s="2211"/>
      <c r="CV256" s="2211"/>
      <c r="CW256" s="2211"/>
      <c r="CX256" s="2211"/>
      <c r="CY256" s="2211"/>
      <c r="CZ256" s="2211"/>
      <c r="DA256" s="2211"/>
      <c r="DB256" s="2211"/>
      <c r="DC256" s="2211"/>
      <c r="DD256" s="2211"/>
      <c r="DE256" s="2211"/>
      <c r="DF256" s="2211"/>
      <c r="DG256" s="2211"/>
      <c r="DH256" s="2211"/>
      <c r="DI256" s="2211"/>
      <c r="DJ256" s="2211"/>
      <c r="DK256" s="2211"/>
      <c r="DL256" s="2211"/>
      <c r="DM256" s="2211"/>
      <c r="DN256" s="2211"/>
      <c r="DO256" s="2211"/>
      <c r="DP256" s="2211"/>
      <c r="DQ256" s="2211"/>
      <c r="DR256" s="2211"/>
      <c r="DS256" s="2211"/>
      <c r="DT256" s="2211"/>
      <c r="DU256" s="2211"/>
      <c r="DV256" s="2211"/>
      <c r="DW256" s="2211"/>
      <c r="DX256" s="2211"/>
      <c r="DY256" s="2211"/>
      <c r="DZ256" s="2211"/>
      <c r="EA256" s="2211"/>
      <c r="EB256" s="2211"/>
      <c r="EC256" s="2211"/>
      <c r="ED256" s="2211"/>
      <c r="EE256" s="2211"/>
      <c r="EF256" s="2211"/>
      <c r="EG256" s="2211"/>
      <c r="EH256" s="2211"/>
      <c r="EI256" s="2211"/>
      <c r="EJ256" s="2211"/>
      <c r="EK256" s="2211"/>
      <c r="EL256" s="2211"/>
      <c r="EM256" s="2211"/>
      <c r="EN256" s="2211"/>
      <c r="EO256" s="2211"/>
      <c r="EP256" s="2211"/>
      <c r="EQ256" s="2211"/>
      <c r="ER256" s="2211"/>
      <c r="ES256" s="2211"/>
      <c r="ET256" s="2211"/>
      <c r="EU256" s="2211"/>
      <c r="EV256" s="2211"/>
      <c r="EW256" s="2211"/>
      <c r="EX256" s="2211"/>
      <c r="EY256" s="2211"/>
      <c r="EZ256" s="2211"/>
      <c r="FA256" s="2211"/>
      <c r="FB256" s="2211"/>
      <c r="FC256" s="2211"/>
      <c r="FD256" s="2211"/>
      <c r="FE256" s="2211"/>
      <c r="FF256" s="2211"/>
      <c r="FG256" s="2211"/>
      <c r="FH256" s="2211"/>
      <c r="FI256" s="2211"/>
      <c r="FJ256" s="2211"/>
      <c r="FK256" s="2211"/>
      <c r="FL256" s="2211"/>
      <c r="FM256" s="2211"/>
      <c r="FN256" s="2211"/>
      <c r="FO256" s="2211"/>
      <c r="FP256" s="2211"/>
      <c r="FQ256" s="2211"/>
      <c r="FR256" s="2211"/>
      <c r="FS256" s="2211"/>
      <c r="FT256" s="2211"/>
      <c r="FU256" s="2211"/>
      <c r="FV256" s="2211"/>
      <c r="FW256" s="2203"/>
      <c r="FX256" s="2203"/>
      <c r="FY256" s="2034"/>
      <c r="FZ256" s="2034"/>
      <c r="GA256" s="2034"/>
      <c r="GB256" s="2204"/>
      <c r="GC256" s="2204"/>
      <c r="GD256" s="2204"/>
      <c r="GE256" s="2204"/>
      <c r="GF256" s="2204"/>
      <c r="GG256" s="2204"/>
      <c r="GH256" s="2204"/>
      <c r="GI256" s="2204"/>
      <c r="GJ256" s="2204"/>
      <c r="GK256" s="2204"/>
      <c r="GL256" s="2204"/>
      <c r="GM256" s="2204"/>
      <c r="GN256" s="2204"/>
      <c r="GO256" s="2204"/>
      <c r="GP256" s="2204"/>
      <c r="GQ256" s="2204"/>
      <c r="GR256" s="2204"/>
      <c r="GS256" s="2204"/>
      <c r="GT256" s="2204"/>
      <c r="GU256" s="2204"/>
      <c r="GV256" s="2204"/>
      <c r="GW256" s="2204"/>
      <c r="GX256" s="2204"/>
      <c r="GY256" s="2204"/>
      <c r="GZ256" s="2204"/>
      <c r="HA256" s="2204"/>
      <c r="HB256" s="2204"/>
      <c r="HC256" s="2204"/>
      <c r="HD256" s="2204"/>
      <c r="HE256" s="2204"/>
      <c r="HF256" s="2204"/>
      <c r="HG256" s="2204"/>
      <c r="HH256" s="2204"/>
      <c r="HI256" s="2204"/>
      <c r="HJ256" s="2204"/>
      <c r="HK256" s="2204"/>
      <c r="HL256" s="2204"/>
      <c r="HM256" s="2204"/>
      <c r="HN256" s="2204"/>
      <c r="HO256" s="2204"/>
      <c r="HP256" s="2204"/>
      <c r="HQ256" s="2204"/>
      <c r="HR256" s="2204"/>
      <c r="HS256" s="2204"/>
      <c r="HT256" s="2204"/>
      <c r="HU256" s="2204"/>
      <c r="HV256" s="2204"/>
      <c r="HW256" s="2204"/>
      <c r="HX256" s="2204"/>
      <c r="HY256" s="2204"/>
      <c r="HZ256" s="2204"/>
      <c r="IA256" s="2204"/>
      <c r="IB256" s="2204"/>
      <c r="IC256" s="2204"/>
      <c r="ID256" s="2204"/>
      <c r="IE256" s="2204"/>
      <c r="IF256" s="2204"/>
      <c r="IG256" s="2204"/>
      <c r="IH256" s="2204"/>
      <c r="II256" s="2204"/>
      <c r="IJ256" s="2204"/>
      <c r="IK256" s="2204"/>
      <c r="IL256" s="2204"/>
      <c r="IM256" s="2204"/>
      <c r="IN256" s="2204"/>
      <c r="IO256" s="2204"/>
      <c r="IP256" s="2204"/>
      <c r="IQ256" s="2204"/>
      <c r="IR256" s="2204"/>
      <c r="IS256" s="2204"/>
      <c r="IT256" s="2204"/>
      <c r="IU256" s="2204"/>
      <c r="IV256" s="2204"/>
      <c r="IW256" s="2204"/>
      <c r="IX256" s="2204"/>
      <c r="IY256" s="2204"/>
      <c r="IZ256" s="2204"/>
      <c r="JA256" s="2204"/>
      <c r="JB256" s="2204"/>
      <c r="JC256" s="2204"/>
      <c r="JD256" s="2204"/>
      <c r="JE256" s="2204"/>
      <c r="JF256" s="2205"/>
      <c r="JG256" s="2026"/>
      <c r="JK256" s="2526"/>
    </row>
    <row r="257" spans="2:271" s="2024" customFormat="1">
      <c r="B257" s="2189">
        <v>44</v>
      </c>
      <c r="C257" s="2203"/>
      <c r="D257" s="2191" t="s">
        <v>419</v>
      </c>
      <c r="E257" s="2191"/>
      <c r="F257" s="2191"/>
      <c r="G257" s="2237"/>
      <c r="H257" s="2191"/>
      <c r="I257" s="2191"/>
      <c r="J257" s="2191"/>
      <c r="K257" s="2237"/>
      <c r="L257" s="2191"/>
      <c r="M257" s="2191"/>
      <c r="N257" s="2191"/>
      <c r="O257" s="2191"/>
      <c r="P257" s="2191"/>
      <c r="Q257" s="2191"/>
      <c r="R257" s="2191"/>
      <c r="S257" s="2191"/>
      <c r="T257" s="2191"/>
      <c r="U257" s="2191"/>
      <c r="V257" s="2191"/>
      <c r="W257" s="2191"/>
      <c r="X257" s="2191"/>
      <c r="Y257" s="2191"/>
      <c r="Z257" s="2191"/>
      <c r="AA257" s="2191"/>
      <c r="AB257" s="2191"/>
      <c r="AC257" s="2191"/>
      <c r="AD257" s="2191"/>
      <c r="AE257" s="2191"/>
      <c r="AF257" s="2191"/>
      <c r="AG257" s="2191"/>
      <c r="AH257" s="2191"/>
      <c r="AI257" s="2191"/>
      <c r="AJ257" s="2191"/>
      <c r="AK257" s="2191"/>
      <c r="AL257" s="2191"/>
      <c r="AM257" s="2191"/>
      <c r="AN257" s="2191"/>
      <c r="AO257" s="2191"/>
      <c r="AP257" s="2191"/>
      <c r="AQ257" s="2191"/>
      <c r="AR257" s="2191"/>
      <c r="AS257" s="2191"/>
      <c r="AT257" s="2191"/>
      <c r="AU257" s="2191"/>
      <c r="AV257" s="2191"/>
      <c r="AW257" s="2191"/>
      <c r="AX257" s="2191"/>
      <c r="AY257" s="2191"/>
      <c r="AZ257" s="2191"/>
      <c r="BA257" s="2191"/>
      <c r="BB257" s="2191"/>
      <c r="BC257" s="2191"/>
      <c r="BD257" s="2191"/>
      <c r="BE257" s="2191"/>
      <c r="BF257" s="2191"/>
      <c r="BG257" s="2191"/>
      <c r="BH257" s="2191"/>
      <c r="BI257" s="2191"/>
      <c r="BJ257" s="2191"/>
      <c r="BK257" s="2191"/>
      <c r="BL257" s="2191"/>
      <c r="BM257" s="2191"/>
      <c r="BN257" s="2191"/>
      <c r="BO257" s="2191"/>
      <c r="BP257" s="2191"/>
      <c r="BQ257" s="2191"/>
      <c r="BR257" s="2191"/>
      <c r="BS257" s="2191"/>
      <c r="BT257" s="2191"/>
      <c r="BU257" s="2191"/>
      <c r="BV257" s="2191"/>
      <c r="BW257" s="2191"/>
      <c r="BX257" s="2191"/>
      <c r="BY257" s="2191"/>
      <c r="BZ257" s="2191"/>
      <c r="CA257" s="2191"/>
      <c r="CB257" s="2191"/>
      <c r="CC257" s="2191"/>
      <c r="CD257" s="2191"/>
      <c r="CE257" s="2191"/>
      <c r="CF257" s="2191"/>
      <c r="CG257" s="2191"/>
      <c r="CH257" s="2191"/>
      <c r="CI257" s="2191"/>
      <c r="CJ257" s="2191"/>
      <c r="CK257" s="2191"/>
      <c r="CL257" s="2191"/>
      <c r="CM257" s="2191"/>
      <c r="CN257" s="2191"/>
      <c r="CO257" s="2191"/>
      <c r="CP257" s="2191"/>
      <c r="CQ257" s="2191"/>
      <c r="CR257" s="2191"/>
      <c r="CS257" s="2191"/>
      <c r="CT257" s="2191"/>
      <c r="CU257" s="2191"/>
      <c r="CV257" s="2191"/>
      <c r="CW257" s="2191"/>
      <c r="CX257" s="2191"/>
      <c r="CY257" s="2191"/>
      <c r="CZ257" s="2191"/>
      <c r="DA257" s="2191"/>
      <c r="DB257" s="2191"/>
      <c r="DC257" s="2191"/>
      <c r="DD257" s="2191"/>
      <c r="DE257" s="2191"/>
      <c r="DF257" s="2191"/>
      <c r="DG257" s="2191"/>
      <c r="DH257" s="2191"/>
      <c r="DI257" s="2191"/>
      <c r="DJ257" s="2191"/>
      <c r="DK257" s="2191"/>
      <c r="DL257" s="2191"/>
      <c r="DM257" s="2191"/>
      <c r="DN257" s="2191"/>
      <c r="DO257" s="2191"/>
      <c r="DP257" s="2191"/>
      <c r="DQ257" s="2191"/>
      <c r="DR257" s="2191"/>
      <c r="DS257" s="2191"/>
      <c r="DT257" s="2191"/>
      <c r="DU257" s="2191"/>
      <c r="DV257" s="2191"/>
      <c r="DW257" s="2191"/>
      <c r="DX257" s="2191"/>
      <c r="DY257" s="2191"/>
      <c r="DZ257" s="2191"/>
      <c r="EA257" s="2191"/>
      <c r="EB257" s="2191"/>
      <c r="EC257" s="2191"/>
      <c r="ED257" s="2191"/>
      <c r="EE257" s="2191"/>
      <c r="EF257" s="2191"/>
      <c r="EG257" s="2191"/>
      <c r="EH257" s="2191"/>
      <c r="EI257" s="2191"/>
      <c r="EJ257" s="2191"/>
      <c r="EK257" s="2191"/>
      <c r="EL257" s="2191"/>
      <c r="EM257" s="2191"/>
      <c r="EN257" s="2191"/>
      <c r="EO257" s="2191"/>
      <c r="EP257" s="2191"/>
      <c r="EQ257" s="2191"/>
      <c r="ER257" s="2191"/>
      <c r="ES257" s="2211"/>
      <c r="ET257" s="2211"/>
      <c r="EU257" s="2211"/>
      <c r="EV257" s="2211"/>
      <c r="EW257" s="2211"/>
      <c r="EX257" s="2211"/>
      <c r="EY257" s="2211"/>
      <c r="EZ257" s="2211"/>
      <c r="FA257" s="2211"/>
      <c r="FB257" s="2211"/>
      <c r="FC257" s="2211"/>
      <c r="FD257" s="2211"/>
      <c r="FE257" s="2211"/>
      <c r="FF257" s="2211"/>
      <c r="FG257" s="2211"/>
      <c r="FH257" s="2211"/>
      <c r="FI257" s="2211"/>
      <c r="FJ257" s="2211"/>
      <c r="FK257" s="2211"/>
      <c r="FL257" s="2211"/>
      <c r="FM257" s="2211"/>
      <c r="FN257" s="2211"/>
      <c r="FO257" s="2211"/>
      <c r="FP257" s="2211"/>
      <c r="FQ257" s="2211"/>
      <c r="FR257" s="2211"/>
      <c r="FS257" s="2211"/>
      <c r="FT257" s="2211"/>
      <c r="FU257" s="2211"/>
      <c r="FV257" s="2211"/>
      <c r="FW257" s="2203"/>
      <c r="FX257" s="2203"/>
      <c r="FY257" s="2034"/>
      <c r="FZ257" s="2034"/>
      <c r="GA257" s="2034"/>
      <c r="GB257" s="2204"/>
      <c r="GC257" s="2204"/>
      <c r="GD257" s="2204"/>
      <c r="GE257" s="2204"/>
      <c r="GF257" s="2204"/>
      <c r="GG257" s="2204"/>
      <c r="GH257" s="2204"/>
      <c r="GI257" s="2204"/>
      <c r="GJ257" s="2204"/>
      <c r="GK257" s="2204"/>
      <c r="GL257" s="2204"/>
      <c r="GM257" s="2204"/>
      <c r="GN257" s="2204"/>
      <c r="GO257" s="2204"/>
      <c r="GP257" s="2204"/>
      <c r="GQ257" s="2204"/>
      <c r="GR257" s="2204"/>
      <c r="GS257" s="2204"/>
      <c r="GT257" s="2204"/>
      <c r="GU257" s="2204"/>
      <c r="GV257" s="2204"/>
      <c r="GW257" s="2204"/>
      <c r="GX257" s="2204"/>
      <c r="GY257" s="2204"/>
      <c r="GZ257" s="2204"/>
      <c r="HA257" s="2204"/>
      <c r="HB257" s="2204"/>
      <c r="HC257" s="2204"/>
      <c r="HD257" s="2204"/>
      <c r="HE257" s="2204"/>
      <c r="HF257" s="2204"/>
      <c r="HG257" s="2204"/>
      <c r="HH257" s="2204"/>
      <c r="HI257" s="2204"/>
      <c r="HJ257" s="2204"/>
      <c r="HK257" s="2204"/>
      <c r="HL257" s="2204"/>
      <c r="HM257" s="2204"/>
      <c r="HN257" s="2204"/>
      <c r="HO257" s="2204"/>
      <c r="HP257" s="2204"/>
      <c r="HQ257" s="2204"/>
      <c r="HR257" s="2204"/>
      <c r="HS257" s="2204"/>
      <c r="HT257" s="2204"/>
      <c r="HU257" s="2204"/>
      <c r="HV257" s="2204"/>
      <c r="HW257" s="2204"/>
      <c r="HX257" s="2204"/>
      <c r="HY257" s="2204"/>
      <c r="HZ257" s="2204"/>
      <c r="IA257" s="2204"/>
      <c r="IB257" s="2204"/>
      <c r="IC257" s="2204"/>
      <c r="ID257" s="2204"/>
      <c r="IE257" s="2204"/>
      <c r="IF257" s="2204"/>
      <c r="IG257" s="2204"/>
      <c r="IH257" s="2204"/>
      <c r="II257" s="2204"/>
      <c r="IJ257" s="2204"/>
      <c r="IK257" s="2204"/>
      <c r="IL257" s="2204"/>
      <c r="IM257" s="2204"/>
      <c r="IN257" s="2204"/>
      <c r="IO257" s="2204"/>
      <c r="IP257" s="2204"/>
      <c r="IQ257" s="2204"/>
      <c r="IR257" s="2204"/>
      <c r="IS257" s="2204"/>
      <c r="IT257" s="2204"/>
      <c r="IU257" s="2204"/>
      <c r="IV257" s="2204"/>
      <c r="IW257" s="2204"/>
      <c r="IX257" s="2204"/>
      <c r="IY257" s="2204"/>
      <c r="IZ257" s="2204"/>
      <c r="JA257" s="2204"/>
      <c r="JB257" s="2204"/>
      <c r="JC257" s="2204"/>
      <c r="JD257" s="2204"/>
      <c r="JE257" s="2204"/>
      <c r="JF257" s="2205"/>
      <c r="JG257" s="2026"/>
      <c r="JK257" s="2526"/>
    </row>
    <row r="258" spans="2:271" s="2024" customFormat="1">
      <c r="B258" s="2189">
        <v>45</v>
      </c>
      <c r="C258" s="2203"/>
      <c r="D258" s="2191" t="s">
        <v>112</v>
      </c>
      <c r="E258" s="2206"/>
      <c r="F258" s="2190"/>
      <c r="G258" s="2237"/>
      <c r="H258" s="2190"/>
      <c r="I258" s="2190"/>
      <c r="J258" s="2190"/>
      <c r="K258" s="2238"/>
      <c r="L258" s="2206"/>
      <c r="M258" s="2207"/>
      <c r="N258" s="2207"/>
      <c r="O258" s="2207"/>
      <c r="P258" s="2207"/>
      <c r="Q258" s="2207"/>
      <c r="R258" s="2207"/>
      <c r="S258" s="2207"/>
      <c r="T258" s="2207"/>
      <c r="U258" s="2207"/>
      <c r="V258" s="2207"/>
      <c r="W258" s="2207"/>
      <c r="X258" s="2208"/>
      <c r="Y258" s="2208"/>
      <c r="Z258" s="2190"/>
      <c r="AA258" s="2208"/>
      <c r="AB258" s="2190"/>
      <c r="AC258" s="2190"/>
      <c r="AD258" s="2190"/>
      <c r="AE258" s="2190"/>
      <c r="AF258" s="2190"/>
      <c r="AG258" s="2190"/>
      <c r="AH258" s="2190"/>
      <c r="AI258" s="2190"/>
      <c r="AJ258" s="2190"/>
      <c r="AK258" s="2210"/>
      <c r="AL258" s="2190"/>
      <c r="AM258" s="2190"/>
      <c r="AN258" s="2190"/>
      <c r="AO258" s="2190"/>
      <c r="AP258" s="2190"/>
      <c r="AQ258" s="2190"/>
      <c r="AR258" s="2210"/>
      <c r="AS258" s="2190"/>
      <c r="AT258" s="2190"/>
      <c r="AU258" s="2190"/>
      <c r="AV258" s="2190"/>
      <c r="AW258" s="2190"/>
      <c r="AX258" s="2190"/>
      <c r="AY258" s="2190"/>
      <c r="AZ258" s="2190"/>
      <c r="BA258" s="2210"/>
      <c r="BB258" s="2210"/>
      <c r="BC258" s="2190"/>
      <c r="BD258" s="2190"/>
      <c r="BE258" s="2211"/>
      <c r="BF258" s="2210"/>
      <c r="BG258" s="2211"/>
      <c r="BH258" s="2211"/>
      <c r="BI258" s="2211"/>
      <c r="BJ258" s="2211"/>
      <c r="BK258" s="2211"/>
      <c r="BL258" s="2211"/>
      <c r="BM258" s="2211"/>
      <c r="BN258" s="2211"/>
      <c r="BO258" s="2211"/>
      <c r="BP258" s="2211"/>
      <c r="BQ258" s="2211"/>
      <c r="BR258" s="2211"/>
      <c r="BS258" s="2211"/>
      <c r="BT258" s="2211"/>
      <c r="BU258" s="2211"/>
      <c r="BV258" s="2211"/>
      <c r="BW258" s="2211"/>
      <c r="BX258" s="2211"/>
      <c r="BY258" s="2211"/>
      <c r="BZ258" s="2211"/>
      <c r="CA258" s="2211"/>
      <c r="CB258" s="2211"/>
      <c r="CC258" s="2211"/>
      <c r="CD258" s="2211"/>
      <c r="CE258" s="2211"/>
      <c r="CF258" s="2211"/>
      <c r="CG258" s="2211"/>
      <c r="CH258" s="2211"/>
      <c r="CI258" s="2211"/>
      <c r="CJ258" s="2211"/>
      <c r="CK258" s="2211"/>
      <c r="CL258" s="2211"/>
      <c r="CM258" s="2211"/>
      <c r="CN258" s="2211"/>
      <c r="CO258" s="2211"/>
      <c r="CP258" s="2211"/>
      <c r="CQ258" s="2211"/>
      <c r="CR258" s="2211"/>
      <c r="CS258" s="2211"/>
      <c r="CT258" s="2211"/>
      <c r="CU258" s="2211"/>
      <c r="CV258" s="2211"/>
      <c r="CW258" s="2211"/>
      <c r="CX258" s="2211"/>
      <c r="CY258" s="2211"/>
      <c r="CZ258" s="2211"/>
      <c r="DA258" s="2211"/>
      <c r="DB258" s="2211"/>
      <c r="DC258" s="2211"/>
      <c r="DD258" s="2211"/>
      <c r="DE258" s="2211"/>
      <c r="DF258" s="2211"/>
      <c r="DG258" s="2211"/>
      <c r="DH258" s="2211"/>
      <c r="DI258" s="2211"/>
      <c r="DJ258" s="2211"/>
      <c r="DK258" s="2211"/>
      <c r="DL258" s="2211"/>
      <c r="DM258" s="2211"/>
      <c r="DN258" s="2211"/>
      <c r="DO258" s="2211"/>
      <c r="DP258" s="2211"/>
      <c r="DQ258" s="2211"/>
      <c r="DR258" s="2211"/>
      <c r="DS258" s="2211"/>
      <c r="DT258" s="2211"/>
      <c r="DU258" s="2211"/>
      <c r="DV258" s="2211"/>
      <c r="DW258" s="2211"/>
      <c r="DX258" s="2211"/>
      <c r="DY258" s="2211"/>
      <c r="DZ258" s="2211"/>
      <c r="EA258" s="2211"/>
      <c r="EB258" s="2211"/>
      <c r="EC258" s="2211"/>
      <c r="ED258" s="2211"/>
      <c r="EE258" s="2211"/>
      <c r="EF258" s="2211"/>
      <c r="EG258" s="2211"/>
      <c r="EH258" s="2211"/>
      <c r="EI258" s="2211"/>
      <c r="EJ258" s="2211"/>
      <c r="EK258" s="2211"/>
      <c r="EL258" s="2211"/>
      <c r="EM258" s="2211"/>
      <c r="EN258" s="2211"/>
      <c r="EO258" s="2211"/>
      <c r="EP258" s="2211"/>
      <c r="EQ258" s="2211"/>
      <c r="ER258" s="2211"/>
      <c r="ES258" s="2211"/>
      <c r="ET258" s="2211"/>
      <c r="EU258" s="2211"/>
      <c r="EV258" s="2211"/>
      <c r="EW258" s="2211"/>
      <c r="EX258" s="2211"/>
      <c r="EY258" s="2211"/>
      <c r="EZ258" s="2211"/>
      <c r="FA258" s="2211"/>
      <c r="FB258" s="2211"/>
      <c r="FC258" s="2211"/>
      <c r="FD258" s="2211"/>
      <c r="FE258" s="2211"/>
      <c r="FF258" s="2211"/>
      <c r="FG258" s="2211"/>
      <c r="FH258" s="2211"/>
      <c r="FI258" s="2211"/>
      <c r="FJ258" s="2211"/>
      <c r="FK258" s="2211"/>
      <c r="FL258" s="2211"/>
      <c r="FM258" s="2211"/>
      <c r="FN258" s="2211"/>
      <c r="FO258" s="2211"/>
      <c r="FP258" s="2211"/>
      <c r="FQ258" s="2211"/>
      <c r="FR258" s="2211"/>
      <c r="FS258" s="2211"/>
      <c r="FT258" s="2211"/>
      <c r="FU258" s="2211"/>
      <c r="FV258" s="2211"/>
      <c r="FW258" s="2203"/>
      <c r="FX258" s="2203"/>
      <c r="FY258" s="2034"/>
      <c r="FZ258" s="2034"/>
      <c r="GA258" s="2034"/>
      <c r="GB258" s="2204"/>
      <c r="GC258" s="2204"/>
      <c r="GD258" s="2204"/>
      <c r="GE258" s="2204"/>
      <c r="GF258" s="2204"/>
      <c r="GG258" s="2204"/>
      <c r="GH258" s="2204"/>
      <c r="GI258" s="2204"/>
      <c r="GJ258" s="2204"/>
      <c r="GK258" s="2204"/>
      <c r="GL258" s="2204"/>
      <c r="GM258" s="2204"/>
      <c r="GN258" s="2204"/>
      <c r="GO258" s="2204"/>
      <c r="GP258" s="2204"/>
      <c r="GQ258" s="2204"/>
      <c r="GR258" s="2204"/>
      <c r="GS258" s="2204"/>
      <c r="GT258" s="2204"/>
      <c r="GU258" s="2204"/>
      <c r="GV258" s="2204"/>
      <c r="GW258" s="2204"/>
      <c r="GX258" s="2204"/>
      <c r="GY258" s="2204"/>
      <c r="GZ258" s="2204"/>
      <c r="HA258" s="2204"/>
      <c r="HB258" s="2204"/>
      <c r="HC258" s="2204"/>
      <c r="HD258" s="2204"/>
      <c r="HE258" s="2204"/>
      <c r="HF258" s="2204"/>
      <c r="HG258" s="2204"/>
      <c r="HH258" s="2204"/>
      <c r="HI258" s="2204"/>
      <c r="HJ258" s="2204"/>
      <c r="HK258" s="2204"/>
      <c r="HL258" s="2204"/>
      <c r="HM258" s="2204"/>
      <c r="HN258" s="2204"/>
      <c r="HO258" s="2204"/>
      <c r="HP258" s="2204"/>
      <c r="HQ258" s="2204"/>
      <c r="HR258" s="2204"/>
      <c r="HS258" s="2204"/>
      <c r="HT258" s="2204"/>
      <c r="HU258" s="2204"/>
      <c r="HV258" s="2204"/>
      <c r="HW258" s="2204"/>
      <c r="HX258" s="2204"/>
      <c r="HY258" s="2204"/>
      <c r="HZ258" s="2204"/>
      <c r="IA258" s="2204"/>
      <c r="IB258" s="2204"/>
      <c r="IC258" s="2204"/>
      <c r="ID258" s="2204"/>
      <c r="IE258" s="2204"/>
      <c r="IF258" s="2204"/>
      <c r="IG258" s="2204"/>
      <c r="IH258" s="2204"/>
      <c r="II258" s="2204"/>
      <c r="IJ258" s="2204"/>
      <c r="IK258" s="2204"/>
      <c r="IL258" s="2204"/>
      <c r="IM258" s="2204"/>
      <c r="IN258" s="2204"/>
      <c r="IO258" s="2204"/>
      <c r="IP258" s="2204"/>
      <c r="IQ258" s="2204"/>
      <c r="IR258" s="2204"/>
      <c r="IS258" s="2204"/>
      <c r="IT258" s="2204"/>
      <c r="IU258" s="2204"/>
      <c r="IV258" s="2204"/>
      <c r="IW258" s="2204"/>
      <c r="IX258" s="2204"/>
      <c r="IY258" s="2204"/>
      <c r="IZ258" s="2204"/>
      <c r="JA258" s="2204"/>
      <c r="JB258" s="2204"/>
      <c r="JC258" s="2204"/>
      <c r="JD258" s="2204"/>
      <c r="JE258" s="2204"/>
      <c r="JF258" s="2205"/>
      <c r="JG258" s="2026"/>
      <c r="JK258" s="2526"/>
    </row>
    <row r="259" spans="2:271" s="2236" customFormat="1" hidden="1">
      <c r="B259" s="2223">
        <v>46</v>
      </c>
      <c r="C259" s="2224"/>
      <c r="D259" s="2225" t="s">
        <v>1317</v>
      </c>
      <c r="E259" s="2226"/>
      <c r="F259" s="2227"/>
      <c r="G259" s="2224"/>
      <c r="H259" s="2227"/>
      <c r="I259" s="2227"/>
      <c r="J259" s="2227"/>
      <c r="K259" s="2240"/>
      <c r="L259" s="2226"/>
      <c r="M259" s="2229"/>
      <c r="N259" s="2229"/>
      <c r="O259" s="2229"/>
      <c r="P259" s="2229"/>
      <c r="Q259" s="2229"/>
      <c r="R259" s="2229"/>
      <c r="S259" s="2229"/>
      <c r="T259" s="2229"/>
      <c r="U259" s="2229"/>
      <c r="V259" s="2229"/>
      <c r="W259" s="2229"/>
      <c r="X259" s="2230"/>
      <c r="Y259" s="2230"/>
      <c r="Z259" s="2227"/>
      <c r="AA259" s="2230"/>
      <c r="AB259" s="2227"/>
      <c r="AC259" s="2227"/>
      <c r="AD259" s="2227"/>
      <c r="AE259" s="2227"/>
      <c r="AF259" s="2227"/>
      <c r="AG259" s="2227"/>
      <c r="AH259" s="2227"/>
      <c r="AI259" s="2227"/>
      <c r="AJ259" s="2227"/>
      <c r="AK259" s="2232"/>
      <c r="AL259" s="2227"/>
      <c r="AM259" s="2227"/>
      <c r="AN259" s="2227"/>
      <c r="AO259" s="2227"/>
      <c r="AP259" s="2227"/>
      <c r="AQ259" s="2227"/>
      <c r="AR259" s="2232"/>
      <c r="AS259" s="2227"/>
      <c r="AT259" s="2227"/>
      <c r="AU259" s="2227"/>
      <c r="AV259" s="2227"/>
      <c r="AW259" s="2227"/>
      <c r="AX259" s="2227"/>
      <c r="AY259" s="2227"/>
      <c r="AZ259" s="2227"/>
      <c r="BA259" s="2232"/>
      <c r="BB259" s="2232"/>
      <c r="BC259" s="2227"/>
      <c r="BD259" s="2227"/>
      <c r="BE259" s="2233"/>
      <c r="BF259" s="2232"/>
      <c r="BG259" s="2233"/>
      <c r="BH259" s="2233"/>
      <c r="BI259" s="2233"/>
      <c r="BJ259" s="2233"/>
      <c r="BK259" s="2233"/>
      <c r="BL259" s="2233"/>
      <c r="BM259" s="2233"/>
      <c r="BN259" s="2233"/>
      <c r="BO259" s="2233"/>
      <c r="BP259" s="2233"/>
      <c r="BQ259" s="2233"/>
      <c r="BR259" s="2233"/>
      <c r="BS259" s="2233"/>
      <c r="BT259" s="2233"/>
      <c r="BU259" s="2233"/>
      <c r="BV259" s="2233"/>
      <c r="BW259" s="2233"/>
      <c r="BX259" s="2233"/>
      <c r="BY259" s="2233"/>
      <c r="BZ259" s="2233"/>
      <c r="CA259" s="2233"/>
      <c r="CB259" s="2233"/>
      <c r="CC259" s="2233"/>
      <c r="CD259" s="2233"/>
      <c r="CE259" s="2233"/>
      <c r="CF259" s="2233"/>
      <c r="CG259" s="2233"/>
      <c r="CH259" s="2233"/>
      <c r="CI259" s="2233"/>
      <c r="CJ259" s="2233"/>
      <c r="CK259" s="2233"/>
      <c r="CL259" s="2233"/>
      <c r="CM259" s="2233"/>
      <c r="CN259" s="2233"/>
      <c r="CO259" s="2233"/>
      <c r="CP259" s="2233"/>
      <c r="CQ259" s="2233"/>
      <c r="CR259" s="2233"/>
      <c r="CS259" s="2233"/>
      <c r="CT259" s="2233"/>
      <c r="CU259" s="2233"/>
      <c r="CV259" s="2233"/>
      <c r="CW259" s="2233"/>
      <c r="CX259" s="2233"/>
      <c r="CY259" s="2233"/>
      <c r="CZ259" s="2233"/>
      <c r="DA259" s="2233"/>
      <c r="DB259" s="2233"/>
      <c r="DC259" s="2233"/>
      <c r="DD259" s="2233"/>
      <c r="DE259" s="2233"/>
      <c r="DF259" s="2233"/>
      <c r="DG259" s="2233"/>
      <c r="DH259" s="2233"/>
      <c r="DI259" s="2233"/>
      <c r="DJ259" s="2233"/>
      <c r="DK259" s="2233"/>
      <c r="DL259" s="2233"/>
      <c r="DM259" s="2233"/>
      <c r="DN259" s="2233"/>
      <c r="DO259" s="2233"/>
      <c r="DP259" s="2233"/>
      <c r="DQ259" s="2233"/>
      <c r="DR259" s="2233"/>
      <c r="DS259" s="2233"/>
      <c r="DT259" s="2233"/>
      <c r="DU259" s="2233"/>
      <c r="DV259" s="2233"/>
      <c r="DW259" s="2233"/>
      <c r="DX259" s="2233"/>
      <c r="DY259" s="2233"/>
      <c r="DZ259" s="2233"/>
      <c r="EA259" s="2233"/>
      <c r="EB259" s="2233"/>
      <c r="EC259" s="2233"/>
      <c r="ED259" s="2233"/>
      <c r="EE259" s="2233"/>
      <c r="EF259" s="2233"/>
      <c r="EG259" s="2233"/>
      <c r="EH259" s="2233"/>
      <c r="EI259" s="2233"/>
      <c r="EJ259" s="2233"/>
      <c r="EK259" s="2233"/>
      <c r="EL259" s="2233"/>
      <c r="EM259" s="2233"/>
      <c r="EN259" s="2233"/>
      <c r="EO259" s="2233"/>
      <c r="EP259" s="2233"/>
      <c r="EQ259" s="2233"/>
      <c r="ER259" s="2233"/>
      <c r="ES259" s="2233"/>
      <c r="ET259" s="2233"/>
      <c r="EU259" s="2233"/>
      <c r="EV259" s="2233"/>
      <c r="EW259" s="2233"/>
      <c r="EX259" s="2233"/>
      <c r="EY259" s="2233"/>
      <c r="EZ259" s="2233"/>
      <c r="FA259" s="2233"/>
      <c r="FB259" s="2233"/>
      <c r="FC259" s="2233"/>
      <c r="FD259" s="2233"/>
      <c r="FE259" s="2233"/>
      <c r="FF259" s="2233"/>
      <c r="FG259" s="2233"/>
      <c r="FH259" s="2233"/>
      <c r="FI259" s="2233"/>
      <c r="FJ259" s="2233"/>
      <c r="FK259" s="2233"/>
      <c r="FL259" s="2233"/>
      <c r="FM259" s="2233"/>
      <c r="FN259" s="2233"/>
      <c r="FO259" s="2233"/>
      <c r="FP259" s="2233"/>
      <c r="FQ259" s="2233"/>
      <c r="FR259" s="2233"/>
      <c r="FS259" s="2233"/>
      <c r="FT259" s="2233"/>
      <c r="FU259" s="2233"/>
      <c r="FV259" s="2233"/>
      <c r="FW259" s="2224"/>
      <c r="FX259" s="2224"/>
      <c r="FY259" s="2227"/>
      <c r="FZ259" s="2227"/>
      <c r="GA259" s="2227"/>
      <c r="GB259" s="2232"/>
      <c r="GC259" s="2232"/>
      <c r="GD259" s="2232"/>
      <c r="GE259" s="2232"/>
      <c r="GF259" s="2232"/>
      <c r="GG259" s="2232"/>
      <c r="GH259" s="2232"/>
      <c r="GI259" s="2232"/>
      <c r="GJ259" s="2232"/>
      <c r="GK259" s="2232"/>
      <c r="GL259" s="2232"/>
      <c r="GM259" s="2232"/>
      <c r="GN259" s="2232"/>
      <c r="GO259" s="2232"/>
      <c r="GP259" s="2232"/>
      <c r="GQ259" s="2232"/>
      <c r="GR259" s="2232"/>
      <c r="GS259" s="2232"/>
      <c r="GT259" s="2232"/>
      <c r="GU259" s="2232"/>
      <c r="GV259" s="2232"/>
      <c r="GW259" s="2232"/>
      <c r="GX259" s="2232"/>
      <c r="GY259" s="2232"/>
      <c r="GZ259" s="2232"/>
      <c r="HA259" s="2232"/>
      <c r="HB259" s="2232"/>
      <c r="HC259" s="2232"/>
      <c r="HD259" s="2232"/>
      <c r="HE259" s="2232"/>
      <c r="HF259" s="2232"/>
      <c r="HG259" s="2232"/>
      <c r="HH259" s="2232"/>
      <c r="HI259" s="2232"/>
      <c r="HJ259" s="2232"/>
      <c r="HK259" s="2232"/>
      <c r="HL259" s="2232"/>
      <c r="HM259" s="2232"/>
      <c r="HN259" s="2232"/>
      <c r="HO259" s="2232"/>
      <c r="HP259" s="2232"/>
      <c r="HQ259" s="2232"/>
      <c r="HR259" s="2232"/>
      <c r="HS259" s="2232"/>
      <c r="HT259" s="2232"/>
      <c r="HU259" s="2232"/>
      <c r="HV259" s="2232"/>
      <c r="HW259" s="2232"/>
      <c r="HX259" s="2232"/>
      <c r="HY259" s="2232"/>
      <c r="HZ259" s="2232"/>
      <c r="IA259" s="2232"/>
      <c r="IB259" s="2232"/>
      <c r="IC259" s="2232"/>
      <c r="ID259" s="2232"/>
      <c r="IE259" s="2232"/>
      <c r="IF259" s="2232"/>
      <c r="IG259" s="2232"/>
      <c r="IH259" s="2232"/>
      <c r="II259" s="2232"/>
      <c r="IJ259" s="2232"/>
      <c r="IK259" s="2232"/>
      <c r="IL259" s="2232"/>
      <c r="IM259" s="2232"/>
      <c r="IN259" s="2232"/>
      <c r="IO259" s="2232"/>
      <c r="IP259" s="2232"/>
      <c r="IQ259" s="2232"/>
      <c r="IR259" s="2232"/>
      <c r="IS259" s="2232"/>
      <c r="IT259" s="2232"/>
      <c r="IU259" s="2232"/>
      <c r="IV259" s="2232"/>
      <c r="IW259" s="2232"/>
      <c r="IX259" s="2232"/>
      <c r="IY259" s="2232"/>
      <c r="IZ259" s="2232"/>
      <c r="JA259" s="2232"/>
      <c r="JB259" s="2232"/>
      <c r="JC259" s="2232"/>
      <c r="JD259" s="2232"/>
      <c r="JE259" s="2232"/>
      <c r="JF259" s="2234"/>
      <c r="JG259" s="2235"/>
      <c r="JK259" s="2530"/>
    </row>
    <row r="260" spans="2:271" s="2024" customFormat="1">
      <c r="B260" s="2189">
        <v>47</v>
      </c>
      <c r="C260" s="2203"/>
      <c r="D260" s="2191" t="s">
        <v>566</v>
      </c>
      <c r="E260" s="2206"/>
      <c r="F260" s="2190"/>
      <c r="G260" s="2237"/>
      <c r="H260" s="2190"/>
      <c r="I260" s="2190"/>
      <c r="J260" s="2190"/>
      <c r="K260" s="2238"/>
      <c r="L260" s="2206"/>
      <c r="M260" s="2207"/>
      <c r="N260" s="2207"/>
      <c r="O260" s="2207"/>
      <c r="P260" s="2207"/>
      <c r="Q260" s="2207"/>
      <c r="R260" s="2207"/>
      <c r="S260" s="2207"/>
      <c r="T260" s="2207"/>
      <c r="U260" s="2207"/>
      <c r="V260" s="2207"/>
      <c r="W260" s="2207"/>
      <c r="X260" s="2208"/>
      <c r="Y260" s="2208"/>
      <c r="Z260" s="2190"/>
      <c r="AA260" s="2250"/>
      <c r="AB260" s="2190"/>
      <c r="AC260" s="2190"/>
      <c r="AD260" s="2190"/>
      <c r="AE260" s="2190"/>
      <c r="AF260" s="2190"/>
      <c r="AG260" s="2190"/>
      <c r="AH260" s="2190"/>
      <c r="AI260" s="2190"/>
      <c r="AJ260" s="2190"/>
      <c r="AK260" s="2210"/>
      <c r="AL260" s="2190"/>
      <c r="AM260" s="2190"/>
      <c r="AN260" s="2190"/>
      <c r="AO260" s="2190"/>
      <c r="AP260" s="2190"/>
      <c r="AQ260" s="2190"/>
      <c r="AR260" s="2210"/>
      <c r="AS260" s="2190"/>
      <c r="AT260" s="2190"/>
      <c r="AU260" s="2190"/>
      <c r="AV260" s="2190"/>
      <c r="AW260" s="2190"/>
      <c r="AX260" s="2190"/>
      <c r="AY260" s="2190"/>
      <c r="AZ260" s="2190"/>
      <c r="BA260" s="2210"/>
      <c r="BB260" s="2210"/>
      <c r="BC260" s="2190"/>
      <c r="BD260" s="2190"/>
      <c r="BE260" s="2211"/>
      <c r="BF260" s="2210"/>
      <c r="BG260" s="2211"/>
      <c r="BH260" s="2211"/>
      <c r="BI260" s="2211"/>
      <c r="BJ260" s="2211"/>
      <c r="BK260" s="2211"/>
      <c r="BL260" s="2211"/>
      <c r="BM260" s="2211"/>
      <c r="BN260" s="2211"/>
      <c r="BO260" s="2211"/>
      <c r="BP260" s="2211"/>
      <c r="BQ260" s="2211"/>
      <c r="BR260" s="2211"/>
      <c r="BS260" s="2211"/>
      <c r="BT260" s="2211"/>
      <c r="BU260" s="2211"/>
      <c r="BV260" s="2211"/>
      <c r="BW260" s="2211"/>
      <c r="BX260" s="2211"/>
      <c r="BY260" s="2211"/>
      <c r="BZ260" s="2211"/>
      <c r="CA260" s="2211"/>
      <c r="CB260" s="2211"/>
      <c r="CC260" s="2211"/>
      <c r="CD260" s="2211"/>
      <c r="CE260" s="2211"/>
      <c r="CF260" s="2211"/>
      <c r="CG260" s="2211"/>
      <c r="CH260" s="2211"/>
      <c r="CI260" s="2211"/>
      <c r="CJ260" s="2211"/>
      <c r="CK260" s="2211"/>
      <c r="CL260" s="2211"/>
      <c r="CM260" s="2211"/>
      <c r="CN260" s="2211"/>
      <c r="CO260" s="2211"/>
      <c r="CP260" s="2211"/>
      <c r="CQ260" s="2211"/>
      <c r="CR260" s="2211"/>
      <c r="CS260" s="2211"/>
      <c r="CT260" s="2211"/>
      <c r="CU260" s="2211"/>
      <c r="CV260" s="2211"/>
      <c r="CW260" s="2211"/>
      <c r="CX260" s="2211"/>
      <c r="CY260" s="2211"/>
      <c r="CZ260" s="2211"/>
      <c r="DA260" s="2211"/>
      <c r="DB260" s="2211"/>
      <c r="DC260" s="2211"/>
      <c r="DD260" s="2211"/>
      <c r="DE260" s="2211"/>
      <c r="DF260" s="2211"/>
      <c r="DG260" s="2211"/>
      <c r="DH260" s="2211"/>
      <c r="DI260" s="2211"/>
      <c r="DJ260" s="2211"/>
      <c r="DK260" s="2211"/>
      <c r="DL260" s="2211"/>
      <c r="DM260" s="2211"/>
      <c r="DN260" s="2211"/>
      <c r="DO260" s="2211"/>
      <c r="DP260" s="2211"/>
      <c r="DQ260" s="2211"/>
      <c r="DR260" s="2211"/>
      <c r="DS260" s="2211"/>
      <c r="DT260" s="2211"/>
      <c r="DU260" s="2211"/>
      <c r="DV260" s="2211"/>
      <c r="DW260" s="2211"/>
      <c r="DX260" s="2211"/>
      <c r="DY260" s="2211"/>
      <c r="DZ260" s="2211"/>
      <c r="EA260" s="2211"/>
      <c r="EB260" s="2211"/>
      <c r="EC260" s="2211"/>
      <c r="ED260" s="2211"/>
      <c r="EE260" s="2211"/>
      <c r="EF260" s="2211"/>
      <c r="EG260" s="2211"/>
      <c r="EH260" s="2211"/>
      <c r="EI260" s="2211"/>
      <c r="EJ260" s="2211"/>
      <c r="EK260" s="2211"/>
      <c r="EL260" s="2211"/>
      <c r="EM260" s="2211"/>
      <c r="EN260" s="2211"/>
      <c r="EO260" s="2211"/>
      <c r="EP260" s="2211"/>
      <c r="EQ260" s="2211"/>
      <c r="ER260" s="2211"/>
      <c r="ES260" s="2211"/>
      <c r="ET260" s="2211"/>
      <c r="EU260" s="2211"/>
      <c r="EV260" s="2211"/>
      <c r="EW260" s="2211"/>
      <c r="EX260" s="2211"/>
      <c r="EY260" s="2211"/>
      <c r="EZ260" s="2211"/>
      <c r="FA260" s="2211"/>
      <c r="FB260" s="2211"/>
      <c r="FC260" s="2211"/>
      <c r="FD260" s="2211"/>
      <c r="FE260" s="2211"/>
      <c r="FF260" s="2211"/>
      <c r="FG260" s="2211"/>
      <c r="FH260" s="2211"/>
      <c r="FI260" s="2211"/>
      <c r="FJ260" s="2211"/>
      <c r="FK260" s="2211"/>
      <c r="FL260" s="2211"/>
      <c r="FM260" s="2211"/>
      <c r="FN260" s="2211"/>
      <c r="FO260" s="2211"/>
      <c r="FP260" s="2211"/>
      <c r="FQ260" s="2211"/>
      <c r="FR260" s="2211"/>
      <c r="FS260" s="2211"/>
      <c r="FT260" s="2211"/>
      <c r="FU260" s="2211"/>
      <c r="FV260" s="2211"/>
      <c r="FW260" s="2203"/>
      <c r="FX260" s="2203"/>
      <c r="FY260" s="2034"/>
      <c r="FZ260" s="2034"/>
      <c r="GA260" s="2034"/>
      <c r="GB260" s="2204"/>
      <c r="GC260" s="2204"/>
      <c r="GD260" s="2204"/>
      <c r="GE260" s="2204"/>
      <c r="GF260" s="2204"/>
      <c r="GG260" s="2204"/>
      <c r="GH260" s="2204"/>
      <c r="GI260" s="2204"/>
      <c r="GJ260" s="2204"/>
      <c r="GK260" s="2204"/>
      <c r="GL260" s="2204"/>
      <c r="GM260" s="2204"/>
      <c r="GN260" s="2204"/>
      <c r="GO260" s="2204"/>
      <c r="GP260" s="2204"/>
      <c r="GQ260" s="2204"/>
      <c r="GR260" s="2204"/>
      <c r="GS260" s="2204"/>
      <c r="GT260" s="2204"/>
      <c r="GU260" s="2204"/>
      <c r="GV260" s="2204"/>
      <c r="GW260" s="2204"/>
      <c r="GX260" s="2204"/>
      <c r="GY260" s="2204"/>
      <c r="GZ260" s="2204"/>
      <c r="HA260" s="2204"/>
      <c r="HB260" s="2204"/>
      <c r="HC260" s="2204"/>
      <c r="HD260" s="2204"/>
      <c r="HE260" s="2204"/>
      <c r="HF260" s="2204"/>
      <c r="HG260" s="2204"/>
      <c r="HH260" s="2204"/>
      <c r="HI260" s="2204"/>
      <c r="HJ260" s="2204"/>
      <c r="HK260" s="2204"/>
      <c r="HL260" s="2204"/>
      <c r="HM260" s="2204"/>
      <c r="HN260" s="2204"/>
      <c r="HO260" s="2204"/>
      <c r="HP260" s="2204"/>
      <c r="HQ260" s="2204"/>
      <c r="HR260" s="2204"/>
      <c r="HS260" s="2204"/>
      <c r="HT260" s="2204"/>
      <c r="HU260" s="2204"/>
      <c r="HV260" s="2204"/>
      <c r="HW260" s="2204"/>
      <c r="HX260" s="2204"/>
      <c r="HY260" s="2204"/>
      <c r="HZ260" s="2204"/>
      <c r="IA260" s="2204"/>
      <c r="IB260" s="2204"/>
      <c r="IC260" s="2204"/>
      <c r="ID260" s="2204"/>
      <c r="IE260" s="2204"/>
      <c r="IF260" s="2204"/>
      <c r="IG260" s="2204"/>
      <c r="IH260" s="2204"/>
      <c r="II260" s="2204"/>
      <c r="IJ260" s="2204"/>
      <c r="IK260" s="2204"/>
      <c r="IL260" s="2204"/>
      <c r="IM260" s="2204"/>
      <c r="IN260" s="2204"/>
      <c r="IO260" s="2204"/>
      <c r="IP260" s="2204"/>
      <c r="IQ260" s="2204"/>
      <c r="IR260" s="2204"/>
      <c r="IS260" s="2204"/>
      <c r="IT260" s="2204"/>
      <c r="IU260" s="2204"/>
      <c r="IV260" s="2204"/>
      <c r="IW260" s="2204"/>
      <c r="IX260" s="2204"/>
      <c r="IY260" s="2204"/>
      <c r="IZ260" s="2204"/>
      <c r="JA260" s="2204"/>
      <c r="JB260" s="2204"/>
      <c r="JC260" s="2204"/>
      <c r="JD260" s="2204"/>
      <c r="JE260" s="2204"/>
      <c r="JF260" s="2205"/>
      <c r="JG260" s="2026"/>
      <c r="JK260" s="2526"/>
    </row>
    <row r="261" spans="2:271" s="2203" customFormat="1">
      <c r="B261" s="2189">
        <v>48</v>
      </c>
      <c r="D261" s="2191" t="s">
        <v>1318</v>
      </c>
      <c r="E261" s="2251"/>
      <c r="F261" s="2251"/>
      <c r="G261" s="2366"/>
      <c r="H261" s="2251"/>
      <c r="I261" s="2251"/>
      <c r="J261" s="2251"/>
      <c r="K261" s="2366"/>
      <c r="L261" s="2251"/>
      <c r="M261" s="2251"/>
      <c r="N261" s="2251"/>
      <c r="O261" s="2251"/>
      <c r="P261" s="2251"/>
      <c r="Q261" s="2251"/>
      <c r="R261" s="2251"/>
      <c r="S261" s="2251"/>
      <c r="T261" s="2251"/>
      <c r="U261" s="2251"/>
      <c r="V261" s="2251"/>
      <c r="W261" s="2251"/>
      <c r="X261" s="2251"/>
      <c r="Y261" s="2251"/>
      <c r="Z261" s="2251"/>
      <c r="AA261" s="2251"/>
      <c r="AB261" s="2251"/>
      <c r="AC261" s="2251"/>
      <c r="AD261" s="2251"/>
      <c r="AE261" s="2251"/>
      <c r="AF261" s="2251"/>
      <c r="AG261" s="2251"/>
      <c r="AH261" s="2251"/>
      <c r="AI261" s="2251"/>
      <c r="AJ261" s="2251"/>
      <c r="AK261" s="2251"/>
      <c r="AL261" s="2251"/>
      <c r="AM261" s="2251"/>
      <c r="AN261" s="2251"/>
      <c r="AO261" s="2251"/>
      <c r="AP261" s="2251"/>
      <c r="AQ261" s="2251"/>
      <c r="AR261" s="2251"/>
      <c r="AS261" s="2251"/>
      <c r="AT261" s="2251"/>
      <c r="AU261" s="2251"/>
      <c r="AV261" s="2251"/>
      <c r="AW261" s="2251"/>
      <c r="AX261" s="2251"/>
      <c r="AY261" s="2251"/>
      <c r="AZ261" s="2251"/>
      <c r="BA261" s="2251"/>
      <c r="BB261" s="2251"/>
      <c r="BC261" s="2251"/>
      <c r="BD261" s="2251"/>
      <c r="BE261" s="2251"/>
      <c r="BF261" s="2251"/>
      <c r="BG261" s="2251"/>
      <c r="BH261" s="2251"/>
      <c r="BI261" s="2251"/>
      <c r="BJ261" s="2251"/>
      <c r="BK261" s="2251"/>
      <c r="BL261" s="2251"/>
      <c r="BM261" s="2251"/>
      <c r="BN261" s="2251"/>
      <c r="BO261" s="2251"/>
      <c r="BP261" s="2251"/>
      <c r="BQ261" s="2251"/>
      <c r="BR261" s="2251"/>
      <c r="BS261" s="2251"/>
      <c r="BT261" s="2251"/>
      <c r="BU261" s="2251"/>
      <c r="BV261" s="2251"/>
      <c r="BW261" s="2251"/>
      <c r="BX261" s="2251"/>
      <c r="BY261" s="2251"/>
      <c r="BZ261" s="2251"/>
      <c r="CA261" s="2251"/>
      <c r="CB261" s="2251"/>
      <c r="CC261" s="2251"/>
      <c r="CD261" s="2251"/>
      <c r="CE261" s="2251"/>
      <c r="CF261" s="2251"/>
      <c r="CG261" s="2251"/>
      <c r="CH261" s="2251"/>
      <c r="CI261" s="2251"/>
      <c r="CJ261" s="2251"/>
      <c r="CK261" s="2251"/>
      <c r="CL261" s="2251"/>
      <c r="CM261" s="2251"/>
      <c r="CN261" s="2251"/>
      <c r="CO261" s="2251"/>
      <c r="CP261" s="2251"/>
      <c r="CQ261" s="2251"/>
      <c r="CR261" s="2251"/>
      <c r="CS261" s="2251"/>
      <c r="CT261" s="2251"/>
      <c r="CU261" s="2251"/>
      <c r="CV261" s="2251"/>
      <c r="CW261" s="2251"/>
      <c r="CX261" s="2251"/>
      <c r="CY261" s="2251"/>
      <c r="CZ261" s="2251"/>
      <c r="DA261" s="2251"/>
      <c r="DB261" s="2251"/>
      <c r="DC261" s="2251"/>
      <c r="DD261" s="2251"/>
      <c r="DE261" s="2251"/>
      <c r="DF261" s="2251"/>
      <c r="DG261" s="2251"/>
      <c r="DH261" s="2251"/>
      <c r="DI261" s="2251"/>
      <c r="DJ261" s="2251"/>
      <c r="DK261" s="2251"/>
      <c r="DL261" s="2251"/>
      <c r="DM261" s="2251"/>
      <c r="DN261" s="2251"/>
      <c r="DO261" s="2251"/>
      <c r="DP261" s="2251"/>
      <c r="DQ261" s="2251"/>
      <c r="DR261" s="2251"/>
      <c r="DS261" s="2251"/>
      <c r="DT261" s="2251"/>
      <c r="DU261" s="2251"/>
      <c r="DV261" s="2251"/>
      <c r="DW261" s="2251"/>
      <c r="DX261" s="2251"/>
      <c r="DY261" s="2251"/>
      <c r="DZ261" s="2251"/>
      <c r="EA261" s="2251"/>
      <c r="EB261" s="2251"/>
      <c r="EC261" s="2251"/>
      <c r="ED261" s="2251"/>
      <c r="EE261" s="2251"/>
      <c r="EF261" s="2251"/>
      <c r="EG261" s="2251"/>
      <c r="EH261" s="2251"/>
      <c r="EI261" s="2251"/>
      <c r="EJ261" s="2251"/>
      <c r="EK261" s="2251"/>
      <c r="EL261" s="2251"/>
      <c r="EM261" s="2251"/>
      <c r="EN261" s="2251"/>
      <c r="EO261" s="2251"/>
      <c r="EP261" s="2251"/>
      <c r="EQ261" s="2251"/>
      <c r="ER261" s="2251"/>
      <c r="ES261" s="2211"/>
      <c r="ET261" s="2211"/>
      <c r="EU261" s="2211"/>
      <c r="EV261" s="2211"/>
      <c r="EW261" s="2211"/>
      <c r="EX261" s="2211"/>
      <c r="EY261" s="2211"/>
      <c r="EZ261" s="2211"/>
      <c r="FA261" s="2211"/>
      <c r="FB261" s="2211"/>
      <c r="FC261" s="2211"/>
      <c r="FD261" s="2211"/>
      <c r="FE261" s="2211"/>
      <c r="FF261" s="2211"/>
      <c r="FG261" s="2211"/>
      <c r="FH261" s="2211"/>
      <c r="FI261" s="2211"/>
      <c r="FJ261" s="2211"/>
      <c r="FK261" s="2211"/>
      <c r="FL261" s="2211"/>
      <c r="FM261" s="2211"/>
      <c r="FN261" s="2211"/>
      <c r="FO261" s="2211"/>
      <c r="FP261" s="2211"/>
      <c r="FQ261" s="2211"/>
      <c r="FR261" s="2211"/>
      <c r="FS261" s="2211"/>
      <c r="FT261" s="2211"/>
      <c r="FU261" s="2211"/>
      <c r="FV261" s="2211"/>
      <c r="FY261" s="2034"/>
      <c r="FZ261" s="2034"/>
      <c r="GA261" s="2034"/>
      <c r="GB261" s="2204"/>
      <c r="GC261" s="2204"/>
      <c r="GD261" s="2204"/>
      <c r="GE261" s="2204"/>
      <c r="GF261" s="2204"/>
      <c r="GG261" s="2204"/>
      <c r="GH261" s="2204"/>
      <c r="GI261" s="2204"/>
      <c r="GJ261" s="2204"/>
      <c r="GK261" s="2204"/>
      <c r="GL261" s="2204"/>
      <c r="GM261" s="2204"/>
      <c r="GN261" s="2204"/>
      <c r="GO261" s="2204"/>
      <c r="GP261" s="2204"/>
      <c r="GQ261" s="2204"/>
      <c r="GR261" s="2204"/>
      <c r="GS261" s="2204"/>
      <c r="GT261" s="2204"/>
      <c r="GU261" s="2204"/>
      <c r="GV261" s="2204"/>
      <c r="GW261" s="2204"/>
      <c r="GX261" s="2204"/>
      <c r="GY261" s="2204"/>
      <c r="GZ261" s="2204"/>
      <c r="HA261" s="2204"/>
      <c r="HB261" s="2204"/>
      <c r="HC261" s="2204"/>
      <c r="HD261" s="2204"/>
      <c r="HE261" s="2204"/>
      <c r="HF261" s="2204"/>
      <c r="HG261" s="2204"/>
      <c r="HH261" s="2204"/>
      <c r="HI261" s="2204"/>
      <c r="HJ261" s="2204"/>
      <c r="HK261" s="2204"/>
      <c r="HL261" s="2204"/>
      <c r="HM261" s="2204"/>
      <c r="HN261" s="2204"/>
      <c r="HO261" s="2204"/>
      <c r="HP261" s="2204"/>
      <c r="HQ261" s="2204"/>
      <c r="HR261" s="2204"/>
      <c r="HS261" s="2204"/>
      <c r="HT261" s="2204"/>
      <c r="HU261" s="2204"/>
      <c r="HV261" s="2204"/>
      <c r="HW261" s="2204"/>
      <c r="HX261" s="2204"/>
      <c r="HY261" s="2204"/>
      <c r="HZ261" s="2204"/>
      <c r="IA261" s="2204"/>
      <c r="IB261" s="2204"/>
      <c r="IC261" s="2204"/>
      <c r="ID261" s="2204"/>
      <c r="IE261" s="2204"/>
      <c r="IF261" s="2204"/>
      <c r="IG261" s="2204"/>
      <c r="IH261" s="2204"/>
      <c r="II261" s="2204"/>
      <c r="IJ261" s="2204"/>
      <c r="IK261" s="2204"/>
      <c r="IL261" s="2204"/>
      <c r="IM261" s="2204"/>
      <c r="IN261" s="2204"/>
      <c r="IO261" s="2204"/>
      <c r="IP261" s="2204"/>
      <c r="IQ261" s="2204"/>
      <c r="IR261" s="2204"/>
      <c r="IS261" s="2204"/>
      <c r="IT261" s="2204"/>
      <c r="IU261" s="2204"/>
      <c r="IV261" s="2204"/>
      <c r="IW261" s="2204"/>
      <c r="IX261" s="2204"/>
      <c r="IY261" s="2204"/>
      <c r="IZ261" s="2204"/>
      <c r="JA261" s="2204"/>
      <c r="JB261" s="2204"/>
      <c r="JC261" s="2204"/>
      <c r="JD261" s="2204"/>
      <c r="JE261" s="2204"/>
      <c r="JF261" s="2205"/>
      <c r="JG261" s="2252"/>
      <c r="JK261" s="2531"/>
    </row>
    <row r="262" spans="2:271" s="2024" customFormat="1">
      <c r="B262" s="2189">
        <v>49</v>
      </c>
      <c r="C262" s="2203"/>
      <c r="D262" s="2191" t="s">
        <v>1002</v>
      </c>
      <c r="E262" s="2206"/>
      <c r="F262" s="2190"/>
      <c r="G262" s="2237"/>
      <c r="H262" s="2190"/>
      <c r="I262" s="2190"/>
      <c r="J262" s="2190"/>
      <c r="K262" s="2238"/>
      <c r="L262" s="2206"/>
      <c r="M262" s="2207"/>
      <c r="N262" s="2207"/>
      <c r="O262" s="2207"/>
      <c r="P262" s="2207"/>
      <c r="Q262" s="2207"/>
      <c r="R262" s="2207"/>
      <c r="S262" s="2207"/>
      <c r="T262" s="2207"/>
      <c r="U262" s="2207"/>
      <c r="V262" s="2207"/>
      <c r="W262" s="2207"/>
      <c r="X262" s="2208"/>
      <c r="Y262" s="2208"/>
      <c r="Z262" s="2190"/>
      <c r="AA262" s="2250"/>
      <c r="AB262" s="2190"/>
      <c r="AC262" s="2190"/>
      <c r="AD262" s="2190"/>
      <c r="AE262" s="2190"/>
      <c r="AF262" s="2190"/>
      <c r="AG262" s="2190"/>
      <c r="AH262" s="2190"/>
      <c r="AI262" s="2190"/>
      <c r="AJ262" s="2190"/>
      <c r="AK262" s="2210"/>
      <c r="AL262" s="2190"/>
      <c r="AM262" s="2190"/>
      <c r="AN262" s="2190"/>
      <c r="AO262" s="2190"/>
      <c r="AP262" s="2190"/>
      <c r="AQ262" s="2190"/>
      <c r="AR262" s="2210"/>
      <c r="AS262" s="2190"/>
      <c r="AT262" s="2190"/>
      <c r="AU262" s="2190"/>
      <c r="AV262" s="2190"/>
      <c r="AW262" s="2190"/>
      <c r="AX262" s="2190"/>
      <c r="AY262" s="2190"/>
      <c r="AZ262" s="2190"/>
      <c r="BA262" s="2210"/>
      <c r="BB262" s="2210"/>
      <c r="BC262" s="2190"/>
      <c r="BD262" s="2190"/>
      <c r="BE262" s="2211"/>
      <c r="BF262" s="2210"/>
      <c r="BG262" s="2211"/>
      <c r="BH262" s="2211"/>
      <c r="BI262" s="2211"/>
      <c r="BJ262" s="2211"/>
      <c r="BK262" s="2211"/>
      <c r="BL262" s="2211"/>
      <c r="BM262" s="2211"/>
      <c r="BN262" s="2211"/>
      <c r="BO262" s="2211"/>
      <c r="BP262" s="2211"/>
      <c r="BQ262" s="2211"/>
      <c r="BR262" s="2211"/>
      <c r="BS262" s="2211"/>
      <c r="BT262" s="2211"/>
      <c r="BU262" s="2211"/>
      <c r="BV262" s="2211"/>
      <c r="BW262" s="2211"/>
      <c r="BX262" s="2211"/>
      <c r="BY262" s="2211"/>
      <c r="BZ262" s="2211"/>
      <c r="CA262" s="2211"/>
      <c r="CB262" s="2211"/>
      <c r="CC262" s="2211"/>
      <c r="CD262" s="2211"/>
      <c r="CE262" s="2211"/>
      <c r="CF262" s="2211"/>
      <c r="CG262" s="2211"/>
      <c r="CH262" s="2211"/>
      <c r="CI262" s="2211"/>
      <c r="CJ262" s="2211"/>
      <c r="CK262" s="2211"/>
      <c r="CL262" s="2211"/>
      <c r="CM262" s="2211"/>
      <c r="CN262" s="2211"/>
      <c r="CO262" s="2211"/>
      <c r="CP262" s="2211"/>
      <c r="CQ262" s="2211"/>
      <c r="CR262" s="2211"/>
      <c r="CS262" s="2211"/>
      <c r="CT262" s="2211"/>
      <c r="CU262" s="2211"/>
      <c r="CV262" s="2211"/>
      <c r="CW262" s="2211"/>
      <c r="CX262" s="2211"/>
      <c r="CY262" s="2211"/>
      <c r="CZ262" s="2211"/>
      <c r="DA262" s="2211"/>
      <c r="DB262" s="2211"/>
      <c r="DC262" s="2211"/>
      <c r="DD262" s="2211"/>
      <c r="DE262" s="2211"/>
      <c r="DF262" s="2211"/>
      <c r="DG262" s="2211"/>
      <c r="DH262" s="2211"/>
      <c r="DI262" s="2211"/>
      <c r="DJ262" s="2211"/>
      <c r="DK262" s="2211"/>
      <c r="DL262" s="2211"/>
      <c r="DM262" s="2211"/>
      <c r="DN262" s="2211"/>
      <c r="DO262" s="2211"/>
      <c r="DP262" s="2211"/>
      <c r="DQ262" s="2211"/>
      <c r="DR262" s="2211"/>
      <c r="DS262" s="2211"/>
      <c r="DT262" s="2211"/>
      <c r="DU262" s="2211"/>
      <c r="DV262" s="2211"/>
      <c r="DW262" s="2211"/>
      <c r="DX262" s="2211"/>
      <c r="DY262" s="2211"/>
      <c r="DZ262" s="2211"/>
      <c r="EA262" s="2211"/>
      <c r="EB262" s="2211"/>
      <c r="EC262" s="2211"/>
      <c r="ED262" s="2211"/>
      <c r="EE262" s="2211"/>
      <c r="EF262" s="2211"/>
      <c r="EG262" s="2211"/>
      <c r="EH262" s="2211"/>
      <c r="EI262" s="2211"/>
      <c r="EJ262" s="2211"/>
      <c r="EK262" s="2211"/>
      <c r="EL262" s="2211"/>
      <c r="EM262" s="2211"/>
      <c r="EN262" s="2211"/>
      <c r="EO262" s="2211"/>
      <c r="EP262" s="2211"/>
      <c r="EQ262" s="2211"/>
      <c r="ER262" s="2211"/>
      <c r="ES262" s="2211"/>
      <c r="ET262" s="2211"/>
      <c r="EU262" s="2211"/>
      <c r="EV262" s="2211"/>
      <c r="EW262" s="2211"/>
      <c r="EX262" s="2211"/>
      <c r="EY262" s="2211"/>
      <c r="EZ262" s="2211"/>
      <c r="FA262" s="2211"/>
      <c r="FB262" s="2211"/>
      <c r="FC262" s="2211"/>
      <c r="FD262" s="2211"/>
      <c r="FE262" s="2211"/>
      <c r="FF262" s="2211"/>
      <c r="FG262" s="2211"/>
      <c r="FH262" s="2211"/>
      <c r="FI262" s="2211"/>
      <c r="FJ262" s="2211"/>
      <c r="FK262" s="2211"/>
      <c r="FL262" s="2211"/>
      <c r="FM262" s="2211"/>
      <c r="FN262" s="2211"/>
      <c r="FO262" s="2211"/>
      <c r="FP262" s="2211"/>
      <c r="FQ262" s="2211"/>
      <c r="FR262" s="2211"/>
      <c r="FS262" s="2211"/>
      <c r="FT262" s="2211"/>
      <c r="FU262" s="2211"/>
      <c r="FV262" s="2211"/>
      <c r="FW262" s="2203"/>
      <c r="FX262" s="2203"/>
      <c r="FY262" s="2034"/>
      <c r="FZ262" s="2034"/>
      <c r="GA262" s="2034"/>
      <c r="GB262" s="2204"/>
      <c r="GC262" s="2204"/>
      <c r="GD262" s="2204"/>
      <c r="GE262" s="2204"/>
      <c r="GF262" s="2204"/>
      <c r="GG262" s="2204"/>
      <c r="GH262" s="2204"/>
      <c r="GI262" s="2204"/>
      <c r="GJ262" s="2204"/>
      <c r="GK262" s="2204"/>
      <c r="GL262" s="2204"/>
      <c r="GM262" s="2204"/>
      <c r="GN262" s="2204"/>
      <c r="GO262" s="2204"/>
      <c r="GP262" s="2204"/>
      <c r="GQ262" s="2204"/>
      <c r="GR262" s="2204"/>
      <c r="GS262" s="2204"/>
      <c r="GT262" s="2204"/>
      <c r="GU262" s="2204"/>
      <c r="GV262" s="2204"/>
      <c r="GW262" s="2204"/>
      <c r="GX262" s="2204"/>
      <c r="GY262" s="2204"/>
      <c r="GZ262" s="2204"/>
      <c r="HA262" s="2204"/>
      <c r="HB262" s="2204"/>
      <c r="HC262" s="2204"/>
      <c r="HD262" s="2204"/>
      <c r="HE262" s="2204"/>
      <c r="HF262" s="2204"/>
      <c r="HG262" s="2204"/>
      <c r="HH262" s="2204"/>
      <c r="HI262" s="2204"/>
      <c r="HJ262" s="2204"/>
      <c r="HK262" s="2204"/>
      <c r="HL262" s="2204"/>
      <c r="HM262" s="2204"/>
      <c r="HN262" s="2204"/>
      <c r="HO262" s="2204"/>
      <c r="HP262" s="2204"/>
      <c r="HQ262" s="2204"/>
      <c r="HR262" s="2204"/>
      <c r="HS262" s="2204"/>
      <c r="HT262" s="2204"/>
      <c r="HU262" s="2204"/>
      <c r="HV262" s="2204"/>
      <c r="HW262" s="2204"/>
      <c r="HX262" s="2204"/>
      <c r="HY262" s="2204"/>
      <c r="HZ262" s="2204"/>
      <c r="IA262" s="2204"/>
      <c r="IB262" s="2204"/>
      <c r="IC262" s="2204"/>
      <c r="ID262" s="2204"/>
      <c r="IE262" s="2204"/>
      <c r="IF262" s="2204"/>
      <c r="IG262" s="2204"/>
      <c r="IH262" s="2204"/>
      <c r="II262" s="2204"/>
      <c r="IJ262" s="2204"/>
      <c r="IK262" s="2204"/>
      <c r="IL262" s="2204"/>
      <c r="IM262" s="2204"/>
      <c r="IN262" s="2204"/>
      <c r="IO262" s="2204"/>
      <c r="IP262" s="2204"/>
      <c r="IQ262" s="2204"/>
      <c r="IR262" s="2204"/>
      <c r="IS262" s="2204"/>
      <c r="IT262" s="2204"/>
      <c r="IU262" s="2204"/>
      <c r="IV262" s="2204"/>
      <c r="IW262" s="2204"/>
      <c r="IX262" s="2204"/>
      <c r="IY262" s="2204"/>
      <c r="IZ262" s="2204"/>
      <c r="JA262" s="2204"/>
      <c r="JB262" s="2204"/>
      <c r="JC262" s="2204"/>
      <c r="JD262" s="2204"/>
      <c r="JE262" s="2204"/>
      <c r="JF262" s="2205"/>
      <c r="JG262" s="2026"/>
      <c r="JK262" s="2526"/>
    </row>
    <row r="263" spans="2:271" s="2024" customFormat="1">
      <c r="B263" s="2189">
        <v>50</v>
      </c>
      <c r="C263" s="2203"/>
      <c r="D263" s="2191" t="s">
        <v>1003</v>
      </c>
      <c r="E263" s="2206"/>
      <c r="F263" s="2190"/>
      <c r="G263" s="2237"/>
      <c r="H263" s="2190"/>
      <c r="I263" s="2190"/>
      <c r="J263" s="2190"/>
      <c r="K263" s="2238"/>
      <c r="L263" s="2206"/>
      <c r="M263" s="2207"/>
      <c r="N263" s="2207"/>
      <c r="O263" s="2207"/>
      <c r="P263" s="2207"/>
      <c r="Q263" s="2207"/>
      <c r="R263" s="2207"/>
      <c r="S263" s="2207"/>
      <c r="T263" s="2207"/>
      <c r="U263" s="2207"/>
      <c r="V263" s="2207"/>
      <c r="W263" s="2207"/>
      <c r="X263" s="2208"/>
      <c r="Y263" s="2208"/>
      <c r="Z263" s="2190"/>
      <c r="AA263" s="2250"/>
      <c r="AB263" s="2190"/>
      <c r="AC263" s="2190"/>
      <c r="AD263" s="2190"/>
      <c r="AE263" s="2190"/>
      <c r="AF263" s="2190"/>
      <c r="AG263" s="2190"/>
      <c r="AH263" s="2190"/>
      <c r="AI263" s="2190"/>
      <c r="AJ263" s="2190"/>
      <c r="AK263" s="2210"/>
      <c r="AL263" s="2190"/>
      <c r="AM263" s="2190"/>
      <c r="AN263" s="2190"/>
      <c r="AO263" s="2190"/>
      <c r="AP263" s="2190"/>
      <c r="AQ263" s="2190"/>
      <c r="AR263" s="2210"/>
      <c r="AS263" s="2190"/>
      <c r="AT263" s="2190"/>
      <c r="AU263" s="2190"/>
      <c r="AV263" s="2190"/>
      <c r="AW263" s="2190"/>
      <c r="AX263" s="2190"/>
      <c r="AY263" s="2190"/>
      <c r="AZ263" s="2190"/>
      <c r="BA263" s="2210"/>
      <c r="BB263" s="2210"/>
      <c r="BC263" s="2190"/>
      <c r="BD263" s="2190"/>
      <c r="BE263" s="2211"/>
      <c r="BF263" s="2210"/>
      <c r="BG263" s="2211"/>
      <c r="BH263" s="2211"/>
      <c r="BI263" s="2211"/>
      <c r="BJ263" s="2211"/>
      <c r="BK263" s="2211"/>
      <c r="BL263" s="2211"/>
      <c r="BM263" s="2211"/>
      <c r="BN263" s="2211"/>
      <c r="BO263" s="2211"/>
      <c r="BP263" s="2211"/>
      <c r="BQ263" s="2211"/>
      <c r="BR263" s="2211"/>
      <c r="BS263" s="2211"/>
      <c r="BT263" s="2211"/>
      <c r="BU263" s="2211"/>
      <c r="BV263" s="2211"/>
      <c r="BW263" s="2211"/>
      <c r="BX263" s="2211"/>
      <c r="BY263" s="2211"/>
      <c r="BZ263" s="2211"/>
      <c r="CA263" s="2211"/>
      <c r="CB263" s="2211"/>
      <c r="CC263" s="2211"/>
      <c r="CD263" s="2211"/>
      <c r="CE263" s="2211"/>
      <c r="CF263" s="2211"/>
      <c r="CG263" s="2211"/>
      <c r="CH263" s="2211"/>
      <c r="CI263" s="2211"/>
      <c r="CJ263" s="2211"/>
      <c r="CK263" s="2211"/>
      <c r="CL263" s="2211"/>
      <c r="CM263" s="2211"/>
      <c r="CN263" s="2211"/>
      <c r="CO263" s="2211"/>
      <c r="CP263" s="2211"/>
      <c r="CQ263" s="2211"/>
      <c r="CR263" s="2211"/>
      <c r="CS263" s="2211"/>
      <c r="CT263" s="2211"/>
      <c r="CU263" s="2211"/>
      <c r="CV263" s="2211"/>
      <c r="CW263" s="2211"/>
      <c r="CX263" s="2211"/>
      <c r="CY263" s="2211"/>
      <c r="CZ263" s="2211"/>
      <c r="DA263" s="2211"/>
      <c r="DB263" s="2211"/>
      <c r="DC263" s="2211"/>
      <c r="DD263" s="2211"/>
      <c r="DE263" s="2211"/>
      <c r="DF263" s="2211"/>
      <c r="DG263" s="2211"/>
      <c r="DH263" s="2211"/>
      <c r="DI263" s="2211"/>
      <c r="DJ263" s="2211"/>
      <c r="DK263" s="2211"/>
      <c r="DL263" s="2211"/>
      <c r="DM263" s="2211"/>
      <c r="DN263" s="2211"/>
      <c r="DO263" s="2211"/>
      <c r="DP263" s="2211"/>
      <c r="DQ263" s="2211"/>
      <c r="DR263" s="2211"/>
      <c r="DS263" s="2211"/>
      <c r="DT263" s="2211"/>
      <c r="DU263" s="2211"/>
      <c r="DV263" s="2211"/>
      <c r="DW263" s="2211"/>
      <c r="DX263" s="2211"/>
      <c r="DY263" s="2211"/>
      <c r="DZ263" s="2211"/>
      <c r="EA263" s="2211"/>
      <c r="EB263" s="2211"/>
      <c r="EC263" s="2211"/>
      <c r="ED263" s="2211"/>
      <c r="EE263" s="2211"/>
      <c r="EF263" s="2211"/>
      <c r="EG263" s="2211"/>
      <c r="EH263" s="2211"/>
      <c r="EI263" s="2211"/>
      <c r="EJ263" s="2211"/>
      <c r="EK263" s="2211"/>
      <c r="EL263" s="2211"/>
      <c r="EM263" s="2211"/>
      <c r="EN263" s="2211"/>
      <c r="EO263" s="2211"/>
      <c r="EP263" s="2211"/>
      <c r="EQ263" s="2211"/>
      <c r="ER263" s="2211"/>
      <c r="ES263" s="2211"/>
      <c r="ET263" s="2211"/>
      <c r="EU263" s="2211"/>
      <c r="EV263" s="2211"/>
      <c r="EW263" s="2211"/>
      <c r="EX263" s="2211"/>
      <c r="EY263" s="2211"/>
      <c r="EZ263" s="2211"/>
      <c r="FA263" s="2211"/>
      <c r="FB263" s="2211"/>
      <c r="FC263" s="2211"/>
      <c r="FD263" s="2211"/>
      <c r="FE263" s="2211"/>
      <c r="FF263" s="2211"/>
      <c r="FG263" s="2211"/>
      <c r="FH263" s="2211"/>
      <c r="FI263" s="2211"/>
      <c r="FJ263" s="2211"/>
      <c r="FK263" s="2211"/>
      <c r="FL263" s="2211"/>
      <c r="FM263" s="2211"/>
      <c r="FN263" s="2211"/>
      <c r="FO263" s="2211"/>
      <c r="FP263" s="2211"/>
      <c r="FQ263" s="2211"/>
      <c r="FR263" s="2211"/>
      <c r="FS263" s="2211"/>
      <c r="FT263" s="2211"/>
      <c r="FU263" s="2211"/>
      <c r="FV263" s="2211"/>
      <c r="FW263" s="2203"/>
      <c r="FX263" s="2203"/>
      <c r="FY263" s="2034"/>
      <c r="FZ263" s="2034"/>
      <c r="GA263" s="2034"/>
      <c r="GB263" s="2204"/>
      <c r="GC263" s="2204"/>
      <c r="GD263" s="2204"/>
      <c r="GE263" s="2204"/>
      <c r="GF263" s="2204"/>
      <c r="GG263" s="2204"/>
      <c r="GH263" s="2204"/>
      <c r="GI263" s="2204"/>
      <c r="GJ263" s="2204"/>
      <c r="GK263" s="2204"/>
      <c r="GL263" s="2204"/>
      <c r="GM263" s="2204"/>
      <c r="GN263" s="2204"/>
      <c r="GO263" s="2204"/>
      <c r="GP263" s="2204"/>
      <c r="GQ263" s="2204"/>
      <c r="GR263" s="2204"/>
      <c r="GS263" s="2204"/>
      <c r="GT263" s="2204"/>
      <c r="GU263" s="2204"/>
      <c r="GV263" s="2204"/>
      <c r="GW263" s="2204"/>
      <c r="GX263" s="2204"/>
      <c r="GY263" s="2204"/>
      <c r="GZ263" s="2204"/>
      <c r="HA263" s="2204"/>
      <c r="HB263" s="2204"/>
      <c r="HC263" s="2204"/>
      <c r="HD263" s="2204"/>
      <c r="HE263" s="2204"/>
      <c r="HF263" s="2204"/>
      <c r="HG263" s="2204"/>
      <c r="HH263" s="2204"/>
      <c r="HI263" s="2204"/>
      <c r="HJ263" s="2204"/>
      <c r="HK263" s="2204"/>
      <c r="HL263" s="2204"/>
      <c r="HM263" s="2204"/>
      <c r="HN263" s="2204"/>
      <c r="HO263" s="2204"/>
      <c r="HP263" s="2204"/>
      <c r="HQ263" s="2204"/>
      <c r="HR263" s="2204"/>
      <c r="HS263" s="2204"/>
      <c r="HT263" s="2204"/>
      <c r="HU263" s="2204"/>
      <c r="HV263" s="2204"/>
      <c r="HW263" s="2204"/>
      <c r="HX263" s="2204"/>
      <c r="HY263" s="2204"/>
      <c r="HZ263" s="2204"/>
      <c r="IA263" s="2204"/>
      <c r="IB263" s="2204"/>
      <c r="IC263" s="2204"/>
      <c r="ID263" s="2204"/>
      <c r="IE263" s="2204"/>
      <c r="IF263" s="2204"/>
      <c r="IG263" s="2204"/>
      <c r="IH263" s="2204"/>
      <c r="II263" s="2204"/>
      <c r="IJ263" s="2204"/>
      <c r="IK263" s="2204"/>
      <c r="IL263" s="2204"/>
      <c r="IM263" s="2204"/>
      <c r="IN263" s="2204"/>
      <c r="IO263" s="2204"/>
      <c r="IP263" s="2204"/>
      <c r="IQ263" s="2204"/>
      <c r="IR263" s="2204"/>
      <c r="IS263" s="2204"/>
      <c r="IT263" s="2204"/>
      <c r="IU263" s="2204"/>
      <c r="IV263" s="2204"/>
      <c r="IW263" s="2204"/>
      <c r="IX263" s="2204"/>
      <c r="IY263" s="2204"/>
      <c r="IZ263" s="2204"/>
      <c r="JA263" s="2204"/>
      <c r="JB263" s="2204"/>
      <c r="JC263" s="2204"/>
      <c r="JD263" s="2204"/>
      <c r="JE263" s="2204"/>
      <c r="JF263" s="2205"/>
      <c r="JG263" s="2026"/>
      <c r="JK263" s="2526"/>
    </row>
    <row r="264" spans="2:271" s="2024" customFormat="1">
      <c r="B264" s="2189">
        <v>51</v>
      </c>
      <c r="C264" s="2203"/>
      <c r="D264" s="2191" t="s">
        <v>1004</v>
      </c>
      <c r="E264" s="2206"/>
      <c r="F264" s="2190"/>
      <c r="G264" s="2237"/>
      <c r="H264" s="2190"/>
      <c r="I264" s="2190"/>
      <c r="J264" s="2190"/>
      <c r="K264" s="2238"/>
      <c r="L264" s="2206"/>
      <c r="M264" s="2207"/>
      <c r="N264" s="2207"/>
      <c r="O264" s="2207"/>
      <c r="P264" s="2207"/>
      <c r="Q264" s="2207"/>
      <c r="R264" s="2207"/>
      <c r="S264" s="2207"/>
      <c r="T264" s="2207"/>
      <c r="U264" s="2207"/>
      <c r="V264" s="2207"/>
      <c r="W264" s="2207"/>
      <c r="X264" s="2208"/>
      <c r="Y264" s="2208"/>
      <c r="Z264" s="2190"/>
      <c r="AA264" s="2250"/>
      <c r="AB264" s="2190"/>
      <c r="AC264" s="2190"/>
      <c r="AD264" s="2190"/>
      <c r="AE264" s="2190"/>
      <c r="AF264" s="2190"/>
      <c r="AG264" s="2190"/>
      <c r="AH264" s="2190"/>
      <c r="AI264" s="2190"/>
      <c r="AJ264" s="2190"/>
      <c r="AK264" s="2210"/>
      <c r="AL264" s="2190"/>
      <c r="AM264" s="2190"/>
      <c r="AN264" s="2190"/>
      <c r="AO264" s="2190"/>
      <c r="AP264" s="2190"/>
      <c r="AQ264" s="2190"/>
      <c r="AR264" s="2210"/>
      <c r="AS264" s="2190"/>
      <c r="AT264" s="2190"/>
      <c r="AU264" s="2190"/>
      <c r="AV264" s="2190"/>
      <c r="AW264" s="2190"/>
      <c r="AX264" s="2190"/>
      <c r="AY264" s="2190"/>
      <c r="AZ264" s="2190"/>
      <c r="BA264" s="2210"/>
      <c r="BB264" s="2210"/>
      <c r="BC264" s="2190"/>
      <c r="BD264" s="2190"/>
      <c r="BE264" s="2211"/>
      <c r="BF264" s="2210"/>
      <c r="BG264" s="2211"/>
      <c r="BH264" s="2211"/>
      <c r="BI264" s="2211"/>
      <c r="BJ264" s="2211"/>
      <c r="BK264" s="2211"/>
      <c r="BL264" s="2211"/>
      <c r="BM264" s="2211"/>
      <c r="BN264" s="2211"/>
      <c r="BO264" s="2211"/>
      <c r="BP264" s="2211"/>
      <c r="BQ264" s="2211"/>
      <c r="BR264" s="2211"/>
      <c r="BS264" s="2211"/>
      <c r="BT264" s="2211"/>
      <c r="BU264" s="2211"/>
      <c r="BV264" s="2211"/>
      <c r="BW264" s="2211"/>
      <c r="BX264" s="2211"/>
      <c r="BY264" s="2211"/>
      <c r="BZ264" s="2211"/>
      <c r="CA264" s="2211"/>
      <c r="CB264" s="2211"/>
      <c r="CC264" s="2211"/>
      <c r="CD264" s="2211"/>
      <c r="CE264" s="2211"/>
      <c r="CF264" s="2211"/>
      <c r="CG264" s="2211"/>
      <c r="CH264" s="2211"/>
      <c r="CI264" s="2211"/>
      <c r="CJ264" s="2211"/>
      <c r="CK264" s="2211"/>
      <c r="CL264" s="2211"/>
      <c r="CM264" s="2211"/>
      <c r="CN264" s="2211"/>
      <c r="CO264" s="2211"/>
      <c r="CP264" s="2211"/>
      <c r="CQ264" s="2211"/>
      <c r="CR264" s="2211"/>
      <c r="CS264" s="2211"/>
      <c r="CT264" s="2211"/>
      <c r="CU264" s="2211"/>
      <c r="CV264" s="2211"/>
      <c r="CW264" s="2211"/>
      <c r="CX264" s="2211"/>
      <c r="CY264" s="2211"/>
      <c r="CZ264" s="2211"/>
      <c r="DA264" s="2211"/>
      <c r="DB264" s="2211"/>
      <c r="DC264" s="2211"/>
      <c r="DD264" s="2211"/>
      <c r="DE264" s="2211"/>
      <c r="DF264" s="2211"/>
      <c r="DG264" s="2211"/>
      <c r="DH264" s="2211"/>
      <c r="DI264" s="2211"/>
      <c r="DJ264" s="2211"/>
      <c r="DK264" s="2211"/>
      <c r="DL264" s="2211"/>
      <c r="DM264" s="2211"/>
      <c r="DN264" s="2211"/>
      <c r="DO264" s="2211"/>
      <c r="DP264" s="2211"/>
      <c r="DQ264" s="2211"/>
      <c r="DR264" s="2211"/>
      <c r="DS264" s="2211"/>
      <c r="DT264" s="2211"/>
      <c r="DU264" s="2211"/>
      <c r="DV264" s="2211"/>
      <c r="DW264" s="2211"/>
      <c r="DX264" s="2211"/>
      <c r="DY264" s="2211"/>
      <c r="DZ264" s="2211"/>
      <c r="EA264" s="2211"/>
      <c r="EB264" s="2211"/>
      <c r="EC264" s="2211"/>
      <c r="ED264" s="2211"/>
      <c r="EE264" s="2211"/>
      <c r="EF264" s="2211"/>
      <c r="EG264" s="2211"/>
      <c r="EH264" s="2211"/>
      <c r="EI264" s="2211"/>
      <c r="EJ264" s="2211"/>
      <c r="EK264" s="2211"/>
      <c r="EL264" s="2211"/>
      <c r="EM264" s="2211"/>
      <c r="EN264" s="2211"/>
      <c r="EO264" s="2211"/>
      <c r="EP264" s="2211"/>
      <c r="EQ264" s="2211"/>
      <c r="ER264" s="2211"/>
      <c r="ES264" s="2211"/>
      <c r="ET264" s="2211"/>
      <c r="EU264" s="2211"/>
      <c r="EV264" s="2211"/>
      <c r="EW264" s="2211"/>
      <c r="EX264" s="2211"/>
      <c r="EY264" s="2211"/>
      <c r="EZ264" s="2211"/>
      <c r="FA264" s="2211"/>
      <c r="FB264" s="2211"/>
      <c r="FC264" s="2211"/>
      <c r="FD264" s="2211"/>
      <c r="FE264" s="2211"/>
      <c r="FF264" s="2211"/>
      <c r="FG264" s="2211"/>
      <c r="FH264" s="2211"/>
      <c r="FI264" s="2211"/>
      <c r="FJ264" s="2211"/>
      <c r="FK264" s="2211"/>
      <c r="FL264" s="2211"/>
      <c r="FM264" s="2211"/>
      <c r="FN264" s="2211"/>
      <c r="FO264" s="2211"/>
      <c r="FP264" s="2211"/>
      <c r="FQ264" s="2211"/>
      <c r="FR264" s="2211"/>
      <c r="FS264" s="2211"/>
      <c r="FT264" s="2211"/>
      <c r="FU264" s="2211"/>
      <c r="FV264" s="2211"/>
      <c r="FW264" s="2203"/>
      <c r="FX264" s="2203"/>
      <c r="FY264" s="2034"/>
      <c r="FZ264" s="2034"/>
      <c r="GA264" s="2034"/>
      <c r="GB264" s="2204"/>
      <c r="GC264" s="2204"/>
      <c r="GD264" s="2204"/>
      <c r="GE264" s="2204"/>
      <c r="GF264" s="2204"/>
      <c r="GG264" s="2204"/>
      <c r="GH264" s="2204"/>
      <c r="GI264" s="2204"/>
      <c r="GJ264" s="2204"/>
      <c r="GK264" s="2204"/>
      <c r="GL264" s="2204"/>
      <c r="GM264" s="2204"/>
      <c r="GN264" s="2204"/>
      <c r="GO264" s="2204"/>
      <c r="GP264" s="2204"/>
      <c r="GQ264" s="2204"/>
      <c r="GR264" s="2204"/>
      <c r="GS264" s="2204"/>
      <c r="GT264" s="2204"/>
      <c r="GU264" s="2204"/>
      <c r="GV264" s="2204"/>
      <c r="GW264" s="2204"/>
      <c r="GX264" s="2204"/>
      <c r="GY264" s="2204"/>
      <c r="GZ264" s="2204"/>
      <c r="HA264" s="2204"/>
      <c r="HB264" s="2204"/>
      <c r="HC264" s="2204"/>
      <c r="HD264" s="2204"/>
      <c r="HE264" s="2204"/>
      <c r="HF264" s="2204"/>
      <c r="HG264" s="2204"/>
      <c r="HH264" s="2204"/>
      <c r="HI264" s="2204"/>
      <c r="HJ264" s="2204"/>
      <c r="HK264" s="2204"/>
      <c r="HL264" s="2204"/>
      <c r="HM264" s="2204"/>
      <c r="HN264" s="2204"/>
      <c r="HO264" s="2204"/>
      <c r="HP264" s="2204"/>
      <c r="HQ264" s="2204"/>
      <c r="HR264" s="2204"/>
      <c r="HS264" s="2204"/>
      <c r="HT264" s="2204"/>
      <c r="HU264" s="2204"/>
      <c r="HV264" s="2204"/>
      <c r="HW264" s="2204"/>
      <c r="HX264" s="2204"/>
      <c r="HY264" s="2204"/>
      <c r="HZ264" s="2204"/>
      <c r="IA264" s="2204"/>
      <c r="IB264" s="2204"/>
      <c r="IC264" s="2204"/>
      <c r="ID264" s="2204"/>
      <c r="IE264" s="2204"/>
      <c r="IF264" s="2204"/>
      <c r="IG264" s="2204"/>
      <c r="IH264" s="2204"/>
      <c r="II264" s="2204"/>
      <c r="IJ264" s="2204"/>
      <c r="IK264" s="2204"/>
      <c r="IL264" s="2204"/>
      <c r="IM264" s="2204"/>
      <c r="IN264" s="2204"/>
      <c r="IO264" s="2204"/>
      <c r="IP264" s="2204"/>
      <c r="IQ264" s="2204"/>
      <c r="IR264" s="2204"/>
      <c r="IS264" s="2204"/>
      <c r="IT264" s="2204"/>
      <c r="IU264" s="2204"/>
      <c r="IV264" s="2204"/>
      <c r="IW264" s="2204"/>
      <c r="IX264" s="2204"/>
      <c r="IY264" s="2204"/>
      <c r="IZ264" s="2204"/>
      <c r="JA264" s="2204"/>
      <c r="JB264" s="2204"/>
      <c r="JC264" s="2204"/>
      <c r="JD264" s="2204"/>
      <c r="JE264" s="2204"/>
      <c r="JF264" s="2205"/>
      <c r="JG264" s="2026"/>
      <c r="JK264" s="2526"/>
    </row>
    <row r="265" spans="2:271" s="2024" customFormat="1">
      <c r="B265" s="2189">
        <v>52</v>
      </c>
      <c r="C265" s="2203"/>
      <c r="D265" s="2191" t="s">
        <v>1005</v>
      </c>
      <c r="E265" s="2206"/>
      <c r="F265" s="2190"/>
      <c r="G265" s="2237"/>
      <c r="H265" s="2190"/>
      <c r="I265" s="2190"/>
      <c r="J265" s="2190"/>
      <c r="K265" s="2238"/>
      <c r="L265" s="2206"/>
      <c r="M265" s="2207"/>
      <c r="N265" s="2207"/>
      <c r="O265" s="2207"/>
      <c r="P265" s="2207"/>
      <c r="Q265" s="2207"/>
      <c r="R265" s="2207"/>
      <c r="S265" s="2207"/>
      <c r="T265" s="2207"/>
      <c r="U265" s="2207"/>
      <c r="V265" s="2207"/>
      <c r="W265" s="2207"/>
      <c r="X265" s="2208"/>
      <c r="Y265" s="2208"/>
      <c r="Z265" s="2190"/>
      <c r="AA265" s="2250"/>
      <c r="AB265" s="2190"/>
      <c r="AC265" s="2190"/>
      <c r="AD265" s="2190"/>
      <c r="AE265" s="2190"/>
      <c r="AF265" s="2190"/>
      <c r="AG265" s="2190"/>
      <c r="AH265" s="2190"/>
      <c r="AI265" s="2190"/>
      <c r="AJ265" s="2190"/>
      <c r="AK265" s="2210"/>
      <c r="AL265" s="2190"/>
      <c r="AM265" s="2190"/>
      <c r="AN265" s="2190"/>
      <c r="AO265" s="2190"/>
      <c r="AP265" s="2190"/>
      <c r="AQ265" s="2190"/>
      <c r="AR265" s="2210"/>
      <c r="AS265" s="2190"/>
      <c r="AT265" s="2190"/>
      <c r="AU265" s="2190"/>
      <c r="AV265" s="2190"/>
      <c r="AW265" s="2190"/>
      <c r="AX265" s="2190"/>
      <c r="AY265" s="2190"/>
      <c r="AZ265" s="2190"/>
      <c r="BA265" s="2210"/>
      <c r="BB265" s="2210"/>
      <c r="BC265" s="2190"/>
      <c r="BD265" s="2190"/>
      <c r="BE265" s="2211"/>
      <c r="BF265" s="2210"/>
      <c r="BG265" s="2211"/>
      <c r="BH265" s="2211"/>
      <c r="BI265" s="2211"/>
      <c r="BJ265" s="2211"/>
      <c r="BK265" s="2211"/>
      <c r="BL265" s="2211"/>
      <c r="BM265" s="2211"/>
      <c r="BN265" s="2211"/>
      <c r="BO265" s="2211"/>
      <c r="BP265" s="2211"/>
      <c r="BQ265" s="2211"/>
      <c r="BR265" s="2211"/>
      <c r="BS265" s="2211"/>
      <c r="BT265" s="2211"/>
      <c r="BU265" s="2211"/>
      <c r="BV265" s="2211"/>
      <c r="BW265" s="2211"/>
      <c r="BX265" s="2211"/>
      <c r="BY265" s="2211"/>
      <c r="BZ265" s="2211"/>
      <c r="CA265" s="2211"/>
      <c r="CB265" s="2211"/>
      <c r="CC265" s="2211"/>
      <c r="CD265" s="2211"/>
      <c r="CE265" s="2211"/>
      <c r="CF265" s="2211"/>
      <c r="CG265" s="2211"/>
      <c r="CH265" s="2211"/>
      <c r="CI265" s="2211"/>
      <c r="CJ265" s="2211"/>
      <c r="CK265" s="2211"/>
      <c r="CL265" s="2211"/>
      <c r="CM265" s="2211"/>
      <c r="CN265" s="2211"/>
      <c r="CO265" s="2211"/>
      <c r="CP265" s="2211"/>
      <c r="CQ265" s="2211"/>
      <c r="CR265" s="2211"/>
      <c r="CS265" s="2211"/>
      <c r="CT265" s="2211"/>
      <c r="CU265" s="2211"/>
      <c r="CV265" s="2211"/>
      <c r="CW265" s="2211"/>
      <c r="CX265" s="2211"/>
      <c r="CY265" s="2211"/>
      <c r="CZ265" s="2211"/>
      <c r="DA265" s="2211"/>
      <c r="DB265" s="2211"/>
      <c r="DC265" s="2211"/>
      <c r="DD265" s="2211"/>
      <c r="DE265" s="2211"/>
      <c r="DF265" s="2211"/>
      <c r="DG265" s="2211"/>
      <c r="DH265" s="2211"/>
      <c r="DI265" s="2211"/>
      <c r="DJ265" s="2211"/>
      <c r="DK265" s="2211"/>
      <c r="DL265" s="2211"/>
      <c r="DM265" s="2211"/>
      <c r="DN265" s="2211"/>
      <c r="DO265" s="2211"/>
      <c r="DP265" s="2211"/>
      <c r="DQ265" s="2211"/>
      <c r="DR265" s="2211"/>
      <c r="DS265" s="2211"/>
      <c r="DT265" s="2211"/>
      <c r="DU265" s="2211"/>
      <c r="DV265" s="2211"/>
      <c r="DW265" s="2211"/>
      <c r="DX265" s="2211"/>
      <c r="DY265" s="2211"/>
      <c r="DZ265" s="2211"/>
      <c r="EA265" s="2211"/>
      <c r="EB265" s="2211"/>
      <c r="EC265" s="2211"/>
      <c r="ED265" s="2211"/>
      <c r="EE265" s="2211"/>
      <c r="EF265" s="2211"/>
      <c r="EG265" s="2211"/>
      <c r="EH265" s="2211"/>
      <c r="EI265" s="2211"/>
      <c r="EJ265" s="2211"/>
      <c r="EK265" s="2211"/>
      <c r="EL265" s="2211"/>
      <c r="EM265" s="2211"/>
      <c r="EN265" s="2211"/>
      <c r="EO265" s="2211"/>
      <c r="EP265" s="2211"/>
      <c r="EQ265" s="2211"/>
      <c r="ER265" s="2211"/>
      <c r="ES265" s="2211"/>
      <c r="ET265" s="2211"/>
      <c r="EU265" s="2211"/>
      <c r="EV265" s="2211"/>
      <c r="EW265" s="2211"/>
      <c r="EX265" s="2211"/>
      <c r="EY265" s="2211"/>
      <c r="EZ265" s="2211"/>
      <c r="FA265" s="2211"/>
      <c r="FB265" s="2211"/>
      <c r="FC265" s="2211"/>
      <c r="FD265" s="2211"/>
      <c r="FE265" s="2211"/>
      <c r="FF265" s="2211"/>
      <c r="FG265" s="2211"/>
      <c r="FH265" s="2211"/>
      <c r="FI265" s="2211"/>
      <c r="FJ265" s="2211"/>
      <c r="FK265" s="2211"/>
      <c r="FL265" s="2211"/>
      <c r="FM265" s="2211"/>
      <c r="FN265" s="2211"/>
      <c r="FO265" s="2211"/>
      <c r="FP265" s="2211"/>
      <c r="FQ265" s="2211"/>
      <c r="FR265" s="2211"/>
      <c r="FS265" s="2211"/>
      <c r="FT265" s="2211"/>
      <c r="FU265" s="2211"/>
      <c r="FV265" s="2211"/>
      <c r="FW265" s="2203"/>
      <c r="FX265" s="2203"/>
      <c r="FY265" s="2034"/>
      <c r="FZ265" s="2034"/>
      <c r="GA265" s="2034"/>
      <c r="GB265" s="2204"/>
      <c r="GC265" s="2204"/>
      <c r="GD265" s="2204"/>
      <c r="GE265" s="2204"/>
      <c r="GF265" s="2204"/>
      <c r="GG265" s="2204"/>
      <c r="GH265" s="2204"/>
      <c r="GI265" s="2204"/>
      <c r="GJ265" s="2204"/>
      <c r="GK265" s="2204"/>
      <c r="GL265" s="2204"/>
      <c r="GM265" s="2204"/>
      <c r="GN265" s="2204"/>
      <c r="GO265" s="2204"/>
      <c r="GP265" s="2204"/>
      <c r="GQ265" s="2204"/>
      <c r="GR265" s="2204"/>
      <c r="GS265" s="2204"/>
      <c r="GT265" s="2204"/>
      <c r="GU265" s="2204"/>
      <c r="GV265" s="2204"/>
      <c r="GW265" s="2204"/>
      <c r="GX265" s="2204"/>
      <c r="GY265" s="2204"/>
      <c r="GZ265" s="2204"/>
      <c r="HA265" s="2204"/>
      <c r="HB265" s="2204"/>
      <c r="HC265" s="2204"/>
      <c r="HD265" s="2204"/>
      <c r="HE265" s="2204"/>
      <c r="HF265" s="2204"/>
      <c r="HG265" s="2204"/>
      <c r="HH265" s="2204"/>
      <c r="HI265" s="2204"/>
      <c r="HJ265" s="2204"/>
      <c r="HK265" s="2204"/>
      <c r="HL265" s="2204"/>
      <c r="HM265" s="2204"/>
      <c r="HN265" s="2204"/>
      <c r="HO265" s="2204"/>
      <c r="HP265" s="2204"/>
      <c r="HQ265" s="2204"/>
      <c r="HR265" s="2204"/>
      <c r="HS265" s="2204"/>
      <c r="HT265" s="2204"/>
      <c r="HU265" s="2204"/>
      <c r="HV265" s="2204"/>
      <c r="HW265" s="2204"/>
      <c r="HX265" s="2204"/>
      <c r="HY265" s="2204"/>
      <c r="HZ265" s="2204"/>
      <c r="IA265" s="2204"/>
      <c r="IB265" s="2204"/>
      <c r="IC265" s="2204"/>
      <c r="ID265" s="2204"/>
      <c r="IE265" s="2204"/>
      <c r="IF265" s="2204"/>
      <c r="IG265" s="2204"/>
      <c r="IH265" s="2204"/>
      <c r="II265" s="2204"/>
      <c r="IJ265" s="2204"/>
      <c r="IK265" s="2204"/>
      <c r="IL265" s="2204"/>
      <c r="IM265" s="2204"/>
      <c r="IN265" s="2204"/>
      <c r="IO265" s="2204"/>
      <c r="IP265" s="2204"/>
      <c r="IQ265" s="2204"/>
      <c r="IR265" s="2204"/>
      <c r="IS265" s="2204"/>
      <c r="IT265" s="2204"/>
      <c r="IU265" s="2204"/>
      <c r="IV265" s="2204"/>
      <c r="IW265" s="2204"/>
      <c r="IX265" s="2204"/>
      <c r="IY265" s="2204"/>
      <c r="IZ265" s="2204"/>
      <c r="JA265" s="2204"/>
      <c r="JB265" s="2204"/>
      <c r="JC265" s="2204"/>
      <c r="JD265" s="2204"/>
      <c r="JE265" s="2204"/>
      <c r="JF265" s="2205"/>
      <c r="JG265" s="2026"/>
      <c r="JK265" s="2526"/>
    </row>
    <row r="266" spans="2:271" s="2024" customFormat="1" ht="16.5" thickBot="1">
      <c r="B266" s="2253">
        <v>53</v>
      </c>
      <c r="C266" s="2254"/>
      <c r="D266" s="2255" t="s">
        <v>1306</v>
      </c>
      <c r="E266" s="2256"/>
      <c r="F266" s="2246"/>
      <c r="G266" s="2367"/>
      <c r="H266" s="2246"/>
      <c r="I266" s="2246"/>
      <c r="J266" s="2246"/>
      <c r="K266" s="2371"/>
      <c r="L266" s="2256"/>
      <c r="M266" s="2257"/>
      <c r="N266" s="2257"/>
      <c r="O266" s="2257"/>
      <c r="P266" s="2257"/>
      <c r="Q266" s="2257"/>
      <c r="R266" s="2257"/>
      <c r="S266" s="2257"/>
      <c r="T266" s="2257"/>
      <c r="U266" s="2257"/>
      <c r="V266" s="2257"/>
      <c r="W266" s="2257"/>
      <c r="X266" s="2258"/>
      <c r="Y266" s="2258"/>
      <c r="Z266" s="2246"/>
      <c r="AA266" s="2259"/>
      <c r="AB266" s="2246"/>
      <c r="AC266" s="2246"/>
      <c r="AD266" s="2246"/>
      <c r="AE266" s="2246"/>
      <c r="AF266" s="2246"/>
      <c r="AG266" s="2246"/>
      <c r="AH266" s="2246"/>
      <c r="AI266" s="2246"/>
      <c r="AJ266" s="2246"/>
      <c r="AK266" s="2247"/>
      <c r="AL266" s="2246"/>
      <c r="AM266" s="2246"/>
      <c r="AN266" s="2246"/>
      <c r="AO266" s="2246"/>
      <c r="AP266" s="2246"/>
      <c r="AQ266" s="2246"/>
      <c r="AR266" s="2247"/>
      <c r="AS266" s="2246"/>
      <c r="AT266" s="2246"/>
      <c r="AU266" s="2246"/>
      <c r="AV266" s="2246"/>
      <c r="AW266" s="2246"/>
      <c r="AX266" s="2246"/>
      <c r="AY266" s="2246"/>
      <c r="AZ266" s="2246"/>
      <c r="BA266" s="2247"/>
      <c r="BB266" s="2247"/>
      <c r="BC266" s="2246"/>
      <c r="BD266" s="2246"/>
      <c r="BE266" s="2248"/>
      <c r="BF266" s="2247"/>
      <c r="BG266" s="2248"/>
      <c r="BH266" s="2248"/>
      <c r="BI266" s="2248"/>
      <c r="BJ266" s="2248"/>
      <c r="BK266" s="2248"/>
      <c r="BL266" s="2248"/>
      <c r="BM266" s="2248"/>
      <c r="BN266" s="2248"/>
      <c r="BO266" s="2248"/>
      <c r="BP266" s="2248"/>
      <c r="BQ266" s="2248"/>
      <c r="BR266" s="2248"/>
      <c r="BS266" s="2248"/>
      <c r="BT266" s="2248"/>
      <c r="BU266" s="2248"/>
      <c r="BV266" s="2248"/>
      <c r="BW266" s="2248"/>
      <c r="BX266" s="2248"/>
      <c r="BY266" s="2248"/>
      <c r="BZ266" s="2248"/>
      <c r="CA266" s="2248"/>
      <c r="CB266" s="2248"/>
      <c r="CC266" s="2248"/>
      <c r="CD266" s="2248"/>
      <c r="CE266" s="2248"/>
      <c r="CF266" s="2248"/>
      <c r="CG266" s="2248"/>
      <c r="CH266" s="2248"/>
      <c r="CI266" s="2248"/>
      <c r="CJ266" s="2248"/>
      <c r="CK266" s="2248"/>
      <c r="CL266" s="2248"/>
      <c r="CM266" s="2248"/>
      <c r="CN266" s="2248"/>
      <c r="CO266" s="2248"/>
      <c r="CP266" s="2248"/>
      <c r="CQ266" s="2248"/>
      <c r="CR266" s="2248"/>
      <c r="CS266" s="2248"/>
      <c r="CT266" s="2248"/>
      <c r="CU266" s="2248"/>
      <c r="CV266" s="2248"/>
      <c r="CW266" s="2248"/>
      <c r="CX266" s="2248"/>
      <c r="CY266" s="2248"/>
      <c r="CZ266" s="2248"/>
      <c r="DA266" s="2248"/>
      <c r="DB266" s="2248"/>
      <c r="DC266" s="2248"/>
      <c r="DD266" s="2248"/>
      <c r="DE266" s="2248"/>
      <c r="DF266" s="2248"/>
      <c r="DG266" s="2248"/>
      <c r="DH266" s="2248"/>
      <c r="DI266" s="2248"/>
      <c r="DJ266" s="2248"/>
      <c r="DK266" s="2248"/>
      <c r="DL266" s="2248"/>
      <c r="DM266" s="2248"/>
      <c r="DN266" s="2248"/>
      <c r="DO266" s="2248"/>
      <c r="DP266" s="2248"/>
      <c r="DQ266" s="2248"/>
      <c r="DR266" s="2248"/>
      <c r="DS266" s="2248"/>
      <c r="DT266" s="2248"/>
      <c r="DU266" s="2248"/>
      <c r="DV266" s="2248"/>
      <c r="DW266" s="2248"/>
      <c r="DX266" s="2248"/>
      <c r="DY266" s="2248"/>
      <c r="DZ266" s="2248"/>
      <c r="EA266" s="2248"/>
      <c r="EB266" s="2248"/>
      <c r="EC266" s="2248"/>
      <c r="ED266" s="2248"/>
      <c r="EE266" s="2248"/>
      <c r="EF266" s="2248"/>
      <c r="EG266" s="2248"/>
      <c r="EH266" s="2248"/>
      <c r="EI266" s="2248"/>
      <c r="EJ266" s="2248"/>
      <c r="EK266" s="2248"/>
      <c r="EL266" s="2248"/>
      <c r="EM266" s="2248"/>
      <c r="EN266" s="2248"/>
      <c r="EO266" s="2248"/>
      <c r="EP266" s="2248"/>
      <c r="EQ266" s="2248"/>
      <c r="ER266" s="2248"/>
      <c r="ES266" s="2248"/>
      <c r="ET266" s="2248"/>
      <c r="EU266" s="2248"/>
      <c r="EV266" s="2248"/>
      <c r="EW266" s="2248"/>
      <c r="EX266" s="2248"/>
      <c r="EY266" s="2248"/>
      <c r="EZ266" s="2248"/>
      <c r="FA266" s="2248"/>
      <c r="FB266" s="2248"/>
      <c r="FC266" s="2248"/>
      <c r="FD266" s="2248"/>
      <c r="FE266" s="2248"/>
      <c r="FF266" s="2248"/>
      <c r="FG266" s="2248"/>
      <c r="FH266" s="2248"/>
      <c r="FI266" s="2248"/>
      <c r="FJ266" s="2248"/>
      <c r="FK266" s="2248"/>
      <c r="FL266" s="2248"/>
      <c r="FM266" s="2248"/>
      <c r="FN266" s="2248"/>
      <c r="FO266" s="2248"/>
      <c r="FP266" s="2248"/>
      <c r="FQ266" s="2248"/>
      <c r="FR266" s="2248"/>
      <c r="FS266" s="2248"/>
      <c r="FT266" s="2248"/>
      <c r="FU266" s="2248"/>
      <c r="FV266" s="2248"/>
      <c r="FW266" s="2254"/>
      <c r="FX266" s="2254"/>
      <c r="FY266" s="2260"/>
      <c r="FZ266" s="2260"/>
      <c r="GA266" s="2260"/>
      <c r="GB266" s="2261"/>
      <c r="GC266" s="2261"/>
      <c r="GD266" s="2261"/>
      <c r="GE266" s="2261"/>
      <c r="GF266" s="2261"/>
      <c r="GG266" s="2261"/>
      <c r="GH266" s="2261"/>
      <c r="GI266" s="2261"/>
      <c r="GJ266" s="2261"/>
      <c r="GK266" s="2261"/>
      <c r="GL266" s="2261"/>
      <c r="GM266" s="2261"/>
      <c r="GN266" s="2261"/>
      <c r="GO266" s="2261"/>
      <c r="GP266" s="2261"/>
      <c r="GQ266" s="2261"/>
      <c r="GR266" s="2261"/>
      <c r="GS266" s="2261"/>
      <c r="GT266" s="2261"/>
      <c r="GU266" s="2261"/>
      <c r="GV266" s="2261"/>
      <c r="GW266" s="2261"/>
      <c r="GX266" s="2261"/>
      <c r="GY266" s="2261"/>
      <c r="GZ266" s="2261"/>
      <c r="HA266" s="2261"/>
      <c r="HB266" s="2261"/>
      <c r="HC266" s="2261"/>
      <c r="HD266" s="2261"/>
      <c r="HE266" s="2261"/>
      <c r="HF266" s="2261"/>
      <c r="HG266" s="2261"/>
      <c r="HH266" s="2261"/>
      <c r="HI266" s="2261"/>
      <c r="HJ266" s="2261"/>
      <c r="HK266" s="2261"/>
      <c r="HL266" s="2261"/>
      <c r="HM266" s="2261"/>
      <c r="HN266" s="2261"/>
      <c r="HO266" s="2261"/>
      <c r="HP266" s="2261"/>
      <c r="HQ266" s="2261"/>
      <c r="HR266" s="2261"/>
      <c r="HS266" s="2261"/>
      <c r="HT266" s="2261"/>
      <c r="HU266" s="2261"/>
      <c r="HV266" s="2261"/>
      <c r="HW266" s="2261"/>
      <c r="HX266" s="2261"/>
      <c r="HY266" s="2261"/>
      <c r="HZ266" s="2261"/>
      <c r="IA266" s="2261"/>
      <c r="IB266" s="2261"/>
      <c r="IC266" s="2261"/>
      <c r="ID266" s="2261"/>
      <c r="IE266" s="2261"/>
      <c r="IF266" s="2261"/>
      <c r="IG266" s="2261"/>
      <c r="IH266" s="2261"/>
      <c r="II266" s="2261"/>
      <c r="IJ266" s="2261"/>
      <c r="IK266" s="2261"/>
      <c r="IL266" s="2261"/>
      <c r="IM266" s="2261"/>
      <c r="IN266" s="2261"/>
      <c r="IO266" s="2261"/>
      <c r="IP266" s="2261"/>
      <c r="IQ266" s="2261"/>
      <c r="IR266" s="2261"/>
      <c r="IS266" s="2261"/>
      <c r="IT266" s="2261"/>
      <c r="IU266" s="2261"/>
      <c r="IV266" s="2261"/>
      <c r="IW266" s="2261"/>
      <c r="IX266" s="2261"/>
      <c r="IY266" s="2261"/>
      <c r="IZ266" s="2261"/>
      <c r="JA266" s="2261"/>
      <c r="JB266" s="2261"/>
      <c r="JC266" s="2261"/>
      <c r="JD266" s="2261"/>
      <c r="JE266" s="2261"/>
      <c r="JF266" s="2262"/>
      <c r="JG266" s="2026"/>
      <c r="JK266" s="2526"/>
    </row>
    <row r="271" spans="2:271">
      <c r="F271" s="2025" t="s">
        <v>1133</v>
      </c>
      <c r="G271" s="2268"/>
    </row>
    <row r="272" spans="2:271">
      <c r="F272" s="2025" t="s">
        <v>1134</v>
      </c>
      <c r="G272" s="2268"/>
    </row>
    <row r="273" spans="6:243">
      <c r="F273" s="2025" t="s">
        <v>1135</v>
      </c>
      <c r="G273" s="2268"/>
    </row>
    <row r="275" spans="6:243">
      <c r="F275" s="2270" t="s">
        <v>1136</v>
      </c>
      <c r="J275" s="2271"/>
    </row>
    <row r="276" spans="6:243">
      <c r="F276" s="2270" t="s">
        <v>1136</v>
      </c>
      <c r="J276" s="2271"/>
    </row>
    <row r="277" spans="6:243">
      <c r="II277" s="2155"/>
    </row>
  </sheetData>
  <mergeCells count="34">
    <mergeCell ref="HC2:JD2"/>
    <mergeCell ref="BI3:BT3"/>
    <mergeCell ref="D255:IL255"/>
    <mergeCell ref="IJ3:IR3"/>
    <mergeCell ref="H3:H4"/>
    <mergeCell ref="I3:I4"/>
    <mergeCell ref="J3:J4"/>
    <mergeCell ref="DE3:DP3"/>
    <mergeCell ref="DQ3:EA3"/>
    <mergeCell ref="EC3:EN3"/>
    <mergeCell ref="K3:K4"/>
    <mergeCell ref="IS3:IW3"/>
    <mergeCell ref="K11:K14"/>
    <mergeCell ref="K31:K34"/>
    <mergeCell ref="K148:K150"/>
    <mergeCell ref="K182:K185"/>
    <mergeCell ref="B3:B4"/>
    <mergeCell ref="D3:D4"/>
    <mergeCell ref="E3:E4"/>
    <mergeCell ref="F3:F4"/>
    <mergeCell ref="G3:G4"/>
    <mergeCell ref="M3:X3"/>
    <mergeCell ref="Y3:AJ3"/>
    <mergeCell ref="GK3:GV3"/>
    <mergeCell ref="GW3:HH3"/>
    <mergeCell ref="HI3:HP3"/>
    <mergeCell ref="BU3:CF3"/>
    <mergeCell ref="CG3:CR3"/>
    <mergeCell ref="CS3:DD3"/>
    <mergeCell ref="EO3:EZ3"/>
    <mergeCell ref="FM3:FX3"/>
    <mergeCell ref="FY3:GJ3"/>
    <mergeCell ref="AP3:AV3"/>
    <mergeCell ref="AW3:BH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49" orientation="landscape" r:id="rId4"/>
  <headerFooter>
    <oddHeader>&amp;LREDETERMINACION DE PRECIOS s/DECRETO ACUERDO Nº 23/3(S.O.)-2002  y  Res. Nº 795/3(S.O.)</oddHeader>
    <oddFooter>&amp;CPágina &amp;P de &amp;N</oddFooter>
  </headerFooter>
  <rowBreaks count="5" manualBreakCount="5">
    <brk id="58" min="1" max="265" man="1"/>
    <brk id="87" min="1" max="265" man="1"/>
    <brk id="111" min="1" max="265" man="1"/>
    <brk id="148" min="1" max="265" man="1"/>
    <brk id="198" min="1" max="265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EA44"/>
  <sheetViews>
    <sheetView view="pageBreakPreview" topLeftCell="A34" zoomScale="85" zoomScaleSheetLayoutView="85" workbookViewId="0">
      <selection activeCell="CJ12" sqref="CJ12"/>
    </sheetView>
  </sheetViews>
  <sheetFormatPr baseColWidth="10" defaultColWidth="11.42578125" defaultRowHeight="12.75"/>
  <cols>
    <col min="1" max="1" width="1.28515625" style="1628" customWidth="1"/>
    <col min="2" max="2" width="38" style="1628" customWidth="1"/>
    <col min="3" max="3" width="14.28515625" style="1628" customWidth="1"/>
    <col min="4" max="4" width="8.140625" style="1628" hidden="1" customWidth="1"/>
    <col min="5" max="6" width="7.7109375" style="1628" hidden="1" customWidth="1"/>
    <col min="7" max="7" width="7.7109375" style="1628" customWidth="1"/>
    <col min="8" max="10" width="7.7109375" style="1628" hidden="1" customWidth="1"/>
    <col min="11" max="11" width="8.5703125" style="1628" hidden="1" customWidth="1"/>
    <col min="12" max="12" width="8" style="1628" hidden="1" customWidth="1"/>
    <col min="13" max="16" width="7.7109375" style="1628" hidden="1" customWidth="1"/>
    <col min="17" max="17" width="8.42578125" style="1628" hidden="1" customWidth="1"/>
    <col min="18" max="18" width="7.85546875" style="1628" hidden="1" customWidth="1"/>
    <col min="19" max="19" width="7.7109375" style="1628" hidden="1" customWidth="1"/>
    <col min="20" max="20" width="7.85546875" style="1628" hidden="1" customWidth="1"/>
    <col min="21" max="21" width="8.5703125" style="1628" hidden="1" customWidth="1"/>
    <col min="22" max="22" width="8.42578125" style="1628" hidden="1" customWidth="1"/>
    <col min="23" max="23" width="7.7109375" style="1628" hidden="1" customWidth="1"/>
    <col min="24" max="24" width="8.7109375" style="1628" hidden="1" customWidth="1"/>
    <col min="25" max="25" width="7.7109375" style="1628" hidden="1" customWidth="1"/>
    <col min="26" max="26" width="8" style="1628" hidden="1" customWidth="1"/>
    <col min="27" max="79" width="8.28515625" style="1628" hidden="1" customWidth="1"/>
    <col min="80" max="87" width="8.28515625" style="1628" customWidth="1"/>
    <col min="88" max="92" width="9.85546875" style="1628" customWidth="1"/>
    <col min="93" max="93" width="4.140625" style="1628" customWidth="1"/>
    <col min="94" max="95" width="11.42578125" style="1628"/>
    <col min="96" max="119" width="0" style="1628" hidden="1" customWidth="1"/>
    <col min="120" max="16384" width="11.42578125" style="1628"/>
  </cols>
  <sheetData>
    <row r="2" spans="2:131" s="1668" customFormat="1" ht="16.5">
      <c r="B2" s="2396" t="s">
        <v>591</v>
      </c>
      <c r="C2" s="2395" t="s">
        <v>592</v>
      </c>
      <c r="BU2" s="2395"/>
      <c r="BV2" s="2395"/>
      <c r="BW2" s="2395"/>
      <c r="BX2" s="2395"/>
      <c r="BY2" s="2395"/>
      <c r="BZ2" s="2395"/>
      <c r="CA2" s="2395"/>
    </row>
    <row r="3" spans="2:131" s="1668" customFormat="1" ht="16.5">
      <c r="B3" s="2396" t="s">
        <v>593</v>
      </c>
      <c r="C3" s="1669"/>
    </row>
    <row r="4" spans="2:131" s="1668" customFormat="1" ht="16.5">
      <c r="B4" s="2396" t="s">
        <v>595</v>
      </c>
      <c r="C4" s="1667"/>
    </row>
    <row r="5" spans="2:131" s="1668" customFormat="1" ht="15.75">
      <c r="B5" s="1667"/>
      <c r="C5" s="1670" t="s">
        <v>1028</v>
      </c>
    </row>
    <row r="6" spans="2:131" s="1668" customFormat="1" ht="16.5" thickBot="1">
      <c r="B6" s="1667"/>
      <c r="C6" s="1667"/>
      <c r="D6" s="1868" t="s">
        <v>984</v>
      </c>
      <c r="E6" s="1869"/>
      <c r="F6" s="1869"/>
      <c r="G6" s="1869"/>
      <c r="H6" s="1869"/>
      <c r="I6" s="1869"/>
      <c r="J6" s="1869"/>
      <c r="K6" s="1869"/>
      <c r="L6" s="1869"/>
      <c r="M6" s="1869"/>
      <c r="N6" s="1869"/>
      <c r="O6" s="1869"/>
      <c r="P6" s="1869"/>
      <c r="Q6" s="1869"/>
      <c r="R6" s="1869"/>
      <c r="S6" s="1869"/>
      <c r="T6" s="1869"/>
      <c r="U6" s="1869"/>
      <c r="V6" s="1869"/>
      <c r="W6" s="1869"/>
      <c r="X6" s="1869"/>
      <c r="Y6" s="1869"/>
      <c r="Z6" s="1869"/>
      <c r="AA6" s="1869"/>
      <c r="AB6" s="1869"/>
      <c r="AC6" s="1869"/>
      <c r="AD6" s="1869"/>
      <c r="AE6" s="1869"/>
      <c r="AF6" s="1869"/>
      <c r="AG6" s="1869"/>
      <c r="AH6" s="1869"/>
      <c r="AI6" s="1869"/>
      <c r="AJ6" s="1869"/>
      <c r="AK6" s="1869"/>
      <c r="AL6" s="1869"/>
      <c r="AM6" s="1869"/>
      <c r="AN6" s="1869"/>
      <c r="AO6" s="1869"/>
      <c r="AP6" s="1869"/>
      <c r="AQ6" s="1869"/>
      <c r="AR6" s="1764"/>
      <c r="AS6" s="1764"/>
      <c r="AT6" s="1764"/>
      <c r="AU6" s="1764"/>
      <c r="AV6" s="1764"/>
      <c r="AW6" s="1764"/>
      <c r="AX6" s="1764"/>
      <c r="AY6" s="1764"/>
      <c r="AZ6" s="1764"/>
      <c r="BA6" s="1764"/>
      <c r="BB6" s="1764"/>
      <c r="BC6" s="1764"/>
      <c r="BD6" s="1764"/>
      <c r="BE6" s="1764"/>
      <c r="BF6" s="1764"/>
      <c r="BG6" s="1764"/>
      <c r="BH6" s="1764"/>
      <c r="BI6" s="1764"/>
      <c r="BJ6" s="1764"/>
      <c r="BK6" s="1764"/>
      <c r="BL6" s="1764"/>
      <c r="BM6" s="1764"/>
      <c r="BN6" s="1764"/>
      <c r="BO6" s="1764"/>
      <c r="BP6" s="1764"/>
      <c r="BQ6" s="1764"/>
      <c r="BR6" s="1764"/>
      <c r="BS6" s="1764"/>
      <c r="BT6" s="1764"/>
      <c r="BU6" s="1764"/>
      <c r="BV6" s="1764"/>
      <c r="BW6" s="1764"/>
      <c r="BX6" s="1764"/>
      <c r="BY6" s="1764"/>
      <c r="BZ6" s="1764"/>
      <c r="CA6" s="1764"/>
      <c r="CB6" s="1764"/>
      <c r="CC6" s="1764"/>
      <c r="CD6" s="1764"/>
      <c r="CE6" s="1764"/>
      <c r="CF6" s="1764"/>
      <c r="CG6" s="1764"/>
      <c r="CH6" s="1764"/>
      <c r="CI6" s="1764"/>
      <c r="CJ6" s="1764"/>
      <c r="CK6" s="1764"/>
      <c r="CL6" s="1764"/>
      <c r="CM6" s="1764"/>
      <c r="CN6" s="1764"/>
      <c r="CQ6" s="1905" t="s">
        <v>1259</v>
      </c>
    </row>
    <row r="7" spans="2:131" s="1668" customFormat="1" ht="33.75" customHeight="1" thickBot="1">
      <c r="B7" s="1620" t="s">
        <v>1026</v>
      </c>
      <c r="C7" s="1621" t="s">
        <v>1257</v>
      </c>
      <c r="D7" s="1646">
        <v>42278</v>
      </c>
      <c r="E7" s="1646">
        <v>42309</v>
      </c>
      <c r="F7" s="1646">
        <v>42339</v>
      </c>
      <c r="G7" s="1646">
        <v>42370</v>
      </c>
      <c r="H7" s="1646">
        <v>42401</v>
      </c>
      <c r="I7" s="1646">
        <v>42430</v>
      </c>
      <c r="J7" s="1646">
        <v>42461</v>
      </c>
      <c r="K7" s="1646">
        <v>42491</v>
      </c>
      <c r="L7" s="1646">
        <v>42522</v>
      </c>
      <c r="M7" s="1646">
        <v>42552</v>
      </c>
      <c r="N7" s="1646">
        <v>42583</v>
      </c>
      <c r="O7" s="1646">
        <v>42614</v>
      </c>
      <c r="P7" s="1646">
        <v>42644</v>
      </c>
      <c r="Q7" s="1646">
        <v>42675</v>
      </c>
      <c r="R7" s="1646">
        <v>42705</v>
      </c>
      <c r="S7" s="1646">
        <v>42736</v>
      </c>
      <c r="T7" s="1646">
        <v>42767</v>
      </c>
      <c r="U7" s="1646">
        <v>42795</v>
      </c>
      <c r="V7" s="1646">
        <v>42826</v>
      </c>
      <c r="W7" s="1646">
        <v>42856</v>
      </c>
      <c r="X7" s="1646">
        <v>42887</v>
      </c>
      <c r="Y7" s="1646">
        <v>42917</v>
      </c>
      <c r="Z7" s="1646">
        <v>42948</v>
      </c>
      <c r="AA7" s="1646">
        <v>42979</v>
      </c>
      <c r="AB7" s="1646">
        <v>43009</v>
      </c>
      <c r="AC7" s="1646">
        <v>43040</v>
      </c>
      <c r="AD7" s="1646">
        <v>43070</v>
      </c>
      <c r="AE7" s="1646">
        <v>43101</v>
      </c>
      <c r="AF7" s="1646">
        <v>43132</v>
      </c>
      <c r="AG7" s="1646">
        <v>43160</v>
      </c>
      <c r="AH7" s="1646">
        <v>43191</v>
      </c>
      <c r="AI7" s="1646">
        <v>43221</v>
      </c>
      <c r="AJ7" s="1646">
        <v>43252</v>
      </c>
      <c r="AK7" s="1646">
        <v>43282</v>
      </c>
      <c r="AL7" s="1646">
        <v>43313</v>
      </c>
      <c r="AM7" s="1646">
        <v>43344</v>
      </c>
      <c r="AN7" s="1646">
        <v>43374</v>
      </c>
      <c r="AO7" s="1646">
        <v>43405</v>
      </c>
      <c r="AP7" s="1646">
        <v>43435</v>
      </c>
      <c r="AQ7" s="1646">
        <v>43466</v>
      </c>
      <c r="AR7" s="1646">
        <v>43497</v>
      </c>
      <c r="AS7" s="1646">
        <v>43525</v>
      </c>
      <c r="AT7" s="1646">
        <v>43556</v>
      </c>
      <c r="AU7" s="1646">
        <v>43586</v>
      </c>
      <c r="AV7" s="1646">
        <v>43617</v>
      </c>
      <c r="AW7" s="1646">
        <v>43647</v>
      </c>
      <c r="AX7" s="1646">
        <v>43678</v>
      </c>
      <c r="AY7" s="1646">
        <v>43709</v>
      </c>
      <c r="AZ7" s="1646">
        <v>43739</v>
      </c>
      <c r="BA7" s="1646">
        <v>43770</v>
      </c>
      <c r="BB7" s="1646">
        <v>43800</v>
      </c>
      <c r="BC7" s="1646">
        <v>43831</v>
      </c>
      <c r="BD7" s="1646">
        <v>43862</v>
      </c>
      <c r="BE7" s="1646">
        <v>43891</v>
      </c>
      <c r="BF7" s="1646">
        <v>43922</v>
      </c>
      <c r="BG7" s="1646">
        <v>43952</v>
      </c>
      <c r="BH7" s="1646">
        <v>43983</v>
      </c>
      <c r="BI7" s="1646">
        <v>44013</v>
      </c>
      <c r="BJ7" s="1646">
        <v>44044</v>
      </c>
      <c r="BK7" s="1646">
        <v>44075</v>
      </c>
      <c r="BL7" s="1646">
        <v>44105</v>
      </c>
      <c r="BM7" s="1646">
        <v>44136</v>
      </c>
      <c r="BN7" s="1646">
        <v>44166</v>
      </c>
      <c r="BO7" s="1646">
        <v>44197</v>
      </c>
      <c r="BP7" s="1646">
        <v>44228</v>
      </c>
      <c r="BQ7" s="1646">
        <v>44256</v>
      </c>
      <c r="BR7" s="1646">
        <v>44287</v>
      </c>
      <c r="BS7" s="1646">
        <v>44317</v>
      </c>
      <c r="BT7" s="1646">
        <v>44348</v>
      </c>
      <c r="BU7" s="1646">
        <v>44378</v>
      </c>
      <c r="BV7" s="1646">
        <v>44409</v>
      </c>
      <c r="BW7" s="1646">
        <v>44440</v>
      </c>
      <c r="BX7" s="1646">
        <v>44470</v>
      </c>
      <c r="BY7" s="1646">
        <v>44501</v>
      </c>
      <c r="BZ7" s="1646">
        <v>44531</v>
      </c>
      <c r="CA7" s="1646">
        <v>44562</v>
      </c>
      <c r="CB7" s="1646">
        <v>44593</v>
      </c>
      <c r="CC7" s="1646">
        <v>44621</v>
      </c>
      <c r="CD7" s="1646">
        <v>44652</v>
      </c>
      <c r="CE7" s="1646">
        <v>44682</v>
      </c>
      <c r="CF7" s="1646">
        <v>44713</v>
      </c>
      <c r="CG7" s="1646">
        <v>44743</v>
      </c>
      <c r="CH7" s="1646">
        <v>44774</v>
      </c>
      <c r="CI7" s="1646">
        <v>44805</v>
      </c>
      <c r="CJ7" s="1646">
        <v>44835</v>
      </c>
      <c r="CK7" s="1646">
        <v>44866</v>
      </c>
      <c r="CL7" s="1646">
        <v>44896</v>
      </c>
      <c r="CM7" s="1646">
        <v>44927</v>
      </c>
      <c r="CN7" s="1646">
        <v>44958</v>
      </c>
      <c r="CP7" s="1878">
        <v>43831</v>
      </c>
      <c r="CQ7" s="1913">
        <v>43862</v>
      </c>
      <c r="CR7" s="1913">
        <v>43891</v>
      </c>
      <c r="CS7" s="1913">
        <v>43922</v>
      </c>
      <c r="CT7" s="1913">
        <v>43952</v>
      </c>
      <c r="CU7" s="1913">
        <v>43983</v>
      </c>
      <c r="CV7" s="1913">
        <v>44013</v>
      </c>
      <c r="CW7" s="1913">
        <v>44044</v>
      </c>
      <c r="CX7" s="1913">
        <v>44075</v>
      </c>
      <c r="CY7" s="1913">
        <v>44105</v>
      </c>
      <c r="CZ7" s="1913">
        <v>44136</v>
      </c>
      <c r="DA7" s="1913">
        <v>44166</v>
      </c>
      <c r="DB7" s="1913">
        <v>44197</v>
      </c>
      <c r="DC7" s="1913">
        <v>44228</v>
      </c>
      <c r="DD7" s="1913">
        <v>44256</v>
      </c>
      <c r="DE7" s="1913">
        <v>44287</v>
      </c>
      <c r="DF7" s="1913">
        <v>44317</v>
      </c>
      <c r="DG7" s="1913">
        <v>44348</v>
      </c>
      <c r="DH7" s="1913">
        <v>44378</v>
      </c>
      <c r="DI7" s="1913">
        <v>44409</v>
      </c>
      <c r="DJ7" s="1913">
        <v>44440</v>
      </c>
      <c r="DK7" s="1913">
        <v>44470</v>
      </c>
      <c r="DL7" s="1913">
        <v>44501</v>
      </c>
      <c r="DM7" s="1913">
        <v>44531</v>
      </c>
      <c r="DN7" s="1913">
        <v>44562</v>
      </c>
      <c r="DO7" s="1913">
        <v>44593</v>
      </c>
      <c r="DP7" s="1913">
        <v>44621</v>
      </c>
      <c r="DQ7" s="1913">
        <v>44652</v>
      </c>
      <c r="DR7" s="1913">
        <v>44682</v>
      </c>
      <c r="DS7" s="1913">
        <v>44713</v>
      </c>
      <c r="DT7" s="1913">
        <v>44743</v>
      </c>
      <c r="DU7" s="1913">
        <v>44774</v>
      </c>
      <c r="DV7" s="1913">
        <v>44805</v>
      </c>
      <c r="DW7" s="1913">
        <v>44835</v>
      </c>
      <c r="DX7" s="1913">
        <v>44866</v>
      </c>
      <c r="DY7" s="1913">
        <v>44896</v>
      </c>
      <c r="DZ7" s="1913">
        <v>44927</v>
      </c>
      <c r="EA7" s="1913">
        <v>44958</v>
      </c>
    </row>
    <row r="8" spans="2:131" s="1668" customFormat="1" ht="39" customHeight="1">
      <c r="B8" s="1671" t="s">
        <v>978</v>
      </c>
      <c r="C8" s="1870" t="s">
        <v>1258</v>
      </c>
      <c r="D8" s="546">
        <v>422.02478337433087</v>
      </c>
      <c r="E8" s="546">
        <v>432.296286038468</v>
      </c>
      <c r="F8" s="546">
        <v>434.08263432788311</v>
      </c>
      <c r="G8" s="546">
        <v>602.89254767761554</v>
      </c>
      <c r="H8" s="546">
        <v>681.04528533952862</v>
      </c>
      <c r="I8" s="546">
        <v>648.444429057702</v>
      </c>
      <c r="J8" s="546">
        <v>639.96</v>
      </c>
      <c r="K8" s="546">
        <v>626.56166251236641</v>
      </c>
      <c r="L8" s="546">
        <v>674.34647925422189</v>
      </c>
      <c r="M8" s="546">
        <v>674.34647925422189</v>
      </c>
      <c r="N8" s="546">
        <v>674.34647925422189</v>
      </c>
      <c r="O8" s="546">
        <v>678.81</v>
      </c>
      <c r="P8" s="1672">
        <v>690.87</v>
      </c>
      <c r="Q8" s="1640">
        <v>703.37463895721828</v>
      </c>
      <c r="R8" s="1640">
        <v>716.77225112783196</v>
      </c>
      <c r="S8" s="1640">
        <v>719.00518648960087</v>
      </c>
      <c r="T8" s="1640">
        <v>696.67583287191144</v>
      </c>
      <c r="U8" s="1640">
        <v>698.90876823368035</v>
      </c>
      <c r="V8" s="1705">
        <v>701.14</v>
      </c>
      <c r="W8" s="1706">
        <v>723.47105721313869</v>
      </c>
      <c r="X8" s="1706">
        <v>734.63573402198347</v>
      </c>
      <c r="Y8" s="1706">
        <v>823.00317160637474</v>
      </c>
      <c r="Z8" s="1706">
        <v>835.0003023878088</v>
      </c>
      <c r="AA8" s="1706">
        <v>820.6037454500879</v>
      </c>
      <c r="AB8" s="1706">
        <v>830.20145007523524</v>
      </c>
      <c r="AC8" s="1706">
        <v>846.80541703598601</v>
      </c>
      <c r="AD8" s="1706">
        <v>872.21</v>
      </c>
      <c r="AE8" s="1706">
        <v>915.81990617005317</v>
      </c>
      <c r="AF8" s="1706">
        <v>943.29438813661193</v>
      </c>
      <c r="AG8" s="1706">
        <v>971.59312583328312</v>
      </c>
      <c r="AH8" s="1706">
        <v>971.59312583328312</v>
      </c>
      <c r="AI8" s="1722">
        <v>1189.0291301031402</v>
      </c>
      <c r="AJ8" s="1722">
        <v>1345.4</v>
      </c>
      <c r="AK8" s="1706">
        <v>1331.1441655736353</v>
      </c>
      <c r="AL8" s="1722">
        <v>1397.4645154598663</v>
      </c>
      <c r="AM8" s="1722">
        <v>1882.0767864142538</v>
      </c>
      <c r="AN8" s="1722">
        <v>1789.2282965735303</v>
      </c>
      <c r="AO8" s="1722">
        <v>1685.4843119310285</v>
      </c>
      <c r="AP8" s="1722">
        <v>1838.0211079203195</v>
      </c>
      <c r="AQ8" s="1722">
        <v>1752.7521041361031</v>
      </c>
      <c r="AR8" s="1722">
        <v>1897.9952714613164</v>
      </c>
      <c r="AS8" s="1722">
        <v>1954.4519008636828</v>
      </c>
      <c r="AT8" s="1706">
        <v>1966.3293004538905</v>
      </c>
      <c r="AU8" s="1706">
        <v>2126.0167832874836</v>
      </c>
      <c r="AV8" s="1706">
        <v>2021.6057368193649</v>
      </c>
      <c r="AW8" s="1722">
        <v>2015.9</v>
      </c>
      <c r="AX8" s="1722">
        <v>2599.4098536994966</v>
      </c>
      <c r="AY8" s="1722">
        <v>2720.8290344339152</v>
      </c>
      <c r="AZ8" s="1722">
        <v>2834.6890443833113</v>
      </c>
      <c r="BA8" s="1722">
        <v>2740.199409570534</v>
      </c>
      <c r="BB8" s="1727">
        <v>2740.199409570534</v>
      </c>
      <c r="BC8" s="1876">
        <v>2916.3753336789568</v>
      </c>
      <c r="BD8" s="1876">
        <v>2916.3753336789568</v>
      </c>
      <c r="BE8" s="1899">
        <f t="shared" ref="BE8:BN13" si="0">(+CR8/CQ8)*BD8</f>
        <v>2996.1199717092409</v>
      </c>
      <c r="BF8" s="1899">
        <f t="shared" si="0"/>
        <v>3132.825065475442</v>
      </c>
      <c r="BG8" s="1899">
        <f t="shared" si="0"/>
        <v>3212.569703505726</v>
      </c>
      <c r="BH8" s="1899">
        <f t="shared" si="0"/>
        <v>3349.2747972719271</v>
      </c>
      <c r="BI8" s="1908">
        <f t="shared" si="0"/>
        <v>3474.5877998909446</v>
      </c>
      <c r="BJ8" s="1908">
        <f t="shared" si="0"/>
        <v>3554.3324379212281</v>
      </c>
      <c r="BK8" s="1908">
        <f t="shared" si="0"/>
        <v>3645.4691670986954</v>
      </c>
      <c r="BL8" s="1908">
        <f t="shared" si="0"/>
        <v>3804.958443159263</v>
      </c>
      <c r="BM8" s="1908">
        <f t="shared" si="0"/>
        <v>3941.6635369254641</v>
      </c>
      <c r="BN8" s="1900">
        <f t="shared" si="0"/>
        <v>4066.9765395444815</v>
      </c>
      <c r="BO8" s="1908">
        <f t="shared" ref="BO8:BX13" si="1">(+DB8/DA8)*BN8</f>
        <v>4192.2895421634985</v>
      </c>
      <c r="BP8" s="1908">
        <f t="shared" si="1"/>
        <v>4306.2104536353327</v>
      </c>
      <c r="BQ8" s="1908">
        <f t="shared" si="1"/>
        <v>4431.5234562543501</v>
      </c>
      <c r="BR8" s="1908">
        <f t="shared" si="1"/>
        <v>4488.4839119902672</v>
      </c>
      <c r="BS8" s="1908">
        <f t="shared" si="1"/>
        <v>4556.8364588733675</v>
      </c>
      <c r="BT8" s="1908">
        <f t="shared" si="1"/>
        <v>4591.0127323149181</v>
      </c>
      <c r="BU8" s="1908">
        <f t="shared" si="1"/>
        <v>4636.581096903652</v>
      </c>
      <c r="BV8" s="1908">
        <f t="shared" si="1"/>
        <v>4682.1494614923859</v>
      </c>
      <c r="BW8" s="1908">
        <f t="shared" si="1"/>
        <v>4727.7178260811197</v>
      </c>
      <c r="BX8" s="1908">
        <f t="shared" si="1"/>
        <v>4784.6782818170368</v>
      </c>
      <c r="BY8" s="1908">
        <f t="shared" ref="BY8:CH13" si="2">(+DL8/DK8)*BX8</f>
        <v>4818.8545552585865</v>
      </c>
      <c r="BZ8" s="1908">
        <f t="shared" si="2"/>
        <v>4909.9912844360542</v>
      </c>
      <c r="CA8" s="1908">
        <f t="shared" si="2"/>
        <v>5023.9121959078884</v>
      </c>
      <c r="CB8" s="1908">
        <f t="shared" si="2"/>
        <v>5126.4410162325394</v>
      </c>
      <c r="CC8" s="1908">
        <f t="shared" si="2"/>
        <v>5285.9302922931074</v>
      </c>
      <c r="CD8" s="1908">
        <f t="shared" si="2"/>
        <v>5479.5958417952252</v>
      </c>
      <c r="CE8" s="1908">
        <f t="shared" si="2"/>
        <v>5707.4376647388935</v>
      </c>
      <c r="CF8" s="1908">
        <f t="shared" si="2"/>
        <v>5912.4953053881954</v>
      </c>
      <c r="CG8" s="1908">
        <f t="shared" si="2"/>
        <v>6254.2580398036989</v>
      </c>
      <c r="CH8" s="1908">
        <f t="shared" si="2"/>
        <v>6459.3156804530008</v>
      </c>
      <c r="CI8" s="1908">
        <f t="shared" ref="CI8:CN13" si="3">(+DV8/DU8)*CH8</f>
        <v>6971.9597820762547</v>
      </c>
      <c r="CJ8" s="1908">
        <f t="shared" si="3"/>
        <v>7404.8592456692249</v>
      </c>
      <c r="CK8" s="1908">
        <f t="shared" si="3"/>
        <v>7940.2875295868462</v>
      </c>
      <c r="CL8" s="1908">
        <f t="shared" si="3"/>
        <v>8350.4028108854509</v>
      </c>
      <c r="CM8" s="1908">
        <f t="shared" si="3"/>
        <v>8806.0864567727876</v>
      </c>
      <c r="CN8" s="1900">
        <f t="shared" si="3"/>
        <v>9295.9463761016759</v>
      </c>
      <c r="CP8" s="1871"/>
      <c r="CQ8" s="1898">
        <v>64</v>
      </c>
      <c r="CR8" s="1898">
        <v>65.75</v>
      </c>
      <c r="CS8" s="1898">
        <v>68.75</v>
      </c>
      <c r="CT8" s="1898">
        <v>70.5</v>
      </c>
      <c r="CU8" s="1898">
        <v>73.5</v>
      </c>
      <c r="CV8" s="1898">
        <v>76.25</v>
      </c>
      <c r="CW8" s="1668">
        <v>78</v>
      </c>
      <c r="CX8" s="1668">
        <v>80</v>
      </c>
      <c r="CY8" s="1668">
        <v>83.5</v>
      </c>
      <c r="CZ8" s="1668">
        <v>86.5</v>
      </c>
      <c r="DA8" s="1668">
        <v>89.25</v>
      </c>
      <c r="DB8" s="1668">
        <v>92</v>
      </c>
      <c r="DC8" s="1668">
        <v>94.5</v>
      </c>
      <c r="DD8" s="1668">
        <v>97.25</v>
      </c>
      <c r="DE8" s="1668">
        <v>98.5</v>
      </c>
      <c r="DF8" s="1668">
        <v>100</v>
      </c>
      <c r="DG8" s="1668">
        <v>100.75</v>
      </c>
      <c r="DH8" s="1668">
        <v>101.75</v>
      </c>
      <c r="DI8" s="1668">
        <v>102.75</v>
      </c>
      <c r="DJ8" s="1668">
        <v>103.75</v>
      </c>
      <c r="DK8" s="1668">
        <v>105</v>
      </c>
      <c r="DL8" s="1668">
        <v>105.75</v>
      </c>
      <c r="DM8" s="1668">
        <v>107.75</v>
      </c>
      <c r="DN8" s="1668">
        <v>110.25</v>
      </c>
      <c r="DO8" s="1668">
        <v>112.5</v>
      </c>
      <c r="DP8" s="1668">
        <v>116</v>
      </c>
      <c r="DQ8" s="1668">
        <v>120.25</v>
      </c>
      <c r="DR8" s="1668">
        <v>125.25</v>
      </c>
      <c r="DS8" s="1668">
        <v>129.75</v>
      </c>
      <c r="DT8" s="1668">
        <v>137.25</v>
      </c>
      <c r="DU8" s="1668">
        <v>141.75</v>
      </c>
      <c r="DV8" s="1668">
        <v>153</v>
      </c>
      <c r="DW8" s="1668">
        <v>162.5</v>
      </c>
      <c r="DX8" s="1668">
        <v>174.25</v>
      </c>
      <c r="DY8" s="1668">
        <v>183.25</v>
      </c>
      <c r="DZ8" s="1668">
        <v>193.25</v>
      </c>
      <c r="EA8" s="1668">
        <v>204</v>
      </c>
    </row>
    <row r="9" spans="2:131" s="1668" customFormat="1" ht="31.5">
      <c r="B9" s="1673" t="s">
        <v>979</v>
      </c>
      <c r="C9" s="1897" t="s">
        <v>1258</v>
      </c>
      <c r="D9" s="1674">
        <v>460.91707133194171</v>
      </c>
      <c r="E9" s="1674">
        <v>472.13515878234875</v>
      </c>
      <c r="F9" s="1674">
        <v>474.08613051285448</v>
      </c>
      <c r="G9" s="1674">
        <v>658.45295904563125</v>
      </c>
      <c r="H9" s="1674">
        <v>743.80797225525009</v>
      </c>
      <c r="I9" s="1674">
        <v>708.20273817352336</v>
      </c>
      <c r="J9" s="1674">
        <v>698.93562245362193</v>
      </c>
      <c r="K9" s="1674">
        <v>684.30333447482997</v>
      </c>
      <c r="L9" s="1674">
        <v>736.49182826585411</v>
      </c>
      <c r="M9" s="1674">
        <v>736.49182826585411</v>
      </c>
      <c r="N9" s="1674">
        <v>736.49182826585411</v>
      </c>
      <c r="O9" s="1674">
        <v>741.37</v>
      </c>
      <c r="P9" s="1675">
        <v>754.54</v>
      </c>
      <c r="Q9" s="1676">
        <v>768.19511888656973</v>
      </c>
      <c r="R9" s="1676">
        <v>782.82740686536147</v>
      </c>
      <c r="S9" s="1676">
        <v>785.2661215284935</v>
      </c>
      <c r="T9" s="1676">
        <v>760.87897489717375</v>
      </c>
      <c r="U9" s="1676">
        <v>763.31768956030567</v>
      </c>
      <c r="V9" s="1707">
        <v>765.76</v>
      </c>
      <c r="W9" s="1708">
        <v>790.14355085475722</v>
      </c>
      <c r="X9" s="1708">
        <v>802.33712417041716</v>
      </c>
      <c r="Y9" s="1708">
        <v>898.77804652411737</v>
      </c>
      <c r="Z9" s="1708">
        <v>917.8777729528797</v>
      </c>
      <c r="AA9" s="1708">
        <v>902.05229410886454</v>
      </c>
      <c r="AB9" s="1708">
        <v>912.60261333820813</v>
      </c>
      <c r="AC9" s="1708">
        <v>930.85463529449555</v>
      </c>
      <c r="AD9" s="1708">
        <v>958.78</v>
      </c>
      <c r="AE9" s="1708">
        <v>1006.7192582341212</v>
      </c>
      <c r="AF9" s="1708">
        <v>1036.9206552549267</v>
      </c>
      <c r="AG9" s="1708">
        <v>1068.0281082049519</v>
      </c>
      <c r="AH9" s="1708">
        <v>1068.0281082049519</v>
      </c>
      <c r="AI9" s="1723">
        <v>1307.0456126740271</v>
      </c>
      <c r="AJ9" s="1723">
        <v>1478.9</v>
      </c>
      <c r="AK9" s="1708">
        <v>1463.2662038302856</v>
      </c>
      <c r="AL9" s="1723">
        <v>1536.1691463698728</v>
      </c>
      <c r="AM9" s="1723">
        <v>2068.8813622127136</v>
      </c>
      <c r="AN9" s="1723">
        <v>1966.8172426572912</v>
      </c>
      <c r="AO9" s="1723">
        <v>1852.8512919209309</v>
      </c>
      <c r="AP9" s="1723">
        <v>1964.423872437925</v>
      </c>
      <c r="AQ9" s="1723">
        <v>1926.7897788663379</v>
      </c>
      <c r="AR9" s="1723">
        <v>2065.8319152539334</v>
      </c>
      <c r="AS9" s="1723">
        <v>2127.2799396552323</v>
      </c>
      <c r="AT9" s="1708">
        <v>2316.2701270890179</v>
      </c>
      <c r="AU9" s="1708">
        <v>2504.3766390919222</v>
      </c>
      <c r="AV9" s="1708">
        <v>2381.3839197054081</v>
      </c>
      <c r="AW9" s="1723">
        <v>2374.6999999999998</v>
      </c>
      <c r="AX9" s="1723">
        <v>3062.0178373963904</v>
      </c>
      <c r="AY9" s="1723">
        <v>3204.484553623442</v>
      </c>
      <c r="AZ9" s="1723">
        <v>3339.1688521225633</v>
      </c>
      <c r="BA9" s="1723">
        <v>3227.8632237184779</v>
      </c>
      <c r="BB9" s="1728">
        <v>3227.8632237184779</v>
      </c>
      <c r="BC9" s="1877">
        <v>3349.1863586789314</v>
      </c>
      <c r="BD9" s="1766">
        <v>3435.3924930757262</v>
      </c>
      <c r="BE9" s="1901">
        <f t="shared" si="0"/>
        <v>3529.3290065582655</v>
      </c>
      <c r="BF9" s="1901">
        <f t="shared" si="0"/>
        <v>3690.3630296711899</v>
      </c>
      <c r="BG9" s="1901">
        <f t="shared" si="0"/>
        <v>3784.2995431537292</v>
      </c>
      <c r="BH9" s="1901">
        <f t="shared" si="0"/>
        <v>3945.3335662666541</v>
      </c>
      <c r="BI9" s="1909">
        <f t="shared" si="0"/>
        <v>4092.9480874535016</v>
      </c>
      <c r="BJ9" s="1909">
        <f t="shared" si="0"/>
        <v>4186.8846009360404</v>
      </c>
      <c r="BK9" s="1909">
        <f t="shared" si="0"/>
        <v>4294.2406163446567</v>
      </c>
      <c r="BL9" s="1909">
        <f t="shared" si="0"/>
        <v>4482.1136433097354</v>
      </c>
      <c r="BM9" s="1909">
        <f t="shared" si="0"/>
        <v>4643.1476664226602</v>
      </c>
      <c r="BN9" s="1902">
        <f t="shared" si="0"/>
        <v>4790.7621876095072</v>
      </c>
      <c r="BO9" s="1909">
        <f t="shared" si="1"/>
        <v>4938.3767087963543</v>
      </c>
      <c r="BP9" s="1909">
        <f t="shared" si="1"/>
        <v>5072.5717280571243</v>
      </c>
      <c r="BQ9" s="1909">
        <f t="shared" si="1"/>
        <v>5220.1862492439714</v>
      </c>
      <c r="BR9" s="1909">
        <f t="shared" si="1"/>
        <v>5287.2837588743569</v>
      </c>
      <c r="BS9" s="1909">
        <f t="shared" si="1"/>
        <v>5367.8007704308184</v>
      </c>
      <c r="BT9" s="1909">
        <f t="shared" si="1"/>
        <v>5408.05927620905</v>
      </c>
      <c r="BU9" s="1909">
        <f t="shared" si="1"/>
        <v>5461.7372839133586</v>
      </c>
      <c r="BV9" s="1909">
        <f t="shared" si="1"/>
        <v>5515.4152916176672</v>
      </c>
      <c r="BW9" s="1909">
        <f t="shared" si="1"/>
        <v>5569.0932993219758</v>
      </c>
      <c r="BX9" s="1909">
        <f t="shared" si="1"/>
        <v>5636.1908089523604</v>
      </c>
      <c r="BY9" s="1909">
        <f t="shared" si="2"/>
        <v>5676.4493147305911</v>
      </c>
      <c r="BZ9" s="1909">
        <f t="shared" si="2"/>
        <v>5783.8053301392074</v>
      </c>
      <c r="CA9" s="1909">
        <f t="shared" si="2"/>
        <v>5918.0003493999784</v>
      </c>
      <c r="CB9" s="1909">
        <f t="shared" si="2"/>
        <v>6038.7758667346716</v>
      </c>
      <c r="CC9" s="1909">
        <f t="shared" si="2"/>
        <v>6226.6488936997503</v>
      </c>
      <c r="CD9" s="1909">
        <f t="shared" si="2"/>
        <v>6454.7804264430597</v>
      </c>
      <c r="CE9" s="1909">
        <f t="shared" si="2"/>
        <v>6723.1704649646008</v>
      </c>
      <c r="CF9" s="1909">
        <f t="shared" si="2"/>
        <v>6964.7214996339881</v>
      </c>
      <c r="CG9" s="1909">
        <f t="shared" si="2"/>
        <v>7367.3065574163002</v>
      </c>
      <c r="CH9" s="1909">
        <f t="shared" si="2"/>
        <v>7608.8575920856874</v>
      </c>
      <c r="CI9" s="1909">
        <f t="shared" si="3"/>
        <v>8212.7351787591542</v>
      </c>
      <c r="CJ9" s="1909">
        <f t="shared" si="3"/>
        <v>8722.6762519500826</v>
      </c>
      <c r="CK9" s="1909">
        <f t="shared" si="3"/>
        <v>9353.392842475705</v>
      </c>
      <c r="CL9" s="1909">
        <f t="shared" si="3"/>
        <v>9836.4949118144796</v>
      </c>
      <c r="CM9" s="1909">
        <f t="shared" si="3"/>
        <v>10373.27498885756</v>
      </c>
      <c r="CN9" s="1902">
        <f t="shared" si="3"/>
        <v>10950.313571678875</v>
      </c>
      <c r="CP9" s="1871"/>
      <c r="CQ9" s="1898">
        <v>64</v>
      </c>
      <c r="CR9" s="1898">
        <v>65.75</v>
      </c>
      <c r="CS9" s="1898">
        <v>68.75</v>
      </c>
      <c r="CT9" s="1898">
        <v>70.5</v>
      </c>
      <c r="CU9" s="1898">
        <v>73.5</v>
      </c>
      <c r="CV9" s="1898">
        <v>76.25</v>
      </c>
      <c r="CW9" s="1668">
        <v>78</v>
      </c>
      <c r="CX9" s="1668">
        <v>80</v>
      </c>
      <c r="CY9" s="1668">
        <v>83.5</v>
      </c>
      <c r="CZ9" s="1668">
        <v>86.5</v>
      </c>
      <c r="DA9" s="1668">
        <v>89.25</v>
      </c>
      <c r="DB9" s="1668">
        <v>92</v>
      </c>
      <c r="DC9" s="1668">
        <v>94.5</v>
      </c>
      <c r="DD9" s="1668">
        <v>97.25</v>
      </c>
      <c r="DE9" s="1668">
        <v>98.5</v>
      </c>
      <c r="DF9" s="1668">
        <v>100</v>
      </c>
      <c r="DG9" s="1668">
        <v>100.75</v>
      </c>
      <c r="DH9" s="1668">
        <v>101.75</v>
      </c>
      <c r="DI9" s="1668">
        <v>102.75</v>
      </c>
      <c r="DJ9" s="1668">
        <v>103.75</v>
      </c>
      <c r="DK9" s="1668">
        <v>105</v>
      </c>
      <c r="DL9" s="1668">
        <v>105.75</v>
      </c>
      <c r="DM9" s="1668">
        <v>107.75</v>
      </c>
      <c r="DN9" s="1668">
        <v>110.25</v>
      </c>
      <c r="DO9" s="1668">
        <v>112.5</v>
      </c>
      <c r="DP9" s="1668">
        <v>116</v>
      </c>
      <c r="DQ9" s="1668">
        <v>120.25</v>
      </c>
      <c r="DR9" s="1668">
        <v>125.25</v>
      </c>
      <c r="DS9" s="1668">
        <v>129.75</v>
      </c>
      <c r="DT9" s="1668">
        <v>137.25</v>
      </c>
      <c r="DU9" s="1668">
        <v>141.75</v>
      </c>
      <c r="DV9" s="1668">
        <v>153</v>
      </c>
      <c r="DW9" s="1668">
        <v>162.5</v>
      </c>
      <c r="DX9" s="1668">
        <v>174.25</v>
      </c>
      <c r="DY9" s="1668">
        <v>183.25</v>
      </c>
      <c r="DZ9" s="1668">
        <v>193.25</v>
      </c>
      <c r="EA9" s="1668">
        <v>204</v>
      </c>
    </row>
    <row r="10" spans="2:131" s="1668" customFormat="1" ht="24" customHeight="1">
      <c r="B10" s="1673" t="s">
        <v>980</v>
      </c>
      <c r="C10" s="1897" t="s">
        <v>1258</v>
      </c>
      <c r="D10" s="1674">
        <v>453.07551678387574</v>
      </c>
      <c r="E10" s="1674">
        <v>464.10275158390658</v>
      </c>
      <c r="F10" s="1674">
        <v>466.02053154912937</v>
      </c>
      <c r="G10" s="1674">
        <v>647.25073826267965</v>
      </c>
      <c r="H10" s="1674">
        <v>731.15363240245472</v>
      </c>
      <c r="I10" s="1674">
        <v>696.15412737585996</v>
      </c>
      <c r="J10" s="1674">
        <v>687.04469320233136</v>
      </c>
      <c r="K10" s="1674">
        <v>672.66134346316073</v>
      </c>
      <c r="L10" s="1674">
        <v>723.9702013833986</v>
      </c>
      <c r="M10" s="1674">
        <v>723.9702013833986</v>
      </c>
      <c r="N10" s="1674">
        <v>723.9702013833986</v>
      </c>
      <c r="O10" s="1674">
        <v>728.76</v>
      </c>
      <c r="P10" s="1675">
        <v>741.7</v>
      </c>
      <c r="Q10" s="1676">
        <v>755.12588196773925</v>
      </c>
      <c r="R10" s="1676">
        <v>769.50923170690987</v>
      </c>
      <c r="S10" s="1676">
        <v>771.90643600215878</v>
      </c>
      <c r="T10" s="1676">
        <v>747.93418643687437</v>
      </c>
      <c r="U10" s="1676">
        <v>750.33143205468241</v>
      </c>
      <c r="V10" s="1707">
        <v>752.73</v>
      </c>
      <c r="W10" s="1708">
        <v>776.70088591521574</v>
      </c>
      <c r="X10" s="1708">
        <v>788.68703135913756</v>
      </c>
      <c r="Y10" s="1708">
        <v>883.4872132475183</v>
      </c>
      <c r="Z10" s="1708">
        <v>895.09014980789141</v>
      </c>
      <c r="AA10" s="1708">
        <v>878.56111792585955</v>
      </c>
      <c r="AB10" s="1708">
        <v>893.91196926894645</v>
      </c>
      <c r="AC10" s="1708">
        <v>911.79011658766376</v>
      </c>
      <c r="AD10" s="1708">
        <v>939.14</v>
      </c>
      <c r="AE10" s="1708">
        <v>986.10047451612911</v>
      </c>
      <c r="AF10" s="1708">
        <v>1015.6832945355854</v>
      </c>
      <c r="AG10" s="1708">
        <v>1046.1537231233026</v>
      </c>
      <c r="AH10" s="1708">
        <v>1046.1537231233026</v>
      </c>
      <c r="AI10" s="1723">
        <v>1280.2841535972391</v>
      </c>
      <c r="AJ10" s="1723">
        <v>1448.6</v>
      </c>
      <c r="AK10" s="1708">
        <v>1433.3061639873472</v>
      </c>
      <c r="AL10" s="1723">
        <v>1504.7164355027312</v>
      </c>
      <c r="AM10" s="1723">
        <v>2026.521489345369</v>
      </c>
      <c r="AN10" s="1723">
        <v>1926.5351178451465</v>
      </c>
      <c r="AO10" s="1723">
        <v>1814.8297456428465</v>
      </c>
      <c r="AP10" s="1723">
        <v>1959.2269573106148</v>
      </c>
      <c r="AQ10" s="1723">
        <v>1887.259713006895</v>
      </c>
      <c r="AR10" s="1723">
        <v>2023.4496451824371</v>
      </c>
      <c r="AS10" s="1723">
        <v>2083.6365863731858</v>
      </c>
      <c r="AT10" s="1708">
        <v>2279.6638077753951</v>
      </c>
      <c r="AU10" s="1708">
        <v>2464.7974855812777</v>
      </c>
      <c r="AV10" s="1708">
        <v>2343.7485424005081</v>
      </c>
      <c r="AW10" s="1723">
        <v>2337.1999999999998</v>
      </c>
      <c r="AX10" s="1723">
        <v>3013.6257257040415</v>
      </c>
      <c r="AY10" s="1723">
        <v>3154.3930487694615</v>
      </c>
      <c r="AZ10" s="1723">
        <v>3286.396647441703</v>
      </c>
      <c r="BA10" s="1723">
        <v>3176.8500925269796</v>
      </c>
      <c r="BB10" s="1728">
        <v>3176.8500925269796</v>
      </c>
      <c r="BC10" s="1877">
        <v>3381.0996441654815</v>
      </c>
      <c r="BD10" s="1766">
        <v>3381.0996441654815</v>
      </c>
      <c r="BE10" s="1901">
        <f t="shared" si="0"/>
        <v>3473.5515875606316</v>
      </c>
      <c r="BF10" s="1901">
        <f t="shared" si="0"/>
        <v>3632.0406333808883</v>
      </c>
      <c r="BG10" s="1901">
        <f t="shared" si="0"/>
        <v>3724.4925767760378</v>
      </c>
      <c r="BH10" s="1901">
        <f t="shared" si="0"/>
        <v>3882.981622596295</v>
      </c>
      <c r="BI10" s="1909">
        <f t="shared" si="0"/>
        <v>4028.2632479315303</v>
      </c>
      <c r="BJ10" s="1909">
        <f t="shared" si="0"/>
        <v>4120.7151913266798</v>
      </c>
      <c r="BK10" s="1909">
        <f t="shared" si="0"/>
        <v>4226.3745552068503</v>
      </c>
      <c r="BL10" s="1909">
        <f t="shared" si="0"/>
        <v>4411.2784419971495</v>
      </c>
      <c r="BM10" s="1909">
        <f t="shared" si="0"/>
        <v>4569.7674878174066</v>
      </c>
      <c r="BN10" s="1902">
        <f t="shared" si="0"/>
        <v>4715.0491131526414</v>
      </c>
      <c r="BO10" s="1909">
        <f t="shared" si="1"/>
        <v>4860.3307384878763</v>
      </c>
      <c r="BP10" s="1909">
        <f t="shared" si="1"/>
        <v>4992.4049433380906</v>
      </c>
      <c r="BQ10" s="1909">
        <f t="shared" si="1"/>
        <v>5137.6865686733263</v>
      </c>
      <c r="BR10" s="1909">
        <f t="shared" si="1"/>
        <v>5203.7236710984334</v>
      </c>
      <c r="BS10" s="1909">
        <f t="shared" si="1"/>
        <v>5282.9681940085611</v>
      </c>
      <c r="BT10" s="1909">
        <f t="shared" si="1"/>
        <v>5322.5904554636254</v>
      </c>
      <c r="BU10" s="1909">
        <f t="shared" si="1"/>
        <v>5375.4201374037111</v>
      </c>
      <c r="BV10" s="1909">
        <f t="shared" si="1"/>
        <v>5428.2498193437968</v>
      </c>
      <c r="BW10" s="1909">
        <f t="shared" si="1"/>
        <v>5481.0795012838826</v>
      </c>
      <c r="BX10" s="1909">
        <f t="shared" si="1"/>
        <v>5547.1166037089888</v>
      </c>
      <c r="BY10" s="1909">
        <f t="shared" si="2"/>
        <v>5586.7388651640531</v>
      </c>
      <c r="BZ10" s="1909">
        <f t="shared" si="2"/>
        <v>5692.3982290442245</v>
      </c>
      <c r="CA10" s="1909">
        <f t="shared" si="2"/>
        <v>5824.4724338944388</v>
      </c>
      <c r="CB10" s="1909">
        <f t="shared" si="2"/>
        <v>5943.3392182596317</v>
      </c>
      <c r="CC10" s="1909">
        <f t="shared" si="2"/>
        <v>6128.2431050499308</v>
      </c>
      <c r="CD10" s="1909">
        <f t="shared" si="2"/>
        <v>6352.7692532952942</v>
      </c>
      <c r="CE10" s="1909">
        <f t="shared" si="2"/>
        <v>6616.9176629957219</v>
      </c>
      <c r="CF10" s="1909">
        <f t="shared" si="2"/>
        <v>6854.6512317261077</v>
      </c>
      <c r="CG10" s="1909">
        <f t="shared" si="2"/>
        <v>7250.8738462767506</v>
      </c>
      <c r="CH10" s="1909">
        <f t="shared" si="2"/>
        <v>7488.6074150071363</v>
      </c>
      <c r="CI10" s="1909">
        <f t="shared" si="3"/>
        <v>8082.9413368330988</v>
      </c>
      <c r="CJ10" s="1909">
        <f t="shared" si="3"/>
        <v>8584.8233152639114</v>
      </c>
      <c r="CK10" s="1909">
        <f t="shared" si="3"/>
        <v>9205.5720780599186</v>
      </c>
      <c r="CL10" s="1909">
        <f t="shared" si="3"/>
        <v>9681.03921552069</v>
      </c>
      <c r="CM10" s="1909">
        <f t="shared" si="3"/>
        <v>10209.336034921545</v>
      </c>
      <c r="CN10" s="1902">
        <f t="shared" si="3"/>
        <v>10777.255115777467</v>
      </c>
      <c r="CP10" s="1871"/>
      <c r="CQ10" s="1898">
        <v>64</v>
      </c>
      <c r="CR10" s="1898">
        <v>65.75</v>
      </c>
      <c r="CS10" s="1898">
        <v>68.75</v>
      </c>
      <c r="CT10" s="1898">
        <v>70.5</v>
      </c>
      <c r="CU10" s="1898">
        <v>73.5</v>
      </c>
      <c r="CV10" s="1898">
        <v>76.25</v>
      </c>
      <c r="CW10" s="1668">
        <v>78</v>
      </c>
      <c r="CX10" s="1668">
        <v>80</v>
      </c>
      <c r="CY10" s="1668">
        <v>83.5</v>
      </c>
      <c r="CZ10" s="1668">
        <v>86.5</v>
      </c>
      <c r="DA10" s="1668">
        <v>89.25</v>
      </c>
      <c r="DB10" s="1668">
        <v>92</v>
      </c>
      <c r="DC10" s="1668">
        <v>94.5</v>
      </c>
      <c r="DD10" s="1668">
        <v>97.25</v>
      </c>
      <c r="DE10" s="1668">
        <v>98.5</v>
      </c>
      <c r="DF10" s="1668">
        <v>100</v>
      </c>
      <c r="DG10" s="1668">
        <v>100.75</v>
      </c>
      <c r="DH10" s="1668">
        <v>101.75</v>
      </c>
      <c r="DI10" s="1668">
        <v>102.75</v>
      </c>
      <c r="DJ10" s="1668">
        <v>103.75</v>
      </c>
      <c r="DK10" s="1668">
        <v>105</v>
      </c>
      <c r="DL10" s="1668">
        <v>105.75</v>
      </c>
      <c r="DM10" s="1668">
        <v>107.75</v>
      </c>
      <c r="DN10" s="1668">
        <v>110.25</v>
      </c>
      <c r="DO10" s="1668">
        <v>112.5</v>
      </c>
      <c r="DP10" s="1668">
        <v>116</v>
      </c>
      <c r="DQ10" s="1668">
        <v>120.25</v>
      </c>
      <c r="DR10" s="1668">
        <v>125.25</v>
      </c>
      <c r="DS10" s="1668">
        <v>129.75</v>
      </c>
      <c r="DT10" s="1668">
        <v>137.25</v>
      </c>
      <c r="DU10" s="1668">
        <v>141.75</v>
      </c>
      <c r="DV10" s="1668">
        <v>153</v>
      </c>
      <c r="DW10" s="1668">
        <v>162.5</v>
      </c>
      <c r="DX10" s="1668">
        <v>174.25</v>
      </c>
      <c r="DY10" s="1668">
        <v>183.25</v>
      </c>
      <c r="DZ10" s="1668">
        <v>193.25</v>
      </c>
      <c r="EA10" s="1668">
        <v>204</v>
      </c>
    </row>
    <row r="11" spans="2:131" s="1668" customFormat="1" ht="24" customHeight="1">
      <c r="B11" s="1673" t="s">
        <v>981</v>
      </c>
      <c r="C11" s="1897" t="s">
        <v>1258</v>
      </c>
      <c r="D11" s="1674">
        <v>493.69352901637041</v>
      </c>
      <c r="E11" s="1674">
        <v>505.70935223025339</v>
      </c>
      <c r="F11" s="1674">
        <v>507.79906029732058</v>
      </c>
      <c r="G11" s="1674">
        <v>705.27647263516747</v>
      </c>
      <c r="H11" s="1674">
        <v>796.70119874110912</v>
      </c>
      <c r="I11" s="1674">
        <v>758.56402834538017</v>
      </c>
      <c r="J11" s="1674">
        <v>748.56478332531481</v>
      </c>
      <c r="K11" s="1674">
        <v>732.96510269556063</v>
      </c>
      <c r="L11" s="1674">
        <v>788.86479531785403</v>
      </c>
      <c r="M11" s="1674">
        <v>788.86479531785403</v>
      </c>
      <c r="N11" s="1674">
        <v>788.86479531785403</v>
      </c>
      <c r="O11" s="1674">
        <v>794.09</v>
      </c>
      <c r="P11" s="1675">
        <v>808.19</v>
      </c>
      <c r="Q11" s="1676">
        <v>822.82254957944872</v>
      </c>
      <c r="R11" s="1676">
        <v>838.49536191069922</v>
      </c>
      <c r="S11" s="1676">
        <v>841.10749699453311</v>
      </c>
      <c r="T11" s="1676">
        <v>814.98614615619363</v>
      </c>
      <c r="U11" s="1676">
        <v>817.59827941178094</v>
      </c>
      <c r="V11" s="1707">
        <v>820.21</v>
      </c>
      <c r="W11" s="1708">
        <v>846.331767162201</v>
      </c>
      <c r="X11" s="1708">
        <v>859.39244075312399</v>
      </c>
      <c r="Y11" s="1708">
        <v>1049.4140650625241</v>
      </c>
      <c r="Z11" s="1708">
        <v>1064.7116461858845</v>
      </c>
      <c r="AA11" s="1708">
        <v>1046.3545488378522</v>
      </c>
      <c r="AB11" s="1708">
        <v>1058.5926137365404</v>
      </c>
      <c r="AC11" s="1708">
        <v>1079.7644067760739</v>
      </c>
      <c r="AD11" s="1708">
        <v>1112.1600000000001</v>
      </c>
      <c r="AE11" s="1708">
        <v>1167.7648741015241</v>
      </c>
      <c r="AF11" s="1708">
        <v>1202.7977398817093</v>
      </c>
      <c r="AG11" s="1708">
        <v>1238.8814819404899</v>
      </c>
      <c r="AH11" s="1708">
        <v>1238.8814819404899</v>
      </c>
      <c r="AI11" s="1723">
        <v>1516.1348218774399</v>
      </c>
      <c r="AJ11" s="1723">
        <v>1715</v>
      </c>
      <c r="AK11" s="1708">
        <v>1697.3461551695643</v>
      </c>
      <c r="AL11" s="1723">
        <v>1781.9114440392225</v>
      </c>
      <c r="AM11" s="1723">
        <v>2399.8420905653666</v>
      </c>
      <c r="AN11" s="1723">
        <v>2281.4506861478458</v>
      </c>
      <c r="AO11" s="1723">
        <v>2149.0644049709317</v>
      </c>
      <c r="AP11" s="1723">
        <v>2343.5553362887763</v>
      </c>
      <c r="AQ11" s="1723">
        <v>2234.8336581836661</v>
      </c>
      <c r="AR11" s="1723">
        <v>2396.1040854701118</v>
      </c>
      <c r="AS11" s="1723">
        <v>2467.3771575275123</v>
      </c>
      <c r="AT11" s="1708">
        <v>2389.0149443184582</v>
      </c>
      <c r="AU11" s="1708">
        <v>2584.2163104307492</v>
      </c>
      <c r="AV11" s="1708">
        <v>2457.3025760740393</v>
      </c>
      <c r="AW11" s="1723">
        <v>2450.4</v>
      </c>
      <c r="AX11" s="1723">
        <v>3159.6351422199964</v>
      </c>
      <c r="AY11" s="1723">
        <v>3307.2218851616094</v>
      </c>
      <c r="AZ11" s="1723">
        <v>3445.6217472409994</v>
      </c>
      <c r="BA11" s="1723">
        <v>3328.67418322402</v>
      </c>
      <c r="BB11" s="1728">
        <v>3328.67418322402</v>
      </c>
      <c r="BC11" s="1877">
        <v>3461.3418099202199</v>
      </c>
      <c r="BD11" s="1766">
        <v>3550.4348392345614</v>
      </c>
      <c r="BE11" s="1901">
        <f t="shared" si="0"/>
        <v>3647.5170418698813</v>
      </c>
      <c r="BF11" s="1901">
        <f t="shared" si="0"/>
        <v>3813.9436749590013</v>
      </c>
      <c r="BG11" s="1901">
        <f t="shared" si="0"/>
        <v>3911.0258775943212</v>
      </c>
      <c r="BH11" s="1901">
        <f t="shared" si="0"/>
        <v>4077.4525106834417</v>
      </c>
      <c r="BI11" s="1909">
        <f t="shared" si="0"/>
        <v>4230.0102576818017</v>
      </c>
      <c r="BJ11" s="1909">
        <f t="shared" si="0"/>
        <v>4327.0924603171215</v>
      </c>
      <c r="BK11" s="1909">
        <f t="shared" si="0"/>
        <v>4438.043549043201</v>
      </c>
      <c r="BL11" s="1909">
        <f t="shared" si="0"/>
        <v>4632.2079543138407</v>
      </c>
      <c r="BM11" s="1909">
        <f t="shared" si="0"/>
        <v>4798.6345874029612</v>
      </c>
      <c r="BN11" s="1902">
        <f t="shared" si="0"/>
        <v>4951.1923344013212</v>
      </c>
      <c r="BO11" s="1909">
        <f t="shared" si="1"/>
        <v>5103.7500813996803</v>
      </c>
      <c r="BP11" s="1909">
        <f t="shared" si="1"/>
        <v>5242.4389423072807</v>
      </c>
      <c r="BQ11" s="1909">
        <f t="shared" si="1"/>
        <v>5394.9966893056408</v>
      </c>
      <c r="BR11" s="1909">
        <f t="shared" si="1"/>
        <v>5464.3411197594405</v>
      </c>
      <c r="BS11" s="1909">
        <f t="shared" si="1"/>
        <v>5547.5544363039999</v>
      </c>
      <c r="BT11" s="1909">
        <f t="shared" si="1"/>
        <v>5589.1610945762804</v>
      </c>
      <c r="BU11" s="1909">
        <f t="shared" si="1"/>
        <v>5644.6366389393206</v>
      </c>
      <c r="BV11" s="1909">
        <f t="shared" si="1"/>
        <v>5700.1121833023608</v>
      </c>
      <c r="BW11" s="1909">
        <f t="shared" si="1"/>
        <v>5755.587727665401</v>
      </c>
      <c r="BX11" s="1909">
        <f t="shared" si="1"/>
        <v>5824.9321581192007</v>
      </c>
      <c r="BY11" s="1909">
        <f t="shared" si="2"/>
        <v>5866.5388163914804</v>
      </c>
      <c r="BZ11" s="1909">
        <f t="shared" si="2"/>
        <v>5977.4899051175607</v>
      </c>
      <c r="CA11" s="1909">
        <f t="shared" si="2"/>
        <v>6116.1787660251612</v>
      </c>
      <c r="CB11" s="1909">
        <f t="shared" si="2"/>
        <v>6240.9987408420011</v>
      </c>
      <c r="CC11" s="1909">
        <f t="shared" si="2"/>
        <v>6435.1631461126408</v>
      </c>
      <c r="CD11" s="1909">
        <f t="shared" si="2"/>
        <v>6670.9342096555602</v>
      </c>
      <c r="CE11" s="1909">
        <f t="shared" si="2"/>
        <v>6948.3119314707601</v>
      </c>
      <c r="CF11" s="1909">
        <f t="shared" si="2"/>
        <v>7197.9518811044409</v>
      </c>
      <c r="CG11" s="1909">
        <f t="shared" si="2"/>
        <v>7614.0184638272412</v>
      </c>
      <c r="CH11" s="1909">
        <f t="shared" si="2"/>
        <v>7863.658413460922</v>
      </c>
      <c r="CI11" s="1909">
        <f t="shared" si="3"/>
        <v>8487.7582875451226</v>
      </c>
      <c r="CJ11" s="1909">
        <f t="shared" si="3"/>
        <v>9014.7759589940033</v>
      </c>
      <c r="CK11" s="1909">
        <f t="shared" si="3"/>
        <v>9666.6136052597249</v>
      </c>
      <c r="CL11" s="1909">
        <f t="shared" si="3"/>
        <v>10165.893504527086</v>
      </c>
      <c r="CM11" s="1909">
        <f t="shared" si="3"/>
        <v>10720.648948157486</v>
      </c>
      <c r="CN11" s="1902">
        <f t="shared" si="3"/>
        <v>11317.011050060168</v>
      </c>
      <c r="CP11" s="1871"/>
      <c r="CQ11" s="1898">
        <v>64</v>
      </c>
      <c r="CR11" s="1898">
        <v>65.75</v>
      </c>
      <c r="CS11" s="1898">
        <v>68.75</v>
      </c>
      <c r="CT11" s="1898">
        <v>70.5</v>
      </c>
      <c r="CU11" s="1898">
        <v>73.5</v>
      </c>
      <c r="CV11" s="1898">
        <v>76.25</v>
      </c>
      <c r="CW11" s="1668">
        <v>78</v>
      </c>
      <c r="CX11" s="1668">
        <v>80</v>
      </c>
      <c r="CY11" s="1668">
        <v>83.5</v>
      </c>
      <c r="CZ11" s="1668">
        <v>86.5</v>
      </c>
      <c r="DA11" s="1668">
        <v>89.25</v>
      </c>
      <c r="DB11" s="1668">
        <v>92</v>
      </c>
      <c r="DC11" s="1668">
        <v>94.5</v>
      </c>
      <c r="DD11" s="1668">
        <v>97.25</v>
      </c>
      <c r="DE11" s="1668">
        <v>98.5</v>
      </c>
      <c r="DF11" s="1668">
        <v>100</v>
      </c>
      <c r="DG11" s="1668">
        <v>100.75</v>
      </c>
      <c r="DH11" s="1668">
        <v>101.75</v>
      </c>
      <c r="DI11" s="1668">
        <v>102.75</v>
      </c>
      <c r="DJ11" s="1668">
        <v>103.75</v>
      </c>
      <c r="DK11" s="1668">
        <v>105</v>
      </c>
      <c r="DL11" s="1668">
        <v>105.75</v>
      </c>
      <c r="DM11" s="1668">
        <v>107.75</v>
      </c>
      <c r="DN11" s="1668">
        <v>110.25</v>
      </c>
      <c r="DO11" s="1668">
        <v>112.5</v>
      </c>
      <c r="DP11" s="1668">
        <v>116</v>
      </c>
      <c r="DQ11" s="1668">
        <v>120.25</v>
      </c>
      <c r="DR11" s="1668">
        <v>125.25</v>
      </c>
      <c r="DS11" s="1668">
        <v>129.75</v>
      </c>
      <c r="DT11" s="1668">
        <v>137.25</v>
      </c>
      <c r="DU11" s="1668">
        <v>141.75</v>
      </c>
      <c r="DV11" s="1668">
        <v>153</v>
      </c>
      <c r="DW11" s="1668">
        <v>162.5</v>
      </c>
      <c r="DX11" s="1668">
        <v>174.25</v>
      </c>
      <c r="DY11" s="1668">
        <v>183.25</v>
      </c>
      <c r="DZ11" s="1668">
        <v>193.25</v>
      </c>
      <c r="EA11" s="1668">
        <v>204</v>
      </c>
    </row>
    <row r="12" spans="2:131" s="1668" customFormat="1" ht="24" customHeight="1">
      <c r="B12" s="1673" t="s">
        <v>982</v>
      </c>
      <c r="C12" s="1897" t="s">
        <v>1258</v>
      </c>
      <c r="D12" s="1674">
        <v>217.24137875497712</v>
      </c>
      <c r="E12" s="1674">
        <v>222.52873563218398</v>
      </c>
      <c r="F12" s="1674">
        <v>223.44827586206901</v>
      </c>
      <c r="G12" s="1674">
        <v>310.34482758620697</v>
      </c>
      <c r="H12" s="1674">
        <v>350.57471208831049</v>
      </c>
      <c r="I12" s="1674">
        <v>333.79310344827599</v>
      </c>
      <c r="J12" s="1674">
        <v>329.42528680095415</v>
      </c>
      <c r="K12" s="1674">
        <v>322.52873507681625</v>
      </c>
      <c r="L12" s="1674">
        <v>347.1264367816093</v>
      </c>
      <c r="M12" s="1674">
        <v>347.1264367816093</v>
      </c>
      <c r="N12" s="1674">
        <v>347.1264367816093</v>
      </c>
      <c r="O12" s="1674">
        <v>349.43</v>
      </c>
      <c r="P12" s="1675">
        <v>355.63</v>
      </c>
      <c r="Q12" s="1676">
        <v>362.06896496187375</v>
      </c>
      <c r="R12" s="1676">
        <v>368.96551668601165</v>
      </c>
      <c r="S12" s="1676">
        <v>370.11494252873581</v>
      </c>
      <c r="T12" s="1676">
        <v>358.62068965517261</v>
      </c>
      <c r="U12" s="1676">
        <v>359.77011438716113</v>
      </c>
      <c r="V12" s="1707">
        <v>360.92</v>
      </c>
      <c r="W12" s="1708">
        <v>372.41379310344843</v>
      </c>
      <c r="X12" s="1708">
        <v>378.16091898486229</v>
      </c>
      <c r="Y12" s="1708">
        <v>423.61586142640522</v>
      </c>
      <c r="Z12" s="1708">
        <v>427.85190595701681</v>
      </c>
      <c r="AA12" s="1708">
        <v>421.1874924174943</v>
      </c>
      <c r="AB12" s="1708">
        <v>427.277211362792</v>
      </c>
      <c r="AC12" s="1708">
        <v>435.82276669740372</v>
      </c>
      <c r="AD12" s="1708">
        <v>448.9</v>
      </c>
      <c r="AE12" s="1708">
        <v>471.34232479347071</v>
      </c>
      <c r="AF12" s="1708">
        <v>485.48253311359673</v>
      </c>
      <c r="AG12" s="1708">
        <v>500.04694246286925</v>
      </c>
      <c r="AH12" s="1708">
        <v>500.04694246286925</v>
      </c>
      <c r="AI12" s="1723">
        <v>611.95408365763137</v>
      </c>
      <c r="AJ12" s="1723">
        <v>692.4</v>
      </c>
      <c r="AK12" s="1708">
        <v>685.09600600714919</v>
      </c>
      <c r="AL12" s="1723">
        <v>719.1835847541422</v>
      </c>
      <c r="AM12" s="1723">
        <v>968.64285831544623</v>
      </c>
      <c r="AN12" s="1723">
        <v>920.85677360139096</v>
      </c>
      <c r="AO12" s="1723">
        <v>867.46317220484559</v>
      </c>
      <c r="AP12" s="1723">
        <v>945.96883264875748</v>
      </c>
      <c r="AQ12" s="1723">
        <v>902.08368019834802</v>
      </c>
      <c r="AR12" s="1723">
        <v>967.17997382199667</v>
      </c>
      <c r="AS12" s="1723">
        <v>995.94912994614026</v>
      </c>
      <c r="AT12" s="1708">
        <v>1014.7221734655192</v>
      </c>
      <c r="AU12" s="1708">
        <v>1097.1288352427657</v>
      </c>
      <c r="AV12" s="1708">
        <v>1043.2476191119542</v>
      </c>
      <c r="AW12" s="1723">
        <v>1040.3</v>
      </c>
      <c r="AX12" s="1723">
        <v>1341.4228558901548</v>
      </c>
      <c r="AY12" s="1723">
        <v>1404.0806230522928</v>
      </c>
      <c r="AZ12" s="1723">
        <v>1462.838446990354</v>
      </c>
      <c r="BA12" s="1723">
        <v>1413.2425733531309</v>
      </c>
      <c r="BB12" s="1728">
        <v>1413.2425733531309</v>
      </c>
      <c r="BC12" s="1877">
        <v>1467.2269623313248</v>
      </c>
      <c r="BD12" s="1766">
        <v>1504.9925797009653</v>
      </c>
      <c r="BE12" s="1901">
        <f t="shared" si="0"/>
        <v>1546.1447205521636</v>
      </c>
      <c r="BF12" s="1901">
        <f t="shared" si="0"/>
        <v>1616.6912477256462</v>
      </c>
      <c r="BG12" s="1901">
        <f t="shared" si="0"/>
        <v>1657.8433885768445</v>
      </c>
      <c r="BH12" s="1901">
        <f t="shared" si="0"/>
        <v>1728.3899157503274</v>
      </c>
      <c r="BI12" s="1909">
        <f t="shared" si="0"/>
        <v>1793.0575656593533</v>
      </c>
      <c r="BJ12" s="1909">
        <f t="shared" si="0"/>
        <v>1834.2097065105513</v>
      </c>
      <c r="BK12" s="1909">
        <f t="shared" si="0"/>
        <v>1881.2407246262062</v>
      </c>
      <c r="BL12" s="1909">
        <f t="shared" si="0"/>
        <v>1963.5450063286025</v>
      </c>
      <c r="BM12" s="1909">
        <f t="shared" si="0"/>
        <v>2034.0915335020854</v>
      </c>
      <c r="BN12" s="1902">
        <f t="shared" si="0"/>
        <v>2098.7591834111113</v>
      </c>
      <c r="BO12" s="1909">
        <f t="shared" si="1"/>
        <v>2163.4268333201367</v>
      </c>
      <c r="BP12" s="1909">
        <f t="shared" si="1"/>
        <v>2222.2156059647054</v>
      </c>
      <c r="BQ12" s="1909">
        <f t="shared" si="1"/>
        <v>2286.8832558737313</v>
      </c>
      <c r="BR12" s="1909">
        <f t="shared" si="1"/>
        <v>2316.2776421960157</v>
      </c>
      <c r="BS12" s="1909">
        <f t="shared" si="1"/>
        <v>2351.5509057827567</v>
      </c>
      <c r="BT12" s="1909">
        <f t="shared" si="1"/>
        <v>2369.1875375761274</v>
      </c>
      <c r="BU12" s="1909">
        <f t="shared" si="1"/>
        <v>2392.7030466339552</v>
      </c>
      <c r="BV12" s="1909">
        <f t="shared" si="1"/>
        <v>2416.218555691783</v>
      </c>
      <c r="BW12" s="1909">
        <f t="shared" si="1"/>
        <v>2439.7340647496103</v>
      </c>
      <c r="BX12" s="1909">
        <f t="shared" si="1"/>
        <v>2469.1284510718947</v>
      </c>
      <c r="BY12" s="1909">
        <f t="shared" si="2"/>
        <v>2486.7650828652654</v>
      </c>
      <c r="BZ12" s="1909">
        <f t="shared" si="2"/>
        <v>2533.7961009809205</v>
      </c>
      <c r="CA12" s="1909">
        <f t="shared" si="2"/>
        <v>2592.5848736254893</v>
      </c>
      <c r="CB12" s="1909">
        <f t="shared" si="2"/>
        <v>2645.4947690056015</v>
      </c>
      <c r="CC12" s="1909">
        <f t="shared" si="2"/>
        <v>2727.799050707998</v>
      </c>
      <c r="CD12" s="1909">
        <f t="shared" si="2"/>
        <v>2827.7399642037649</v>
      </c>
      <c r="CE12" s="1909">
        <f t="shared" si="2"/>
        <v>2945.3175094929029</v>
      </c>
      <c r="CF12" s="1909">
        <f t="shared" si="2"/>
        <v>3051.1373002531273</v>
      </c>
      <c r="CG12" s="1909">
        <f t="shared" si="2"/>
        <v>3227.5036181868345</v>
      </c>
      <c r="CH12" s="1909">
        <f t="shared" si="2"/>
        <v>3333.3234089470589</v>
      </c>
      <c r="CI12" s="1909">
        <f t="shared" si="3"/>
        <v>3597.8728858476188</v>
      </c>
      <c r="CJ12" s="1909">
        <f t="shared" si="3"/>
        <v>3821.2702218969807</v>
      </c>
      <c r="CK12" s="1909">
        <f t="shared" si="3"/>
        <v>4097.5774533264548</v>
      </c>
      <c r="CL12" s="1909">
        <f t="shared" si="3"/>
        <v>4309.2170348469035</v>
      </c>
      <c r="CM12" s="1909">
        <f t="shared" si="3"/>
        <v>4544.3721254251786</v>
      </c>
      <c r="CN12" s="1902">
        <f t="shared" si="3"/>
        <v>4797.1638477968254</v>
      </c>
      <c r="CP12" s="1871"/>
      <c r="CQ12" s="1898">
        <v>64</v>
      </c>
      <c r="CR12" s="1898">
        <v>65.75</v>
      </c>
      <c r="CS12" s="1898">
        <v>68.75</v>
      </c>
      <c r="CT12" s="1898">
        <v>70.5</v>
      </c>
      <c r="CU12" s="1898">
        <v>73.5</v>
      </c>
      <c r="CV12" s="1898">
        <v>76.25</v>
      </c>
      <c r="CW12" s="1668">
        <v>78</v>
      </c>
      <c r="CX12" s="1668">
        <v>80</v>
      </c>
      <c r="CY12" s="1668">
        <v>83.5</v>
      </c>
      <c r="CZ12" s="1668">
        <v>86.5</v>
      </c>
      <c r="DA12" s="1668">
        <v>89.25</v>
      </c>
      <c r="DB12" s="1668">
        <v>92</v>
      </c>
      <c r="DC12" s="1668">
        <v>94.5</v>
      </c>
      <c r="DD12" s="1668">
        <v>97.25</v>
      </c>
      <c r="DE12" s="1668">
        <v>98.5</v>
      </c>
      <c r="DF12" s="1668">
        <v>100</v>
      </c>
      <c r="DG12" s="1668">
        <v>100.75</v>
      </c>
      <c r="DH12" s="1668">
        <v>101.75</v>
      </c>
      <c r="DI12" s="1668">
        <v>102.75</v>
      </c>
      <c r="DJ12" s="1668">
        <v>103.75</v>
      </c>
      <c r="DK12" s="1668">
        <v>105</v>
      </c>
      <c r="DL12" s="1668">
        <v>105.75</v>
      </c>
      <c r="DM12" s="1668">
        <v>107.75</v>
      </c>
      <c r="DN12" s="1668">
        <v>110.25</v>
      </c>
      <c r="DO12" s="1668">
        <v>112.5</v>
      </c>
      <c r="DP12" s="1668">
        <v>116</v>
      </c>
      <c r="DQ12" s="1668">
        <v>120.25</v>
      </c>
      <c r="DR12" s="1668">
        <v>125.25</v>
      </c>
      <c r="DS12" s="1668">
        <v>129.75</v>
      </c>
      <c r="DT12" s="1668">
        <v>137.25</v>
      </c>
      <c r="DU12" s="1668">
        <v>141.75</v>
      </c>
      <c r="DV12" s="1668">
        <v>153</v>
      </c>
      <c r="DW12" s="1668">
        <v>162.5</v>
      </c>
      <c r="DX12" s="1668">
        <v>174.25</v>
      </c>
      <c r="DY12" s="1668">
        <v>183.25</v>
      </c>
      <c r="DZ12" s="1668">
        <v>193.25</v>
      </c>
      <c r="EA12" s="1668">
        <v>204</v>
      </c>
    </row>
    <row r="13" spans="2:131" s="1668" customFormat="1" ht="47.25">
      <c r="B13" s="1673" t="s">
        <v>983</v>
      </c>
      <c r="C13" s="1897" t="s">
        <v>1258</v>
      </c>
      <c r="D13" s="1674">
        <v>448.90735805619607</v>
      </c>
      <c r="E13" s="1674">
        <v>459.83314560677013</v>
      </c>
      <c r="F13" s="1674">
        <v>461.73328257208743</v>
      </c>
      <c r="G13" s="1674">
        <v>641.29622579456588</v>
      </c>
      <c r="H13" s="1674">
        <v>724.42721802719473</v>
      </c>
      <c r="I13" s="1674">
        <v>689.7497184101552</v>
      </c>
      <c r="J13" s="1674">
        <v>680.72406782489827</v>
      </c>
      <c r="K13" s="1674">
        <v>666.47304058501902</v>
      </c>
      <c r="L13" s="1674">
        <v>717.30170440725499</v>
      </c>
      <c r="M13" s="1674">
        <v>717.30170440725499</v>
      </c>
      <c r="N13" s="1674">
        <v>717.30170440725499</v>
      </c>
      <c r="O13" s="1674">
        <v>722.05</v>
      </c>
      <c r="P13" s="1675">
        <v>734.88</v>
      </c>
      <c r="Q13" s="1676">
        <v>748.17893009365991</v>
      </c>
      <c r="R13" s="1676">
        <v>762.42995733353905</v>
      </c>
      <c r="S13" s="1676">
        <v>764.80512854018548</v>
      </c>
      <c r="T13" s="1676">
        <v>741.05341647372018</v>
      </c>
      <c r="U13" s="1676">
        <v>743.42858768036672</v>
      </c>
      <c r="V13" s="1707">
        <v>745.8</v>
      </c>
      <c r="W13" s="1708">
        <v>769.55547095347868</v>
      </c>
      <c r="X13" s="1708">
        <v>781.43132698671138</v>
      </c>
      <c r="Y13" s="1708">
        <v>875.35937255757483</v>
      </c>
      <c r="Z13" s="1708">
        <v>889.91533811584884</v>
      </c>
      <c r="AA13" s="1708">
        <v>875.79726780313956</v>
      </c>
      <c r="AB13" s="1708">
        <v>889.91533811584884</v>
      </c>
      <c r="AC13" s="1708">
        <v>907.71363640732375</v>
      </c>
      <c r="AD13" s="1708">
        <v>934.94</v>
      </c>
      <c r="AE13" s="1708">
        <v>981.69218366521739</v>
      </c>
      <c r="AF13" s="1708">
        <v>1011.1429018796384</v>
      </c>
      <c r="AG13" s="1708">
        <v>1041.4771995245803</v>
      </c>
      <c r="AH13" s="1708">
        <v>1041.4771995245803</v>
      </c>
      <c r="AI13" s="1723">
        <v>1274.5527892767902</v>
      </c>
      <c r="AJ13" s="1723">
        <v>1442.1</v>
      </c>
      <c r="AK13" s="1708">
        <v>1426.8897760429406</v>
      </c>
      <c r="AL13" s="1723">
        <v>1497.9803698671442</v>
      </c>
      <c r="AM13" s="1723">
        <v>2017.4494947397166</v>
      </c>
      <c r="AN13" s="1723">
        <v>1917.9226633858316</v>
      </c>
      <c r="AO13" s="1723">
        <v>1806.716663046542</v>
      </c>
      <c r="AP13" s="1723">
        <v>1970.2250288422099</v>
      </c>
      <c r="AQ13" s="1723">
        <v>1878.8228367825197</v>
      </c>
      <c r="AR13" s="1723">
        <v>2014.4026887913305</v>
      </c>
      <c r="AS13" s="1723">
        <v>2074.3219480574767</v>
      </c>
      <c r="AT13" s="1708">
        <v>2606.0702577736679</v>
      </c>
      <c r="AU13" s="1708">
        <v>2817.7117155169403</v>
      </c>
      <c r="AV13" s="1708">
        <v>2679.3307623771084</v>
      </c>
      <c r="AW13" s="1723">
        <v>2671.8</v>
      </c>
      <c r="AX13" s="1723">
        <v>3445.122190838712</v>
      </c>
      <c r="AY13" s="1723">
        <v>3606.0448377026796</v>
      </c>
      <c r="AZ13" s="1723">
        <v>3756.9489540225868</v>
      </c>
      <c r="BA13" s="1723">
        <v>3631.7173222218339</v>
      </c>
      <c r="BB13" s="1728">
        <v>3631.7173222218339</v>
      </c>
      <c r="BC13" s="1877">
        <v>3768.2198008846549</v>
      </c>
      <c r="BD13" s="1766">
        <v>3865.2116601841508</v>
      </c>
      <c r="BE13" s="1903">
        <f t="shared" si="0"/>
        <v>3970.9010415173111</v>
      </c>
      <c r="BF13" s="1903">
        <f t="shared" si="0"/>
        <v>4152.0828380884432</v>
      </c>
      <c r="BG13" s="1903">
        <f t="shared" si="0"/>
        <v>4257.772219421603</v>
      </c>
      <c r="BH13" s="1903">
        <f t="shared" si="0"/>
        <v>4438.9540159927355</v>
      </c>
      <c r="BI13" s="1910">
        <f t="shared" si="0"/>
        <v>4605.0373295162726</v>
      </c>
      <c r="BJ13" s="1910">
        <f t="shared" si="0"/>
        <v>4710.7267108494325</v>
      </c>
      <c r="BK13" s="1910">
        <f t="shared" si="0"/>
        <v>4831.5145752301869</v>
      </c>
      <c r="BL13" s="1910">
        <f t="shared" si="0"/>
        <v>5042.8933378965075</v>
      </c>
      <c r="BM13" s="1910">
        <f t="shared" si="0"/>
        <v>5224.0751344676401</v>
      </c>
      <c r="BN13" s="1904">
        <f t="shared" si="0"/>
        <v>5390.1584479911771</v>
      </c>
      <c r="BO13" s="1910">
        <f t="shared" si="1"/>
        <v>5556.2417615147142</v>
      </c>
      <c r="BP13" s="1910">
        <f t="shared" si="1"/>
        <v>5707.2265919906577</v>
      </c>
      <c r="BQ13" s="1910">
        <f t="shared" si="1"/>
        <v>5873.3099055141947</v>
      </c>
      <c r="BR13" s="1910">
        <f t="shared" si="1"/>
        <v>5948.8023207521665</v>
      </c>
      <c r="BS13" s="1910">
        <f t="shared" si="1"/>
        <v>6039.3932190377318</v>
      </c>
      <c r="BT13" s="1910">
        <f t="shared" si="1"/>
        <v>6084.6886681805154</v>
      </c>
      <c r="BU13" s="1910">
        <f t="shared" si="1"/>
        <v>6145.0826003708935</v>
      </c>
      <c r="BV13" s="1910">
        <f t="shared" si="1"/>
        <v>6205.4765325612716</v>
      </c>
      <c r="BW13" s="1910">
        <f t="shared" si="1"/>
        <v>6265.8704647516488</v>
      </c>
      <c r="BX13" s="1910">
        <f t="shared" si="1"/>
        <v>6341.3628799896196</v>
      </c>
      <c r="BY13" s="1910">
        <f t="shared" si="2"/>
        <v>6386.6583291324023</v>
      </c>
      <c r="BZ13" s="1910">
        <f t="shared" si="2"/>
        <v>6507.4461935131567</v>
      </c>
      <c r="CA13" s="1910">
        <f t="shared" si="2"/>
        <v>6658.4310239891001</v>
      </c>
      <c r="CB13" s="1910">
        <f t="shared" si="2"/>
        <v>6794.3173714174491</v>
      </c>
      <c r="CC13" s="1910">
        <f t="shared" si="2"/>
        <v>7005.6961340837697</v>
      </c>
      <c r="CD13" s="1910">
        <f t="shared" si="2"/>
        <v>7262.370345892873</v>
      </c>
      <c r="CE13" s="1910">
        <f t="shared" si="2"/>
        <v>7564.34000684476</v>
      </c>
      <c r="CF13" s="1910">
        <f t="shared" si="2"/>
        <v>7836.1127017014587</v>
      </c>
      <c r="CG13" s="1910">
        <f t="shared" si="2"/>
        <v>8289.0671931292891</v>
      </c>
      <c r="CH13" s="1910">
        <f t="shared" si="2"/>
        <v>8560.8398879859869</v>
      </c>
      <c r="CI13" s="1910">
        <f t="shared" si="3"/>
        <v>9240.2716251277307</v>
      </c>
      <c r="CJ13" s="1910">
        <f t="shared" si="3"/>
        <v>9814.0139809363154</v>
      </c>
      <c r="CK13" s="1910">
        <f t="shared" si="3"/>
        <v>10523.64268417325</v>
      </c>
      <c r="CL13" s="1910">
        <f t="shared" si="3"/>
        <v>11067.188073886648</v>
      </c>
      <c r="CM13" s="1910">
        <f t="shared" si="3"/>
        <v>11671.12739579042</v>
      </c>
      <c r="CN13" s="1904">
        <f t="shared" si="3"/>
        <v>12320.362166836976</v>
      </c>
      <c r="CP13" s="1871"/>
      <c r="CQ13" s="1898">
        <v>64</v>
      </c>
      <c r="CR13" s="1898">
        <v>65.75</v>
      </c>
      <c r="CS13" s="1898">
        <v>68.75</v>
      </c>
      <c r="CT13" s="1898">
        <v>70.5</v>
      </c>
      <c r="CU13" s="1898">
        <v>73.5</v>
      </c>
      <c r="CV13" s="1898">
        <v>76.25</v>
      </c>
      <c r="CW13" s="1668">
        <v>78</v>
      </c>
      <c r="CX13" s="1668">
        <v>80</v>
      </c>
      <c r="CY13" s="1668">
        <v>83.5</v>
      </c>
      <c r="CZ13" s="1668">
        <v>86.5</v>
      </c>
      <c r="DA13" s="1668">
        <v>89.25</v>
      </c>
      <c r="DB13" s="1668">
        <v>92</v>
      </c>
      <c r="DC13" s="1668">
        <v>94.5</v>
      </c>
      <c r="DD13" s="1668">
        <v>97.25</v>
      </c>
      <c r="DE13" s="1668">
        <v>98.5</v>
      </c>
      <c r="DF13" s="1668">
        <v>100</v>
      </c>
      <c r="DG13" s="1668">
        <v>100.75</v>
      </c>
      <c r="DH13" s="1668">
        <v>101.75</v>
      </c>
      <c r="DI13" s="1668">
        <v>102.75</v>
      </c>
      <c r="DJ13" s="1668">
        <v>103.75</v>
      </c>
      <c r="DK13" s="1668">
        <v>105</v>
      </c>
      <c r="DL13" s="1668">
        <v>105.75</v>
      </c>
      <c r="DM13" s="1668">
        <v>107.75</v>
      </c>
      <c r="DN13" s="1668">
        <v>110.25</v>
      </c>
      <c r="DO13" s="1668">
        <v>112.5</v>
      </c>
      <c r="DP13" s="1668">
        <v>116</v>
      </c>
      <c r="DQ13" s="1668">
        <v>120.25</v>
      </c>
      <c r="DR13" s="1668">
        <v>125.25</v>
      </c>
      <c r="DS13" s="1668">
        <v>129.75</v>
      </c>
      <c r="DT13" s="1668">
        <v>137.25</v>
      </c>
      <c r="DU13" s="1668">
        <v>141.75</v>
      </c>
      <c r="DV13" s="1668">
        <v>153</v>
      </c>
      <c r="DW13" s="1668">
        <v>162.5</v>
      </c>
      <c r="DX13" s="1668">
        <v>174.25</v>
      </c>
      <c r="DY13" s="1668">
        <v>183.25</v>
      </c>
      <c r="DZ13" s="1668">
        <v>193.25</v>
      </c>
      <c r="EA13" s="1668">
        <v>204</v>
      </c>
    </row>
    <row r="14" spans="2:131" s="1668" customFormat="1" ht="15.75">
      <c r="B14" s="1677"/>
      <c r="C14" s="1678"/>
      <c r="D14" s="1237"/>
      <c r="E14" s="1679"/>
      <c r="F14" s="1679"/>
      <c r="G14" s="1679"/>
      <c r="H14" s="1679"/>
      <c r="I14" s="1679"/>
      <c r="J14" s="1679"/>
      <c r="K14" s="1679"/>
      <c r="L14" s="1679"/>
      <c r="M14" s="1679"/>
      <c r="N14" s="1679"/>
      <c r="O14" s="1679"/>
      <c r="P14" s="1680"/>
      <c r="Q14" s="1681"/>
      <c r="R14" s="1681"/>
      <c r="S14" s="1681"/>
      <c r="T14" s="1681"/>
      <c r="U14" s="1681"/>
      <c r="V14" s="1709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24"/>
      <c r="AJ14" s="1724"/>
      <c r="AK14" s="1710"/>
      <c r="AL14" s="1724"/>
      <c r="AM14" s="1724"/>
      <c r="AN14" s="1724"/>
      <c r="AO14" s="1724"/>
      <c r="AP14" s="1724"/>
      <c r="AQ14" s="1724"/>
      <c r="AR14" s="1724"/>
      <c r="AS14" s="1724"/>
      <c r="AT14" s="1710"/>
      <c r="AU14" s="1710"/>
      <c r="AV14" s="1710"/>
      <c r="AW14" s="1724"/>
      <c r="AX14" s="1724"/>
      <c r="AY14" s="1724"/>
      <c r="AZ14" s="1724"/>
      <c r="BA14" s="1724"/>
      <c r="BB14" s="1729"/>
      <c r="BC14" s="1724"/>
      <c r="BD14" s="1724"/>
      <c r="BE14" s="1710"/>
      <c r="BF14" s="1680"/>
      <c r="BG14" s="1724"/>
      <c r="BH14" s="1724"/>
      <c r="BI14" s="1724"/>
      <c r="BJ14" s="1724"/>
      <c r="BK14" s="1724"/>
      <c r="BL14" s="1724"/>
      <c r="BM14" s="1724"/>
      <c r="BN14" s="1729"/>
      <c r="BO14" s="1724"/>
      <c r="BP14" s="1724"/>
      <c r="BQ14" s="1724"/>
      <c r="BR14" s="1724"/>
      <c r="BS14" s="1724"/>
      <c r="BT14" s="1724"/>
      <c r="BU14" s="1724"/>
      <c r="BV14" s="1724"/>
      <c r="BW14" s="1724"/>
      <c r="BX14" s="1724"/>
      <c r="BY14" s="1724"/>
      <c r="BZ14" s="1724"/>
      <c r="CA14" s="1724"/>
      <c r="CB14" s="1724"/>
      <c r="CC14" s="1724"/>
      <c r="CD14" s="1724"/>
      <c r="CE14" s="1724"/>
      <c r="CF14" s="1724"/>
      <c r="CG14" s="1724"/>
      <c r="CH14" s="1724"/>
      <c r="CI14" s="1724"/>
      <c r="CJ14" s="1724"/>
      <c r="CK14" s="1724"/>
      <c r="CL14" s="1724"/>
      <c r="CM14" s="1724"/>
      <c r="CN14" s="1729"/>
    </row>
    <row r="15" spans="2:131" s="1668" customFormat="1" ht="16.5" thickBot="1">
      <c r="B15" s="1682"/>
      <c r="C15" s="1683"/>
      <c r="D15" s="1339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5"/>
      <c r="Q15" s="1686"/>
      <c r="R15" s="1686"/>
      <c r="S15" s="1686"/>
      <c r="T15" s="1686"/>
      <c r="U15" s="1686"/>
      <c r="V15" s="1711"/>
      <c r="W15" s="1712"/>
      <c r="X15" s="1712"/>
      <c r="Y15" s="1712"/>
      <c r="Z15" s="1712"/>
      <c r="AA15" s="1712"/>
      <c r="AB15" s="1712"/>
      <c r="AC15" s="1712"/>
      <c r="AD15" s="1712"/>
      <c r="AE15" s="1712"/>
      <c r="AF15" s="1712"/>
      <c r="AG15" s="1712"/>
      <c r="AH15" s="1712"/>
      <c r="AI15" s="1725"/>
      <c r="AJ15" s="1725"/>
      <c r="AK15" s="1712"/>
      <c r="AL15" s="1725"/>
      <c r="AM15" s="1725"/>
      <c r="AN15" s="1725"/>
      <c r="AO15" s="1725"/>
      <c r="AP15" s="1725"/>
      <c r="AQ15" s="1725"/>
      <c r="AR15" s="1725"/>
      <c r="AS15" s="1725"/>
      <c r="AT15" s="1712"/>
      <c r="AU15" s="1712"/>
      <c r="AV15" s="1712"/>
      <c r="AW15" s="1725"/>
      <c r="AX15" s="1725"/>
      <c r="AY15" s="1725"/>
      <c r="AZ15" s="1725"/>
      <c r="BA15" s="1725"/>
      <c r="BB15" s="1730"/>
      <c r="BC15" s="1725"/>
      <c r="BD15" s="1725"/>
      <c r="BE15" s="1712"/>
      <c r="BF15" s="1685"/>
      <c r="BG15" s="1725"/>
      <c r="BH15" s="1725"/>
      <c r="BI15" s="1725"/>
      <c r="BJ15" s="1725"/>
      <c r="BK15" s="1725"/>
      <c r="BL15" s="1725"/>
      <c r="BM15" s="1725"/>
      <c r="BN15" s="1730"/>
      <c r="BO15" s="1725"/>
      <c r="BP15" s="1725"/>
      <c r="BQ15" s="1725"/>
      <c r="BR15" s="1725"/>
      <c r="BS15" s="1725"/>
      <c r="BT15" s="1725"/>
      <c r="BU15" s="1725"/>
      <c r="BV15" s="1725"/>
      <c r="BW15" s="1725"/>
      <c r="BX15" s="1725"/>
      <c r="BY15" s="1725"/>
      <c r="BZ15" s="1725"/>
      <c r="CA15" s="1725"/>
      <c r="CB15" s="1725"/>
      <c r="CC15" s="1725"/>
      <c r="CD15" s="1725"/>
      <c r="CE15" s="1725"/>
      <c r="CF15" s="1725"/>
      <c r="CG15" s="1725"/>
      <c r="CH15" s="1725"/>
      <c r="CI15" s="1725"/>
      <c r="CJ15" s="1725"/>
      <c r="CK15" s="1725"/>
      <c r="CL15" s="1725"/>
      <c r="CM15" s="1725"/>
      <c r="CN15" s="1730"/>
    </row>
    <row r="16" spans="2:131" ht="13.5" thickBot="1"/>
    <row r="17" spans="2:131" ht="13.5" hidden="1" thickBot="1"/>
    <row r="18" spans="2:131" s="1668" customFormat="1" ht="16.5" thickBot="1">
      <c r="B18" s="1667"/>
      <c r="C18" s="1667"/>
      <c r="D18" s="2596" t="s">
        <v>984</v>
      </c>
      <c r="E18" s="2597"/>
      <c r="F18" s="2597"/>
      <c r="G18" s="2597"/>
      <c r="H18" s="2597"/>
      <c r="I18" s="2598"/>
    </row>
    <row r="19" spans="2:131" s="1668" customFormat="1" ht="33.75" customHeight="1" thickBot="1">
      <c r="B19" s="1623" t="s">
        <v>1026</v>
      </c>
      <c r="C19" s="1624" t="s">
        <v>974</v>
      </c>
      <c r="D19" s="1625">
        <v>42278</v>
      </c>
      <c r="E19" s="1625">
        <v>42309</v>
      </c>
      <c r="F19" s="1625">
        <v>42339</v>
      </c>
      <c r="G19" s="1625">
        <v>42370</v>
      </c>
      <c r="H19" s="1625">
        <v>42401</v>
      </c>
      <c r="I19" s="1626">
        <v>42430</v>
      </c>
      <c r="J19" s="1626">
        <v>42461</v>
      </c>
      <c r="K19" s="1626">
        <v>42491</v>
      </c>
      <c r="L19" s="1626">
        <v>42522</v>
      </c>
      <c r="M19" s="1622">
        <v>42552</v>
      </c>
      <c r="N19" s="1622">
        <v>42583</v>
      </c>
      <c r="O19" s="1622">
        <v>42614</v>
      </c>
      <c r="P19" s="1622">
        <v>42644</v>
      </c>
      <c r="Q19" s="1622">
        <v>42675</v>
      </c>
      <c r="R19" s="1622">
        <v>42705</v>
      </c>
      <c r="S19" s="1646">
        <v>42736</v>
      </c>
      <c r="T19" s="1646">
        <v>42767</v>
      </c>
      <c r="U19" s="1646">
        <v>42795</v>
      </c>
      <c r="V19" s="1646">
        <v>42826</v>
      </c>
      <c r="W19" s="1646">
        <v>42856</v>
      </c>
      <c r="X19" s="1646">
        <v>42887</v>
      </c>
      <c r="Y19" s="1646">
        <v>42917</v>
      </c>
      <c r="Z19" s="1646">
        <v>42948</v>
      </c>
      <c r="AA19" s="1734">
        <v>42979</v>
      </c>
      <c r="AB19" s="1626">
        <v>43009</v>
      </c>
      <c r="AC19" s="1626">
        <v>43040</v>
      </c>
      <c r="AD19" s="1626">
        <v>43070</v>
      </c>
      <c r="AE19" s="1626">
        <v>43101</v>
      </c>
      <c r="AF19" s="1626">
        <v>43132</v>
      </c>
      <c r="AG19" s="1626">
        <v>43160</v>
      </c>
      <c r="AH19" s="1626">
        <v>43191</v>
      </c>
      <c r="AI19" s="1626">
        <v>43221</v>
      </c>
      <c r="AJ19" s="1626">
        <v>43252</v>
      </c>
      <c r="AK19" s="1626">
        <v>43282</v>
      </c>
      <c r="AL19" s="1626">
        <v>43313</v>
      </c>
      <c r="AM19" s="1626">
        <v>43344</v>
      </c>
      <c r="AN19" s="1626">
        <v>43374</v>
      </c>
      <c r="AO19" s="1626">
        <v>43405</v>
      </c>
      <c r="AP19" s="1626">
        <v>43435</v>
      </c>
      <c r="AQ19" s="1626">
        <v>43466</v>
      </c>
      <c r="AR19" s="1626">
        <v>43497</v>
      </c>
      <c r="AS19" s="1626">
        <v>43525</v>
      </c>
      <c r="AT19" s="1626">
        <v>43556</v>
      </c>
      <c r="AU19" s="1646">
        <v>43586</v>
      </c>
      <c r="AV19" s="1646">
        <v>43617</v>
      </c>
      <c r="AW19" s="1646">
        <v>43647</v>
      </c>
      <c r="AX19" s="1646">
        <v>43678</v>
      </c>
      <c r="AY19" s="1646">
        <v>43709</v>
      </c>
      <c r="AZ19" s="1646">
        <v>43739</v>
      </c>
      <c r="BA19" s="1646">
        <v>43770</v>
      </c>
      <c r="BB19" s="1646">
        <v>43800</v>
      </c>
      <c r="BC19" s="1646">
        <v>43831</v>
      </c>
      <c r="BD19" s="1646">
        <v>43862</v>
      </c>
      <c r="BE19" s="1646">
        <v>43891</v>
      </c>
      <c r="BF19" s="1646">
        <v>43922</v>
      </c>
      <c r="BG19" s="1646">
        <v>43952</v>
      </c>
      <c r="BH19" s="1646">
        <v>43983</v>
      </c>
      <c r="BI19" s="1646">
        <v>44013</v>
      </c>
      <c r="BJ19" s="1646">
        <v>44044</v>
      </c>
      <c r="BK19" s="1646">
        <v>44075</v>
      </c>
      <c r="BL19" s="1646">
        <v>44105</v>
      </c>
      <c r="BM19" s="1646">
        <v>44136</v>
      </c>
      <c r="BN19" s="1646">
        <v>44166</v>
      </c>
      <c r="BO19" s="1646">
        <v>44197</v>
      </c>
      <c r="BP19" s="1646">
        <v>44228</v>
      </c>
      <c r="BQ19" s="1646">
        <v>44256</v>
      </c>
      <c r="BR19" s="1646">
        <v>44287</v>
      </c>
      <c r="BS19" s="1646">
        <v>44317</v>
      </c>
      <c r="BT19" s="1646">
        <v>44348</v>
      </c>
      <c r="BU19" s="1646">
        <v>44378</v>
      </c>
      <c r="BV19" s="1646">
        <v>44409</v>
      </c>
      <c r="BW19" s="1646">
        <v>44440</v>
      </c>
      <c r="BX19" s="1646">
        <v>44470</v>
      </c>
      <c r="BY19" s="1646">
        <v>44501</v>
      </c>
      <c r="BZ19" s="1646">
        <v>44531</v>
      </c>
      <c r="CA19" s="1646">
        <v>44562</v>
      </c>
      <c r="CB19" s="1646">
        <v>44593</v>
      </c>
      <c r="CC19" s="1646">
        <v>44621</v>
      </c>
      <c r="CD19" s="1646">
        <v>44652</v>
      </c>
      <c r="CE19" s="1646">
        <v>44682</v>
      </c>
      <c r="CF19" s="1646">
        <v>44713</v>
      </c>
      <c r="CG19" s="1646">
        <v>44743</v>
      </c>
      <c r="CH19" s="1646">
        <v>44774</v>
      </c>
      <c r="CI19" s="1646">
        <v>44805</v>
      </c>
      <c r="CJ19" s="1646">
        <v>44835</v>
      </c>
      <c r="CK19" s="1646">
        <v>44866</v>
      </c>
      <c r="CL19" s="1646">
        <v>44896</v>
      </c>
      <c r="CM19" s="1646">
        <f>+CM7</f>
        <v>44927</v>
      </c>
      <c r="CN19" s="1646">
        <f>+CN7</f>
        <v>44958</v>
      </c>
    </row>
    <row r="20" spans="2:131" s="1668" customFormat="1" ht="39" customHeight="1">
      <c r="B20" s="1671" t="s">
        <v>978</v>
      </c>
      <c r="C20" s="1687">
        <v>0.25</v>
      </c>
      <c r="D20" s="1688">
        <v>1</v>
      </c>
      <c r="E20" s="1688">
        <f t="shared" ref="E20:CN21" si="4">+E8/D8</f>
        <v>1.0243386243386243</v>
      </c>
      <c r="F20" s="1688">
        <f t="shared" si="4"/>
        <v>1.0041322314049586</v>
      </c>
      <c r="G20" s="1688">
        <f t="shared" si="4"/>
        <v>1.3888888888888891</v>
      </c>
      <c r="H20" s="1688">
        <f t="shared" si="4"/>
        <v>1.1296296296296295</v>
      </c>
      <c r="I20" s="1689">
        <f t="shared" si="4"/>
        <v>0.9521311475409836</v>
      </c>
      <c r="J20" s="1689">
        <f t="shared" si="4"/>
        <v>0.98691571910019915</v>
      </c>
      <c r="K20" s="1689">
        <f t="shared" si="4"/>
        <v>0.97906378916239512</v>
      </c>
      <c r="L20" s="1689">
        <f t="shared" si="4"/>
        <v>1.0762651461154669</v>
      </c>
      <c r="M20" s="1689">
        <f t="shared" si="4"/>
        <v>1</v>
      </c>
      <c r="N20" s="1689">
        <f t="shared" si="4"/>
        <v>1</v>
      </c>
      <c r="O20" s="1689">
        <f t="shared" si="4"/>
        <v>1.0066190317338268</v>
      </c>
      <c r="P20" s="1688">
        <f t="shared" si="4"/>
        <v>1.0177663852919079</v>
      </c>
      <c r="Q20" s="1690">
        <f t="shared" si="4"/>
        <v>1.0180998436134414</v>
      </c>
      <c r="R20" s="1690">
        <f t="shared" si="4"/>
        <v>1.019047619047619</v>
      </c>
      <c r="S20" s="1690">
        <f t="shared" si="4"/>
        <v>1.0031152647975077</v>
      </c>
      <c r="T20" s="1690">
        <f t="shared" si="4"/>
        <v>0.96894409937888204</v>
      </c>
      <c r="U20" s="1690">
        <f t="shared" si="4"/>
        <v>1.0032051282051282</v>
      </c>
      <c r="V20" s="1713">
        <f t="shared" si="4"/>
        <v>1.0031924506712921</v>
      </c>
      <c r="W20" s="1714">
        <f t="shared" si="4"/>
        <v>1.0318496408893212</v>
      </c>
      <c r="X20" s="1714">
        <f t="shared" si="4"/>
        <v>1.0154320987654322</v>
      </c>
      <c r="Y20" s="1714">
        <f t="shared" si="4"/>
        <v>1.120287420679358</v>
      </c>
      <c r="Z20" s="1714">
        <f t="shared" si="4"/>
        <v>1.0145772594752187</v>
      </c>
      <c r="AA20" s="1716">
        <f t="shared" si="4"/>
        <v>0.98275862068965514</v>
      </c>
      <c r="AB20" s="1716">
        <f t="shared" si="4"/>
        <v>1.0116959064327486</v>
      </c>
      <c r="AC20" s="1716">
        <f t="shared" si="4"/>
        <v>1.0199999252702414</v>
      </c>
      <c r="AD20" s="1716">
        <f t="shared" si="4"/>
        <v>1.0300004965165857</v>
      </c>
      <c r="AE20" s="1716">
        <f t="shared" si="4"/>
        <v>1.0499993191663168</v>
      </c>
      <c r="AF20" s="1716">
        <f t="shared" si="4"/>
        <v>1.0299998741908294</v>
      </c>
      <c r="AG20" s="1716">
        <f t="shared" si="4"/>
        <v>1.029999900404976</v>
      </c>
      <c r="AH20" s="1716">
        <f t="shared" si="4"/>
        <v>1</v>
      </c>
      <c r="AI20" s="1726">
        <f t="shared" si="4"/>
        <v>1.2237932715748416</v>
      </c>
      <c r="AJ20" s="1716">
        <f t="shared" si="4"/>
        <v>1.1315113868432272</v>
      </c>
      <c r="AK20" s="1726">
        <f t="shared" si="4"/>
        <v>0.98940401781896481</v>
      </c>
      <c r="AL20" s="1726">
        <f t="shared" si="4"/>
        <v>1.0498220640569396</v>
      </c>
      <c r="AM20" s="1726">
        <f t="shared" si="4"/>
        <v>1.3467796610169491</v>
      </c>
      <c r="AN20" s="1726">
        <f t="shared" si="4"/>
        <v>0.95066700226529066</v>
      </c>
      <c r="AO20" s="1726">
        <f t="shared" si="4"/>
        <v>0.94201746929602159</v>
      </c>
      <c r="AP20" s="1726">
        <f t="shared" si="4"/>
        <v>1.0905002763357272</v>
      </c>
      <c r="AQ20" s="1726">
        <f t="shared" si="4"/>
        <v>0.95360825650109293</v>
      </c>
      <c r="AR20" s="1767">
        <f t="shared" si="4"/>
        <v>1.0828657783279632</v>
      </c>
      <c r="AS20" s="1767">
        <f t="shared" si="4"/>
        <v>1.0297454004502862</v>
      </c>
      <c r="AT20" s="1768">
        <f t="shared" si="4"/>
        <v>1.0060770999710758</v>
      </c>
      <c r="AU20" s="1768">
        <f t="shared" si="4"/>
        <v>1.0812109562710235</v>
      </c>
      <c r="AV20" s="1768">
        <f t="shared" si="4"/>
        <v>0.95088888888888889</v>
      </c>
      <c r="AW20" s="1767">
        <f t="shared" si="4"/>
        <v>0.9971776213752036</v>
      </c>
      <c r="AX20" s="1767">
        <f t="shared" si="4"/>
        <v>1.2894537693831523</v>
      </c>
      <c r="AY20" s="1767">
        <f t="shared" si="4"/>
        <v>1.0467102871683025</v>
      </c>
      <c r="AZ20" s="1767">
        <f t="shared" si="4"/>
        <v>1.0418475429762111</v>
      </c>
      <c r="BA20" s="1767">
        <f t="shared" si="4"/>
        <v>0.96666666666666656</v>
      </c>
      <c r="BB20" s="1765">
        <f t="shared" si="4"/>
        <v>1</v>
      </c>
      <c r="BC20" s="1767">
        <f t="shared" si="4"/>
        <v>1.0642931034482759</v>
      </c>
      <c r="BD20" s="1767">
        <f t="shared" si="4"/>
        <v>1</v>
      </c>
      <c r="BE20" s="1768">
        <f t="shared" si="4"/>
        <v>1.02734375</v>
      </c>
      <c r="BF20" s="1895">
        <f t="shared" si="4"/>
        <v>1.0456273764258555</v>
      </c>
      <c r="BG20" s="1767">
        <f t="shared" si="4"/>
        <v>1.0254545454545454</v>
      </c>
      <c r="BH20" s="1767">
        <f t="shared" si="4"/>
        <v>1.0425531914893618</v>
      </c>
      <c r="BI20" s="1767">
        <f t="shared" si="4"/>
        <v>1.0374149659863945</v>
      </c>
      <c r="BJ20" s="1767">
        <f t="shared" si="4"/>
        <v>1.0229508196721311</v>
      </c>
      <c r="BK20" s="1767">
        <f t="shared" si="4"/>
        <v>1.0256410256410255</v>
      </c>
      <c r="BL20" s="1767">
        <f t="shared" si="4"/>
        <v>1.04375</v>
      </c>
      <c r="BM20" s="1767">
        <f t="shared" si="4"/>
        <v>1.0359281437125749</v>
      </c>
      <c r="BN20" s="1765">
        <f t="shared" si="4"/>
        <v>1.0317919075144508</v>
      </c>
      <c r="BO20" s="1767">
        <f t="shared" si="4"/>
        <v>1.0308123249299719</v>
      </c>
      <c r="BP20" s="1767">
        <f t="shared" si="4"/>
        <v>1.0271739130434783</v>
      </c>
      <c r="BQ20" s="1767">
        <f t="shared" si="4"/>
        <v>1.0291005291005291</v>
      </c>
      <c r="BR20" s="1767">
        <f t="shared" si="4"/>
        <v>1.012853470437018</v>
      </c>
      <c r="BS20" s="1767">
        <f t="shared" si="4"/>
        <v>1.015228426395939</v>
      </c>
      <c r="BT20" s="1767">
        <f t="shared" si="4"/>
        <v>1.0075000000000001</v>
      </c>
      <c r="BU20" s="1767">
        <f t="shared" si="4"/>
        <v>1.0099255583126552</v>
      </c>
      <c r="BV20" s="1767">
        <f t="shared" si="4"/>
        <v>1.0098280098280099</v>
      </c>
      <c r="BW20" s="1767">
        <f t="shared" si="4"/>
        <v>1.0097323600973236</v>
      </c>
      <c r="BX20" s="1767">
        <f t="shared" si="4"/>
        <v>1.0120481927710843</v>
      </c>
      <c r="BY20" s="1767">
        <f t="shared" si="4"/>
        <v>1.0071428571428571</v>
      </c>
      <c r="BZ20" s="1767">
        <f t="shared" si="4"/>
        <v>1.0189125295508275</v>
      </c>
      <c r="CA20" s="1767">
        <f t="shared" si="4"/>
        <v>1.0232018561484919</v>
      </c>
      <c r="CB20" s="1767">
        <f t="shared" si="4"/>
        <v>1.0204081632653061</v>
      </c>
      <c r="CC20" s="1767">
        <f t="shared" si="4"/>
        <v>1.0311111111111111</v>
      </c>
      <c r="CD20" s="1767">
        <f t="shared" si="4"/>
        <v>1.0366379310344827</v>
      </c>
      <c r="CE20" s="1767">
        <f t="shared" si="4"/>
        <v>1.0415800415800416</v>
      </c>
      <c r="CF20" s="1767">
        <f t="shared" si="4"/>
        <v>1.0359281437125749</v>
      </c>
      <c r="CG20" s="1767">
        <f t="shared" si="4"/>
        <v>1.0578034682080926</v>
      </c>
      <c r="CH20" s="1767">
        <f t="shared" si="4"/>
        <v>1.0327868852459017</v>
      </c>
      <c r="CI20" s="1767">
        <f t="shared" si="4"/>
        <v>1.0793650793650793</v>
      </c>
      <c r="CJ20" s="1767">
        <f t="shared" si="4"/>
        <v>1.0620915032679739</v>
      </c>
      <c r="CK20" s="1767">
        <f t="shared" si="4"/>
        <v>1.0723076923076924</v>
      </c>
      <c r="CL20" s="1767">
        <f t="shared" si="4"/>
        <v>1.0516499282639886</v>
      </c>
      <c r="CM20" s="1767">
        <f t="shared" si="4"/>
        <v>1.0545702592087312</v>
      </c>
      <c r="CN20" s="1765">
        <f t="shared" si="4"/>
        <v>1.0556274256144891</v>
      </c>
    </row>
    <row r="21" spans="2:131" s="1668" customFormat="1" ht="31.5">
      <c r="B21" s="1673" t="s">
        <v>979</v>
      </c>
      <c r="C21" s="1691">
        <v>0.25</v>
      </c>
      <c r="D21" s="1688">
        <v>1</v>
      </c>
      <c r="E21" s="1688">
        <f t="shared" ref="E21:BD25" si="5">+E9/D9</f>
        <v>1.0243386243386243</v>
      </c>
      <c r="F21" s="1688">
        <f t="shared" si="5"/>
        <v>1.004132231404959</v>
      </c>
      <c r="G21" s="1688">
        <f t="shared" si="5"/>
        <v>1.3888888888888888</v>
      </c>
      <c r="H21" s="1688">
        <f t="shared" si="5"/>
        <v>1.1296296296296295</v>
      </c>
      <c r="I21" s="1689">
        <f t="shared" si="5"/>
        <v>0.9521311475409836</v>
      </c>
      <c r="J21" s="1689">
        <f t="shared" si="5"/>
        <v>0.98691460055096425</v>
      </c>
      <c r="K21" s="1689">
        <f t="shared" si="5"/>
        <v>0.97906489881367742</v>
      </c>
      <c r="L21" s="1689">
        <f t="shared" si="5"/>
        <v>1.0762651461154669</v>
      </c>
      <c r="M21" s="1689">
        <f t="shared" si="5"/>
        <v>1</v>
      </c>
      <c r="N21" s="1689">
        <f t="shared" si="5"/>
        <v>1</v>
      </c>
      <c r="O21" s="1689">
        <f t="shared" si="5"/>
        <v>1.00662352458904</v>
      </c>
      <c r="P21" s="1688">
        <f t="shared" si="5"/>
        <v>1.0177644091344402</v>
      </c>
      <c r="Q21" s="1692">
        <f t="shared" si="5"/>
        <v>1.0180972763360057</v>
      </c>
      <c r="R21" s="1692">
        <f t="shared" si="5"/>
        <v>1.019047619047619</v>
      </c>
      <c r="S21" s="1692">
        <f t="shared" si="5"/>
        <v>1.0031152647975079</v>
      </c>
      <c r="T21" s="1692">
        <f t="shared" si="5"/>
        <v>0.96894409937888193</v>
      </c>
      <c r="U21" s="1692">
        <f t="shared" si="5"/>
        <v>1.0032051282051282</v>
      </c>
      <c r="V21" s="1715">
        <f t="shared" si="5"/>
        <v>1.0031995988997728</v>
      </c>
      <c r="W21" s="1716">
        <f t="shared" si="5"/>
        <v>1.0318422885169729</v>
      </c>
      <c r="X21" s="1716">
        <f t="shared" si="5"/>
        <v>1.0154320987654322</v>
      </c>
      <c r="Y21" s="1716">
        <f t="shared" si="5"/>
        <v>1.1202000000354166</v>
      </c>
      <c r="Z21" s="1716">
        <f t="shared" si="5"/>
        <v>1.0212507709802521</v>
      </c>
      <c r="AA21" s="1716">
        <f t="shared" si="5"/>
        <v>0.98275862068965514</v>
      </c>
      <c r="AB21" s="1716">
        <f t="shared" si="5"/>
        <v>1.0116959064327486</v>
      </c>
      <c r="AC21" s="1716">
        <f t="shared" si="5"/>
        <v>1.0199999667867741</v>
      </c>
      <c r="AD21" s="1716">
        <f t="shared" si="5"/>
        <v>1.0299997052672674</v>
      </c>
      <c r="AE21" s="1716">
        <f t="shared" si="5"/>
        <v>1.0500002693361576</v>
      </c>
      <c r="AF21" s="1716">
        <f t="shared" si="5"/>
        <v>1.0299998204800229</v>
      </c>
      <c r="AG21" s="1716">
        <f t="shared" si="5"/>
        <v>1.0299998392281784</v>
      </c>
      <c r="AH21" s="1716">
        <f t="shared" si="5"/>
        <v>1</v>
      </c>
      <c r="AI21" s="1726">
        <f t="shared" si="5"/>
        <v>1.2237932715748416</v>
      </c>
      <c r="AJ21" s="1716">
        <f t="shared" si="5"/>
        <v>1.1314830834207719</v>
      </c>
      <c r="AK21" s="1726">
        <f t="shared" si="5"/>
        <v>0.9894287672123101</v>
      </c>
      <c r="AL21" s="1726">
        <f t="shared" si="5"/>
        <v>1.0498220640569396</v>
      </c>
      <c r="AM21" s="1726">
        <f t="shared" si="5"/>
        <v>1.3467796610169493</v>
      </c>
      <c r="AN21" s="1726">
        <f t="shared" si="5"/>
        <v>0.95066700226529055</v>
      </c>
      <c r="AO21" s="1726">
        <f t="shared" si="5"/>
        <v>0.94205564794500918</v>
      </c>
      <c r="AP21" s="1726">
        <f t="shared" si="5"/>
        <v>1.0602166946713365</v>
      </c>
      <c r="AQ21" s="1726">
        <f t="shared" si="5"/>
        <v>0.98084217255775774</v>
      </c>
      <c r="AR21" s="1726">
        <f t="shared" si="5"/>
        <v>1.0721625876951679</v>
      </c>
      <c r="AS21" s="1726">
        <f t="shared" si="5"/>
        <v>1.0297449293660204</v>
      </c>
      <c r="AT21" s="1716">
        <f t="shared" si="5"/>
        <v>1.0888412398907947</v>
      </c>
      <c r="AU21" s="1716">
        <f t="shared" si="5"/>
        <v>1.0812109562710235</v>
      </c>
      <c r="AV21" s="1716">
        <f t="shared" si="5"/>
        <v>0.95088888888888901</v>
      </c>
      <c r="AW21" s="1726">
        <f t="shared" si="5"/>
        <v>0.99719326243446071</v>
      </c>
      <c r="AX21" s="1726">
        <f t="shared" si="5"/>
        <v>1.2894335441935363</v>
      </c>
      <c r="AY21" s="1726">
        <f t="shared" si="5"/>
        <v>1.0465270693354909</v>
      </c>
      <c r="AZ21" s="1726">
        <f t="shared" si="5"/>
        <v>1.0420299415538852</v>
      </c>
      <c r="BA21" s="1726">
        <f t="shared" si="5"/>
        <v>0.96666666666666667</v>
      </c>
      <c r="BB21" s="1731">
        <f t="shared" si="5"/>
        <v>1</v>
      </c>
      <c r="BC21" s="1726">
        <f t="shared" si="5"/>
        <v>1.0375862068965518</v>
      </c>
      <c r="BD21" s="1726">
        <f t="shared" si="5"/>
        <v>1.0257394259872712</v>
      </c>
      <c r="BE21" s="1716">
        <f t="shared" si="4"/>
        <v>1.02734375</v>
      </c>
      <c r="BF21" s="1896">
        <f t="shared" si="4"/>
        <v>1.0456273764258555</v>
      </c>
      <c r="BG21" s="1726">
        <f t="shared" si="4"/>
        <v>1.0254545454545454</v>
      </c>
      <c r="BH21" s="1726">
        <f t="shared" si="4"/>
        <v>1.0425531914893618</v>
      </c>
      <c r="BI21" s="1726">
        <f t="shared" si="4"/>
        <v>1.0374149659863945</v>
      </c>
      <c r="BJ21" s="1726">
        <f t="shared" si="4"/>
        <v>1.0229508196721311</v>
      </c>
      <c r="BK21" s="1726">
        <f t="shared" si="4"/>
        <v>1.0256410256410255</v>
      </c>
      <c r="BL21" s="1726">
        <f t="shared" si="4"/>
        <v>1.04375</v>
      </c>
      <c r="BM21" s="1726">
        <f t="shared" si="4"/>
        <v>1.0359281437125749</v>
      </c>
      <c r="BN21" s="1731">
        <f t="shared" si="4"/>
        <v>1.0317919075144508</v>
      </c>
      <c r="BO21" s="1726">
        <f t="shared" si="4"/>
        <v>1.0308123249299719</v>
      </c>
      <c r="BP21" s="1726">
        <f t="shared" si="4"/>
        <v>1.0271739130434783</v>
      </c>
      <c r="BQ21" s="1726">
        <f t="shared" ref="BQ21:CN21" si="6">+BQ9/BP9</f>
        <v>1.0291005291005291</v>
      </c>
      <c r="BR21" s="1726">
        <f t="shared" si="6"/>
        <v>1.012853470437018</v>
      </c>
      <c r="BS21" s="1726">
        <f t="shared" si="6"/>
        <v>1.015228426395939</v>
      </c>
      <c r="BT21" s="1726">
        <f t="shared" si="6"/>
        <v>1.0075000000000001</v>
      </c>
      <c r="BU21" s="1726">
        <f t="shared" si="6"/>
        <v>1.0099255583126552</v>
      </c>
      <c r="BV21" s="1726">
        <f t="shared" si="6"/>
        <v>1.0098280098280099</v>
      </c>
      <c r="BW21" s="1726">
        <f t="shared" si="6"/>
        <v>1.0097323600973236</v>
      </c>
      <c r="BX21" s="1726">
        <f t="shared" si="6"/>
        <v>1.0120481927710843</v>
      </c>
      <c r="BY21" s="1726">
        <f t="shared" si="6"/>
        <v>1.0071428571428571</v>
      </c>
      <c r="BZ21" s="1726">
        <f t="shared" si="6"/>
        <v>1.0189125295508275</v>
      </c>
      <c r="CA21" s="1726">
        <f t="shared" si="6"/>
        <v>1.0232018561484919</v>
      </c>
      <c r="CB21" s="1726">
        <f t="shared" si="6"/>
        <v>1.0204081632653061</v>
      </c>
      <c r="CC21" s="1726">
        <f t="shared" si="6"/>
        <v>1.0311111111111111</v>
      </c>
      <c r="CD21" s="1726">
        <f t="shared" si="6"/>
        <v>1.0366379310344827</v>
      </c>
      <c r="CE21" s="1726">
        <f t="shared" si="6"/>
        <v>1.0415800415800416</v>
      </c>
      <c r="CF21" s="1726">
        <f t="shared" si="6"/>
        <v>1.0359281437125749</v>
      </c>
      <c r="CG21" s="1726">
        <f t="shared" si="6"/>
        <v>1.0578034682080926</v>
      </c>
      <c r="CH21" s="1726">
        <f t="shared" si="6"/>
        <v>1.0327868852459017</v>
      </c>
      <c r="CI21" s="1726">
        <f t="shared" si="6"/>
        <v>1.0793650793650793</v>
      </c>
      <c r="CJ21" s="1726">
        <f t="shared" si="6"/>
        <v>1.0620915032679739</v>
      </c>
      <c r="CK21" s="1726">
        <f t="shared" si="6"/>
        <v>1.0723076923076924</v>
      </c>
      <c r="CL21" s="1726">
        <f t="shared" si="6"/>
        <v>1.0516499282639886</v>
      </c>
      <c r="CM21" s="1726">
        <f t="shared" si="6"/>
        <v>1.0545702592087312</v>
      </c>
      <c r="CN21" s="1731">
        <f t="shared" si="6"/>
        <v>1.0556274256144891</v>
      </c>
    </row>
    <row r="22" spans="2:131" s="1668" customFormat="1" ht="24" customHeight="1">
      <c r="B22" s="1673" t="s">
        <v>980</v>
      </c>
      <c r="C22" s="1691">
        <v>0.2</v>
      </c>
      <c r="D22" s="1688">
        <v>1</v>
      </c>
      <c r="E22" s="1688">
        <f>+E10/D10</f>
        <v>1.0243386243386243</v>
      </c>
      <c r="F22" s="1688">
        <f t="shared" si="5"/>
        <v>1.0041322314049588</v>
      </c>
      <c r="G22" s="1688">
        <f t="shared" si="5"/>
        <v>1.3888888888888888</v>
      </c>
      <c r="H22" s="1688">
        <f t="shared" si="5"/>
        <v>1.1296296615512302</v>
      </c>
      <c r="I22" s="1689">
        <f t="shared" si="5"/>
        <v>0.95213112063521865</v>
      </c>
      <c r="J22" s="1689">
        <f t="shared" si="5"/>
        <v>0.98691463023013815</v>
      </c>
      <c r="K22" s="1689">
        <f t="shared" si="5"/>
        <v>0.97906489944325237</v>
      </c>
      <c r="L22" s="1689">
        <f t="shared" si="5"/>
        <v>1.0762773993464185</v>
      </c>
      <c r="M22" s="1689">
        <f t="shared" si="5"/>
        <v>1</v>
      </c>
      <c r="N22" s="1689">
        <f t="shared" si="5"/>
        <v>1</v>
      </c>
      <c r="O22" s="1689">
        <f t="shared" si="5"/>
        <v>1.0066160162496314</v>
      </c>
      <c r="P22" s="1688">
        <f t="shared" si="5"/>
        <v>1.0177561885943247</v>
      </c>
      <c r="Q22" s="1692">
        <f t="shared" si="5"/>
        <v>1.0181014992149646</v>
      </c>
      <c r="R22" s="1692">
        <f t="shared" si="5"/>
        <v>1.0190476185264501</v>
      </c>
      <c r="S22" s="1692">
        <f t="shared" si="5"/>
        <v>1.0031152378639194</v>
      </c>
      <c r="T22" s="1692">
        <f t="shared" si="5"/>
        <v>0.96894409937888204</v>
      </c>
      <c r="U22" s="1692">
        <f t="shared" si="5"/>
        <v>1.0032051558295902</v>
      </c>
      <c r="V22" s="1715">
        <f t="shared" si="5"/>
        <v>1.0031966779517012</v>
      </c>
      <c r="W22" s="1716">
        <f t="shared" si="5"/>
        <v>1.0318452644576617</v>
      </c>
      <c r="X22" s="1716">
        <f t="shared" si="5"/>
        <v>1.015432125366766</v>
      </c>
      <c r="Y22" s="1716">
        <f t="shared" si="5"/>
        <v>1.1202000009116575</v>
      </c>
      <c r="Z22" s="1716">
        <f t="shared" si="5"/>
        <v>1.0131331120432667</v>
      </c>
      <c r="AA22" s="1716">
        <f t="shared" si="5"/>
        <v>0.98153366799357655</v>
      </c>
      <c r="AB22" s="1716">
        <f t="shared" si="5"/>
        <v>1.0174727187783221</v>
      </c>
      <c r="AC22" s="1716">
        <f t="shared" si="5"/>
        <v>1.0199998970070154</v>
      </c>
      <c r="AD22" s="1716">
        <f t="shared" si="5"/>
        <v>1.0299958103457976</v>
      </c>
      <c r="AE22" s="1716">
        <f t="shared" si="5"/>
        <v>1.0500036996785667</v>
      </c>
      <c r="AF22" s="1716">
        <f t="shared" si="5"/>
        <v>1.029999803046411</v>
      </c>
      <c r="AG22" s="1716">
        <f t="shared" si="5"/>
        <v>1.0299999308363632</v>
      </c>
      <c r="AH22" s="1716">
        <f t="shared" si="5"/>
        <v>1</v>
      </c>
      <c r="AI22" s="1726">
        <f t="shared" si="5"/>
        <v>1.2238011730961849</v>
      </c>
      <c r="AJ22" s="1716">
        <f t="shared" si="5"/>
        <v>1.1314675698592696</v>
      </c>
      <c r="AK22" s="1726">
        <f t="shared" si="5"/>
        <v>0.98944233327857745</v>
      </c>
      <c r="AL22" s="1726">
        <f t="shared" si="5"/>
        <v>1.0498220640569396</v>
      </c>
      <c r="AM22" s="1726">
        <f t="shared" si="5"/>
        <v>1.3467796599618458</v>
      </c>
      <c r="AN22" s="1726">
        <f t="shared" si="5"/>
        <v>0.95066108500407698</v>
      </c>
      <c r="AO22" s="1726">
        <f t="shared" si="5"/>
        <v>0.94201747418586179</v>
      </c>
      <c r="AP22" s="1726">
        <f t="shared" si="5"/>
        <v>1.0795651559130799</v>
      </c>
      <c r="AQ22" s="1726">
        <f t="shared" si="5"/>
        <v>0.9632675305761883</v>
      </c>
      <c r="AR22" s="1726">
        <f t="shared" si="5"/>
        <v>1.0721627930893285</v>
      </c>
      <c r="AS22" s="1726">
        <f t="shared" si="5"/>
        <v>1.029744719041586</v>
      </c>
      <c r="AT22" s="1716">
        <f t="shared" si="5"/>
        <v>1.0940793719424067</v>
      </c>
      <c r="AU22" s="1716">
        <f t="shared" si="5"/>
        <v>1.0812109562710235</v>
      </c>
      <c r="AV22" s="1716">
        <f t="shared" si="5"/>
        <v>0.95088888888888878</v>
      </c>
      <c r="AW22" s="1726">
        <f t="shared" si="5"/>
        <v>0.99720595350480679</v>
      </c>
      <c r="AX22" s="1726">
        <f t="shared" si="5"/>
        <v>1.289417134051019</v>
      </c>
      <c r="AY22" s="1726">
        <f t="shared" si="5"/>
        <v>1.0467102871683025</v>
      </c>
      <c r="AZ22" s="1726">
        <f t="shared" si="5"/>
        <v>1.0418475429762111</v>
      </c>
      <c r="BA22" s="1726">
        <f t="shared" si="5"/>
        <v>0.96666666666666667</v>
      </c>
      <c r="BB22" s="1731">
        <f t="shared" si="5"/>
        <v>1</v>
      </c>
      <c r="BC22" s="1726">
        <f t="shared" si="5"/>
        <v>1.0642931034482759</v>
      </c>
      <c r="BD22" s="1726">
        <f t="shared" ref="BD22:CN25" si="7">+BD10/BC10</f>
        <v>1</v>
      </c>
      <c r="BE22" s="1716">
        <f t="shared" si="7"/>
        <v>1.02734375</v>
      </c>
      <c r="BF22" s="1896">
        <f t="shared" si="7"/>
        <v>1.0456273764258555</v>
      </c>
      <c r="BG22" s="1726">
        <f t="shared" si="7"/>
        <v>1.0254545454545454</v>
      </c>
      <c r="BH22" s="1726">
        <f t="shared" si="7"/>
        <v>1.0425531914893618</v>
      </c>
      <c r="BI22" s="1726">
        <f t="shared" si="7"/>
        <v>1.0374149659863945</v>
      </c>
      <c r="BJ22" s="1726">
        <f t="shared" si="7"/>
        <v>1.0229508196721311</v>
      </c>
      <c r="BK22" s="1726">
        <f t="shared" si="7"/>
        <v>1.0256410256410255</v>
      </c>
      <c r="BL22" s="1726">
        <f t="shared" si="7"/>
        <v>1.04375</v>
      </c>
      <c r="BM22" s="1726">
        <f t="shared" si="7"/>
        <v>1.0359281437125749</v>
      </c>
      <c r="BN22" s="1731">
        <f t="shared" si="7"/>
        <v>1.0317919075144508</v>
      </c>
      <c r="BO22" s="1726">
        <f t="shared" si="7"/>
        <v>1.0308123249299719</v>
      </c>
      <c r="BP22" s="1726">
        <f t="shared" si="7"/>
        <v>1.0271739130434783</v>
      </c>
      <c r="BQ22" s="1726">
        <f t="shared" si="7"/>
        <v>1.0291005291005291</v>
      </c>
      <c r="BR22" s="1726">
        <f t="shared" si="7"/>
        <v>1.012853470437018</v>
      </c>
      <c r="BS22" s="1726">
        <f t="shared" si="7"/>
        <v>1.015228426395939</v>
      </c>
      <c r="BT22" s="1726">
        <f t="shared" si="7"/>
        <v>1.0075000000000001</v>
      </c>
      <c r="BU22" s="1726">
        <f t="shared" si="7"/>
        <v>1.0099255583126552</v>
      </c>
      <c r="BV22" s="1726">
        <f t="shared" si="7"/>
        <v>1.0098280098280099</v>
      </c>
      <c r="BW22" s="1726">
        <f t="shared" si="7"/>
        <v>1.0097323600973236</v>
      </c>
      <c r="BX22" s="1726">
        <f t="shared" si="7"/>
        <v>1.0120481927710843</v>
      </c>
      <c r="BY22" s="1726">
        <f t="shared" si="7"/>
        <v>1.0071428571428571</v>
      </c>
      <c r="BZ22" s="1726">
        <f t="shared" si="7"/>
        <v>1.0189125295508275</v>
      </c>
      <c r="CA22" s="1726">
        <f t="shared" si="7"/>
        <v>1.0232018561484919</v>
      </c>
      <c r="CB22" s="1726">
        <f t="shared" si="7"/>
        <v>1.0204081632653061</v>
      </c>
      <c r="CC22" s="1726">
        <f t="shared" si="7"/>
        <v>1.0311111111111111</v>
      </c>
      <c r="CD22" s="1726">
        <f t="shared" si="7"/>
        <v>1.0366379310344827</v>
      </c>
      <c r="CE22" s="1726">
        <f t="shared" si="7"/>
        <v>1.0415800415800416</v>
      </c>
      <c r="CF22" s="1726">
        <f t="shared" si="7"/>
        <v>1.0359281437125749</v>
      </c>
      <c r="CG22" s="1726">
        <f t="shared" si="7"/>
        <v>1.0578034682080926</v>
      </c>
      <c r="CH22" s="1726">
        <f t="shared" si="7"/>
        <v>1.0327868852459017</v>
      </c>
      <c r="CI22" s="1726">
        <f t="shared" si="7"/>
        <v>1.0793650793650793</v>
      </c>
      <c r="CJ22" s="1726">
        <f t="shared" si="7"/>
        <v>1.0620915032679739</v>
      </c>
      <c r="CK22" s="1726">
        <f t="shared" si="7"/>
        <v>1.0723076923076924</v>
      </c>
      <c r="CL22" s="1726">
        <f t="shared" si="7"/>
        <v>1.0516499282639886</v>
      </c>
      <c r="CM22" s="1726">
        <f t="shared" si="7"/>
        <v>1.0545702592087312</v>
      </c>
      <c r="CN22" s="1731">
        <f t="shared" si="7"/>
        <v>1.0556274256144891</v>
      </c>
    </row>
    <row r="23" spans="2:131" s="1668" customFormat="1" ht="24" customHeight="1">
      <c r="B23" s="1673" t="s">
        <v>981</v>
      </c>
      <c r="C23" s="1691">
        <v>0.12</v>
      </c>
      <c r="D23" s="1688">
        <v>1</v>
      </c>
      <c r="E23" s="1688">
        <f t="shared" si="5"/>
        <v>1.0243386281319571</v>
      </c>
      <c r="F23" s="1688">
        <f t="shared" si="5"/>
        <v>1.0041322314049588</v>
      </c>
      <c r="G23" s="1688">
        <f t="shared" si="5"/>
        <v>1.3888888888888888</v>
      </c>
      <c r="H23" s="1688">
        <f t="shared" si="5"/>
        <v>1.1296296270373885</v>
      </c>
      <c r="I23" s="1689">
        <f t="shared" si="5"/>
        <v>0.95213114972590651</v>
      </c>
      <c r="J23" s="1689">
        <f t="shared" si="5"/>
        <v>0.98681819247100833</v>
      </c>
      <c r="K23" s="1689">
        <f t="shared" si="5"/>
        <v>0.97916054698638577</v>
      </c>
      <c r="L23" s="1689">
        <f t="shared" si="5"/>
        <v>1.0762651488000126</v>
      </c>
      <c r="M23" s="1689">
        <f t="shared" si="5"/>
        <v>1</v>
      </c>
      <c r="N23" s="1689">
        <f t="shared" si="5"/>
        <v>1</v>
      </c>
      <c r="O23" s="1689">
        <f t="shared" si="5"/>
        <v>1.0066237011882888</v>
      </c>
      <c r="P23" s="1688">
        <f t="shared" si="5"/>
        <v>1.0177561737334559</v>
      </c>
      <c r="Q23" s="1692">
        <f t="shared" si="5"/>
        <v>1.0181053336213621</v>
      </c>
      <c r="R23" s="1692">
        <f t="shared" si="5"/>
        <v>1.0190476213118624</v>
      </c>
      <c r="S23" s="1692">
        <f t="shared" si="5"/>
        <v>1.0031152647975077</v>
      </c>
      <c r="T23" s="1692">
        <f t="shared" si="5"/>
        <v>0.96894409937888204</v>
      </c>
      <c r="U23" s="1692">
        <f t="shared" si="5"/>
        <v>1.0032051259618426</v>
      </c>
      <c r="V23" s="1715">
        <f t="shared" si="5"/>
        <v>1.0031943812187303</v>
      </c>
      <c r="W23" s="1716">
        <f t="shared" si="5"/>
        <v>1.0318476575050304</v>
      </c>
      <c r="X23" s="1716">
        <f t="shared" si="5"/>
        <v>1.015432096605231</v>
      </c>
      <c r="Y23" s="1716">
        <f t="shared" si="5"/>
        <v>1.2211115845315972</v>
      </c>
      <c r="Z23" s="1716">
        <f t="shared" si="5"/>
        <v>1.0145772594752187</v>
      </c>
      <c r="AA23" s="1716">
        <f t="shared" si="5"/>
        <v>0.98275862068965536</v>
      </c>
      <c r="AB23" s="1716">
        <f t="shared" si="5"/>
        <v>1.0116959064327484</v>
      </c>
      <c r="AC23" s="1716">
        <f t="shared" si="5"/>
        <v>1.0199999440434435</v>
      </c>
      <c r="AD23" s="1716">
        <f t="shared" si="5"/>
        <v>1.0300024644456025</v>
      </c>
      <c r="AE23" s="1716">
        <f t="shared" si="5"/>
        <v>1.0499971893446303</v>
      </c>
      <c r="AF23" s="1716">
        <f t="shared" si="5"/>
        <v>1.0299999311138206</v>
      </c>
      <c r="AG23" s="1716">
        <f t="shared" si="5"/>
        <v>1.0299998419204957</v>
      </c>
      <c r="AH23" s="1716">
        <f t="shared" si="5"/>
        <v>1</v>
      </c>
      <c r="AI23" s="1726">
        <f t="shared" si="5"/>
        <v>1.2237932715748414</v>
      </c>
      <c r="AJ23" s="1716">
        <f t="shared" si="5"/>
        <v>1.1311658931995929</v>
      </c>
      <c r="AK23" s="1726">
        <f t="shared" si="5"/>
        <v>0.98970621292685967</v>
      </c>
      <c r="AL23" s="1726">
        <f t="shared" si="5"/>
        <v>1.0498220640569396</v>
      </c>
      <c r="AM23" s="1726">
        <f t="shared" si="5"/>
        <v>1.3467796610169491</v>
      </c>
      <c r="AN23" s="1726">
        <f t="shared" si="5"/>
        <v>0.95066700226529088</v>
      </c>
      <c r="AO23" s="1726">
        <f t="shared" si="5"/>
        <v>0.94197276233901683</v>
      </c>
      <c r="AP23" s="1726">
        <f t="shared" si="5"/>
        <v>1.0905002804327193</v>
      </c>
      <c r="AQ23" s="1726">
        <f t="shared" si="5"/>
        <v>0.95360823086973467</v>
      </c>
      <c r="AR23" s="1726">
        <f t="shared" si="5"/>
        <v>1.072162161463738</v>
      </c>
      <c r="AS23" s="1726">
        <f t="shared" si="5"/>
        <v>1.0297453989956438</v>
      </c>
      <c r="AT23" s="1716">
        <f t="shared" si="5"/>
        <v>0.96824068303867306</v>
      </c>
      <c r="AU23" s="1716">
        <f t="shared" si="5"/>
        <v>1.0817078882560018</v>
      </c>
      <c r="AV23" s="1716">
        <f t="shared" si="5"/>
        <v>0.95088888888888901</v>
      </c>
      <c r="AW23" s="1726">
        <f t="shared" si="5"/>
        <v>0.99719099465354921</v>
      </c>
      <c r="AX23" s="1726">
        <f t="shared" si="5"/>
        <v>1.2894364765834134</v>
      </c>
      <c r="AY23" s="1726">
        <f t="shared" si="5"/>
        <v>1.0467100586930163</v>
      </c>
      <c r="AZ23" s="1726">
        <f t="shared" si="5"/>
        <v>1.0418477703901101</v>
      </c>
      <c r="BA23" s="1726">
        <f t="shared" si="5"/>
        <v>0.96605908233815208</v>
      </c>
      <c r="BB23" s="1731">
        <f t="shared" si="5"/>
        <v>1</v>
      </c>
      <c r="BC23" s="1726">
        <f t="shared" si="5"/>
        <v>1.0398559965300369</v>
      </c>
      <c r="BD23" s="1726">
        <f t="shared" si="7"/>
        <v>1.0257394485164686</v>
      </c>
      <c r="BE23" s="1716">
        <f t="shared" si="7"/>
        <v>1.02734375</v>
      </c>
      <c r="BF23" s="1896">
        <f t="shared" si="7"/>
        <v>1.0456273764258555</v>
      </c>
      <c r="BG23" s="1726">
        <f t="shared" si="7"/>
        <v>1.0254545454545454</v>
      </c>
      <c r="BH23" s="1726">
        <f t="shared" si="7"/>
        <v>1.0425531914893618</v>
      </c>
      <c r="BI23" s="1726">
        <f t="shared" si="7"/>
        <v>1.0374149659863945</v>
      </c>
      <c r="BJ23" s="1726">
        <f t="shared" si="7"/>
        <v>1.0229508196721311</v>
      </c>
      <c r="BK23" s="1726">
        <f t="shared" si="7"/>
        <v>1.0256410256410255</v>
      </c>
      <c r="BL23" s="1726">
        <f t="shared" si="7"/>
        <v>1.04375</v>
      </c>
      <c r="BM23" s="1726">
        <f t="shared" si="7"/>
        <v>1.0359281437125749</v>
      </c>
      <c r="BN23" s="1731">
        <f t="shared" si="7"/>
        <v>1.0317919075144508</v>
      </c>
      <c r="BO23" s="1726">
        <f t="shared" si="7"/>
        <v>1.0308123249299719</v>
      </c>
      <c r="BP23" s="1726">
        <f t="shared" si="7"/>
        <v>1.0271739130434783</v>
      </c>
      <c r="BQ23" s="1726">
        <f t="shared" si="7"/>
        <v>1.0291005291005291</v>
      </c>
      <c r="BR23" s="1726">
        <f t="shared" si="7"/>
        <v>1.012853470437018</v>
      </c>
      <c r="BS23" s="1726">
        <f t="shared" ref="BS23:CN23" si="8">+BS11/BR11</f>
        <v>1.015228426395939</v>
      </c>
      <c r="BT23" s="1726">
        <f t="shared" si="8"/>
        <v>1.0075000000000001</v>
      </c>
      <c r="BU23" s="1726">
        <f t="shared" si="8"/>
        <v>1.0099255583126552</v>
      </c>
      <c r="BV23" s="1726">
        <f t="shared" si="8"/>
        <v>1.0098280098280099</v>
      </c>
      <c r="BW23" s="1726">
        <f t="shared" si="8"/>
        <v>1.0097323600973236</v>
      </c>
      <c r="BX23" s="1726">
        <f t="shared" si="8"/>
        <v>1.0120481927710843</v>
      </c>
      <c r="BY23" s="1726">
        <f t="shared" si="8"/>
        <v>1.0071428571428571</v>
      </c>
      <c r="BZ23" s="1726">
        <f t="shared" si="8"/>
        <v>1.0189125295508275</v>
      </c>
      <c r="CA23" s="1726">
        <f t="shared" si="8"/>
        <v>1.0232018561484919</v>
      </c>
      <c r="CB23" s="1726">
        <f t="shared" si="8"/>
        <v>1.0204081632653061</v>
      </c>
      <c r="CC23" s="1726">
        <f t="shared" si="8"/>
        <v>1.0311111111111111</v>
      </c>
      <c r="CD23" s="1726">
        <f t="shared" si="8"/>
        <v>1.0366379310344827</v>
      </c>
      <c r="CE23" s="1726">
        <f t="shared" si="8"/>
        <v>1.0415800415800416</v>
      </c>
      <c r="CF23" s="1726">
        <f t="shared" si="8"/>
        <v>1.0359281437125749</v>
      </c>
      <c r="CG23" s="1726">
        <f t="shared" si="8"/>
        <v>1.0578034682080926</v>
      </c>
      <c r="CH23" s="1726">
        <f t="shared" si="8"/>
        <v>1.0327868852459017</v>
      </c>
      <c r="CI23" s="1726">
        <f t="shared" si="8"/>
        <v>1.0793650793650795</v>
      </c>
      <c r="CJ23" s="1726">
        <f t="shared" si="8"/>
        <v>1.0620915032679739</v>
      </c>
      <c r="CK23" s="1726">
        <f t="shared" si="8"/>
        <v>1.0723076923076924</v>
      </c>
      <c r="CL23" s="1726">
        <f t="shared" si="8"/>
        <v>1.0516499282639886</v>
      </c>
      <c r="CM23" s="1726">
        <f t="shared" si="8"/>
        <v>1.0545702592087312</v>
      </c>
      <c r="CN23" s="1731">
        <f t="shared" si="8"/>
        <v>1.0556274256144891</v>
      </c>
    </row>
    <row r="24" spans="2:131" s="1668" customFormat="1" ht="24" customHeight="1">
      <c r="B24" s="1673" t="s">
        <v>982</v>
      </c>
      <c r="C24" s="1691">
        <v>0.08</v>
      </c>
      <c r="D24" s="1688">
        <v>1</v>
      </c>
      <c r="E24" s="1688">
        <f t="shared" si="5"/>
        <v>1.0243386269572998</v>
      </c>
      <c r="F24" s="1688">
        <f t="shared" si="5"/>
        <v>1.0041322314049586</v>
      </c>
      <c r="G24" s="1688">
        <f t="shared" si="5"/>
        <v>1.3888888888888891</v>
      </c>
      <c r="H24" s="1688">
        <f t="shared" si="5"/>
        <v>1.1296296278401112</v>
      </c>
      <c r="I24" s="1689">
        <f t="shared" si="5"/>
        <v>0.9521311490493154</v>
      </c>
      <c r="J24" s="1689">
        <f t="shared" si="5"/>
        <v>0.98691459888715571</v>
      </c>
      <c r="K24" s="1689">
        <f t="shared" si="5"/>
        <v>0.97906489877838387</v>
      </c>
      <c r="L24" s="1689">
        <f t="shared" si="5"/>
        <v>1.0762651479687062</v>
      </c>
      <c r="M24" s="1689">
        <f t="shared" si="5"/>
        <v>1</v>
      </c>
      <c r="N24" s="1689">
        <f t="shared" si="5"/>
        <v>1</v>
      </c>
      <c r="O24" s="1689">
        <f t="shared" si="5"/>
        <v>1.0066360927152316</v>
      </c>
      <c r="P24" s="1688">
        <f t="shared" si="5"/>
        <v>1.0177431817531408</v>
      </c>
      <c r="Q24" s="1692">
        <f t="shared" si="5"/>
        <v>1.0181057980538024</v>
      </c>
      <c r="R24" s="1692">
        <f t="shared" si="5"/>
        <v>1.0190476190768356</v>
      </c>
      <c r="S24" s="1692">
        <f t="shared" si="5"/>
        <v>1.0031152663073994</v>
      </c>
      <c r="T24" s="1692">
        <f t="shared" si="5"/>
        <v>0.96894409937888204</v>
      </c>
      <c r="U24" s="1692">
        <f t="shared" si="5"/>
        <v>1.0032051266565065</v>
      </c>
      <c r="V24" s="1715">
        <f t="shared" si="5"/>
        <v>1.0031961676827927</v>
      </c>
      <c r="W24" s="1716">
        <f t="shared" si="5"/>
        <v>1.0318458193046891</v>
      </c>
      <c r="X24" s="1716">
        <f t="shared" si="5"/>
        <v>1.0154320972741668</v>
      </c>
      <c r="Y24" s="1716">
        <f t="shared" si="5"/>
        <v>1.1201999999459555</v>
      </c>
      <c r="Z24" s="1716">
        <f t="shared" si="5"/>
        <v>1.0099997306907913</v>
      </c>
      <c r="AA24" s="1716">
        <f t="shared" si="5"/>
        <v>0.98442355065681997</v>
      </c>
      <c r="AB24" s="1716">
        <f t="shared" si="5"/>
        <v>1.0144584515326998</v>
      </c>
      <c r="AC24" s="1716">
        <f t="shared" si="5"/>
        <v>1.0200000259956665</v>
      </c>
      <c r="AD24" s="1716">
        <f t="shared" si="5"/>
        <v>1.0300058516944708</v>
      </c>
      <c r="AE24" s="1716">
        <f t="shared" si="5"/>
        <v>1.0499940405290058</v>
      </c>
      <c r="AF24" s="1716">
        <f t="shared" si="5"/>
        <v>1.0299998696835084</v>
      </c>
      <c r="AG24" s="1716">
        <f t="shared" si="5"/>
        <v>1.0299998627259874</v>
      </c>
      <c r="AH24" s="1716">
        <f t="shared" si="5"/>
        <v>1</v>
      </c>
      <c r="AI24" s="1726">
        <f t="shared" si="5"/>
        <v>1.2237932715748416</v>
      </c>
      <c r="AJ24" s="1716">
        <f t="shared" si="5"/>
        <v>1.1314574385410516</v>
      </c>
      <c r="AK24" s="1726">
        <f t="shared" si="5"/>
        <v>0.98945119296237605</v>
      </c>
      <c r="AL24" s="1726">
        <f t="shared" si="5"/>
        <v>1.0497559151536453</v>
      </c>
      <c r="AM24" s="1726">
        <f t="shared" si="5"/>
        <v>1.3468645264568759</v>
      </c>
      <c r="AN24" s="1726">
        <f t="shared" si="5"/>
        <v>0.95066697255461174</v>
      </c>
      <c r="AO24" s="1726">
        <f t="shared" si="5"/>
        <v>0.94201747445726269</v>
      </c>
      <c r="AP24" s="1726">
        <f t="shared" si="5"/>
        <v>1.0905002805414468</v>
      </c>
      <c r="AQ24" s="1726">
        <f t="shared" si="5"/>
        <v>0.95360824697836089</v>
      </c>
      <c r="AR24" s="1726">
        <f t="shared" si="5"/>
        <v>1.0721621453226329</v>
      </c>
      <c r="AS24" s="1726">
        <f t="shared" si="5"/>
        <v>1.029745400962405</v>
      </c>
      <c r="AT24" s="1716">
        <f t="shared" si="5"/>
        <v>1.0188493999893289</v>
      </c>
      <c r="AU24" s="1716">
        <f t="shared" si="5"/>
        <v>1.0812110584868841</v>
      </c>
      <c r="AV24" s="1716">
        <f t="shared" si="5"/>
        <v>0.95088888888888878</v>
      </c>
      <c r="AW24" s="1726">
        <f t="shared" si="5"/>
        <v>0.99717457384234109</v>
      </c>
      <c r="AX24" s="1726">
        <f t="shared" si="5"/>
        <v>1.289457710170292</v>
      </c>
      <c r="AY24" s="1726">
        <f t="shared" si="5"/>
        <v>1.0467099295997599</v>
      </c>
      <c r="AZ24" s="1726">
        <f t="shared" si="5"/>
        <v>1.0418478988837045</v>
      </c>
      <c r="BA24" s="1726">
        <f t="shared" si="5"/>
        <v>0.96609613745163603</v>
      </c>
      <c r="BB24" s="1731">
        <f t="shared" si="5"/>
        <v>1</v>
      </c>
      <c r="BC24" s="1726">
        <f t="shared" si="5"/>
        <v>1.03819895465653</v>
      </c>
      <c r="BD24" s="1726">
        <f t="shared" si="7"/>
        <v>1.0257394515907978</v>
      </c>
      <c r="BE24" s="1716">
        <f t="shared" si="7"/>
        <v>1.02734375</v>
      </c>
      <c r="BF24" s="1896">
        <f t="shared" si="7"/>
        <v>1.0456273764258555</v>
      </c>
      <c r="BG24" s="1726">
        <f t="shared" si="7"/>
        <v>1.0254545454545454</v>
      </c>
      <c r="BH24" s="1726">
        <f t="shared" si="7"/>
        <v>1.0425531914893618</v>
      </c>
      <c r="BI24" s="1726">
        <f t="shared" si="7"/>
        <v>1.0374149659863945</v>
      </c>
      <c r="BJ24" s="1726">
        <f t="shared" si="7"/>
        <v>1.0229508196721311</v>
      </c>
      <c r="BK24" s="1726">
        <f t="shared" si="7"/>
        <v>1.0256410256410255</v>
      </c>
      <c r="BL24" s="1726">
        <f t="shared" si="7"/>
        <v>1.04375</v>
      </c>
      <c r="BM24" s="1726">
        <f t="shared" si="7"/>
        <v>1.0359281437125749</v>
      </c>
      <c r="BN24" s="1731">
        <f t="shared" si="7"/>
        <v>1.0317919075144508</v>
      </c>
      <c r="BO24" s="1726">
        <f t="shared" si="7"/>
        <v>1.0308123249299719</v>
      </c>
      <c r="BP24" s="1726">
        <f t="shared" si="7"/>
        <v>1.0271739130434783</v>
      </c>
      <c r="BQ24" s="1726">
        <f t="shared" si="7"/>
        <v>1.0291005291005291</v>
      </c>
      <c r="BR24" s="1726">
        <f t="shared" si="7"/>
        <v>1.012853470437018</v>
      </c>
      <c r="BS24" s="1726">
        <f t="shared" si="7"/>
        <v>1.015228426395939</v>
      </c>
      <c r="BT24" s="1726">
        <f t="shared" si="7"/>
        <v>1.0075000000000001</v>
      </c>
      <c r="BU24" s="1726">
        <f t="shared" si="7"/>
        <v>1.0099255583126552</v>
      </c>
      <c r="BV24" s="1726">
        <f t="shared" si="7"/>
        <v>1.0098280098280099</v>
      </c>
      <c r="BW24" s="1726">
        <f t="shared" si="7"/>
        <v>1.0097323600973236</v>
      </c>
      <c r="BX24" s="1726">
        <f t="shared" si="7"/>
        <v>1.0120481927710843</v>
      </c>
      <c r="BY24" s="1726">
        <f t="shared" si="7"/>
        <v>1.0071428571428571</v>
      </c>
      <c r="BZ24" s="1726">
        <f t="shared" si="7"/>
        <v>1.0189125295508275</v>
      </c>
      <c r="CA24" s="1726">
        <f t="shared" si="7"/>
        <v>1.0232018561484919</v>
      </c>
      <c r="CB24" s="1726">
        <f t="shared" si="7"/>
        <v>1.0204081632653061</v>
      </c>
      <c r="CC24" s="1726">
        <f t="shared" si="7"/>
        <v>1.0311111111111111</v>
      </c>
      <c r="CD24" s="1726">
        <f t="shared" si="7"/>
        <v>1.0366379310344827</v>
      </c>
      <c r="CE24" s="1726">
        <f t="shared" si="7"/>
        <v>1.0415800415800416</v>
      </c>
      <c r="CF24" s="1726">
        <f t="shared" si="7"/>
        <v>1.0359281437125749</v>
      </c>
      <c r="CG24" s="1726">
        <f t="shared" si="7"/>
        <v>1.0578034682080926</v>
      </c>
      <c r="CH24" s="1726">
        <f t="shared" si="7"/>
        <v>1.0327868852459017</v>
      </c>
      <c r="CI24" s="1726">
        <f t="shared" si="7"/>
        <v>1.0793650793650793</v>
      </c>
      <c r="CJ24" s="1726">
        <f t="shared" si="7"/>
        <v>1.0620915032679739</v>
      </c>
      <c r="CK24" s="1726">
        <f t="shared" si="7"/>
        <v>1.0723076923076924</v>
      </c>
      <c r="CL24" s="1726">
        <f t="shared" si="7"/>
        <v>1.0516499282639886</v>
      </c>
      <c r="CM24" s="1726">
        <f t="shared" si="7"/>
        <v>1.0545702592087312</v>
      </c>
      <c r="CN24" s="1731">
        <f t="shared" si="7"/>
        <v>1.0556274256144891</v>
      </c>
    </row>
    <row r="25" spans="2:131" s="1668" customFormat="1" ht="47.25">
      <c r="B25" s="1673" t="s">
        <v>983</v>
      </c>
      <c r="C25" s="1691">
        <v>0.1</v>
      </c>
      <c r="D25" s="1688">
        <v>1</v>
      </c>
      <c r="E25" s="1688">
        <f t="shared" si="5"/>
        <v>1.0243386243386243</v>
      </c>
      <c r="F25" s="1688">
        <f t="shared" si="5"/>
        <v>1.0041322314049588</v>
      </c>
      <c r="G25" s="1688">
        <f t="shared" si="5"/>
        <v>1.3888888888888888</v>
      </c>
      <c r="H25" s="1688">
        <f t="shared" si="5"/>
        <v>1.1296296296296295</v>
      </c>
      <c r="I25" s="1689">
        <f t="shared" si="5"/>
        <v>0.95213114754098349</v>
      </c>
      <c r="J25" s="1689">
        <f t="shared" si="5"/>
        <v>0.98691460055096403</v>
      </c>
      <c r="K25" s="1689">
        <f t="shared" si="5"/>
        <v>0.97906489881367753</v>
      </c>
      <c r="L25" s="1689">
        <f t="shared" si="5"/>
        <v>1.0762651461154669</v>
      </c>
      <c r="M25" s="1689">
        <f t="shared" si="5"/>
        <v>1</v>
      </c>
      <c r="N25" s="1689">
        <f t="shared" si="5"/>
        <v>1</v>
      </c>
      <c r="O25" s="1689">
        <f t="shared" si="5"/>
        <v>1.0066196630561037</v>
      </c>
      <c r="P25" s="1688">
        <f t="shared" si="5"/>
        <v>1.0177688525725366</v>
      </c>
      <c r="Q25" s="1692">
        <f t="shared" si="5"/>
        <v>1.0180967370096614</v>
      </c>
      <c r="R25" s="1692">
        <f t="shared" si="5"/>
        <v>1.019047619047619</v>
      </c>
      <c r="S25" s="1692">
        <f t="shared" si="5"/>
        <v>1.0031152647975077</v>
      </c>
      <c r="T25" s="1692">
        <f t="shared" si="5"/>
        <v>0.96894409937888215</v>
      </c>
      <c r="U25" s="1692">
        <f t="shared" si="5"/>
        <v>1.0032051282051282</v>
      </c>
      <c r="V25" s="1715">
        <f t="shared" si="5"/>
        <v>1.0031898320281609</v>
      </c>
      <c r="W25" s="1716">
        <f t="shared" si="5"/>
        <v>1.0318523343436292</v>
      </c>
      <c r="X25" s="1716">
        <f t="shared" si="5"/>
        <v>1.0154320987654322</v>
      </c>
      <c r="Y25" s="1716">
        <f t="shared" si="5"/>
        <v>1.1202000000858179</v>
      </c>
      <c r="Z25" s="1716">
        <f t="shared" si="5"/>
        <v>1.0166285596688651</v>
      </c>
      <c r="AA25" s="1716">
        <f t="shared" si="5"/>
        <v>0.98413549052587357</v>
      </c>
      <c r="AB25" s="1716">
        <f t="shared" si="5"/>
        <v>1.0161202493222241</v>
      </c>
      <c r="AC25" s="1716">
        <f t="shared" si="5"/>
        <v>1.0199999904812944</v>
      </c>
      <c r="AD25" s="1716">
        <f t="shared" si="5"/>
        <v>1.0299944415294195</v>
      </c>
      <c r="AE25" s="1716">
        <f t="shared" si="5"/>
        <v>1.0500055443827596</v>
      </c>
      <c r="AF25" s="1716">
        <f t="shared" si="5"/>
        <v>1.0299999518224385</v>
      </c>
      <c r="AG25" s="1716">
        <f t="shared" si="5"/>
        <v>1.0300000104718658</v>
      </c>
      <c r="AH25" s="1716">
        <f t="shared" si="5"/>
        <v>1</v>
      </c>
      <c r="AI25" s="1726">
        <f t="shared" si="5"/>
        <v>1.2237932715748416</v>
      </c>
      <c r="AJ25" s="1716">
        <f t="shared" si="5"/>
        <v>1.1314556855807281</v>
      </c>
      <c r="AK25" s="1726">
        <f t="shared" si="5"/>
        <v>0.98945272591563738</v>
      </c>
      <c r="AL25" s="1726">
        <f t="shared" si="5"/>
        <v>1.0498220640569396</v>
      </c>
      <c r="AM25" s="1726">
        <f t="shared" si="5"/>
        <v>1.3467796610169491</v>
      </c>
      <c r="AN25" s="1726">
        <f t="shared" si="5"/>
        <v>0.95066700226529066</v>
      </c>
      <c r="AO25" s="1726">
        <f t="shared" si="5"/>
        <v>0.94201747418586179</v>
      </c>
      <c r="AP25" s="1726">
        <f t="shared" si="5"/>
        <v>1.0905002810567734</v>
      </c>
      <c r="AQ25" s="1726">
        <f t="shared" si="5"/>
        <v>0.95360824742268047</v>
      </c>
      <c r="AR25" s="1726">
        <f t="shared" si="5"/>
        <v>1.0721621269203812</v>
      </c>
      <c r="AS25" s="1726">
        <f t="shared" si="5"/>
        <v>1.0297454226007305</v>
      </c>
      <c r="AT25" s="1716">
        <f t="shared" si="5"/>
        <v>1.2563480130045162</v>
      </c>
      <c r="AU25" s="1716">
        <f t="shared" si="5"/>
        <v>1.0812109562710235</v>
      </c>
      <c r="AV25" s="1716">
        <f t="shared" si="5"/>
        <v>0.95088888888888889</v>
      </c>
      <c r="AW25" s="1726">
        <f t="shared" si="5"/>
        <v>0.99718931216598772</v>
      </c>
      <c r="AX25" s="1726">
        <f t="shared" si="5"/>
        <v>1.2894386521591106</v>
      </c>
      <c r="AY25" s="1726">
        <f t="shared" si="5"/>
        <v>1.0467102871683025</v>
      </c>
      <c r="AZ25" s="1726">
        <f t="shared" si="5"/>
        <v>1.0418475429762111</v>
      </c>
      <c r="BA25" s="1726">
        <f t="shared" si="5"/>
        <v>0.96666666666666667</v>
      </c>
      <c r="BB25" s="1731">
        <f t="shared" si="5"/>
        <v>1</v>
      </c>
      <c r="BC25" s="1726">
        <f t="shared" si="5"/>
        <v>1.0375862068965518</v>
      </c>
      <c r="BD25" s="1726">
        <f t="shared" si="7"/>
        <v>1.0257394378312872</v>
      </c>
      <c r="BE25" s="1716">
        <f t="shared" si="7"/>
        <v>1.02734375</v>
      </c>
      <c r="BF25" s="1896">
        <f t="shared" si="7"/>
        <v>1.0456273764258555</v>
      </c>
      <c r="BG25" s="1726">
        <f t="shared" si="7"/>
        <v>1.0254545454545454</v>
      </c>
      <c r="BH25" s="1726">
        <f t="shared" si="7"/>
        <v>1.0425531914893618</v>
      </c>
      <c r="BI25" s="1726">
        <f t="shared" si="7"/>
        <v>1.0374149659863945</v>
      </c>
      <c r="BJ25" s="1726">
        <f t="shared" si="7"/>
        <v>1.0229508196721311</v>
      </c>
      <c r="BK25" s="1726">
        <f t="shared" si="7"/>
        <v>1.0256410256410255</v>
      </c>
      <c r="BL25" s="1726">
        <f t="shared" si="7"/>
        <v>1.04375</v>
      </c>
      <c r="BM25" s="1726">
        <f t="shared" si="7"/>
        <v>1.0359281437125749</v>
      </c>
      <c r="BN25" s="1731">
        <f t="shared" si="7"/>
        <v>1.0317919075144508</v>
      </c>
      <c r="BO25" s="1726">
        <f t="shared" si="7"/>
        <v>1.0308123249299719</v>
      </c>
      <c r="BP25" s="1726">
        <f t="shared" si="7"/>
        <v>1.0271739130434783</v>
      </c>
      <c r="BQ25" s="1726">
        <f t="shared" si="7"/>
        <v>1.0291005291005291</v>
      </c>
      <c r="BR25" s="1726">
        <f t="shared" si="7"/>
        <v>1.012853470437018</v>
      </c>
      <c r="BS25" s="1726">
        <f t="shared" si="7"/>
        <v>1.015228426395939</v>
      </c>
      <c r="BT25" s="1726">
        <f t="shared" si="7"/>
        <v>1.0075000000000001</v>
      </c>
      <c r="BU25" s="1726">
        <f t="shared" si="7"/>
        <v>1.0099255583126552</v>
      </c>
      <c r="BV25" s="1726">
        <f t="shared" si="7"/>
        <v>1.0098280098280099</v>
      </c>
      <c r="BW25" s="1726">
        <f t="shared" si="7"/>
        <v>1.0097323600973236</v>
      </c>
      <c r="BX25" s="1726">
        <f t="shared" si="7"/>
        <v>1.0120481927710843</v>
      </c>
      <c r="BY25" s="1726">
        <f t="shared" si="7"/>
        <v>1.0071428571428571</v>
      </c>
      <c r="BZ25" s="1726">
        <f t="shared" si="7"/>
        <v>1.0189125295508275</v>
      </c>
      <c r="CA25" s="1726">
        <f t="shared" si="7"/>
        <v>1.0232018561484919</v>
      </c>
      <c r="CB25" s="1726">
        <f t="shared" si="7"/>
        <v>1.0204081632653061</v>
      </c>
      <c r="CC25" s="1726">
        <f t="shared" si="7"/>
        <v>1.0311111111111111</v>
      </c>
      <c r="CD25" s="1726">
        <f t="shared" si="7"/>
        <v>1.0366379310344827</v>
      </c>
      <c r="CE25" s="1726">
        <f t="shared" si="7"/>
        <v>1.0415800415800416</v>
      </c>
      <c r="CF25" s="1726">
        <f t="shared" si="7"/>
        <v>1.0359281437125749</v>
      </c>
      <c r="CG25" s="1726">
        <f t="shared" si="7"/>
        <v>1.0578034682080926</v>
      </c>
      <c r="CH25" s="1726">
        <f t="shared" si="7"/>
        <v>1.0327868852459017</v>
      </c>
      <c r="CI25" s="1726">
        <f t="shared" si="7"/>
        <v>1.0793650793650793</v>
      </c>
      <c r="CJ25" s="1726">
        <f t="shared" si="7"/>
        <v>1.0620915032679739</v>
      </c>
      <c r="CK25" s="1726">
        <f t="shared" si="7"/>
        <v>1.0723076923076924</v>
      </c>
      <c r="CL25" s="1726">
        <f t="shared" si="7"/>
        <v>1.0516499282639886</v>
      </c>
      <c r="CM25" s="1726">
        <f t="shared" si="7"/>
        <v>1.0545702592087312</v>
      </c>
      <c r="CN25" s="1731">
        <f t="shared" si="7"/>
        <v>1.0556274256144891</v>
      </c>
    </row>
    <row r="26" spans="2:131" s="1668" customFormat="1" ht="15.75">
      <c r="B26" s="1677"/>
      <c r="C26" s="1693">
        <f>SUM(C20:C25)</f>
        <v>0.99999999999999989</v>
      </c>
      <c r="D26" s="68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94"/>
      <c r="Q26" s="1681"/>
      <c r="R26" s="1681"/>
      <c r="S26" s="1681"/>
      <c r="T26" s="1681"/>
      <c r="U26" s="1681"/>
      <c r="V26" s="1709"/>
      <c r="W26" s="1710"/>
      <c r="X26" s="1710"/>
      <c r="Y26" s="1710"/>
      <c r="Z26" s="1710"/>
      <c r="AA26" s="1710"/>
      <c r="AB26" s="1710"/>
      <c r="AC26" s="1710"/>
      <c r="AD26" s="1710"/>
      <c r="AE26" s="1710"/>
      <c r="AF26" s="1710"/>
      <c r="AG26" s="1710"/>
      <c r="AH26" s="1710"/>
      <c r="AI26" s="1724"/>
      <c r="AJ26" s="1710"/>
      <c r="AK26" s="1724"/>
      <c r="AL26" s="1724"/>
      <c r="AM26" s="1724"/>
      <c r="AN26" s="1724"/>
      <c r="AO26" s="1724"/>
      <c r="AP26" s="1724"/>
      <c r="AQ26" s="1724"/>
      <c r="AR26" s="1724"/>
      <c r="AS26" s="1724"/>
      <c r="AT26" s="1710"/>
      <c r="AU26" s="1710"/>
      <c r="AV26" s="1710"/>
      <c r="AW26" s="1724"/>
      <c r="AX26" s="1724"/>
      <c r="AY26" s="1724"/>
      <c r="AZ26" s="1724"/>
      <c r="BA26" s="1724"/>
      <c r="BB26" s="1729"/>
      <c r="BC26" s="1724"/>
      <c r="BD26" s="1724"/>
      <c r="BE26" s="1710"/>
      <c r="BF26" s="1680"/>
      <c r="BG26" s="1724"/>
      <c r="BH26" s="1724"/>
      <c r="BI26" s="1724"/>
      <c r="BJ26" s="1724"/>
      <c r="BK26" s="1724"/>
      <c r="BL26" s="1724"/>
      <c r="BM26" s="1724"/>
      <c r="BN26" s="1729"/>
      <c r="BO26" s="1724"/>
      <c r="BP26" s="1724"/>
      <c r="BQ26" s="1724"/>
      <c r="BR26" s="1724"/>
      <c r="BS26" s="1724"/>
      <c r="BT26" s="1724"/>
      <c r="BU26" s="1724"/>
      <c r="BV26" s="1724"/>
      <c r="BW26" s="1724"/>
      <c r="BX26" s="1724"/>
      <c r="BY26" s="1724"/>
      <c r="BZ26" s="1724"/>
      <c r="CA26" s="1724"/>
      <c r="CB26" s="1724"/>
      <c r="CC26" s="1724"/>
      <c r="CD26" s="1724"/>
      <c r="CE26" s="1724"/>
      <c r="CF26" s="1724"/>
      <c r="CG26" s="1724"/>
      <c r="CH26" s="1724"/>
      <c r="CI26" s="1724"/>
      <c r="CJ26" s="1724"/>
      <c r="CK26" s="1724"/>
      <c r="CL26" s="1724"/>
      <c r="CM26" s="1724"/>
      <c r="CN26" s="1729"/>
    </row>
    <row r="27" spans="2:131" s="1668" customFormat="1" ht="16.5" thickBot="1">
      <c r="B27" s="1695" t="s">
        <v>985</v>
      </c>
      <c r="C27" s="1683"/>
      <c r="D27" s="1696">
        <v>100</v>
      </c>
      <c r="E27" s="1697">
        <v>100</v>
      </c>
      <c r="F27" s="1697">
        <v>100</v>
      </c>
      <c r="G27" s="1697">
        <v>100</v>
      </c>
      <c r="H27" s="1697">
        <f t="shared" ref="H27:CN27" si="9">SUMPRODUCT($C$20:$C$25*H20:H25)*G27</f>
        <v>112.96296355597192</v>
      </c>
      <c r="I27" s="1697">
        <f t="shared" si="9"/>
        <v>107.55555555555556</v>
      </c>
      <c r="J27" s="1697">
        <f t="shared" si="9"/>
        <v>106.14693454185816</v>
      </c>
      <c r="K27" s="1697">
        <f t="shared" si="9"/>
        <v>103.92592662439098</v>
      </c>
      <c r="L27" s="1697">
        <f t="shared" si="9"/>
        <v>111.85210733814885</v>
      </c>
      <c r="M27" s="1697">
        <f t="shared" si="9"/>
        <v>111.85210733814884</v>
      </c>
      <c r="N27" s="1697">
        <f t="shared" si="9"/>
        <v>111.85210733814883</v>
      </c>
      <c r="O27" s="1697">
        <f t="shared" si="9"/>
        <v>112.59274056290313</v>
      </c>
      <c r="P27" s="1697">
        <f t="shared" si="9"/>
        <v>114.59250213884906</v>
      </c>
      <c r="Q27" s="1697">
        <f t="shared" si="9"/>
        <v>116.66666738408999</v>
      </c>
      <c r="R27" s="1697">
        <f t="shared" si="9"/>
        <v>118.88888963978891</v>
      </c>
      <c r="S27" s="1697">
        <f t="shared" si="9"/>
        <v>119.25925938643842</v>
      </c>
      <c r="T27" s="1697">
        <f t="shared" si="9"/>
        <v>115.55555567878507</v>
      </c>
      <c r="U27" s="1697">
        <f t="shared" si="9"/>
        <v>115.92592664255936</v>
      </c>
      <c r="V27" s="1697">
        <f t="shared" si="9"/>
        <v>116.29635059245906</v>
      </c>
      <c r="W27" s="1697">
        <f t="shared" si="9"/>
        <v>120.00000012918365</v>
      </c>
      <c r="X27" s="1697">
        <f t="shared" si="9"/>
        <v>121.85185257603806</v>
      </c>
      <c r="Y27" s="1697">
        <f t="shared" si="9"/>
        <v>137.97665999501336</v>
      </c>
      <c r="Z27" s="1697">
        <f t="shared" si="9"/>
        <v>140.15610283274032</v>
      </c>
      <c r="AA27" s="1697">
        <f t="shared" si="9"/>
        <v>137.74324706062418</v>
      </c>
      <c r="AB27" s="1697">
        <f t="shared" si="9"/>
        <v>139.60480665816416</v>
      </c>
      <c r="AC27" s="1697">
        <f t="shared" si="9"/>
        <v>142.39689536835186</v>
      </c>
      <c r="AD27" s="1697">
        <f t="shared" si="9"/>
        <v>146.66871971568375</v>
      </c>
      <c r="AE27" s="1697">
        <f t="shared" si="9"/>
        <v>154.00221106352456</v>
      </c>
      <c r="AF27" s="1697">
        <f t="shared" si="9"/>
        <v>158.62225595332947</v>
      </c>
      <c r="AG27" s="1697">
        <f t="shared" si="9"/>
        <v>163.38090652789552</v>
      </c>
      <c r="AH27" s="1697">
        <f t="shared" si="9"/>
        <v>163.38090652789549</v>
      </c>
      <c r="AI27" s="1697">
        <f t="shared" si="9"/>
        <v>199.94471230418065</v>
      </c>
      <c r="AJ27" s="1697">
        <f t="shared" si="9"/>
        <v>226.22628552973558</v>
      </c>
      <c r="AK27" s="1697">
        <f t="shared" si="9"/>
        <v>223.84248859602076</v>
      </c>
      <c r="AL27" s="1697">
        <f t="shared" si="9"/>
        <v>234.99359884670596</v>
      </c>
      <c r="AM27" s="1697">
        <f t="shared" si="9"/>
        <v>316.48619477314281</v>
      </c>
      <c r="AN27" s="1697">
        <f t="shared" si="9"/>
        <v>300.87260674479398</v>
      </c>
      <c r="AO27" s="1697">
        <f t="shared" si="9"/>
        <v>283.42850974739122</v>
      </c>
      <c r="AP27" s="1697">
        <f t="shared" si="9"/>
        <v>306.31319598716982</v>
      </c>
      <c r="AQ27" s="1703">
        <f t="shared" si="9"/>
        <v>294.78007090422949</v>
      </c>
      <c r="AR27" s="1703">
        <f t="shared" si="9"/>
        <v>316.84090846199933</v>
      </c>
      <c r="AS27" s="1703">
        <f t="shared" si="9"/>
        <v>326.26538832840259</v>
      </c>
      <c r="AT27" s="1703">
        <f t="shared" si="9"/>
        <v>347.7588041859525</v>
      </c>
      <c r="AU27" s="1703">
        <f t="shared" si="9"/>
        <v>376.02136956602146</v>
      </c>
      <c r="AV27" s="1703">
        <f t="shared" si="9"/>
        <v>357.55454230511242</v>
      </c>
      <c r="AW27" s="1703">
        <f t="shared" si="9"/>
        <v>356.54971683495165</v>
      </c>
      <c r="AX27" s="1703">
        <f t="shared" si="9"/>
        <v>459.74879457404256</v>
      </c>
      <c r="AY27" s="1703">
        <f t="shared" si="9"/>
        <v>481.20270849314704</v>
      </c>
      <c r="AZ27" s="1703">
        <f t="shared" si="9"/>
        <v>501.3618290224378</v>
      </c>
      <c r="BA27" s="1703">
        <f t="shared" si="9"/>
        <v>484.59033037853493</v>
      </c>
      <c r="BB27" s="1703">
        <f t="shared" si="9"/>
        <v>484.59033037853487</v>
      </c>
      <c r="BC27" s="1957">
        <f t="shared" si="9"/>
        <v>508.78384422089567</v>
      </c>
      <c r="BD27" s="1697">
        <f t="shared" si="9"/>
        <v>515.9865394971456</v>
      </c>
      <c r="BE27" s="1697">
        <f t="shared" si="9"/>
        <v>530.09554643652064</v>
      </c>
      <c r="BF27" s="1697">
        <f t="shared" si="9"/>
        <v>554.28241547544928</v>
      </c>
      <c r="BG27" s="1697">
        <f t="shared" si="9"/>
        <v>568.39142241482432</v>
      </c>
      <c r="BH27" s="1697">
        <f t="shared" si="9"/>
        <v>592.57829145375308</v>
      </c>
      <c r="BI27" s="1697">
        <f t="shared" si="9"/>
        <v>614.74958807277096</v>
      </c>
      <c r="BJ27" s="1697">
        <f t="shared" si="9"/>
        <v>628.858595012146</v>
      </c>
      <c r="BK27" s="1697">
        <f t="shared" si="9"/>
        <v>644.98317437143169</v>
      </c>
      <c r="BL27" s="1697">
        <f t="shared" si="9"/>
        <v>673.20118825018176</v>
      </c>
      <c r="BM27" s="1697">
        <f t="shared" si="9"/>
        <v>697.38805728911052</v>
      </c>
      <c r="BN27" s="1697">
        <f t="shared" si="9"/>
        <v>719.5593539081284</v>
      </c>
      <c r="BO27" s="1697">
        <f t="shared" si="9"/>
        <v>741.73065052714628</v>
      </c>
      <c r="BP27" s="1697">
        <f t="shared" si="9"/>
        <v>761.88637472625351</v>
      </c>
      <c r="BQ27" s="1697">
        <f t="shared" si="9"/>
        <v>784.05767134527139</v>
      </c>
      <c r="BR27" s="1703">
        <f t="shared" si="9"/>
        <v>794.135533444825</v>
      </c>
      <c r="BS27" s="1703">
        <f t="shared" si="9"/>
        <v>806.22896796428927</v>
      </c>
      <c r="BT27" s="1703">
        <f t="shared" si="9"/>
        <v>812.27568522402146</v>
      </c>
      <c r="BU27" s="1703">
        <f t="shared" si="9"/>
        <v>820.33797490366442</v>
      </c>
      <c r="BV27" s="1703">
        <f t="shared" si="9"/>
        <v>828.40026458330715</v>
      </c>
      <c r="BW27" s="1703">
        <f t="shared" si="9"/>
        <v>836.46255426294999</v>
      </c>
      <c r="BX27" s="1703">
        <f t="shared" si="9"/>
        <v>846.54041636250349</v>
      </c>
      <c r="BY27" s="1703">
        <f t="shared" si="9"/>
        <v>852.58713362223568</v>
      </c>
      <c r="BZ27" s="1703">
        <f t="shared" si="9"/>
        <v>868.71171298152149</v>
      </c>
      <c r="CA27" s="1703">
        <f t="shared" si="9"/>
        <v>888.86743718062871</v>
      </c>
      <c r="CB27" s="1703">
        <f t="shared" si="9"/>
        <v>907.00758895982528</v>
      </c>
      <c r="CC27" s="1703">
        <f t="shared" si="9"/>
        <v>935.22560283857536</v>
      </c>
      <c r="CD27" s="1703">
        <f t="shared" si="9"/>
        <v>969.4903339770575</v>
      </c>
      <c r="CE27" s="1703">
        <f t="shared" si="9"/>
        <v>1009.801782375272</v>
      </c>
      <c r="CF27" s="1703">
        <f t="shared" si="9"/>
        <v>1046.082085933665</v>
      </c>
      <c r="CG27" s="1703">
        <f t="shared" si="9"/>
        <v>1106.5492585309867</v>
      </c>
      <c r="CH27" s="1703">
        <f t="shared" si="9"/>
        <v>1142.8295620893798</v>
      </c>
      <c r="CI27" s="1703">
        <f t="shared" si="9"/>
        <v>1233.5303209853626</v>
      </c>
      <c r="CJ27" s="1703">
        <f t="shared" si="9"/>
        <v>1310.1220729419699</v>
      </c>
      <c r="CK27" s="1703">
        <f t="shared" si="9"/>
        <v>1404.853976677774</v>
      </c>
      <c r="CL27" s="1703">
        <f t="shared" si="9"/>
        <v>1477.41458379456</v>
      </c>
      <c r="CM27" s="1703">
        <f t="shared" si="9"/>
        <v>1558.0374805909889</v>
      </c>
      <c r="CN27" s="1703">
        <f t="shared" si="9"/>
        <v>1644.7070946471501</v>
      </c>
    </row>
    <row r="28" spans="2:131" ht="13.5" thickBot="1"/>
    <row r="29" spans="2:131" s="1668" customFormat="1" ht="16.5" thickBot="1">
      <c r="B29" s="1667"/>
      <c r="C29" s="1667"/>
      <c r="D29" s="2469" t="s">
        <v>984</v>
      </c>
      <c r="E29" s="2470"/>
      <c r="F29" s="2470"/>
      <c r="G29" s="2470"/>
      <c r="H29" s="2470"/>
      <c r="I29" s="2471"/>
      <c r="CQ29" s="1905" t="s">
        <v>1263</v>
      </c>
    </row>
    <row r="30" spans="2:131" s="1668" customFormat="1" ht="33.75" customHeight="1" thickBot="1">
      <c r="B30" s="1620" t="s">
        <v>1027</v>
      </c>
      <c r="C30" s="1621" t="s">
        <v>1260</v>
      </c>
      <c r="D30" s="1622">
        <v>42278</v>
      </c>
      <c r="E30" s="1622">
        <v>42309</v>
      </c>
      <c r="F30" s="1622">
        <v>42339</v>
      </c>
      <c r="G30" s="1622">
        <v>42370</v>
      </c>
      <c r="H30" s="1622">
        <v>42401</v>
      </c>
      <c r="I30" s="1622">
        <v>42430</v>
      </c>
      <c r="J30" s="1622">
        <v>42461</v>
      </c>
      <c r="K30" s="1622">
        <v>42491</v>
      </c>
      <c r="L30" s="1622">
        <v>42522</v>
      </c>
      <c r="M30" s="1622">
        <v>42552</v>
      </c>
      <c r="N30" s="1622">
        <v>42583</v>
      </c>
      <c r="O30" s="1622">
        <v>42614</v>
      </c>
      <c r="P30" s="1622">
        <v>42644</v>
      </c>
      <c r="Q30" s="1622">
        <v>42675</v>
      </c>
      <c r="R30" s="1622">
        <v>42705</v>
      </c>
      <c r="S30" s="1646">
        <v>42736</v>
      </c>
      <c r="T30" s="1646">
        <v>42767</v>
      </c>
      <c r="U30" s="1646">
        <v>42795</v>
      </c>
      <c r="V30" s="1646">
        <v>42826</v>
      </c>
      <c r="W30" s="1646">
        <v>42856</v>
      </c>
      <c r="X30" s="1646">
        <v>42887</v>
      </c>
      <c r="Y30" s="1646">
        <v>42917</v>
      </c>
      <c r="Z30" s="1646">
        <v>42948</v>
      </c>
      <c r="AA30" s="1734">
        <v>42979</v>
      </c>
      <c r="AB30" s="1626">
        <v>43009</v>
      </c>
      <c r="AC30" s="1626">
        <v>43040</v>
      </c>
      <c r="AD30" s="1626">
        <v>43070</v>
      </c>
      <c r="AE30" s="1626">
        <v>43101</v>
      </c>
      <c r="AF30" s="1626">
        <v>43132</v>
      </c>
      <c r="AG30" s="1626">
        <v>43160</v>
      </c>
      <c r="AH30" s="1626">
        <v>43191</v>
      </c>
      <c r="AI30" s="1626">
        <v>43221</v>
      </c>
      <c r="AJ30" s="1626">
        <v>43252</v>
      </c>
      <c r="AK30" s="1626">
        <v>43282</v>
      </c>
      <c r="AL30" s="1626">
        <v>43313</v>
      </c>
      <c r="AM30" s="1626">
        <v>43344</v>
      </c>
      <c r="AN30" s="1626">
        <v>43374</v>
      </c>
      <c r="AO30" s="1626">
        <v>43405</v>
      </c>
      <c r="AP30" s="1626">
        <v>43435</v>
      </c>
      <c r="AQ30" s="1626">
        <v>43466</v>
      </c>
      <c r="AR30" s="1626">
        <v>43497</v>
      </c>
      <c r="AS30" s="1626">
        <v>43525</v>
      </c>
      <c r="AT30" s="1626">
        <v>43556</v>
      </c>
      <c r="AU30" s="1646">
        <v>43586</v>
      </c>
      <c r="AV30" s="1646">
        <v>43617</v>
      </c>
      <c r="AW30" s="1646">
        <v>43647</v>
      </c>
      <c r="AX30" s="1646">
        <v>43678</v>
      </c>
      <c r="AY30" s="1646">
        <v>43709</v>
      </c>
      <c r="AZ30" s="1646">
        <v>43739</v>
      </c>
      <c r="BA30" s="1646">
        <v>43770</v>
      </c>
      <c r="BB30" s="1646">
        <v>43800</v>
      </c>
      <c r="BC30" s="1646">
        <v>43831</v>
      </c>
      <c r="BD30" s="1646">
        <v>43862</v>
      </c>
      <c r="BE30" s="1646">
        <v>43891</v>
      </c>
      <c r="BF30" s="1646">
        <v>43922</v>
      </c>
      <c r="BG30" s="1646">
        <v>43952</v>
      </c>
      <c r="BH30" s="1646">
        <v>43983</v>
      </c>
      <c r="BI30" s="1646">
        <v>44013</v>
      </c>
      <c r="BJ30" s="1646">
        <v>44044</v>
      </c>
      <c r="BK30" s="1646">
        <v>44075</v>
      </c>
      <c r="BL30" s="1646">
        <v>44105</v>
      </c>
      <c r="BM30" s="1646">
        <v>44136</v>
      </c>
      <c r="BN30" s="1646">
        <v>44166</v>
      </c>
      <c r="BO30" s="1646">
        <v>44197</v>
      </c>
      <c r="BP30" s="1646">
        <v>44228</v>
      </c>
      <c r="BQ30" s="1646">
        <v>44256</v>
      </c>
      <c r="BR30" s="1646">
        <v>44287</v>
      </c>
      <c r="BS30" s="1646">
        <v>44317</v>
      </c>
      <c r="BT30" s="1646">
        <v>44348</v>
      </c>
      <c r="BU30" s="1646">
        <v>44378</v>
      </c>
      <c r="BV30" s="1646">
        <v>44409</v>
      </c>
      <c r="BW30" s="1646">
        <v>44440</v>
      </c>
      <c r="BX30" s="1646">
        <v>44470</v>
      </c>
      <c r="BY30" s="1646">
        <v>44501</v>
      </c>
      <c r="BZ30" s="1646">
        <v>44531</v>
      </c>
      <c r="CA30" s="1646">
        <v>44562</v>
      </c>
      <c r="CB30" s="1646">
        <v>44593</v>
      </c>
      <c r="CC30" s="1646">
        <v>44621</v>
      </c>
      <c r="CD30" s="1646">
        <v>44652</v>
      </c>
      <c r="CE30" s="1646">
        <v>44682</v>
      </c>
      <c r="CF30" s="1646">
        <v>44713</v>
      </c>
      <c r="CG30" s="1646">
        <v>44743</v>
      </c>
      <c r="CH30" s="1646">
        <v>44774</v>
      </c>
      <c r="CI30" s="1646">
        <v>44805</v>
      </c>
      <c r="CJ30" s="1646">
        <v>44835</v>
      </c>
      <c r="CK30" s="1646">
        <v>44866</v>
      </c>
      <c r="CL30" s="1646">
        <v>44896</v>
      </c>
      <c r="CM30" s="1646">
        <f>+CM19</f>
        <v>44927</v>
      </c>
      <c r="CN30" s="1646">
        <f>+CN19</f>
        <v>44958</v>
      </c>
      <c r="CP30" s="1878">
        <v>43831</v>
      </c>
      <c r="CQ30" s="1878">
        <v>43862</v>
      </c>
      <c r="CR30" s="1878">
        <v>43891</v>
      </c>
      <c r="CS30" s="1878">
        <v>43922</v>
      </c>
      <c r="CT30" s="1878">
        <v>43952</v>
      </c>
      <c r="CU30" s="1878">
        <v>43983</v>
      </c>
      <c r="CV30" s="1878">
        <v>44013</v>
      </c>
      <c r="CW30" s="1878">
        <v>44044</v>
      </c>
      <c r="CX30" s="1878">
        <v>44075</v>
      </c>
      <c r="CY30" s="1878">
        <v>44105</v>
      </c>
      <c r="CZ30" s="1913">
        <v>44136</v>
      </c>
      <c r="DA30" s="1913">
        <v>44166</v>
      </c>
      <c r="DB30" s="1878">
        <v>44197</v>
      </c>
      <c r="DC30" s="1878">
        <v>44228</v>
      </c>
      <c r="DD30" s="1878">
        <v>44256</v>
      </c>
      <c r="DE30" s="1878">
        <v>44287</v>
      </c>
      <c r="DF30" s="1878">
        <v>44317</v>
      </c>
      <c r="DG30" s="1878">
        <v>44348</v>
      </c>
      <c r="DH30" s="1878">
        <v>44378</v>
      </c>
      <c r="DI30" s="1878">
        <v>44409</v>
      </c>
      <c r="DJ30" s="1878">
        <v>44440</v>
      </c>
      <c r="DK30" s="1878">
        <v>44470</v>
      </c>
      <c r="DL30" s="1878">
        <v>44501</v>
      </c>
      <c r="DM30" s="1878">
        <v>44531</v>
      </c>
      <c r="DN30" s="1878">
        <v>44562</v>
      </c>
      <c r="DO30" s="1878">
        <v>44593</v>
      </c>
      <c r="DP30" s="1878">
        <v>44621</v>
      </c>
      <c r="DQ30" s="1878">
        <v>44652</v>
      </c>
      <c r="DR30" s="1878">
        <v>44682</v>
      </c>
      <c r="DS30" s="1878">
        <v>44713</v>
      </c>
      <c r="DT30" s="1878">
        <v>44743</v>
      </c>
      <c r="DU30" s="1878">
        <v>44774</v>
      </c>
      <c r="DV30" s="1878">
        <v>44805</v>
      </c>
      <c r="DW30" s="1878">
        <v>44835</v>
      </c>
      <c r="DX30" s="1878">
        <v>44866</v>
      </c>
      <c r="DY30" s="1878">
        <v>44896</v>
      </c>
      <c r="DZ30" s="1878">
        <v>44927</v>
      </c>
      <c r="EA30" s="1878">
        <v>44958</v>
      </c>
    </row>
    <row r="31" spans="2:131" s="1668" customFormat="1" ht="24" customHeight="1">
      <c r="B31" s="1671" t="s">
        <v>987</v>
      </c>
      <c r="C31" s="545" t="s">
        <v>1345</v>
      </c>
      <c r="D31" s="1698">
        <v>462.79090740087935</v>
      </c>
      <c r="E31" s="1698">
        <v>487.91031515590726</v>
      </c>
      <c r="F31" s="1698">
        <v>492.94901258276172</v>
      </c>
      <c r="G31" s="1698">
        <v>551.2793757274826</v>
      </c>
      <c r="H31" s="1698">
        <v>664.95613263542896</v>
      </c>
      <c r="I31" s="689">
        <v>696.52460522706701</v>
      </c>
      <c r="J31" s="689">
        <v>679.48153933938534</v>
      </c>
      <c r="K31" s="689">
        <v>678.05648601760402</v>
      </c>
      <c r="L31" s="689">
        <v>686.23056068002381</v>
      </c>
      <c r="M31" s="689">
        <v>683.02305352256269</v>
      </c>
      <c r="N31" s="689">
        <v>672.27283595596168</v>
      </c>
      <c r="O31" s="689">
        <v>672.27</v>
      </c>
      <c r="P31" s="1699">
        <v>706.66</v>
      </c>
      <c r="Q31" s="1700">
        <v>687.02398982087868</v>
      </c>
      <c r="R31" s="1700">
        <v>693.36999334566269</v>
      </c>
      <c r="S31" s="1700">
        <v>725.13133225098272</v>
      </c>
      <c r="T31" s="1700">
        <v>733.32633108894333</v>
      </c>
      <c r="U31" s="1700">
        <v>731.40000730094141</v>
      </c>
      <c r="V31" s="1717">
        <v>731.4</v>
      </c>
      <c r="W31" s="1718">
        <v>756.4572923484626</v>
      </c>
      <c r="X31" s="1718">
        <v>736.41037261433053</v>
      </c>
      <c r="Y31" s="1718">
        <v>753.46331575257818</v>
      </c>
      <c r="Z31" s="1718">
        <v>753.56559728146465</v>
      </c>
      <c r="AA31" s="1708">
        <v>753.04574198852117</v>
      </c>
      <c r="AB31" s="1708">
        <v>763.1163787234218</v>
      </c>
      <c r="AC31" s="1708">
        <v>768.55614450878227</v>
      </c>
      <c r="AD31" s="1708">
        <v>775.61</v>
      </c>
      <c r="AE31" s="1708">
        <v>788.5705732871055</v>
      </c>
      <c r="AF31" s="1708">
        <v>801.56695561069205</v>
      </c>
      <c r="AG31" s="1708">
        <v>810.27453176749498</v>
      </c>
      <c r="AH31" s="1708">
        <v>812.76517428796137</v>
      </c>
      <c r="AI31" s="1723">
        <v>912.97974905236845</v>
      </c>
      <c r="AJ31" s="1723">
        <v>944.3</v>
      </c>
      <c r="AK31" s="1723">
        <v>1046.2219775548253</v>
      </c>
      <c r="AL31" s="1723">
        <v>1102.3320422374486</v>
      </c>
      <c r="AM31" s="1723">
        <v>1312.1779796568114</v>
      </c>
      <c r="AN31" s="1723">
        <v>1425.9095453183681</v>
      </c>
      <c r="AO31" s="1723">
        <v>1386.7123129584772</v>
      </c>
      <c r="AP31" s="1723">
        <v>1447.9934727962016</v>
      </c>
      <c r="AQ31" s="1723">
        <v>1494.7594295087961</v>
      </c>
      <c r="AR31" s="1722">
        <v>1497.959867948266</v>
      </c>
      <c r="AS31" s="1722">
        <v>1528.6650969575253</v>
      </c>
      <c r="AT31" s="1706">
        <v>1510.4915100025225</v>
      </c>
      <c r="AU31" s="1706">
        <v>1552.3328518607716</v>
      </c>
      <c r="AV31" s="1706">
        <v>1563.5617204384835</v>
      </c>
      <c r="AW31" s="1722">
        <v>1569.6</v>
      </c>
      <c r="AX31" s="1722">
        <v>1912.5708590771358</v>
      </c>
      <c r="AY31" s="1722">
        <v>1922.7493015261141</v>
      </c>
      <c r="AZ31" s="1722">
        <v>2039.5398360787333</v>
      </c>
      <c r="BA31" s="1722">
        <v>2092.6010350661477</v>
      </c>
      <c r="BB31" s="1727">
        <v>2092.6010350661477</v>
      </c>
      <c r="BC31" s="1877">
        <v>2092.6010350661477</v>
      </c>
      <c r="BD31" s="1766">
        <v>2092.6010350661477</v>
      </c>
      <c r="BE31" s="1718">
        <f t="shared" ref="BE31:BN32" si="10">(+CR31/CQ31)*BD31</f>
        <v>2108.5867104886247</v>
      </c>
      <c r="BF31" s="1718">
        <f t="shared" si="10"/>
        <v>2162.2529065497974</v>
      </c>
      <c r="BG31" s="1718">
        <f t="shared" si="10"/>
        <v>2206.7844309409829</v>
      </c>
      <c r="BH31" s="1718">
        <f t="shared" si="10"/>
        <v>2244.4649515796787</v>
      </c>
      <c r="BI31" s="1766">
        <f t="shared" si="10"/>
        <v>2296.2280910429372</v>
      </c>
      <c r="BJ31" s="1766">
        <f t="shared" si="10"/>
        <v>2173.6712461372808</v>
      </c>
      <c r="BK31" s="1766">
        <f t="shared" si="10"/>
        <v>2248.2710647755066</v>
      </c>
      <c r="BL31" s="1766">
        <f t="shared" si="10"/>
        <v>2337.7147248774609</v>
      </c>
      <c r="BM31" s="1766">
        <f t="shared" si="10"/>
        <v>2438.5767245668985</v>
      </c>
      <c r="BN31" s="1894">
        <f t="shared" si="10"/>
        <v>2520.4081582771973</v>
      </c>
      <c r="BO31" s="1766">
        <f t="shared" ref="BO31:BX32" si="11">(+DB31/DA31)*BN31</f>
        <v>2859.9134553450403</v>
      </c>
      <c r="BP31" s="1766">
        <f t="shared" si="11"/>
        <v>2993.5080285185973</v>
      </c>
      <c r="BQ31" s="1766">
        <f t="shared" si="11"/>
        <v>3117.2067073830021</v>
      </c>
      <c r="BR31" s="1766">
        <f t="shared" si="11"/>
        <v>3226.8227674228438</v>
      </c>
      <c r="BS31" s="1766">
        <f t="shared" si="11"/>
        <v>3339.8643293389309</v>
      </c>
      <c r="BT31" s="1766">
        <f t="shared" si="11"/>
        <v>3432.3528799975475</v>
      </c>
      <c r="BU31" s="1766">
        <f t="shared" si="11"/>
        <v>3518.3710382232571</v>
      </c>
      <c r="BV31" s="1766">
        <f t="shared" si="11"/>
        <v>3546.9168871919665</v>
      </c>
      <c r="BW31" s="1766">
        <f t="shared" si="11"/>
        <v>3734.5582677462789</v>
      </c>
      <c r="BX31" s="1766">
        <f t="shared" si="11"/>
        <v>3843.7937164665382</v>
      </c>
      <c r="BY31" s="1766">
        <f t="shared" ref="BY31:CH32" si="12">(+DL31/DK31)*BX31</f>
        <v>3965.9699500526117</v>
      </c>
      <c r="BZ31" s="1766">
        <f t="shared" si="12"/>
        <v>4104.1318590611627</v>
      </c>
      <c r="CA31" s="1766">
        <f t="shared" si="12"/>
        <v>4333.6404847695812</v>
      </c>
      <c r="CB31" s="1766">
        <f t="shared" si="12"/>
        <v>4504.9155785818339</v>
      </c>
      <c r="CC31" s="1766">
        <f t="shared" si="12"/>
        <v>4675.0488384353393</v>
      </c>
      <c r="CD31" s="1766">
        <f t="shared" si="12"/>
        <v>5076.2131692755938</v>
      </c>
      <c r="CE31" s="1766">
        <f t="shared" si="12"/>
        <v>5127.5956974192695</v>
      </c>
      <c r="CF31" s="1766">
        <f t="shared" si="12"/>
        <v>5509.7294622803847</v>
      </c>
      <c r="CG31" s="1766">
        <f t="shared" si="12"/>
        <v>5826.3980801732614</v>
      </c>
      <c r="CH31" s="1766">
        <f t="shared" si="12"/>
        <v>6157.9105395298666</v>
      </c>
      <c r="CI31" s="1766">
        <f t="shared" ref="CI31:CN32" si="13">(+DV31/DU31)*CH31</f>
        <v>6623.7787946991939</v>
      </c>
      <c r="CJ31" s="1766">
        <f t="shared" si="13"/>
        <v>7031.7941292919386</v>
      </c>
      <c r="CK31" s="1766">
        <f t="shared" si="13"/>
        <v>7333.2382944015044</v>
      </c>
      <c r="CL31" s="1766">
        <f t="shared" si="13"/>
        <v>7904.1552737756792</v>
      </c>
      <c r="CM31" s="1766">
        <f t="shared" si="13"/>
        <v>8433.9662306349164</v>
      </c>
      <c r="CN31" s="1894">
        <f t="shared" si="13"/>
        <v>9045.9892325240326</v>
      </c>
      <c r="CP31" s="1871"/>
      <c r="CQ31" s="1898">
        <v>549.79999999999995</v>
      </c>
      <c r="CR31" s="1898">
        <v>554</v>
      </c>
      <c r="CS31" s="1898">
        <v>568.1</v>
      </c>
      <c r="CT31" s="1898">
        <v>579.79999999999995</v>
      </c>
      <c r="CU31" s="1898">
        <v>589.70000000000005</v>
      </c>
      <c r="CV31" s="1898">
        <v>603.29999999999995</v>
      </c>
      <c r="CW31" s="1668">
        <v>571.1</v>
      </c>
      <c r="CX31" s="1668">
        <v>590.70000000000005</v>
      </c>
      <c r="CY31" s="1668">
        <v>614.20000000000005</v>
      </c>
      <c r="CZ31" s="1668">
        <v>640.70000000000005</v>
      </c>
      <c r="DA31" s="1668">
        <v>662.2</v>
      </c>
      <c r="DB31" s="1668">
        <v>751.4</v>
      </c>
      <c r="DC31" s="1668">
        <v>786.5</v>
      </c>
      <c r="DD31" s="1668">
        <v>819</v>
      </c>
      <c r="DE31" s="1668">
        <v>847.8</v>
      </c>
      <c r="DF31" s="1668">
        <v>877.5</v>
      </c>
      <c r="DG31" s="1668">
        <v>901.8</v>
      </c>
      <c r="DH31" s="1668">
        <v>924.4</v>
      </c>
      <c r="DI31" s="1668">
        <v>931.9</v>
      </c>
      <c r="DJ31" s="1668">
        <v>981.2</v>
      </c>
      <c r="DK31" s="1668">
        <v>1009.9</v>
      </c>
      <c r="DL31" s="1977">
        <v>1042</v>
      </c>
      <c r="DM31" s="1977">
        <v>1078.3</v>
      </c>
      <c r="DN31" s="1977">
        <v>1138.5999999999999</v>
      </c>
      <c r="DO31" s="1977">
        <v>1183.5999999999999</v>
      </c>
      <c r="DP31" s="1977">
        <v>1228.3</v>
      </c>
      <c r="DQ31" s="1977">
        <v>1333.7</v>
      </c>
      <c r="DR31" s="1977">
        <v>1347.2</v>
      </c>
      <c r="DS31" s="1977">
        <v>1447.6</v>
      </c>
      <c r="DT31" s="1977">
        <v>1530.8</v>
      </c>
      <c r="DU31" s="1977">
        <v>1617.9</v>
      </c>
      <c r="DV31" s="1977">
        <v>1740.3</v>
      </c>
      <c r="DW31" s="1977">
        <v>1847.5</v>
      </c>
      <c r="DX31" s="1977">
        <v>1926.7</v>
      </c>
      <c r="DY31" s="1977">
        <v>2076.6999999999998</v>
      </c>
      <c r="DZ31" s="1977">
        <v>2215.9</v>
      </c>
      <c r="EA31" s="1977">
        <v>2376.6999999999998</v>
      </c>
    </row>
    <row r="32" spans="2:131" s="1668" customFormat="1" ht="24" customHeight="1">
      <c r="B32" s="1673" t="s">
        <v>988</v>
      </c>
      <c r="C32" s="1897" t="s">
        <v>1262</v>
      </c>
      <c r="D32" s="1698">
        <v>988.37469015710803</v>
      </c>
      <c r="E32" s="1698">
        <v>1025.6661274186038</v>
      </c>
      <c r="F32" s="1698">
        <v>1169.6488106309207</v>
      </c>
      <c r="G32" s="1698">
        <v>1282.5944955844518</v>
      </c>
      <c r="H32" s="1698">
        <v>1381.9981842573666</v>
      </c>
      <c r="I32" s="1674">
        <v>1466.291662143246</v>
      </c>
      <c r="J32" s="1674">
        <v>1508.3146630344822</v>
      </c>
      <c r="K32" s="1674">
        <v>1622.0603947803259</v>
      </c>
      <c r="L32" s="1674">
        <v>1695.5886621679967</v>
      </c>
      <c r="M32" s="1674">
        <v>1703.1787164768807</v>
      </c>
      <c r="N32" s="1674">
        <v>1728.868294543249</v>
      </c>
      <c r="O32" s="1674">
        <v>1771.67</v>
      </c>
      <c r="P32" s="1698">
        <v>1786.34</v>
      </c>
      <c r="Q32" s="1676">
        <v>1890.9627808616922</v>
      </c>
      <c r="R32" s="1676">
        <v>1892.3378317683139</v>
      </c>
      <c r="S32" s="1676">
        <v>1926.7346487286991</v>
      </c>
      <c r="T32" s="1676">
        <v>2012.2744805017755</v>
      </c>
      <c r="U32" s="1676">
        <v>2021.3092474066948</v>
      </c>
      <c r="V32" s="1707">
        <v>2052.7800000000002</v>
      </c>
      <c r="W32" s="1708">
        <v>2052.7798011290829</v>
      </c>
      <c r="X32" s="1708">
        <v>2052.7798011290829</v>
      </c>
      <c r="Y32" s="1708">
        <v>2052.7798011290829</v>
      </c>
      <c r="Z32" s="1708">
        <v>2052.7798011290829</v>
      </c>
      <c r="AA32" s="1708">
        <v>2052.7798011290829</v>
      </c>
      <c r="AB32" s="1708">
        <v>2088.2009991358227</v>
      </c>
      <c r="AC32" s="1708">
        <v>2088.2009991358227</v>
      </c>
      <c r="AD32" s="1708">
        <v>2088.1999999999998</v>
      </c>
      <c r="AE32" s="1708">
        <v>2146.7739644424078</v>
      </c>
      <c r="AF32" s="1708">
        <v>2146.7739644424078</v>
      </c>
      <c r="AG32" s="1708">
        <v>2167.3182592863168</v>
      </c>
      <c r="AH32" s="1708">
        <v>2384.9638938877119</v>
      </c>
      <c r="AI32" s="1723">
        <v>2740.8525893264609</v>
      </c>
      <c r="AJ32" s="1723">
        <v>2787</v>
      </c>
      <c r="AK32" s="1723">
        <v>2788.0051942468499</v>
      </c>
      <c r="AL32" s="1723">
        <v>2788.0051942468499</v>
      </c>
      <c r="AM32" s="1723">
        <v>2788.0051942468499</v>
      </c>
      <c r="AN32" s="1723">
        <v>2788.0051942468499</v>
      </c>
      <c r="AO32" s="1723">
        <v>2788.0051942468499</v>
      </c>
      <c r="AP32" s="1723">
        <v>2788.0051942468499</v>
      </c>
      <c r="AQ32" s="1766">
        <v>2786.9569504555602</v>
      </c>
      <c r="AR32" s="1766">
        <v>2786.9569504555602</v>
      </c>
      <c r="AS32" s="1766">
        <v>2786.9569504555602</v>
      </c>
      <c r="AT32" s="1718">
        <v>2786.9569504555602</v>
      </c>
      <c r="AU32" s="1718">
        <v>2786.9569504555602</v>
      </c>
      <c r="AV32" s="1718">
        <v>2786.9569504555602</v>
      </c>
      <c r="AW32" s="1766">
        <v>2786.9569504555602</v>
      </c>
      <c r="AX32" s="1766">
        <v>2786.9569504555602</v>
      </c>
      <c r="AY32" s="1766">
        <v>2786.9569504555602</v>
      </c>
      <c r="AZ32" s="1766">
        <v>2786.9569504555602</v>
      </c>
      <c r="BA32" s="1766">
        <v>2786.9569504555602</v>
      </c>
      <c r="BB32" s="1894">
        <v>2786.9569504555602</v>
      </c>
      <c r="BC32" s="1877">
        <v>3004.1519778148968</v>
      </c>
      <c r="BD32" s="1766">
        <v>3051.2879427113216</v>
      </c>
      <c r="BE32" s="1718">
        <f t="shared" si="10"/>
        <v>3136.248227512353</v>
      </c>
      <c r="BF32" s="1718">
        <f t="shared" si="10"/>
        <v>3196.1249996578413</v>
      </c>
      <c r="BG32" s="1718">
        <f t="shared" si="10"/>
        <v>3263.2840819291323</v>
      </c>
      <c r="BH32" s="1718">
        <f t="shared" si="10"/>
        <v>3477.7076578555443</v>
      </c>
      <c r="BI32" s="1766">
        <f t="shared" si="10"/>
        <v>3545.6758856963693</v>
      </c>
      <c r="BJ32" s="1766">
        <f t="shared" si="10"/>
        <v>3609.5983856895264</v>
      </c>
      <c r="BK32" s="1766">
        <f t="shared" si="10"/>
        <v>3840.2048730066113</v>
      </c>
      <c r="BL32" s="1766">
        <f t="shared" si="10"/>
        <v>3926.7834489467095</v>
      </c>
      <c r="BM32" s="1766">
        <f t="shared" si="10"/>
        <v>4028.7357907079472</v>
      </c>
      <c r="BN32" s="1894">
        <f t="shared" si="10"/>
        <v>4152.5350628465931</v>
      </c>
      <c r="BO32" s="1766">
        <f t="shared" si="11"/>
        <v>4461.6286704084396</v>
      </c>
      <c r="BP32" s="1766">
        <f t="shared" si="11"/>
        <v>4610.511455202628</v>
      </c>
      <c r="BQ32" s="1766">
        <f t="shared" si="11"/>
        <v>4724.6009805068707</v>
      </c>
      <c r="BR32" s="1766">
        <f t="shared" si="11"/>
        <v>4816.0344298641712</v>
      </c>
      <c r="BS32" s="1766">
        <f t="shared" si="11"/>
        <v>4894.5215501089324</v>
      </c>
      <c r="BT32" s="1766">
        <f t="shared" si="11"/>
        <v>5079.0067399626014</v>
      </c>
      <c r="BU32" s="1766">
        <f t="shared" si="11"/>
        <v>5218.9889234919192</v>
      </c>
      <c r="BV32" s="1766">
        <f t="shared" si="11"/>
        <v>5324.1778475312904</v>
      </c>
      <c r="BW32" s="1766">
        <f t="shared" si="11"/>
        <v>5468.205758908276</v>
      </c>
      <c r="BX32" s="1766">
        <f t="shared" si="11"/>
        <v>5560.4483538351105</v>
      </c>
      <c r="BY32" s="1766">
        <f t="shared" si="12"/>
        <v>5767.5896196357198</v>
      </c>
      <c r="BZ32" s="1766">
        <f t="shared" si="12"/>
        <v>5902.7169297478367</v>
      </c>
      <c r="CA32" s="1766">
        <f t="shared" si="12"/>
        <v>6071.8283537803645</v>
      </c>
      <c r="CB32" s="1766">
        <f t="shared" si="12"/>
        <v>6230.4208854089566</v>
      </c>
      <c r="CC32" s="1766">
        <f t="shared" si="12"/>
        <v>6421.3792398188934</v>
      </c>
      <c r="CD32" s="1766">
        <f t="shared" si="12"/>
        <v>6698.9161701689291</v>
      </c>
      <c r="CE32" s="1766">
        <f t="shared" si="12"/>
        <v>7106.7255372138789</v>
      </c>
      <c r="CF32" s="1766">
        <f t="shared" si="12"/>
        <v>7771.03404980099</v>
      </c>
      <c r="CG32" s="1766">
        <f t="shared" si="12"/>
        <v>8385.9846826465509</v>
      </c>
      <c r="CH32" s="1766">
        <f t="shared" si="12"/>
        <v>9205.6491445841184</v>
      </c>
      <c r="CI32" s="1766">
        <f t="shared" si="13"/>
        <v>9550.3451572054437</v>
      </c>
      <c r="CJ32" s="1766">
        <f t="shared" si="13"/>
        <v>10315.796865984259</v>
      </c>
      <c r="CK32" s="1766">
        <f t="shared" si="13"/>
        <v>10891.09936592267</v>
      </c>
      <c r="CL32" s="1766">
        <f t="shared" si="13"/>
        <v>11655.741929131951</v>
      </c>
      <c r="CM32" s="1766">
        <f t="shared" si="13"/>
        <v>12162.267055660004</v>
      </c>
      <c r="CN32" s="1894">
        <f t="shared" si="13"/>
        <v>12847.613353054989</v>
      </c>
      <c r="CP32" s="1872"/>
      <c r="CQ32" s="1906">
        <v>377.1</v>
      </c>
      <c r="CR32" s="1906">
        <v>387.6</v>
      </c>
      <c r="CS32" s="1906">
        <v>395</v>
      </c>
      <c r="CT32" s="1898">
        <v>403.3</v>
      </c>
      <c r="CU32" s="1898">
        <v>429.8</v>
      </c>
      <c r="CV32" s="1898">
        <v>438.2</v>
      </c>
      <c r="CW32" s="1668">
        <v>446.1</v>
      </c>
      <c r="CX32" s="1668">
        <v>474.6</v>
      </c>
      <c r="CY32" s="1668">
        <v>485.3</v>
      </c>
      <c r="CZ32" s="1668">
        <v>497.9</v>
      </c>
      <c r="DA32" s="1668">
        <v>513.20000000000005</v>
      </c>
      <c r="DB32" s="1668">
        <v>551.4</v>
      </c>
      <c r="DC32" s="1668">
        <v>569.79999999999995</v>
      </c>
      <c r="DD32" s="1668">
        <v>583.9</v>
      </c>
      <c r="DE32" s="1668">
        <v>595.20000000000005</v>
      </c>
      <c r="DF32" s="1668">
        <v>604.9</v>
      </c>
      <c r="DG32" s="1668">
        <v>627.70000000000005</v>
      </c>
      <c r="DH32" s="1668">
        <v>645</v>
      </c>
      <c r="DI32" s="1668">
        <v>658</v>
      </c>
      <c r="DJ32" s="1668">
        <v>675.8</v>
      </c>
      <c r="DK32" s="1668">
        <v>687.2</v>
      </c>
      <c r="DL32" s="1668">
        <v>712.8</v>
      </c>
      <c r="DM32" s="1668">
        <v>729.5</v>
      </c>
      <c r="DN32" s="1668">
        <v>750.4</v>
      </c>
      <c r="DO32" s="1668">
        <v>770</v>
      </c>
      <c r="DP32" s="1668">
        <v>793.6</v>
      </c>
      <c r="DQ32" s="1668">
        <v>827.9</v>
      </c>
      <c r="DR32" s="1668">
        <v>878.3</v>
      </c>
      <c r="DS32" s="1668">
        <v>960.4</v>
      </c>
      <c r="DT32" s="1977">
        <v>1036.4000000000001</v>
      </c>
      <c r="DU32" s="1977">
        <v>1137.7</v>
      </c>
      <c r="DV32" s="1977">
        <v>1180.3</v>
      </c>
      <c r="DW32" s="1977">
        <v>1274.9000000000001</v>
      </c>
      <c r="DX32" s="1668">
        <v>1346</v>
      </c>
      <c r="DY32" s="1977">
        <v>1440.5</v>
      </c>
      <c r="DZ32" s="1977">
        <v>1503.1</v>
      </c>
      <c r="EA32" s="1977">
        <v>1587.8</v>
      </c>
    </row>
    <row r="33" spans="2:100" s="1668" customFormat="1" ht="15.75">
      <c r="B33" s="1673" t="s">
        <v>1256</v>
      </c>
      <c r="C33" s="1897" t="s">
        <v>1261</v>
      </c>
      <c r="D33" s="1698">
        <v>408.5002132089507</v>
      </c>
      <c r="E33" s="1698">
        <v>408.5002132089507</v>
      </c>
      <c r="F33" s="1698">
        <v>408.5002132089507</v>
      </c>
      <c r="G33" s="1698">
        <v>454.26902588206957</v>
      </c>
      <c r="H33" s="1698">
        <v>454.26902588206957</v>
      </c>
      <c r="I33" s="1674">
        <v>454.26902588206957</v>
      </c>
      <c r="J33" s="1674">
        <v>454.26902588206957</v>
      </c>
      <c r="K33" s="1674">
        <v>466.46427555494103</v>
      </c>
      <c r="L33" s="1674">
        <v>466.46427555494103</v>
      </c>
      <c r="M33" s="1674">
        <v>466.46427555494103</v>
      </c>
      <c r="N33" s="1674">
        <v>466.46427555494103</v>
      </c>
      <c r="O33" s="1674">
        <v>466.46</v>
      </c>
      <c r="P33" s="1698">
        <v>466.46</v>
      </c>
      <c r="Q33" s="1676">
        <v>466.46427555494103</v>
      </c>
      <c r="R33" s="1676">
        <v>466.46427555494103</v>
      </c>
      <c r="S33" s="1676">
        <v>466.46427555494103</v>
      </c>
      <c r="T33" s="1676">
        <v>466.46427555494103</v>
      </c>
      <c r="U33" s="1676">
        <v>466.46427555494103</v>
      </c>
      <c r="V33" s="1707">
        <v>466.46</v>
      </c>
      <c r="W33" s="1708">
        <v>466.46427555494103</v>
      </c>
      <c r="X33" s="1708">
        <v>466.46427555494103</v>
      </c>
      <c r="Y33" s="1708">
        <v>466.46427555494103</v>
      </c>
      <c r="Z33" s="1708">
        <v>466.46427555494103</v>
      </c>
      <c r="AA33" s="1708">
        <v>466.46427555494103</v>
      </c>
      <c r="AB33" s="1708">
        <v>466.46427555494103</v>
      </c>
      <c r="AC33" s="1708">
        <v>466.46427555494103</v>
      </c>
      <c r="AD33" s="1708">
        <v>466.46427555494103</v>
      </c>
      <c r="AE33" s="1708">
        <v>466.46427555494103</v>
      </c>
      <c r="AF33" s="1708">
        <v>466.46427555494103</v>
      </c>
      <c r="AG33" s="1708">
        <v>466.46427555494103</v>
      </c>
      <c r="AH33" s="1708">
        <v>466.46427555494103</v>
      </c>
      <c r="AI33" s="1723">
        <v>506.51493176811692</v>
      </c>
      <c r="AJ33" s="1723">
        <v>506.5</v>
      </c>
      <c r="AK33" s="1723">
        <v>506.51493176811692</v>
      </c>
      <c r="AL33" s="1723">
        <v>506.51493176811692</v>
      </c>
      <c r="AM33" s="1723">
        <v>506.51493176811692</v>
      </c>
      <c r="AN33" s="1723">
        <v>506.51493176811692</v>
      </c>
      <c r="AO33" s="1723">
        <v>506.51493176811692</v>
      </c>
      <c r="AP33" s="1723">
        <v>506.51493176811692</v>
      </c>
      <c r="AQ33" s="1723">
        <v>231.6</v>
      </c>
      <c r="AR33" s="1723">
        <v>243.7</v>
      </c>
      <c r="AS33" s="1723">
        <v>252</v>
      </c>
      <c r="AT33" s="1708">
        <v>265.8</v>
      </c>
      <c r="AU33" s="1708">
        <v>267.10000000000002</v>
      </c>
      <c r="AV33" s="1708">
        <v>267.2</v>
      </c>
      <c r="AW33" s="1723">
        <v>252.6</v>
      </c>
      <c r="AX33" s="1723">
        <v>272.5</v>
      </c>
      <c r="AY33" s="1723">
        <v>338.8</v>
      </c>
      <c r="AZ33" s="1723">
        <v>345.8</v>
      </c>
      <c r="BA33" s="1723">
        <v>374</v>
      </c>
      <c r="BB33" s="1728">
        <v>377.4</v>
      </c>
      <c r="BC33" s="1877">
        <v>381.7</v>
      </c>
      <c r="BD33" s="1766">
        <v>349.3</v>
      </c>
      <c r="BE33" s="1718">
        <v>353.2</v>
      </c>
      <c r="BF33" s="1893">
        <v>358</v>
      </c>
      <c r="BG33" s="1766">
        <v>375</v>
      </c>
      <c r="BH33" s="1766">
        <v>375</v>
      </c>
      <c r="BI33" s="1766">
        <v>403</v>
      </c>
      <c r="BJ33" s="1766">
        <v>408.9</v>
      </c>
      <c r="BK33" s="1766">
        <v>430.2</v>
      </c>
      <c r="BL33" s="1766">
        <v>453.8</v>
      </c>
      <c r="BM33" s="1766">
        <v>456.9</v>
      </c>
      <c r="BN33" s="1894">
        <v>472.6</v>
      </c>
      <c r="BO33" s="1766">
        <v>498.1</v>
      </c>
      <c r="BP33" s="1766">
        <v>524.1</v>
      </c>
      <c r="BQ33" s="1766">
        <v>548.1</v>
      </c>
      <c r="BR33" s="1766">
        <v>571.6</v>
      </c>
      <c r="BS33" s="1766">
        <v>572.4</v>
      </c>
      <c r="BT33" s="1766">
        <v>570.9</v>
      </c>
      <c r="BU33" s="1766">
        <v>597.20000000000005</v>
      </c>
      <c r="BV33" s="1766">
        <v>622</v>
      </c>
      <c r="BW33" s="1766">
        <v>635.70000000000005</v>
      </c>
      <c r="BX33" s="1766">
        <v>638.20000000000005</v>
      </c>
      <c r="BY33" s="1766">
        <v>643.79999999999995</v>
      </c>
      <c r="BZ33" s="1766">
        <v>665.6</v>
      </c>
      <c r="CA33" s="1766">
        <v>665.6</v>
      </c>
      <c r="CB33" s="1766">
        <v>712.3</v>
      </c>
      <c r="CC33" s="1766">
        <v>741.3</v>
      </c>
      <c r="CD33" s="1766">
        <v>772.3</v>
      </c>
      <c r="CE33" s="1766">
        <v>825.4</v>
      </c>
      <c r="CF33" s="1766">
        <v>861.1</v>
      </c>
      <c r="CG33" s="1766">
        <v>901.2</v>
      </c>
      <c r="CH33" s="1766">
        <v>975.1</v>
      </c>
      <c r="CI33" s="1766">
        <v>1004.1</v>
      </c>
      <c r="CJ33" s="1766">
        <v>1062.7</v>
      </c>
      <c r="CK33" s="1766">
        <v>1117.7</v>
      </c>
      <c r="CL33" s="1766">
        <v>1233.5</v>
      </c>
      <c r="CM33" s="1766">
        <v>1355.6</v>
      </c>
      <c r="CN33" s="1894">
        <v>1405.8</v>
      </c>
      <c r="CP33" s="1872"/>
      <c r="CQ33" s="1906"/>
      <c r="CR33" s="1906"/>
      <c r="CS33" s="1898"/>
      <c r="CT33" s="1898"/>
      <c r="CU33" s="1898"/>
      <c r="CV33" s="1898"/>
    </row>
    <row r="34" spans="2:100" s="1668" customFormat="1" ht="15.75">
      <c r="B34" s="1677"/>
      <c r="C34" s="1678"/>
      <c r="D34" s="1237"/>
      <c r="E34" s="1679"/>
      <c r="F34" s="1679"/>
      <c r="G34" s="1679"/>
      <c r="H34" s="1679"/>
      <c r="I34" s="1679"/>
      <c r="J34" s="1679"/>
      <c r="K34" s="1679"/>
      <c r="L34" s="1679"/>
      <c r="M34" s="1679"/>
      <c r="N34" s="1679"/>
      <c r="O34" s="1679"/>
      <c r="P34" s="1694"/>
      <c r="Q34" s="1681"/>
      <c r="R34" s="1681"/>
      <c r="S34" s="1681"/>
      <c r="T34" s="1681"/>
      <c r="U34" s="1681"/>
      <c r="V34" s="1709"/>
      <c r="W34" s="1710"/>
      <c r="X34" s="1710"/>
      <c r="Y34" s="1710"/>
      <c r="Z34" s="1710"/>
      <c r="AA34" s="1710"/>
      <c r="AB34" s="1710"/>
      <c r="AC34" s="1710"/>
      <c r="AD34" s="1710"/>
      <c r="AE34" s="1710"/>
      <c r="AF34" s="1710"/>
      <c r="AG34" s="1710"/>
      <c r="AH34" s="1710"/>
      <c r="AI34" s="1724"/>
      <c r="AJ34" s="1724"/>
      <c r="AK34" s="1724"/>
      <c r="AL34" s="1724"/>
      <c r="AM34" s="1724"/>
      <c r="AN34" s="1724"/>
      <c r="AO34" s="1724"/>
      <c r="AP34" s="1724"/>
      <c r="AQ34" s="1724"/>
      <c r="AR34" s="1724"/>
      <c r="AS34" s="1724"/>
      <c r="AT34" s="1710"/>
      <c r="AU34" s="1710"/>
      <c r="AV34" s="1710"/>
      <c r="AW34" s="1724"/>
      <c r="AX34" s="1724"/>
      <c r="AY34" s="1724"/>
      <c r="AZ34" s="1724"/>
      <c r="BA34" s="1724"/>
      <c r="BB34" s="1729"/>
      <c r="BC34" s="1724"/>
      <c r="BD34" s="1724"/>
      <c r="BE34" s="1710"/>
      <c r="BF34" s="1680"/>
      <c r="BG34" s="1724"/>
      <c r="BH34" s="1724"/>
      <c r="BI34" s="1724"/>
      <c r="BJ34" s="1724"/>
      <c r="BK34" s="1724"/>
      <c r="BL34" s="1724"/>
      <c r="BM34" s="1724"/>
      <c r="BN34" s="1729"/>
      <c r="BO34" s="1724"/>
      <c r="BP34" s="1724"/>
      <c r="BQ34" s="1724"/>
      <c r="BR34" s="1724"/>
      <c r="BS34" s="1724"/>
      <c r="BT34" s="1724"/>
      <c r="BU34" s="1724"/>
      <c r="BV34" s="1724"/>
      <c r="BW34" s="1724"/>
      <c r="BX34" s="1724"/>
      <c r="BY34" s="1724"/>
      <c r="BZ34" s="1724"/>
      <c r="CA34" s="1724"/>
      <c r="CB34" s="1724"/>
      <c r="CC34" s="1724"/>
      <c r="CD34" s="1724"/>
      <c r="CE34" s="1724"/>
      <c r="CF34" s="1724"/>
      <c r="CG34" s="1724"/>
      <c r="CH34" s="1724"/>
      <c r="CI34" s="1724"/>
      <c r="CJ34" s="1724"/>
      <c r="CK34" s="1724"/>
      <c r="CL34" s="1724"/>
      <c r="CM34" s="1724"/>
      <c r="CN34" s="1729"/>
      <c r="CP34" s="1668">
        <v>166</v>
      </c>
    </row>
    <row r="35" spans="2:100" s="1668" customFormat="1" ht="16.5" thickBot="1">
      <c r="B35" s="1682"/>
      <c r="C35" s="1683"/>
      <c r="D35" s="1339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701"/>
      <c r="Q35" s="1686"/>
      <c r="R35" s="1686"/>
      <c r="S35" s="1686"/>
      <c r="T35" s="1686"/>
      <c r="U35" s="1686"/>
      <c r="V35" s="1711"/>
      <c r="W35" s="1712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25"/>
      <c r="AJ35" s="1725"/>
      <c r="AK35" s="1725"/>
      <c r="AL35" s="1725"/>
      <c r="AM35" s="1725"/>
      <c r="AN35" s="1725"/>
      <c r="AO35" s="1725"/>
      <c r="AP35" s="1725"/>
      <c r="AQ35" s="1725"/>
      <c r="AR35" s="1725"/>
      <c r="AS35" s="1725"/>
      <c r="AT35" s="1712"/>
      <c r="AU35" s="1712"/>
      <c r="AV35" s="1712"/>
      <c r="AW35" s="1725"/>
      <c r="AX35" s="1725"/>
      <c r="AY35" s="1725"/>
      <c r="AZ35" s="1725"/>
      <c r="BA35" s="1725"/>
      <c r="BB35" s="1730"/>
      <c r="BC35" s="1725"/>
      <c r="BD35" s="1725"/>
      <c r="BE35" s="1712"/>
      <c r="BF35" s="1685"/>
      <c r="BG35" s="1725"/>
      <c r="BH35" s="1725"/>
      <c r="BI35" s="1725"/>
      <c r="BJ35" s="1725"/>
      <c r="BK35" s="1725"/>
      <c r="BL35" s="1725"/>
      <c r="BM35" s="1725"/>
      <c r="BN35" s="1730"/>
      <c r="BO35" s="1725"/>
      <c r="BP35" s="1725"/>
      <c r="BQ35" s="1725"/>
      <c r="BR35" s="1725"/>
      <c r="BS35" s="1725"/>
      <c r="BT35" s="1725"/>
      <c r="BU35" s="1725"/>
      <c r="BV35" s="1725"/>
      <c r="BW35" s="1725"/>
      <c r="BX35" s="1725"/>
      <c r="BY35" s="1725"/>
      <c r="BZ35" s="1725"/>
      <c r="CA35" s="1725"/>
      <c r="CB35" s="1725"/>
      <c r="CC35" s="1725"/>
      <c r="CD35" s="1725"/>
      <c r="CE35" s="1725"/>
      <c r="CF35" s="1725"/>
      <c r="CG35" s="1725"/>
      <c r="CH35" s="1725"/>
      <c r="CI35" s="1725"/>
      <c r="CJ35" s="1725"/>
      <c r="CK35" s="1725"/>
      <c r="CL35" s="1725"/>
      <c r="CM35" s="1725"/>
      <c r="CN35" s="1730"/>
      <c r="CP35" s="1668">
        <v>162</v>
      </c>
    </row>
    <row r="36" spans="2:100" ht="13.5" thickBot="1"/>
    <row r="37" spans="2:100" ht="13.5" hidden="1" thickBot="1"/>
    <row r="38" spans="2:100" s="1668" customFormat="1" ht="16.5" thickBot="1">
      <c r="B38" s="1667"/>
      <c r="C38" s="1667"/>
      <c r="D38" s="2596" t="s">
        <v>984</v>
      </c>
      <c r="E38" s="2597"/>
      <c r="F38" s="2597"/>
      <c r="G38" s="2597"/>
      <c r="H38" s="2597"/>
      <c r="I38" s="2598"/>
    </row>
    <row r="39" spans="2:100" s="1668" customFormat="1" ht="45.75" customHeight="1" thickBot="1">
      <c r="B39" s="1620" t="s">
        <v>986</v>
      </c>
      <c r="C39" s="1624" t="s">
        <v>974</v>
      </c>
      <c r="D39" s="1625">
        <v>42278</v>
      </c>
      <c r="E39" s="1625">
        <v>42309</v>
      </c>
      <c r="F39" s="1625">
        <v>42339</v>
      </c>
      <c r="G39" s="1625">
        <v>42370</v>
      </c>
      <c r="H39" s="1625">
        <v>42401</v>
      </c>
      <c r="I39" s="1626">
        <v>42430</v>
      </c>
      <c r="J39" s="1626">
        <v>42461</v>
      </c>
      <c r="K39" s="1626">
        <v>42491</v>
      </c>
      <c r="L39" s="1626">
        <v>42522</v>
      </c>
      <c r="M39" s="1622">
        <v>42552</v>
      </c>
      <c r="N39" s="1622">
        <v>42583</v>
      </c>
      <c r="O39" s="1622">
        <v>42614</v>
      </c>
      <c r="P39" s="1622">
        <v>42644</v>
      </c>
      <c r="Q39" s="1622">
        <v>42675</v>
      </c>
      <c r="R39" s="1622">
        <v>42705</v>
      </c>
      <c r="S39" s="1646">
        <v>42736</v>
      </c>
      <c r="T39" s="1646">
        <v>42767</v>
      </c>
      <c r="U39" s="1646">
        <v>42795</v>
      </c>
      <c r="V39" s="1646">
        <v>42826</v>
      </c>
      <c r="W39" s="1646">
        <v>42856</v>
      </c>
      <c r="X39" s="1646">
        <v>42887</v>
      </c>
      <c r="Y39" s="1646">
        <v>42917</v>
      </c>
      <c r="Z39" s="1646">
        <v>42948</v>
      </c>
      <c r="AA39" s="1734">
        <v>42979</v>
      </c>
      <c r="AB39" s="1626">
        <v>43009</v>
      </c>
      <c r="AC39" s="1626">
        <v>43040</v>
      </c>
      <c r="AD39" s="1626">
        <v>43070</v>
      </c>
      <c r="AE39" s="1626">
        <v>43101</v>
      </c>
      <c r="AF39" s="1626">
        <v>43132</v>
      </c>
      <c r="AG39" s="1626">
        <v>43160</v>
      </c>
      <c r="AH39" s="1626">
        <v>43191</v>
      </c>
      <c r="AI39" s="1626">
        <v>43221</v>
      </c>
      <c r="AJ39" s="1626">
        <v>43252</v>
      </c>
      <c r="AK39" s="1626">
        <v>43282</v>
      </c>
      <c r="AL39" s="1626">
        <v>43313</v>
      </c>
      <c r="AM39" s="1626">
        <v>43344</v>
      </c>
      <c r="AN39" s="1626">
        <v>43374</v>
      </c>
      <c r="AO39" s="1626">
        <v>43405</v>
      </c>
      <c r="AP39" s="1626">
        <v>43435</v>
      </c>
      <c r="AQ39" s="1626">
        <v>43466</v>
      </c>
      <c r="AR39" s="1626">
        <v>43497</v>
      </c>
      <c r="AS39" s="1626">
        <v>43525</v>
      </c>
      <c r="AT39" s="1626">
        <v>43556</v>
      </c>
      <c r="AU39" s="1646">
        <v>43586</v>
      </c>
      <c r="AV39" s="1646">
        <v>43617</v>
      </c>
      <c r="AW39" s="1646">
        <v>43647</v>
      </c>
      <c r="AX39" s="1646">
        <v>43678</v>
      </c>
      <c r="AY39" s="1646">
        <v>43709</v>
      </c>
      <c r="AZ39" s="1646">
        <v>43739</v>
      </c>
      <c r="BA39" s="1646">
        <v>43770</v>
      </c>
      <c r="BB39" s="1646">
        <v>43800</v>
      </c>
      <c r="BC39" s="1646">
        <v>43831</v>
      </c>
      <c r="BD39" s="1646">
        <v>43862</v>
      </c>
      <c r="BE39" s="1646">
        <v>43891</v>
      </c>
      <c r="BF39" s="1646">
        <v>43922</v>
      </c>
      <c r="BG39" s="1646">
        <v>43952</v>
      </c>
      <c r="BH39" s="1646">
        <v>43983</v>
      </c>
      <c r="BI39" s="1646">
        <v>44013</v>
      </c>
      <c r="BJ39" s="1646">
        <v>44044</v>
      </c>
      <c r="BK39" s="1646">
        <v>44075</v>
      </c>
      <c r="BL39" s="1646">
        <v>44105</v>
      </c>
      <c r="BM39" s="1646">
        <v>44136</v>
      </c>
      <c r="BN39" s="1646">
        <v>44166</v>
      </c>
      <c r="BO39" s="1646">
        <v>44197</v>
      </c>
      <c r="BP39" s="1646">
        <v>44228</v>
      </c>
      <c r="BQ39" s="1646">
        <v>44256</v>
      </c>
      <c r="BR39" s="1646">
        <v>44287</v>
      </c>
      <c r="BS39" s="1646">
        <v>44317</v>
      </c>
      <c r="BT39" s="1646">
        <v>44348</v>
      </c>
      <c r="BU39" s="1646">
        <v>44378</v>
      </c>
      <c r="BV39" s="1646">
        <v>44409</v>
      </c>
      <c r="BW39" s="1646">
        <v>44440</v>
      </c>
      <c r="BX39" s="1646">
        <v>44470</v>
      </c>
      <c r="BY39" s="1646">
        <v>44501</v>
      </c>
      <c r="BZ39" s="1646">
        <v>44531</v>
      </c>
      <c r="CA39" s="1646">
        <v>44562</v>
      </c>
      <c r="CB39" s="1646">
        <v>44593</v>
      </c>
      <c r="CC39" s="1646">
        <v>44621</v>
      </c>
      <c r="CD39" s="1646">
        <v>44652</v>
      </c>
      <c r="CE39" s="1646">
        <v>44682</v>
      </c>
      <c r="CF39" s="1646">
        <v>44713</v>
      </c>
      <c r="CG39" s="1646">
        <v>44743</v>
      </c>
      <c r="CH39" s="1646">
        <v>44774</v>
      </c>
      <c r="CI39" s="1646">
        <v>44805</v>
      </c>
      <c r="CJ39" s="1646">
        <v>44835</v>
      </c>
      <c r="CK39" s="1646">
        <v>44866</v>
      </c>
      <c r="CL39" s="1646">
        <v>44896</v>
      </c>
      <c r="CM39" s="1646">
        <f>+CM30</f>
        <v>44927</v>
      </c>
      <c r="CN39" s="1646">
        <f>+CN30</f>
        <v>44958</v>
      </c>
    </row>
    <row r="40" spans="2:100" s="1668" customFormat="1" ht="24" customHeight="1">
      <c r="B40" s="1671" t="s">
        <v>987</v>
      </c>
      <c r="C40" s="1687">
        <v>0.5</v>
      </c>
      <c r="D40" s="1688">
        <v>1</v>
      </c>
      <c r="E40" s="1688">
        <f t="shared" ref="E40:AP40" si="14">+E31/D31</f>
        <v>1.0542780926619826</v>
      </c>
      <c r="F40" s="1688">
        <f t="shared" si="14"/>
        <v>1.0103270975635028</v>
      </c>
      <c r="G40" s="1688">
        <f t="shared" si="14"/>
        <v>1.1183294045749361</v>
      </c>
      <c r="H40" s="1688">
        <f t="shared" si="14"/>
        <v>1.2062053505229278</v>
      </c>
      <c r="I40" s="1689">
        <f t="shared" si="14"/>
        <v>1.0474745190581556</v>
      </c>
      <c r="J40" s="1689">
        <f t="shared" si="14"/>
        <v>0.97553127949855323</v>
      </c>
      <c r="K40" s="1689">
        <f t="shared" si="14"/>
        <v>0.9979027343065614</v>
      </c>
      <c r="L40" s="1689">
        <f t="shared" si="14"/>
        <v>1.0120551529717356</v>
      </c>
      <c r="M40" s="1689">
        <f t="shared" si="14"/>
        <v>0.9953259045264865</v>
      </c>
      <c r="N40" s="1689">
        <f t="shared" si="14"/>
        <v>0.98426082763801492</v>
      </c>
      <c r="O40" s="1689">
        <f t="shared" si="14"/>
        <v>0.99999578154015745</v>
      </c>
      <c r="P40" s="1688">
        <f t="shared" si="14"/>
        <v>1.0511550418730569</v>
      </c>
      <c r="Q40" s="1690">
        <f t="shared" si="14"/>
        <v>0.97221293100059247</v>
      </c>
      <c r="R40" s="1690">
        <f t="shared" si="14"/>
        <v>1.009236946043818</v>
      </c>
      <c r="S40" s="1690">
        <f t="shared" si="14"/>
        <v>1.0458072013645479</v>
      </c>
      <c r="T40" s="1690">
        <f t="shared" si="14"/>
        <v>1.0113013994479061</v>
      </c>
      <c r="U40" s="1690">
        <f t="shared" si="14"/>
        <v>0.99737316975221457</v>
      </c>
      <c r="V40" s="1713">
        <f t="shared" si="14"/>
        <v>0.99999999001785433</v>
      </c>
      <c r="W40" s="1714">
        <f t="shared" si="14"/>
        <v>1.0342593551387238</v>
      </c>
      <c r="X40" s="1714">
        <f t="shared" si="14"/>
        <v>0.97349894047303676</v>
      </c>
      <c r="Y40" s="1714">
        <f t="shared" si="14"/>
        <v>1.0231568481004796</v>
      </c>
      <c r="Z40" s="1714">
        <f t="shared" si="14"/>
        <v>1.0001357485185385</v>
      </c>
      <c r="AA40" s="1716">
        <f t="shared" si="14"/>
        <v>0.99931013929667323</v>
      </c>
      <c r="AB40" s="1716">
        <f t="shared" si="14"/>
        <v>1.0133732071949677</v>
      </c>
      <c r="AC40" s="1716">
        <f t="shared" si="14"/>
        <v>1.0071283567448261</v>
      </c>
      <c r="AD40" s="1716">
        <f t="shared" si="14"/>
        <v>1.0091780614098482</v>
      </c>
      <c r="AE40" s="1716">
        <f t="shared" si="14"/>
        <v>1.0167101678512467</v>
      </c>
      <c r="AF40" s="1716">
        <f t="shared" si="14"/>
        <v>1.0164809374884634</v>
      </c>
      <c r="AG40" s="1716">
        <f t="shared" si="14"/>
        <v>1.0108631925204163</v>
      </c>
      <c r="AH40" s="1716">
        <f t="shared" si="14"/>
        <v>1.0030738255033556</v>
      </c>
      <c r="AI40" s="1726">
        <f t="shared" si="14"/>
        <v>1.1233007736240692</v>
      </c>
      <c r="AJ40" s="1726">
        <f t="shared" si="14"/>
        <v>1.0343055264699359</v>
      </c>
      <c r="AK40" s="1726">
        <f t="shared" si="14"/>
        <v>1.1079338955361913</v>
      </c>
      <c r="AL40" s="1726">
        <f t="shared" si="14"/>
        <v>1.0536311278929169</v>
      </c>
      <c r="AM40" s="1726">
        <f t="shared" si="14"/>
        <v>1.190365451949877</v>
      </c>
      <c r="AN40" s="1726">
        <f t="shared" si="14"/>
        <v>1.0866738867933923</v>
      </c>
      <c r="AO40" s="1726">
        <f t="shared" si="14"/>
        <v>0.97251071606289075</v>
      </c>
      <c r="AP40" s="1726">
        <f t="shared" si="14"/>
        <v>1.04419168941176</v>
      </c>
      <c r="AQ40" s="1726">
        <f t="shared" ref="AQ40:CH40" si="15">+AQ31/AP31</f>
        <v>1.0322970770180928</v>
      </c>
      <c r="AR40" s="1767">
        <f t="shared" si="15"/>
        <v>1.0021411060377265</v>
      </c>
      <c r="AS40" s="1767">
        <f t="shared" si="15"/>
        <v>1.020498031800622</v>
      </c>
      <c r="AT40" s="1768">
        <f t="shared" si="15"/>
        <v>0.9881114660162168</v>
      </c>
      <c r="AU40" s="1768">
        <f t="shared" si="15"/>
        <v>1.0277004813209305</v>
      </c>
      <c r="AV40" s="1768">
        <f t="shared" si="15"/>
        <v>1.007233544380802</v>
      </c>
      <c r="AW40" s="1767">
        <f t="shared" si="15"/>
        <v>1.0038618747712902</v>
      </c>
      <c r="AX40" s="1767">
        <f t="shared" si="15"/>
        <v>1.2185084474242711</v>
      </c>
      <c r="AY40" s="1767">
        <f t="shared" si="15"/>
        <v>1.0053218642335111</v>
      </c>
      <c r="AZ40" s="1767">
        <f t="shared" si="15"/>
        <v>1.06074142607147</v>
      </c>
      <c r="BA40" s="1767">
        <f t="shared" si="15"/>
        <v>1.0260162601626017</v>
      </c>
      <c r="BB40" s="1765">
        <f t="shared" si="15"/>
        <v>1</v>
      </c>
      <c r="BC40" s="1767">
        <f t="shared" si="15"/>
        <v>1</v>
      </c>
      <c r="BD40" s="1767">
        <f t="shared" si="15"/>
        <v>1</v>
      </c>
      <c r="BE40" s="1768">
        <f t="shared" si="15"/>
        <v>1.0076391415060022</v>
      </c>
      <c r="BF40" s="1895">
        <f t="shared" si="15"/>
        <v>1.0254512635379063</v>
      </c>
      <c r="BG40" s="1767">
        <f t="shared" si="15"/>
        <v>1.020594965675057</v>
      </c>
      <c r="BH40" s="1767">
        <f t="shared" si="15"/>
        <v>1.0170748533977234</v>
      </c>
      <c r="BI40" s="1767">
        <f t="shared" si="15"/>
        <v>1.0230625741902661</v>
      </c>
      <c r="BJ40" s="1767">
        <f t="shared" si="15"/>
        <v>0.94662688546328533</v>
      </c>
      <c r="BK40" s="1767">
        <f t="shared" si="15"/>
        <v>1.0343197338469621</v>
      </c>
      <c r="BL40" s="1767">
        <f t="shared" si="15"/>
        <v>1.0397833079397325</v>
      </c>
      <c r="BM40" s="1767">
        <f t="shared" si="15"/>
        <v>1.0431455551937479</v>
      </c>
      <c r="BN40" s="1765">
        <f t="shared" si="15"/>
        <v>1.0335570469798658</v>
      </c>
      <c r="BO40" s="1767">
        <f t="shared" si="15"/>
        <v>1.1347025067955299</v>
      </c>
      <c r="BP40" s="1767">
        <f t="shared" si="15"/>
        <v>1.046712802768166</v>
      </c>
      <c r="BQ40" s="1767">
        <f t="shared" si="15"/>
        <v>1.0413223140495869</v>
      </c>
      <c r="BR40" s="1767">
        <f t="shared" si="15"/>
        <v>1.035164835164835</v>
      </c>
      <c r="BS40" s="1767">
        <f t="shared" si="15"/>
        <v>1.0350318471337581</v>
      </c>
      <c r="BT40" s="1767">
        <f t="shared" si="15"/>
        <v>1.0276923076923077</v>
      </c>
      <c r="BU40" s="1767">
        <f t="shared" si="15"/>
        <v>1.0250609891328455</v>
      </c>
      <c r="BV40" s="1767">
        <f t="shared" si="15"/>
        <v>1.0081133708351364</v>
      </c>
      <c r="BW40" s="1767">
        <f t="shared" si="15"/>
        <v>1.0529026719605108</v>
      </c>
      <c r="BX40" s="1767">
        <f t="shared" si="15"/>
        <v>1.0292498980839788</v>
      </c>
      <c r="BY40" s="1767">
        <f t="shared" si="15"/>
        <v>1.0317853252797307</v>
      </c>
      <c r="BZ40" s="1767">
        <f t="shared" si="15"/>
        <v>1.0348368522072937</v>
      </c>
      <c r="CA40" s="1767">
        <f t="shared" si="15"/>
        <v>1.0559213576926643</v>
      </c>
      <c r="CB40" s="1767">
        <f t="shared" si="15"/>
        <v>1.0395222202705077</v>
      </c>
      <c r="CC40" s="1767">
        <f t="shared" si="15"/>
        <v>1.0377661372085165</v>
      </c>
      <c r="CD40" s="1767">
        <f t="shared" si="15"/>
        <v>1.0858096556215908</v>
      </c>
      <c r="CE40" s="1767">
        <f t="shared" si="15"/>
        <v>1.0101222163904926</v>
      </c>
      <c r="CF40" s="1767">
        <f t="shared" si="15"/>
        <v>1.0745249406175772</v>
      </c>
      <c r="CG40" s="1767">
        <f t="shared" si="15"/>
        <v>1.057474440453164</v>
      </c>
      <c r="CH40" s="1767">
        <f t="shared" si="15"/>
        <v>1.0568983538019336</v>
      </c>
      <c r="CI40" s="1767">
        <f t="shared" ref="CI40:CN40" si="16">+CI31/CH31</f>
        <v>1.0756536250695345</v>
      </c>
      <c r="CJ40" s="1767">
        <f t="shared" si="16"/>
        <v>1.0615985749583405</v>
      </c>
      <c r="CK40" s="1767">
        <f t="shared" si="16"/>
        <v>1.0428687415426252</v>
      </c>
      <c r="CL40" s="1767">
        <f t="shared" si="16"/>
        <v>1.077853324336949</v>
      </c>
      <c r="CM40" s="1767">
        <f t="shared" si="16"/>
        <v>1.0670294216786249</v>
      </c>
      <c r="CN40" s="1765">
        <f t="shared" si="16"/>
        <v>1.0725664515546729</v>
      </c>
    </row>
    <row r="41" spans="2:100" s="1668" customFormat="1" ht="24" customHeight="1">
      <c r="B41" s="1673" t="s">
        <v>988</v>
      </c>
      <c r="C41" s="1691">
        <v>0.1</v>
      </c>
      <c r="D41" s="1688">
        <v>1</v>
      </c>
      <c r="E41" s="1688">
        <f t="shared" ref="E41:AJ41" si="17">+E32/D32</f>
        <v>1.0377300609099653</v>
      </c>
      <c r="F41" s="1688">
        <f t="shared" si="17"/>
        <v>1.1403796804469819</v>
      </c>
      <c r="G41" s="1688">
        <f t="shared" si="17"/>
        <v>1.0965637582212451</v>
      </c>
      <c r="H41" s="1688">
        <f t="shared" si="17"/>
        <v>1.0775020390428376</v>
      </c>
      <c r="I41" s="1689">
        <f t="shared" si="17"/>
        <v>1.0609939136288919</v>
      </c>
      <c r="J41" s="1689">
        <f t="shared" si="17"/>
        <v>1.0286593738314056</v>
      </c>
      <c r="K41" s="1689">
        <f t="shared" si="17"/>
        <v>1.0754124683220978</v>
      </c>
      <c r="L41" s="1689">
        <f t="shared" si="17"/>
        <v>1.045330166265251</v>
      </c>
      <c r="M41" s="1689">
        <f t="shared" si="17"/>
        <v>1.004476353539177</v>
      </c>
      <c r="N41" s="1689">
        <f t="shared" si="17"/>
        <v>1.0150833132294588</v>
      </c>
      <c r="O41" s="1689">
        <f t="shared" si="17"/>
        <v>1.0247570654120064</v>
      </c>
      <c r="P41" s="1688">
        <f t="shared" si="17"/>
        <v>1.0082803230849988</v>
      </c>
      <c r="Q41" s="1692">
        <f t="shared" si="17"/>
        <v>1.0585682349730132</v>
      </c>
      <c r="R41" s="1692">
        <f t="shared" si="17"/>
        <v>1.0007271697362521</v>
      </c>
      <c r="S41" s="1692">
        <f t="shared" si="17"/>
        <v>1.018176890184689</v>
      </c>
      <c r="T41" s="1692">
        <f t="shared" si="17"/>
        <v>1.0443962700465876</v>
      </c>
      <c r="U41" s="1692">
        <f t="shared" si="17"/>
        <v>1.0044898282975125</v>
      </c>
      <c r="V41" s="1715">
        <f t="shared" si="17"/>
        <v>1.0155694892474676</v>
      </c>
      <c r="W41" s="1716">
        <f t="shared" si="17"/>
        <v>0.99999990312117359</v>
      </c>
      <c r="X41" s="1716">
        <f t="shared" si="17"/>
        <v>1</v>
      </c>
      <c r="Y41" s="1716">
        <f t="shared" si="17"/>
        <v>1</v>
      </c>
      <c r="Z41" s="1716">
        <f t="shared" si="17"/>
        <v>1</v>
      </c>
      <c r="AA41" s="1716">
        <f t="shared" si="17"/>
        <v>1</v>
      </c>
      <c r="AB41" s="1716">
        <f t="shared" si="17"/>
        <v>1.0172552350657666</v>
      </c>
      <c r="AC41" s="1716">
        <f t="shared" si="17"/>
        <v>1</v>
      </c>
      <c r="AD41" s="1716">
        <f t="shared" si="17"/>
        <v>0.99999952153273397</v>
      </c>
      <c r="AE41" s="1716">
        <f t="shared" si="17"/>
        <v>1.0280499781833197</v>
      </c>
      <c r="AF41" s="1716">
        <f t="shared" si="17"/>
        <v>1</v>
      </c>
      <c r="AG41" s="1716">
        <f t="shared" si="17"/>
        <v>1.0095698453512991</v>
      </c>
      <c r="AH41" s="1716">
        <f t="shared" si="17"/>
        <v>1.1004216310497308</v>
      </c>
      <c r="AI41" s="1726">
        <f t="shared" si="17"/>
        <v>1.1492218378445207</v>
      </c>
      <c r="AJ41" s="1726">
        <f t="shared" si="17"/>
        <v>1.0168368816525371</v>
      </c>
      <c r="AK41" s="1726">
        <f t="shared" ref="AK41:CN41" si="18">+AK32/AJ32</f>
        <v>1.0003606724961787</v>
      </c>
      <c r="AL41" s="1726">
        <f t="shared" si="18"/>
        <v>1</v>
      </c>
      <c r="AM41" s="1726">
        <f t="shared" si="18"/>
        <v>1</v>
      </c>
      <c r="AN41" s="1726">
        <f t="shared" si="18"/>
        <v>1</v>
      </c>
      <c r="AO41" s="1726">
        <f t="shared" si="18"/>
        <v>1</v>
      </c>
      <c r="AP41" s="1726">
        <f t="shared" si="18"/>
        <v>1</v>
      </c>
      <c r="AQ41" s="1726">
        <f t="shared" si="18"/>
        <v>0.99962401655726729</v>
      </c>
      <c r="AR41" s="1726">
        <f t="shared" si="18"/>
        <v>1</v>
      </c>
      <c r="AS41" s="1726">
        <f t="shared" si="18"/>
        <v>1</v>
      </c>
      <c r="AT41" s="1716">
        <f t="shared" si="18"/>
        <v>1</v>
      </c>
      <c r="AU41" s="1716">
        <f t="shared" si="18"/>
        <v>1</v>
      </c>
      <c r="AV41" s="1716">
        <f t="shared" si="18"/>
        <v>1</v>
      </c>
      <c r="AW41" s="1726">
        <f t="shared" si="18"/>
        <v>1</v>
      </c>
      <c r="AX41" s="1726">
        <f t="shared" si="18"/>
        <v>1</v>
      </c>
      <c r="AY41" s="1726">
        <f t="shared" si="18"/>
        <v>1</v>
      </c>
      <c r="AZ41" s="1726">
        <f t="shared" si="18"/>
        <v>1</v>
      </c>
      <c r="BA41" s="1726">
        <f t="shared" si="18"/>
        <v>1</v>
      </c>
      <c r="BB41" s="1731">
        <f t="shared" si="18"/>
        <v>1</v>
      </c>
      <c r="BC41" s="1726">
        <f t="shared" si="18"/>
        <v>1.0779326811359011</v>
      </c>
      <c r="BD41" s="1726">
        <f t="shared" si="18"/>
        <v>1.0156902730769</v>
      </c>
      <c r="BE41" s="1716">
        <f t="shared" si="18"/>
        <v>1.0278440731901353</v>
      </c>
      <c r="BF41" s="1896">
        <f t="shared" si="18"/>
        <v>1.0190918472652217</v>
      </c>
      <c r="BG41" s="1726">
        <f t="shared" si="18"/>
        <v>1.021012658227848</v>
      </c>
      <c r="BH41" s="1726">
        <f t="shared" si="18"/>
        <v>1.0657079097446069</v>
      </c>
      <c r="BI41" s="1726">
        <f t="shared" si="18"/>
        <v>1.0195439739413681</v>
      </c>
      <c r="BJ41" s="1726">
        <f t="shared" si="18"/>
        <v>1.0180282975810133</v>
      </c>
      <c r="BK41" s="1726">
        <f t="shared" si="18"/>
        <v>1.0638870208473437</v>
      </c>
      <c r="BL41" s="1726">
        <f t="shared" si="18"/>
        <v>1.0225453013063632</v>
      </c>
      <c r="BM41" s="1726">
        <f t="shared" si="18"/>
        <v>1.0259633216567072</v>
      </c>
      <c r="BN41" s="1731">
        <f t="shared" si="18"/>
        <v>1.0307290620606548</v>
      </c>
      <c r="BO41" s="1726">
        <f t="shared" si="18"/>
        <v>1.074434918160561</v>
      </c>
      <c r="BP41" s="1726">
        <f t="shared" si="18"/>
        <v>1.0333696046427276</v>
      </c>
      <c r="BQ41" s="1726">
        <f t="shared" si="18"/>
        <v>1.0247455247455248</v>
      </c>
      <c r="BR41" s="1726">
        <f t="shared" si="18"/>
        <v>1.0193526288748074</v>
      </c>
      <c r="BS41" s="1726">
        <f t="shared" si="18"/>
        <v>1.0162970430107525</v>
      </c>
      <c r="BT41" s="1726">
        <f t="shared" si="18"/>
        <v>1.0376921805257069</v>
      </c>
      <c r="BU41" s="1726">
        <f t="shared" si="18"/>
        <v>1.0275609367532259</v>
      </c>
      <c r="BV41" s="1726">
        <f t="shared" si="18"/>
        <v>1.0201550387596898</v>
      </c>
      <c r="BW41" s="1726">
        <f t="shared" si="18"/>
        <v>1.0270516717325227</v>
      </c>
      <c r="BX41" s="1726">
        <f t="shared" si="18"/>
        <v>1.0168688961231134</v>
      </c>
      <c r="BY41" s="1726">
        <f t="shared" si="18"/>
        <v>1.0372526193247962</v>
      </c>
      <c r="BZ41" s="1726">
        <f t="shared" si="18"/>
        <v>1.0234287317620652</v>
      </c>
      <c r="CA41" s="1726">
        <f t="shared" si="18"/>
        <v>1.028649760109664</v>
      </c>
      <c r="CB41" s="1726">
        <f t="shared" si="18"/>
        <v>1.0261194029850746</v>
      </c>
      <c r="CC41" s="1726">
        <f t="shared" si="18"/>
        <v>1.0306493506493506</v>
      </c>
      <c r="CD41" s="1726">
        <f t="shared" si="18"/>
        <v>1.0432207661290323</v>
      </c>
      <c r="CE41" s="1726">
        <f t="shared" si="18"/>
        <v>1.0608769175021138</v>
      </c>
      <c r="CF41" s="1726">
        <f t="shared" si="18"/>
        <v>1.0934760332460436</v>
      </c>
      <c r="CG41" s="1726">
        <f t="shared" si="18"/>
        <v>1.0791336942940444</v>
      </c>
      <c r="CH41" s="1726">
        <f t="shared" si="18"/>
        <v>1.0977421844847548</v>
      </c>
      <c r="CI41" s="1726">
        <f t="shared" si="18"/>
        <v>1.0374439658961061</v>
      </c>
      <c r="CJ41" s="1726">
        <f t="shared" si="18"/>
        <v>1.0801491146318734</v>
      </c>
      <c r="CK41" s="1726">
        <f t="shared" si="18"/>
        <v>1.0557690799278374</v>
      </c>
      <c r="CL41" s="1726">
        <f t="shared" si="18"/>
        <v>1.0702080237741456</v>
      </c>
      <c r="CM41" s="1726">
        <f t="shared" si="18"/>
        <v>1.0434571329399513</v>
      </c>
      <c r="CN41" s="1731">
        <f t="shared" si="18"/>
        <v>1.0563502095668951</v>
      </c>
    </row>
    <row r="42" spans="2:100" s="1668" customFormat="1" ht="31.5">
      <c r="B42" s="1673" t="s">
        <v>989</v>
      </c>
      <c r="C42" s="1691">
        <v>0.4</v>
      </c>
      <c r="D42" s="1688">
        <v>1</v>
      </c>
      <c r="E42" s="1688">
        <f>+E33/D33</f>
        <v>1</v>
      </c>
      <c r="F42" s="1688">
        <f t="shared" ref="F42:CN42" si="19">+F33/E33</f>
        <v>1</v>
      </c>
      <c r="G42" s="1688">
        <f t="shared" si="19"/>
        <v>1.1120410986167779</v>
      </c>
      <c r="H42" s="1688">
        <f t="shared" si="19"/>
        <v>1</v>
      </c>
      <c r="I42" s="1689">
        <f t="shared" si="19"/>
        <v>1</v>
      </c>
      <c r="J42" s="1689">
        <f t="shared" si="19"/>
        <v>1</v>
      </c>
      <c r="K42" s="1689">
        <f t="shared" si="19"/>
        <v>1.0268458754131244</v>
      </c>
      <c r="L42" s="1689">
        <f t="shared" si="19"/>
        <v>1</v>
      </c>
      <c r="M42" s="1689">
        <f t="shared" si="19"/>
        <v>1</v>
      </c>
      <c r="N42" s="1689">
        <f t="shared" si="19"/>
        <v>1</v>
      </c>
      <c r="O42" s="1689">
        <f t="shared" si="19"/>
        <v>0.99999083412135692</v>
      </c>
      <c r="P42" s="1688">
        <f t="shared" si="19"/>
        <v>1</v>
      </c>
      <c r="Q42" s="1692">
        <f t="shared" si="19"/>
        <v>1.0000091659626571</v>
      </c>
      <c r="R42" s="1692">
        <f t="shared" si="19"/>
        <v>1</v>
      </c>
      <c r="S42" s="1692">
        <f t="shared" si="19"/>
        <v>1</v>
      </c>
      <c r="T42" s="1692">
        <f t="shared" si="19"/>
        <v>1</v>
      </c>
      <c r="U42" s="1692">
        <f t="shared" si="19"/>
        <v>1</v>
      </c>
      <c r="V42" s="1715">
        <f t="shared" si="19"/>
        <v>0.99999083412135692</v>
      </c>
      <c r="W42" s="1716">
        <f t="shared" si="19"/>
        <v>1.0000091659626571</v>
      </c>
      <c r="X42" s="1716">
        <f t="shared" si="19"/>
        <v>1</v>
      </c>
      <c r="Y42" s="1716">
        <f t="shared" si="19"/>
        <v>1</v>
      </c>
      <c r="Z42" s="1716">
        <f t="shared" si="19"/>
        <v>1</v>
      </c>
      <c r="AA42" s="1716">
        <f t="shared" si="19"/>
        <v>1</v>
      </c>
      <c r="AB42" s="1716">
        <f t="shared" si="19"/>
        <v>1</v>
      </c>
      <c r="AC42" s="1716">
        <f t="shared" si="19"/>
        <v>1</v>
      </c>
      <c r="AD42" s="1716">
        <f t="shared" si="19"/>
        <v>1</v>
      </c>
      <c r="AE42" s="1716">
        <f t="shared" si="19"/>
        <v>1</v>
      </c>
      <c r="AF42" s="1716">
        <f t="shared" si="19"/>
        <v>1</v>
      </c>
      <c r="AG42" s="1716">
        <f t="shared" si="19"/>
        <v>1</v>
      </c>
      <c r="AH42" s="1716">
        <f t="shared" si="19"/>
        <v>1</v>
      </c>
      <c r="AI42" s="1726">
        <f t="shared" si="19"/>
        <v>1.0858600718469353</v>
      </c>
      <c r="AJ42" s="1726">
        <f t="shared" si="19"/>
        <v>0.99997052057662983</v>
      </c>
      <c r="AK42" s="1726">
        <f t="shared" si="19"/>
        <v>1.0000294802924323</v>
      </c>
      <c r="AL42" s="1726">
        <f t="shared" si="19"/>
        <v>1</v>
      </c>
      <c r="AM42" s="1726">
        <f t="shared" si="19"/>
        <v>1</v>
      </c>
      <c r="AN42" s="1726">
        <f t="shared" si="19"/>
        <v>1</v>
      </c>
      <c r="AO42" s="1726">
        <f t="shared" si="19"/>
        <v>1</v>
      </c>
      <c r="AP42" s="1726">
        <f t="shared" si="19"/>
        <v>1</v>
      </c>
      <c r="AQ42" s="1726">
        <f t="shared" si="19"/>
        <v>0.45724219657561194</v>
      </c>
      <c r="AR42" s="1726">
        <f t="shared" si="19"/>
        <v>1.052245250431779</v>
      </c>
      <c r="AS42" s="1726">
        <f t="shared" si="19"/>
        <v>1.0340582683627411</v>
      </c>
      <c r="AT42" s="1716">
        <f t="shared" si="19"/>
        <v>1.0547619047619048</v>
      </c>
      <c r="AU42" s="1716">
        <f t="shared" si="19"/>
        <v>1.0048908954100828</v>
      </c>
      <c r="AV42" s="1716">
        <f t="shared" si="19"/>
        <v>1.0003743916136276</v>
      </c>
      <c r="AW42" s="1726">
        <f t="shared" si="19"/>
        <v>0.94535928143712578</v>
      </c>
      <c r="AX42" s="1726">
        <f t="shared" si="19"/>
        <v>1.0787806809184481</v>
      </c>
      <c r="AY42" s="1726">
        <f t="shared" si="19"/>
        <v>1.243302752293578</v>
      </c>
      <c r="AZ42" s="1726">
        <f t="shared" si="19"/>
        <v>1.0206611570247934</v>
      </c>
      <c r="BA42" s="1726">
        <f t="shared" si="19"/>
        <v>1.0815500289184499</v>
      </c>
      <c r="BB42" s="1731">
        <f t="shared" si="19"/>
        <v>1.009090909090909</v>
      </c>
      <c r="BC42" s="1726">
        <f t="shared" si="19"/>
        <v>1.0113937466878644</v>
      </c>
      <c r="BD42" s="1726">
        <f t="shared" si="19"/>
        <v>0.91511658370448001</v>
      </c>
      <c r="BE42" s="1716">
        <f t="shared" si="19"/>
        <v>1.0111651875178929</v>
      </c>
      <c r="BF42" s="1896">
        <f t="shared" si="19"/>
        <v>1.013590033975085</v>
      </c>
      <c r="BG42" s="1726">
        <f t="shared" si="19"/>
        <v>1.0474860335195531</v>
      </c>
      <c r="BH42" s="1726">
        <f t="shared" si="19"/>
        <v>1</v>
      </c>
      <c r="BI42" s="1726">
        <f t="shared" si="19"/>
        <v>1.0746666666666667</v>
      </c>
      <c r="BJ42" s="1726">
        <f t="shared" si="19"/>
        <v>1.0146401985111662</v>
      </c>
      <c r="BK42" s="1726">
        <f t="shared" si="19"/>
        <v>1.0520909757887014</v>
      </c>
      <c r="BL42" s="1726">
        <f t="shared" si="19"/>
        <v>1.0548582054858207</v>
      </c>
      <c r="BM42" s="1726">
        <f t="shared" si="19"/>
        <v>1.0068312031732041</v>
      </c>
      <c r="BN42" s="1731">
        <f t="shared" si="19"/>
        <v>1.0343620048150581</v>
      </c>
      <c r="BO42" s="1726">
        <f t="shared" si="19"/>
        <v>1.053956834532374</v>
      </c>
      <c r="BP42" s="1726">
        <f t="shared" si="19"/>
        <v>1.0521983537442281</v>
      </c>
      <c r="BQ42" s="1726">
        <f t="shared" si="19"/>
        <v>1.0457927876359474</v>
      </c>
      <c r="BR42" s="1726">
        <f t="shared" si="19"/>
        <v>1.0428753877029739</v>
      </c>
      <c r="BS42" s="1726">
        <f t="shared" si="19"/>
        <v>1.0013995801259621</v>
      </c>
      <c r="BT42" s="1726">
        <f t="shared" si="19"/>
        <v>0.99737945492662472</v>
      </c>
      <c r="BU42" s="1726">
        <f t="shared" si="19"/>
        <v>1.0460676125416011</v>
      </c>
      <c r="BV42" s="1726">
        <f t="shared" si="19"/>
        <v>1.0415271265907569</v>
      </c>
      <c r="BW42" s="1726">
        <f t="shared" si="19"/>
        <v>1.0220257234726688</v>
      </c>
      <c r="BX42" s="1726">
        <f t="shared" si="19"/>
        <v>1.0039326726443292</v>
      </c>
      <c r="BY42" s="1726">
        <f t="shared" si="19"/>
        <v>1.0087746787840801</v>
      </c>
      <c r="BZ42" s="1726">
        <f t="shared" si="19"/>
        <v>1.0338614476545511</v>
      </c>
      <c r="CA42" s="1726">
        <f t="shared" si="19"/>
        <v>1</v>
      </c>
      <c r="CB42" s="1726">
        <f t="shared" si="19"/>
        <v>1.0701622596153846</v>
      </c>
      <c r="CC42" s="1726">
        <f t="shared" si="19"/>
        <v>1.0407131826477607</v>
      </c>
      <c r="CD42" s="1726">
        <f t="shared" si="19"/>
        <v>1.0418184270875488</v>
      </c>
      <c r="CE42" s="1726">
        <f t="shared" si="19"/>
        <v>1.0687556648970609</v>
      </c>
      <c r="CF42" s="1726">
        <f t="shared" si="19"/>
        <v>1.0432517567240127</v>
      </c>
      <c r="CG42" s="1726">
        <f t="shared" si="19"/>
        <v>1.0465683428173267</v>
      </c>
      <c r="CH42" s="1726">
        <f t="shared" si="19"/>
        <v>1.0820017754105637</v>
      </c>
      <c r="CI42" s="1726">
        <f t="shared" si="19"/>
        <v>1.0297405394318531</v>
      </c>
      <c r="CJ42" s="1726">
        <f t="shared" si="19"/>
        <v>1.0583607210437207</v>
      </c>
      <c r="CK42" s="1726">
        <f t="shared" si="19"/>
        <v>1.0517549637715253</v>
      </c>
      <c r="CL42" s="1726">
        <f t="shared" si="19"/>
        <v>1.1036056186812204</v>
      </c>
      <c r="CM42" s="1726">
        <f t="shared" si="19"/>
        <v>1.0989866234292662</v>
      </c>
      <c r="CN42" s="1731">
        <f t="shared" si="19"/>
        <v>1.0370315727353201</v>
      </c>
    </row>
    <row r="43" spans="2:100" s="1668" customFormat="1" ht="15.75">
      <c r="B43" s="1677"/>
      <c r="C43" s="1693">
        <f>SUM(C40:C42)</f>
        <v>1</v>
      </c>
      <c r="D43" s="689"/>
      <c r="E43" s="1679"/>
      <c r="F43" s="1679"/>
      <c r="G43" s="1679"/>
      <c r="H43" s="1679"/>
      <c r="I43" s="1679"/>
      <c r="J43" s="1679"/>
      <c r="K43" s="1679"/>
      <c r="L43" s="1679"/>
      <c r="M43" s="1679"/>
      <c r="N43" s="1679"/>
      <c r="O43" s="1679"/>
      <c r="P43" s="1694"/>
      <c r="Q43" s="1681"/>
      <c r="R43" s="1681"/>
      <c r="S43" s="1681"/>
      <c r="T43" s="1681"/>
      <c r="U43" s="1681"/>
      <c r="V43" s="1709"/>
      <c r="W43" s="1710"/>
      <c r="X43" s="1710"/>
      <c r="Y43" s="1710"/>
      <c r="Z43" s="1710"/>
      <c r="AA43" s="1710"/>
      <c r="AB43" s="1710"/>
      <c r="AC43" s="1710"/>
      <c r="AD43" s="1710"/>
      <c r="AE43" s="1710"/>
      <c r="AF43" s="1710"/>
      <c r="AG43" s="1710"/>
      <c r="AH43" s="1710"/>
      <c r="AI43" s="1724"/>
      <c r="AJ43" s="1724"/>
      <c r="AK43" s="1724"/>
      <c r="AL43" s="1724"/>
      <c r="AM43" s="1724"/>
      <c r="AN43" s="1724"/>
      <c r="AO43" s="1724"/>
      <c r="AP43" s="1724"/>
      <c r="AQ43" s="1724"/>
      <c r="AR43" s="1724"/>
      <c r="AS43" s="1724"/>
      <c r="AT43" s="1710"/>
      <c r="AU43" s="1710"/>
      <c r="AV43" s="1710"/>
      <c r="AW43" s="1710"/>
      <c r="AX43" s="1710"/>
      <c r="AY43" s="1710"/>
      <c r="AZ43" s="1710"/>
      <c r="BA43" s="1710"/>
      <c r="BB43" s="1710"/>
      <c r="BC43" s="1710"/>
      <c r="BD43" s="1710"/>
      <c r="BE43" s="1710"/>
      <c r="BF43" s="1710"/>
      <c r="BG43" s="1710"/>
      <c r="BH43" s="1710"/>
      <c r="BI43" s="1710"/>
      <c r="BJ43" s="1710"/>
      <c r="BK43" s="1710"/>
      <c r="BL43" s="1710"/>
      <c r="BM43" s="1710"/>
      <c r="BN43" s="1710"/>
      <c r="BO43" s="1710"/>
      <c r="BP43" s="1710"/>
      <c r="BQ43" s="1710"/>
      <c r="BR43" s="1710"/>
      <c r="BS43" s="1710"/>
      <c r="BT43" s="1710"/>
      <c r="BU43" s="1710"/>
      <c r="BV43" s="1710"/>
      <c r="BW43" s="1710"/>
      <c r="BX43" s="1710"/>
      <c r="BY43" s="1710"/>
      <c r="BZ43" s="1710"/>
      <c r="CA43" s="1710"/>
      <c r="CB43" s="1710"/>
      <c r="CC43" s="1710"/>
      <c r="CD43" s="1710"/>
      <c r="CE43" s="1710"/>
      <c r="CF43" s="1710"/>
      <c r="CG43" s="1710"/>
      <c r="CH43" s="1710"/>
      <c r="CI43" s="1710"/>
      <c r="CJ43" s="1710"/>
      <c r="CK43" s="1710"/>
      <c r="CL43" s="1710"/>
      <c r="CM43" s="1710"/>
      <c r="CN43" s="1710"/>
    </row>
    <row r="44" spans="2:100" s="1668" customFormat="1" ht="16.5" thickBot="1">
      <c r="B44" s="1695" t="s">
        <v>990</v>
      </c>
      <c r="C44" s="1683"/>
      <c r="D44" s="1696">
        <v>100</v>
      </c>
      <c r="E44" s="1697">
        <v>100</v>
      </c>
      <c r="F44" s="1697">
        <v>100</v>
      </c>
      <c r="G44" s="1697">
        <v>100</v>
      </c>
      <c r="H44" s="1697">
        <f t="shared" ref="H44:AJ44" si="20">SUMPRODUCT($C$40:$C$42*H40:H42)*G44</f>
        <v>111.08528791657477</v>
      </c>
      <c r="I44" s="1697">
        <f t="shared" si="20"/>
        <v>114.39970087137525</v>
      </c>
      <c r="J44" s="1697">
        <f t="shared" si="20"/>
        <v>113.32795609768722</v>
      </c>
      <c r="K44" s="1697">
        <f t="shared" si="20"/>
        <v>115.28070604648313</v>
      </c>
      <c r="L44" s="1697">
        <f t="shared" si="20"/>
        <v>116.49813867674941</v>
      </c>
      <c r="M44" s="1697">
        <f t="shared" si="20"/>
        <v>116.27802565095585</v>
      </c>
      <c r="N44" s="1697">
        <f t="shared" si="20"/>
        <v>115.53835149539964</v>
      </c>
      <c r="O44" s="1697">
        <f t="shared" si="20"/>
        <v>115.82372324680495</v>
      </c>
      <c r="P44" s="1702">
        <f t="shared" si="20"/>
        <v>118.8821127380359</v>
      </c>
      <c r="Q44" s="1703">
        <f t="shared" si="20"/>
        <v>117.92712742220766</v>
      </c>
      <c r="R44" s="1703">
        <f t="shared" si="20"/>
        <v>118.48034598257281</v>
      </c>
      <c r="S44" s="1703">
        <f t="shared" si="20"/>
        <v>121.40933293945226</v>
      </c>
      <c r="T44" s="1703">
        <f t="shared" si="20"/>
        <v>122.63439277671415</v>
      </c>
      <c r="U44" s="1703">
        <f t="shared" si="20"/>
        <v>122.52838364722552</v>
      </c>
      <c r="V44" s="1703">
        <f t="shared" si="20"/>
        <v>122.71870423873</v>
      </c>
      <c r="W44" s="1703">
        <f t="shared" si="20"/>
        <v>124.82128481920907</v>
      </c>
      <c r="X44" s="1703">
        <f t="shared" si="20"/>
        <v>123.16733666959612</v>
      </c>
      <c r="Y44" s="1703">
        <f t="shared" si="20"/>
        <v>124.59342032269537</v>
      </c>
      <c r="Z44" s="1703">
        <f t="shared" si="20"/>
        <v>124.60187700880959</v>
      </c>
      <c r="AA44" s="1703">
        <f t="shared" si="20"/>
        <v>124.55889803955503</v>
      </c>
      <c r="AB44" s="1703">
        <f t="shared" si="20"/>
        <v>125.60670332180548</v>
      </c>
      <c r="AC44" s="1703">
        <f t="shared" si="20"/>
        <v>126.05438801721517</v>
      </c>
      <c r="AD44" s="1703">
        <f t="shared" si="20"/>
        <v>126.63284944302676</v>
      </c>
      <c r="AE44" s="1703">
        <f t="shared" si="20"/>
        <v>128.04608239428094</v>
      </c>
      <c r="AF44" s="1703">
        <f t="shared" si="20"/>
        <v>129.10124213407232</v>
      </c>
      <c r="AG44" s="1703">
        <f t="shared" si="20"/>
        <v>129.92601585022436</v>
      </c>
      <c r="AH44" s="1703">
        <f t="shared" si="20"/>
        <v>131.43043904350654</v>
      </c>
      <c r="AI44" s="1703">
        <f t="shared" si="20"/>
        <v>146.00825639135257</v>
      </c>
      <c r="AJ44" s="1703">
        <f t="shared" si="20"/>
        <v>148.75681212121711</v>
      </c>
      <c r="AK44" s="1703">
        <f t="shared" ref="AK44:CN44" si="21">SUMPRODUCT($C$40:$C$42*AK40:AK42)*AJ44</f>
        <v>156.79188263791545</v>
      </c>
      <c r="AL44" s="1703">
        <f t="shared" si="21"/>
        <v>160.99634539307809</v>
      </c>
      <c r="AM44" s="1703">
        <f t="shared" si="21"/>
        <v>176.32041641959398</v>
      </c>
      <c r="AN44" s="1703">
        <f t="shared" si="21"/>
        <v>183.96160432565182</v>
      </c>
      <c r="AO44" s="1703">
        <f t="shared" si="21"/>
        <v>181.43311793823483</v>
      </c>
      <c r="AP44" s="1703">
        <f t="shared" si="21"/>
        <v>185.4420359367017</v>
      </c>
      <c r="AQ44" s="1703">
        <f t="shared" si="21"/>
        <v>148.16963664669134</v>
      </c>
      <c r="AR44" s="1703">
        <f t="shared" si="21"/>
        <v>151.42472400770416</v>
      </c>
      <c r="AS44" s="1703">
        <f t="shared" si="21"/>
        <v>155.03958396656267</v>
      </c>
      <c r="AT44" s="1703">
        <f t="shared" si="21"/>
        <v>157.51409245775454</v>
      </c>
      <c r="AU44" s="1703">
        <f t="shared" si="21"/>
        <v>160.00385452643923</v>
      </c>
      <c r="AV44" s="1703">
        <f t="shared" si="21"/>
        <v>160.60651365836054</v>
      </c>
      <c r="AW44" s="1703">
        <f t="shared" si="21"/>
        <v>157.40637265509324</v>
      </c>
      <c r="AX44" s="1703">
        <f t="shared" si="21"/>
        <v>179.56391619433705</v>
      </c>
      <c r="AY44" s="1703">
        <f t="shared" si="21"/>
        <v>197.51708159502721</v>
      </c>
      <c r="AZ44" s="1703">
        <f t="shared" si="21"/>
        <v>205.14818877497117</v>
      </c>
      <c r="BA44" s="1703">
        <f t="shared" si="21"/>
        <v>214.50871939136587</v>
      </c>
      <c r="BB44" s="1703">
        <f t="shared" si="21"/>
        <v>215.28875109824358</v>
      </c>
      <c r="BC44" s="1957">
        <f t="shared" si="21"/>
        <v>217.94773225529619</v>
      </c>
      <c r="BD44" s="1697">
        <f t="shared" si="21"/>
        <v>210.88963896377751</v>
      </c>
      <c r="BE44" s="1697">
        <f t="shared" si="21"/>
        <v>213.22419846095391</v>
      </c>
      <c r="BF44" s="1697">
        <f t="shared" si="21"/>
        <v>217.50378511838264</v>
      </c>
      <c r="BG44" s="1697">
        <f t="shared" si="21"/>
        <v>224.33191669503671</v>
      </c>
      <c r="BH44" s="1697">
        <f t="shared" si="21"/>
        <v>227.72117212353899</v>
      </c>
      <c r="BI44" s="1697">
        <f t="shared" si="21"/>
        <v>237.59342034308014</v>
      </c>
      <c r="BJ44" s="1697">
        <f t="shared" si="21"/>
        <v>233.07257634854111</v>
      </c>
      <c r="BK44" s="1697">
        <f t="shared" si="21"/>
        <v>243.41749316924015</v>
      </c>
      <c r="BL44" s="1697">
        <f t="shared" si="21"/>
        <v>254.14964052989757</v>
      </c>
      <c r="BM44" s="1697">
        <f t="shared" si="21"/>
        <v>260.9866702203185</v>
      </c>
      <c r="BN44" s="1697">
        <f t="shared" si="21"/>
        <v>269.75483884330055</v>
      </c>
      <c r="BO44" s="1697">
        <f t="shared" si="21"/>
        <v>295.75313016629065</v>
      </c>
      <c r="BP44" s="1697">
        <f t="shared" si="21"/>
        <v>309.8229060913564</v>
      </c>
      <c r="BQ44" s="1697">
        <f t="shared" si="21"/>
        <v>322.66594066028659</v>
      </c>
      <c r="BR44" s="1702">
        <f t="shared" si="21"/>
        <v>334.49740231035508</v>
      </c>
      <c r="BS44" s="1968">
        <f t="shared" si="21"/>
        <v>341.08882746437041</v>
      </c>
      <c r="BT44" s="1968">
        <f t="shared" si="21"/>
        <v>346.73969855209714</v>
      </c>
      <c r="BU44" s="1968">
        <f t="shared" si="21"/>
        <v>358.42955358520578</v>
      </c>
      <c r="BV44" s="1968">
        <f t="shared" si="21"/>
        <v>366.55982546121379</v>
      </c>
      <c r="BW44" s="1968">
        <f t="shared" si="21"/>
        <v>380.47692630894232</v>
      </c>
      <c r="BX44" s="1968">
        <f t="shared" si="21"/>
        <v>387.28172102253552</v>
      </c>
      <c r="BY44" s="1968">
        <f t="shared" si="21"/>
        <v>396.23869369417099</v>
      </c>
      <c r="BZ44" s="1968">
        <f t="shared" si="21"/>
        <v>409.43577142061281</v>
      </c>
      <c r="CA44" s="1968">
        <f t="shared" si="21"/>
        <v>422.05689719665645</v>
      </c>
      <c r="CB44" s="1968">
        <f t="shared" si="21"/>
        <v>443.34458368098427</v>
      </c>
      <c r="CC44" s="1968">
        <f t="shared" si="21"/>
        <v>460.29509983485121</v>
      </c>
      <c r="CD44" s="1968">
        <f t="shared" si="21"/>
        <v>489.73293934992853</v>
      </c>
      <c r="CE44" s="1968">
        <f t="shared" si="21"/>
        <v>508.66163946424035</v>
      </c>
      <c r="CF44" s="1968">
        <f t="shared" si="21"/>
        <v>541.17059972812888</v>
      </c>
      <c r="CG44" s="1968">
        <f t="shared" si="21"/>
        <v>571.08538851696767</v>
      </c>
      <c r="CH44" s="1968">
        <f t="shared" si="21"/>
        <v>611.64621740831069</v>
      </c>
      <c r="CI44" s="1968">
        <f t="shared" si="21"/>
        <v>644.34936560119661</v>
      </c>
      <c r="CJ44" s="1968">
        <f t="shared" si="21"/>
        <v>684.4011474982434</v>
      </c>
      <c r="CK44" s="1968">
        <f t="shared" si="21"/>
        <v>717.05616031737065</v>
      </c>
      <c r="CL44" s="1968">
        <f t="shared" si="21"/>
        <v>779.71949166850902</v>
      </c>
      <c r="CM44" s="1968">
        <f t="shared" si="21"/>
        <v>840.11272220898559</v>
      </c>
      <c r="CN44" s="1968">
        <f t="shared" si="21"/>
        <v>887.77305273427589</v>
      </c>
    </row>
  </sheetData>
  <mergeCells count="2">
    <mergeCell ref="D18:I18"/>
    <mergeCell ref="D38:I38"/>
  </mergeCells>
  <printOptions horizontalCentered="1"/>
  <pageMargins left="0" right="0" top="0.74803149606299213" bottom="0.74803149606299213" header="0.31496062992125984" footer="0.31496062992125984"/>
  <pageSetup paperSize="5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43"/>
  <sheetViews>
    <sheetView view="pageBreakPreview" topLeftCell="A22" zoomScale="70" zoomScaleNormal="70" zoomScaleSheetLayoutView="70" workbookViewId="0">
      <selection activeCell="D43" sqref="D4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22" t="s">
        <v>591</v>
      </c>
      <c r="C1" s="122"/>
      <c r="D1" s="2599" t="s">
        <v>592</v>
      </c>
      <c r="E1" s="2599"/>
      <c r="F1" s="2599"/>
      <c r="G1" s="2599"/>
      <c r="H1" s="2599"/>
      <c r="I1" s="2599"/>
      <c r="J1" s="2599"/>
      <c r="K1" s="2599"/>
      <c r="L1" s="2599"/>
      <c r="M1" s="2599"/>
      <c r="N1" s="2599"/>
      <c r="O1" s="2599"/>
      <c r="P1" s="1"/>
      <c r="Q1" s="1"/>
    </row>
    <row r="2" spans="2:25" s="2" customFormat="1" ht="15.75">
      <c r="B2" s="122" t="s">
        <v>593</v>
      </c>
      <c r="C2" s="122"/>
      <c r="D2" s="2599" t="s">
        <v>594</v>
      </c>
      <c r="E2" s="2599"/>
      <c r="F2" s="2599"/>
      <c r="G2" s="2599"/>
      <c r="H2" s="2599"/>
      <c r="I2" s="2599"/>
      <c r="J2" s="2599"/>
      <c r="K2" s="2599"/>
      <c r="L2" s="2599"/>
      <c r="M2" s="2599"/>
      <c r="N2" s="2599"/>
      <c r="O2" s="2599"/>
      <c r="P2" s="1"/>
      <c r="Q2" s="1"/>
    </row>
    <row r="3" spans="2:25" s="2" customFormat="1" ht="16.5" thickBot="1">
      <c r="B3" s="122" t="s">
        <v>595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4"/>
      <c r="P3" s="1"/>
      <c r="Q3" s="1"/>
    </row>
    <row r="4" spans="2:25" s="2" customFormat="1" ht="18">
      <c r="B4" s="2600" t="s">
        <v>1320</v>
      </c>
      <c r="C4" s="2600"/>
      <c r="D4" s="2600"/>
      <c r="E4" s="2600"/>
      <c r="F4" s="2600"/>
      <c r="G4" s="2600"/>
      <c r="H4" s="2600"/>
      <c r="I4" s="2600"/>
      <c r="J4" s="2600"/>
      <c r="K4" s="2600"/>
      <c r="L4" s="2600"/>
      <c r="M4" s="2600"/>
      <c r="N4" s="2600"/>
      <c r="O4" s="2600"/>
      <c r="P4" s="51"/>
      <c r="Q4" s="51"/>
      <c r="S4" s="2574"/>
      <c r="T4" s="2575"/>
      <c r="U4" s="2575"/>
      <c r="V4" s="2576"/>
      <c r="X4" s="36"/>
      <c r="Y4" s="54"/>
    </row>
    <row r="5" spans="2:25" s="2" customFormat="1" ht="15.75">
      <c r="B5" s="269" t="s">
        <v>1321</v>
      </c>
      <c r="C5" s="269"/>
      <c r="D5" s="269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4"/>
      <c r="P5" s="1"/>
      <c r="Q5" s="1"/>
      <c r="S5" s="2577"/>
      <c r="T5" s="2578"/>
      <c r="U5" s="2578"/>
      <c r="V5" s="35"/>
      <c r="X5" s="37"/>
      <c r="Y5" s="55"/>
    </row>
    <row r="6" spans="2:25">
      <c r="B6" s="1607"/>
      <c r="C6" s="1607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</row>
    <row r="7" spans="2:25">
      <c r="B7" s="1607"/>
      <c r="C7" s="1607"/>
      <c r="D7" s="1607"/>
      <c r="E7" s="1607"/>
      <c r="F7" s="1607"/>
      <c r="G7" s="1607"/>
      <c r="H7" s="1607"/>
      <c r="I7" s="1607"/>
      <c r="J7" s="1607"/>
      <c r="K7" s="1607"/>
      <c r="L7" s="1607"/>
      <c r="M7" s="1607"/>
      <c r="N7" s="1607"/>
      <c r="O7" s="1607"/>
    </row>
    <row r="8" spans="2:25">
      <c r="B8" s="1607"/>
      <c r="C8" s="1607"/>
      <c r="D8" s="1607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</row>
    <row r="9" spans="2:25" s="2" customFormat="1" ht="15.75">
      <c r="B9" s="2566" t="s">
        <v>1325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  <c r="O9" s="9"/>
    </row>
    <row r="10" spans="2:25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  <c r="O10" s="9"/>
    </row>
    <row r="11" spans="2:25" s="2" customFormat="1" ht="15.75">
      <c r="B11" s="544" t="s">
        <v>1322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  <c r="O11" s="9"/>
    </row>
    <row r="12" spans="2:25" s="2" customFormat="1" ht="15.75">
      <c r="B12" s="566" t="s">
        <v>1323</v>
      </c>
      <c r="C12" s="323">
        <v>482.2</v>
      </c>
      <c r="D12" s="323">
        <v>497.95179500376332</v>
      </c>
      <c r="E12" s="323">
        <v>500.9</v>
      </c>
      <c r="F12" s="323">
        <v>517.1</v>
      </c>
      <c r="G12" s="323">
        <v>522.20000000000005</v>
      </c>
      <c r="H12" s="323">
        <v>531.5</v>
      </c>
      <c r="I12" s="323">
        <v>547.6</v>
      </c>
      <c r="J12" s="323">
        <v>568.70000000000005</v>
      </c>
      <c r="K12" s="323">
        <v>586.70000000000005</v>
      </c>
      <c r="L12" s="323">
        <v>614.79999999999995</v>
      </c>
      <c r="M12" s="1633">
        <v>633.70000000000005</v>
      </c>
      <c r="N12" s="1643">
        <v>662</v>
      </c>
      <c r="O12" s="9"/>
    </row>
    <row r="13" spans="2:25" s="2" customFormat="1" ht="15.75">
      <c r="B13" s="1241"/>
      <c r="C13" s="323">
        <f>(+C11+C12)/2</f>
        <v>471.54999999999995</v>
      </c>
      <c r="D13" s="323">
        <f>(+D11+D12)/2</f>
        <v>481.8758975018817</v>
      </c>
      <c r="E13" s="323">
        <f t="shared" ref="E13:N13" si="0">(+E11+E12)/2</f>
        <v>487.15</v>
      </c>
      <c r="F13" s="323">
        <f t="shared" si="0"/>
        <v>500.75</v>
      </c>
      <c r="G13" s="323">
        <f t="shared" si="0"/>
        <v>509.1</v>
      </c>
      <c r="H13" s="323">
        <f t="shared" si="0"/>
        <v>523.79999999999995</v>
      </c>
      <c r="I13" s="323">
        <f t="shared" si="0"/>
        <v>539.1</v>
      </c>
      <c r="J13" s="323">
        <f t="shared" si="0"/>
        <v>566.15000000000009</v>
      </c>
      <c r="K13" s="323">
        <f t="shared" si="0"/>
        <v>611.95000000000005</v>
      </c>
      <c r="L13" s="323">
        <f t="shared" si="0"/>
        <v>629.45000000000005</v>
      </c>
      <c r="M13" s="1633">
        <f t="shared" si="0"/>
        <v>666.5</v>
      </c>
      <c r="N13" s="1643">
        <f t="shared" si="0"/>
        <v>688.8</v>
      </c>
      <c r="O13" s="9"/>
    </row>
    <row r="14" spans="2:25" s="2" customFormat="1" ht="15.75">
      <c r="B14" s="1241"/>
      <c r="C14" s="323">
        <v>1</v>
      </c>
      <c r="D14" s="323">
        <f>+D13/C13</f>
        <v>1.0218977786064718</v>
      </c>
      <c r="E14" s="323">
        <f t="shared" ref="E14:N14" si="1">+E13/D13</f>
        <v>1.0109449394034025</v>
      </c>
      <c r="F14" s="323">
        <f t="shared" si="1"/>
        <v>1.0279174792158474</v>
      </c>
      <c r="G14" s="323">
        <f t="shared" si="1"/>
        <v>1.016674987518722</v>
      </c>
      <c r="H14" s="323">
        <f t="shared" si="1"/>
        <v>1.0288744843842073</v>
      </c>
      <c r="I14" s="323">
        <f t="shared" si="1"/>
        <v>1.0292096219931273</v>
      </c>
      <c r="J14" s="323">
        <f t="shared" si="1"/>
        <v>1.0501762196253015</v>
      </c>
      <c r="K14" s="323">
        <f t="shared" si="1"/>
        <v>1.0808972887044068</v>
      </c>
      <c r="L14" s="323">
        <f t="shared" si="1"/>
        <v>1.0285971076068305</v>
      </c>
      <c r="M14" s="1633">
        <f t="shared" si="1"/>
        <v>1.058860910318532</v>
      </c>
      <c r="N14" s="1643">
        <f t="shared" si="1"/>
        <v>1.0334583645911477</v>
      </c>
      <c r="O14" s="9"/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  <c r="O15" s="9"/>
    </row>
    <row r="16" spans="2:25" s="2" customFormat="1" ht="16.5" thickBot="1">
      <c r="B16" s="1243" t="s">
        <v>1324</v>
      </c>
      <c r="C16" s="337">
        <v>398.4310022615349</v>
      </c>
      <c r="D16" s="337">
        <f t="shared" ref="D16:N16" si="2">+D14*C16</f>
        <v>407.15575613901268</v>
      </c>
      <c r="E16" s="337">
        <f t="shared" si="2"/>
        <v>411.6120512177007</v>
      </c>
      <c r="F16" s="337">
        <f t="shared" si="2"/>
        <v>423.10322210256317</v>
      </c>
      <c r="G16" s="337">
        <f t="shared" si="2"/>
        <v>430.15846305025445</v>
      </c>
      <c r="H16" s="337">
        <f t="shared" si="2"/>
        <v>442.57906687433365</v>
      </c>
      <c r="I16" s="337">
        <f t="shared" si="2"/>
        <v>455.50663411980395</v>
      </c>
      <c r="J16" s="337">
        <f t="shared" si="2"/>
        <v>478.36223503418108</v>
      </c>
      <c r="K16" s="337">
        <f t="shared" si="2"/>
        <v>517.0604428670265</v>
      </c>
      <c r="L16" s="337">
        <f t="shared" si="2"/>
        <v>531.84687599093036</v>
      </c>
      <c r="M16" s="337">
        <f t="shared" si="2"/>
        <v>563.1518672618239</v>
      </c>
      <c r="N16" s="339">
        <f t="shared" si="2"/>
        <v>581.99400775685558</v>
      </c>
      <c r="O16" s="991"/>
      <c r="P16" s="50"/>
      <c r="Q16" s="50"/>
      <c r="R16" s="50"/>
      <c r="S16" s="50"/>
      <c r="T16" s="50"/>
      <c r="U16" s="50"/>
    </row>
    <row r="17" spans="2:15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9"/>
    </row>
    <row r="18" spans="2:15" s="2" customFormat="1" ht="15.75">
      <c r="B18" s="2566" t="s">
        <v>1325</v>
      </c>
      <c r="C18" s="2568">
        <v>2021</v>
      </c>
      <c r="D18" s="2569"/>
      <c r="E18" s="2569"/>
      <c r="F18" s="2569"/>
      <c r="G18" s="2569"/>
      <c r="H18" s="2569"/>
      <c r="I18" s="2569"/>
      <c r="J18" s="2569"/>
      <c r="K18" s="2569"/>
      <c r="L18" s="2569"/>
      <c r="M18" s="2570"/>
      <c r="N18" s="2571"/>
      <c r="O18" s="9"/>
    </row>
    <row r="19" spans="2:15" s="2" customFormat="1" ht="16.5" thickBot="1">
      <c r="B19" s="2567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  <c r="O19" s="9"/>
    </row>
    <row r="20" spans="2:15" s="2" customFormat="1" ht="15.75">
      <c r="B20" s="544" t="s">
        <v>1322</v>
      </c>
      <c r="C20" s="546">
        <v>679.34505703879984</v>
      </c>
      <c r="D20" s="546">
        <v>706.8</v>
      </c>
      <c r="E20" s="546">
        <v>726.3</v>
      </c>
      <c r="F20" s="545">
        <v>762.1</v>
      </c>
      <c r="G20" s="546">
        <v>799.72585743162017</v>
      </c>
      <c r="H20" s="546">
        <v>807.6</v>
      </c>
      <c r="I20" s="546">
        <v>812.3334623687748</v>
      </c>
      <c r="J20" s="546">
        <v>854.1</v>
      </c>
      <c r="K20" s="546">
        <v>860.2</v>
      </c>
      <c r="L20" s="546">
        <v>901.7</v>
      </c>
      <c r="M20" s="546">
        <v>913.2</v>
      </c>
      <c r="N20" s="1640">
        <v>935.5</v>
      </c>
      <c r="O20" s="9"/>
    </row>
    <row r="21" spans="2:15" s="2" customFormat="1" ht="15.75">
      <c r="B21" s="566" t="s">
        <v>1323</v>
      </c>
      <c r="C21" s="1633">
        <v>722.18793930595177</v>
      </c>
      <c r="D21" s="323">
        <v>764.1887590251531</v>
      </c>
      <c r="E21" s="323">
        <v>804.19274107891692</v>
      </c>
      <c r="F21" s="323">
        <v>859.06431911809193</v>
      </c>
      <c r="G21" s="323">
        <v>895.90162600642316</v>
      </c>
      <c r="H21" s="323">
        <v>921.33237627028814</v>
      </c>
      <c r="I21" s="323">
        <v>933.82064674454705</v>
      </c>
      <c r="J21" s="323">
        <v>975.00848140807966</v>
      </c>
      <c r="K21" s="323">
        <v>989.44606324984125</v>
      </c>
      <c r="L21" s="323">
        <v>1013.7968684266366</v>
      </c>
      <c r="M21" s="323">
        <v>1047.5936248399159</v>
      </c>
      <c r="N21" s="1012">
        <v>1072.4439573750369</v>
      </c>
      <c r="O21" s="9"/>
    </row>
    <row r="22" spans="2:15" s="2" customFormat="1" ht="15.75">
      <c r="B22" s="1241"/>
      <c r="C22" s="323">
        <f>(+C20+C21)/2</f>
        <v>700.7664981723758</v>
      </c>
      <c r="D22" s="323">
        <f>(+D20+D21)/2</f>
        <v>735.49437951257653</v>
      </c>
      <c r="E22" s="323">
        <f t="shared" ref="E22" si="3">(+E20+E21)/2</f>
        <v>765.24637053945844</v>
      </c>
      <c r="F22" s="323">
        <f t="shared" ref="F22" si="4">(+F20+F21)/2</f>
        <v>810.58215955904598</v>
      </c>
      <c r="G22" s="323">
        <f t="shared" ref="G22" si="5">(+G20+G21)/2</f>
        <v>847.81374171902166</v>
      </c>
      <c r="H22" s="323">
        <f t="shared" ref="H22" si="6">(+H20+H21)/2</f>
        <v>864.46618813514408</v>
      </c>
      <c r="I22" s="323">
        <f t="shared" ref="I22" si="7">(+I20+I21)/2</f>
        <v>873.07705455666087</v>
      </c>
      <c r="J22" s="323">
        <f t="shared" ref="J22" si="8">(+J20+J21)/2</f>
        <v>914.55424070403978</v>
      </c>
      <c r="K22" s="323">
        <f t="shared" ref="K22" si="9">(+K20+K21)/2</f>
        <v>924.82303162492065</v>
      </c>
      <c r="L22" s="323">
        <f t="shared" ref="L22" si="10">(+L20+L21)/2</f>
        <v>957.74843421331832</v>
      </c>
      <c r="M22" s="1633">
        <f t="shared" ref="M22" si="11">(+M20+M21)/2</f>
        <v>980.396812419958</v>
      </c>
      <c r="N22" s="1643">
        <f t="shared" ref="N22" si="12">(+N20+N21)/2</f>
        <v>1003.9719786875185</v>
      </c>
      <c r="O22" s="9"/>
    </row>
    <row r="23" spans="2:15" s="2" customFormat="1" ht="15.75">
      <c r="B23" s="1241"/>
      <c r="C23" s="1633">
        <f>+C22/N13</f>
        <v>1.0173729648263297</v>
      </c>
      <c r="D23" s="323">
        <f>+D22/C22</f>
        <v>1.0495569942780831</v>
      </c>
      <c r="E23" s="323">
        <f t="shared" ref="E23" si="13">+E22/D22</f>
        <v>1.0404516905303871</v>
      </c>
      <c r="F23" s="323">
        <f t="shared" ref="F23" si="14">+F22/E22</f>
        <v>1.0592433897956657</v>
      </c>
      <c r="G23" s="323">
        <f t="shared" ref="G23" si="15">+G22/F22</f>
        <v>1.0459319042751072</v>
      </c>
      <c r="H23" s="323">
        <f t="shared" ref="H23" si="16">+H22/G22</f>
        <v>1.0196416330577021</v>
      </c>
      <c r="I23" s="323">
        <f t="shared" ref="I23" si="17">+I22/H22</f>
        <v>1.0099609059783963</v>
      </c>
      <c r="J23" s="323">
        <f t="shared" ref="J23" si="18">+J22/I22</f>
        <v>1.0475069020894616</v>
      </c>
      <c r="K23" s="323">
        <f t="shared" ref="K23" si="19">+K22/J22</f>
        <v>1.0112281923409767</v>
      </c>
      <c r="L23" s="323">
        <f t="shared" ref="L23" si="20">+L22/K22</f>
        <v>1.0356018410684988</v>
      </c>
      <c r="M23" s="1633">
        <f t="shared" ref="M23" si="21">+M22/L22</f>
        <v>1.0236475230839117</v>
      </c>
      <c r="N23" s="1643">
        <f t="shared" ref="N23" si="22">+N22/M22</f>
        <v>1.024046555403795</v>
      </c>
      <c r="O23" s="9"/>
    </row>
    <row r="24" spans="2:15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  <c r="O24" s="9"/>
    </row>
    <row r="25" spans="2:15" s="2" customFormat="1" ht="16.5" thickBot="1">
      <c r="B25" s="1243" t="s">
        <v>1324</v>
      </c>
      <c r="C25" s="337">
        <f>+C23*N16</f>
        <v>592.1049691827501</v>
      </c>
      <c r="D25" s="337">
        <f t="shared" ref="D25:N25" si="23">+D23*C25</f>
        <v>621.44791175256421</v>
      </c>
      <c r="E25" s="337">
        <f t="shared" si="23"/>
        <v>646.58653035953421</v>
      </c>
      <c r="F25" s="337">
        <f t="shared" si="23"/>
        <v>684.89250821425117</v>
      </c>
      <c r="G25" s="337">
        <f t="shared" si="23"/>
        <v>716.35092534028615</v>
      </c>
      <c r="H25" s="337">
        <f t="shared" si="23"/>
        <v>730.42122735636542</v>
      </c>
      <c r="I25" s="337">
        <f t="shared" si="23"/>
        <v>737.69688452668697</v>
      </c>
      <c r="J25" s="337">
        <f t="shared" si="23"/>
        <v>772.7425781915972</v>
      </c>
      <c r="K25" s="337">
        <f t="shared" si="23"/>
        <v>781.41908048959465</v>
      </c>
      <c r="L25" s="337">
        <f t="shared" si="23"/>
        <v>809.23903840107766</v>
      </c>
      <c r="M25" s="337">
        <f t="shared" si="23"/>
        <v>828.37553724206964</v>
      </c>
      <c r="N25" s="338">
        <f t="shared" si="23"/>
        <v>848.29511549350946</v>
      </c>
      <c r="O25" s="9"/>
    </row>
    <row r="26" spans="2:15" ht="13.5" thickBot="1">
      <c r="O26" s="1607"/>
    </row>
    <row r="27" spans="2:15" s="2" customFormat="1" ht="15.75">
      <c r="B27" s="2566" t="s">
        <v>1325</v>
      </c>
      <c r="C27" s="2568">
        <v>2022</v>
      </c>
      <c r="D27" s="2569"/>
      <c r="E27" s="2569"/>
      <c r="F27" s="2569"/>
      <c r="G27" s="2569"/>
      <c r="H27" s="2569"/>
      <c r="I27" s="2569"/>
      <c r="J27" s="2569"/>
      <c r="K27" s="2569"/>
      <c r="L27" s="2569"/>
      <c r="M27" s="2570"/>
      <c r="N27" s="2570"/>
      <c r="O27" s="991"/>
    </row>
    <row r="28" spans="2:15" s="2" customFormat="1" ht="16.5" thickBot="1">
      <c r="B28" s="2567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2392" t="s">
        <v>577</v>
      </c>
      <c r="O28" s="991"/>
    </row>
    <row r="29" spans="2:15" s="2" customFormat="1" ht="15.75">
      <c r="B29" s="544" t="s">
        <v>1322</v>
      </c>
      <c r="C29" s="546">
        <v>968</v>
      </c>
      <c r="D29" s="546">
        <v>987.9</v>
      </c>
      <c r="E29" s="546">
        <v>1015.9</v>
      </c>
      <c r="F29" s="1993">
        <v>1059.4000000000001</v>
      </c>
      <c r="G29" s="546">
        <v>1142.0999999999999</v>
      </c>
      <c r="H29" s="546">
        <v>1193.5</v>
      </c>
      <c r="I29" s="546">
        <v>1273.0999999999999</v>
      </c>
      <c r="J29" s="546">
        <v>1359.2</v>
      </c>
      <c r="K29" s="546">
        <v>1462.1</v>
      </c>
      <c r="L29" s="546">
        <v>1563.9</v>
      </c>
      <c r="M29" s="546">
        <v>1670.8</v>
      </c>
      <c r="N29" s="2393">
        <v>1777.3</v>
      </c>
      <c r="O29" s="991"/>
    </row>
    <row r="30" spans="2:15" s="2" customFormat="1" ht="15.75">
      <c r="B30" s="566" t="s">
        <v>1323</v>
      </c>
      <c r="C30" s="1633">
        <v>1106.9245356288507</v>
      </c>
      <c r="D30" s="323">
        <v>1155.6019332473106</v>
      </c>
      <c r="E30" s="323">
        <v>1234.8887569048231</v>
      </c>
      <c r="F30" s="323">
        <v>1296.58267320707</v>
      </c>
      <c r="G30" s="323">
        <v>1390.3590937305426</v>
      </c>
      <c r="H30" s="323">
        <v>1456.7753591421133</v>
      </c>
      <c r="I30" s="323">
        <v>1583.7212955233135</v>
      </c>
      <c r="J30" s="323">
        <v>1708.282196623187</v>
      </c>
      <c r="K30" s="323">
        <v>1775.6</v>
      </c>
      <c r="L30" s="323">
        <v>1775.6</v>
      </c>
      <c r="M30" s="323">
        <v>1972.7635766509704</v>
      </c>
      <c r="N30" s="986">
        <v>2093.96</v>
      </c>
      <c r="O30" s="991"/>
    </row>
    <row r="31" spans="2:15" s="2" customFormat="1" ht="15.75">
      <c r="B31" s="1241"/>
      <c r="C31" s="323">
        <f>(+C29+C30)/2</f>
        <v>1037.4622678144253</v>
      </c>
      <c r="D31" s="323">
        <f>(+D29+D30)/2</f>
        <v>1071.7509666236554</v>
      </c>
      <c r="E31" s="323">
        <f t="shared" ref="E31" si="24">(+E29+E30)/2</f>
        <v>1125.3943784524115</v>
      </c>
      <c r="F31" s="323">
        <f t="shared" ref="F31" si="25">(+F29+F30)/2</f>
        <v>1177.991336603535</v>
      </c>
      <c r="G31" s="323">
        <f t="shared" ref="G31" si="26">(+G29+G30)/2</f>
        <v>1266.2295468652712</v>
      </c>
      <c r="H31" s="323">
        <f t="shared" ref="H31" si="27">(+H29+H30)/2</f>
        <v>1325.1376795710567</v>
      </c>
      <c r="I31" s="323">
        <f t="shared" ref="I31" si="28">(+I29+I30)/2</f>
        <v>1428.4106477616567</v>
      </c>
      <c r="J31" s="323">
        <f t="shared" ref="J31:K31" si="29">(+J29+J30)/2</f>
        <v>1533.7410983115935</v>
      </c>
      <c r="K31" s="323">
        <f t="shared" si="29"/>
        <v>1618.85</v>
      </c>
      <c r="L31" s="323">
        <f t="shared" ref="L31:M31" si="30">(+L29+L30)/2</f>
        <v>1669.75</v>
      </c>
      <c r="M31" s="323">
        <f t="shared" si="30"/>
        <v>1821.7817883254852</v>
      </c>
      <c r="N31" s="323">
        <f t="shared" ref="N31" si="31">(+N29+N30)/2</f>
        <v>1935.63</v>
      </c>
      <c r="O31" s="991"/>
    </row>
    <row r="32" spans="2:15" s="2" customFormat="1" ht="15.75">
      <c r="B32" s="1241"/>
      <c r="C32" s="1633">
        <f>+C31/N22</f>
        <v>1.0333577926852981</v>
      </c>
      <c r="D32" s="323">
        <f>+D31/C31</f>
        <v>1.0330505502445544</v>
      </c>
      <c r="E32" s="323">
        <f t="shared" ref="E32" si="32">+E31/D31</f>
        <v>1.0500521235803029</v>
      </c>
      <c r="F32" s="323">
        <f t="shared" ref="F32" si="33">+F31/E31</f>
        <v>1.0467364678180215</v>
      </c>
      <c r="G32" s="323">
        <f t="shared" ref="G32" si="34">+G31/F31</f>
        <v>1.074905652970378</v>
      </c>
      <c r="H32" s="323">
        <f t="shared" ref="H32" si="35">+H31/G31</f>
        <v>1.046522475211245</v>
      </c>
      <c r="I32" s="323">
        <f t="shared" ref="I32:N32" si="36">+I31/H31</f>
        <v>1.0779337647572056</v>
      </c>
      <c r="J32" s="323">
        <f t="shared" si="36"/>
        <v>1.0737396145254108</v>
      </c>
      <c r="K32" s="323">
        <f t="shared" si="36"/>
        <v>1.0554910485101414</v>
      </c>
      <c r="L32" s="323">
        <f t="shared" si="36"/>
        <v>1.0314420730765668</v>
      </c>
      <c r="M32" s="323">
        <f t="shared" si="36"/>
        <v>1.0910506293310287</v>
      </c>
      <c r="N32" s="323">
        <f t="shared" si="36"/>
        <v>1.0624927817393321</v>
      </c>
      <c r="O32" s="991"/>
    </row>
    <row r="33" spans="2:15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1"/>
      <c r="O33" s="991"/>
    </row>
    <row r="34" spans="2:15" s="2" customFormat="1" ht="16.5" thickBot="1">
      <c r="B34" s="1243" t="s">
        <v>1324</v>
      </c>
      <c r="C34" s="337">
        <f>+C32*N25</f>
        <v>876.59236809209301</v>
      </c>
      <c r="D34" s="337">
        <f t="shared" ref="D34:N34" si="37">+D32*C34</f>
        <v>905.56422819771365</v>
      </c>
      <c r="E34" s="337">
        <f t="shared" si="37"/>
        <v>950.88964085736723</v>
      </c>
      <c r="F34" s="337">
        <f t="shared" si="37"/>
        <v>995.33086395578766</v>
      </c>
      <c r="G34" s="337">
        <f t="shared" si="37"/>
        <v>1069.8867722419664</v>
      </c>
      <c r="H34" s="337">
        <f t="shared" si="37"/>
        <v>1119.6605530824322</v>
      </c>
      <c r="I34" s="337">
        <f t="shared" si="37"/>
        <v>1206.9199152342812</v>
      </c>
      <c r="J34" s="337">
        <f t="shared" si="37"/>
        <v>1295.9177245466985</v>
      </c>
      <c r="K34" s="337">
        <f t="shared" si="37"/>
        <v>1367.8295578646714</v>
      </c>
      <c r="L34" s="337">
        <f t="shared" si="37"/>
        <v>1410.8369547793404</v>
      </c>
      <c r="M34" s="337">
        <f t="shared" si="37"/>
        <v>1539.2945473954715</v>
      </c>
      <c r="N34" s="337">
        <f t="shared" si="37"/>
        <v>1635.4893455784006</v>
      </c>
      <c r="O34" s="991"/>
    </row>
    <row r="35" spans="2:15" ht="13.5" thickBot="1">
      <c r="O35" s="1607"/>
    </row>
    <row r="36" spans="2:15" s="2" customFormat="1" ht="15.75">
      <c r="B36" s="2566" t="s">
        <v>1325</v>
      </c>
      <c r="C36" s="2568">
        <v>2023</v>
      </c>
      <c r="D36" s="2569"/>
      <c r="E36" s="2569"/>
      <c r="F36" s="2569"/>
      <c r="G36" s="2569"/>
      <c r="H36" s="2569"/>
      <c r="I36" s="2569"/>
      <c r="J36" s="2569"/>
      <c r="K36" s="2569"/>
      <c r="L36" s="2569"/>
      <c r="M36" s="2570"/>
      <c r="N36" s="2570"/>
      <c r="O36" s="991"/>
    </row>
    <row r="37" spans="2:15" s="2" customFormat="1" ht="16.5" thickBot="1">
      <c r="B37" s="2567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2392" t="s">
        <v>577</v>
      </c>
      <c r="O37" s="991"/>
    </row>
    <row r="38" spans="2:15" s="2" customFormat="1" ht="15.75">
      <c r="B38" s="544" t="s">
        <v>1351</v>
      </c>
      <c r="C38" s="546">
        <v>1907.8</v>
      </c>
      <c r="D38" s="546">
        <v>2035.9</v>
      </c>
      <c r="E38" s="546"/>
      <c r="F38" s="1993"/>
      <c r="G38" s="546"/>
      <c r="H38" s="546"/>
      <c r="I38" s="546"/>
      <c r="J38" s="546"/>
      <c r="K38" s="546"/>
      <c r="L38" s="546"/>
      <c r="M38" s="546"/>
      <c r="N38" s="2393"/>
      <c r="O38" s="991"/>
    </row>
    <row r="39" spans="2:15" s="2" customFormat="1" ht="15.75">
      <c r="B39" s="566" t="s">
        <v>1323</v>
      </c>
      <c r="C39" s="1633">
        <v>2199.8000000000002</v>
      </c>
      <c r="D39" s="323">
        <v>2340.8000000000002</v>
      </c>
      <c r="E39" s="323"/>
      <c r="F39" s="323"/>
      <c r="G39" s="323"/>
      <c r="H39" s="323"/>
      <c r="I39" s="323"/>
      <c r="J39" s="323"/>
      <c r="K39" s="323"/>
      <c r="L39" s="323"/>
      <c r="M39" s="323"/>
      <c r="N39" s="986"/>
      <c r="O39" s="991"/>
    </row>
    <row r="40" spans="2:15" s="2" customFormat="1" ht="15.75">
      <c r="B40" s="1241"/>
      <c r="C40" s="323">
        <f>(+C38+C39)/2</f>
        <v>2053.8000000000002</v>
      </c>
      <c r="D40" s="323">
        <f>(+D38+D39)/2</f>
        <v>2188.3500000000004</v>
      </c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991"/>
    </row>
    <row r="41" spans="2:15" s="2" customFormat="1" ht="15.75">
      <c r="B41" s="1241"/>
      <c r="C41" s="1633">
        <f>+C40/N31</f>
        <v>1.0610498907332497</v>
      </c>
      <c r="D41" s="323">
        <f>+D40/C40</f>
        <v>1.0655127081507449</v>
      </c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991"/>
    </row>
    <row r="42" spans="2:15" s="2" customFormat="1" ht="16.5" thickBot="1">
      <c r="B42" s="369"/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1"/>
      <c r="O42" s="991"/>
    </row>
    <row r="43" spans="2:15" s="2" customFormat="1" ht="16.5" thickBot="1">
      <c r="B43" s="1243" t="s">
        <v>1324</v>
      </c>
      <c r="C43" s="337">
        <f>+C41*N34</f>
        <v>1735.3357914213561</v>
      </c>
      <c r="D43" s="337">
        <f t="shared" ref="D43" si="38">+D41*C43</f>
        <v>1849.0223386682856</v>
      </c>
      <c r="E43" s="337">
        <f t="shared" ref="E43" si="39">+E41*D43</f>
        <v>0</v>
      </c>
      <c r="F43" s="337">
        <f t="shared" ref="F43" si="40">+F41*E43</f>
        <v>0</v>
      </c>
      <c r="G43" s="337">
        <f t="shared" ref="G43" si="41">+G41*F43</f>
        <v>0</v>
      </c>
      <c r="H43" s="337">
        <f t="shared" ref="H43" si="42">+H41*G43</f>
        <v>0</v>
      </c>
      <c r="I43" s="337">
        <f t="shared" ref="I43" si="43">+I41*H43</f>
        <v>0</v>
      </c>
      <c r="J43" s="337">
        <f t="shared" ref="J43" si="44">+J41*I43</f>
        <v>0</v>
      </c>
      <c r="K43" s="337">
        <f t="shared" ref="K43" si="45">+K41*J43</f>
        <v>0</v>
      </c>
      <c r="L43" s="337">
        <f t="shared" ref="L43" si="46">+L41*K43</f>
        <v>0</v>
      </c>
      <c r="M43" s="337">
        <f t="shared" ref="M43" si="47">+M41*L43</f>
        <v>0</v>
      </c>
      <c r="N43" s="337">
        <f t="shared" ref="N43" si="48">+N41*M43</f>
        <v>0</v>
      </c>
      <c r="O43" s="991"/>
    </row>
  </sheetData>
  <mergeCells count="13">
    <mergeCell ref="S4:V4"/>
    <mergeCell ref="S5:U5"/>
    <mergeCell ref="B9:B10"/>
    <mergeCell ref="C9:N9"/>
    <mergeCell ref="B18:B19"/>
    <mergeCell ref="C18:N18"/>
    <mergeCell ref="B36:B37"/>
    <mergeCell ref="C36:N36"/>
    <mergeCell ref="B27:B28"/>
    <mergeCell ref="C27:N27"/>
    <mergeCell ref="D1:O1"/>
    <mergeCell ref="D2:O2"/>
    <mergeCell ref="B4:O4"/>
  </mergeCells>
  <printOptions horizontalCentered="1"/>
  <pageMargins left="0.19685039370078741" right="0.19685039370078741" top="0.74803149606299213" bottom="0.74803149606299213" header="0.31496062992125984" footer="0.31496062992125984"/>
  <pageSetup paperSize="5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3" zoomScale="70" zoomScaleSheetLayoutView="70" workbookViewId="0">
      <selection activeCell="E33" sqref="E3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3" t="s">
        <v>1326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s="2" customFormat="1" ht="15.75">
      <c r="B5" s="3" t="s">
        <v>1327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9" spans="2:25" s="2" customFormat="1" ht="15.75">
      <c r="B9" s="2566" t="s">
        <v>1328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25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1330</v>
      </c>
      <c r="C11" s="2350">
        <v>417.84144840921061</v>
      </c>
      <c r="D11" s="2350">
        <v>423.75637194586028</v>
      </c>
      <c r="E11" s="2350">
        <v>429.75039550008773</v>
      </c>
      <c r="F11" s="2350">
        <v>463.04271400949187</v>
      </c>
      <c r="G11" s="2350">
        <v>463.14818069959551</v>
      </c>
      <c r="H11" s="2350">
        <v>515.87273686060803</v>
      </c>
      <c r="I11" s="2350">
        <v>526.41940587097895</v>
      </c>
      <c r="J11" s="2350">
        <v>559.07892423976068</v>
      </c>
      <c r="K11" s="2350">
        <v>566.76041483564757</v>
      </c>
      <c r="L11" s="2350">
        <v>578.9154508700999</v>
      </c>
      <c r="M11" s="2350">
        <v>604.54385656530121</v>
      </c>
      <c r="N11" s="2351">
        <v>620.58358235190701</v>
      </c>
    </row>
    <row r="12" spans="2:25" s="2" customFormat="1" ht="15.75">
      <c r="B12" s="566" t="s">
        <v>996</v>
      </c>
      <c r="C12" s="323">
        <v>1</v>
      </c>
      <c r="D12" s="323">
        <f>+D11/C11</f>
        <v>1.0141559042530814</v>
      </c>
      <c r="E12" s="323">
        <f t="shared" ref="E12:N12" si="0">+E11/D11</f>
        <v>1.0141449756299907</v>
      </c>
      <c r="F12" s="323">
        <f t="shared" si="0"/>
        <v>1.0774689653761991</v>
      </c>
      <c r="G12" s="323">
        <f t="shared" si="0"/>
        <v>1.000227768814653</v>
      </c>
      <c r="H12" s="323">
        <f t="shared" si="0"/>
        <v>1.113839497504602</v>
      </c>
      <c r="I12" s="323">
        <f t="shared" si="0"/>
        <v>1.020444323292899</v>
      </c>
      <c r="J12" s="323">
        <f t="shared" si="0"/>
        <v>1.062040870842794</v>
      </c>
      <c r="K12" s="323">
        <f t="shared" si="0"/>
        <v>1.0137395459976106</v>
      </c>
      <c r="L12" s="323">
        <f t="shared" si="0"/>
        <v>1.021446515522749</v>
      </c>
      <c r="M12" s="1633">
        <f t="shared" si="0"/>
        <v>1.0442696868025931</v>
      </c>
      <c r="N12" s="1643">
        <f t="shared" si="0"/>
        <v>1.026531947372247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1329</v>
      </c>
      <c r="C14" s="337">
        <v>368.87738154157785</v>
      </c>
      <c r="D14" s="337">
        <f t="shared" ref="D14:N14" si="1">+D12*C14</f>
        <v>374.09917443580781</v>
      </c>
      <c r="E14" s="337">
        <f t="shared" si="1"/>
        <v>379.39079814140194</v>
      </c>
      <c r="F14" s="337">
        <f t="shared" si="1"/>
        <v>408.78181074666674</v>
      </c>
      <c r="G14" s="337">
        <f t="shared" si="1"/>
        <v>408.8749184951522</v>
      </c>
      <c r="H14" s="337">
        <f t="shared" si="1"/>
        <v>455.42103375887541</v>
      </c>
      <c r="I14" s="337">
        <f t="shared" si="1"/>
        <v>464.73180860742815</v>
      </c>
      <c r="J14" s="337">
        <f t="shared" si="1"/>
        <v>493.56417472177964</v>
      </c>
      <c r="K14" s="337">
        <f t="shared" si="1"/>
        <v>500.34552240314224</v>
      </c>
      <c r="L14" s="337">
        <f t="shared" si="1"/>
        <v>511.07619041609917</v>
      </c>
      <c r="M14" s="337">
        <f t="shared" si="1"/>
        <v>533.70137329808233</v>
      </c>
      <c r="N14" s="338">
        <f t="shared" si="1"/>
        <v>547.86151004692294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66" t="s">
        <v>1328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1330</v>
      </c>
      <c r="C18" s="546">
        <v>627.35102830022834</v>
      </c>
      <c r="D18" s="546">
        <v>635.63895236421149</v>
      </c>
      <c r="E18" s="546">
        <v>663.86008085779565</v>
      </c>
      <c r="F18" s="545">
        <v>742.1778871506416</v>
      </c>
      <c r="G18" s="546">
        <v>758.92951309544742</v>
      </c>
      <c r="H18" s="546">
        <v>785.22587449463867</v>
      </c>
      <c r="I18" s="546">
        <v>797.67094392687636</v>
      </c>
      <c r="J18" s="546">
        <v>828.70451748989274</v>
      </c>
      <c r="K18" s="546">
        <v>855.23817894181741</v>
      </c>
      <c r="L18" s="546">
        <v>868.77307083845994</v>
      </c>
      <c r="M18" s="546">
        <v>917.60414835647725</v>
      </c>
      <c r="N18" s="1640">
        <v>926.9994726665492</v>
      </c>
    </row>
    <row r="19" spans="2:17" s="2" customFormat="1" ht="15.75">
      <c r="B19" s="566" t="s">
        <v>996</v>
      </c>
      <c r="C19" s="1633">
        <f>+C18/N11</f>
        <v>1.010904970967285</v>
      </c>
      <c r="D19" s="323">
        <f t="shared" ref="D19:N19" si="2">+D18/C18</f>
        <v>1.0132109834687588</v>
      </c>
      <c r="E19" s="323">
        <f t="shared" si="2"/>
        <v>1.0443980476473598</v>
      </c>
      <c r="F19" s="323">
        <f t="shared" si="2"/>
        <v>1.1179733629888529</v>
      </c>
      <c r="G19" s="323">
        <f t="shared" si="2"/>
        <v>1.0225709041387887</v>
      </c>
      <c r="H19" s="323">
        <f t="shared" si="2"/>
        <v>1.034649280263112</v>
      </c>
      <c r="I19" s="323">
        <f t="shared" si="2"/>
        <v>1.0158490312615427</v>
      </c>
      <c r="J19" s="323">
        <f t="shared" si="2"/>
        <v>1.0389052325389219</v>
      </c>
      <c r="K19" s="323">
        <f t="shared" si="2"/>
        <v>1.0320182415950789</v>
      </c>
      <c r="L19" s="323">
        <f t="shared" si="2"/>
        <v>1.0158258742767883</v>
      </c>
      <c r="M19" s="323">
        <f t="shared" si="2"/>
        <v>1.0562069419012838</v>
      </c>
      <c r="N19" s="1012">
        <f t="shared" si="2"/>
        <v>1.0102389732292514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1329</v>
      </c>
      <c r="C21" s="337">
        <f>+N14*C19</f>
        <v>553.83592390807758</v>
      </c>
      <c r="D21" s="337">
        <f t="shared" ref="D21:N21" si="3">+C21*D19</f>
        <v>561.1526411432319</v>
      </c>
      <c r="E21" s="337">
        <f t="shared" si="3"/>
        <v>586.06672284215085</v>
      </c>
      <c r="F21" s="337">
        <f t="shared" si="3"/>
        <v>655.20698507169539</v>
      </c>
      <c r="G21" s="337">
        <f t="shared" si="3"/>
        <v>669.99559912281336</v>
      </c>
      <c r="H21" s="337">
        <f t="shared" si="3"/>
        <v>693.21046441187138</v>
      </c>
      <c r="I21" s="337">
        <f t="shared" si="3"/>
        <v>704.1971787331637</v>
      </c>
      <c r="J21" s="337">
        <f t="shared" si="3"/>
        <v>731.59413372503013</v>
      </c>
      <c r="K21" s="337">
        <f t="shared" si="3"/>
        <v>755.01849144818061</v>
      </c>
      <c r="L21" s="337">
        <f t="shared" si="3"/>
        <v>766.96731917048987</v>
      </c>
      <c r="M21" s="337">
        <f t="shared" si="3"/>
        <v>810.07620671928896</v>
      </c>
      <c r="N21" s="338">
        <f t="shared" si="3"/>
        <v>818.37055531354122</v>
      </c>
    </row>
    <row r="22" spans="2:17" ht="13.5" thickBot="1"/>
    <row r="23" spans="2:17" s="2" customFormat="1" ht="15.75">
      <c r="B23" s="2566" t="s">
        <v>1328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1330</v>
      </c>
      <c r="C25" s="546">
        <v>939.98066444014739</v>
      </c>
      <c r="D25" s="546">
        <v>980.21620671471226</v>
      </c>
      <c r="E25" s="546">
        <v>1024.3715943047985</v>
      </c>
      <c r="F25" s="1993">
        <v>1057.7254350500966</v>
      </c>
      <c r="G25" s="546">
        <v>1085.6916857092635</v>
      </c>
      <c r="H25" s="546">
        <v>1143.7510986113552</v>
      </c>
      <c r="I25" s="546">
        <v>1333.1516962559324</v>
      </c>
      <c r="J25" s="546">
        <v>1440.4</v>
      </c>
      <c r="K25" s="546">
        <v>1548</v>
      </c>
      <c r="L25" s="546">
        <v>1590</v>
      </c>
      <c r="M25" s="546">
        <v>1627.0434171207594</v>
      </c>
      <c r="N25" s="1640">
        <v>1710.4</v>
      </c>
    </row>
    <row r="26" spans="2:17" s="2" customFormat="1" ht="15.75">
      <c r="B26" s="566" t="s">
        <v>996</v>
      </c>
      <c r="C26" s="1633">
        <f>+C25/N18</f>
        <v>1.0140034510874718</v>
      </c>
      <c r="D26" s="323">
        <f t="shared" ref="D26:N26" si="4">+D25/C25</f>
        <v>1.0428046488578882</v>
      </c>
      <c r="E26" s="323">
        <f t="shared" si="4"/>
        <v>1.0450465798133222</v>
      </c>
      <c r="F26" s="323">
        <f t="shared" si="4"/>
        <v>1.0325602944583152</v>
      </c>
      <c r="G26" s="323">
        <f t="shared" si="4"/>
        <v>1.0264399906936552</v>
      </c>
      <c r="H26" s="323">
        <f t="shared" si="4"/>
        <v>1.0534768882052943</v>
      </c>
      <c r="I26" s="323">
        <f t="shared" si="4"/>
        <v>1.1655959918854122</v>
      </c>
      <c r="J26" s="323">
        <f t="shared" si="4"/>
        <v>1.0804471869519932</v>
      </c>
      <c r="K26" s="323">
        <f t="shared" si="4"/>
        <v>1.0747014718133852</v>
      </c>
      <c r="L26" s="323">
        <f t="shared" si="4"/>
        <v>1.0271317829457365</v>
      </c>
      <c r="M26" s="323">
        <f t="shared" si="4"/>
        <v>1.0232977466168298</v>
      </c>
      <c r="N26" s="323">
        <f t="shared" si="4"/>
        <v>1.0512319351789332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1329</v>
      </c>
      <c r="C28" s="337">
        <f>+N21*C26</f>
        <v>829.83056735630157</v>
      </c>
      <c r="D28" s="337">
        <f t="shared" ref="D28:N28" si="5">+C28*D26</f>
        <v>865.3511734035302</v>
      </c>
      <c r="E28" s="337">
        <f t="shared" si="5"/>
        <v>904.33228410280435</v>
      </c>
      <c r="F28" s="337">
        <f t="shared" si="5"/>
        <v>933.77760956135239</v>
      </c>
      <c r="G28" s="337">
        <f t="shared" si="5"/>
        <v>958.46668086809814</v>
      </c>
      <c r="H28" s="337">
        <f t="shared" si="5"/>
        <v>1009.7224964093809</v>
      </c>
      <c r="I28" s="337">
        <f t="shared" si="5"/>
        <v>1176.928494731307</v>
      </c>
      <c r="J28" s="337">
        <f t="shared" si="5"/>
        <v>1271.6090813760843</v>
      </c>
      <c r="K28" s="337">
        <f t="shared" si="5"/>
        <v>1366.6001513261444</v>
      </c>
      <c r="L28" s="337">
        <f t="shared" si="5"/>
        <v>1403.678450005536</v>
      </c>
      <c r="M28" s="337">
        <f t="shared" si="5"/>
        <v>1436.3809948652695</v>
      </c>
      <c r="N28" s="337">
        <f t="shared" si="5"/>
        <v>1509.9695728864585</v>
      </c>
    </row>
    <row r="29" spans="2:17" ht="13.5" thickBot="1"/>
    <row r="30" spans="2:17" s="2" customFormat="1" ht="15.75">
      <c r="B30" s="2566" t="s">
        <v>1328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1330</v>
      </c>
      <c r="C32" s="546">
        <v>1808.4</v>
      </c>
      <c r="D32" s="546">
        <v>1914.7</v>
      </c>
      <c r="E32" s="546"/>
      <c r="F32" s="1993"/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1.0572965388213282</v>
      </c>
      <c r="D33" s="323">
        <f t="shared" ref="D33" si="6">+D32/C32</f>
        <v>1.0587812430878123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1329</v>
      </c>
      <c r="C35" s="337">
        <f>+N28*C33</f>
        <v>1596.485603138372</v>
      </c>
      <c r="D35" s="337">
        <f t="shared" ref="D35" si="7">+C35*D33</f>
        <v>1690.3290114626413</v>
      </c>
      <c r="E35" s="337">
        <f t="shared" ref="E35" si="8">+D35*E33</f>
        <v>0</v>
      </c>
      <c r="F35" s="337">
        <f t="shared" ref="F35" si="9">+E35*F33</f>
        <v>0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  <rowBreaks count="1" manualBreakCount="1">
    <brk id="24" max="14" man="1"/>
  </rowBreaks>
  <colBreaks count="1" manualBreakCount="1">
    <brk id="13" max="3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92D050"/>
  </sheetPr>
  <dimension ref="C2:IQ75"/>
  <sheetViews>
    <sheetView showGridLines="0" view="pageBreakPreview" topLeftCell="A7" zoomScale="70" zoomScaleNormal="75" zoomScaleSheetLayoutView="70" workbookViewId="0">
      <selection activeCell="IQ22" sqref="IQ22"/>
    </sheetView>
  </sheetViews>
  <sheetFormatPr baseColWidth="10" defaultColWidth="11.42578125" defaultRowHeight="15.75"/>
  <cols>
    <col min="1" max="1" width="3.28515625" style="2" customWidth="1"/>
    <col min="2" max="2" width="2.5703125" style="2" customWidth="1"/>
    <col min="3" max="3" width="31.140625" style="132" customWidth="1"/>
    <col min="4" max="4" width="6.7109375" style="132" customWidth="1"/>
    <col min="5" max="5" width="9.28515625" style="132" customWidth="1"/>
    <col min="6" max="6" width="9.7109375" style="132" customWidth="1"/>
    <col min="7" max="7" width="8.28515625" style="132" customWidth="1"/>
    <col min="8" max="9" width="8.28515625" style="132" hidden="1" customWidth="1"/>
    <col min="10" max="10" width="9.140625" style="132" hidden="1" customWidth="1"/>
    <col min="11" max="17" width="8.7109375" style="132" hidden="1" customWidth="1"/>
    <col min="18" max="20" width="9.140625" style="132" hidden="1" customWidth="1"/>
    <col min="21" max="26" width="10.5703125" style="132" hidden="1" customWidth="1"/>
    <col min="27" max="27" width="8.5703125" style="132" hidden="1" customWidth="1"/>
    <col min="28" max="35" width="8.7109375" style="132" hidden="1" customWidth="1"/>
    <col min="36" max="38" width="8" style="132" hidden="1" customWidth="1"/>
    <col min="39" max="39" width="8.7109375" style="132" hidden="1" customWidth="1"/>
    <col min="40" max="40" width="8" style="132" hidden="1" customWidth="1"/>
    <col min="41" max="41" width="7.85546875" style="132" hidden="1" customWidth="1"/>
    <col min="42" max="42" width="8" style="132" hidden="1" customWidth="1"/>
    <col min="43" max="43" width="8.140625" style="132" hidden="1" customWidth="1"/>
    <col min="44" max="44" width="8" style="132" hidden="1" customWidth="1"/>
    <col min="45" max="45" width="8.140625" style="132" hidden="1" customWidth="1"/>
    <col min="46" max="46" width="7.140625" style="132" hidden="1" customWidth="1"/>
    <col min="47" max="47" width="7.5703125" style="132" hidden="1" customWidth="1"/>
    <col min="48" max="48" width="7.7109375" style="132" hidden="1" customWidth="1"/>
    <col min="49" max="50" width="7.5703125" style="132" hidden="1" customWidth="1"/>
    <col min="51" max="51" width="8.28515625" style="132" hidden="1" customWidth="1"/>
    <col min="52" max="52" width="8.140625" style="132" hidden="1" customWidth="1"/>
    <col min="53" max="53" width="8" style="132" hidden="1" customWidth="1"/>
    <col min="54" max="54" width="8.42578125" style="132" hidden="1" customWidth="1"/>
    <col min="55" max="69" width="8.85546875" style="132" hidden="1" customWidth="1"/>
    <col min="70" max="70" width="9.28515625" style="132" hidden="1" customWidth="1"/>
    <col min="71" max="71" width="8.85546875" style="132" hidden="1" customWidth="1"/>
    <col min="72" max="72" width="8.5703125" style="132" hidden="1" customWidth="1"/>
    <col min="73" max="75" width="7.85546875" style="132" hidden="1" customWidth="1"/>
    <col min="76" max="76" width="7.28515625" style="132" hidden="1" customWidth="1"/>
    <col min="77" max="77" width="7.42578125" style="132" hidden="1" customWidth="1"/>
    <col min="78" max="78" width="7.28515625" style="132" hidden="1" customWidth="1"/>
    <col min="79" max="79" width="8.42578125" style="132" hidden="1" customWidth="1"/>
    <col min="80" max="80" width="8.140625" style="132" hidden="1" customWidth="1"/>
    <col min="81" max="81" width="7.42578125" style="132" hidden="1" customWidth="1"/>
    <col min="82" max="90" width="8" style="132" hidden="1" customWidth="1"/>
    <col min="91" max="91" width="8" style="2" hidden="1" customWidth="1"/>
    <col min="92" max="93" width="8.7109375" style="2" hidden="1" customWidth="1"/>
    <col min="94" max="95" width="7.85546875" style="2" hidden="1" customWidth="1"/>
    <col min="96" max="96" width="8.28515625" style="2" hidden="1" customWidth="1"/>
    <col min="97" max="97" width="8" style="2" hidden="1" customWidth="1"/>
    <col min="98" max="98" width="7.85546875" style="2" hidden="1" customWidth="1"/>
    <col min="99" max="101" width="8.28515625" style="2" hidden="1" customWidth="1"/>
    <col min="102" max="102" width="8.42578125" style="2" hidden="1" customWidth="1"/>
    <col min="103" max="103" width="8" style="2" hidden="1" customWidth="1"/>
    <col min="104" max="104" width="8.28515625" style="2" hidden="1" customWidth="1"/>
    <col min="105" max="105" width="8.5703125" style="2" hidden="1" customWidth="1"/>
    <col min="106" max="107" width="7.5703125" style="2" hidden="1" customWidth="1"/>
    <col min="108" max="108" width="8.42578125" style="2" hidden="1" customWidth="1"/>
    <col min="109" max="109" width="8.5703125" style="2" hidden="1" customWidth="1"/>
    <col min="110" max="110" width="8.85546875" style="2" hidden="1" customWidth="1"/>
    <col min="111" max="111" width="7.85546875" style="2" hidden="1" customWidth="1"/>
    <col min="112" max="112" width="8.42578125" style="2" hidden="1" customWidth="1"/>
    <col min="113" max="113" width="8.85546875" style="2" hidden="1" customWidth="1"/>
    <col min="114" max="114" width="7.85546875" style="2" hidden="1" customWidth="1"/>
    <col min="115" max="115" width="8" style="2" hidden="1" customWidth="1"/>
    <col min="116" max="116" width="9.7109375" style="2" hidden="1" customWidth="1"/>
    <col min="117" max="117" width="10" style="2" hidden="1" customWidth="1"/>
    <col min="118" max="118" width="9" style="2" hidden="1" customWidth="1"/>
    <col min="119" max="120" width="8.5703125" style="2" hidden="1" customWidth="1"/>
    <col min="121" max="121" width="7.85546875" style="2" hidden="1" customWidth="1"/>
    <col min="122" max="122" width="8.28515625" style="2" hidden="1" customWidth="1"/>
    <col min="123" max="123" width="8.5703125" style="2" hidden="1" customWidth="1"/>
    <col min="124" max="124" width="8.85546875" style="2" hidden="1" customWidth="1"/>
    <col min="125" max="125" width="9.28515625" style="2" hidden="1" customWidth="1"/>
    <col min="126" max="126" width="8.42578125" style="2" hidden="1" customWidth="1"/>
    <col min="127" max="128" width="8.85546875" style="2" hidden="1" customWidth="1"/>
    <col min="129" max="130" width="8.28515625" style="2" hidden="1" customWidth="1"/>
    <col min="131" max="131" width="8.42578125" style="2" hidden="1" customWidth="1"/>
    <col min="132" max="132" width="8.5703125" style="2" hidden="1" customWidth="1"/>
    <col min="133" max="133" width="9.140625" style="2" hidden="1" customWidth="1"/>
    <col min="134" max="134" width="9.28515625" style="2" hidden="1" customWidth="1"/>
    <col min="135" max="135" width="9.85546875" style="2" hidden="1" customWidth="1"/>
    <col min="136" max="136" width="8.5703125" style="2" hidden="1" customWidth="1"/>
    <col min="137" max="137" width="9.42578125" style="2" hidden="1" customWidth="1"/>
    <col min="138" max="138" width="10" style="2" hidden="1" customWidth="1"/>
    <col min="139" max="139" width="9.85546875" style="2" hidden="1" customWidth="1"/>
    <col min="140" max="140" width="9" style="2" hidden="1" customWidth="1"/>
    <col min="141" max="141" width="9.7109375" style="2" hidden="1" customWidth="1"/>
    <col min="142" max="142" width="9.28515625" style="2" hidden="1" customWidth="1"/>
    <col min="143" max="143" width="9.7109375" style="2" hidden="1" customWidth="1"/>
    <col min="144" max="144" width="9.140625" style="2" hidden="1" customWidth="1"/>
    <col min="145" max="145" width="9.42578125" style="2" hidden="1" customWidth="1"/>
    <col min="146" max="146" width="8.7109375" style="2" hidden="1" customWidth="1"/>
    <col min="147" max="147" width="9.5703125" style="2" hidden="1" customWidth="1"/>
    <col min="148" max="148" width="8.28515625" style="132" hidden="1" customWidth="1"/>
    <col min="149" max="149" width="9.28515625" style="2" hidden="1" customWidth="1"/>
    <col min="150" max="150" width="10.140625" style="2" hidden="1" customWidth="1"/>
    <col min="151" max="152" width="9.28515625" style="2" hidden="1" customWidth="1"/>
    <col min="153" max="153" width="12.42578125" style="2" hidden="1" customWidth="1"/>
    <col min="154" max="154" width="12" style="2" hidden="1" customWidth="1"/>
    <col min="155" max="165" width="12.42578125" style="2" hidden="1" customWidth="1"/>
    <col min="166" max="166" width="12.42578125" style="2" customWidth="1"/>
    <col min="167" max="180" width="12.42578125" style="2" hidden="1" customWidth="1"/>
    <col min="181" max="184" width="10.140625" style="2" hidden="1" customWidth="1"/>
    <col min="185" max="193" width="11.42578125" style="2" hidden="1" customWidth="1"/>
    <col min="194" max="194" width="11" style="2" hidden="1" customWidth="1"/>
    <col min="195" max="198" width="9.5703125" style="2" hidden="1" customWidth="1"/>
    <col min="199" max="210" width="10.42578125" style="2" hidden="1" customWidth="1"/>
    <col min="211" max="238" width="10.28515625" style="2" hidden="1" customWidth="1"/>
    <col min="239" max="251" width="10.28515625" style="2" customWidth="1"/>
    <col min="252" max="252" width="4" style="2" customWidth="1"/>
    <col min="253" max="281" width="2.5703125" style="2" bestFit="1" customWidth="1"/>
    <col min="282" max="16384" width="11.42578125" style="2"/>
  </cols>
  <sheetData>
    <row r="2" spans="3:236">
      <c r="C2" s="132" t="s">
        <v>591</v>
      </c>
      <c r="E2" s="363" t="s">
        <v>592</v>
      </c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ER2" s="363"/>
    </row>
    <row r="3" spans="3:236">
      <c r="C3" s="132" t="s">
        <v>593</v>
      </c>
      <c r="E3" s="363" t="s">
        <v>594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ER3" s="363"/>
    </row>
    <row r="4" spans="3:236">
      <c r="C4" s="132" t="s">
        <v>595</v>
      </c>
    </row>
    <row r="5" spans="3:236">
      <c r="E5" s="364" t="s">
        <v>1029</v>
      </c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ER5" s="364"/>
    </row>
    <row r="7" spans="3:236">
      <c r="C7" s="3" t="s">
        <v>1142</v>
      </c>
      <c r="D7" s="3"/>
      <c r="E7" s="3"/>
    </row>
    <row r="8" spans="3:236" ht="15.75" customHeight="1">
      <c r="C8" s="3"/>
      <c r="D8" s="3"/>
      <c r="E8" s="3"/>
    </row>
    <row r="9" spans="3:236">
      <c r="C9" s="3" t="s">
        <v>691</v>
      </c>
    </row>
    <row r="10" spans="3:236" ht="5.25" customHeight="1" thickBot="1">
      <c r="C10" s="3"/>
    </row>
    <row r="11" spans="3:236" ht="12.75" customHeight="1">
      <c r="C11" s="365" t="s">
        <v>655</v>
      </c>
      <c r="D11" s="2628" t="s">
        <v>249</v>
      </c>
      <c r="E11" s="2629"/>
      <c r="F11" s="2628" t="s">
        <v>508</v>
      </c>
      <c r="G11" s="1592"/>
      <c r="H11" s="120"/>
      <c r="I11" s="120"/>
      <c r="J11" s="120"/>
      <c r="L11" s="120"/>
      <c r="AH11" s="445"/>
      <c r="AL11" s="425"/>
      <c r="AU11" s="425"/>
      <c r="AV11" s="425"/>
      <c r="AZ11" s="425"/>
      <c r="DB11" s="991"/>
      <c r="DC11" s="991"/>
      <c r="DD11" s="991"/>
      <c r="DH11" s="914"/>
      <c r="DL11" s="991"/>
      <c r="DM11" s="991"/>
      <c r="DQ11" s="991"/>
      <c r="DU11" s="991"/>
      <c r="DW11" s="991"/>
      <c r="DZ11" s="991"/>
      <c r="ED11" s="991"/>
      <c r="EG11" s="991"/>
      <c r="EM11" s="991"/>
      <c r="ET11" s="1109"/>
      <c r="GH11" s="991"/>
      <c r="GL11" s="991"/>
      <c r="GV11" s="991"/>
      <c r="IB11" s="991"/>
    </row>
    <row r="12" spans="3:236" ht="4.5" customHeight="1">
      <c r="C12" s="505"/>
      <c r="D12" s="506"/>
      <c r="E12" s="507"/>
      <c r="F12" s="2631"/>
      <c r="G12" s="508"/>
      <c r="H12" s="120"/>
      <c r="I12" s="120"/>
      <c r="J12" s="120"/>
      <c r="AH12" s="445"/>
      <c r="AL12" s="425"/>
      <c r="AU12" s="425"/>
      <c r="AV12" s="425"/>
      <c r="AZ12" s="425"/>
      <c r="DB12" s="991"/>
      <c r="DC12" s="991"/>
      <c r="DD12" s="991"/>
      <c r="DH12" s="914"/>
      <c r="DL12" s="991"/>
      <c r="DM12" s="991"/>
      <c r="DQ12" s="991"/>
      <c r="DU12" s="991"/>
      <c r="DW12" s="991"/>
      <c r="DZ12" s="991"/>
      <c r="ED12" s="991"/>
      <c r="EG12" s="991"/>
      <c r="EM12" s="991"/>
      <c r="ET12" s="508"/>
      <c r="GH12" s="991"/>
      <c r="GL12" s="991"/>
      <c r="GV12" s="991"/>
      <c r="IB12" s="991"/>
    </row>
    <row r="13" spans="3:236" ht="2.25" customHeight="1">
      <c r="C13" s="509"/>
      <c r="D13" s="510"/>
      <c r="E13" s="511"/>
      <c r="F13" s="510"/>
      <c r="G13" s="512"/>
      <c r="H13" s="120"/>
      <c r="I13" s="120"/>
      <c r="J13" s="120"/>
      <c r="AH13" s="445"/>
      <c r="AL13" s="425"/>
      <c r="AU13" s="425"/>
      <c r="AV13" s="425"/>
      <c r="AZ13" s="425"/>
      <c r="DB13" s="991"/>
      <c r="DC13" s="991"/>
      <c r="DD13" s="991"/>
      <c r="DH13" s="914"/>
      <c r="DL13" s="991"/>
      <c r="DM13" s="991"/>
      <c r="DQ13" s="991"/>
      <c r="DU13" s="991"/>
      <c r="DW13" s="991"/>
      <c r="DZ13" s="991"/>
      <c r="ED13" s="991"/>
      <c r="EG13" s="991"/>
      <c r="EM13" s="991"/>
      <c r="ET13" s="35"/>
      <c r="GH13" s="991"/>
      <c r="GL13" s="991"/>
      <c r="GV13" s="991"/>
      <c r="IB13" s="991"/>
    </row>
    <row r="14" spans="3:236">
      <c r="C14" s="368" t="s">
        <v>657</v>
      </c>
      <c r="D14" s="2626">
        <v>221</v>
      </c>
      <c r="E14" s="2627"/>
      <c r="F14" s="2615">
        <v>0.56000000000000005</v>
      </c>
      <c r="G14" s="2616"/>
      <c r="H14" s="120"/>
      <c r="I14" s="120"/>
      <c r="J14" s="120"/>
      <c r="K14" s="121"/>
      <c r="L14" s="121"/>
      <c r="M14" s="121"/>
      <c r="N14" s="121"/>
      <c r="O14" s="121"/>
      <c r="P14" s="121"/>
      <c r="AH14" s="445"/>
      <c r="AL14" s="425"/>
      <c r="AU14" s="425"/>
      <c r="AV14" s="425"/>
      <c r="AZ14" s="425"/>
      <c r="DB14" s="991"/>
      <c r="DC14" s="991"/>
      <c r="DD14" s="991"/>
      <c r="DH14" s="914"/>
      <c r="DL14" s="991"/>
      <c r="DM14" s="991"/>
      <c r="DQ14" s="991"/>
      <c r="DU14" s="991"/>
      <c r="DW14" s="991"/>
      <c r="DZ14" s="991"/>
      <c r="ED14" s="991"/>
      <c r="EG14" s="991"/>
      <c r="EM14" s="991"/>
      <c r="ET14" s="1578"/>
      <c r="GH14" s="991"/>
      <c r="GL14" s="991"/>
      <c r="GV14" s="991"/>
      <c r="IB14" s="991"/>
    </row>
    <row r="15" spans="3:236">
      <c r="C15" s="368" t="s">
        <v>692</v>
      </c>
      <c r="D15" s="2626">
        <v>57</v>
      </c>
      <c r="E15" s="2627"/>
      <c r="F15" s="2615">
        <v>0.04</v>
      </c>
      <c r="G15" s="2616"/>
      <c r="H15" s="120"/>
      <c r="I15" s="120"/>
      <c r="J15" s="120"/>
      <c r="K15" s="121"/>
      <c r="L15" s="121"/>
      <c r="M15" s="121"/>
      <c r="N15" s="121"/>
      <c r="O15" s="121"/>
      <c r="P15" s="121"/>
      <c r="AH15" s="445"/>
      <c r="AL15" s="425"/>
      <c r="AU15" s="425"/>
      <c r="AV15" s="425"/>
      <c r="AZ15" s="425"/>
      <c r="DB15" s="991"/>
      <c r="DC15" s="991"/>
      <c r="DD15" s="991"/>
      <c r="DH15" s="914"/>
      <c r="DL15" s="991"/>
      <c r="DM15" s="991"/>
      <c r="DQ15" s="991"/>
      <c r="DU15" s="991"/>
      <c r="DW15" s="991"/>
      <c r="DZ15" s="991"/>
      <c r="ED15" s="991"/>
      <c r="EG15" s="991"/>
      <c r="EM15" s="991"/>
      <c r="ET15" s="1576"/>
      <c r="GH15" s="991"/>
      <c r="GL15" s="991"/>
      <c r="GV15" s="991"/>
      <c r="IB15" s="991"/>
    </row>
    <row r="16" spans="3:236">
      <c r="C16" s="368" t="s">
        <v>662</v>
      </c>
      <c r="D16" s="2626" t="s">
        <v>693</v>
      </c>
      <c r="E16" s="2627"/>
      <c r="F16" s="2615">
        <v>0.1</v>
      </c>
      <c r="G16" s="2630"/>
      <c r="H16" s="120"/>
      <c r="I16" s="120"/>
      <c r="J16" s="120"/>
      <c r="K16" s="121"/>
      <c r="L16" s="121"/>
      <c r="M16" s="121"/>
      <c r="N16" s="121"/>
      <c r="O16" s="121"/>
      <c r="P16" s="121"/>
      <c r="AH16" s="445"/>
      <c r="AL16" s="425"/>
      <c r="AU16" s="425"/>
      <c r="AV16" s="425"/>
      <c r="AZ16" s="425"/>
      <c r="DB16" s="991"/>
      <c r="DC16" s="991"/>
      <c r="DD16" s="991"/>
      <c r="DH16" s="914"/>
      <c r="DL16" s="991"/>
      <c r="DM16" s="991"/>
      <c r="DQ16" s="991"/>
      <c r="DU16" s="991"/>
      <c r="DW16" s="991"/>
      <c r="DZ16" s="991"/>
      <c r="ED16" s="991"/>
      <c r="EG16" s="991"/>
      <c r="EM16" s="991"/>
      <c r="ET16" s="1576"/>
      <c r="GH16" s="991"/>
      <c r="GL16" s="991"/>
      <c r="GV16" s="991"/>
      <c r="IB16" s="991"/>
    </row>
    <row r="17" spans="3:251" ht="16.5" thickBot="1">
      <c r="C17" s="369" t="s">
        <v>694</v>
      </c>
      <c r="D17" s="2642">
        <v>67</v>
      </c>
      <c r="E17" s="2643"/>
      <c r="F17" s="2632">
        <v>0.3</v>
      </c>
      <c r="G17" s="2633"/>
      <c r="H17" s="120"/>
      <c r="I17" s="120"/>
      <c r="J17" s="120"/>
      <c r="K17" s="121"/>
      <c r="L17" s="121"/>
      <c r="M17" s="121"/>
      <c r="N17" s="121"/>
      <c r="O17" s="121"/>
      <c r="P17" s="121"/>
      <c r="AH17" s="445"/>
      <c r="AL17" s="425"/>
      <c r="AU17" s="425"/>
      <c r="AV17" s="425"/>
      <c r="AZ17" s="425"/>
      <c r="DB17" s="991"/>
      <c r="DC17" s="991"/>
      <c r="DD17" s="991"/>
      <c r="DH17" s="914"/>
      <c r="DL17" s="991"/>
      <c r="DM17" s="991"/>
      <c r="DQ17" s="991"/>
      <c r="DU17" s="991"/>
      <c r="DW17" s="991"/>
      <c r="DZ17" s="991"/>
      <c r="ED17" s="991"/>
      <c r="EG17" s="991"/>
      <c r="EM17" s="991"/>
      <c r="ET17" s="1591"/>
      <c r="GH17" s="991"/>
      <c r="GL17" s="991"/>
      <c r="GV17" s="991"/>
      <c r="IB17" s="991"/>
    </row>
    <row r="18" spans="3:251" ht="9.9499999999999993" customHeight="1" thickBot="1">
      <c r="F18" s="375"/>
      <c r="G18" s="375"/>
      <c r="ER18" s="375"/>
    </row>
    <row r="19" spans="3:251" ht="23.25" customHeight="1" thickBot="1">
      <c r="C19" s="1265" t="s">
        <v>673</v>
      </c>
      <c r="D19" s="2670" t="s">
        <v>831</v>
      </c>
      <c r="E19" s="2671"/>
      <c r="F19" s="1457">
        <v>37226</v>
      </c>
      <c r="G19" s="1469">
        <v>37536</v>
      </c>
      <c r="H19" s="1470">
        <v>37561</v>
      </c>
      <c r="I19" s="1470">
        <v>37591</v>
      </c>
      <c r="J19" s="1470">
        <v>37622</v>
      </c>
      <c r="K19" s="1470">
        <v>37653</v>
      </c>
      <c r="L19" s="1470">
        <v>37681</v>
      </c>
      <c r="M19" s="1470">
        <v>37712</v>
      </c>
      <c r="N19" s="1470">
        <v>37742</v>
      </c>
      <c r="O19" s="1470">
        <v>37773</v>
      </c>
      <c r="P19" s="1470">
        <v>37803</v>
      </c>
      <c r="Q19" s="1470">
        <v>37834</v>
      </c>
      <c r="R19" s="1470">
        <v>37865</v>
      </c>
      <c r="S19" s="1470">
        <v>37895</v>
      </c>
      <c r="T19" s="1470">
        <v>37926</v>
      </c>
      <c r="U19" s="1470">
        <v>37956</v>
      </c>
      <c r="V19" s="1470">
        <v>37987</v>
      </c>
      <c r="W19" s="1470">
        <v>38018</v>
      </c>
      <c r="X19" s="1470">
        <v>38047</v>
      </c>
      <c r="Y19" s="1470">
        <v>38078</v>
      </c>
      <c r="Z19" s="1470">
        <v>38108</v>
      </c>
      <c r="AA19" s="1470">
        <v>38139</v>
      </c>
      <c r="AB19" s="1470">
        <v>38169</v>
      </c>
      <c r="AC19" s="1470">
        <v>38200</v>
      </c>
      <c r="AD19" s="1470">
        <v>38231</v>
      </c>
      <c r="AE19" s="1470">
        <v>38261</v>
      </c>
      <c r="AF19" s="1470">
        <v>38292</v>
      </c>
      <c r="AG19" s="1470">
        <v>38322</v>
      </c>
      <c r="AH19" s="1470">
        <v>38353</v>
      </c>
      <c r="AI19" s="1470">
        <v>38384</v>
      </c>
      <c r="AJ19" s="1470">
        <v>38412</v>
      </c>
      <c r="AK19" s="1470">
        <v>38443</v>
      </c>
      <c r="AL19" s="1470">
        <v>38473</v>
      </c>
      <c r="AM19" s="1470">
        <v>38504</v>
      </c>
      <c r="AN19" s="1470">
        <v>38534</v>
      </c>
      <c r="AO19" s="1470">
        <v>38565</v>
      </c>
      <c r="AP19" s="1470">
        <v>38596</v>
      </c>
      <c r="AQ19" s="1470">
        <v>38626</v>
      </c>
      <c r="AR19" s="1470">
        <v>38657</v>
      </c>
      <c r="AS19" s="1470">
        <v>38687</v>
      </c>
      <c r="AT19" s="1470">
        <v>38718</v>
      </c>
      <c r="AU19" s="1470">
        <v>38749</v>
      </c>
      <c r="AV19" s="1470">
        <v>38777</v>
      </c>
      <c r="AW19" s="1470">
        <v>38808</v>
      </c>
      <c r="AX19" s="1470">
        <v>38838</v>
      </c>
      <c r="AY19" s="1470">
        <v>38869</v>
      </c>
      <c r="AZ19" s="1470">
        <v>38899</v>
      </c>
      <c r="BA19" s="1470">
        <v>38930</v>
      </c>
      <c r="BB19" s="1470">
        <v>38961</v>
      </c>
      <c r="BC19" s="1470">
        <v>38991</v>
      </c>
      <c r="BD19" s="1470">
        <v>39022</v>
      </c>
      <c r="BE19" s="1470">
        <v>39052</v>
      </c>
      <c r="BF19" s="1470">
        <v>39083</v>
      </c>
      <c r="BG19" s="1470">
        <v>39114</v>
      </c>
      <c r="BH19" s="1470">
        <v>39142</v>
      </c>
      <c r="BI19" s="1470">
        <v>39173</v>
      </c>
      <c r="BJ19" s="1470">
        <v>39203</v>
      </c>
      <c r="BK19" s="1470">
        <v>39234</v>
      </c>
      <c r="BL19" s="1470">
        <v>39264</v>
      </c>
      <c r="BM19" s="1470">
        <v>39295</v>
      </c>
      <c r="BN19" s="1470">
        <v>39326</v>
      </c>
      <c r="BO19" s="1470">
        <v>39356</v>
      </c>
      <c r="BP19" s="1470">
        <v>39387</v>
      </c>
      <c r="BQ19" s="1249">
        <v>39417</v>
      </c>
      <c r="BR19" s="1471">
        <v>39448</v>
      </c>
      <c r="BS19" s="1472">
        <v>39479</v>
      </c>
      <c r="BT19" s="1472">
        <v>39508</v>
      </c>
      <c r="BU19" s="1472">
        <v>39539</v>
      </c>
      <c r="BV19" s="1469">
        <v>39569</v>
      </c>
      <c r="BW19" s="1470">
        <v>39600</v>
      </c>
      <c r="BX19" s="1470">
        <v>39630</v>
      </c>
      <c r="BY19" s="1470">
        <v>39661</v>
      </c>
      <c r="BZ19" s="1470">
        <v>39692</v>
      </c>
      <c r="CA19" s="1470">
        <v>39722</v>
      </c>
      <c r="CB19" s="1470">
        <v>39753</v>
      </c>
      <c r="CC19" s="1249">
        <v>39783</v>
      </c>
      <c r="CD19" s="1469">
        <v>39814</v>
      </c>
      <c r="CE19" s="1470">
        <v>39845</v>
      </c>
      <c r="CF19" s="1470">
        <v>39873</v>
      </c>
      <c r="CG19" s="1470">
        <v>39904</v>
      </c>
      <c r="CH19" s="1470">
        <v>39934</v>
      </c>
      <c r="CI19" s="1470">
        <v>39965</v>
      </c>
      <c r="CJ19" s="1470">
        <v>39995</v>
      </c>
      <c r="CK19" s="1470">
        <v>40026</v>
      </c>
      <c r="CL19" s="1470">
        <v>40057</v>
      </c>
      <c r="CM19" s="1470">
        <v>40087</v>
      </c>
      <c r="CN19" s="1473">
        <v>40118</v>
      </c>
      <c r="CO19" s="1474">
        <v>40148</v>
      </c>
      <c r="CP19" s="1475">
        <v>40179</v>
      </c>
      <c r="CQ19" s="1476">
        <v>40210</v>
      </c>
      <c r="CR19" s="1476">
        <v>40238</v>
      </c>
      <c r="CS19" s="1476">
        <v>40269</v>
      </c>
      <c r="CT19" s="1476">
        <v>40299</v>
      </c>
      <c r="CU19" s="1476">
        <v>40330</v>
      </c>
      <c r="CV19" s="1476">
        <v>40360</v>
      </c>
      <c r="CW19" s="1476">
        <v>40391</v>
      </c>
      <c r="CX19" s="1476">
        <v>40422</v>
      </c>
      <c r="CY19" s="1476">
        <v>40452</v>
      </c>
      <c r="CZ19" s="1476">
        <v>40483</v>
      </c>
      <c r="DA19" s="1472">
        <v>40513</v>
      </c>
      <c r="DB19" s="1471">
        <v>40544</v>
      </c>
      <c r="DC19" s="1477">
        <v>40575</v>
      </c>
      <c r="DD19" s="1477">
        <v>40603</v>
      </c>
      <c r="DE19" s="1477">
        <v>40634</v>
      </c>
      <c r="DF19" s="1477">
        <v>40664</v>
      </c>
      <c r="DG19" s="1477">
        <v>40695</v>
      </c>
      <c r="DH19" s="1477">
        <v>40725</v>
      </c>
      <c r="DI19" s="1477">
        <v>40756</v>
      </c>
      <c r="DJ19" s="1477">
        <v>40787</v>
      </c>
      <c r="DK19" s="1477">
        <v>40817</v>
      </c>
      <c r="DL19" s="1477">
        <v>40848</v>
      </c>
      <c r="DM19" s="1249">
        <v>40878</v>
      </c>
      <c r="DN19" s="1477">
        <v>40909</v>
      </c>
      <c r="DO19" s="1477">
        <v>40940</v>
      </c>
      <c r="DP19" s="1477">
        <v>40969</v>
      </c>
      <c r="DQ19" s="1477">
        <v>41000</v>
      </c>
      <c r="DR19" s="1477">
        <v>41030</v>
      </c>
      <c r="DS19" s="1477">
        <v>41061</v>
      </c>
      <c r="DT19" s="1477">
        <v>41091</v>
      </c>
      <c r="DU19" s="1477">
        <v>41122</v>
      </c>
      <c r="DV19" s="1477">
        <v>41153</v>
      </c>
      <c r="DW19" s="1477">
        <v>41183</v>
      </c>
      <c r="DX19" s="1477">
        <v>41214</v>
      </c>
      <c r="DY19" s="1249">
        <v>41244</v>
      </c>
      <c r="DZ19" s="1469">
        <v>41275</v>
      </c>
      <c r="EA19" s="1470">
        <v>41306</v>
      </c>
      <c r="EB19" s="1470">
        <v>41334</v>
      </c>
      <c r="EC19" s="1470">
        <v>41365</v>
      </c>
      <c r="ED19" s="1470">
        <v>41395</v>
      </c>
      <c r="EE19" s="1470">
        <v>41426</v>
      </c>
      <c r="EF19" s="1470">
        <v>41456</v>
      </c>
      <c r="EG19" s="1470">
        <v>41487</v>
      </c>
      <c r="EH19" s="1470">
        <v>41518</v>
      </c>
      <c r="EI19" s="1470">
        <v>41548</v>
      </c>
      <c r="EJ19" s="1470">
        <v>41579</v>
      </c>
      <c r="EK19" s="1249">
        <v>41609</v>
      </c>
      <c r="EL19" s="1471">
        <v>41640</v>
      </c>
      <c r="EM19" s="1477">
        <v>41671</v>
      </c>
      <c r="EN19" s="1477">
        <v>41699</v>
      </c>
      <c r="EO19" s="1477">
        <v>41730</v>
      </c>
      <c r="EP19" s="1477">
        <v>41760</v>
      </c>
      <c r="EQ19" s="1477">
        <v>41791</v>
      </c>
      <c r="ER19" s="1477">
        <v>41821</v>
      </c>
      <c r="ES19" s="1477">
        <v>41852</v>
      </c>
      <c r="ET19" s="1477">
        <v>41883</v>
      </c>
      <c r="EU19" s="1477">
        <v>41913</v>
      </c>
      <c r="EV19" s="1477">
        <v>41944</v>
      </c>
      <c r="EW19" s="1249">
        <v>41974</v>
      </c>
      <c r="EX19" s="1471">
        <v>42005</v>
      </c>
      <c r="EY19" s="1477">
        <v>42036</v>
      </c>
      <c r="EZ19" s="1470">
        <v>42064</v>
      </c>
      <c r="FA19" s="1470">
        <v>42095</v>
      </c>
      <c r="FB19" s="1470">
        <v>42125</v>
      </c>
      <c r="FC19" s="1470">
        <v>42156</v>
      </c>
      <c r="FD19" s="1470">
        <v>42186</v>
      </c>
      <c r="FE19" s="1470">
        <v>42217</v>
      </c>
      <c r="FF19" s="1470">
        <v>42248</v>
      </c>
      <c r="FG19" s="1474">
        <v>42278</v>
      </c>
      <c r="FH19" s="1249">
        <v>42309</v>
      </c>
      <c r="FI19" s="1249">
        <v>42339</v>
      </c>
      <c r="FJ19" s="1249">
        <v>42370</v>
      </c>
      <c r="FK19" s="1249">
        <v>42401</v>
      </c>
      <c r="FL19" s="1249">
        <v>42430</v>
      </c>
      <c r="FM19" s="1249">
        <v>42461</v>
      </c>
      <c r="FN19" s="1249">
        <v>42491</v>
      </c>
      <c r="FO19" s="1249">
        <v>42522</v>
      </c>
      <c r="FP19" s="1249">
        <v>42552</v>
      </c>
      <c r="FQ19" s="1249">
        <v>42583</v>
      </c>
      <c r="FR19" s="1249">
        <v>42614</v>
      </c>
      <c r="FS19" s="1249">
        <v>42644</v>
      </c>
      <c r="FT19" s="1249">
        <v>42675</v>
      </c>
      <c r="FU19" s="1249">
        <v>42705</v>
      </c>
      <c r="FV19" s="1249">
        <v>42736</v>
      </c>
      <c r="FW19" s="1249">
        <v>42767</v>
      </c>
      <c r="FX19" s="1249">
        <v>42795</v>
      </c>
      <c r="FY19" s="1249">
        <v>42826</v>
      </c>
      <c r="FZ19" s="1249">
        <v>42856</v>
      </c>
      <c r="GA19" s="1249">
        <v>42887</v>
      </c>
      <c r="GB19" s="1249">
        <v>42917</v>
      </c>
      <c r="GC19" s="1249">
        <v>42948</v>
      </c>
      <c r="GD19" s="1249">
        <v>42979</v>
      </c>
      <c r="GE19" s="1249">
        <v>43009</v>
      </c>
      <c r="GF19" s="1249">
        <v>43040</v>
      </c>
      <c r="GG19" s="1249">
        <v>43070</v>
      </c>
      <c r="GH19" s="1249">
        <v>43101</v>
      </c>
      <c r="GI19" s="1249">
        <v>43132</v>
      </c>
      <c r="GJ19" s="1249">
        <v>43160</v>
      </c>
      <c r="GK19" s="1249">
        <v>43191</v>
      </c>
      <c r="GL19" s="1249">
        <v>43221</v>
      </c>
      <c r="GM19" s="1249">
        <v>43252</v>
      </c>
      <c r="GN19" s="1249">
        <v>43282</v>
      </c>
      <c r="GO19" s="1249">
        <v>43313</v>
      </c>
      <c r="GP19" s="1249">
        <v>43344</v>
      </c>
      <c r="GQ19" s="1249">
        <v>43374</v>
      </c>
      <c r="GR19" s="1249">
        <v>43405</v>
      </c>
      <c r="GS19" s="1249">
        <v>43435</v>
      </c>
      <c r="GT19" s="1249">
        <v>43466</v>
      </c>
      <c r="GU19" s="1249">
        <v>43497</v>
      </c>
      <c r="GV19" s="1249">
        <v>43525</v>
      </c>
      <c r="GW19" s="1249">
        <v>43556</v>
      </c>
      <c r="GX19" s="1249">
        <v>43586</v>
      </c>
      <c r="GY19" s="1249">
        <v>43617</v>
      </c>
      <c r="GZ19" s="1249">
        <v>43647</v>
      </c>
      <c r="HA19" s="1249">
        <v>43678</v>
      </c>
      <c r="HB19" s="1249">
        <v>43709</v>
      </c>
      <c r="HC19" s="1249">
        <v>43739</v>
      </c>
      <c r="HD19" s="1249">
        <v>43770</v>
      </c>
      <c r="HE19" s="1249">
        <v>43800</v>
      </c>
      <c r="HF19" s="1249">
        <v>43831</v>
      </c>
      <c r="HG19" s="1249">
        <v>43862</v>
      </c>
      <c r="HH19" s="1249">
        <v>43891</v>
      </c>
      <c r="HI19" s="1249">
        <v>43922</v>
      </c>
      <c r="HJ19" s="1249">
        <v>43952</v>
      </c>
      <c r="HK19" s="1249">
        <v>43983</v>
      </c>
      <c r="HL19" s="1249">
        <v>44013</v>
      </c>
      <c r="HM19" s="1249">
        <v>44044</v>
      </c>
      <c r="HN19" s="1249">
        <v>44075</v>
      </c>
      <c r="HO19" s="1249">
        <v>44105</v>
      </c>
      <c r="HP19" s="1249">
        <v>44136</v>
      </c>
      <c r="HQ19" s="1249">
        <v>44166</v>
      </c>
      <c r="HR19" s="1249">
        <v>44197</v>
      </c>
      <c r="HS19" s="1249">
        <v>44228</v>
      </c>
      <c r="HT19" s="1249">
        <v>44256</v>
      </c>
      <c r="HU19" s="1249">
        <v>44287</v>
      </c>
      <c r="HV19" s="1249">
        <v>44317</v>
      </c>
      <c r="HW19" s="1249">
        <v>44348</v>
      </c>
      <c r="HX19" s="1249">
        <v>44378</v>
      </c>
      <c r="HY19" s="1249">
        <v>44409</v>
      </c>
      <c r="HZ19" s="1249">
        <v>44440</v>
      </c>
      <c r="IA19" s="1249">
        <v>44470</v>
      </c>
      <c r="IB19" s="1249">
        <v>44501</v>
      </c>
      <c r="IC19" s="1249">
        <v>44531</v>
      </c>
      <c r="ID19" s="1249">
        <v>44562</v>
      </c>
      <c r="IE19" s="1249">
        <v>44593</v>
      </c>
      <c r="IF19" s="1249">
        <v>44621</v>
      </c>
      <c r="IG19" s="1249">
        <v>44652</v>
      </c>
      <c r="IH19" s="1249">
        <v>44682</v>
      </c>
      <c r="II19" s="1249">
        <v>44713</v>
      </c>
      <c r="IJ19" s="1249">
        <v>44743</v>
      </c>
      <c r="IK19" s="1249">
        <v>44774</v>
      </c>
      <c r="IL19" s="1249">
        <v>44805</v>
      </c>
      <c r="IM19" s="1249">
        <v>44835</v>
      </c>
      <c r="IN19" s="1249">
        <v>44866</v>
      </c>
      <c r="IO19" s="1249">
        <v>44896</v>
      </c>
      <c r="IP19" s="1249">
        <v>44927</v>
      </c>
      <c r="IQ19" s="1249">
        <v>44958</v>
      </c>
    </row>
    <row r="20" spans="3:251">
      <c r="C20" s="563" t="s">
        <v>674</v>
      </c>
      <c r="D20" s="2672">
        <v>221</v>
      </c>
      <c r="E20" s="2662"/>
      <c r="F20" s="1785">
        <v>100</v>
      </c>
      <c r="G20" s="1792">
        <v>209.81</v>
      </c>
      <c r="H20" s="1793">
        <v>209.93</v>
      </c>
      <c r="I20" s="1793">
        <v>210.93</v>
      </c>
      <c r="J20" s="1792">
        <v>204.96</v>
      </c>
      <c r="K20" s="1792">
        <v>203.25</v>
      </c>
      <c r="L20" s="1792">
        <v>202.15</v>
      </c>
      <c r="M20" s="1792">
        <v>200.5</v>
      </c>
      <c r="N20" s="1792">
        <v>198.52</v>
      </c>
      <c r="O20" s="1792">
        <v>199.59</v>
      </c>
      <c r="P20" s="1793">
        <v>200.97</v>
      </c>
      <c r="Q20" s="1793">
        <v>203.44</v>
      </c>
      <c r="R20" s="1786">
        <v>202.12</v>
      </c>
      <c r="S20" s="1793">
        <v>201.73</v>
      </c>
      <c r="T20" s="1786">
        <v>202.19</v>
      </c>
      <c r="U20" s="1786">
        <v>206.43</v>
      </c>
      <c r="V20" s="1786">
        <v>207.76</v>
      </c>
      <c r="W20" s="1786">
        <v>212.22</v>
      </c>
      <c r="X20" s="1786">
        <v>217.73</v>
      </c>
      <c r="Y20" s="1786">
        <v>218.98</v>
      </c>
      <c r="Z20" s="1786">
        <v>224.86</v>
      </c>
      <c r="AA20" s="1786">
        <f>+'ANEXOA-MODIFICADO'!$I$383</f>
        <v>227.2</v>
      </c>
      <c r="AB20" s="1786">
        <v>227.69</v>
      </c>
      <c r="AC20" s="1786">
        <f>+'ANEXOA-MODIFICADO'!K383</f>
        <v>230.61</v>
      </c>
      <c r="AD20" s="1786">
        <v>231.13</v>
      </c>
      <c r="AE20" s="1786">
        <f>+'ANEXOA-MODIFICADO'!M383</f>
        <v>231.66</v>
      </c>
      <c r="AF20" s="1786">
        <f>+'ANEXOA-MODIFICADO'!N383</f>
        <v>231.77</v>
      </c>
      <c r="AG20" s="1786">
        <f>+'ANEXOA-MODIFICADO'!O383</f>
        <v>234.27</v>
      </c>
      <c r="AH20" s="1786">
        <f>+'ANEXOA-MODIFICADO'!D389</f>
        <v>210.88</v>
      </c>
      <c r="AI20" s="1786">
        <f>+'ANEXOA-MODIFICADO'!E389</f>
        <v>244.75</v>
      </c>
      <c r="AJ20" s="1786">
        <f>+'ANEXOA-MODIFICADO'!F389</f>
        <v>245.85</v>
      </c>
      <c r="AK20" s="1786">
        <f>+'ANEXOA-MODIFICADO'!G389</f>
        <v>245.73</v>
      </c>
      <c r="AL20" s="1786">
        <f>+'ANEXOA-MODIFICADO'!H389</f>
        <v>246.67</v>
      </c>
      <c r="AM20" s="1786">
        <f>+'ANEXOA-MODIFICADO'!I389</f>
        <v>247.2</v>
      </c>
      <c r="AN20" s="1786">
        <f>+'ANEXOA-MODIFICADO'!J389</f>
        <v>248.76</v>
      </c>
      <c r="AO20" s="1786">
        <f>+'ANEXOA-MODIFICADO'!K389</f>
        <v>250.77</v>
      </c>
      <c r="AP20" s="1786">
        <f>+'ANEXOA-MODIFICADO'!L389</f>
        <v>255.07</v>
      </c>
      <c r="AQ20" s="1786">
        <f>+'ANEXOA-MODIFICADO'!M389</f>
        <v>257.17</v>
      </c>
      <c r="AR20" s="1786">
        <f>+'ANEXOA-MODIFICADO'!N389</f>
        <v>257.77</v>
      </c>
      <c r="AS20" s="1786">
        <f>+'ANEXOA-MODIFICADO'!O389</f>
        <v>261.87</v>
      </c>
      <c r="AT20" s="1786">
        <f>+'ANEXOA-MODIFICADO'!D395</f>
        <v>264.17</v>
      </c>
      <c r="AU20" s="1786">
        <f>+'ANEXOA-MODIFICADO'!E395</f>
        <v>266.12</v>
      </c>
      <c r="AV20" s="1786">
        <f>+'ANEXOA-MODIFICADO'!F395</f>
        <v>268.56</v>
      </c>
      <c r="AW20" s="1786">
        <f>+'ANEXOA-MODIFICADO'!G395</f>
        <v>269.23</v>
      </c>
      <c r="AX20" s="1786">
        <f>+'ANEXOA-MODIFICADO'!H395</f>
        <v>269.91000000000003</v>
      </c>
      <c r="AY20" s="1786">
        <f>+'ANEXOA-MODIFICADO'!I395</f>
        <v>273.51</v>
      </c>
      <c r="AZ20" s="1786">
        <f>+'ANEXOA-MODIFICADO'!J395</f>
        <v>277.93</v>
      </c>
      <c r="BA20" s="1786">
        <f>+'ANEXOA-MODIFICADO'!K395</f>
        <v>281.19</v>
      </c>
      <c r="BB20" s="1786">
        <f>+'ANEXOA-MODIFICADO'!L395</f>
        <v>283.33999999999997</v>
      </c>
      <c r="BC20" s="1786">
        <f>+'ANEXOA-MODIFICADO'!M395</f>
        <v>285.17</v>
      </c>
      <c r="BD20" s="1786">
        <f>+'ANEXOA-MODIFICADO'!N395</f>
        <v>284.43</v>
      </c>
      <c r="BE20" s="1786">
        <f>+'ANEXOA-MODIFICADO'!O395</f>
        <v>285.69</v>
      </c>
      <c r="BF20" s="1786">
        <f>+'ANEXOA-MODIFICADO'!D401</f>
        <v>285.86</v>
      </c>
      <c r="BG20" s="1786">
        <f>+'ANEXOA-MODIFICADO'!E401</f>
        <v>288.51</v>
      </c>
      <c r="BH20" s="1786">
        <f>+'ANEXOA-MODIFICADO'!F401</f>
        <v>289.39</v>
      </c>
      <c r="BI20" s="1786">
        <f>+'ANEXOA-MODIFICADO'!G401</f>
        <v>292.55</v>
      </c>
      <c r="BJ20" s="1786">
        <f>+'ANEXOA-MODIFICADO'!H401</f>
        <v>296.19</v>
      </c>
      <c r="BK20" s="1786">
        <f>+'ANEXOA-MODIFICADO'!I401</f>
        <v>298.33</v>
      </c>
      <c r="BL20" s="1786">
        <f>+'ANEXOA-MODIFICADO'!J401</f>
        <v>301.55</v>
      </c>
      <c r="BM20" s="1786">
        <f>+'ANEXOA-MODIFICADO'!K401</f>
        <v>309.32</v>
      </c>
      <c r="BN20" s="1786">
        <f>+'ANEXOA-MODIFICADO'!L401</f>
        <v>312.04000000000002</v>
      </c>
      <c r="BO20" s="1786">
        <f>+'ANEXOA-MODIFICADO'!M401</f>
        <v>316.22000000000003</v>
      </c>
      <c r="BP20" s="1786">
        <f>+'ANEXOA-MODIFICADO'!N401</f>
        <v>320.13</v>
      </c>
      <c r="BQ20" s="1786">
        <f>+'ANEXOA-MODIFICADO'!O401</f>
        <v>324.36</v>
      </c>
      <c r="BR20" s="1786">
        <f>+'ANEXOA-MODIFICADO'!D407</f>
        <v>334.34</v>
      </c>
      <c r="BS20" s="1786">
        <f>+'ANEXOA-MODIFICADO'!E407</f>
        <v>335.32</v>
      </c>
      <c r="BT20" s="1786">
        <f>+'ANEXOA-MODIFICADO'!F407</f>
        <v>341.37</v>
      </c>
      <c r="BU20" s="1786">
        <f>+'ANEXOA-MODIFICADO'!G407</f>
        <v>345.57</v>
      </c>
      <c r="BV20" s="1786">
        <f>+'ANEXOA-MODIFICADO'!H407</f>
        <v>348.69</v>
      </c>
      <c r="BW20" s="1786">
        <f>+'ANEXOA-MODIFICADO'!I407</f>
        <v>353.86</v>
      </c>
      <c r="BX20" s="1786">
        <f>+'ANEXOA-MODIFICADO'!J407</f>
        <v>358.99</v>
      </c>
      <c r="BY20" s="1786">
        <f>+'ANEXOA-MODIFICADO'!K407</f>
        <v>364.2</v>
      </c>
      <c r="BZ20" s="1786">
        <f>+'ANEXOA-MODIFICADO'!L407</f>
        <v>369.4</v>
      </c>
      <c r="CA20" s="1786">
        <f>+'ANEXOA-MODIFICADO'!M407</f>
        <v>373.73</v>
      </c>
      <c r="CB20" s="1786">
        <f>+'ANEXOA-MODIFICADO'!N407</f>
        <v>379.24</v>
      </c>
      <c r="CC20" s="1786">
        <f>+'ANEXOA-MODIFICADO'!O407</f>
        <v>381.48</v>
      </c>
      <c r="CD20" s="1786">
        <f>'ANEXOA-MODIFICADO'!D413</f>
        <v>384.48</v>
      </c>
      <c r="CE20" s="1786">
        <f>'ANEXOA-MODIFICADO'!E413</f>
        <v>385.84</v>
      </c>
      <c r="CF20" s="1786">
        <f>'ANEXOA-MODIFICADO'!F413</f>
        <v>388.64</v>
      </c>
      <c r="CG20" s="1786">
        <f>'ANEXOA-MODIFICADO'!G413</f>
        <v>390.67</v>
      </c>
      <c r="CH20" s="1786">
        <f>'ANEXOA-MODIFICADO'!H413</f>
        <v>393.57</v>
      </c>
      <c r="CI20" s="1786">
        <f>'ANEXOA-MODIFICADO'!I413</f>
        <v>395.24</v>
      </c>
      <c r="CJ20" s="1786">
        <f>'ANEXOA-MODIFICADO'!J413</f>
        <v>397.65</v>
      </c>
      <c r="CK20" s="1786">
        <f>'ANEXOA-MODIFICADO'!K413</f>
        <v>404.51</v>
      </c>
      <c r="CL20" s="1786">
        <f>'ANEXOA-MODIFICADO'!L413</f>
        <v>408.01</v>
      </c>
      <c r="CM20" s="1786">
        <f>'ANEXOA-MODIFICADO'!M413</f>
        <v>409.55</v>
      </c>
      <c r="CN20" s="1786">
        <f>'ANEXOA-MODIFICADO'!N413</f>
        <v>411.82</v>
      </c>
      <c r="CO20" s="1786">
        <f>'ANEXOA-MODIFICADO'!O413</f>
        <v>412.89</v>
      </c>
      <c r="CP20" s="1786">
        <f>+'ANEXOA-MODIFICADO'!D419</f>
        <v>413.74</v>
      </c>
      <c r="CQ20" s="1786">
        <f>+'ANEXOA-MODIFICADO'!E419</f>
        <v>420.98</v>
      </c>
      <c r="CR20" s="1786">
        <f>+'ANEXOA-MODIFICADO'!F419</f>
        <v>429.56</v>
      </c>
      <c r="CS20" s="1786">
        <f>+'ANEXOA-MODIFICADO'!G419</f>
        <v>438.05</v>
      </c>
      <c r="CT20" s="1786">
        <f>+'ANEXOA-MODIFICADO'!H419</f>
        <v>442.28</v>
      </c>
      <c r="CU20" s="1786">
        <f>+'ANEXOA-MODIFICADO'!I419</f>
        <v>447.41</v>
      </c>
      <c r="CV20" s="1786">
        <f>+'ANEXOA-MODIFICADO'!J419</f>
        <v>453.88</v>
      </c>
      <c r="CW20" s="1786">
        <f>+'ANEXOA-MODIFICADO'!K419</f>
        <v>460.09</v>
      </c>
      <c r="CX20" s="1786">
        <f>+'ANEXOA-MODIFICADO'!L419</f>
        <v>465.16</v>
      </c>
      <c r="CY20" s="1786">
        <f>+'ANEXOA-MODIFICADO'!M419</f>
        <v>470.56</v>
      </c>
      <c r="CZ20" s="1786">
        <f>+'ANEXOA-MODIFICADO'!N419</f>
        <v>480.42</v>
      </c>
      <c r="DA20" s="1786">
        <f>+'ANEXOA-MODIFICADO'!O419</f>
        <v>489.71</v>
      </c>
      <c r="DB20" s="1786">
        <f>+'ANEXOA-MODIFICADO'!D425</f>
        <v>492.89</v>
      </c>
      <c r="DC20" s="1786">
        <f>+'ANEXOA-MODIFICADO'!E425</f>
        <v>496.8</v>
      </c>
      <c r="DD20" s="1786">
        <f>+'ANEXOA-MODIFICADO'!F425</f>
        <v>506</v>
      </c>
      <c r="DE20" s="1786">
        <f>+'ANEXOA-MODIFICADO'!G425</f>
        <v>518.59</v>
      </c>
      <c r="DF20" s="1786">
        <f>+'ANEXOA-MODIFICADO'!H425</f>
        <v>523.44000000000005</v>
      </c>
      <c r="DG20" s="1786">
        <f>+'ANEXOA-MODIFICADO'!I425</f>
        <v>536.30999999999995</v>
      </c>
      <c r="DH20" s="1786">
        <f>+'ANEXOA-MODIFICADO'!J425</f>
        <v>556.1</v>
      </c>
      <c r="DI20" s="1786">
        <f>+'ANEXOA-MODIFICADO'!K425</f>
        <v>559.92999999999995</v>
      </c>
      <c r="DJ20" s="1786">
        <f>+'ANEXOA-MODIFICADO'!L425</f>
        <v>569.12</v>
      </c>
      <c r="DK20" s="1786">
        <f>+'ANEXOA-MODIFICADO'!M425</f>
        <v>580.1</v>
      </c>
      <c r="DL20" s="1786">
        <f>+'ANEXOA-MODIFICADO'!N425</f>
        <v>588.07000000000005</v>
      </c>
      <c r="DM20" s="1786">
        <f>+'ANEXOA-MODIFICADO'!O425</f>
        <v>594.29999999999995</v>
      </c>
      <c r="DN20" s="1786">
        <f>+'ANEXOA-MODIFICADO'!D431</f>
        <v>594.77</v>
      </c>
      <c r="DO20" s="1786">
        <f>+'ANEXOA-MODIFICADO'!E431</f>
        <v>606.20000000000005</v>
      </c>
      <c r="DP20" s="1786">
        <f>+'ANEXOA-MODIFICADO'!F431</f>
        <v>617.58000000000004</v>
      </c>
      <c r="DQ20" s="1786">
        <f>+'ANEXOA-MODIFICADO'!G431</f>
        <v>622.51</v>
      </c>
      <c r="DR20" s="1786">
        <f>+'ANEXOA-MODIFICADO'!H431</f>
        <v>627.69000000000005</v>
      </c>
      <c r="DS20" s="1786">
        <f>+'ANEXOA-MODIFICADO'!I431</f>
        <v>632.13</v>
      </c>
      <c r="DT20" s="1786">
        <f>+'ANEXOA-MODIFICADO'!J431</f>
        <v>642.23</v>
      </c>
      <c r="DU20" s="1786">
        <f>+'ANEXOA-MODIFICADO'!K431</f>
        <v>649.03</v>
      </c>
      <c r="DV20" s="1786">
        <f>+'ANEXOA-MODIFICADO'!L431</f>
        <v>663.14</v>
      </c>
      <c r="DW20" s="1786">
        <f>+'ANEXOA-MODIFICADO'!M431</f>
        <v>668.84</v>
      </c>
      <c r="DX20" s="1786">
        <f>+'ANEXOA-MODIFICADO'!N431</f>
        <v>680.38</v>
      </c>
      <c r="DY20" s="1786">
        <f>+'ANEXOA-MODIFICADO'!O431</f>
        <v>686.96</v>
      </c>
      <c r="DZ20" s="1786">
        <f>+'ANEXOA-MODIFICADO'!D437</f>
        <v>698.58</v>
      </c>
      <c r="EA20" s="1786">
        <f>+'ANEXOA-MODIFICADO'!E437</f>
        <v>707.98</v>
      </c>
      <c r="EB20" s="1786">
        <f>+'ANEXOA-MODIFICADO'!F437</f>
        <v>716.6</v>
      </c>
      <c r="EC20" s="1786">
        <f>+'ANEXOA-MODIFICADO'!G437</f>
        <v>729.18</v>
      </c>
      <c r="ED20" s="1786">
        <f>+'ANEXOA-MODIFICADO'!H437</f>
        <v>740.55</v>
      </c>
      <c r="EE20" s="1786">
        <f>+'ANEXOA-MODIFICADO'!I437</f>
        <v>758.12</v>
      </c>
      <c r="EF20" s="1786">
        <f>+'ANEXOA-MODIFICADO'!J437</f>
        <v>773.5</v>
      </c>
      <c r="EG20" s="1786">
        <f>+'ANEXOA-MODIFICADO'!K437</f>
        <v>783.05</v>
      </c>
      <c r="EH20" s="1786">
        <f>+'ANEXOA-MODIFICADO'!L437</f>
        <v>798.42</v>
      </c>
      <c r="EI20" s="1786">
        <f>+'ANEXOA-MODIFICADO'!M437</f>
        <v>807.2</v>
      </c>
      <c r="EJ20" s="1786">
        <f>+'ANEXOA-MODIFICADO'!N437</f>
        <v>820.04</v>
      </c>
      <c r="EK20" s="1786">
        <f>+'ANEXOA-MODIFICADO'!O437</f>
        <v>831.39</v>
      </c>
      <c r="EL20" s="1786">
        <f>'ANEXOA-MODIFICADO'!D443</f>
        <v>871.59</v>
      </c>
      <c r="EM20" s="1786">
        <f>'ANEXOA-MODIFICADO'!E443</f>
        <v>929.95</v>
      </c>
      <c r="EN20" s="1786">
        <f>'ANEXOA-MODIFICADO'!F443</f>
        <v>967.2</v>
      </c>
      <c r="EO20" s="1786">
        <f>'ANEXOA-MODIFICADO'!G443</f>
        <v>990.09</v>
      </c>
      <c r="EP20" s="1786">
        <f>'ANEXOA-MODIFICADO'!H443</f>
        <v>1008.38</v>
      </c>
      <c r="EQ20" s="1786">
        <f>'ANEXOA-MODIFICADO'!I443</f>
        <v>1026.3900000000001</v>
      </c>
      <c r="ER20" s="1786">
        <f>'ANEXOA-MODIFICADO'!J443</f>
        <v>1044.92</v>
      </c>
      <c r="ES20" s="1786">
        <f>'ANEXOA-MODIFICADO'!K443</f>
        <v>1053.82</v>
      </c>
      <c r="ET20" s="1786">
        <f>'ANEXOA-MODIFICADO'!L443</f>
        <v>1062.6199999999999</v>
      </c>
      <c r="EU20" s="1786">
        <f>'ANEXOA-MODIFICADO'!M443</f>
        <v>1079.26</v>
      </c>
      <c r="EV20" s="1786">
        <f>'ANEXOA-MODIFICADO'!N443</f>
        <v>1088.3499999999999</v>
      </c>
      <c r="EW20" s="1786">
        <f>'ANEXOA-MODIFICADO'!O443</f>
        <v>1106.46</v>
      </c>
      <c r="EX20" s="1786">
        <f>+'ANEXOA-MODIFICADO'!D449</f>
        <v>1121.1400000000001</v>
      </c>
      <c r="EY20" s="1786">
        <f>+'ANEXOA-MODIFICADO'!E449</f>
        <v>1121.8800000000001</v>
      </c>
      <c r="EZ20" s="1786">
        <f>+'ANEXOA-MODIFICADO'!F449</f>
        <v>1149.19</v>
      </c>
      <c r="FA20" s="1786">
        <f>+'ANEXOA-MODIFICADO'!G449</f>
        <v>1162.3499999999999</v>
      </c>
      <c r="FB20" s="1786">
        <f>+'ANEXOA-MODIFICADO'!H449</f>
        <v>1167.45</v>
      </c>
      <c r="FC20" s="1786">
        <f>+'ANEXOA-MODIFICADO'!I449</f>
        <v>1181.23</v>
      </c>
      <c r="FD20" s="1786">
        <f>+'ANEXOA-MODIFICADO'!J449</f>
        <v>1198.26</v>
      </c>
      <c r="FE20" s="1786">
        <f>+'ANEXOA-MODIFICADO'!K449</f>
        <v>1228.3399999999999</v>
      </c>
      <c r="FF20" s="1786">
        <f>+'ANEXOA-MODIFICADO'!L449</f>
        <v>1242.52</v>
      </c>
      <c r="FG20" s="1786">
        <f>+'ANEXOA-MODIFICADO'!M449</f>
        <v>1262.28</v>
      </c>
      <c r="FH20" s="1786" t="e">
        <f>+'ANEXOA-MODIFICADO'!N449</f>
        <v>#REF!</v>
      </c>
      <c r="FI20" s="1786" t="e">
        <f>+'ANEXOA-MODIFICADO'!O449</f>
        <v>#REF!</v>
      </c>
      <c r="FJ20" s="1786">
        <f>+'ANEXOA-MODIFICADO'!D455</f>
        <v>100</v>
      </c>
      <c r="FK20" s="1786">
        <f>+'ANEXOA-MODIFICADO'!E455</f>
        <v>107.88</v>
      </c>
      <c r="FL20" s="1786">
        <f>+'ANEXOA-MODIFICADO'!F455</f>
        <v>115</v>
      </c>
      <c r="FM20" s="1786">
        <f>+'ANEXOA-MODIFICADO'!G455</f>
        <v>119.04</v>
      </c>
      <c r="FN20" s="1786">
        <f>+'ANEXOA-MODIFICADO'!H455</f>
        <v>125.57</v>
      </c>
      <c r="FO20" s="1786">
        <f>+'ANEXOA-MODIFICADO'!I455</f>
        <v>130.74</v>
      </c>
      <c r="FP20" s="1786">
        <f>+'ANEXOA-MODIFICADO'!J455</f>
        <v>130.74</v>
      </c>
      <c r="FQ20" s="1786">
        <f>+'ANEXOA-MODIFICADO'!K455</f>
        <v>132.26</v>
      </c>
      <c r="FR20" s="1786">
        <f>+'ANEXOA-MODIFICADO'!L455</f>
        <v>134.59</v>
      </c>
      <c r="FS20" s="1786">
        <f>+'ANEXOA-MODIFICADO'!M455</f>
        <v>135.38999999999999</v>
      </c>
      <c r="FT20" s="1786">
        <f>+'ANEXOA-MODIFICADO'!N455</f>
        <v>143.74</v>
      </c>
      <c r="FU20" s="1786">
        <f>+'ANEXOA-MODIFICADO'!O455</f>
        <v>143.74</v>
      </c>
      <c r="FV20" s="1786">
        <f>+'ANEXOA-MODIFICADO'!D461</f>
        <v>145.41</v>
      </c>
      <c r="FW20" s="1786">
        <f>+'ANEXOA-MODIFICADO'!E461</f>
        <v>150.44</v>
      </c>
      <c r="FX20" s="1786">
        <f>+'ANEXOA-MODIFICADO'!F461</f>
        <v>151.82</v>
      </c>
      <c r="FY20" s="1786">
        <f>+'ANEXOA-MODIFICADO'!G461</f>
        <v>155.37</v>
      </c>
      <c r="FZ20" s="1786">
        <f>+'ANEXOA-MODIFICADO'!H461</f>
        <v>156.15</v>
      </c>
      <c r="GA20" s="1786">
        <f>+'ANEXOA-MODIFICADO'!I461</f>
        <v>156.15</v>
      </c>
      <c r="GB20" s="1786">
        <f>+'ANEXOA-MODIFICADO'!J461</f>
        <v>156.15</v>
      </c>
      <c r="GC20" s="1786">
        <f>+'ANEXOA-MODIFICADO'!K461</f>
        <v>156.15</v>
      </c>
      <c r="GD20" s="1786">
        <f>+'ANEXOA-MODIFICADO'!L461</f>
        <v>156.15</v>
      </c>
      <c r="GE20" s="1786">
        <f>+'ANEXOA-MODIFICADO'!M461</f>
        <v>156.79</v>
      </c>
      <c r="GF20" s="1786">
        <f>+'ANEXOA-MODIFICADO'!N461</f>
        <v>156.79</v>
      </c>
      <c r="GG20" s="1786">
        <f>+'ANEXOA-MODIFICADO'!O461</f>
        <v>156.79</v>
      </c>
      <c r="GH20" s="1786">
        <f>+'ANEXOA-MODIFICADO'!D467</f>
        <v>161.33000000000001</v>
      </c>
      <c r="GI20" s="1786">
        <f>+'ANEXOA-MODIFICADO'!E467</f>
        <v>162.30000000000001</v>
      </c>
      <c r="GJ20" s="1786">
        <f>+'ANEXOA-MODIFICADO'!F467</f>
        <v>162.30000000000001</v>
      </c>
      <c r="GK20" s="1786">
        <f>+'ANEXOA-MODIFICADO'!G467</f>
        <v>165.01</v>
      </c>
      <c r="GL20" s="1786">
        <f>+'ANEXOA-MODIFICADO'!H467</f>
        <v>190.11</v>
      </c>
      <c r="GM20" s="1786">
        <f>+'ANEXOA-MODIFICADO'!I467</f>
        <v>191.06</v>
      </c>
      <c r="GN20" s="1786">
        <f>+'ANEXOA-MODIFICADO'!J467</f>
        <v>201.56</v>
      </c>
      <c r="GO20" s="1786">
        <f>+'ANEXOA-MODIFICADO'!K467</f>
        <v>202.56</v>
      </c>
      <c r="GP20" s="1786">
        <f>+'ANEXOA-MODIFICADO'!L467</f>
        <v>264.74</v>
      </c>
      <c r="GQ20" s="1786">
        <f>+'ANEXOA-MODIFICADO'!M467</f>
        <v>264.74</v>
      </c>
      <c r="GR20" s="1786">
        <f>+'ANEXOA-MODIFICADO'!N467</f>
        <v>264.74</v>
      </c>
      <c r="GS20" s="1786">
        <f>+'ANEXOA-MODIFICADO'!O467</f>
        <v>266.5</v>
      </c>
      <c r="GT20" s="1786">
        <f>+'ANEXOA-MODIFICADO'!D473</f>
        <v>264.74</v>
      </c>
      <c r="GU20" s="1786">
        <f>+'ANEXOA-MODIFICADO'!E473</f>
        <v>266.5</v>
      </c>
      <c r="GV20" s="1786">
        <f>+'ANEXOA-MODIFICADO'!F473</f>
        <v>270.58999999999997</v>
      </c>
      <c r="GW20" s="1786">
        <f>+'ANEXOA-MODIFICADO'!G473</f>
        <v>273.29000000000002</v>
      </c>
      <c r="GX20" s="1786">
        <f>+'ANEXOA-MODIFICADO'!H473</f>
        <v>273.29000000000002</v>
      </c>
      <c r="GY20" s="1786">
        <f>+'ANEXOA-MODIFICADO'!I473</f>
        <v>277.7</v>
      </c>
      <c r="GZ20" s="1786">
        <f>+'ANEXOA-MODIFICADO'!J473</f>
        <v>285.58</v>
      </c>
      <c r="HA20" s="1786">
        <f>+'ANEXOA-MODIFICADO'!K473</f>
        <v>328.41</v>
      </c>
      <c r="HB20" s="1786">
        <f>+'ANEXOA-MODIFICADO'!L473</f>
        <v>328.41</v>
      </c>
      <c r="HC20" s="1786">
        <f>+'ANEXOA-MODIFICADO'!M473</f>
        <v>354.46</v>
      </c>
      <c r="HD20" s="1786">
        <f>+'ANEXOA-MODIFICADO'!N473</f>
        <v>360.37</v>
      </c>
      <c r="HE20" s="1787">
        <f>+'ANEXOA-MODIFICADO'!O473</f>
        <v>384.02</v>
      </c>
      <c r="HF20" s="1879">
        <f>+'ANEXOA-MODIFICADO'!D479</f>
        <v>394.2</v>
      </c>
      <c r="HG20" s="1879">
        <f>+'ANEXOA-MODIFICADO'!E479</f>
        <v>402.45</v>
      </c>
      <c r="HH20" s="1879">
        <f>+'ANEXOA-MODIFICADO'!F479</f>
        <v>402.45</v>
      </c>
      <c r="HI20" s="1879">
        <f>+'ANEXOA-MODIFICADO'!G479</f>
        <v>402.45</v>
      </c>
      <c r="HJ20" s="1879">
        <f>+'ANEXOA-MODIFICADO'!H479</f>
        <v>404.7</v>
      </c>
      <c r="HK20" s="1879">
        <f>+'ANEXOA-MODIFICADO'!I479</f>
        <v>404.7</v>
      </c>
      <c r="HL20" s="1879">
        <f>+'ANEXOA-MODIFICADO'!J479</f>
        <v>404.7</v>
      </c>
      <c r="HM20" s="1879">
        <f>+'ANEXOA-MODIFICADO'!K479</f>
        <v>404.7</v>
      </c>
      <c r="HN20" s="1879">
        <f>+'ANEXOA-MODIFICADO'!L479</f>
        <v>404.7</v>
      </c>
      <c r="HO20" s="1879">
        <f>+'ANEXOA-MODIFICADO'!M479</f>
        <v>404.7</v>
      </c>
      <c r="HP20" s="1879">
        <f>+'ANEXOA-MODIFICADO'!N479</f>
        <v>404.7</v>
      </c>
      <c r="HQ20" s="1787">
        <f>+'ANEXOA-MODIFICADO'!O479</f>
        <v>404.7</v>
      </c>
      <c r="HR20" s="1785">
        <f>+'ANEXOA-MODIFICADO'!D485</f>
        <v>429.36</v>
      </c>
      <c r="HS20" s="1879">
        <f>+'ANEXOA-MODIFICADO'!E485</f>
        <v>429.36</v>
      </c>
      <c r="HT20" s="1786">
        <f>+'ANEXOA-MODIFICADO'!F485</f>
        <v>429.36</v>
      </c>
      <c r="HU20" s="1879">
        <f>+'ANEXOA-MODIFICADO'!G485</f>
        <v>429.36</v>
      </c>
      <c r="HV20" s="1879">
        <f>+'ANEXOA-MODIFICADO'!H485</f>
        <v>435.88</v>
      </c>
      <c r="HW20" s="1879">
        <f>+'ANEXOA-MODIFICADO'!I485</f>
        <v>433.44</v>
      </c>
      <c r="HX20" s="1879">
        <f>+'ANEXOA-MODIFICADO'!J485</f>
        <v>434.79</v>
      </c>
      <c r="HY20" s="1786">
        <f>+'ANEXOA-MODIFICADO'!K485</f>
        <v>465.4</v>
      </c>
      <c r="HZ20" s="1879">
        <f>+'ANEXOA-MODIFICADO'!L485</f>
        <v>481.15</v>
      </c>
      <c r="IA20" s="1879">
        <f>+'ANEXOA-MODIFICADO'!M485</f>
        <v>483.35</v>
      </c>
      <c r="IB20" s="1879">
        <f>+'ANEXOA-MODIFICADO'!N485</f>
        <v>490.34</v>
      </c>
      <c r="IC20" s="1879">
        <f>+'ANEXOA-MODIFICADO'!O485</f>
        <v>506.56</v>
      </c>
      <c r="ID20" s="1786">
        <f>+'ANEXOA-MODIFICADO'!D491</f>
        <v>509.53</v>
      </c>
      <c r="IE20" s="1879">
        <f>+'ANEXOA-MODIFICADO'!E491</f>
        <v>517.83000000000004</v>
      </c>
      <c r="IF20" s="1786">
        <f>+'ANEXOA-MODIFICADO'!F491</f>
        <v>525.89</v>
      </c>
      <c r="IG20" s="1879">
        <f>+'ANEXOA-MODIFICADO'!G491</f>
        <v>555.61</v>
      </c>
      <c r="IH20" s="1879">
        <f>+'ANEXOA-MODIFICADO'!H491</f>
        <v>579.99</v>
      </c>
      <c r="II20" s="1879">
        <f>+'ANEXOA-MODIFICADO'!I491</f>
        <v>596.80999999999995</v>
      </c>
      <c r="IJ20" s="1786">
        <f>+'ANEXOA-MODIFICADO'!J491</f>
        <v>664.02</v>
      </c>
      <c r="IK20" s="1879">
        <f>+'ANEXOA-MODIFICADO'!K491</f>
        <v>696.01</v>
      </c>
      <c r="IL20" s="1786">
        <f>+'ANEXOA-MODIFICADO'!L491</f>
        <v>709.68</v>
      </c>
      <c r="IM20" s="1879">
        <f>+'ANEXOA-MODIFICADO'!M491</f>
        <v>753.43</v>
      </c>
      <c r="IN20" s="1879">
        <f>+'ANEXOA-MODIFICADO'!N491</f>
        <v>764.12</v>
      </c>
      <c r="IO20" s="1786">
        <f>+'ANEXOA-MODIFICADO'!O491</f>
        <v>830.19</v>
      </c>
      <c r="IP20" s="2484">
        <f>+'Insumos testigos '!JE167</f>
        <v>872.76</v>
      </c>
      <c r="IQ20" s="2484">
        <f>+'Insumos testigos '!JF167</f>
        <v>938.09</v>
      </c>
    </row>
    <row r="21" spans="3:251">
      <c r="C21" s="372" t="s">
        <v>698</v>
      </c>
      <c r="D21" s="2658">
        <v>57</v>
      </c>
      <c r="E21" s="2626"/>
      <c r="F21" s="975">
        <v>108.83</v>
      </c>
      <c r="G21" s="1794">
        <v>272.95</v>
      </c>
      <c r="H21" s="1795">
        <v>277.8</v>
      </c>
      <c r="I21" s="1795">
        <v>280.02</v>
      </c>
      <c r="J21" s="1794">
        <v>280.02</v>
      </c>
      <c r="K21" s="1794">
        <v>287.77999999999997</v>
      </c>
      <c r="L21" s="1794">
        <v>299.05</v>
      </c>
      <c r="M21" s="1794">
        <v>302.61</v>
      </c>
      <c r="N21" s="1794">
        <v>302.61</v>
      </c>
      <c r="O21" s="1794">
        <v>316.14999999999998</v>
      </c>
      <c r="P21" s="1794">
        <v>326.3</v>
      </c>
      <c r="Q21" s="1794">
        <v>326.3</v>
      </c>
      <c r="R21" s="963">
        <v>326.3</v>
      </c>
      <c r="S21" s="1794">
        <v>326.3</v>
      </c>
      <c r="T21" s="963">
        <v>326.3</v>
      </c>
      <c r="U21" s="963">
        <v>326.3</v>
      </c>
      <c r="V21" s="963">
        <v>330.9</v>
      </c>
      <c r="W21" s="963">
        <v>334.05</v>
      </c>
      <c r="X21" s="963">
        <v>334.06</v>
      </c>
      <c r="Y21" s="963">
        <v>354.41</v>
      </c>
      <c r="Z21" s="963">
        <v>354.41</v>
      </c>
      <c r="AA21" s="963">
        <v>364.34</v>
      </c>
      <c r="AB21" s="963">
        <v>364.34</v>
      </c>
      <c r="AC21" s="963">
        <v>355.8</v>
      </c>
      <c r="AD21" s="963">
        <v>354.35</v>
      </c>
      <c r="AE21" s="963">
        <f>+'TABLA FINAL '!AS77</f>
        <v>354.35</v>
      </c>
      <c r="AF21" s="963">
        <f>+'TABLA FINAL '!AT77</f>
        <v>354.35</v>
      </c>
      <c r="AG21" s="963">
        <f>+'TABLA FINAL '!AU77</f>
        <v>354.35</v>
      </c>
      <c r="AH21" s="963">
        <f>+'TABLA FINAL '!AV77</f>
        <v>353.29</v>
      </c>
      <c r="AI21" s="963">
        <f>+'TABLA FINAL '!AW77</f>
        <v>352.85</v>
      </c>
      <c r="AJ21" s="963">
        <f>+'TABLA FINAL '!AX77</f>
        <v>355.1</v>
      </c>
      <c r="AK21" s="963">
        <f>+'TABLA FINAL '!AY77</f>
        <v>355.1</v>
      </c>
      <c r="AL21" s="963">
        <f>+'TABLA FINAL '!AZ77</f>
        <v>355.1</v>
      </c>
      <c r="AM21" s="963">
        <f>+'TABLA FINAL '!BA77</f>
        <v>352.34</v>
      </c>
      <c r="AN21" s="963">
        <f>+'TABLA FINAL '!BB77</f>
        <v>340.55</v>
      </c>
      <c r="AO21" s="963">
        <f>+'TABLA FINAL '!BC77</f>
        <v>340.59</v>
      </c>
      <c r="AP21" s="963">
        <f>+'TABLA FINAL '!BD77</f>
        <v>340.59</v>
      </c>
      <c r="AQ21" s="963">
        <f>+'TABLA FINAL '!BE77</f>
        <v>340.59</v>
      </c>
      <c r="AR21" s="963">
        <f>+'TABLA FINAL '!BF77</f>
        <v>356.34</v>
      </c>
      <c r="AS21" s="963">
        <f>+'TABLA FINAL '!BG77</f>
        <v>364.32</v>
      </c>
      <c r="AT21" s="963">
        <f>+'TABLA FINAL '!BH77</f>
        <v>364.32</v>
      </c>
      <c r="AU21" s="963">
        <f>+'TABLA FINAL '!BI77</f>
        <v>364.32</v>
      </c>
      <c r="AV21" s="963">
        <f>+'TABLA FINAL '!BJ77</f>
        <v>362.64</v>
      </c>
      <c r="AW21" s="963">
        <f>+'TABLA FINAL '!BK77</f>
        <v>362.66</v>
      </c>
      <c r="AX21" s="963">
        <f>+'TABLA FINAL '!BL77</f>
        <v>369.95</v>
      </c>
      <c r="AY21" s="963">
        <f>+'TABLA FINAL '!BM77</f>
        <v>373.72</v>
      </c>
      <c r="AZ21" s="963">
        <f>+'TABLA FINAL '!BN77</f>
        <v>373.72</v>
      </c>
      <c r="BA21" s="963">
        <f>+'TABLA FINAL '!BO77</f>
        <v>373.72</v>
      </c>
      <c r="BB21" s="963">
        <f>+'TABLA FINAL '!BP77</f>
        <v>373.72</v>
      </c>
      <c r="BC21" s="963">
        <f>+'TABLA FINAL '!BQ77</f>
        <v>373.72</v>
      </c>
      <c r="BD21" s="963">
        <f>+'TABLA FINAL '!BR77</f>
        <v>376.83</v>
      </c>
      <c r="BE21" s="963">
        <f>+'TABLA FINAL '!BS77</f>
        <v>379.58</v>
      </c>
      <c r="BF21" s="963">
        <f>+'TABLA FINAL '!BT77</f>
        <v>388.2</v>
      </c>
      <c r="BG21" s="963">
        <f>+'TABLA FINAL '!BU77</f>
        <v>388.2</v>
      </c>
      <c r="BH21" s="963">
        <f>+'TABLA FINAL '!BV77</f>
        <v>389.65</v>
      </c>
      <c r="BI21" s="963">
        <f>+'TABLA FINAL '!BW77</f>
        <v>389.65</v>
      </c>
      <c r="BJ21" s="963">
        <f>+'TABLA FINAL '!BX77</f>
        <v>398.89</v>
      </c>
      <c r="BK21" s="963">
        <f>+'TABLA FINAL '!BY77</f>
        <v>398.89</v>
      </c>
      <c r="BL21" s="963">
        <f>+'TABLA FINAL '!BZ77</f>
        <v>402.75</v>
      </c>
      <c r="BM21" s="963">
        <f>+'TABLA FINAL '!CA77</f>
        <v>407.83</v>
      </c>
      <c r="BN21" s="963">
        <f>+'TABLA FINAL '!CB77</f>
        <v>418.12</v>
      </c>
      <c r="BO21" s="963">
        <f>+'TABLA FINAL '!CC77</f>
        <v>421.51</v>
      </c>
      <c r="BP21" s="963">
        <f>+'TABLA FINAL '!CD77</f>
        <v>432.17</v>
      </c>
      <c r="BQ21" s="963">
        <f>+'TABLA FINAL '!CE77</f>
        <v>443.93</v>
      </c>
      <c r="BR21" s="963">
        <f>+'TABLA FINAL '!CF77</f>
        <v>450.8</v>
      </c>
      <c r="BS21" s="963">
        <f>+'TABLA FINAL '!CG77</f>
        <v>472.7</v>
      </c>
      <c r="BT21" s="963">
        <f>+'TABLA FINAL '!CH77</f>
        <v>494.79</v>
      </c>
      <c r="BU21" s="963">
        <f>+'TABLA FINAL '!CI77</f>
        <v>511.84</v>
      </c>
      <c r="BV21" s="963">
        <f>+'TABLA FINAL '!CJ77</f>
        <v>516.33000000000004</v>
      </c>
      <c r="BW21" s="963">
        <f>+'TABLA FINAL '!CK77</f>
        <v>542.24</v>
      </c>
      <c r="BX21" s="963">
        <f>+'TABLA FINAL '!CL77</f>
        <v>573.32000000000005</v>
      </c>
      <c r="BY21" s="963">
        <f>+'TABLA FINAL '!CM77</f>
        <v>594.30999999999995</v>
      </c>
      <c r="BZ21" s="963">
        <f>+'TABLA FINAL '!CN77</f>
        <v>597.74</v>
      </c>
      <c r="CA21" s="963">
        <f>+'TABLA FINAL '!CO77</f>
        <v>601.69000000000005</v>
      </c>
      <c r="CB21" s="963">
        <f>+'TABLA FINAL '!CP77</f>
        <v>601.69000000000005</v>
      </c>
      <c r="CC21" s="963">
        <f>+'TABLA FINAL '!CQ77</f>
        <v>601.69000000000005</v>
      </c>
      <c r="CD21" s="963">
        <f>'TABLA FINAL '!CR77</f>
        <v>606.72</v>
      </c>
      <c r="CE21" s="963">
        <f>'TABLA FINAL '!CS77</f>
        <v>606.72</v>
      </c>
      <c r="CF21" s="963">
        <f>'TABLA FINAL '!CT77</f>
        <v>606.72</v>
      </c>
      <c r="CG21" s="963">
        <f>'TABLA FINAL '!CU77</f>
        <v>606.72</v>
      </c>
      <c r="CH21" s="963">
        <f>'TABLA FINAL '!CV77</f>
        <v>606.72</v>
      </c>
      <c r="CI21" s="963">
        <f>'TABLA FINAL '!CW77</f>
        <v>597.44000000000005</v>
      </c>
      <c r="CJ21" s="963">
        <f>'TABLA FINAL '!CX77</f>
        <v>601.76</v>
      </c>
      <c r="CK21" s="963">
        <f>'TABLA FINAL '!CY77</f>
        <v>607.69000000000005</v>
      </c>
      <c r="CL21" s="963">
        <f>'TABLA FINAL '!CZ77</f>
        <v>618.11</v>
      </c>
      <c r="CM21" s="963">
        <f>'TABLA FINAL '!DA77</f>
        <v>623.05999999999995</v>
      </c>
      <c r="CN21" s="963">
        <f>'TABLA FINAL '!DB77</f>
        <v>627.63</v>
      </c>
      <c r="CO21" s="963">
        <f>'TABLA FINAL '!DC77</f>
        <v>632.29</v>
      </c>
      <c r="CP21" s="963">
        <f>'TABLA FINAL '!DD77</f>
        <v>635.08000000000004</v>
      </c>
      <c r="CQ21" s="963">
        <f>'TABLA FINAL '!DE77</f>
        <v>653.88</v>
      </c>
      <c r="CR21" s="963">
        <f>'TABLA FINAL '!DF77</f>
        <v>677.44</v>
      </c>
      <c r="CS21" s="963">
        <f>'TABLA FINAL '!DG77</f>
        <v>683.99</v>
      </c>
      <c r="CT21" s="963">
        <f>'TABLA FINAL '!DH77</f>
        <v>690.68</v>
      </c>
      <c r="CU21" s="963">
        <f>'TABLA FINAL '!DI77</f>
        <v>694.84</v>
      </c>
      <c r="CV21" s="963">
        <f>'TABLA FINAL '!DJ77</f>
        <v>700.45</v>
      </c>
      <c r="CW21" s="963">
        <f>'TABLA FINAL '!DK77</f>
        <v>706.13</v>
      </c>
      <c r="CX21" s="963">
        <f>'TABLA FINAL '!DL77</f>
        <v>709.07</v>
      </c>
      <c r="CY21" s="963">
        <f>+'TABLA FINAL  NO'!DM82</f>
        <v>768.17</v>
      </c>
      <c r="CZ21" s="963">
        <f>+'TABLA FINAL  NO'!DN82</f>
        <v>779.66</v>
      </c>
      <c r="DA21" s="963">
        <f>+'TABLA FINAL  NO'!DO82</f>
        <v>815.07</v>
      </c>
      <c r="DB21" s="963">
        <f>+'TABLA FINAL  NO'!DP82</f>
        <v>815.07</v>
      </c>
      <c r="DC21" s="963">
        <f>+'TABLA FINAL  NO'!DQ82</f>
        <v>817.97</v>
      </c>
      <c r="DD21" s="963">
        <f>+'TABLA FINAL  NO'!DR82</f>
        <v>826.52</v>
      </c>
      <c r="DE21" s="963">
        <f>+'TABLA FINAL  NO'!DS82</f>
        <v>829.12</v>
      </c>
      <c r="DF21" s="963">
        <f>+'TABLA FINAL  NO'!DT82</f>
        <v>832.09</v>
      </c>
      <c r="DG21" s="963">
        <f>+'TABLA FINAL  NO'!DU82</f>
        <v>838.7</v>
      </c>
      <c r="DH21" s="963">
        <f>+'TABLA FINAL  NO'!DV82</f>
        <v>867.95</v>
      </c>
      <c r="DI21" s="963">
        <f>+'TABLA FINAL  NO'!DW82</f>
        <v>872.71</v>
      </c>
      <c r="DJ21" s="963">
        <f>+'TABLA FINAL  NO'!DX82</f>
        <v>886.11</v>
      </c>
      <c r="DK21" s="963">
        <f>+'TABLA FINAL  NO'!DY82</f>
        <v>891.27</v>
      </c>
      <c r="DL21" s="963">
        <f>+'TABLA FINAL  NO'!DZ82</f>
        <v>920.2</v>
      </c>
      <c r="DM21" s="963">
        <f>+'TABLA FINAL  NO'!EA82</f>
        <v>922.43</v>
      </c>
      <c r="DN21" s="963">
        <f>+'TABLA FINAL  NO'!EB82</f>
        <v>923.87</v>
      </c>
      <c r="DO21" s="963">
        <f>+'TABLA FINAL  NO'!EC82</f>
        <v>926.64</v>
      </c>
      <c r="DP21" s="963">
        <f>+'TABLA FINAL  NO'!ED82</f>
        <v>927.7</v>
      </c>
      <c r="DQ21" s="963">
        <f>+'TABLA FINAL  NO'!EE82</f>
        <v>963</v>
      </c>
      <c r="DR21" s="963">
        <f>+'TABLA FINAL  NO'!EF82</f>
        <v>965.8</v>
      </c>
      <c r="DS21" s="963">
        <f>+'TABLA FINAL  NO'!EG82</f>
        <v>968.82</v>
      </c>
      <c r="DT21" s="963">
        <f>+'TABLA FINAL  NO'!EH82</f>
        <v>971.8</v>
      </c>
      <c r="DU21" s="963">
        <f>+'TABLA FINAL  NO'!EI82</f>
        <v>983.19</v>
      </c>
      <c r="DV21" s="963">
        <f>+'TABLA FINAL  NO'!EJ82</f>
        <v>997.65</v>
      </c>
      <c r="DW21" s="963">
        <f>+'TABLA FINAL  NO'!EK82</f>
        <v>1008.23</v>
      </c>
      <c r="DX21" s="963">
        <f>+'TABLA FINAL  NO'!EL82</f>
        <v>1011.33</v>
      </c>
      <c r="DY21" s="963">
        <f>+'TABLA FINAL  NO'!EM82</f>
        <v>1014.32</v>
      </c>
      <c r="DZ21" s="963">
        <f>+'TABLA FINAL  NO'!EN82</f>
        <v>1038.02</v>
      </c>
      <c r="EA21" s="963">
        <f>+'TABLA FINAL  NO'!EO82</f>
        <v>1041.07</v>
      </c>
      <c r="EB21" s="963">
        <f>+'TABLA FINAL  NO'!EP82</f>
        <v>1044.21</v>
      </c>
      <c r="EC21" s="963">
        <f>+'TABLA FINAL  NO'!EQ82</f>
        <v>1047.4100000000001</v>
      </c>
      <c r="ED21" s="963">
        <f>+'TABLA FINAL  NO'!ER82</f>
        <v>1050.6500000000001</v>
      </c>
      <c r="EE21" s="963">
        <f>+'TABLA FINAL  NO'!ES82</f>
        <v>1062.6600000000001</v>
      </c>
      <c r="EF21" s="963">
        <f>+'TABLA FINAL  NO'!ET82</f>
        <v>1090.79</v>
      </c>
      <c r="EG21" s="963">
        <f>+'TABLA FINAL  NO'!EU82</f>
        <v>1098.76</v>
      </c>
      <c r="EH21" s="963">
        <f>+'TABLA FINAL  NO'!EV82</f>
        <v>1102.1400000000001</v>
      </c>
      <c r="EI21" s="963">
        <f>+'TABLA FINAL  NO'!EW82</f>
        <v>1105.53</v>
      </c>
      <c r="EJ21" s="963">
        <f>+'TABLA FINAL  NO'!EX82</f>
        <v>1108.92</v>
      </c>
      <c r="EK21" s="963">
        <f>+'TABLA FINAL  NO'!EY82</f>
        <v>1151.75</v>
      </c>
      <c r="EL21" s="963">
        <f>'TABLA FINAL  NO'!EZ82</f>
        <v>1168.03</v>
      </c>
      <c r="EM21" s="963">
        <f>'TABLA FINAL  NO'!FA82</f>
        <v>1259.2</v>
      </c>
      <c r="EN21" s="963">
        <f>'TABLA FINAL  NO'!FB82</f>
        <v>1292.57</v>
      </c>
      <c r="EO21" s="963">
        <f>'TABLA FINAL  NO'!FC82</f>
        <v>1301.28</v>
      </c>
      <c r="EP21" s="963">
        <f>'TABLA FINAL  NO'!FD82</f>
        <v>1306.1199999999999</v>
      </c>
      <c r="EQ21" s="963">
        <f>'TABLA FINAL  NO'!FE82</f>
        <v>1309.99</v>
      </c>
      <c r="ER21" s="963">
        <f>'TABLA FINAL  NO'!FF82</f>
        <v>1320.46</v>
      </c>
      <c r="ES21" s="963">
        <f>'TABLA FINAL  NO'!FG82</f>
        <v>1324.33</v>
      </c>
      <c r="ET21" s="963">
        <f>'TABLA FINAL  NO'!FH82</f>
        <v>1339.2</v>
      </c>
      <c r="EU21" s="963">
        <f>'TABLA FINAL  NO'!FI82</f>
        <v>1380.74</v>
      </c>
      <c r="EV21" s="963">
        <f>'TABLA FINAL  NO'!FJ82</f>
        <v>1424.91</v>
      </c>
      <c r="EW21" s="963">
        <f>'TABLA FINAL  NO'!FK82</f>
        <v>1449.17</v>
      </c>
      <c r="EX21" s="963">
        <f>'TABLA FINAL  NO'!FL82</f>
        <v>1449.17</v>
      </c>
      <c r="EY21" s="963">
        <f>'TABLA FINAL  NO'!FM82</f>
        <v>1476.58</v>
      </c>
      <c r="EZ21" s="963">
        <f>'TABLA FINAL  NO'!FN82</f>
        <v>1481.42</v>
      </c>
      <c r="FA21" s="963">
        <f>'TABLA FINAL  NO'!FO82</f>
        <v>1486.26</v>
      </c>
      <c r="FB21" s="963">
        <f>'TABLA FINAL  NO'!FP82</f>
        <v>1503.19</v>
      </c>
      <c r="FC21" s="963">
        <f>'TABLA FINAL  NO'!FQ82</f>
        <v>1506.58</v>
      </c>
      <c r="FD21" s="963">
        <f>'TABLA FINAL  NO'!FR82</f>
        <v>1537.5</v>
      </c>
      <c r="FE21" s="963">
        <f>'TABLA FINAL  NO'!FS82</f>
        <v>1556.82</v>
      </c>
      <c r="FF21" s="963">
        <f>'TABLA FINAL  NO'!FT82</f>
        <v>1578.91</v>
      </c>
      <c r="FG21" s="963">
        <f>'TABLA FINAL  NO'!FU82</f>
        <v>1592.22</v>
      </c>
      <c r="FH21" s="963" t="e">
        <f>+#REF!</f>
        <v>#REF!</v>
      </c>
      <c r="FI21" s="963" t="e">
        <f>+#REF!</f>
        <v>#REF!</v>
      </c>
      <c r="FJ21" s="963">
        <f>+'Insumos testigos '!FY81</f>
        <v>100</v>
      </c>
      <c r="FK21" s="963">
        <f>+'Insumos testigos '!FZ81</f>
        <v>86.23695969581604</v>
      </c>
      <c r="FL21" s="963">
        <f>+'Insumos testigos '!GA81</f>
        <v>86.23695969581604</v>
      </c>
      <c r="FM21" s="963">
        <f>+'Insumos testigos '!GB81</f>
        <v>87.503208522392839</v>
      </c>
      <c r="FN21" s="963">
        <f>+'Insumos testigos '!GC81</f>
        <v>87.503208522392839</v>
      </c>
      <c r="FO21" s="963">
        <f>+'Insumos testigos '!GD81</f>
        <v>87.503208522392839</v>
      </c>
      <c r="FP21" s="963">
        <f>+'Insumos testigos '!GE81</f>
        <v>87.503208522392839</v>
      </c>
      <c r="FQ21" s="963">
        <f>+'Insumos testigos '!GF81</f>
        <v>87.503208522392839</v>
      </c>
      <c r="FR21" s="963">
        <f>+'Insumos testigos '!GG81</f>
        <v>87.503208522392839</v>
      </c>
      <c r="FS21" s="963">
        <f>+'Insumos testigos '!GH81</f>
        <v>87.503208522392839</v>
      </c>
      <c r="FT21" s="963">
        <f>+'Insumos testigos '!GI81</f>
        <v>87.503208522392839</v>
      </c>
      <c r="FU21" s="963">
        <f>+'Insumos testigos '!GJ81</f>
        <v>87.885783041999346</v>
      </c>
      <c r="FV21" s="963">
        <f>+'Insumos testigos '!GK81</f>
        <v>87.885783041999346</v>
      </c>
      <c r="FW21" s="963">
        <f>+'Insumos testigos '!GL81</f>
        <v>90.207526125997475</v>
      </c>
      <c r="FX21" s="963">
        <f>+'Insumos testigos '!GM81</f>
        <v>90.200821271921626</v>
      </c>
      <c r="FY21" s="963">
        <f>+'Insumos testigos '!GN81</f>
        <v>90.200821271921626</v>
      </c>
      <c r="FZ21" s="963">
        <f>+'Insumos testigos '!GO81</f>
        <v>91.129957877814462</v>
      </c>
      <c r="GA21" s="963">
        <f>+'Insumos testigos '!GP81</f>
        <v>93.36249088610333</v>
      </c>
      <c r="GB21" s="963">
        <f>+'Insumos testigos '!GQ81</f>
        <v>95.026978481897572</v>
      </c>
      <c r="GC21" s="963">
        <f>+'Insumos testigos '!GR81</f>
        <v>95.026978481897572</v>
      </c>
      <c r="GD21" s="963">
        <f>+'Insumos testigos '!GS81</f>
        <v>95.026978481897572</v>
      </c>
      <c r="GE21" s="963">
        <f>+'Insumos testigos '!GT81</f>
        <v>102.19482153850986</v>
      </c>
      <c r="GF21" s="963">
        <f>+'Insumos testigos '!GU81</f>
        <v>102.19482153850986</v>
      </c>
      <c r="GG21" s="963">
        <f>+'Insumos testigos '!GV81</f>
        <v>103.56784614124206</v>
      </c>
      <c r="GH21" s="963">
        <f>+'Insumos testigos '!GW81</f>
        <v>105.75837943372751</v>
      </c>
      <c r="GI21" s="963">
        <f>+'Insumos testigos '!GX81</f>
        <v>106.90416345888353</v>
      </c>
      <c r="GJ21" s="963">
        <f>+'Insumos testigos '!GY81</f>
        <v>106.90416345888353</v>
      </c>
      <c r="GK21" s="963">
        <f>+'Insumos testigos '!GZ81</f>
        <v>106.90416345888353</v>
      </c>
      <c r="GL21" s="963">
        <f>+'Insumos testigos '!HA81</f>
        <v>144.7216759345479</v>
      </c>
      <c r="GM21" s="963">
        <f>+'Insumos testigos '!HB81</f>
        <v>182.36192163228972</v>
      </c>
      <c r="GN21" s="963">
        <f>+'Insumos testigos '!HC81</f>
        <v>264.42251244282664</v>
      </c>
      <c r="GO21" s="963">
        <f>+'Insumos testigos '!HD81</f>
        <v>238.91520228596039</v>
      </c>
      <c r="GP21" s="963">
        <f>+'Insumos testigos '!HE81</f>
        <v>238.91520228596039</v>
      </c>
      <c r="GQ21" s="963">
        <f>+'Insumos testigos '!HF81</f>
        <v>248.55513467552416</v>
      </c>
      <c r="GR21" s="963">
        <f>+'Insumos testigos '!HG81</f>
        <v>254.76803368571009</v>
      </c>
      <c r="GS21" s="963">
        <f>+'Insumos testigos '!HH81</f>
        <v>263.17170767164555</v>
      </c>
      <c r="GT21" s="963">
        <f>+'Insumos testigos '!HI81</f>
        <v>264.78308557821094</v>
      </c>
      <c r="GU21" s="963">
        <f>+'Insumos testigos '!HJ81</f>
        <v>273.29182548962143</v>
      </c>
      <c r="GV21" s="963">
        <f>+'Insumos testigos '!HK81</f>
        <v>284.45897436002468</v>
      </c>
      <c r="GW21" s="963">
        <f>+'Insumos testigos '!HL81</f>
        <v>298.54439678984539</v>
      </c>
      <c r="GX21" s="963">
        <f>+'Insumos testigos '!HM81</f>
        <v>302.69178072482919</v>
      </c>
      <c r="GY21" s="963">
        <f>+'Insumos testigos '!HN81</f>
        <v>301.05132284898372</v>
      </c>
      <c r="GZ21" s="963">
        <f>+'Insumos testigos '!HO81</f>
        <v>298.3232018713482</v>
      </c>
      <c r="HA21" s="963">
        <f>+'Insumos testigos '!HP81</f>
        <v>394.34570372827085</v>
      </c>
      <c r="HB21" s="963">
        <f>+'Insumos testigos '!HQ81</f>
        <v>402.55113733799317</v>
      </c>
      <c r="HC21" s="963">
        <f>+'Insumos testigos '!HR81</f>
        <v>405.62162166337356</v>
      </c>
      <c r="HD21" s="963">
        <f>+'Insumos testigos '!HS81</f>
        <v>405.62162166337356</v>
      </c>
      <c r="HE21" s="963">
        <f>+'Insumos testigos '!HT81</f>
        <v>405.62162166337356</v>
      </c>
      <c r="HF21" s="963">
        <f>+'Insumos testigos '!HU81</f>
        <v>410.69981629509948</v>
      </c>
      <c r="HG21" s="963">
        <f>+'Insumos testigos '!HV81</f>
        <v>416.06936489968018</v>
      </c>
      <c r="HH21" s="963">
        <f>+'Insumos testigos '!HW81</f>
        <v>426.38455037690102</v>
      </c>
      <c r="HI21" s="963">
        <f>+'Insumos testigos '!HX81</f>
        <v>441.64537272676193</v>
      </c>
      <c r="HJ21" s="963">
        <f>+'Insumos testigos '!HY81</f>
        <v>446.4497056887551</v>
      </c>
      <c r="HK21" s="963">
        <f>+'Insumos testigos '!HZ81</f>
        <v>471.9550615605134</v>
      </c>
      <c r="HL21" s="963">
        <f>+'Insumos testigos '!IA81</f>
        <v>489.75935430201781</v>
      </c>
      <c r="HM21" s="963">
        <f>+'Insumos testigos '!IB81</f>
        <v>509.04733810531422</v>
      </c>
      <c r="HN21" s="963">
        <f>+'Insumos testigos '!IC81</f>
        <v>535.25921353030685</v>
      </c>
      <c r="HO21" s="963">
        <f>+'Insumos testigos '!ID81</f>
        <v>565.99281409599894</v>
      </c>
      <c r="HP21" s="963">
        <f>+'Insumos testigos '!IE81</f>
        <v>603.36769846209347</v>
      </c>
      <c r="HQ21" s="963">
        <f>+'Insumos testigos '!IF81</f>
        <v>659.88926272083768</v>
      </c>
      <c r="HR21" s="963">
        <f>+'Insumos testigos '!IG81</f>
        <v>710.12280295579649</v>
      </c>
      <c r="HS21" s="963">
        <f>+'Insumos testigos '!IH81</f>
        <v>757.74222084378835</v>
      </c>
      <c r="HT21" s="963">
        <f>+'Insumos testigos '!II81</f>
        <v>813.06270186203415</v>
      </c>
      <c r="HU21" s="963">
        <f>+'Insumos testigos '!IJ81</f>
        <v>845.42129740016503</v>
      </c>
      <c r="HV21" s="963">
        <f>+'Insumos testigos '!IK81</f>
        <v>890.14398511989657</v>
      </c>
      <c r="HW21" s="963">
        <f>+'Insumos testigos '!IL81</f>
        <v>940.66013317614909</v>
      </c>
      <c r="HX21" s="963">
        <f>+'Insumos testigos '!IM81</f>
        <v>987.85563933220044</v>
      </c>
      <c r="HY21" s="963">
        <f>+'Insumos testigos '!IN81</f>
        <v>1035.4044052648687</v>
      </c>
      <c r="HZ21" s="963">
        <f>+'Insumos testigos '!IO81</f>
        <v>1073.1325494075807</v>
      </c>
      <c r="IA21" s="963">
        <f>+'Insumos testigos '!IP81</f>
        <v>1118.7737125465164</v>
      </c>
      <c r="IB21" s="963">
        <f>+'Insumos testigos '!IQ81</f>
        <v>1156.643160599875</v>
      </c>
      <c r="IC21" s="963">
        <f>+'Insumos testigos '!IR81</f>
        <v>1211.9636416181211</v>
      </c>
      <c r="ID21" s="963">
        <f>+'Insumos testigos '!IS81</f>
        <v>1266.4362991724856</v>
      </c>
      <c r="IE21" s="963">
        <f>+'Insumos testigos '!IT81</f>
        <v>1343.3762785197011</v>
      </c>
      <c r="IF21" s="963">
        <f>+'Insumos testigos '!IU81</f>
        <v>1411.6967193174578</v>
      </c>
      <c r="IG21" s="963">
        <f>+'Insumos testigos '!IV81</f>
        <v>1490.4736495030825</v>
      </c>
      <c r="IH21" s="963">
        <f>+'Insumos testigos '!IW81</f>
        <v>1575.4679517571692</v>
      </c>
      <c r="II21" s="963">
        <f>+'Insumos testigos '!IX81</f>
        <v>1673.038302058826</v>
      </c>
      <c r="IJ21" s="963">
        <f>+'Insumos testigos '!IY81</f>
        <v>1793.7824937065682</v>
      </c>
      <c r="IK21" s="963">
        <f>+'Insumos testigos '!IZ81</f>
        <v>1913.3256021138118</v>
      </c>
      <c r="IL21" s="963">
        <f>+'Insumos testigos '!JA81</f>
        <v>2082.4663831581038</v>
      </c>
      <c r="IM21" s="963">
        <f>+'Insumos testigos '!JB81</f>
        <v>2264.2538642052896</v>
      </c>
      <c r="IN21" s="1880">
        <f>+'Insumos testigos '!JC81</f>
        <v>2420.4252601312451</v>
      </c>
      <c r="IO21" s="963">
        <f>+'Insumos testigos '!JD81</f>
        <v>2585.3670011502795</v>
      </c>
      <c r="IP21" s="2476">
        <f>+'Insumos testigos '!JE81</f>
        <v>2717.6274615157404</v>
      </c>
      <c r="IQ21" s="2476">
        <f>+'Insumos testigos '!JF81</f>
        <v>2868.4693861312639</v>
      </c>
    </row>
    <row r="22" spans="3:251">
      <c r="C22" s="372" t="s">
        <v>662</v>
      </c>
      <c r="D22" s="2658" t="s">
        <v>693</v>
      </c>
      <c r="E22" s="2626"/>
      <c r="F22" s="1796">
        <v>3.09</v>
      </c>
      <c r="G22" s="538">
        <v>3.66</v>
      </c>
      <c r="H22" s="538">
        <v>3.66</v>
      </c>
      <c r="I22" s="538">
        <v>3.66</v>
      </c>
      <c r="J22" s="1794">
        <v>3.82</v>
      </c>
      <c r="K22" s="1794">
        <v>3.82</v>
      </c>
      <c r="L22" s="1794">
        <v>3.94</v>
      </c>
      <c r="M22" s="1794">
        <v>3.94</v>
      </c>
      <c r="N22" s="1794">
        <v>4.22</v>
      </c>
      <c r="O22" s="1794">
        <v>4.22</v>
      </c>
      <c r="P22" s="1794">
        <v>4.41</v>
      </c>
      <c r="Q22" s="538">
        <v>4.63</v>
      </c>
      <c r="R22" s="963">
        <v>4.8499999999999996</v>
      </c>
      <c r="S22" s="538">
        <v>5.0999999999999996</v>
      </c>
      <c r="T22" s="963">
        <v>5.28</v>
      </c>
      <c r="U22" s="963">
        <v>5.5</v>
      </c>
      <c r="V22" s="963">
        <v>6</v>
      </c>
      <c r="W22" s="963">
        <v>6.21</v>
      </c>
      <c r="X22" s="963">
        <v>6.21</v>
      </c>
      <c r="Y22" s="963">
        <v>6.21</v>
      </c>
      <c r="Z22" s="963">
        <v>6.21</v>
      </c>
      <c r="AA22" s="963">
        <v>6.21</v>
      </c>
      <c r="AB22" s="963">
        <v>6.21</v>
      </c>
      <c r="AC22" s="963">
        <f>+AB22</f>
        <v>6.21</v>
      </c>
      <c r="AD22" s="963">
        <f>+AC22</f>
        <v>6.21</v>
      </c>
      <c r="AE22" s="963">
        <f>+AD22</f>
        <v>6.21</v>
      </c>
      <c r="AF22" s="963">
        <f>+AE22</f>
        <v>6.21</v>
      </c>
      <c r="AG22" s="963">
        <f>+AF22</f>
        <v>6.21</v>
      </c>
      <c r="AH22" s="963">
        <v>6.78</v>
      </c>
      <c r="AI22" s="963">
        <v>6.78</v>
      </c>
      <c r="AJ22" s="1797">
        <f>(3.49*2.2521)+0.852+0.85</f>
        <v>9.5618289999999995</v>
      </c>
      <c r="AK22" s="1797">
        <f>+'TABLA FINAL '!AY8*2.2521+'TABLA FINAL '!AY14</f>
        <v>10.045543</v>
      </c>
      <c r="AL22" s="1797">
        <f>+'TABLA FINAL '!AZ8*2.2521+'TABLA FINAL '!AZ14</f>
        <v>10.045543</v>
      </c>
      <c r="AM22" s="1797">
        <v>10.050000000000001</v>
      </c>
      <c r="AN22" s="1797">
        <v>10.050000000000001</v>
      </c>
      <c r="AO22" s="1797">
        <v>10.050000000000001</v>
      </c>
      <c r="AP22" s="1797">
        <v>10.050000000000001</v>
      </c>
      <c r="AQ22" s="1797">
        <f>+'TABLA FINAL '!BE8*2.2521+'TABLA FINAL '!BE14</f>
        <v>10.045543</v>
      </c>
      <c r="AR22" s="1797">
        <f>+'TABLA FINAL '!BF8*2.2521+'TABLA FINAL '!BF14</f>
        <v>12.129433000000001</v>
      </c>
      <c r="AS22" s="1797">
        <f>+'TABLA FINAL '!BG8*2.2521+'TABLA FINAL '!BG14</f>
        <v>12.129433000000001</v>
      </c>
      <c r="AT22" s="1797">
        <f>+'ANEXO C'!AS21</f>
        <v>12.75847731818182</v>
      </c>
      <c r="AU22" s="1797">
        <f>+'ANEXO C'!AT21</f>
        <v>12.75847731818182</v>
      </c>
      <c r="AV22" s="1797">
        <f>+'ANEXO C'!AU21</f>
        <v>12.75847731818182</v>
      </c>
      <c r="AW22" s="1797">
        <f>+'ANEXO C'!AV21</f>
        <v>13.387248909090911</v>
      </c>
      <c r="AX22" s="1797">
        <f>+'ANEXO C'!AW21</f>
        <v>14.472594781818183</v>
      </c>
      <c r="AY22" s="1797">
        <f>+'ANEXO C'!AX21</f>
        <v>14.473413727272728</v>
      </c>
      <c r="AZ22" s="1797">
        <f>+'ANEXO C'!AY21</f>
        <v>14.977185318181817</v>
      </c>
      <c r="BA22" s="1797">
        <f>+'ANEXO C'!AZ21</f>
        <v>14.977685318181818</v>
      </c>
      <c r="BB22" s="1797">
        <f>+'ANEXO C'!BA21</f>
        <v>11.71092</v>
      </c>
      <c r="BC22" s="1797">
        <f>+'ANEXO C'!BB21</f>
        <v>16.402142727272725</v>
      </c>
      <c r="BD22" s="1797">
        <f>+'ANEXO C'!BC21</f>
        <v>16.402142727272725</v>
      </c>
      <c r="BE22" s="1797">
        <f>+'ANEXO C'!BD21</f>
        <v>16.402142727272725</v>
      </c>
      <c r="BF22" s="1797">
        <f>+'ANEXO C'!BE21</f>
        <v>17.59504309090909</v>
      </c>
      <c r="BG22" s="1797">
        <f>+'ANEXO C'!BF21</f>
        <v>17.59504309090909</v>
      </c>
      <c r="BH22" s="1797">
        <f>+'ANEXO C'!BG21</f>
        <v>17.59504309090909</v>
      </c>
      <c r="BI22" s="1797">
        <f>+'ANEXO C'!BH21</f>
        <v>17.59504309090909</v>
      </c>
      <c r="BJ22" s="1797">
        <f>+'ANEXO C'!BI21</f>
        <v>19.342979795454543</v>
      </c>
      <c r="BK22" s="1797">
        <f>+'ANEXO C'!BJ21</f>
        <v>19.343286900000003</v>
      </c>
      <c r="BL22" s="1797">
        <f>+'ANEXO C'!BK21</f>
        <v>20.499740249999999</v>
      </c>
      <c r="BM22" s="1797">
        <f>+'ANEXO C'!BL21</f>
        <v>20.500866299999998</v>
      </c>
      <c r="BN22" s="1797">
        <f>+'ANEXO C'!BM21</f>
        <v>20.500866299999998</v>
      </c>
      <c r="BO22" s="1797">
        <f>+'ANEXO C'!BN21</f>
        <v>20.494109999999999</v>
      </c>
      <c r="BP22" s="1797">
        <f>+'ANEXO C'!BO21</f>
        <v>20.494109999999999</v>
      </c>
      <c r="BQ22" s="1797">
        <f>+'ANEXO C'!BP21</f>
        <v>22.766837272727273</v>
      </c>
      <c r="BR22" s="1797">
        <f>+'ANEXO C'!BQ21</f>
        <v>20.494109999999999</v>
      </c>
      <c r="BS22" s="1797">
        <f>+'ANEXO C'!BR21</f>
        <v>20.494109999999999</v>
      </c>
      <c r="BT22" s="1797">
        <f>+'ANEXO C'!BS21</f>
        <v>20.494109999999999</v>
      </c>
      <c r="BU22" s="1797">
        <f>+'ANEXO C'!BT21</f>
        <v>22.543520999999998</v>
      </c>
      <c r="BV22" s="1797">
        <f>+'ANEXO C'!BU21</f>
        <v>22.969520999999997</v>
      </c>
      <c r="BW22" s="1797">
        <f>+'ANEXO C'!BV21</f>
        <v>22.543520999999998</v>
      </c>
      <c r="BX22" s="1797">
        <f>+'ANEXO C'!BW21</f>
        <v>23.982966000000001</v>
      </c>
      <c r="BY22" s="1797">
        <f>+'ANEXO C'!BX21</f>
        <v>23.556966000000003</v>
      </c>
      <c r="BZ22" s="1797">
        <f>+'ANEXO C'!BY21</f>
        <v>24.124966000000004</v>
      </c>
      <c r="CA22" s="1797">
        <f>+'ANEXO C'!BZ21</f>
        <v>24.480326999999999</v>
      </c>
      <c r="CB22" s="1797">
        <f>+'ANEXO C'!CA21</f>
        <v>24.480326999999999</v>
      </c>
      <c r="CC22" s="1797">
        <f>+'ANEXO C'!CB21</f>
        <v>24.480326999999999</v>
      </c>
      <c r="CD22" s="963">
        <f>+'ANEXO C'!CC21</f>
        <v>24.480326999999999</v>
      </c>
      <c r="CE22" s="963">
        <f>+'ANEXO C'!CD21</f>
        <v>24.480326999999999</v>
      </c>
      <c r="CF22" s="963">
        <f>+'ANEXO C'!CE21</f>
        <v>24.480326999999999</v>
      </c>
      <c r="CG22" s="963">
        <f>+'ANEXO C'!CF21</f>
        <v>24.480326999999999</v>
      </c>
      <c r="CH22" s="963">
        <f>+'ANEXO C'!CG21</f>
        <v>25.503054272727272</v>
      </c>
      <c r="CI22" s="963">
        <f>+'ANEXO C'!CH21</f>
        <v>26.687384999999999</v>
      </c>
      <c r="CJ22" s="963">
        <f>+'ANEXO C'!CI21</f>
        <v>26.687384999999999</v>
      </c>
      <c r="CK22" s="963">
        <f>+'ANEXO C'!CJ21</f>
        <v>26.687384999999999</v>
      </c>
      <c r="CL22" s="963">
        <f>+'ANEXO C'!CK21</f>
        <v>26.687384999999999</v>
      </c>
      <c r="CM22" s="963">
        <f>+'ANEXO C'!CL21</f>
        <v>28.286376000000001</v>
      </c>
      <c r="CN22" s="963">
        <f>+'ANEXO C'!CM21</f>
        <v>28.286376000000001</v>
      </c>
      <c r="CO22" s="963">
        <f>+'ANEXO C'!CN21</f>
        <v>28.286376000000001</v>
      </c>
      <c r="CP22" s="963">
        <f>+'ANEXO C'!CO21</f>
        <v>28.286376000000001</v>
      </c>
      <c r="CQ22" s="963">
        <f>+'ANEXO C'!CP21</f>
        <v>28.286376000000001</v>
      </c>
      <c r="CR22" s="963">
        <f>+'ANEXO C'!CQ21</f>
        <v>29.706830545454547</v>
      </c>
      <c r="CS22" s="963">
        <f>+'ANEXO C'!CR21</f>
        <v>29.706830545454547</v>
      </c>
      <c r="CT22" s="963">
        <f>+'ANEXO C'!CS21</f>
        <v>31.962455818181816</v>
      </c>
      <c r="CU22" s="963">
        <f>+'ANEXO C'!CT21</f>
        <v>31.962455818181816</v>
      </c>
      <c r="CV22" s="963">
        <f>+'ANEXO C'!CU21</f>
        <v>31.962455818181816</v>
      </c>
      <c r="CW22" s="963">
        <f>+'ANEXO C'!CV21</f>
        <v>33.601331999999999</v>
      </c>
      <c r="CX22" s="963">
        <f>+'ANEXO C'!CW21</f>
        <v>33.601331999999999</v>
      </c>
      <c r="CY22" s="963">
        <f>+'ANEXO C'!CX21</f>
        <v>33.601331999999999</v>
      </c>
      <c r="CZ22" s="963">
        <f>+'ANEXO C'!CY21</f>
        <v>33.601331999999999</v>
      </c>
      <c r="DA22" s="963">
        <f>+'ANEXO C'!CZ21</f>
        <v>35.943516000000002</v>
      </c>
      <c r="DB22" s="963">
        <f>+'ANEXO C'!DA21</f>
        <v>35.943516000000002</v>
      </c>
      <c r="DC22" s="963">
        <f>+'ANEXO C'!DB21</f>
        <v>35.943516000000002</v>
      </c>
      <c r="DD22" s="963">
        <f>+'ANEXO C'!DC21</f>
        <v>35.943516000000002</v>
      </c>
      <c r="DE22" s="963">
        <f>+'ANEXO C'!DD21</f>
        <v>40.267547999999998</v>
      </c>
      <c r="DF22" s="963">
        <f>+'ANEXO C'!DE21</f>
        <v>40.267547999999998</v>
      </c>
      <c r="DG22" s="963">
        <f>+'ANEXO C'!DF21</f>
        <v>40.267547999999998</v>
      </c>
      <c r="DH22" s="963">
        <f>+'ANEXO C'!DG21</f>
        <v>40.267547999999998</v>
      </c>
      <c r="DI22" s="963">
        <f>+'ANEXO C'!DH21</f>
        <v>42.677295000000001</v>
      </c>
      <c r="DJ22" s="963">
        <f>+'ANEXO C'!DI21</f>
        <v>42.677295000000001</v>
      </c>
      <c r="DK22" s="963">
        <f>+'ANEXO C'!DJ21</f>
        <v>42.677295000000001</v>
      </c>
      <c r="DL22" s="963">
        <f>+'ANEXO C'!DK21</f>
        <v>45.222167999999996</v>
      </c>
      <c r="DM22" s="963">
        <f>+'ANEXO C'!DL21</f>
        <v>45.222167999999996</v>
      </c>
      <c r="DN22" s="963">
        <f>+'ANEXO C'!DM21</f>
        <v>45.222167999999996</v>
      </c>
      <c r="DO22" s="963">
        <f>+'ANEXO C'!DN21</f>
        <v>45.222167999999996</v>
      </c>
      <c r="DP22" s="963">
        <f>+'ANEXO C'!DO21</f>
        <v>45.222167999999996</v>
      </c>
      <c r="DQ22" s="963">
        <f>+'ANEXO C'!DP21</f>
        <v>45.222167999999996</v>
      </c>
      <c r="DR22" s="963">
        <f>+'ANEXO C'!DQ21</f>
        <v>45.222167999999996</v>
      </c>
      <c r="DS22" s="963">
        <f>+'ANEXO C'!DR21</f>
        <v>58.149222000000002</v>
      </c>
      <c r="DT22" s="963">
        <f>+'ANEXO C'!DS21</f>
        <v>58.149222000000002</v>
      </c>
      <c r="DU22" s="963">
        <f>+'ANEXO C'!DT21</f>
        <v>58.149222000000002</v>
      </c>
      <c r="DV22" s="963">
        <f>+'ANEXO C'!DU21</f>
        <v>58.149222000000002</v>
      </c>
      <c r="DW22" s="963">
        <f>+'ANEXO C'!DV21</f>
        <v>58.149222000000002</v>
      </c>
      <c r="DX22" s="963">
        <f>+'ANEXO C'!DW21</f>
        <v>58.149222000000002</v>
      </c>
      <c r="DY22" s="963">
        <f>+'ANEXO C'!DX21</f>
        <v>58.149222000000002</v>
      </c>
      <c r="DZ22" s="963">
        <f>+'ANEXO C'!DY21</f>
        <v>58.149222000000002</v>
      </c>
      <c r="EA22" s="963">
        <f>+'ANEXO C'!DZ21</f>
        <v>58.149222000000002</v>
      </c>
      <c r="EB22" s="963">
        <f>+'ANEXO C'!EA21</f>
        <v>58.149222000000002</v>
      </c>
      <c r="EC22" s="963">
        <f>+'ANEXO C'!EB21</f>
        <v>58.149222000000002</v>
      </c>
      <c r="ED22" s="963">
        <f>+'ANEXO C'!EC21</f>
        <v>58.149222000000002</v>
      </c>
      <c r="EE22" s="963">
        <f>+'ANEXO C'!ED21</f>
        <v>68.621487000000002</v>
      </c>
      <c r="EF22" s="963">
        <f>+'ANEXO C'!EE21</f>
        <v>68.621487000000002</v>
      </c>
      <c r="EG22" s="963">
        <f>+'ANEXO C'!EF21</f>
        <v>68.621487000000002</v>
      </c>
      <c r="EH22" s="963">
        <f>+'ANEXO C'!EG21</f>
        <v>72.517620000000008</v>
      </c>
      <c r="EI22" s="963">
        <f>+'ANEXO C'!EH21</f>
        <v>72.517620000000008</v>
      </c>
      <c r="EJ22" s="963">
        <f>+'ANEXO C'!EI21</f>
        <v>72.742829999999998</v>
      </c>
      <c r="EK22" s="963">
        <f>+'ANEXO C'!EJ21</f>
        <v>72.742829999999998</v>
      </c>
      <c r="EL22" s="963">
        <f>'ANEXO C'!EK21</f>
        <v>72.742829999999998</v>
      </c>
      <c r="EM22" s="963">
        <f>'ANEXO C'!EL21</f>
        <v>72.742829999999998</v>
      </c>
      <c r="EN22" s="963">
        <f>'ANEXO C'!EM21</f>
        <v>72.742829999999998</v>
      </c>
      <c r="EO22" s="963">
        <f>'ANEXO C'!EN21</f>
        <v>85.602320999999989</v>
      </c>
      <c r="EP22" s="963">
        <f>'ANEXO C'!EO21</f>
        <v>85.602320999999989</v>
      </c>
      <c r="EQ22" s="963">
        <f>'ANEXO C'!EP21</f>
        <v>85.602320999999989</v>
      </c>
      <c r="ER22" s="963">
        <f>'ANEXO C'!EQ21</f>
        <v>94.160301000000004</v>
      </c>
      <c r="ES22" s="963">
        <f>'ANEXO C'!ER21</f>
        <v>94.160301000000004</v>
      </c>
      <c r="ET22" s="963">
        <f>'ANEXO C'!ES21</f>
        <v>94.160301000000004</v>
      </c>
      <c r="EU22" s="963">
        <f>'ANEXO C'!ET21</f>
        <v>94.160301000000004</v>
      </c>
      <c r="EV22" s="963">
        <f>'ANEXO C'!EU21</f>
        <v>94.160301000000004</v>
      </c>
      <c r="EW22" s="963">
        <f>'ANEXO C'!EV21</f>
        <v>94.160301000000004</v>
      </c>
      <c r="EX22" s="963">
        <f>'ANEXO C'!EW21</f>
        <v>94.160301000000004</v>
      </c>
      <c r="EY22" s="963">
        <f>'ANEXO C'!EX21</f>
        <v>94.160301000000004</v>
      </c>
      <c r="EZ22" s="963">
        <f>'ANEXO C'!EY21</f>
        <v>94.160301000000004</v>
      </c>
      <c r="FA22" s="963">
        <f>'ANEXO C'!EZ21</f>
        <v>110.533068</v>
      </c>
      <c r="FB22" s="963">
        <f>'ANEXO C'!FA21</f>
        <v>110.533068</v>
      </c>
      <c r="FC22" s="963">
        <f>'ANEXO C'!FB21</f>
        <v>110.533068</v>
      </c>
      <c r="FD22" s="963">
        <f>'ANEXO C'!FC21</f>
        <v>110.533068</v>
      </c>
      <c r="FE22" s="963">
        <f>'ANEXO C'!FD21</f>
        <v>119.96936700000001</v>
      </c>
      <c r="FF22" s="963">
        <f>'ANEXO C'!FE21</f>
        <v>119.96936700000001</v>
      </c>
      <c r="FG22" s="963">
        <f>'ANEXO C'!FF21</f>
        <v>119.96936700000001</v>
      </c>
      <c r="FH22" s="963" t="e">
        <f>'ANEXO C'!FG21</f>
        <v>#REF!</v>
      </c>
      <c r="FI22" s="963" t="e">
        <f>+'ANEXO C'!FH21</f>
        <v>#REF!</v>
      </c>
      <c r="FJ22" s="963">
        <f>+'ANEXO C'!FI21</f>
        <v>119.96936700000001</v>
      </c>
      <c r="FK22" s="963">
        <f>+'ANEXO C'!FJ21</f>
        <v>119.96936700000001</v>
      </c>
      <c r="FL22" s="963">
        <f>+'ANEXO C'!FK21</f>
        <v>119.96936700000001</v>
      </c>
      <c r="FM22" s="963">
        <f>+'ANEXO C'!FL21</f>
        <v>146.363979</v>
      </c>
      <c r="FN22" s="963">
        <f>+'ANEXO C'!FM21</f>
        <v>146.363979</v>
      </c>
      <c r="FO22" s="963">
        <f>+'ANEXO C'!FN21</f>
        <v>146.363979</v>
      </c>
      <c r="FP22" s="963">
        <f>+'ANEXO C'!FO21</f>
        <v>146.363979</v>
      </c>
      <c r="FQ22" s="963">
        <f>+'ANEXO C'!FP21</f>
        <v>146.363979</v>
      </c>
      <c r="FR22" s="963">
        <f>+'ANEXO C'!FQ21</f>
        <v>146.363979</v>
      </c>
      <c r="FS22" s="963">
        <f>+'ANEXO C'!FR21</f>
        <v>160.754898</v>
      </c>
      <c r="FT22" s="963">
        <f>+'ANEXO C'!FS21</f>
        <v>160.754898</v>
      </c>
      <c r="FU22" s="963">
        <f>+'ANEXO C'!FT21</f>
        <v>160.754898</v>
      </c>
      <c r="FV22" s="963">
        <f>+'ANEXO C'!FU21</f>
        <v>166.76800499999999</v>
      </c>
      <c r="FW22" s="963">
        <f>+'ANEXO C'!FV21</f>
        <v>166.76800499999999</v>
      </c>
      <c r="FX22" s="963">
        <f>+'ANEXO C'!FW21</f>
        <v>166.76800499999999</v>
      </c>
      <c r="FY22" s="963">
        <f>+'ANEXO C'!FX21</f>
        <v>185.100099</v>
      </c>
      <c r="FZ22" s="963">
        <f>+'ANEXO C'!FY21</f>
        <v>185.100099</v>
      </c>
      <c r="GA22" s="963">
        <f>+'ANEXO C'!FZ21</f>
        <v>185.100099</v>
      </c>
      <c r="GB22" s="963">
        <f>+'ANEXO C'!GA21</f>
        <v>203.61236099999999</v>
      </c>
      <c r="GC22" s="963">
        <f>+'ANEXO C'!GB21</f>
        <v>203.61236099999999</v>
      </c>
      <c r="GD22" s="963">
        <f>+'ANEXO C'!GC21</f>
        <v>203.61236099999999</v>
      </c>
      <c r="GE22" s="963">
        <f>+'ANEXO C'!GD21</f>
        <v>203.61236099999999</v>
      </c>
      <c r="GF22" s="963">
        <f>+'ANEXO C'!GE21</f>
        <v>203.61236099999999</v>
      </c>
      <c r="GG22" s="963">
        <f>+'ANEXO C'!GF21</f>
        <v>203.61236099999999</v>
      </c>
      <c r="GH22" s="963">
        <f>+'ANEXO C'!GG21</f>
        <v>203.61236099999999</v>
      </c>
      <c r="GI22" s="963">
        <f>+'ANEXO C'!GH21</f>
        <v>206.675217</v>
      </c>
      <c r="GJ22" s="963">
        <f>+'ANEXO C'!GI21</f>
        <v>209.715552</v>
      </c>
      <c r="GK22" s="963">
        <f>+'ANEXO C'!GJ21</f>
        <v>230.682603</v>
      </c>
      <c r="GL22" s="963">
        <f>+'ANEXO C'!GK21</f>
        <v>230.682603</v>
      </c>
      <c r="GM22" s="963">
        <f>+'ANEXO C'!GL21</f>
        <v>230.682603</v>
      </c>
      <c r="GN22" s="963">
        <f>+'ANEXO C'!GM21</f>
        <v>230.682603</v>
      </c>
      <c r="GO22" s="963">
        <f>+'ANEXO C'!GN21</f>
        <v>242.23587599999999</v>
      </c>
      <c r="GP22" s="963">
        <f>+'ANEXO C'!GO21</f>
        <v>251.919906</v>
      </c>
      <c r="GQ22" s="963">
        <f>+'ANEXO C'!GP21</f>
        <v>259.46444099999997</v>
      </c>
      <c r="GR22" s="963">
        <f>+'ANEXO C'!GQ21</f>
        <v>267.031497</v>
      </c>
      <c r="GS22" s="963">
        <f>+'ANEXO C'!GR21</f>
        <v>267.031497</v>
      </c>
      <c r="GT22" s="963">
        <f>+'ANEXO C'!GS21</f>
        <v>275.04897299999999</v>
      </c>
      <c r="GU22" s="963">
        <f>+'ANEXO C'!GT21</f>
        <v>275.04897299999999</v>
      </c>
      <c r="GV22" s="963">
        <f>+'ANEXO C'!GU21</f>
        <v>294.30442800000003</v>
      </c>
      <c r="GW22" s="963">
        <f>+'ANEXO C'!GV21</f>
        <v>323.71685400000001</v>
      </c>
      <c r="GX22" s="963">
        <f>+'ANEXO C'!GW21</f>
        <v>339.90945300000004</v>
      </c>
      <c r="GY22" s="963">
        <f>+'ANEXO C'!GX21</f>
        <v>339.90945300000004</v>
      </c>
      <c r="GZ22" s="963">
        <f>+'ANEXO C'!GY21</f>
        <v>354.48054000000002</v>
      </c>
      <c r="HA22" s="963">
        <f>+'ANEXO C'!GZ21</f>
        <v>366.889611</v>
      </c>
      <c r="HB22" s="963">
        <f>+'ANEXO C'!HA21</f>
        <v>366.889611</v>
      </c>
      <c r="HC22" s="963">
        <f>+'ANEXO C'!HB21</f>
        <v>395.53632299999998</v>
      </c>
      <c r="HD22" s="963">
        <f>+'ANEXO C'!HC21</f>
        <v>419.27345699999995</v>
      </c>
      <c r="HE22" s="1791">
        <f>+'ANEXO C'!HD21</f>
        <v>419.27345699999995</v>
      </c>
      <c r="HF22" s="1880">
        <f>+'ANEXO C'!HE21</f>
        <v>444.902355</v>
      </c>
      <c r="HG22" s="1880">
        <f>+'ANEXO C'!HF21</f>
        <v>462.69394499999999</v>
      </c>
      <c r="HH22" s="1880">
        <f>+'ANEXO C'!HG21</f>
        <v>462.69394499999999</v>
      </c>
      <c r="HI22" s="1880">
        <f>+'ANEXO C'!HH21</f>
        <v>462.69394499999999</v>
      </c>
      <c r="HJ22" s="1880">
        <f>+'ANEXO C'!HI21</f>
        <v>462.69394499999999</v>
      </c>
      <c r="HK22" s="1880">
        <f>+'ANEXO C'!HJ21</f>
        <v>462.69394499999999</v>
      </c>
      <c r="HL22" s="1880">
        <f>+'ANEXO C'!HK21</f>
        <v>462.69394499999999</v>
      </c>
      <c r="HM22" s="1880">
        <f>+'ANEXO C'!HL21</f>
        <v>462.69394499999999</v>
      </c>
      <c r="HN22" s="1880">
        <f>+'ANEXO C'!HM21</f>
        <v>462.69394499999999</v>
      </c>
      <c r="HO22" s="1880">
        <f>+'ANEXO C'!HN21</f>
        <v>462.69394499999999</v>
      </c>
      <c r="HP22" s="1880">
        <f>+'ANEXO C'!HO21</f>
        <v>578.36180100000001</v>
      </c>
      <c r="HQ22" s="1791">
        <f>+'ANEXO C'!HP21</f>
        <v>578.36180100000001</v>
      </c>
      <c r="HR22" s="975">
        <f>+'ANEXO C'!HQ21</f>
        <v>578.36180100000001</v>
      </c>
      <c r="HS22" s="1880">
        <f>+'ANEXO C'!HR21</f>
        <v>615.36380400000007</v>
      </c>
      <c r="HT22" s="963">
        <f>+'ANEXO C'!HS21</f>
        <v>615.36380400000007</v>
      </c>
      <c r="HU22" s="1880">
        <f>+'ANEXO C'!HT21</f>
        <v>689.21016299999997</v>
      </c>
      <c r="HV22" s="1880">
        <f>+'ANEXO C'!HU21</f>
        <v>689.21016299999997</v>
      </c>
      <c r="HW22" s="1880">
        <f>+'ANEXO C'!HV21</f>
        <v>689.21016299999997</v>
      </c>
      <c r="HX22" s="1880">
        <f>+'ANEXO C'!HW21</f>
        <v>750.76005600000008</v>
      </c>
      <c r="HY22" s="963">
        <f>+'ANEXO C'!HX21</f>
        <v>750.76005600000008</v>
      </c>
      <c r="HZ22" s="1880">
        <f>+'ANEXO C'!HY21</f>
        <v>781.52374199999997</v>
      </c>
      <c r="IA22" s="1880">
        <f>+'ANEXO C'!HZ21</f>
        <v>824.60641499999997</v>
      </c>
      <c r="IB22" s="1880">
        <f>+'ANEXO C'!IA21</f>
        <v>824.60641499999997</v>
      </c>
      <c r="IC22" s="1880">
        <f>+'ANEXO C'!IB21</f>
        <v>824.60641499999997</v>
      </c>
      <c r="ID22" s="963">
        <f>+'ANEXO C'!IC21</f>
        <v>855.37010099999998</v>
      </c>
      <c r="IE22" s="1880">
        <f>+'ANEXO C'!ID21</f>
        <v>897.21411899999998</v>
      </c>
      <c r="IF22" s="963">
        <f>+'ANEXO C'!IE21</f>
        <v>947.661159</v>
      </c>
      <c r="IG22" s="1880">
        <f>+'ANEXO C'!IF21</f>
        <v>947.661159</v>
      </c>
      <c r="IH22" s="1880">
        <f>+'ANEXO C'!IG21</f>
        <v>1042.7222999999999</v>
      </c>
      <c r="II22" s="1880">
        <f>+'ANEXO C'!IH21</f>
        <v>1137.3105</v>
      </c>
      <c r="IJ22" s="963">
        <f>+'ANEXO C'!II21</f>
        <v>1137.3105</v>
      </c>
      <c r="IK22" s="1880">
        <f>+'ANEXO C'!IJ21</f>
        <v>1213.8819000000001</v>
      </c>
      <c r="IL22" s="963">
        <f>+'ANEXO C'!IK21</f>
        <v>1335.4953</v>
      </c>
      <c r="IM22" s="1880">
        <f>+'ANEXO C'!IL21</f>
        <v>1459.3607999999999</v>
      </c>
      <c r="IN22" s="1880">
        <f>+'ANEXO C'!IM21</f>
        <v>1574.2179000000001</v>
      </c>
      <c r="IO22" s="963">
        <f>+'ANEXO C'!IN21</f>
        <v>1574.2179000000001</v>
      </c>
      <c r="IP22" s="2476">
        <f>+'ANEXO C'!IO21</f>
        <v>1621.5119999999999</v>
      </c>
      <c r="IQ22" s="2476">
        <f>+'ANEXO C'!IP21</f>
        <v>1896.2682</v>
      </c>
    </row>
    <row r="23" spans="3:251">
      <c r="C23" s="566" t="s">
        <v>671</v>
      </c>
      <c r="D23" s="2668">
        <v>67</v>
      </c>
      <c r="E23" s="2669"/>
      <c r="F23" s="1778">
        <v>126.2</v>
      </c>
      <c r="G23" s="1780">
        <v>382.18</v>
      </c>
      <c r="H23" s="1798">
        <v>384.52</v>
      </c>
      <c r="I23" s="1798">
        <v>383.54</v>
      </c>
      <c r="J23" s="1780">
        <v>406.07</v>
      </c>
      <c r="K23" s="1780">
        <v>406.51</v>
      </c>
      <c r="L23" s="1798">
        <v>406.9</v>
      </c>
      <c r="M23" s="1780">
        <v>406.68</v>
      </c>
      <c r="N23" s="1780">
        <v>406.68</v>
      </c>
      <c r="O23" s="1780">
        <v>402.3</v>
      </c>
      <c r="P23" s="1780">
        <v>399.57</v>
      </c>
      <c r="Q23" s="1798">
        <v>399.57</v>
      </c>
      <c r="R23" s="1465">
        <v>399.57</v>
      </c>
      <c r="S23" s="1798">
        <v>399.57</v>
      </c>
      <c r="T23" s="1465">
        <v>399.57</v>
      </c>
      <c r="U23" s="1465">
        <v>399.57</v>
      </c>
      <c r="V23" s="1465">
        <v>399.95</v>
      </c>
      <c r="W23" s="1465">
        <v>399.95</v>
      </c>
      <c r="X23" s="1465">
        <v>400.47</v>
      </c>
      <c r="Y23" s="1465">
        <v>400.73</v>
      </c>
      <c r="Z23" s="1465">
        <v>405.2</v>
      </c>
      <c r="AA23" s="1465">
        <v>407.47</v>
      </c>
      <c r="AB23" s="1465">
        <v>409.3</v>
      </c>
      <c r="AC23" s="1465">
        <v>425.51</v>
      </c>
      <c r="AD23" s="1465">
        <v>430.59</v>
      </c>
      <c r="AE23" s="1465">
        <f>+'ANEXO C'!AD22</f>
        <v>430.82</v>
      </c>
      <c r="AF23" s="1465">
        <f>+'ANEXO C'!AE22</f>
        <v>430.93</v>
      </c>
      <c r="AG23" s="1465">
        <f>+'ANEXO C'!AF22</f>
        <v>431.16</v>
      </c>
      <c r="AH23" s="1465">
        <f>+'TABLA FINAL '!AV87</f>
        <v>431.16</v>
      </c>
      <c r="AI23" s="1465">
        <f>+'TABLA FINAL '!AW87</f>
        <v>431.16</v>
      </c>
      <c r="AJ23" s="1465">
        <f>+'TABLA FINAL '!AX87</f>
        <v>434.92</v>
      </c>
      <c r="AK23" s="1465">
        <f>+'TABLA FINAL '!AY87</f>
        <v>434.58</v>
      </c>
      <c r="AL23" s="1465">
        <f>+'TABLA FINAL '!AZ87</f>
        <v>433.74</v>
      </c>
      <c r="AM23" s="1465">
        <f>+'TABLA FINAL '!BA87</f>
        <v>430.24</v>
      </c>
      <c r="AN23" s="1465">
        <f>+'TABLA FINAL '!BB87</f>
        <v>430.24</v>
      </c>
      <c r="AO23" s="1465">
        <f>+'TABLA FINAL '!BC87</f>
        <v>430.08</v>
      </c>
      <c r="AP23" s="1465">
        <f>+'TABLA FINAL '!BD87</f>
        <v>430.42</v>
      </c>
      <c r="AQ23" s="1465">
        <f>+'TABLA FINAL '!BE87</f>
        <v>431.1</v>
      </c>
      <c r="AR23" s="1465">
        <f>+'TABLA FINAL '!BF87</f>
        <v>431.1</v>
      </c>
      <c r="AS23" s="1465">
        <f>+'TABLA FINAL '!BG87</f>
        <v>431.1</v>
      </c>
      <c r="AT23" s="1465">
        <f>+'TABLA FINAL '!BH87</f>
        <v>431.1</v>
      </c>
      <c r="AU23" s="1465">
        <f>+'TABLA FINAL '!BI87</f>
        <v>431.1</v>
      </c>
      <c r="AV23" s="1465">
        <f>+'TABLA FINAL '!BJ87</f>
        <v>441.23</v>
      </c>
      <c r="AW23" s="1465">
        <f>+'TABLA FINAL '!BK87</f>
        <v>431.2</v>
      </c>
      <c r="AX23" s="1465">
        <f>+'TABLA FINAL '!BL87</f>
        <v>431.2</v>
      </c>
      <c r="AY23" s="1465">
        <f>+'TABLA FINAL '!BM87</f>
        <v>431.25</v>
      </c>
      <c r="AZ23" s="1465">
        <f>+'TABLA FINAL '!BN87</f>
        <v>431.25</v>
      </c>
      <c r="BA23" s="1465">
        <f>+'TABLA FINAL '!BO87</f>
        <v>431.25</v>
      </c>
      <c r="BB23" s="1465">
        <f>+'TABLA FINAL '!BP87</f>
        <v>432.07</v>
      </c>
      <c r="BC23" s="1465">
        <f>+'TABLA FINAL '!BQ87</f>
        <v>431.25</v>
      </c>
      <c r="BD23" s="1465">
        <f>+'TABLA FINAL '!BR87</f>
        <v>431.2</v>
      </c>
      <c r="BE23" s="1465">
        <f>+'TABLA FINAL '!BS87</f>
        <v>431.2</v>
      </c>
      <c r="BF23" s="1465">
        <f>+'TABLA FINAL '!BT87</f>
        <v>431.2</v>
      </c>
      <c r="BG23" s="1465">
        <f>+'TABLA FINAL '!BU87</f>
        <v>431.25</v>
      </c>
      <c r="BH23" s="1465">
        <f>+'TABLA FINAL '!BV87</f>
        <v>431.25</v>
      </c>
      <c r="BI23" s="1465">
        <f>+'TABLA FINAL '!BW87</f>
        <v>431.25</v>
      </c>
      <c r="BJ23" s="1465">
        <f>+'TABLA FINAL '!BX87</f>
        <v>435.57</v>
      </c>
      <c r="BK23" s="1465">
        <f>+'TABLA FINAL '!BY87</f>
        <v>437.96</v>
      </c>
      <c r="BL23" s="1465">
        <f>+'TABLA FINAL '!BZ87</f>
        <v>444.17</v>
      </c>
      <c r="BM23" s="1465">
        <f>+'TABLA FINAL '!CA87</f>
        <v>440.98</v>
      </c>
      <c r="BN23" s="1465">
        <f>+'TABLA FINAL '!CB87</f>
        <v>443.35</v>
      </c>
      <c r="BO23" s="1465">
        <f>+'TABLA FINAL '!CC87</f>
        <v>445.21</v>
      </c>
      <c r="BP23" s="1465">
        <f>+'TABLA FINAL '!CD87</f>
        <v>448.22</v>
      </c>
      <c r="BQ23" s="1465">
        <f>+'TABLA FINAL '!CE87</f>
        <v>456.08</v>
      </c>
      <c r="BR23" s="1465">
        <f>+'TABLA FINAL '!CF87</f>
        <v>448.6</v>
      </c>
      <c r="BS23" s="1465">
        <f>+'TABLA FINAL '!CG87</f>
        <v>420.39</v>
      </c>
      <c r="BT23" s="1465">
        <f>+'TABLA FINAL '!CH87</f>
        <v>418.16</v>
      </c>
      <c r="BU23" s="1465">
        <f>+'TABLA FINAL '!CI87</f>
        <v>423.22</v>
      </c>
      <c r="BV23" s="1465">
        <f>+'TABLA FINAL '!CJ87</f>
        <v>438.77</v>
      </c>
      <c r="BW23" s="1465">
        <f>+'TABLA FINAL '!CK87</f>
        <v>448.78</v>
      </c>
      <c r="BX23" s="1465">
        <f>+'TABLA FINAL '!CL87</f>
        <v>454.18</v>
      </c>
      <c r="BY23" s="1465">
        <f>+'TABLA FINAL '!CM87</f>
        <v>450.71</v>
      </c>
      <c r="BZ23" s="1465">
        <f>+'TABLA FINAL '!CN87</f>
        <v>453.07</v>
      </c>
      <c r="CA23" s="1465">
        <f>+'TABLA FINAL '!CO87</f>
        <v>454.67</v>
      </c>
      <c r="CB23" s="1465">
        <f>+'TABLA FINAL '!CP87</f>
        <v>458.77</v>
      </c>
      <c r="CC23" s="1465">
        <f>+'TABLA FINAL '!CQ87</f>
        <v>463.22</v>
      </c>
      <c r="CD23" s="1465">
        <f>+'TABLA FINAL '!CR87</f>
        <v>471.3</v>
      </c>
      <c r="CE23" s="1465">
        <f>+'TABLA FINAL '!CS87</f>
        <v>482.05</v>
      </c>
      <c r="CF23" s="1465">
        <f>+'TABLA FINAL '!CT87</f>
        <v>495.91</v>
      </c>
      <c r="CG23" s="1465">
        <f>+'TABLA FINAL '!CU87</f>
        <v>519.02</v>
      </c>
      <c r="CH23" s="1465">
        <f>+'TABLA FINAL '!CV87</f>
        <v>534.95000000000005</v>
      </c>
      <c r="CI23" s="1465">
        <f>+'TABLA FINAL '!CW87</f>
        <v>555.30999999999995</v>
      </c>
      <c r="CJ23" s="1465">
        <f>+'TABLA FINAL '!CX87</f>
        <v>582.22</v>
      </c>
      <c r="CK23" s="1465">
        <f>+'TABLA FINAL '!CY87</f>
        <v>584.62</v>
      </c>
      <c r="CL23" s="1465">
        <f>+'TABLA FINAL '!CZ87</f>
        <v>586.39</v>
      </c>
      <c r="CM23" s="1465">
        <f>+'TABLA FINAL '!DA87</f>
        <v>604.54</v>
      </c>
      <c r="CN23" s="1465">
        <f>+'TABLA FINAL '!DB87</f>
        <v>606.80999999999995</v>
      </c>
      <c r="CO23" s="1465">
        <f>+'TABLA FINAL '!DC87</f>
        <v>609.45000000000005</v>
      </c>
      <c r="CP23" s="1465">
        <f>+'TABLA FINAL '!DD87</f>
        <v>609.84</v>
      </c>
      <c r="CQ23" s="1465">
        <f>+'TABLA FINAL '!DE87</f>
        <v>610.65</v>
      </c>
      <c r="CR23" s="1465">
        <f>+'TABLA FINAL '!DF87</f>
        <v>615.25</v>
      </c>
      <c r="CS23" s="1465">
        <f>+'TABLA FINAL '!DG87</f>
        <v>635.57000000000005</v>
      </c>
      <c r="CT23" s="1465">
        <f>+'TABLA FINAL '!DH87</f>
        <v>655.53</v>
      </c>
      <c r="CU23" s="1465">
        <f>+'TABLA FINAL '!DI87</f>
        <v>679.52</v>
      </c>
      <c r="CV23" s="1465">
        <f>+'TABLA FINAL '!DJ87</f>
        <v>693.53</v>
      </c>
      <c r="CW23" s="1465">
        <f>+'TABLA FINAL '!DK87</f>
        <v>709.66</v>
      </c>
      <c r="CX23" s="1465">
        <f>+'TABLA FINAL '!DL87</f>
        <v>721.1</v>
      </c>
      <c r="CY23" s="1465">
        <f>+'TABLA FINAL  NO'!DM92</f>
        <v>721.1</v>
      </c>
      <c r="CZ23" s="1465">
        <f>+'TABLA FINAL  NO'!DN92</f>
        <v>726.54</v>
      </c>
      <c r="DA23" s="1465">
        <f>+'TABLA FINAL  NO'!DO92</f>
        <v>745.61</v>
      </c>
      <c r="DB23" s="1465">
        <f>+'TABLA FINAL  NO'!DP92</f>
        <v>775.48</v>
      </c>
      <c r="DC23" s="1465">
        <f>+'TABLA FINAL  NO'!DQ92</f>
        <v>777.44</v>
      </c>
      <c r="DD23" s="1465">
        <f>+'TABLA FINAL  NO'!DR92</f>
        <v>784.16</v>
      </c>
      <c r="DE23" s="1465">
        <f>+'TABLA FINAL  NO'!DS92</f>
        <v>822.74</v>
      </c>
      <c r="DF23" s="1465">
        <f>+'TABLA FINAL  NO'!DT92</f>
        <v>835.98</v>
      </c>
      <c r="DG23" s="1465">
        <f>+'TABLA FINAL  NO'!DU92</f>
        <v>842.63</v>
      </c>
      <c r="DH23" s="1465">
        <f>+'TABLA FINAL  NO'!DV92</f>
        <v>858.52</v>
      </c>
      <c r="DI23" s="1465">
        <f>+'TABLA FINAL  NO'!DW92</f>
        <v>868.83</v>
      </c>
      <c r="DJ23" s="1465">
        <f>+'TABLA FINAL  NO'!DX92</f>
        <v>878.37</v>
      </c>
      <c r="DK23" s="1465">
        <f>+'TABLA FINAL  NO'!DY92</f>
        <v>885.52</v>
      </c>
      <c r="DL23" s="1465">
        <f>+'TABLA FINAL  NO'!DZ92</f>
        <v>885.52</v>
      </c>
      <c r="DM23" s="1465">
        <f>+'TABLA FINAL  NO'!EA92</f>
        <v>893.21</v>
      </c>
      <c r="DN23" s="1465">
        <f>+'TABLA FINAL  NO'!EB92</f>
        <v>928.95</v>
      </c>
      <c r="DO23" s="1465">
        <f>+'TABLA FINAL  NO'!EC92</f>
        <v>933.84</v>
      </c>
      <c r="DP23" s="1465">
        <f>+'TABLA FINAL  NO'!ED92</f>
        <v>946.21</v>
      </c>
      <c r="DQ23" s="1465">
        <f>+'TABLA FINAL  NO'!EE92</f>
        <v>951.2</v>
      </c>
      <c r="DR23" s="1465">
        <f>+'TABLA FINAL  NO'!EF92</f>
        <v>972.32</v>
      </c>
      <c r="DS23" s="1465">
        <f>+'TABLA FINAL  NO'!EG92</f>
        <v>972.59</v>
      </c>
      <c r="DT23" s="1465">
        <f>+'TABLA FINAL  NO'!EH92</f>
        <v>998.56</v>
      </c>
      <c r="DU23" s="1465">
        <f>+'TABLA FINAL  NO'!EI92</f>
        <v>1003.73</v>
      </c>
      <c r="DV23" s="1465">
        <f>+'TABLA FINAL  NO'!EJ92</f>
        <v>1004.43</v>
      </c>
      <c r="DW23" s="1465">
        <f>+'TABLA FINAL  NO'!EK92</f>
        <v>1004.6</v>
      </c>
      <c r="DX23" s="1465">
        <f>+'TABLA FINAL  NO'!EL92</f>
        <v>1016.06</v>
      </c>
      <c r="DY23" s="1465">
        <f>+'TABLA FINAL  NO'!EM92</f>
        <v>1016.77</v>
      </c>
      <c r="DZ23" s="1465">
        <f>+'TABLA FINAL  NO'!EN92</f>
        <v>1024.6099999999999</v>
      </c>
      <c r="EA23" s="1465">
        <f>+'TABLA FINAL  NO'!EO92</f>
        <v>1032.78</v>
      </c>
      <c r="EB23" s="1465">
        <f>+'TABLA FINAL  NO'!EP92</f>
        <v>1055.3499999999999</v>
      </c>
      <c r="EC23" s="1465">
        <f>+'TABLA FINAL  NO'!EQ92</f>
        <v>1077.53</v>
      </c>
      <c r="ED23" s="1465">
        <f>+'TABLA FINAL  NO'!ER92</f>
        <v>1093.44</v>
      </c>
      <c r="EE23" s="1465">
        <f>+'TABLA FINAL  NO'!ES92</f>
        <v>1109.21</v>
      </c>
      <c r="EF23" s="1465">
        <f>+'TABLA FINAL  NO'!ET92</f>
        <v>1118.96</v>
      </c>
      <c r="EG23" s="1465">
        <f>+'TABLA FINAL  NO'!EU92</f>
        <v>1126.55</v>
      </c>
      <c r="EH23" s="1465">
        <f>+'TABLA FINAL  NO'!EV92</f>
        <v>1130.51</v>
      </c>
      <c r="EI23" s="1465">
        <f>+'TABLA FINAL  NO'!EW92</f>
        <v>1130.51</v>
      </c>
      <c r="EJ23" s="1465">
        <f>+'TABLA FINAL  NO'!EX92</f>
        <v>1132.25</v>
      </c>
      <c r="EK23" s="1465">
        <f>+'TABLA FINAL  NO'!EY92</f>
        <v>1141.83</v>
      </c>
      <c r="EL23" s="1465">
        <f>+'TABLA FINAL  NO'!EZ92</f>
        <v>1188</v>
      </c>
      <c r="EM23" s="1465">
        <f>+'TABLA FINAL  NO'!FA92</f>
        <v>1212.73</v>
      </c>
      <c r="EN23" s="1465">
        <f>+'TABLA FINAL  NO'!FB92</f>
        <v>1274.3499999999999</v>
      </c>
      <c r="EO23" s="1465">
        <f>+'TABLA FINAL  NO'!FC92</f>
        <v>1373.92</v>
      </c>
      <c r="EP23" s="1465">
        <f>+'TABLA FINAL  NO'!FD92</f>
        <v>1386.78</v>
      </c>
      <c r="EQ23" s="1465">
        <f>+'TABLA FINAL  NO'!FE92</f>
        <v>1396.59</v>
      </c>
      <c r="ER23" s="1465">
        <f>+'TABLA FINAL  NO'!FF92</f>
        <v>1469.17</v>
      </c>
      <c r="ES23" s="1465">
        <f>+'TABLA FINAL  NO'!FG92</f>
        <v>1477.54</v>
      </c>
      <c r="ET23" s="1465">
        <f>+'TABLA FINAL  NO'!FH92</f>
        <v>1505.35</v>
      </c>
      <c r="EU23" s="1465">
        <f>+'TABLA FINAL  NO'!FI92</f>
        <v>1511.76</v>
      </c>
      <c r="EV23" s="1465">
        <f>+'TABLA FINAL  NO'!FJ92</f>
        <v>1511.91</v>
      </c>
      <c r="EW23" s="1465">
        <f>+'TABLA FINAL  NO'!FK92</f>
        <v>1511.84</v>
      </c>
      <c r="EX23" s="1465">
        <f>+'TABLA FINAL  NO'!FL92</f>
        <v>1445.03</v>
      </c>
      <c r="EY23" s="1465">
        <f>+'TABLA FINAL  NO'!FM92</f>
        <v>1462.41</v>
      </c>
      <c r="EZ23" s="1465">
        <f>+'TABLA FINAL  NO'!FN92</f>
        <v>1480.48</v>
      </c>
      <c r="FA23" s="1465">
        <f>+'TABLA FINAL  NO'!FO92</f>
        <v>1483.26</v>
      </c>
      <c r="FB23" s="1465">
        <f>+'TABLA FINAL  NO'!FP92</f>
        <v>1505.43</v>
      </c>
      <c r="FC23" s="1465">
        <f>+'TABLA FINAL  NO'!FQ92</f>
        <v>1535.69</v>
      </c>
      <c r="FD23" s="1465">
        <f>+'TABLA FINAL  NO'!FR92</f>
        <v>1553.18</v>
      </c>
      <c r="FE23" s="1465">
        <f>+'TABLA FINAL  NO'!FS92</f>
        <v>1574.35</v>
      </c>
      <c r="FF23" s="1465">
        <f>+'TABLA FINAL  NO'!FT92</f>
        <v>1577.45</v>
      </c>
      <c r="FG23" s="1465">
        <f>+'TABLA FINAL  NO'!FU92</f>
        <v>1577.54</v>
      </c>
      <c r="FH23" s="1465" t="e">
        <f>+#REF!</f>
        <v>#REF!</v>
      </c>
      <c r="FI23" s="1465" t="e">
        <f>+#REF!</f>
        <v>#REF!</v>
      </c>
      <c r="FJ23" s="1465">
        <f>+'Insumos testigos '!FY91</f>
        <v>100</v>
      </c>
      <c r="FK23" s="1465">
        <f>+'Insumos testigos '!FZ91</f>
        <v>100</v>
      </c>
      <c r="FL23" s="1465">
        <f>+'Insumos testigos '!GA91</f>
        <v>106.23167753219604</v>
      </c>
      <c r="FM23" s="1465">
        <f>+'Insumos testigos '!GB91</f>
        <v>112.68328986332534</v>
      </c>
      <c r="FN23" s="1465">
        <f>+'Insumos testigos '!GC91</f>
        <v>123.90029444471372</v>
      </c>
      <c r="FO23" s="1465">
        <f>+'Insumos testigos '!GD91</f>
        <v>123.90029444471372</v>
      </c>
      <c r="FP23" s="1465">
        <f>+'Insumos testigos '!GE91</f>
        <v>123.90029444471372</v>
      </c>
      <c r="FQ23" s="1465">
        <f>+'Insumos testigos '!GF91</f>
        <v>123.90029444471372</v>
      </c>
      <c r="FR23" s="1465">
        <f>+'Insumos testigos '!GG91</f>
        <v>123.90029444471372</v>
      </c>
      <c r="FS23" s="1465">
        <f>+'Insumos testigos '!GH91</f>
        <v>123.90029444471372</v>
      </c>
      <c r="FT23" s="1465">
        <f>+'Insumos testigos '!GI91</f>
        <v>123.90029444471372</v>
      </c>
      <c r="FU23" s="1465">
        <f>+'Insumos testigos '!GJ91</f>
        <v>123.90029444471372</v>
      </c>
      <c r="FV23" s="1465">
        <f>+'Insumos testigos '!GK91</f>
        <v>127.19941025375421</v>
      </c>
      <c r="FW23" s="1465">
        <f>+'Insumos testigos '!GL91</f>
        <v>133.79765160386373</v>
      </c>
      <c r="FX23" s="1465">
        <f>+'Insumos testigos '!GM91</f>
        <v>133.79765160386373</v>
      </c>
      <c r="FY23" s="1465">
        <f>+'Insumos testigos '!GN91</f>
        <v>133.79765160386373</v>
      </c>
      <c r="FZ23" s="1465">
        <f>+'Insumos testigos '!GO91</f>
        <v>130.35190201548548</v>
      </c>
      <c r="GA23" s="1465">
        <f>+'Insumos testigos '!GP91</f>
        <v>130.35190201548548</v>
      </c>
      <c r="GB23" s="1465">
        <f>+'Insumos testigos '!GQ91</f>
        <v>138.19647280564155</v>
      </c>
      <c r="GC23" s="1465">
        <f>+'Insumos testigos '!GR91</f>
        <v>138.19647280564155</v>
      </c>
      <c r="GD23" s="1465">
        <f>+'Insumos testigos '!GS91</f>
        <v>138.19647280564155</v>
      </c>
      <c r="GE23" s="1465">
        <f>+'Insumos testigos '!GT91</f>
        <v>142.52198236531129</v>
      </c>
      <c r="GF23" s="1465">
        <f>+'Insumos testigos '!GU91</f>
        <v>151.17300713493708</v>
      </c>
      <c r="GG23" s="1465">
        <f>+'Insumos testigos '!GV91</f>
        <v>160.28835989488687</v>
      </c>
      <c r="GH23" s="1465">
        <f>+'Insumos testigos '!GW91</f>
        <v>160.28835989488687</v>
      </c>
      <c r="GI23" s="1465">
        <f>+'Insumos testigos '!GX91</f>
        <v>179.44769798011433</v>
      </c>
      <c r="GJ23" s="1465">
        <f>+'Insumos testigos '!GY91</f>
        <v>179.44769798011433</v>
      </c>
      <c r="GK23" s="1465">
        <f>+'Insumos testigos '!GZ91</f>
        <v>183.85092862447544</v>
      </c>
      <c r="GL23" s="1465">
        <f>+'Insumos testigos '!HA91</f>
        <v>183.85092862447544</v>
      </c>
      <c r="GM23" s="1465">
        <f>+'Insumos testigos '!HB91</f>
        <v>181.94259436243931</v>
      </c>
      <c r="GN23" s="1465">
        <f>+'Insumos testigos '!HC91</f>
        <v>200.49050131560125</v>
      </c>
      <c r="GO23" s="1465">
        <f>+'Insumos testigos '!HD91</f>
        <v>213.26472286434279</v>
      </c>
      <c r="GP23" s="1465">
        <f>+'Insumos testigos '!HE91</f>
        <v>240.25660318625958</v>
      </c>
      <c r="GQ23" s="1465">
        <f>+'Insumos testigos '!HF91</f>
        <v>261.83567328319305</v>
      </c>
      <c r="GR23" s="1465">
        <f>+'Insumos testigos '!HG91</f>
        <v>270.3518280371668</v>
      </c>
      <c r="GS23" s="1465">
        <f>+'Insumos testigos '!HH91</f>
        <v>278.47076528530908</v>
      </c>
      <c r="GT23" s="1465">
        <f>+'Insumos testigos '!HI91</f>
        <v>268.00926123095763</v>
      </c>
      <c r="GU23" s="1465">
        <f>+'Insumos testigos '!HJ91</f>
        <v>291.23060375396875</v>
      </c>
      <c r="GV23" s="1465">
        <f>+'Insumos testigos '!HK91</f>
        <v>290.02776608919987</v>
      </c>
      <c r="GW23" s="1465">
        <f>+'Insumos testigos '!HL91</f>
        <v>304.13238791928524</v>
      </c>
      <c r="GX23" s="1465">
        <f>+'Insumos testigos '!HM91</f>
        <v>317.75751889806918</v>
      </c>
      <c r="GY23" s="1465">
        <f>+'Insumos testigos '!HN91</f>
        <v>322.33322717020138</v>
      </c>
      <c r="GZ23" s="1465">
        <f>+'Insumos testigos '!HO91</f>
        <v>328.0959875135074</v>
      </c>
      <c r="HA23" s="1465">
        <f>+'Insumos testigos '!HP91</f>
        <v>328.00943768167269</v>
      </c>
      <c r="HB23" s="1465">
        <f>+'Insumos testigos '!HQ91</f>
        <v>341.56467053487893</v>
      </c>
      <c r="HC23" s="1465">
        <f>+'Insumos testigos '!HR91</f>
        <v>341.42142680640973</v>
      </c>
      <c r="HD23" s="1465">
        <f>+'Insumos testigos '!HS91</f>
        <v>377.84777040392208</v>
      </c>
      <c r="HE23" s="1465">
        <f>+'Insumos testigos '!HT91</f>
        <v>402.68392811643059</v>
      </c>
      <c r="HF23" s="1465">
        <f>+'Insumos testigos '!HU91</f>
        <v>402.68392811643059</v>
      </c>
      <c r="HG23" s="1465">
        <f>+'Insumos testigos '!HV91</f>
        <v>402.68392811643059</v>
      </c>
      <c r="HH23" s="1465">
        <f>+'Insumos testigos '!HW91</f>
        <v>402.39469563080206</v>
      </c>
      <c r="HI23" s="1465">
        <f>+'Insumos testigos '!HX91</f>
        <v>402.39469563080206</v>
      </c>
      <c r="HJ23" s="1465">
        <f>+'Insumos testigos '!HY91</f>
        <v>402.68413615993768</v>
      </c>
      <c r="HK23" s="1465">
        <f>+'Insumos testigos '!HZ91</f>
        <v>402.2020817681738</v>
      </c>
      <c r="HL23" s="1465">
        <f>+'Insumos testigos '!IA91</f>
        <v>402.2020817681738</v>
      </c>
      <c r="HM23" s="1465">
        <f>+'Insumos testigos '!IB91</f>
        <v>413.77922959636226</v>
      </c>
      <c r="HN23" s="1465">
        <f>+'Insumos testigos '!IC91</f>
        <v>431.99998986525816</v>
      </c>
      <c r="HO23" s="1465">
        <f>+'Insumos testigos '!ID91</f>
        <v>448.1910950205471</v>
      </c>
      <c r="HP23" s="1465">
        <f>+'Insumos testigos '!IE91</f>
        <v>453.48758729160573</v>
      </c>
      <c r="HQ23" s="1465">
        <f>+'Insumos testigos '!IF91</f>
        <v>484.92436468607491</v>
      </c>
      <c r="HR23" s="1465">
        <f>+'Insumos testigos '!IG91</f>
        <v>502.18767206889919</v>
      </c>
      <c r="HS23" s="1465">
        <f>+'Insumos testigos '!IH91</f>
        <v>551.98291365290049</v>
      </c>
      <c r="HT23" s="1465">
        <f>+'Insumos testigos '!II91</f>
        <v>623.06823285988332</v>
      </c>
      <c r="HU23" s="1465">
        <f>+'Insumos testigos '!IJ91</f>
        <v>662.09916262581726</v>
      </c>
      <c r="HV23" s="1465">
        <f>+'Insumos testigos '!IK91</f>
        <v>720.40269483344252</v>
      </c>
      <c r="HW23" s="1465">
        <f>+'Insumos testigos '!IL91</f>
        <v>720.86183262547115</v>
      </c>
      <c r="HX23" s="1465">
        <f>+'Insumos testigos '!IM91</f>
        <v>720.86183262547115</v>
      </c>
      <c r="HY23" s="1465">
        <f>+'Insumos testigos '!IN91</f>
        <v>736.56229420270438</v>
      </c>
      <c r="HZ23" s="1465">
        <f>+'Insumos testigos '!IO91</f>
        <v>721.35964845036062</v>
      </c>
      <c r="IA23" s="1465">
        <f>+'Insumos testigos '!IP91</f>
        <v>721.51995059446062</v>
      </c>
      <c r="IB23" s="1465">
        <f>+'Insumos testigos '!IQ91</f>
        <v>721.51995059446062</v>
      </c>
      <c r="IC23" s="1465">
        <f>+'Insumos testigos '!IR91</f>
        <v>720.19703172648394</v>
      </c>
      <c r="ID23" s="1465">
        <f>+'Insumos testigos '!IS91</f>
        <v>722.47873196716534</v>
      </c>
      <c r="IE23" s="1465">
        <f>+'Insumos testigos '!IT91</f>
        <v>787.80211540954565</v>
      </c>
      <c r="IF23" s="1465">
        <f>+'Insumos testigos '!IU91</f>
        <v>876.54486341404106</v>
      </c>
      <c r="IG23" s="1465">
        <f>+'Insumos testigos '!IV91</f>
        <v>904.00465949773832</v>
      </c>
      <c r="IH23" s="1465">
        <f>+'Insumos testigos '!IW91</f>
        <v>1015.7322678977031</v>
      </c>
      <c r="II23" s="1465">
        <f>+'Insumos testigos '!IX91</f>
        <v>1152.2249070713278</v>
      </c>
      <c r="IJ23" s="1465">
        <f>+'Insumos testigos '!IY91</f>
        <v>1190.6598575097328</v>
      </c>
      <c r="IK23" s="1465">
        <f>+'Insumos testigos '!IZ91</f>
        <v>1228.9559347980576</v>
      </c>
      <c r="IL23" s="1465">
        <f>+'Insumos testigos '!JA91</f>
        <v>1228.9559347980576</v>
      </c>
      <c r="IM23" s="1465">
        <f>+'Insumos testigos '!JB91</f>
        <v>1317.4690357507548</v>
      </c>
      <c r="IN23" s="1881">
        <f>+'Insumos testigos '!JC91</f>
        <v>1579.1508115437905</v>
      </c>
      <c r="IO23" s="1465">
        <f>+'Insumos testigos '!JD91</f>
        <v>1745.1440670231789</v>
      </c>
      <c r="IP23" s="2477">
        <f>+'Insumos testigos '!JE91</f>
        <v>1775.2633047281477</v>
      </c>
      <c r="IQ23" s="2477">
        <f>+'Insumos testigos '!JF91</f>
        <v>1934.1216942843548</v>
      </c>
    </row>
    <row r="24" spans="3:251" ht="8.25" customHeight="1">
      <c r="C24" s="372"/>
      <c r="D24" s="379"/>
      <c r="E24" s="426"/>
      <c r="F24" s="1796"/>
      <c r="G24" s="538"/>
      <c r="H24" s="538"/>
      <c r="I24" s="538"/>
      <c r="J24" s="538"/>
      <c r="K24" s="538"/>
      <c r="L24" s="538"/>
      <c r="M24" s="1800"/>
      <c r="N24" s="1800"/>
      <c r="O24" s="1800"/>
      <c r="P24" s="1800"/>
      <c r="Q24" s="1800"/>
      <c r="R24" s="1800"/>
      <c r="S24" s="1800"/>
      <c r="T24" s="1800"/>
      <c r="U24" s="538"/>
      <c r="V24" s="1800"/>
      <c r="W24" s="538"/>
      <c r="X24" s="538"/>
      <c r="Y24" s="1800"/>
      <c r="Z24" s="538"/>
      <c r="AA24" s="538"/>
      <c r="AB24" s="538"/>
      <c r="AC24" s="538"/>
      <c r="AD24" s="538"/>
      <c r="AE24" s="538"/>
      <c r="AF24" s="538"/>
      <c r="AG24" s="538"/>
      <c r="AH24" s="538"/>
      <c r="AI24" s="538"/>
      <c r="AJ24" s="538"/>
      <c r="AK24" s="538"/>
      <c r="AL24" s="538"/>
      <c r="AM24" s="538"/>
      <c r="AN24" s="538"/>
      <c r="AO24" s="538"/>
      <c r="AP24" s="538"/>
      <c r="AQ24" s="538"/>
      <c r="AR24" s="538"/>
      <c r="AS24" s="538"/>
      <c r="AT24" s="538"/>
      <c r="AU24" s="538"/>
      <c r="AV24" s="538"/>
      <c r="AW24" s="538"/>
      <c r="AX24" s="538"/>
      <c r="AY24" s="538"/>
      <c r="AZ24" s="538"/>
      <c r="BA24" s="538"/>
      <c r="BB24" s="538"/>
      <c r="BC24" s="538"/>
      <c r="BD24" s="538"/>
      <c r="BE24" s="538"/>
      <c r="BF24" s="538"/>
      <c r="BG24" s="538"/>
      <c r="BH24" s="538"/>
      <c r="BI24" s="538"/>
      <c r="BJ24" s="538"/>
      <c r="BK24" s="538"/>
      <c r="BL24" s="538"/>
      <c r="BM24" s="538"/>
      <c r="BN24" s="538"/>
      <c r="BO24" s="538"/>
      <c r="BP24" s="538"/>
      <c r="BQ24" s="538"/>
      <c r="BR24" s="538"/>
      <c r="BS24" s="538"/>
      <c r="BT24" s="538"/>
      <c r="BU24" s="538"/>
      <c r="BV24" s="538"/>
      <c r="BW24" s="538"/>
      <c r="BX24" s="538"/>
      <c r="BY24" s="538"/>
      <c r="BZ24" s="538"/>
      <c r="CA24" s="538"/>
      <c r="CB24" s="538"/>
      <c r="CC24" s="538"/>
      <c r="CD24" s="538"/>
      <c r="CE24" s="538"/>
      <c r="CF24" s="538"/>
      <c r="CG24" s="538"/>
      <c r="CH24" s="538"/>
      <c r="CI24" s="538"/>
      <c r="CJ24" s="538"/>
      <c r="CK24" s="538"/>
      <c r="CL24" s="538"/>
      <c r="CM24" s="538"/>
      <c r="CN24" s="538"/>
      <c r="CO24" s="538"/>
      <c r="CP24" s="538"/>
      <c r="CQ24" s="538"/>
      <c r="CR24" s="538"/>
      <c r="CS24" s="538"/>
      <c r="CT24" s="538"/>
      <c r="CU24" s="538"/>
      <c r="CV24" s="538"/>
      <c r="CW24" s="538"/>
      <c r="CX24" s="1468"/>
      <c r="CY24" s="1468"/>
      <c r="CZ24" s="1468"/>
      <c r="DA24" s="1801"/>
      <c r="DB24" s="1801"/>
      <c r="DC24" s="1801"/>
      <c r="DD24" s="1801"/>
      <c r="DE24" s="1801"/>
      <c r="DF24" s="1801"/>
      <c r="DG24" s="1801"/>
      <c r="DH24" s="1801"/>
      <c r="DI24" s="1801"/>
      <c r="DJ24" s="1801"/>
      <c r="DK24" s="1801"/>
      <c r="DL24" s="1801"/>
      <c r="DM24" s="1801"/>
      <c r="DN24" s="1801"/>
      <c r="DO24" s="1801"/>
      <c r="DP24" s="1801"/>
      <c r="DQ24" s="1801"/>
      <c r="DR24" s="1801"/>
      <c r="DS24" s="1801"/>
      <c r="DT24" s="1801"/>
      <c r="DU24" s="1801"/>
      <c r="DV24" s="1801"/>
      <c r="DW24" s="1801"/>
      <c r="DX24" s="1801"/>
      <c r="DY24" s="1801"/>
      <c r="DZ24" s="1801"/>
      <c r="EA24" s="1801"/>
      <c r="EB24" s="1801"/>
      <c r="EC24" s="1801"/>
      <c r="ED24" s="1801"/>
      <c r="EE24" s="1801"/>
      <c r="EF24" s="1801"/>
      <c r="EG24" s="1801"/>
      <c r="EH24" s="1801"/>
      <c r="EI24" s="1801"/>
      <c r="EJ24" s="1801"/>
      <c r="EK24" s="1801"/>
      <c r="EL24" s="1802"/>
      <c r="EM24" s="1802"/>
      <c r="EN24" s="1802"/>
      <c r="EO24" s="1802"/>
      <c r="EP24" s="1802"/>
      <c r="EQ24" s="1802"/>
      <c r="ER24" s="1802"/>
      <c r="ES24" s="963"/>
      <c r="ET24" s="963"/>
      <c r="EU24" s="963"/>
      <c r="EV24" s="963"/>
      <c r="EW24" s="963"/>
      <c r="EX24" s="963"/>
      <c r="EY24" s="963"/>
      <c r="EZ24" s="963"/>
      <c r="FA24" s="963"/>
      <c r="FB24" s="963"/>
      <c r="FC24" s="963"/>
      <c r="FD24" s="963"/>
      <c r="FE24" s="963"/>
      <c r="FF24" s="963"/>
      <c r="FG24" s="963"/>
      <c r="FH24" s="963"/>
      <c r="FI24" s="963"/>
      <c r="FJ24" s="963"/>
      <c r="FK24" s="963"/>
      <c r="FL24" s="963"/>
      <c r="FM24" s="963"/>
      <c r="FN24" s="963"/>
      <c r="FO24" s="963"/>
      <c r="FP24" s="963"/>
      <c r="FQ24" s="963"/>
      <c r="FR24" s="963"/>
      <c r="FS24" s="963"/>
      <c r="FT24" s="963"/>
      <c r="FU24" s="963"/>
      <c r="FV24" s="963"/>
      <c r="FW24" s="963"/>
      <c r="FX24" s="963"/>
      <c r="FY24" s="963"/>
      <c r="FZ24" s="963"/>
      <c r="GA24" s="963"/>
      <c r="GB24" s="963"/>
      <c r="GC24" s="963"/>
      <c r="GD24" s="963"/>
      <c r="GE24" s="963"/>
      <c r="GF24" s="963"/>
      <c r="GG24" s="963"/>
      <c r="GH24" s="963"/>
      <c r="GI24" s="963"/>
      <c r="GJ24" s="963"/>
      <c r="GK24" s="963"/>
      <c r="GL24" s="963"/>
      <c r="GM24" s="963"/>
      <c r="GN24" s="963"/>
      <c r="GO24" s="963"/>
      <c r="GP24" s="963"/>
      <c r="GQ24" s="963"/>
      <c r="GR24" s="963"/>
      <c r="GS24" s="963"/>
      <c r="GT24" s="963"/>
      <c r="GU24" s="963"/>
      <c r="GV24" s="963"/>
      <c r="GW24" s="963"/>
      <c r="GX24" s="963"/>
      <c r="GY24" s="963"/>
      <c r="GZ24" s="963"/>
      <c r="HA24" s="963"/>
      <c r="HB24" s="963"/>
      <c r="HC24" s="963"/>
      <c r="HD24" s="963"/>
      <c r="HE24" s="1791"/>
      <c r="HF24" s="1880"/>
      <c r="HG24" s="1880"/>
      <c r="HH24" s="1880"/>
      <c r="HI24" s="1880"/>
      <c r="HJ24" s="1880"/>
      <c r="HK24" s="1880"/>
      <c r="HL24" s="1880"/>
      <c r="HM24" s="1880"/>
      <c r="HN24" s="1880"/>
      <c r="HO24" s="1880"/>
      <c r="HP24" s="1880"/>
      <c r="HQ24" s="1791"/>
      <c r="HR24" s="975"/>
      <c r="HS24" s="1880"/>
      <c r="HT24" s="963"/>
      <c r="HU24" s="1880"/>
      <c r="HV24" s="1880"/>
      <c r="HW24" s="1880"/>
      <c r="HX24" s="1880"/>
      <c r="HY24" s="963"/>
      <c r="HZ24" s="1880"/>
      <c r="IA24" s="1880"/>
      <c r="IB24" s="1880"/>
      <c r="IC24" s="1880"/>
      <c r="ID24" s="963"/>
      <c r="IE24" s="1880"/>
      <c r="IF24" s="963"/>
      <c r="IG24" s="1880"/>
      <c r="IH24" s="1880"/>
      <c r="II24" s="1880"/>
      <c r="IJ24" s="963"/>
      <c r="IK24" s="1880"/>
      <c r="IL24" s="963"/>
      <c r="IM24" s="1880"/>
      <c r="IN24" s="1880"/>
      <c r="IO24" s="963"/>
      <c r="IP24" s="2476"/>
      <c r="IQ24" s="2476"/>
    </row>
    <row r="25" spans="3:251">
      <c r="C25" s="2624" t="s">
        <v>675</v>
      </c>
      <c r="D25" s="2662" t="s">
        <v>676</v>
      </c>
      <c r="E25" s="2663"/>
      <c r="F25" s="1803">
        <f>+F20/$F$20</f>
        <v>1</v>
      </c>
      <c r="G25" s="1466">
        <f>+G20/$F$20</f>
        <v>2.0981000000000001</v>
      </c>
      <c r="H25" s="1466">
        <f>+H20/$F$20</f>
        <v>2.0992999999999999</v>
      </c>
      <c r="I25" s="1466">
        <f>+I20/$F$20</f>
        <v>2.1093000000000002</v>
      </c>
      <c r="J25" s="1466">
        <f>+J20/$F$20</f>
        <v>2.0495999999999999</v>
      </c>
      <c r="K25" s="1466">
        <f t="shared" ref="K25:AB25" si="0">ROUND((+K20/$F$20),3)</f>
        <v>2.0329999999999999</v>
      </c>
      <c r="L25" s="1466">
        <f t="shared" si="0"/>
        <v>2.0219999999999998</v>
      </c>
      <c r="M25" s="1466">
        <f t="shared" si="0"/>
        <v>2.0049999999999999</v>
      </c>
      <c r="N25" s="1466">
        <f t="shared" si="0"/>
        <v>1.9850000000000001</v>
      </c>
      <c r="O25" s="1466">
        <f t="shared" si="0"/>
        <v>1.996</v>
      </c>
      <c r="P25" s="1466">
        <f t="shared" si="0"/>
        <v>2.0099999999999998</v>
      </c>
      <c r="Q25" s="1466">
        <f t="shared" si="0"/>
        <v>2.0339999999999998</v>
      </c>
      <c r="R25" s="1466">
        <f t="shared" si="0"/>
        <v>2.0209999999999999</v>
      </c>
      <c r="S25" s="1466">
        <f t="shared" si="0"/>
        <v>2.0169999999999999</v>
      </c>
      <c r="T25" s="1466">
        <f t="shared" si="0"/>
        <v>2.0219999999999998</v>
      </c>
      <c r="U25" s="1466">
        <f t="shared" si="0"/>
        <v>2.0640000000000001</v>
      </c>
      <c r="V25" s="1466">
        <f t="shared" si="0"/>
        <v>2.0779999999999998</v>
      </c>
      <c r="W25" s="1466">
        <f t="shared" si="0"/>
        <v>2.1219999999999999</v>
      </c>
      <c r="X25" s="1466">
        <f t="shared" si="0"/>
        <v>2.177</v>
      </c>
      <c r="Y25" s="1466">
        <f t="shared" si="0"/>
        <v>2.19</v>
      </c>
      <c r="Z25" s="1466">
        <f t="shared" si="0"/>
        <v>2.2490000000000001</v>
      </c>
      <c r="AA25" s="1466">
        <f t="shared" si="0"/>
        <v>2.2719999999999998</v>
      </c>
      <c r="AB25" s="1466">
        <f t="shared" si="0"/>
        <v>2.2770000000000001</v>
      </c>
      <c r="AC25" s="1466">
        <f t="shared" ref="AC25:AH25" si="1">ROUND((+AC20/$F$20),3)</f>
        <v>2.306</v>
      </c>
      <c r="AD25" s="1466">
        <f t="shared" si="1"/>
        <v>2.3109999999999999</v>
      </c>
      <c r="AE25" s="1466">
        <f t="shared" si="1"/>
        <v>2.3170000000000002</v>
      </c>
      <c r="AF25" s="1466">
        <f t="shared" si="1"/>
        <v>2.3180000000000001</v>
      </c>
      <c r="AG25" s="1466">
        <f t="shared" si="1"/>
        <v>2.343</v>
      </c>
      <c r="AH25" s="1466">
        <f t="shared" si="1"/>
        <v>2.109</v>
      </c>
      <c r="AI25" s="1466">
        <f t="shared" ref="AI25:AN25" si="2">ROUND((+AI20/$F$20),3)</f>
        <v>2.448</v>
      </c>
      <c r="AJ25" s="1466">
        <f t="shared" si="2"/>
        <v>2.4590000000000001</v>
      </c>
      <c r="AK25" s="1466">
        <f t="shared" si="2"/>
        <v>2.4569999999999999</v>
      </c>
      <c r="AL25" s="1466">
        <f t="shared" si="2"/>
        <v>2.4670000000000001</v>
      </c>
      <c r="AM25" s="1466">
        <f t="shared" si="2"/>
        <v>2.472</v>
      </c>
      <c r="AN25" s="1466">
        <f t="shared" si="2"/>
        <v>2.488</v>
      </c>
      <c r="AO25" s="1466">
        <f t="shared" ref="AO25:AT25" si="3">ROUND((+AO20/$F$20),3)</f>
        <v>2.508</v>
      </c>
      <c r="AP25" s="1466">
        <f t="shared" si="3"/>
        <v>2.5510000000000002</v>
      </c>
      <c r="AQ25" s="1466">
        <f t="shared" si="3"/>
        <v>2.5720000000000001</v>
      </c>
      <c r="AR25" s="1466">
        <f t="shared" si="3"/>
        <v>2.5779999999999998</v>
      </c>
      <c r="AS25" s="1466">
        <f t="shared" si="3"/>
        <v>2.6190000000000002</v>
      </c>
      <c r="AT25" s="1466">
        <f t="shared" si="3"/>
        <v>2.6419999999999999</v>
      </c>
      <c r="AU25" s="1466">
        <f t="shared" ref="AU25:AZ25" si="4">ROUND((+AU20/$F$20),3)</f>
        <v>2.661</v>
      </c>
      <c r="AV25" s="1466">
        <f t="shared" si="4"/>
        <v>2.6859999999999999</v>
      </c>
      <c r="AW25" s="1466">
        <f t="shared" si="4"/>
        <v>2.6920000000000002</v>
      </c>
      <c r="AX25" s="1466">
        <f t="shared" si="4"/>
        <v>2.6989999999999998</v>
      </c>
      <c r="AY25" s="1466">
        <f t="shared" si="4"/>
        <v>2.7349999999999999</v>
      </c>
      <c r="AZ25" s="1466">
        <f t="shared" si="4"/>
        <v>2.7789999999999999</v>
      </c>
      <c r="BA25" s="1466">
        <f t="shared" ref="BA25:BF25" si="5">ROUND((+BA20/$F$20),3)</f>
        <v>2.8119999999999998</v>
      </c>
      <c r="BB25" s="1466">
        <f t="shared" si="5"/>
        <v>2.8330000000000002</v>
      </c>
      <c r="BC25" s="1466">
        <f t="shared" si="5"/>
        <v>2.8519999999999999</v>
      </c>
      <c r="BD25" s="1466">
        <f t="shared" si="5"/>
        <v>2.8439999999999999</v>
      </c>
      <c r="BE25" s="1466">
        <f t="shared" si="5"/>
        <v>2.8570000000000002</v>
      </c>
      <c r="BF25" s="1466">
        <f t="shared" si="5"/>
        <v>2.859</v>
      </c>
      <c r="BG25" s="1466">
        <f t="shared" ref="BG25:BL25" si="6">ROUND((+BG20/$F$20),3)</f>
        <v>2.8849999999999998</v>
      </c>
      <c r="BH25" s="1466">
        <f t="shared" si="6"/>
        <v>2.8940000000000001</v>
      </c>
      <c r="BI25" s="1466">
        <f t="shared" si="6"/>
        <v>2.9260000000000002</v>
      </c>
      <c r="BJ25" s="1466">
        <f t="shared" si="6"/>
        <v>2.9620000000000002</v>
      </c>
      <c r="BK25" s="1466">
        <f t="shared" si="6"/>
        <v>2.9830000000000001</v>
      </c>
      <c r="BL25" s="1466">
        <f t="shared" si="6"/>
        <v>3.016</v>
      </c>
      <c r="BM25" s="1466">
        <f t="shared" ref="BM25:BS25" si="7">ROUND((+BM20/$F$20),3)</f>
        <v>3.093</v>
      </c>
      <c r="BN25" s="1466">
        <f t="shared" si="7"/>
        <v>3.12</v>
      </c>
      <c r="BO25" s="1466">
        <f t="shared" si="7"/>
        <v>3.1619999999999999</v>
      </c>
      <c r="BP25" s="1466">
        <f t="shared" si="7"/>
        <v>3.2010000000000001</v>
      </c>
      <c r="BQ25" s="1466">
        <f t="shared" si="7"/>
        <v>3.2440000000000002</v>
      </c>
      <c r="BR25" s="1466">
        <f t="shared" si="7"/>
        <v>3.343</v>
      </c>
      <c r="BS25" s="1466">
        <f t="shared" si="7"/>
        <v>3.3530000000000002</v>
      </c>
      <c r="BT25" s="1466">
        <f t="shared" ref="BT25:BY25" si="8">ROUND((+BT20/$F$20),3)</f>
        <v>3.4140000000000001</v>
      </c>
      <c r="BU25" s="1466">
        <f t="shared" si="8"/>
        <v>3.456</v>
      </c>
      <c r="BV25" s="1466">
        <f t="shared" si="8"/>
        <v>3.4870000000000001</v>
      </c>
      <c r="BW25" s="1466">
        <f t="shared" si="8"/>
        <v>3.5390000000000001</v>
      </c>
      <c r="BX25" s="1466">
        <f t="shared" si="8"/>
        <v>3.59</v>
      </c>
      <c r="BY25" s="1466">
        <f t="shared" si="8"/>
        <v>3.6419999999999999</v>
      </c>
      <c r="BZ25" s="1466">
        <f t="shared" ref="BZ25:CE25" si="9">ROUND((+BZ20/$F$20),3)</f>
        <v>3.694</v>
      </c>
      <c r="CA25" s="1466">
        <f t="shared" si="9"/>
        <v>3.7370000000000001</v>
      </c>
      <c r="CB25" s="1466">
        <f t="shared" si="9"/>
        <v>3.7919999999999998</v>
      </c>
      <c r="CC25" s="1466">
        <f t="shared" si="9"/>
        <v>3.8149999999999999</v>
      </c>
      <c r="CD25" s="1466">
        <f t="shared" si="9"/>
        <v>3.8450000000000002</v>
      </c>
      <c r="CE25" s="1466">
        <f t="shared" si="9"/>
        <v>3.8580000000000001</v>
      </c>
      <c r="CF25" s="1466">
        <f t="shared" ref="CF25:CK25" si="10">ROUND((+CF20/$F$20),3)</f>
        <v>3.8860000000000001</v>
      </c>
      <c r="CG25" s="1466">
        <f t="shared" si="10"/>
        <v>3.907</v>
      </c>
      <c r="CH25" s="1466">
        <f t="shared" si="10"/>
        <v>3.9359999999999999</v>
      </c>
      <c r="CI25" s="1466">
        <f t="shared" si="10"/>
        <v>3.952</v>
      </c>
      <c r="CJ25" s="1466">
        <f t="shared" si="10"/>
        <v>3.9769999999999999</v>
      </c>
      <c r="CK25" s="1466">
        <f t="shared" si="10"/>
        <v>4.0449999999999999</v>
      </c>
      <c r="CL25" s="1466">
        <f t="shared" ref="CL25:CQ25" si="11">ROUND((+CL20/$F$20),3)</f>
        <v>4.08</v>
      </c>
      <c r="CM25" s="1466">
        <f t="shared" si="11"/>
        <v>4.0960000000000001</v>
      </c>
      <c r="CN25" s="1466">
        <f t="shared" si="11"/>
        <v>4.1180000000000003</v>
      </c>
      <c r="CO25" s="1466">
        <f t="shared" si="11"/>
        <v>4.1289999999999996</v>
      </c>
      <c r="CP25" s="1466">
        <f t="shared" si="11"/>
        <v>4.1369999999999996</v>
      </c>
      <c r="CQ25" s="1466">
        <f t="shared" si="11"/>
        <v>4.21</v>
      </c>
      <c r="CR25" s="1466">
        <f t="shared" ref="CR25:CW25" si="12">ROUND((+CR20/$F$20),3)</f>
        <v>4.2960000000000003</v>
      </c>
      <c r="CS25" s="1466">
        <f t="shared" si="12"/>
        <v>4.3810000000000002</v>
      </c>
      <c r="CT25" s="1466">
        <f t="shared" si="12"/>
        <v>4.423</v>
      </c>
      <c r="CU25" s="1466">
        <f t="shared" si="12"/>
        <v>4.4740000000000002</v>
      </c>
      <c r="CV25" s="1466">
        <f t="shared" si="12"/>
        <v>4.5389999999999997</v>
      </c>
      <c r="CW25" s="1466">
        <f t="shared" si="12"/>
        <v>4.601</v>
      </c>
      <c r="CX25" s="1467">
        <f t="shared" ref="CX25:DC25" si="13">ROUND((+CX20/$F$20),3)</f>
        <v>4.6520000000000001</v>
      </c>
      <c r="CY25" s="1467">
        <f t="shared" si="13"/>
        <v>4.7060000000000004</v>
      </c>
      <c r="CZ25" s="1467">
        <f t="shared" si="13"/>
        <v>4.8040000000000003</v>
      </c>
      <c r="DA25" s="1467">
        <f t="shared" si="13"/>
        <v>4.8970000000000002</v>
      </c>
      <c r="DB25" s="1467">
        <f t="shared" si="13"/>
        <v>4.9290000000000003</v>
      </c>
      <c r="DC25" s="1467">
        <f t="shared" si="13"/>
        <v>4.968</v>
      </c>
      <c r="DD25" s="1467">
        <f t="shared" ref="DD25:DI25" si="14">ROUND((+DD20/$F$20),3)</f>
        <v>5.0599999999999996</v>
      </c>
      <c r="DE25" s="1467">
        <f t="shared" si="14"/>
        <v>5.1859999999999999</v>
      </c>
      <c r="DF25" s="1467">
        <f t="shared" si="14"/>
        <v>5.234</v>
      </c>
      <c r="DG25" s="1467">
        <f t="shared" si="14"/>
        <v>5.3630000000000004</v>
      </c>
      <c r="DH25" s="1467">
        <f t="shared" si="14"/>
        <v>5.5609999999999999</v>
      </c>
      <c r="DI25" s="1467">
        <f t="shared" si="14"/>
        <v>5.5990000000000002</v>
      </c>
      <c r="DJ25" s="1467">
        <f t="shared" ref="DJ25:DO25" si="15">ROUND((+DJ20/$F$20),3)</f>
        <v>5.6909999999999998</v>
      </c>
      <c r="DK25" s="1467">
        <f t="shared" si="15"/>
        <v>5.8010000000000002</v>
      </c>
      <c r="DL25" s="1467">
        <f t="shared" si="15"/>
        <v>5.8810000000000002</v>
      </c>
      <c r="DM25" s="1467">
        <f t="shared" si="15"/>
        <v>5.9429999999999996</v>
      </c>
      <c r="DN25" s="1467">
        <f t="shared" si="15"/>
        <v>5.9480000000000004</v>
      </c>
      <c r="DO25" s="1467">
        <f t="shared" si="15"/>
        <v>6.0620000000000003</v>
      </c>
      <c r="DP25" s="1467">
        <f t="shared" ref="DP25:DU25" si="16">ROUND((+DP20/$F$20),3)</f>
        <v>6.1760000000000002</v>
      </c>
      <c r="DQ25" s="1467">
        <f t="shared" si="16"/>
        <v>6.2249999999999996</v>
      </c>
      <c r="DR25" s="1467">
        <f t="shared" si="16"/>
        <v>6.2770000000000001</v>
      </c>
      <c r="DS25" s="1467">
        <f t="shared" si="16"/>
        <v>6.3209999999999997</v>
      </c>
      <c r="DT25" s="1467">
        <f t="shared" si="16"/>
        <v>6.4219999999999997</v>
      </c>
      <c r="DU25" s="1467">
        <f t="shared" si="16"/>
        <v>6.49</v>
      </c>
      <c r="DV25" s="1467">
        <f t="shared" ref="DV25:EA25" si="17">ROUND((+DV20/$F$20),3)</f>
        <v>6.6310000000000002</v>
      </c>
      <c r="DW25" s="1467">
        <f t="shared" si="17"/>
        <v>6.6879999999999997</v>
      </c>
      <c r="DX25" s="1467">
        <f t="shared" si="17"/>
        <v>6.8040000000000003</v>
      </c>
      <c r="DY25" s="1467">
        <f t="shared" si="17"/>
        <v>6.87</v>
      </c>
      <c r="DZ25" s="1467">
        <f t="shared" si="17"/>
        <v>6.9859999999999998</v>
      </c>
      <c r="EA25" s="1467">
        <f t="shared" si="17"/>
        <v>7.08</v>
      </c>
      <c r="EB25" s="1467">
        <f t="shared" ref="EB25:EG25" si="18">ROUND((+EB20/$F$20),3)</f>
        <v>7.1660000000000004</v>
      </c>
      <c r="EC25" s="1467">
        <f t="shared" si="18"/>
        <v>7.2919999999999998</v>
      </c>
      <c r="ED25" s="1467">
        <f t="shared" si="18"/>
        <v>7.4059999999999997</v>
      </c>
      <c r="EE25" s="1467">
        <f t="shared" si="18"/>
        <v>7.5810000000000004</v>
      </c>
      <c r="EF25" s="1467">
        <f t="shared" si="18"/>
        <v>7.7350000000000003</v>
      </c>
      <c r="EG25" s="1467">
        <f t="shared" si="18"/>
        <v>7.8310000000000004</v>
      </c>
      <c r="EH25" s="1467">
        <f t="shared" ref="EH25:EM25" si="19">ROUND((+EH20/$F$20),3)</f>
        <v>7.984</v>
      </c>
      <c r="EI25" s="1467">
        <f t="shared" si="19"/>
        <v>8.0719999999999992</v>
      </c>
      <c r="EJ25" s="1467">
        <f t="shared" si="19"/>
        <v>8.1999999999999993</v>
      </c>
      <c r="EK25" s="1467">
        <f t="shared" si="19"/>
        <v>8.3140000000000001</v>
      </c>
      <c r="EL25" s="964">
        <f t="shared" si="19"/>
        <v>8.7159999999999993</v>
      </c>
      <c r="EM25" s="964">
        <f t="shared" si="19"/>
        <v>9.3000000000000007</v>
      </c>
      <c r="EN25" s="964">
        <f t="shared" ref="EN25:ES25" si="20">ROUND((+EN20/$F$20),3)</f>
        <v>9.6720000000000006</v>
      </c>
      <c r="EO25" s="964">
        <f t="shared" si="20"/>
        <v>9.9009999999999998</v>
      </c>
      <c r="EP25" s="964">
        <f t="shared" si="20"/>
        <v>10.084</v>
      </c>
      <c r="EQ25" s="964">
        <f t="shared" si="20"/>
        <v>10.263999999999999</v>
      </c>
      <c r="ER25" s="964">
        <f t="shared" si="20"/>
        <v>10.449</v>
      </c>
      <c r="ES25" s="964">
        <f t="shared" si="20"/>
        <v>10.538</v>
      </c>
      <c r="ET25" s="964">
        <f t="shared" ref="ET25:FB25" si="21">ROUND((+ET20/$F$20),3)</f>
        <v>10.625999999999999</v>
      </c>
      <c r="EU25" s="964">
        <f t="shared" si="21"/>
        <v>10.792999999999999</v>
      </c>
      <c r="EV25" s="964">
        <f t="shared" si="21"/>
        <v>10.884</v>
      </c>
      <c r="EW25" s="964">
        <f t="shared" si="21"/>
        <v>11.065</v>
      </c>
      <c r="EX25" s="964">
        <f t="shared" si="21"/>
        <v>11.211</v>
      </c>
      <c r="EY25" s="964">
        <f t="shared" si="21"/>
        <v>11.218999999999999</v>
      </c>
      <c r="EZ25" s="964">
        <f t="shared" si="21"/>
        <v>11.492000000000001</v>
      </c>
      <c r="FA25" s="964">
        <f t="shared" si="21"/>
        <v>11.624000000000001</v>
      </c>
      <c r="FB25" s="964">
        <f t="shared" si="21"/>
        <v>11.675000000000001</v>
      </c>
      <c r="FC25" s="964">
        <f t="shared" ref="FC25:FH25" si="22">ROUND((+FC20/$F$20),3)</f>
        <v>11.811999999999999</v>
      </c>
      <c r="FD25" s="964">
        <f t="shared" si="22"/>
        <v>11.983000000000001</v>
      </c>
      <c r="FE25" s="964">
        <f t="shared" si="22"/>
        <v>12.282999999999999</v>
      </c>
      <c r="FF25" s="964">
        <f t="shared" si="22"/>
        <v>12.425000000000001</v>
      </c>
      <c r="FG25" s="964">
        <f t="shared" si="22"/>
        <v>12.622999999999999</v>
      </c>
      <c r="FH25" s="964" t="e">
        <f t="shared" si="22"/>
        <v>#REF!</v>
      </c>
      <c r="FI25" s="964" t="e">
        <f t="shared" ref="FI25:FJ25" si="23">ROUND((+FI20/$F$20),3)</f>
        <v>#REF!</v>
      </c>
      <c r="FJ25" s="964">
        <f t="shared" si="23"/>
        <v>1</v>
      </c>
      <c r="FK25" s="964">
        <f>ROUND((+FK20/$FJ$20),3)</f>
        <v>1.079</v>
      </c>
      <c r="FL25" s="964">
        <f t="shared" ref="FL25:HW25" si="24">ROUND((+FL20/$FJ$20),3)</f>
        <v>1.1499999999999999</v>
      </c>
      <c r="FM25" s="964">
        <f t="shared" si="24"/>
        <v>1.19</v>
      </c>
      <c r="FN25" s="964">
        <f t="shared" si="24"/>
        <v>1.256</v>
      </c>
      <c r="FO25" s="964">
        <f t="shared" si="24"/>
        <v>1.3069999999999999</v>
      </c>
      <c r="FP25" s="964">
        <f t="shared" si="24"/>
        <v>1.3069999999999999</v>
      </c>
      <c r="FQ25" s="964">
        <f t="shared" si="24"/>
        <v>1.323</v>
      </c>
      <c r="FR25" s="964">
        <f t="shared" si="24"/>
        <v>1.3460000000000001</v>
      </c>
      <c r="FS25" s="964">
        <f t="shared" si="24"/>
        <v>1.3540000000000001</v>
      </c>
      <c r="FT25" s="964">
        <f t="shared" si="24"/>
        <v>1.4370000000000001</v>
      </c>
      <c r="FU25" s="964">
        <f t="shared" si="24"/>
        <v>1.4370000000000001</v>
      </c>
      <c r="FV25" s="964">
        <f t="shared" si="24"/>
        <v>1.454</v>
      </c>
      <c r="FW25" s="964">
        <f t="shared" si="24"/>
        <v>1.504</v>
      </c>
      <c r="FX25" s="964">
        <f t="shared" si="24"/>
        <v>1.518</v>
      </c>
      <c r="FY25" s="964">
        <f t="shared" si="24"/>
        <v>1.554</v>
      </c>
      <c r="FZ25" s="964">
        <f t="shared" si="24"/>
        <v>1.5620000000000001</v>
      </c>
      <c r="GA25" s="964">
        <f t="shared" si="24"/>
        <v>1.5620000000000001</v>
      </c>
      <c r="GB25" s="964">
        <f t="shared" si="24"/>
        <v>1.5620000000000001</v>
      </c>
      <c r="GC25" s="964">
        <f t="shared" si="24"/>
        <v>1.5620000000000001</v>
      </c>
      <c r="GD25" s="964">
        <f t="shared" si="24"/>
        <v>1.5620000000000001</v>
      </c>
      <c r="GE25" s="964">
        <f t="shared" si="24"/>
        <v>1.5680000000000001</v>
      </c>
      <c r="GF25" s="964">
        <f t="shared" si="24"/>
        <v>1.5680000000000001</v>
      </c>
      <c r="GG25" s="964">
        <f t="shared" si="24"/>
        <v>1.5680000000000001</v>
      </c>
      <c r="GH25" s="964">
        <f t="shared" si="24"/>
        <v>1.613</v>
      </c>
      <c r="GI25" s="964">
        <f t="shared" si="24"/>
        <v>1.623</v>
      </c>
      <c r="GJ25" s="964">
        <f t="shared" si="24"/>
        <v>1.623</v>
      </c>
      <c r="GK25" s="964">
        <f t="shared" si="24"/>
        <v>1.65</v>
      </c>
      <c r="GL25" s="964">
        <f t="shared" si="24"/>
        <v>1.901</v>
      </c>
      <c r="GM25" s="964">
        <f t="shared" si="24"/>
        <v>1.911</v>
      </c>
      <c r="GN25" s="964">
        <f t="shared" si="24"/>
        <v>2.016</v>
      </c>
      <c r="GO25" s="964">
        <f t="shared" si="24"/>
        <v>2.0259999999999998</v>
      </c>
      <c r="GP25" s="964">
        <f t="shared" si="24"/>
        <v>2.6469999999999998</v>
      </c>
      <c r="GQ25" s="964">
        <f t="shared" si="24"/>
        <v>2.6469999999999998</v>
      </c>
      <c r="GR25" s="964">
        <f t="shared" si="24"/>
        <v>2.6469999999999998</v>
      </c>
      <c r="GS25" s="964">
        <f t="shared" si="24"/>
        <v>2.665</v>
      </c>
      <c r="GT25" s="964">
        <f t="shared" si="24"/>
        <v>2.6469999999999998</v>
      </c>
      <c r="GU25" s="964">
        <f t="shared" si="24"/>
        <v>2.665</v>
      </c>
      <c r="GV25" s="964">
        <f t="shared" si="24"/>
        <v>2.706</v>
      </c>
      <c r="GW25" s="964">
        <f t="shared" si="24"/>
        <v>2.7330000000000001</v>
      </c>
      <c r="GX25" s="964">
        <f t="shared" si="24"/>
        <v>2.7330000000000001</v>
      </c>
      <c r="GY25" s="964">
        <f t="shared" si="24"/>
        <v>2.7770000000000001</v>
      </c>
      <c r="GZ25" s="964">
        <f t="shared" si="24"/>
        <v>2.8559999999999999</v>
      </c>
      <c r="HA25" s="964">
        <f t="shared" si="24"/>
        <v>3.2839999999999998</v>
      </c>
      <c r="HB25" s="964">
        <f t="shared" si="24"/>
        <v>3.2839999999999998</v>
      </c>
      <c r="HC25" s="964">
        <f t="shared" si="24"/>
        <v>3.5449999999999999</v>
      </c>
      <c r="HD25" s="964">
        <f t="shared" si="24"/>
        <v>3.6040000000000001</v>
      </c>
      <c r="HE25" s="964">
        <f t="shared" si="24"/>
        <v>3.84</v>
      </c>
      <c r="HF25" s="964">
        <f t="shared" si="24"/>
        <v>3.9420000000000002</v>
      </c>
      <c r="HG25" s="964">
        <f t="shared" si="24"/>
        <v>4.0250000000000004</v>
      </c>
      <c r="HH25" s="964">
        <f t="shared" si="24"/>
        <v>4.0250000000000004</v>
      </c>
      <c r="HI25" s="964">
        <f t="shared" si="24"/>
        <v>4.0250000000000004</v>
      </c>
      <c r="HJ25" s="964">
        <f t="shared" si="24"/>
        <v>4.0469999999999997</v>
      </c>
      <c r="HK25" s="964">
        <f t="shared" si="24"/>
        <v>4.0469999999999997</v>
      </c>
      <c r="HL25" s="964">
        <f t="shared" si="24"/>
        <v>4.0469999999999997</v>
      </c>
      <c r="HM25" s="964">
        <f t="shared" si="24"/>
        <v>4.0469999999999997</v>
      </c>
      <c r="HN25" s="964">
        <f t="shared" si="24"/>
        <v>4.0469999999999997</v>
      </c>
      <c r="HO25" s="964">
        <f t="shared" si="24"/>
        <v>4.0469999999999997</v>
      </c>
      <c r="HP25" s="964">
        <f t="shared" si="24"/>
        <v>4.0469999999999997</v>
      </c>
      <c r="HQ25" s="964">
        <f t="shared" si="24"/>
        <v>4.0469999999999997</v>
      </c>
      <c r="HR25" s="964">
        <f t="shared" si="24"/>
        <v>4.2939999999999996</v>
      </c>
      <c r="HS25" s="964">
        <f t="shared" si="24"/>
        <v>4.2939999999999996</v>
      </c>
      <c r="HT25" s="964">
        <f t="shared" si="24"/>
        <v>4.2939999999999996</v>
      </c>
      <c r="HU25" s="964">
        <f t="shared" si="24"/>
        <v>4.2939999999999996</v>
      </c>
      <c r="HV25" s="964">
        <f t="shared" si="24"/>
        <v>4.359</v>
      </c>
      <c r="HW25" s="964">
        <f t="shared" si="24"/>
        <v>4.3339999999999996</v>
      </c>
      <c r="HX25" s="964">
        <f t="shared" ref="HX25:IO25" si="25">ROUND((+HX20/$FJ$20),3)</f>
        <v>4.3479999999999999</v>
      </c>
      <c r="HY25" s="964">
        <f t="shared" si="25"/>
        <v>4.6539999999999999</v>
      </c>
      <c r="HZ25" s="964">
        <f t="shared" si="25"/>
        <v>4.8120000000000003</v>
      </c>
      <c r="IA25" s="964">
        <f t="shared" si="25"/>
        <v>4.8339999999999996</v>
      </c>
      <c r="IB25" s="964">
        <f t="shared" si="25"/>
        <v>4.9029999999999996</v>
      </c>
      <c r="IC25" s="964">
        <f t="shared" si="25"/>
        <v>5.0659999999999998</v>
      </c>
      <c r="ID25" s="964">
        <f t="shared" si="25"/>
        <v>5.0949999999999998</v>
      </c>
      <c r="IE25" s="964">
        <f t="shared" si="25"/>
        <v>5.1779999999999999</v>
      </c>
      <c r="IF25" s="964">
        <f t="shared" si="25"/>
        <v>5.2590000000000003</v>
      </c>
      <c r="IG25" s="964">
        <f t="shared" si="25"/>
        <v>5.556</v>
      </c>
      <c r="IH25" s="964">
        <f t="shared" si="25"/>
        <v>5.8</v>
      </c>
      <c r="II25" s="964">
        <f t="shared" si="25"/>
        <v>5.968</v>
      </c>
      <c r="IJ25" s="964">
        <f t="shared" si="25"/>
        <v>6.64</v>
      </c>
      <c r="IK25" s="964">
        <f t="shared" si="25"/>
        <v>6.96</v>
      </c>
      <c r="IL25" s="964">
        <f t="shared" si="25"/>
        <v>7.0970000000000004</v>
      </c>
      <c r="IM25" s="964">
        <f t="shared" si="25"/>
        <v>7.5339999999999998</v>
      </c>
      <c r="IN25" s="2473">
        <f t="shared" si="25"/>
        <v>7.641</v>
      </c>
      <c r="IO25" s="964">
        <f t="shared" si="25"/>
        <v>8.3019999999999996</v>
      </c>
      <c r="IP25" s="2480">
        <f t="shared" ref="IP25:IQ25" si="26">ROUND((+IP20/$FJ$20),3)</f>
        <v>8.7279999999999998</v>
      </c>
      <c r="IQ25" s="2480">
        <f t="shared" si="26"/>
        <v>9.3810000000000002</v>
      </c>
    </row>
    <row r="26" spans="3:251">
      <c r="C26" s="2624"/>
      <c r="D26" s="2626" t="s">
        <v>699</v>
      </c>
      <c r="E26" s="2627"/>
      <c r="F26" s="1804">
        <f>+F21/$F$21</f>
        <v>1</v>
      </c>
      <c r="G26" s="523">
        <f>+G21/$F$21</f>
        <v>2.5080400624827712</v>
      </c>
      <c r="H26" s="523">
        <f>+H21/$F$21</f>
        <v>2.5526049802444182</v>
      </c>
      <c r="I26" s="523">
        <f>+I21/$F$21</f>
        <v>2.5730037673435633</v>
      </c>
      <c r="J26" s="523">
        <f>+J21/$F$21</f>
        <v>2.5730037673435633</v>
      </c>
      <c r="K26" s="523">
        <f t="shared" ref="K26:AB26" si="27">ROUND((+K21/$F$21),3)</f>
        <v>2.6440000000000001</v>
      </c>
      <c r="L26" s="523">
        <f t="shared" si="27"/>
        <v>2.7480000000000002</v>
      </c>
      <c r="M26" s="523">
        <f t="shared" si="27"/>
        <v>2.7810000000000001</v>
      </c>
      <c r="N26" s="523">
        <f t="shared" si="27"/>
        <v>2.7810000000000001</v>
      </c>
      <c r="O26" s="523">
        <f t="shared" si="27"/>
        <v>2.9049999999999998</v>
      </c>
      <c r="P26" s="523">
        <f t="shared" si="27"/>
        <v>2.9980000000000002</v>
      </c>
      <c r="Q26" s="523">
        <f t="shared" si="27"/>
        <v>2.9980000000000002</v>
      </c>
      <c r="R26" s="523">
        <f t="shared" si="27"/>
        <v>2.9980000000000002</v>
      </c>
      <c r="S26" s="523">
        <f t="shared" si="27"/>
        <v>2.9980000000000002</v>
      </c>
      <c r="T26" s="523">
        <f t="shared" si="27"/>
        <v>2.9980000000000002</v>
      </c>
      <c r="U26" s="523">
        <f t="shared" si="27"/>
        <v>2.9980000000000002</v>
      </c>
      <c r="V26" s="523">
        <f t="shared" si="27"/>
        <v>3.0409999999999999</v>
      </c>
      <c r="W26" s="523">
        <f t="shared" si="27"/>
        <v>3.069</v>
      </c>
      <c r="X26" s="523">
        <f t="shared" si="27"/>
        <v>3.07</v>
      </c>
      <c r="Y26" s="523">
        <f t="shared" si="27"/>
        <v>3.2570000000000001</v>
      </c>
      <c r="Z26" s="523">
        <f t="shared" si="27"/>
        <v>3.2570000000000001</v>
      </c>
      <c r="AA26" s="523">
        <f t="shared" si="27"/>
        <v>3.3479999999999999</v>
      </c>
      <c r="AB26" s="523">
        <f t="shared" si="27"/>
        <v>3.3479999999999999</v>
      </c>
      <c r="AC26" s="523">
        <f t="shared" ref="AC26:AH26" si="28">ROUND((+AC21/$F$21),3)</f>
        <v>3.2690000000000001</v>
      </c>
      <c r="AD26" s="523">
        <f t="shared" si="28"/>
        <v>3.2559999999999998</v>
      </c>
      <c r="AE26" s="523">
        <f t="shared" si="28"/>
        <v>3.2559999999999998</v>
      </c>
      <c r="AF26" s="523">
        <f t="shared" si="28"/>
        <v>3.2559999999999998</v>
      </c>
      <c r="AG26" s="523">
        <f t="shared" si="28"/>
        <v>3.2559999999999998</v>
      </c>
      <c r="AH26" s="523">
        <f t="shared" si="28"/>
        <v>3.246</v>
      </c>
      <c r="AI26" s="523">
        <f t="shared" ref="AI26:AN26" si="29">ROUND((+AI21/$F$21),3)</f>
        <v>3.242</v>
      </c>
      <c r="AJ26" s="523">
        <f t="shared" si="29"/>
        <v>3.2629999999999999</v>
      </c>
      <c r="AK26" s="523">
        <f t="shared" si="29"/>
        <v>3.2629999999999999</v>
      </c>
      <c r="AL26" s="523">
        <f t="shared" si="29"/>
        <v>3.2629999999999999</v>
      </c>
      <c r="AM26" s="523">
        <f t="shared" si="29"/>
        <v>3.238</v>
      </c>
      <c r="AN26" s="523">
        <f t="shared" si="29"/>
        <v>3.129</v>
      </c>
      <c r="AO26" s="523">
        <f t="shared" ref="AO26:AT26" si="30">ROUND((+AO21/$F$21),3)</f>
        <v>3.13</v>
      </c>
      <c r="AP26" s="523">
        <f t="shared" si="30"/>
        <v>3.13</v>
      </c>
      <c r="AQ26" s="523">
        <f t="shared" si="30"/>
        <v>3.13</v>
      </c>
      <c r="AR26" s="523">
        <f t="shared" si="30"/>
        <v>3.274</v>
      </c>
      <c r="AS26" s="523">
        <f t="shared" si="30"/>
        <v>3.3479999999999999</v>
      </c>
      <c r="AT26" s="523">
        <f t="shared" si="30"/>
        <v>3.3479999999999999</v>
      </c>
      <c r="AU26" s="523">
        <f t="shared" ref="AU26:AZ26" si="31">ROUND((+AU21/$F$21),3)</f>
        <v>3.3479999999999999</v>
      </c>
      <c r="AV26" s="523">
        <f t="shared" si="31"/>
        <v>3.3319999999999999</v>
      </c>
      <c r="AW26" s="523">
        <f t="shared" si="31"/>
        <v>3.3319999999999999</v>
      </c>
      <c r="AX26" s="523">
        <f t="shared" si="31"/>
        <v>3.399</v>
      </c>
      <c r="AY26" s="523">
        <f t="shared" si="31"/>
        <v>3.4340000000000002</v>
      </c>
      <c r="AZ26" s="523">
        <f t="shared" si="31"/>
        <v>3.4340000000000002</v>
      </c>
      <c r="BA26" s="523">
        <f t="shared" ref="BA26:BF26" si="32">ROUND((+BA21/$F$21),3)</f>
        <v>3.4340000000000002</v>
      </c>
      <c r="BB26" s="523">
        <f t="shared" si="32"/>
        <v>3.4340000000000002</v>
      </c>
      <c r="BC26" s="523">
        <f t="shared" si="32"/>
        <v>3.4340000000000002</v>
      </c>
      <c r="BD26" s="523">
        <f t="shared" si="32"/>
        <v>3.4630000000000001</v>
      </c>
      <c r="BE26" s="523">
        <f t="shared" si="32"/>
        <v>3.488</v>
      </c>
      <c r="BF26" s="523">
        <f t="shared" si="32"/>
        <v>3.5670000000000002</v>
      </c>
      <c r="BG26" s="523">
        <f t="shared" ref="BG26:BL26" si="33">ROUND((+BG21/$F$21),3)</f>
        <v>3.5670000000000002</v>
      </c>
      <c r="BH26" s="523">
        <f t="shared" si="33"/>
        <v>3.58</v>
      </c>
      <c r="BI26" s="523">
        <f t="shared" si="33"/>
        <v>3.58</v>
      </c>
      <c r="BJ26" s="523">
        <f t="shared" si="33"/>
        <v>3.665</v>
      </c>
      <c r="BK26" s="523">
        <f t="shared" si="33"/>
        <v>3.665</v>
      </c>
      <c r="BL26" s="523">
        <f t="shared" si="33"/>
        <v>3.7010000000000001</v>
      </c>
      <c r="BM26" s="523">
        <f t="shared" ref="BM26:BS26" si="34">ROUND((+BM21/$F$21),3)</f>
        <v>3.7469999999999999</v>
      </c>
      <c r="BN26" s="523">
        <f t="shared" si="34"/>
        <v>3.8420000000000001</v>
      </c>
      <c r="BO26" s="523">
        <f t="shared" si="34"/>
        <v>3.8730000000000002</v>
      </c>
      <c r="BP26" s="523">
        <f t="shared" si="34"/>
        <v>3.9710000000000001</v>
      </c>
      <c r="BQ26" s="523">
        <f t="shared" si="34"/>
        <v>4.0789999999999997</v>
      </c>
      <c r="BR26" s="523">
        <f t="shared" si="34"/>
        <v>4.1420000000000003</v>
      </c>
      <c r="BS26" s="523">
        <f t="shared" si="34"/>
        <v>4.343</v>
      </c>
      <c r="BT26" s="523">
        <f t="shared" ref="BT26:BY26" si="35">ROUND((+BT21/$F$21),3)</f>
        <v>4.5460000000000003</v>
      </c>
      <c r="BU26" s="523">
        <f t="shared" si="35"/>
        <v>4.7030000000000003</v>
      </c>
      <c r="BV26" s="523">
        <f t="shared" si="35"/>
        <v>4.7439999999999998</v>
      </c>
      <c r="BW26" s="523">
        <f t="shared" si="35"/>
        <v>4.9820000000000002</v>
      </c>
      <c r="BX26" s="523">
        <f t="shared" si="35"/>
        <v>5.2679999999999998</v>
      </c>
      <c r="BY26" s="523">
        <f t="shared" si="35"/>
        <v>5.4610000000000003</v>
      </c>
      <c r="BZ26" s="523">
        <f t="shared" ref="BZ26:CE26" si="36">ROUND((+BZ21/$F$21),3)</f>
        <v>5.492</v>
      </c>
      <c r="CA26" s="523">
        <f t="shared" si="36"/>
        <v>5.5289999999999999</v>
      </c>
      <c r="CB26" s="523">
        <f t="shared" si="36"/>
        <v>5.5289999999999999</v>
      </c>
      <c r="CC26" s="523">
        <f t="shared" si="36"/>
        <v>5.5289999999999999</v>
      </c>
      <c r="CD26" s="523">
        <f t="shared" si="36"/>
        <v>5.5750000000000002</v>
      </c>
      <c r="CE26" s="523">
        <f t="shared" si="36"/>
        <v>5.5750000000000002</v>
      </c>
      <c r="CF26" s="523">
        <f t="shared" ref="CF26:CK26" si="37">ROUND((+CF21/$F$21),3)</f>
        <v>5.5750000000000002</v>
      </c>
      <c r="CG26" s="523">
        <f t="shared" si="37"/>
        <v>5.5750000000000002</v>
      </c>
      <c r="CH26" s="523">
        <f t="shared" si="37"/>
        <v>5.5750000000000002</v>
      </c>
      <c r="CI26" s="523">
        <f t="shared" si="37"/>
        <v>5.49</v>
      </c>
      <c r="CJ26" s="523">
        <f t="shared" si="37"/>
        <v>5.5289999999999999</v>
      </c>
      <c r="CK26" s="523">
        <f t="shared" si="37"/>
        <v>5.5839999999999996</v>
      </c>
      <c r="CL26" s="523">
        <f t="shared" ref="CL26:CQ26" si="38">ROUND((+CL21/$F$21),3)</f>
        <v>5.68</v>
      </c>
      <c r="CM26" s="523">
        <f t="shared" si="38"/>
        <v>5.7249999999999996</v>
      </c>
      <c r="CN26" s="523">
        <f t="shared" si="38"/>
        <v>5.7670000000000003</v>
      </c>
      <c r="CO26" s="523">
        <f t="shared" si="38"/>
        <v>5.81</v>
      </c>
      <c r="CP26" s="523">
        <f t="shared" si="38"/>
        <v>5.8360000000000003</v>
      </c>
      <c r="CQ26" s="523">
        <f t="shared" si="38"/>
        <v>6.008</v>
      </c>
      <c r="CR26" s="523">
        <f t="shared" ref="CR26:CW26" si="39">ROUND((+CR21/$F$21),3)</f>
        <v>6.2249999999999996</v>
      </c>
      <c r="CS26" s="523">
        <f t="shared" si="39"/>
        <v>6.2850000000000001</v>
      </c>
      <c r="CT26" s="523">
        <f t="shared" si="39"/>
        <v>6.3460000000000001</v>
      </c>
      <c r="CU26" s="523">
        <f t="shared" si="39"/>
        <v>6.3849999999999998</v>
      </c>
      <c r="CV26" s="523">
        <f t="shared" si="39"/>
        <v>6.4359999999999999</v>
      </c>
      <c r="CW26" s="523">
        <f t="shared" si="39"/>
        <v>6.4880000000000004</v>
      </c>
      <c r="CX26" s="964">
        <f t="shared" ref="CX26:DC26" si="40">ROUND((+CX21/$F$21),3)</f>
        <v>6.5149999999999997</v>
      </c>
      <c r="CY26" s="964">
        <f t="shared" si="40"/>
        <v>7.0579999999999998</v>
      </c>
      <c r="CZ26" s="964">
        <f t="shared" si="40"/>
        <v>7.1639999999999997</v>
      </c>
      <c r="DA26" s="964">
        <f t="shared" si="40"/>
        <v>7.4889999999999999</v>
      </c>
      <c r="DB26" s="964">
        <f t="shared" si="40"/>
        <v>7.4889999999999999</v>
      </c>
      <c r="DC26" s="964">
        <f t="shared" si="40"/>
        <v>7.516</v>
      </c>
      <c r="DD26" s="964">
        <f t="shared" ref="DD26:DI26" si="41">ROUND((+DD21/$F$21),3)</f>
        <v>7.5949999999999998</v>
      </c>
      <c r="DE26" s="964">
        <f t="shared" si="41"/>
        <v>7.6180000000000003</v>
      </c>
      <c r="DF26" s="964">
        <f t="shared" si="41"/>
        <v>7.6459999999999999</v>
      </c>
      <c r="DG26" s="964">
        <f t="shared" si="41"/>
        <v>7.7069999999999999</v>
      </c>
      <c r="DH26" s="964">
        <f t="shared" si="41"/>
        <v>7.9749999999999996</v>
      </c>
      <c r="DI26" s="964">
        <f t="shared" si="41"/>
        <v>8.0190000000000001</v>
      </c>
      <c r="DJ26" s="964">
        <f t="shared" ref="DJ26:DO26" si="42">ROUND((+DJ21/$F$21),3)</f>
        <v>8.1419999999999995</v>
      </c>
      <c r="DK26" s="964">
        <f t="shared" si="42"/>
        <v>8.19</v>
      </c>
      <c r="DL26" s="964">
        <f t="shared" si="42"/>
        <v>8.4550000000000001</v>
      </c>
      <c r="DM26" s="964">
        <f t="shared" si="42"/>
        <v>8.4760000000000009</v>
      </c>
      <c r="DN26" s="964">
        <f t="shared" si="42"/>
        <v>8.4890000000000008</v>
      </c>
      <c r="DO26" s="964">
        <f t="shared" si="42"/>
        <v>8.5150000000000006</v>
      </c>
      <c r="DP26" s="964">
        <f t="shared" ref="DP26:DU26" si="43">ROUND((+DP21/$F$21),3)</f>
        <v>8.5239999999999991</v>
      </c>
      <c r="DQ26" s="964">
        <f t="shared" si="43"/>
        <v>8.8490000000000002</v>
      </c>
      <c r="DR26" s="964">
        <f t="shared" si="43"/>
        <v>8.8740000000000006</v>
      </c>
      <c r="DS26" s="964">
        <f t="shared" si="43"/>
        <v>8.9019999999999992</v>
      </c>
      <c r="DT26" s="964">
        <f t="shared" si="43"/>
        <v>8.93</v>
      </c>
      <c r="DU26" s="964">
        <f t="shared" si="43"/>
        <v>9.0340000000000007</v>
      </c>
      <c r="DV26" s="964">
        <f t="shared" ref="DV26:EA26" si="44">ROUND((+DV21/$F$21),3)</f>
        <v>9.1669999999999998</v>
      </c>
      <c r="DW26" s="964">
        <f t="shared" si="44"/>
        <v>9.2639999999999993</v>
      </c>
      <c r="DX26" s="964">
        <f t="shared" si="44"/>
        <v>9.2929999999999993</v>
      </c>
      <c r="DY26" s="964">
        <f t="shared" si="44"/>
        <v>9.32</v>
      </c>
      <c r="DZ26" s="964">
        <f t="shared" si="44"/>
        <v>9.5380000000000003</v>
      </c>
      <c r="EA26" s="964">
        <f t="shared" si="44"/>
        <v>9.5660000000000007</v>
      </c>
      <c r="EB26" s="964">
        <f t="shared" ref="EB26:EG26" si="45">ROUND((+EB21/$F$21),3)</f>
        <v>9.5950000000000006</v>
      </c>
      <c r="EC26" s="964">
        <f t="shared" si="45"/>
        <v>9.6240000000000006</v>
      </c>
      <c r="ED26" s="964">
        <f t="shared" si="45"/>
        <v>9.6539999999999999</v>
      </c>
      <c r="EE26" s="964">
        <f t="shared" si="45"/>
        <v>9.7639999999999993</v>
      </c>
      <c r="EF26" s="964">
        <f t="shared" si="45"/>
        <v>10.023</v>
      </c>
      <c r="EG26" s="964">
        <f t="shared" si="45"/>
        <v>10.096</v>
      </c>
      <c r="EH26" s="964">
        <f t="shared" ref="EH26:EM26" si="46">ROUND((+EH21/$F$21),3)</f>
        <v>10.127000000000001</v>
      </c>
      <c r="EI26" s="964">
        <f t="shared" si="46"/>
        <v>10.157999999999999</v>
      </c>
      <c r="EJ26" s="964">
        <f t="shared" si="46"/>
        <v>10.189</v>
      </c>
      <c r="EK26" s="964">
        <f t="shared" si="46"/>
        <v>10.583</v>
      </c>
      <c r="EL26" s="964">
        <f t="shared" si="46"/>
        <v>10.733000000000001</v>
      </c>
      <c r="EM26" s="964">
        <f t="shared" si="46"/>
        <v>11.57</v>
      </c>
      <c r="EN26" s="964">
        <f t="shared" ref="EN26:ES26" si="47">ROUND((+EN21/$F$21),3)</f>
        <v>11.877000000000001</v>
      </c>
      <c r="EO26" s="964">
        <f t="shared" si="47"/>
        <v>11.957000000000001</v>
      </c>
      <c r="EP26" s="964">
        <f t="shared" si="47"/>
        <v>12.000999999999999</v>
      </c>
      <c r="EQ26" s="964">
        <f t="shared" si="47"/>
        <v>12.037000000000001</v>
      </c>
      <c r="ER26" s="964">
        <f t="shared" si="47"/>
        <v>12.132999999999999</v>
      </c>
      <c r="ES26" s="964">
        <f t="shared" si="47"/>
        <v>12.169</v>
      </c>
      <c r="ET26" s="964">
        <f t="shared" ref="ET26:FB26" si="48">ROUND((+ET21/$F$21),3)</f>
        <v>12.305</v>
      </c>
      <c r="EU26" s="964">
        <f t="shared" si="48"/>
        <v>12.686999999999999</v>
      </c>
      <c r="EV26" s="964">
        <f t="shared" si="48"/>
        <v>13.093</v>
      </c>
      <c r="EW26" s="964">
        <f t="shared" si="48"/>
        <v>13.316000000000001</v>
      </c>
      <c r="EX26" s="964">
        <f t="shared" si="48"/>
        <v>13.316000000000001</v>
      </c>
      <c r="EY26" s="964">
        <f t="shared" si="48"/>
        <v>13.568</v>
      </c>
      <c r="EZ26" s="964">
        <f t="shared" si="48"/>
        <v>13.612</v>
      </c>
      <c r="FA26" s="964">
        <f t="shared" si="48"/>
        <v>13.657</v>
      </c>
      <c r="FB26" s="964">
        <f t="shared" si="48"/>
        <v>13.811999999999999</v>
      </c>
      <c r="FC26" s="964">
        <f t="shared" ref="FC26:FH26" si="49">ROUND((+FC21/$F$21),3)</f>
        <v>13.843</v>
      </c>
      <c r="FD26" s="964">
        <f t="shared" si="49"/>
        <v>14.128</v>
      </c>
      <c r="FE26" s="964">
        <f t="shared" si="49"/>
        <v>14.305</v>
      </c>
      <c r="FF26" s="964">
        <f t="shared" si="49"/>
        <v>14.507999999999999</v>
      </c>
      <c r="FG26" s="964">
        <f t="shared" si="49"/>
        <v>14.63</v>
      </c>
      <c r="FH26" s="964" t="e">
        <f t="shared" si="49"/>
        <v>#REF!</v>
      </c>
      <c r="FI26" s="964" t="e">
        <f t="shared" ref="FI26" si="50">ROUND((+FI21/$F$21),3)</f>
        <v>#REF!</v>
      </c>
      <c r="FJ26" s="964">
        <v>1</v>
      </c>
      <c r="FK26" s="964">
        <f>ROUND((+FK21/$FJ$21),3)</f>
        <v>0.86199999999999999</v>
      </c>
      <c r="FL26" s="964">
        <f t="shared" ref="FL26:HW26" si="51">ROUND((+FL21/$FJ$21),3)</f>
        <v>0.86199999999999999</v>
      </c>
      <c r="FM26" s="964">
        <f t="shared" si="51"/>
        <v>0.875</v>
      </c>
      <c r="FN26" s="964">
        <f t="shared" si="51"/>
        <v>0.875</v>
      </c>
      <c r="FO26" s="964">
        <f t="shared" si="51"/>
        <v>0.875</v>
      </c>
      <c r="FP26" s="964">
        <f t="shared" si="51"/>
        <v>0.875</v>
      </c>
      <c r="FQ26" s="964">
        <f t="shared" si="51"/>
        <v>0.875</v>
      </c>
      <c r="FR26" s="964">
        <f t="shared" si="51"/>
        <v>0.875</v>
      </c>
      <c r="FS26" s="964">
        <f t="shared" si="51"/>
        <v>0.875</v>
      </c>
      <c r="FT26" s="964">
        <f t="shared" si="51"/>
        <v>0.875</v>
      </c>
      <c r="FU26" s="964">
        <f t="shared" si="51"/>
        <v>0.879</v>
      </c>
      <c r="FV26" s="964">
        <f t="shared" si="51"/>
        <v>0.879</v>
      </c>
      <c r="FW26" s="964">
        <f t="shared" si="51"/>
        <v>0.90200000000000002</v>
      </c>
      <c r="FX26" s="964">
        <f t="shared" si="51"/>
        <v>0.90200000000000002</v>
      </c>
      <c r="FY26" s="964">
        <f t="shared" si="51"/>
        <v>0.90200000000000002</v>
      </c>
      <c r="FZ26" s="964">
        <f t="shared" si="51"/>
        <v>0.91100000000000003</v>
      </c>
      <c r="GA26" s="964">
        <f t="shared" si="51"/>
        <v>0.93400000000000005</v>
      </c>
      <c r="GB26" s="964">
        <f t="shared" si="51"/>
        <v>0.95</v>
      </c>
      <c r="GC26" s="964">
        <f t="shared" si="51"/>
        <v>0.95</v>
      </c>
      <c r="GD26" s="964">
        <f t="shared" si="51"/>
        <v>0.95</v>
      </c>
      <c r="GE26" s="964">
        <f t="shared" si="51"/>
        <v>1.022</v>
      </c>
      <c r="GF26" s="964">
        <f t="shared" si="51"/>
        <v>1.022</v>
      </c>
      <c r="GG26" s="964">
        <f t="shared" si="51"/>
        <v>1.036</v>
      </c>
      <c r="GH26" s="964">
        <f t="shared" si="51"/>
        <v>1.0580000000000001</v>
      </c>
      <c r="GI26" s="964">
        <f t="shared" si="51"/>
        <v>1.069</v>
      </c>
      <c r="GJ26" s="964">
        <f t="shared" si="51"/>
        <v>1.069</v>
      </c>
      <c r="GK26" s="964">
        <f t="shared" si="51"/>
        <v>1.069</v>
      </c>
      <c r="GL26" s="964">
        <f t="shared" si="51"/>
        <v>1.4470000000000001</v>
      </c>
      <c r="GM26" s="964">
        <f t="shared" si="51"/>
        <v>1.8240000000000001</v>
      </c>
      <c r="GN26" s="964">
        <f t="shared" si="51"/>
        <v>2.6440000000000001</v>
      </c>
      <c r="GO26" s="964">
        <f t="shared" si="51"/>
        <v>2.3889999999999998</v>
      </c>
      <c r="GP26" s="964">
        <f t="shared" si="51"/>
        <v>2.3889999999999998</v>
      </c>
      <c r="GQ26" s="964">
        <f t="shared" si="51"/>
        <v>2.4860000000000002</v>
      </c>
      <c r="GR26" s="964">
        <f t="shared" si="51"/>
        <v>2.548</v>
      </c>
      <c r="GS26" s="964">
        <f t="shared" si="51"/>
        <v>2.6320000000000001</v>
      </c>
      <c r="GT26" s="964">
        <f t="shared" si="51"/>
        <v>2.6480000000000001</v>
      </c>
      <c r="GU26" s="964">
        <f t="shared" si="51"/>
        <v>2.7330000000000001</v>
      </c>
      <c r="GV26" s="964">
        <f t="shared" si="51"/>
        <v>2.8450000000000002</v>
      </c>
      <c r="GW26" s="964">
        <f t="shared" si="51"/>
        <v>2.9849999999999999</v>
      </c>
      <c r="GX26" s="964">
        <f t="shared" si="51"/>
        <v>3.0270000000000001</v>
      </c>
      <c r="GY26" s="964">
        <f t="shared" si="51"/>
        <v>3.0110000000000001</v>
      </c>
      <c r="GZ26" s="964">
        <f t="shared" si="51"/>
        <v>2.9830000000000001</v>
      </c>
      <c r="HA26" s="964">
        <f t="shared" si="51"/>
        <v>3.9430000000000001</v>
      </c>
      <c r="HB26" s="964">
        <f t="shared" si="51"/>
        <v>4.0259999999999998</v>
      </c>
      <c r="HC26" s="964">
        <f t="shared" si="51"/>
        <v>4.056</v>
      </c>
      <c r="HD26" s="964">
        <f t="shared" si="51"/>
        <v>4.056</v>
      </c>
      <c r="HE26" s="964">
        <f t="shared" si="51"/>
        <v>4.056</v>
      </c>
      <c r="HF26" s="964">
        <f t="shared" si="51"/>
        <v>4.1070000000000002</v>
      </c>
      <c r="HG26" s="964">
        <f t="shared" si="51"/>
        <v>4.1609999999999996</v>
      </c>
      <c r="HH26" s="964">
        <f t="shared" si="51"/>
        <v>4.2640000000000002</v>
      </c>
      <c r="HI26" s="964">
        <f t="shared" si="51"/>
        <v>4.4160000000000004</v>
      </c>
      <c r="HJ26" s="964">
        <f t="shared" si="51"/>
        <v>4.4640000000000004</v>
      </c>
      <c r="HK26" s="964">
        <f t="shared" si="51"/>
        <v>4.72</v>
      </c>
      <c r="HL26" s="964">
        <f t="shared" si="51"/>
        <v>4.8979999999999997</v>
      </c>
      <c r="HM26" s="964">
        <f t="shared" si="51"/>
        <v>5.09</v>
      </c>
      <c r="HN26" s="964">
        <f t="shared" si="51"/>
        <v>5.3529999999999998</v>
      </c>
      <c r="HO26" s="964">
        <f t="shared" si="51"/>
        <v>5.66</v>
      </c>
      <c r="HP26" s="964">
        <f t="shared" si="51"/>
        <v>6.0339999999999998</v>
      </c>
      <c r="HQ26" s="964">
        <f t="shared" si="51"/>
        <v>6.5990000000000002</v>
      </c>
      <c r="HR26" s="964">
        <f t="shared" si="51"/>
        <v>7.101</v>
      </c>
      <c r="HS26" s="964">
        <f t="shared" si="51"/>
        <v>7.577</v>
      </c>
      <c r="HT26" s="964">
        <f t="shared" si="51"/>
        <v>8.1310000000000002</v>
      </c>
      <c r="HU26" s="964">
        <f t="shared" si="51"/>
        <v>8.4540000000000006</v>
      </c>
      <c r="HV26" s="964">
        <f t="shared" si="51"/>
        <v>8.9009999999999998</v>
      </c>
      <c r="HW26" s="964">
        <f t="shared" si="51"/>
        <v>9.407</v>
      </c>
      <c r="HX26" s="964">
        <f t="shared" ref="HX26:IO26" si="52">ROUND((+HX21/$FJ$21),3)</f>
        <v>9.8789999999999996</v>
      </c>
      <c r="HY26" s="964">
        <f t="shared" si="52"/>
        <v>10.353999999999999</v>
      </c>
      <c r="HZ26" s="964">
        <f t="shared" si="52"/>
        <v>10.731</v>
      </c>
      <c r="IA26" s="964">
        <f t="shared" si="52"/>
        <v>11.188000000000001</v>
      </c>
      <c r="IB26" s="964">
        <f t="shared" si="52"/>
        <v>11.566000000000001</v>
      </c>
      <c r="IC26" s="964">
        <f t="shared" si="52"/>
        <v>12.12</v>
      </c>
      <c r="ID26" s="964">
        <f t="shared" si="52"/>
        <v>12.664</v>
      </c>
      <c r="IE26" s="964">
        <f t="shared" si="52"/>
        <v>13.433999999999999</v>
      </c>
      <c r="IF26" s="964">
        <f t="shared" si="52"/>
        <v>14.117000000000001</v>
      </c>
      <c r="IG26" s="964">
        <f t="shared" si="52"/>
        <v>14.904999999999999</v>
      </c>
      <c r="IH26" s="964">
        <f t="shared" si="52"/>
        <v>15.755000000000001</v>
      </c>
      <c r="II26" s="964">
        <f t="shared" si="52"/>
        <v>16.73</v>
      </c>
      <c r="IJ26" s="964">
        <f t="shared" si="52"/>
        <v>17.937999999999999</v>
      </c>
      <c r="IK26" s="964">
        <f t="shared" si="52"/>
        <v>19.132999999999999</v>
      </c>
      <c r="IL26" s="964">
        <f t="shared" si="52"/>
        <v>20.824999999999999</v>
      </c>
      <c r="IM26" s="964">
        <f t="shared" si="52"/>
        <v>22.643000000000001</v>
      </c>
      <c r="IN26" s="2473">
        <f t="shared" si="52"/>
        <v>24.204000000000001</v>
      </c>
      <c r="IO26" s="964">
        <f t="shared" si="52"/>
        <v>25.853999999999999</v>
      </c>
      <c r="IP26" s="2480">
        <f t="shared" ref="IP26:IQ26" si="53">ROUND((+IP21/$FJ$21),3)</f>
        <v>27.175999999999998</v>
      </c>
      <c r="IQ26" s="2480">
        <f t="shared" si="53"/>
        <v>28.684999999999999</v>
      </c>
    </row>
    <row r="27" spans="3:251">
      <c r="C27" s="2624"/>
      <c r="D27" s="2626" t="s">
        <v>677</v>
      </c>
      <c r="E27" s="2627"/>
      <c r="F27" s="1805">
        <f>+F22/$F$22</f>
        <v>1</v>
      </c>
      <c r="G27" s="529">
        <f>+G22/$F$22</f>
        <v>1.1844660194174759</v>
      </c>
      <c r="H27" s="529">
        <f>+H22/$F$22</f>
        <v>1.1844660194174759</v>
      </c>
      <c r="I27" s="529">
        <f>+I22/$F$22</f>
        <v>1.1844660194174759</v>
      </c>
      <c r="J27" s="529">
        <f>+J22/$F$22</f>
        <v>1.2362459546925566</v>
      </c>
      <c r="K27" s="529">
        <f t="shared" ref="K27:AB27" si="54">ROUND((+K22/$F$22),3)</f>
        <v>1.236</v>
      </c>
      <c r="L27" s="529">
        <f t="shared" si="54"/>
        <v>1.2749999999999999</v>
      </c>
      <c r="M27" s="529">
        <f t="shared" si="54"/>
        <v>1.2749999999999999</v>
      </c>
      <c r="N27" s="529">
        <f t="shared" si="54"/>
        <v>1.3660000000000001</v>
      </c>
      <c r="O27" s="529">
        <f t="shared" si="54"/>
        <v>1.3660000000000001</v>
      </c>
      <c r="P27" s="529">
        <f t="shared" si="54"/>
        <v>1.427</v>
      </c>
      <c r="Q27" s="529">
        <f t="shared" si="54"/>
        <v>1.498</v>
      </c>
      <c r="R27" s="529">
        <f t="shared" si="54"/>
        <v>1.57</v>
      </c>
      <c r="S27" s="529">
        <f t="shared" si="54"/>
        <v>1.65</v>
      </c>
      <c r="T27" s="529">
        <f t="shared" si="54"/>
        <v>1.7090000000000001</v>
      </c>
      <c r="U27" s="529">
        <f t="shared" si="54"/>
        <v>1.78</v>
      </c>
      <c r="V27" s="529">
        <f t="shared" si="54"/>
        <v>1.9419999999999999</v>
      </c>
      <c r="W27" s="529">
        <f t="shared" si="54"/>
        <v>2.0099999999999998</v>
      </c>
      <c r="X27" s="529">
        <f t="shared" si="54"/>
        <v>2.0099999999999998</v>
      </c>
      <c r="Y27" s="529">
        <f t="shared" si="54"/>
        <v>2.0099999999999998</v>
      </c>
      <c r="Z27" s="529">
        <f t="shared" si="54"/>
        <v>2.0099999999999998</v>
      </c>
      <c r="AA27" s="529">
        <f t="shared" si="54"/>
        <v>2.0099999999999998</v>
      </c>
      <c r="AB27" s="529">
        <f t="shared" si="54"/>
        <v>2.0099999999999998</v>
      </c>
      <c r="AC27" s="529">
        <f t="shared" ref="AC27:AH27" si="55">ROUND((+AC22/$F$22),3)</f>
        <v>2.0099999999999998</v>
      </c>
      <c r="AD27" s="529">
        <f t="shared" si="55"/>
        <v>2.0099999999999998</v>
      </c>
      <c r="AE27" s="529">
        <f t="shared" si="55"/>
        <v>2.0099999999999998</v>
      </c>
      <c r="AF27" s="529">
        <f t="shared" si="55"/>
        <v>2.0099999999999998</v>
      </c>
      <c r="AG27" s="529">
        <f t="shared" si="55"/>
        <v>2.0099999999999998</v>
      </c>
      <c r="AH27" s="529">
        <f t="shared" si="55"/>
        <v>2.194</v>
      </c>
      <c r="AI27" s="529">
        <f t="shared" ref="AI27:AN27" si="56">ROUND((+AI22/$F$22),3)</f>
        <v>2.194</v>
      </c>
      <c r="AJ27" s="529">
        <f t="shared" si="56"/>
        <v>3.0939999999999999</v>
      </c>
      <c r="AK27" s="529">
        <f t="shared" si="56"/>
        <v>3.2509999999999999</v>
      </c>
      <c r="AL27" s="529">
        <f t="shared" si="56"/>
        <v>3.2509999999999999</v>
      </c>
      <c r="AM27" s="529">
        <f t="shared" si="56"/>
        <v>3.2519999999999998</v>
      </c>
      <c r="AN27" s="529">
        <f t="shared" si="56"/>
        <v>3.2519999999999998</v>
      </c>
      <c r="AO27" s="529">
        <f t="shared" ref="AO27:AT27" si="57">ROUND((+AO22/$F$22),3)</f>
        <v>3.2519999999999998</v>
      </c>
      <c r="AP27" s="529">
        <f t="shared" si="57"/>
        <v>3.2519999999999998</v>
      </c>
      <c r="AQ27" s="529">
        <f t="shared" si="57"/>
        <v>3.2509999999999999</v>
      </c>
      <c r="AR27" s="529">
        <f t="shared" si="57"/>
        <v>3.9249999999999998</v>
      </c>
      <c r="AS27" s="529">
        <f t="shared" si="57"/>
        <v>3.9249999999999998</v>
      </c>
      <c r="AT27" s="529">
        <f t="shared" si="57"/>
        <v>4.1289999999999996</v>
      </c>
      <c r="AU27" s="529">
        <f t="shared" ref="AU27:AZ27" si="58">ROUND((+AU22/$F$22),3)</f>
        <v>4.1289999999999996</v>
      </c>
      <c r="AV27" s="529">
        <f t="shared" si="58"/>
        <v>4.1289999999999996</v>
      </c>
      <c r="AW27" s="529">
        <f t="shared" si="58"/>
        <v>4.3319999999999999</v>
      </c>
      <c r="AX27" s="529">
        <f t="shared" si="58"/>
        <v>4.6840000000000002</v>
      </c>
      <c r="AY27" s="529">
        <f t="shared" si="58"/>
        <v>4.6840000000000002</v>
      </c>
      <c r="AZ27" s="529">
        <f t="shared" si="58"/>
        <v>4.8470000000000004</v>
      </c>
      <c r="BA27" s="529">
        <f t="shared" ref="BA27:BF27" si="59">ROUND((+BA22/$F$22),3)</f>
        <v>4.8470000000000004</v>
      </c>
      <c r="BB27" s="529">
        <f t="shared" si="59"/>
        <v>3.79</v>
      </c>
      <c r="BC27" s="529">
        <f t="shared" si="59"/>
        <v>5.3079999999999998</v>
      </c>
      <c r="BD27" s="529">
        <f t="shared" si="59"/>
        <v>5.3079999999999998</v>
      </c>
      <c r="BE27" s="529">
        <f t="shared" si="59"/>
        <v>5.3079999999999998</v>
      </c>
      <c r="BF27" s="529">
        <f t="shared" si="59"/>
        <v>5.694</v>
      </c>
      <c r="BG27" s="529">
        <f t="shared" ref="BG27:BL27" si="60">ROUND((+BG22/$F$22),3)</f>
        <v>5.694</v>
      </c>
      <c r="BH27" s="529">
        <f t="shared" si="60"/>
        <v>5.694</v>
      </c>
      <c r="BI27" s="529">
        <f t="shared" si="60"/>
        <v>5.694</v>
      </c>
      <c r="BJ27" s="529">
        <f t="shared" si="60"/>
        <v>6.26</v>
      </c>
      <c r="BK27" s="529">
        <f t="shared" si="60"/>
        <v>6.26</v>
      </c>
      <c r="BL27" s="529">
        <f t="shared" si="60"/>
        <v>6.6340000000000003</v>
      </c>
      <c r="BM27" s="529">
        <f t="shared" ref="BM27:BS27" si="61">ROUND((+BM22/$F$22),3)</f>
        <v>6.6349999999999998</v>
      </c>
      <c r="BN27" s="529">
        <f t="shared" si="61"/>
        <v>6.6349999999999998</v>
      </c>
      <c r="BO27" s="529">
        <f t="shared" si="61"/>
        <v>6.6319999999999997</v>
      </c>
      <c r="BP27" s="529">
        <f t="shared" si="61"/>
        <v>6.6319999999999997</v>
      </c>
      <c r="BQ27" s="529">
        <f t="shared" si="61"/>
        <v>7.3680000000000003</v>
      </c>
      <c r="BR27" s="529">
        <f t="shared" si="61"/>
        <v>6.6319999999999997</v>
      </c>
      <c r="BS27" s="529">
        <f t="shared" si="61"/>
        <v>6.6319999999999997</v>
      </c>
      <c r="BT27" s="529">
        <f t="shared" ref="BT27:BY27" si="62">ROUND((+BT22/$F$22),3)</f>
        <v>6.6319999999999997</v>
      </c>
      <c r="BU27" s="529">
        <f t="shared" si="62"/>
        <v>7.2960000000000003</v>
      </c>
      <c r="BV27" s="529">
        <f t="shared" si="62"/>
        <v>7.4340000000000002</v>
      </c>
      <c r="BW27" s="529">
        <f t="shared" si="62"/>
        <v>7.2960000000000003</v>
      </c>
      <c r="BX27" s="529">
        <f t="shared" si="62"/>
        <v>7.7610000000000001</v>
      </c>
      <c r="BY27" s="529">
        <f t="shared" si="62"/>
        <v>7.6239999999999997</v>
      </c>
      <c r="BZ27" s="529">
        <f t="shared" ref="BZ27:CE27" si="63">ROUND((+BZ22/$F$22),3)</f>
        <v>7.8070000000000004</v>
      </c>
      <c r="CA27" s="529">
        <f t="shared" si="63"/>
        <v>7.9219999999999997</v>
      </c>
      <c r="CB27" s="529">
        <f t="shared" si="63"/>
        <v>7.9219999999999997</v>
      </c>
      <c r="CC27" s="529">
        <f t="shared" si="63"/>
        <v>7.9219999999999997</v>
      </c>
      <c r="CD27" s="529">
        <f t="shared" si="63"/>
        <v>7.9219999999999997</v>
      </c>
      <c r="CE27" s="529">
        <f t="shared" si="63"/>
        <v>7.9219999999999997</v>
      </c>
      <c r="CF27" s="529">
        <f t="shared" ref="CF27:CK27" si="64">ROUND((+CF22/$F$22),3)</f>
        <v>7.9219999999999997</v>
      </c>
      <c r="CG27" s="529">
        <f t="shared" si="64"/>
        <v>7.9219999999999997</v>
      </c>
      <c r="CH27" s="529">
        <f t="shared" si="64"/>
        <v>8.2530000000000001</v>
      </c>
      <c r="CI27" s="529">
        <f t="shared" si="64"/>
        <v>8.6370000000000005</v>
      </c>
      <c r="CJ27" s="529">
        <f t="shared" si="64"/>
        <v>8.6370000000000005</v>
      </c>
      <c r="CK27" s="529">
        <f t="shared" si="64"/>
        <v>8.6370000000000005</v>
      </c>
      <c r="CL27" s="529">
        <f t="shared" ref="CL27:CQ27" si="65">ROUND((+CL22/$F$22),3)</f>
        <v>8.6370000000000005</v>
      </c>
      <c r="CM27" s="529">
        <f t="shared" si="65"/>
        <v>9.1539999999999999</v>
      </c>
      <c r="CN27" s="529">
        <f t="shared" si="65"/>
        <v>9.1539999999999999</v>
      </c>
      <c r="CO27" s="529">
        <f t="shared" si="65"/>
        <v>9.1539999999999999</v>
      </c>
      <c r="CP27" s="529">
        <f t="shared" si="65"/>
        <v>9.1539999999999999</v>
      </c>
      <c r="CQ27" s="529">
        <f t="shared" si="65"/>
        <v>9.1539999999999999</v>
      </c>
      <c r="CR27" s="529">
        <f t="shared" ref="CR27:CW27" si="66">ROUND((+CR22/$F$22),3)</f>
        <v>9.6140000000000008</v>
      </c>
      <c r="CS27" s="529">
        <f t="shared" si="66"/>
        <v>9.6140000000000008</v>
      </c>
      <c r="CT27" s="529">
        <f t="shared" si="66"/>
        <v>10.343999999999999</v>
      </c>
      <c r="CU27" s="529">
        <f t="shared" si="66"/>
        <v>10.343999999999999</v>
      </c>
      <c r="CV27" s="529">
        <f t="shared" si="66"/>
        <v>10.343999999999999</v>
      </c>
      <c r="CW27" s="529">
        <f t="shared" si="66"/>
        <v>10.874000000000001</v>
      </c>
      <c r="CX27" s="965">
        <f t="shared" ref="CX27:DC27" si="67">ROUND((+CX22/$F$22),3)</f>
        <v>10.874000000000001</v>
      </c>
      <c r="CY27" s="965">
        <f t="shared" si="67"/>
        <v>10.874000000000001</v>
      </c>
      <c r="CZ27" s="965">
        <f t="shared" si="67"/>
        <v>10.874000000000001</v>
      </c>
      <c r="DA27" s="965">
        <f t="shared" si="67"/>
        <v>11.632</v>
      </c>
      <c r="DB27" s="965">
        <f t="shared" si="67"/>
        <v>11.632</v>
      </c>
      <c r="DC27" s="965">
        <f t="shared" si="67"/>
        <v>11.632</v>
      </c>
      <c r="DD27" s="965">
        <f t="shared" ref="DD27:DI27" si="68">ROUND((+DD22/$F$22),3)</f>
        <v>11.632</v>
      </c>
      <c r="DE27" s="965">
        <f t="shared" si="68"/>
        <v>13.032</v>
      </c>
      <c r="DF27" s="965">
        <f t="shared" si="68"/>
        <v>13.032</v>
      </c>
      <c r="DG27" s="965">
        <f t="shared" si="68"/>
        <v>13.032</v>
      </c>
      <c r="DH27" s="965">
        <f t="shared" si="68"/>
        <v>13.032</v>
      </c>
      <c r="DI27" s="965">
        <f t="shared" si="68"/>
        <v>13.811</v>
      </c>
      <c r="DJ27" s="965">
        <f t="shared" ref="DJ27:DO27" si="69">ROUND((+DJ22/$F$22),3)</f>
        <v>13.811</v>
      </c>
      <c r="DK27" s="965">
        <f t="shared" si="69"/>
        <v>13.811</v>
      </c>
      <c r="DL27" s="965">
        <f t="shared" si="69"/>
        <v>14.635</v>
      </c>
      <c r="DM27" s="965">
        <f t="shared" si="69"/>
        <v>14.635</v>
      </c>
      <c r="DN27" s="965">
        <f t="shared" si="69"/>
        <v>14.635</v>
      </c>
      <c r="DO27" s="965">
        <f t="shared" si="69"/>
        <v>14.635</v>
      </c>
      <c r="DP27" s="965">
        <f t="shared" ref="DP27:DU27" si="70">ROUND((+DP22/$F$22),3)</f>
        <v>14.635</v>
      </c>
      <c r="DQ27" s="965">
        <f t="shared" si="70"/>
        <v>14.635</v>
      </c>
      <c r="DR27" s="965">
        <f t="shared" si="70"/>
        <v>14.635</v>
      </c>
      <c r="DS27" s="965">
        <f t="shared" si="70"/>
        <v>18.818999999999999</v>
      </c>
      <c r="DT27" s="965">
        <f t="shared" si="70"/>
        <v>18.818999999999999</v>
      </c>
      <c r="DU27" s="965">
        <f t="shared" si="70"/>
        <v>18.818999999999999</v>
      </c>
      <c r="DV27" s="965">
        <f t="shared" ref="DV27:EA27" si="71">ROUND((+DV22/$F$22),3)</f>
        <v>18.818999999999999</v>
      </c>
      <c r="DW27" s="965">
        <f t="shared" si="71"/>
        <v>18.818999999999999</v>
      </c>
      <c r="DX27" s="965">
        <f t="shared" si="71"/>
        <v>18.818999999999999</v>
      </c>
      <c r="DY27" s="965">
        <f t="shared" si="71"/>
        <v>18.818999999999999</v>
      </c>
      <c r="DZ27" s="965">
        <f t="shared" si="71"/>
        <v>18.818999999999999</v>
      </c>
      <c r="EA27" s="965">
        <f t="shared" si="71"/>
        <v>18.818999999999999</v>
      </c>
      <c r="EB27" s="965">
        <f t="shared" ref="EB27:EG27" si="72">ROUND((+EB22/$F$22),3)</f>
        <v>18.818999999999999</v>
      </c>
      <c r="EC27" s="965">
        <f t="shared" si="72"/>
        <v>18.818999999999999</v>
      </c>
      <c r="ED27" s="965">
        <f t="shared" si="72"/>
        <v>18.818999999999999</v>
      </c>
      <c r="EE27" s="965">
        <f t="shared" si="72"/>
        <v>22.207999999999998</v>
      </c>
      <c r="EF27" s="965">
        <f t="shared" si="72"/>
        <v>22.207999999999998</v>
      </c>
      <c r="EG27" s="965">
        <f t="shared" si="72"/>
        <v>22.207999999999998</v>
      </c>
      <c r="EH27" s="965">
        <f t="shared" ref="EH27:EM27" si="73">ROUND((+EH22/$F$22),3)</f>
        <v>23.468</v>
      </c>
      <c r="EI27" s="965">
        <f t="shared" si="73"/>
        <v>23.468</v>
      </c>
      <c r="EJ27" s="965">
        <f t="shared" si="73"/>
        <v>23.541</v>
      </c>
      <c r="EK27" s="965">
        <f t="shared" si="73"/>
        <v>23.541</v>
      </c>
      <c r="EL27" s="965">
        <f t="shared" si="73"/>
        <v>23.541</v>
      </c>
      <c r="EM27" s="965">
        <f t="shared" si="73"/>
        <v>23.541</v>
      </c>
      <c r="EN27" s="965">
        <f t="shared" ref="EN27:ES27" si="74">ROUND((+EN22/$F$22),3)</f>
        <v>23.541</v>
      </c>
      <c r="EO27" s="965">
        <f t="shared" si="74"/>
        <v>27.702999999999999</v>
      </c>
      <c r="EP27" s="965">
        <f t="shared" si="74"/>
        <v>27.702999999999999</v>
      </c>
      <c r="EQ27" s="965">
        <f t="shared" si="74"/>
        <v>27.702999999999999</v>
      </c>
      <c r="ER27" s="965">
        <f t="shared" si="74"/>
        <v>30.472999999999999</v>
      </c>
      <c r="ES27" s="965">
        <f t="shared" si="74"/>
        <v>30.472999999999999</v>
      </c>
      <c r="ET27" s="965">
        <f t="shared" ref="ET27:FB27" si="75">ROUND((+ET22/$F$22),3)</f>
        <v>30.472999999999999</v>
      </c>
      <c r="EU27" s="965">
        <f t="shared" si="75"/>
        <v>30.472999999999999</v>
      </c>
      <c r="EV27" s="965">
        <f t="shared" si="75"/>
        <v>30.472999999999999</v>
      </c>
      <c r="EW27" s="965">
        <f t="shared" si="75"/>
        <v>30.472999999999999</v>
      </c>
      <c r="EX27" s="965">
        <f t="shared" si="75"/>
        <v>30.472999999999999</v>
      </c>
      <c r="EY27" s="965">
        <f t="shared" si="75"/>
        <v>30.472999999999999</v>
      </c>
      <c r="EZ27" s="965">
        <f t="shared" si="75"/>
        <v>30.472999999999999</v>
      </c>
      <c r="FA27" s="965">
        <f t="shared" si="75"/>
        <v>35.771000000000001</v>
      </c>
      <c r="FB27" s="965">
        <f t="shared" si="75"/>
        <v>35.771000000000001</v>
      </c>
      <c r="FC27" s="965">
        <f t="shared" ref="FC27:FH27" si="76">ROUND((+FC22/$F$22),3)</f>
        <v>35.771000000000001</v>
      </c>
      <c r="FD27" s="965">
        <f t="shared" si="76"/>
        <v>35.771000000000001</v>
      </c>
      <c r="FE27" s="965">
        <f t="shared" si="76"/>
        <v>38.825000000000003</v>
      </c>
      <c r="FF27" s="965">
        <f t="shared" si="76"/>
        <v>38.825000000000003</v>
      </c>
      <c r="FG27" s="965">
        <f t="shared" si="76"/>
        <v>38.825000000000003</v>
      </c>
      <c r="FH27" s="965" t="e">
        <f t="shared" si="76"/>
        <v>#REF!</v>
      </c>
      <c r="FI27" s="965" t="e">
        <f t="shared" ref="FI27" si="77">ROUND((+FI22/$F$22),3)</f>
        <v>#REF!</v>
      </c>
      <c r="FJ27" s="965">
        <v>1</v>
      </c>
      <c r="FK27" s="965">
        <f>ROUND((+FK22/$FJ$22),3)</f>
        <v>1</v>
      </c>
      <c r="FL27" s="965">
        <f t="shared" ref="FL27:HW27" si="78">ROUND((+FL22/$FJ$22),3)</f>
        <v>1</v>
      </c>
      <c r="FM27" s="965">
        <f t="shared" si="78"/>
        <v>1.22</v>
      </c>
      <c r="FN27" s="965">
        <f t="shared" si="78"/>
        <v>1.22</v>
      </c>
      <c r="FO27" s="965">
        <f t="shared" si="78"/>
        <v>1.22</v>
      </c>
      <c r="FP27" s="965">
        <f t="shared" si="78"/>
        <v>1.22</v>
      </c>
      <c r="FQ27" s="965">
        <f t="shared" si="78"/>
        <v>1.22</v>
      </c>
      <c r="FR27" s="965">
        <f t="shared" si="78"/>
        <v>1.22</v>
      </c>
      <c r="FS27" s="965">
        <f t="shared" si="78"/>
        <v>1.34</v>
      </c>
      <c r="FT27" s="965">
        <f t="shared" si="78"/>
        <v>1.34</v>
      </c>
      <c r="FU27" s="965">
        <f t="shared" si="78"/>
        <v>1.34</v>
      </c>
      <c r="FV27" s="965">
        <f t="shared" si="78"/>
        <v>1.39</v>
      </c>
      <c r="FW27" s="965">
        <f t="shared" si="78"/>
        <v>1.39</v>
      </c>
      <c r="FX27" s="965">
        <f t="shared" si="78"/>
        <v>1.39</v>
      </c>
      <c r="FY27" s="965">
        <f t="shared" si="78"/>
        <v>1.5429999999999999</v>
      </c>
      <c r="FZ27" s="965">
        <f t="shared" si="78"/>
        <v>1.5429999999999999</v>
      </c>
      <c r="GA27" s="965">
        <f t="shared" si="78"/>
        <v>1.5429999999999999</v>
      </c>
      <c r="GB27" s="965">
        <f t="shared" si="78"/>
        <v>1.6970000000000001</v>
      </c>
      <c r="GC27" s="965">
        <f t="shared" si="78"/>
        <v>1.6970000000000001</v>
      </c>
      <c r="GD27" s="965">
        <f t="shared" si="78"/>
        <v>1.6970000000000001</v>
      </c>
      <c r="GE27" s="965">
        <f t="shared" si="78"/>
        <v>1.6970000000000001</v>
      </c>
      <c r="GF27" s="965">
        <f t="shared" si="78"/>
        <v>1.6970000000000001</v>
      </c>
      <c r="GG27" s="965">
        <f t="shared" si="78"/>
        <v>1.6970000000000001</v>
      </c>
      <c r="GH27" s="965">
        <f t="shared" si="78"/>
        <v>1.6970000000000001</v>
      </c>
      <c r="GI27" s="965">
        <f t="shared" si="78"/>
        <v>1.7230000000000001</v>
      </c>
      <c r="GJ27" s="965">
        <f t="shared" si="78"/>
        <v>1.748</v>
      </c>
      <c r="GK27" s="965">
        <f t="shared" si="78"/>
        <v>1.923</v>
      </c>
      <c r="GL27" s="965">
        <f t="shared" si="78"/>
        <v>1.923</v>
      </c>
      <c r="GM27" s="965">
        <f t="shared" si="78"/>
        <v>1.923</v>
      </c>
      <c r="GN27" s="965">
        <f t="shared" si="78"/>
        <v>1.923</v>
      </c>
      <c r="GO27" s="965">
        <f t="shared" si="78"/>
        <v>2.0190000000000001</v>
      </c>
      <c r="GP27" s="965">
        <f t="shared" si="78"/>
        <v>2.1</v>
      </c>
      <c r="GQ27" s="965">
        <f t="shared" si="78"/>
        <v>2.1629999999999998</v>
      </c>
      <c r="GR27" s="965">
        <f t="shared" si="78"/>
        <v>2.226</v>
      </c>
      <c r="GS27" s="965">
        <f t="shared" si="78"/>
        <v>2.226</v>
      </c>
      <c r="GT27" s="965">
        <f t="shared" si="78"/>
        <v>2.2930000000000001</v>
      </c>
      <c r="GU27" s="965">
        <f t="shared" si="78"/>
        <v>2.2930000000000001</v>
      </c>
      <c r="GV27" s="965">
        <f t="shared" si="78"/>
        <v>2.4529999999999998</v>
      </c>
      <c r="GW27" s="965">
        <f t="shared" si="78"/>
        <v>2.698</v>
      </c>
      <c r="GX27" s="965">
        <f t="shared" si="78"/>
        <v>2.8330000000000002</v>
      </c>
      <c r="GY27" s="965">
        <f t="shared" si="78"/>
        <v>2.8330000000000002</v>
      </c>
      <c r="GZ27" s="965">
        <f t="shared" si="78"/>
        <v>2.9550000000000001</v>
      </c>
      <c r="HA27" s="965">
        <f t="shared" si="78"/>
        <v>3.0579999999999998</v>
      </c>
      <c r="HB27" s="965">
        <f t="shared" si="78"/>
        <v>3.0579999999999998</v>
      </c>
      <c r="HC27" s="965">
        <f t="shared" si="78"/>
        <v>3.2970000000000002</v>
      </c>
      <c r="HD27" s="965">
        <f t="shared" si="78"/>
        <v>3.4950000000000001</v>
      </c>
      <c r="HE27" s="965">
        <f t="shared" si="78"/>
        <v>3.4950000000000001</v>
      </c>
      <c r="HF27" s="965">
        <f t="shared" si="78"/>
        <v>3.7080000000000002</v>
      </c>
      <c r="HG27" s="965">
        <f t="shared" si="78"/>
        <v>3.8570000000000002</v>
      </c>
      <c r="HH27" s="965">
        <f t="shared" si="78"/>
        <v>3.8570000000000002</v>
      </c>
      <c r="HI27" s="965">
        <f t="shared" si="78"/>
        <v>3.8570000000000002</v>
      </c>
      <c r="HJ27" s="965">
        <f t="shared" si="78"/>
        <v>3.8570000000000002</v>
      </c>
      <c r="HK27" s="965">
        <f t="shared" si="78"/>
        <v>3.8570000000000002</v>
      </c>
      <c r="HL27" s="965">
        <f t="shared" si="78"/>
        <v>3.8570000000000002</v>
      </c>
      <c r="HM27" s="965">
        <f t="shared" si="78"/>
        <v>3.8570000000000002</v>
      </c>
      <c r="HN27" s="965">
        <f t="shared" si="78"/>
        <v>3.8570000000000002</v>
      </c>
      <c r="HO27" s="965">
        <f t="shared" si="78"/>
        <v>3.8570000000000002</v>
      </c>
      <c r="HP27" s="965">
        <f t="shared" si="78"/>
        <v>4.8209999999999997</v>
      </c>
      <c r="HQ27" s="965">
        <f t="shared" si="78"/>
        <v>4.8209999999999997</v>
      </c>
      <c r="HR27" s="965">
        <f t="shared" si="78"/>
        <v>4.8209999999999997</v>
      </c>
      <c r="HS27" s="965">
        <f t="shared" si="78"/>
        <v>5.1289999999999996</v>
      </c>
      <c r="HT27" s="965">
        <f t="shared" si="78"/>
        <v>5.1289999999999996</v>
      </c>
      <c r="HU27" s="965">
        <f t="shared" si="78"/>
        <v>5.7450000000000001</v>
      </c>
      <c r="HV27" s="965">
        <f t="shared" si="78"/>
        <v>5.7450000000000001</v>
      </c>
      <c r="HW27" s="965">
        <f t="shared" si="78"/>
        <v>5.7450000000000001</v>
      </c>
      <c r="HX27" s="965">
        <f t="shared" ref="HX27:IO27" si="79">ROUND((+HX22/$FJ$22),3)</f>
        <v>6.258</v>
      </c>
      <c r="HY27" s="965">
        <f t="shared" si="79"/>
        <v>6.258</v>
      </c>
      <c r="HZ27" s="965">
        <f t="shared" si="79"/>
        <v>6.5140000000000002</v>
      </c>
      <c r="IA27" s="965">
        <f t="shared" si="79"/>
        <v>6.8730000000000002</v>
      </c>
      <c r="IB27" s="965">
        <f t="shared" si="79"/>
        <v>6.8730000000000002</v>
      </c>
      <c r="IC27" s="965">
        <f t="shared" si="79"/>
        <v>6.8730000000000002</v>
      </c>
      <c r="ID27" s="965">
        <f t="shared" si="79"/>
        <v>7.13</v>
      </c>
      <c r="IE27" s="965">
        <f t="shared" si="79"/>
        <v>7.4790000000000001</v>
      </c>
      <c r="IF27" s="965">
        <f t="shared" si="79"/>
        <v>7.899</v>
      </c>
      <c r="IG27" s="965">
        <f t="shared" si="79"/>
        <v>7.899</v>
      </c>
      <c r="IH27" s="965">
        <f t="shared" si="79"/>
        <v>8.6920000000000002</v>
      </c>
      <c r="II27" s="965">
        <f t="shared" si="79"/>
        <v>9.48</v>
      </c>
      <c r="IJ27" s="965">
        <f t="shared" si="79"/>
        <v>9.48</v>
      </c>
      <c r="IK27" s="965">
        <f t="shared" si="79"/>
        <v>10.118</v>
      </c>
      <c r="IL27" s="965">
        <f t="shared" si="79"/>
        <v>11.132</v>
      </c>
      <c r="IM27" s="965">
        <f t="shared" si="79"/>
        <v>12.164</v>
      </c>
      <c r="IN27" s="1882">
        <f t="shared" si="79"/>
        <v>13.122</v>
      </c>
      <c r="IO27" s="965">
        <f t="shared" si="79"/>
        <v>13.122</v>
      </c>
      <c r="IP27" s="2481">
        <f t="shared" ref="IP27:IQ27" si="80">ROUND((+IP22/$FJ$22),3)</f>
        <v>13.516</v>
      </c>
      <c r="IQ27" s="2481">
        <f t="shared" si="80"/>
        <v>15.805999999999999</v>
      </c>
    </row>
    <row r="28" spans="3:251">
      <c r="C28" s="2624"/>
      <c r="D28" s="2626" t="s">
        <v>678</v>
      </c>
      <c r="E28" s="2673"/>
      <c r="F28" s="1806">
        <f>+F23/$F$23</f>
        <v>1</v>
      </c>
      <c r="G28" s="1478">
        <f>+G23/$F$23</f>
        <v>3.0283676703645006</v>
      </c>
      <c r="H28" s="1478">
        <f>+H23/$F$23</f>
        <v>3.0469096671949285</v>
      </c>
      <c r="I28" s="1478">
        <f>+I23/$F$23</f>
        <v>3.0391442155309036</v>
      </c>
      <c r="J28" s="1478">
        <f>+J23/$F$23</f>
        <v>3.2176703645007922</v>
      </c>
      <c r="K28" s="1478">
        <f t="shared" ref="K28:AB28" si="81">ROUND((+K23/$F$23),3)</f>
        <v>3.2210000000000001</v>
      </c>
      <c r="L28" s="1478">
        <f t="shared" si="81"/>
        <v>3.2240000000000002</v>
      </c>
      <c r="M28" s="1478">
        <f t="shared" si="81"/>
        <v>3.2229999999999999</v>
      </c>
      <c r="N28" s="1478">
        <f t="shared" si="81"/>
        <v>3.2229999999999999</v>
      </c>
      <c r="O28" s="1478">
        <f t="shared" si="81"/>
        <v>3.1880000000000002</v>
      </c>
      <c r="P28" s="1478">
        <f t="shared" si="81"/>
        <v>3.1659999999999999</v>
      </c>
      <c r="Q28" s="1478">
        <f t="shared" si="81"/>
        <v>3.1659999999999999</v>
      </c>
      <c r="R28" s="1478">
        <f t="shared" si="81"/>
        <v>3.1659999999999999</v>
      </c>
      <c r="S28" s="1478">
        <f t="shared" si="81"/>
        <v>3.1659999999999999</v>
      </c>
      <c r="T28" s="1478">
        <f t="shared" si="81"/>
        <v>3.1659999999999999</v>
      </c>
      <c r="U28" s="1478">
        <f t="shared" si="81"/>
        <v>3.1659999999999999</v>
      </c>
      <c r="V28" s="1478">
        <f t="shared" si="81"/>
        <v>3.169</v>
      </c>
      <c r="W28" s="1478">
        <f t="shared" si="81"/>
        <v>3.169</v>
      </c>
      <c r="X28" s="1478">
        <f t="shared" si="81"/>
        <v>3.173</v>
      </c>
      <c r="Y28" s="1478">
        <f t="shared" si="81"/>
        <v>3.1749999999999998</v>
      </c>
      <c r="Z28" s="1478">
        <f t="shared" si="81"/>
        <v>3.2109999999999999</v>
      </c>
      <c r="AA28" s="1478">
        <f t="shared" si="81"/>
        <v>3.2290000000000001</v>
      </c>
      <c r="AB28" s="1478">
        <f t="shared" si="81"/>
        <v>3.2429999999999999</v>
      </c>
      <c r="AC28" s="1478">
        <f t="shared" ref="AC28:AH28" si="82">ROUND((+AC23/$F$23),3)</f>
        <v>3.3719999999999999</v>
      </c>
      <c r="AD28" s="1478">
        <f t="shared" si="82"/>
        <v>3.4119999999999999</v>
      </c>
      <c r="AE28" s="1478">
        <f t="shared" si="82"/>
        <v>3.4140000000000001</v>
      </c>
      <c r="AF28" s="1478">
        <f t="shared" si="82"/>
        <v>3.415</v>
      </c>
      <c r="AG28" s="1478">
        <f t="shared" si="82"/>
        <v>3.4159999999999999</v>
      </c>
      <c r="AH28" s="1478">
        <f t="shared" si="82"/>
        <v>3.4159999999999999</v>
      </c>
      <c r="AI28" s="1478">
        <f t="shared" ref="AI28:AN28" si="83">ROUND((+AI23/$F$23),3)</f>
        <v>3.4159999999999999</v>
      </c>
      <c r="AJ28" s="1478">
        <f t="shared" si="83"/>
        <v>3.4460000000000002</v>
      </c>
      <c r="AK28" s="1478">
        <f t="shared" si="83"/>
        <v>3.444</v>
      </c>
      <c r="AL28" s="1478">
        <f t="shared" si="83"/>
        <v>3.4369999999999998</v>
      </c>
      <c r="AM28" s="1478">
        <f t="shared" si="83"/>
        <v>3.4089999999999998</v>
      </c>
      <c r="AN28" s="1478">
        <f t="shared" si="83"/>
        <v>3.4089999999999998</v>
      </c>
      <c r="AO28" s="1478">
        <f t="shared" ref="AO28:AT28" si="84">ROUND((+AO23/$F$23),3)</f>
        <v>3.4079999999999999</v>
      </c>
      <c r="AP28" s="1478">
        <f t="shared" si="84"/>
        <v>3.411</v>
      </c>
      <c r="AQ28" s="1478">
        <f t="shared" si="84"/>
        <v>3.4159999999999999</v>
      </c>
      <c r="AR28" s="1478">
        <f t="shared" si="84"/>
        <v>3.4159999999999999</v>
      </c>
      <c r="AS28" s="1478">
        <f t="shared" si="84"/>
        <v>3.4159999999999999</v>
      </c>
      <c r="AT28" s="1478">
        <f t="shared" si="84"/>
        <v>3.4159999999999999</v>
      </c>
      <c r="AU28" s="1478">
        <f t="shared" ref="AU28:AZ28" si="85">ROUND((+AU23/$F$23),3)</f>
        <v>3.4159999999999999</v>
      </c>
      <c r="AV28" s="1478">
        <f t="shared" si="85"/>
        <v>3.496</v>
      </c>
      <c r="AW28" s="1478">
        <f t="shared" si="85"/>
        <v>3.4169999999999998</v>
      </c>
      <c r="AX28" s="1478">
        <f t="shared" si="85"/>
        <v>3.4169999999999998</v>
      </c>
      <c r="AY28" s="1478">
        <f t="shared" si="85"/>
        <v>3.4169999999999998</v>
      </c>
      <c r="AZ28" s="1478">
        <f t="shared" si="85"/>
        <v>3.4169999999999998</v>
      </c>
      <c r="BA28" s="1478">
        <f t="shared" ref="BA28:BF28" si="86">ROUND((+BA23/$F$23),3)</f>
        <v>3.4169999999999998</v>
      </c>
      <c r="BB28" s="1478">
        <f t="shared" si="86"/>
        <v>3.4239999999999999</v>
      </c>
      <c r="BC28" s="1478">
        <f t="shared" si="86"/>
        <v>3.4169999999999998</v>
      </c>
      <c r="BD28" s="1478">
        <f t="shared" si="86"/>
        <v>3.4169999999999998</v>
      </c>
      <c r="BE28" s="1478">
        <f t="shared" si="86"/>
        <v>3.4169999999999998</v>
      </c>
      <c r="BF28" s="1478">
        <f t="shared" si="86"/>
        <v>3.4169999999999998</v>
      </c>
      <c r="BG28" s="1478">
        <f t="shared" ref="BG28:BL28" si="87">ROUND((+BG23/$F$23),3)</f>
        <v>3.4169999999999998</v>
      </c>
      <c r="BH28" s="1478">
        <f t="shared" si="87"/>
        <v>3.4169999999999998</v>
      </c>
      <c r="BI28" s="1478">
        <f t="shared" si="87"/>
        <v>3.4169999999999998</v>
      </c>
      <c r="BJ28" s="1478">
        <f t="shared" si="87"/>
        <v>3.4510000000000001</v>
      </c>
      <c r="BK28" s="1478">
        <f t="shared" si="87"/>
        <v>3.47</v>
      </c>
      <c r="BL28" s="1478">
        <f t="shared" si="87"/>
        <v>3.52</v>
      </c>
      <c r="BM28" s="1478">
        <f t="shared" ref="BM28:BS28" si="88">ROUND((+BM23/$F$23),3)</f>
        <v>3.4940000000000002</v>
      </c>
      <c r="BN28" s="1478">
        <f t="shared" si="88"/>
        <v>3.5129999999999999</v>
      </c>
      <c r="BO28" s="1478">
        <f t="shared" si="88"/>
        <v>3.528</v>
      </c>
      <c r="BP28" s="1478">
        <f t="shared" si="88"/>
        <v>3.552</v>
      </c>
      <c r="BQ28" s="1478">
        <f t="shared" si="88"/>
        <v>3.6139999999999999</v>
      </c>
      <c r="BR28" s="1478">
        <f t="shared" si="88"/>
        <v>3.5550000000000002</v>
      </c>
      <c r="BS28" s="1478">
        <f t="shared" si="88"/>
        <v>3.331</v>
      </c>
      <c r="BT28" s="1478">
        <f t="shared" ref="BT28:BY28" si="89">ROUND((+BT23/$F$23),3)</f>
        <v>3.3130000000000002</v>
      </c>
      <c r="BU28" s="1478">
        <f t="shared" si="89"/>
        <v>3.3540000000000001</v>
      </c>
      <c r="BV28" s="1478">
        <f t="shared" si="89"/>
        <v>3.4769999999999999</v>
      </c>
      <c r="BW28" s="1478">
        <f t="shared" si="89"/>
        <v>3.556</v>
      </c>
      <c r="BX28" s="1478">
        <f t="shared" si="89"/>
        <v>3.5990000000000002</v>
      </c>
      <c r="BY28" s="1478">
        <f t="shared" si="89"/>
        <v>3.5710000000000002</v>
      </c>
      <c r="BZ28" s="1478">
        <f t="shared" ref="BZ28:CE28" si="90">ROUND((+BZ23/$F$23),3)</f>
        <v>3.59</v>
      </c>
      <c r="CA28" s="1478">
        <f t="shared" si="90"/>
        <v>3.6030000000000002</v>
      </c>
      <c r="CB28" s="1478">
        <f t="shared" si="90"/>
        <v>3.6349999999999998</v>
      </c>
      <c r="CC28" s="1478">
        <f t="shared" si="90"/>
        <v>3.6709999999999998</v>
      </c>
      <c r="CD28" s="1478">
        <f t="shared" si="90"/>
        <v>3.7349999999999999</v>
      </c>
      <c r="CE28" s="1478">
        <f t="shared" si="90"/>
        <v>3.82</v>
      </c>
      <c r="CF28" s="1478">
        <f t="shared" ref="CF28:CK28" si="91">ROUND((+CF23/$F$23),3)</f>
        <v>3.93</v>
      </c>
      <c r="CG28" s="1478">
        <f t="shared" si="91"/>
        <v>4.1130000000000004</v>
      </c>
      <c r="CH28" s="1478">
        <f t="shared" si="91"/>
        <v>4.2389999999999999</v>
      </c>
      <c r="CI28" s="1478">
        <f t="shared" si="91"/>
        <v>4.4000000000000004</v>
      </c>
      <c r="CJ28" s="1478">
        <f t="shared" si="91"/>
        <v>4.6130000000000004</v>
      </c>
      <c r="CK28" s="1478">
        <f t="shared" si="91"/>
        <v>4.6319999999999997</v>
      </c>
      <c r="CL28" s="1478">
        <f t="shared" ref="CL28:CQ28" si="92">ROUND((+CL23/$F$23),3)</f>
        <v>4.6470000000000002</v>
      </c>
      <c r="CM28" s="1478">
        <f t="shared" si="92"/>
        <v>4.79</v>
      </c>
      <c r="CN28" s="1478">
        <f t="shared" si="92"/>
        <v>4.8079999999999998</v>
      </c>
      <c r="CO28" s="1478">
        <f t="shared" si="92"/>
        <v>4.8289999999999997</v>
      </c>
      <c r="CP28" s="1478">
        <f t="shared" si="92"/>
        <v>4.8319999999999999</v>
      </c>
      <c r="CQ28" s="1478">
        <f t="shared" si="92"/>
        <v>4.8390000000000004</v>
      </c>
      <c r="CR28" s="1478">
        <f t="shared" ref="CR28:CW28" si="93">ROUND((+CR23/$F$23),3)</f>
        <v>4.875</v>
      </c>
      <c r="CS28" s="1478">
        <f t="shared" si="93"/>
        <v>5.0359999999999996</v>
      </c>
      <c r="CT28" s="1478">
        <f t="shared" si="93"/>
        <v>5.194</v>
      </c>
      <c r="CU28" s="1478">
        <f t="shared" si="93"/>
        <v>5.3840000000000003</v>
      </c>
      <c r="CV28" s="1478">
        <f t="shared" si="93"/>
        <v>5.4950000000000001</v>
      </c>
      <c r="CW28" s="1478">
        <f t="shared" si="93"/>
        <v>5.6230000000000002</v>
      </c>
      <c r="CX28" s="1479">
        <f t="shared" ref="CX28:DC28" si="94">ROUND((+CX23/$F$23),3)</f>
        <v>5.7140000000000004</v>
      </c>
      <c r="CY28" s="1479">
        <f t="shared" si="94"/>
        <v>5.7140000000000004</v>
      </c>
      <c r="CZ28" s="1479">
        <f t="shared" si="94"/>
        <v>5.7569999999999997</v>
      </c>
      <c r="DA28" s="1479">
        <f t="shared" si="94"/>
        <v>5.9080000000000004</v>
      </c>
      <c r="DB28" s="1479">
        <f t="shared" si="94"/>
        <v>6.1449999999999996</v>
      </c>
      <c r="DC28" s="1479">
        <f t="shared" si="94"/>
        <v>6.16</v>
      </c>
      <c r="DD28" s="1479">
        <f t="shared" ref="DD28:DI28" si="95">ROUND((+DD23/$F$23),3)</f>
        <v>6.2140000000000004</v>
      </c>
      <c r="DE28" s="1479">
        <f t="shared" si="95"/>
        <v>6.5190000000000001</v>
      </c>
      <c r="DF28" s="1479">
        <f t="shared" si="95"/>
        <v>6.6239999999999997</v>
      </c>
      <c r="DG28" s="1479">
        <f t="shared" si="95"/>
        <v>6.6769999999999996</v>
      </c>
      <c r="DH28" s="1479">
        <f t="shared" si="95"/>
        <v>6.8029999999999999</v>
      </c>
      <c r="DI28" s="1479">
        <f t="shared" si="95"/>
        <v>6.8849999999999998</v>
      </c>
      <c r="DJ28" s="1479">
        <f t="shared" ref="DJ28:DO28" si="96">ROUND((+DJ23/$F$23),3)</f>
        <v>6.96</v>
      </c>
      <c r="DK28" s="1479">
        <f t="shared" si="96"/>
        <v>7.0170000000000003</v>
      </c>
      <c r="DL28" s="1479">
        <f t="shared" si="96"/>
        <v>7.0170000000000003</v>
      </c>
      <c r="DM28" s="1479">
        <f t="shared" si="96"/>
        <v>7.0780000000000003</v>
      </c>
      <c r="DN28" s="1479">
        <f t="shared" si="96"/>
        <v>7.3609999999999998</v>
      </c>
      <c r="DO28" s="1479">
        <f t="shared" si="96"/>
        <v>7.4</v>
      </c>
      <c r="DP28" s="1479">
        <f t="shared" ref="DP28:DU28" si="97">ROUND((+DP23/$F$23),3)</f>
        <v>7.4980000000000002</v>
      </c>
      <c r="DQ28" s="1479">
        <f t="shared" si="97"/>
        <v>7.5369999999999999</v>
      </c>
      <c r="DR28" s="1479">
        <f t="shared" si="97"/>
        <v>7.7050000000000001</v>
      </c>
      <c r="DS28" s="1479">
        <f t="shared" si="97"/>
        <v>7.7069999999999999</v>
      </c>
      <c r="DT28" s="1479">
        <f t="shared" si="97"/>
        <v>7.9130000000000003</v>
      </c>
      <c r="DU28" s="1479">
        <f t="shared" si="97"/>
        <v>7.9530000000000003</v>
      </c>
      <c r="DV28" s="1479">
        <f t="shared" ref="DV28:EA28" si="98">ROUND((+DV23/$F$23),3)</f>
        <v>7.9589999999999996</v>
      </c>
      <c r="DW28" s="1479">
        <f t="shared" si="98"/>
        <v>7.96</v>
      </c>
      <c r="DX28" s="1479">
        <f t="shared" si="98"/>
        <v>8.0510000000000002</v>
      </c>
      <c r="DY28" s="1479">
        <f t="shared" si="98"/>
        <v>8.0570000000000004</v>
      </c>
      <c r="DZ28" s="1479">
        <f t="shared" si="98"/>
        <v>8.1189999999999998</v>
      </c>
      <c r="EA28" s="1479">
        <f t="shared" si="98"/>
        <v>8.1839999999999993</v>
      </c>
      <c r="EB28" s="1479">
        <f t="shared" ref="EB28:EG28" si="99">ROUND((+EB23/$F$23),3)</f>
        <v>8.3629999999999995</v>
      </c>
      <c r="EC28" s="1479">
        <f t="shared" si="99"/>
        <v>8.5380000000000003</v>
      </c>
      <c r="ED28" s="1479">
        <f t="shared" si="99"/>
        <v>8.6639999999999997</v>
      </c>
      <c r="EE28" s="1479">
        <f t="shared" si="99"/>
        <v>8.7889999999999997</v>
      </c>
      <c r="EF28" s="1479">
        <f t="shared" si="99"/>
        <v>8.8670000000000009</v>
      </c>
      <c r="EG28" s="1479">
        <f t="shared" si="99"/>
        <v>8.9269999999999996</v>
      </c>
      <c r="EH28" s="1479">
        <f t="shared" ref="EH28:EM28" si="100">ROUND((+EH23/$F$23),3)</f>
        <v>8.9580000000000002</v>
      </c>
      <c r="EI28" s="1479">
        <f t="shared" si="100"/>
        <v>8.9580000000000002</v>
      </c>
      <c r="EJ28" s="1479">
        <f t="shared" si="100"/>
        <v>8.9719999999999995</v>
      </c>
      <c r="EK28" s="1479">
        <f t="shared" si="100"/>
        <v>9.048</v>
      </c>
      <c r="EL28" s="1479">
        <f t="shared" si="100"/>
        <v>9.4139999999999997</v>
      </c>
      <c r="EM28" s="1479">
        <f t="shared" si="100"/>
        <v>9.61</v>
      </c>
      <c r="EN28" s="1479">
        <f t="shared" ref="EN28:ES28" si="101">ROUND((+EN23/$F$23),3)</f>
        <v>10.098000000000001</v>
      </c>
      <c r="EO28" s="1479">
        <f t="shared" si="101"/>
        <v>10.887</v>
      </c>
      <c r="EP28" s="1479">
        <f t="shared" si="101"/>
        <v>10.989000000000001</v>
      </c>
      <c r="EQ28" s="1479">
        <f t="shared" si="101"/>
        <v>11.066000000000001</v>
      </c>
      <c r="ER28" s="1479">
        <f t="shared" si="101"/>
        <v>11.641999999999999</v>
      </c>
      <c r="ES28" s="1479">
        <f t="shared" si="101"/>
        <v>11.708</v>
      </c>
      <c r="ET28" s="1479">
        <f t="shared" ref="ET28:FB28" si="102">ROUND((+ET23/$F$23),3)</f>
        <v>11.928000000000001</v>
      </c>
      <c r="EU28" s="1479">
        <f t="shared" si="102"/>
        <v>11.978999999999999</v>
      </c>
      <c r="EV28" s="1479">
        <f t="shared" si="102"/>
        <v>11.98</v>
      </c>
      <c r="EW28" s="1479">
        <f t="shared" si="102"/>
        <v>11.98</v>
      </c>
      <c r="EX28" s="1479">
        <f t="shared" si="102"/>
        <v>11.45</v>
      </c>
      <c r="EY28" s="1479">
        <f t="shared" si="102"/>
        <v>11.587999999999999</v>
      </c>
      <c r="EZ28" s="1479">
        <f t="shared" si="102"/>
        <v>11.731</v>
      </c>
      <c r="FA28" s="1479">
        <f t="shared" si="102"/>
        <v>11.753</v>
      </c>
      <c r="FB28" s="1479">
        <f t="shared" si="102"/>
        <v>11.929</v>
      </c>
      <c r="FC28" s="1479">
        <f t="shared" ref="FC28:FH28" si="103">ROUND((+FC23/$F$23),3)</f>
        <v>12.169</v>
      </c>
      <c r="FD28" s="1479">
        <f t="shared" si="103"/>
        <v>12.307</v>
      </c>
      <c r="FE28" s="1479">
        <f t="shared" si="103"/>
        <v>12.475</v>
      </c>
      <c r="FF28" s="1479">
        <f t="shared" si="103"/>
        <v>12.5</v>
      </c>
      <c r="FG28" s="1479">
        <f t="shared" si="103"/>
        <v>12.5</v>
      </c>
      <c r="FH28" s="1479" t="e">
        <f t="shared" si="103"/>
        <v>#REF!</v>
      </c>
      <c r="FI28" s="1479" t="e">
        <f t="shared" ref="FI28" si="104">ROUND((+FI23/$F$23),3)</f>
        <v>#REF!</v>
      </c>
      <c r="FJ28" s="1479">
        <v>1</v>
      </c>
      <c r="FK28" s="1479">
        <f>ROUND((+FK23/$FJ$23),3)</f>
        <v>1</v>
      </c>
      <c r="FL28" s="1479">
        <f t="shared" ref="FL28:HW28" si="105">ROUND((+FL23/$FJ$23),3)</f>
        <v>1.0620000000000001</v>
      </c>
      <c r="FM28" s="1479">
        <f t="shared" si="105"/>
        <v>1.127</v>
      </c>
      <c r="FN28" s="1479">
        <f t="shared" si="105"/>
        <v>1.2390000000000001</v>
      </c>
      <c r="FO28" s="1479">
        <f t="shared" si="105"/>
        <v>1.2390000000000001</v>
      </c>
      <c r="FP28" s="1479">
        <f t="shared" si="105"/>
        <v>1.2390000000000001</v>
      </c>
      <c r="FQ28" s="1479">
        <f t="shared" si="105"/>
        <v>1.2390000000000001</v>
      </c>
      <c r="FR28" s="1479">
        <f t="shared" si="105"/>
        <v>1.2390000000000001</v>
      </c>
      <c r="FS28" s="1479">
        <f t="shared" si="105"/>
        <v>1.2390000000000001</v>
      </c>
      <c r="FT28" s="1479">
        <f t="shared" si="105"/>
        <v>1.2390000000000001</v>
      </c>
      <c r="FU28" s="1479">
        <f t="shared" si="105"/>
        <v>1.2390000000000001</v>
      </c>
      <c r="FV28" s="1479">
        <f t="shared" si="105"/>
        <v>1.272</v>
      </c>
      <c r="FW28" s="1479">
        <f t="shared" si="105"/>
        <v>1.3380000000000001</v>
      </c>
      <c r="FX28" s="1479">
        <f t="shared" si="105"/>
        <v>1.3380000000000001</v>
      </c>
      <c r="FY28" s="1479">
        <f t="shared" si="105"/>
        <v>1.3380000000000001</v>
      </c>
      <c r="FZ28" s="1479">
        <f t="shared" si="105"/>
        <v>1.304</v>
      </c>
      <c r="GA28" s="1479">
        <f t="shared" si="105"/>
        <v>1.304</v>
      </c>
      <c r="GB28" s="1479">
        <f t="shared" si="105"/>
        <v>1.3819999999999999</v>
      </c>
      <c r="GC28" s="1479">
        <f t="shared" si="105"/>
        <v>1.3819999999999999</v>
      </c>
      <c r="GD28" s="1479">
        <f t="shared" si="105"/>
        <v>1.3819999999999999</v>
      </c>
      <c r="GE28" s="1479">
        <f t="shared" si="105"/>
        <v>1.425</v>
      </c>
      <c r="GF28" s="1479">
        <f t="shared" si="105"/>
        <v>1.512</v>
      </c>
      <c r="GG28" s="1479">
        <f t="shared" si="105"/>
        <v>1.603</v>
      </c>
      <c r="GH28" s="1479">
        <f t="shared" si="105"/>
        <v>1.603</v>
      </c>
      <c r="GI28" s="1479">
        <f t="shared" si="105"/>
        <v>1.794</v>
      </c>
      <c r="GJ28" s="1479">
        <f t="shared" si="105"/>
        <v>1.794</v>
      </c>
      <c r="GK28" s="1479">
        <f t="shared" si="105"/>
        <v>1.839</v>
      </c>
      <c r="GL28" s="1479">
        <f t="shared" si="105"/>
        <v>1.839</v>
      </c>
      <c r="GM28" s="1479">
        <f t="shared" si="105"/>
        <v>1.819</v>
      </c>
      <c r="GN28" s="1479">
        <f t="shared" si="105"/>
        <v>2.0049999999999999</v>
      </c>
      <c r="GO28" s="1479">
        <f t="shared" si="105"/>
        <v>2.133</v>
      </c>
      <c r="GP28" s="1479">
        <f t="shared" si="105"/>
        <v>2.403</v>
      </c>
      <c r="GQ28" s="1479">
        <f t="shared" si="105"/>
        <v>2.6179999999999999</v>
      </c>
      <c r="GR28" s="1479">
        <f t="shared" si="105"/>
        <v>2.7040000000000002</v>
      </c>
      <c r="GS28" s="1479">
        <f t="shared" si="105"/>
        <v>2.7850000000000001</v>
      </c>
      <c r="GT28" s="1479">
        <f t="shared" si="105"/>
        <v>2.68</v>
      </c>
      <c r="GU28" s="1479">
        <f t="shared" si="105"/>
        <v>2.9119999999999999</v>
      </c>
      <c r="GV28" s="1479">
        <f t="shared" si="105"/>
        <v>2.9</v>
      </c>
      <c r="GW28" s="1479">
        <f t="shared" si="105"/>
        <v>3.0409999999999999</v>
      </c>
      <c r="GX28" s="1479">
        <f t="shared" si="105"/>
        <v>3.1779999999999999</v>
      </c>
      <c r="GY28" s="1479">
        <f t="shared" si="105"/>
        <v>3.2229999999999999</v>
      </c>
      <c r="GZ28" s="1479">
        <f t="shared" si="105"/>
        <v>3.2810000000000001</v>
      </c>
      <c r="HA28" s="1479">
        <f t="shared" si="105"/>
        <v>3.28</v>
      </c>
      <c r="HB28" s="1479">
        <f t="shared" si="105"/>
        <v>3.4159999999999999</v>
      </c>
      <c r="HC28" s="1479">
        <f t="shared" si="105"/>
        <v>3.4140000000000001</v>
      </c>
      <c r="HD28" s="1479">
        <f t="shared" si="105"/>
        <v>3.778</v>
      </c>
      <c r="HE28" s="1479">
        <f t="shared" si="105"/>
        <v>4.0270000000000001</v>
      </c>
      <c r="HF28" s="1479">
        <f t="shared" si="105"/>
        <v>4.0270000000000001</v>
      </c>
      <c r="HG28" s="1479">
        <f t="shared" si="105"/>
        <v>4.0270000000000001</v>
      </c>
      <c r="HH28" s="1479">
        <f t="shared" si="105"/>
        <v>4.024</v>
      </c>
      <c r="HI28" s="1479">
        <f t="shared" si="105"/>
        <v>4.024</v>
      </c>
      <c r="HJ28" s="1479">
        <f t="shared" si="105"/>
        <v>4.0270000000000001</v>
      </c>
      <c r="HK28" s="1479">
        <f t="shared" si="105"/>
        <v>4.0220000000000002</v>
      </c>
      <c r="HL28" s="1479">
        <f t="shared" si="105"/>
        <v>4.0220000000000002</v>
      </c>
      <c r="HM28" s="1479">
        <f t="shared" si="105"/>
        <v>4.1379999999999999</v>
      </c>
      <c r="HN28" s="1479">
        <f t="shared" si="105"/>
        <v>4.32</v>
      </c>
      <c r="HO28" s="1479">
        <f t="shared" si="105"/>
        <v>4.4820000000000002</v>
      </c>
      <c r="HP28" s="1479">
        <f t="shared" si="105"/>
        <v>4.5350000000000001</v>
      </c>
      <c r="HQ28" s="1479">
        <f t="shared" si="105"/>
        <v>4.8490000000000002</v>
      </c>
      <c r="HR28" s="1479">
        <f t="shared" si="105"/>
        <v>5.0220000000000002</v>
      </c>
      <c r="HS28" s="1479">
        <f t="shared" si="105"/>
        <v>5.52</v>
      </c>
      <c r="HT28" s="1479">
        <f t="shared" si="105"/>
        <v>6.2309999999999999</v>
      </c>
      <c r="HU28" s="1479">
        <f t="shared" si="105"/>
        <v>6.6210000000000004</v>
      </c>
      <c r="HV28" s="1479">
        <f t="shared" si="105"/>
        <v>7.2039999999999997</v>
      </c>
      <c r="HW28" s="1479">
        <f t="shared" si="105"/>
        <v>7.2089999999999996</v>
      </c>
      <c r="HX28" s="1479">
        <f t="shared" ref="HX28:IO28" si="106">ROUND((+HX23/$FJ$23),3)</f>
        <v>7.2089999999999996</v>
      </c>
      <c r="HY28" s="1479">
        <f t="shared" si="106"/>
        <v>7.3659999999999997</v>
      </c>
      <c r="HZ28" s="1479">
        <f t="shared" si="106"/>
        <v>7.2140000000000004</v>
      </c>
      <c r="IA28" s="1479">
        <f t="shared" si="106"/>
        <v>7.2149999999999999</v>
      </c>
      <c r="IB28" s="1479">
        <f t="shared" si="106"/>
        <v>7.2149999999999999</v>
      </c>
      <c r="IC28" s="1479">
        <f t="shared" si="106"/>
        <v>7.202</v>
      </c>
      <c r="ID28" s="1479">
        <f t="shared" si="106"/>
        <v>7.2249999999999996</v>
      </c>
      <c r="IE28" s="1479">
        <f t="shared" si="106"/>
        <v>7.8780000000000001</v>
      </c>
      <c r="IF28" s="1479">
        <f t="shared" si="106"/>
        <v>8.7650000000000006</v>
      </c>
      <c r="IG28" s="1479">
        <f t="shared" si="106"/>
        <v>9.0399999999999991</v>
      </c>
      <c r="IH28" s="1479">
        <f t="shared" si="106"/>
        <v>10.157</v>
      </c>
      <c r="II28" s="1479">
        <f t="shared" si="106"/>
        <v>11.522</v>
      </c>
      <c r="IJ28" s="1479">
        <f t="shared" si="106"/>
        <v>11.907</v>
      </c>
      <c r="IK28" s="1479">
        <f t="shared" si="106"/>
        <v>12.29</v>
      </c>
      <c r="IL28" s="1479">
        <f t="shared" si="106"/>
        <v>12.29</v>
      </c>
      <c r="IM28" s="1479">
        <f t="shared" si="106"/>
        <v>13.175000000000001</v>
      </c>
      <c r="IN28" s="2483">
        <f t="shared" si="106"/>
        <v>15.792</v>
      </c>
      <c r="IO28" s="1479">
        <f t="shared" si="106"/>
        <v>17.451000000000001</v>
      </c>
      <c r="IP28" s="2485">
        <f t="shared" ref="IP28:IQ28" si="107">ROUND((+IP23/$FJ$23),3)</f>
        <v>17.753</v>
      </c>
      <c r="IQ28" s="2485">
        <f t="shared" si="107"/>
        <v>19.341000000000001</v>
      </c>
    </row>
    <row r="29" spans="3:251" ht="16.5" thickBot="1">
      <c r="C29" s="1357" t="s">
        <v>146</v>
      </c>
      <c r="F29" s="1807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1808"/>
      <c r="S29" s="1808"/>
      <c r="T29" s="1808"/>
      <c r="U29" s="540"/>
      <c r="V29" s="1808"/>
      <c r="W29" s="540"/>
      <c r="X29" s="540"/>
      <c r="Y29" s="1808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  <c r="AJ29" s="540"/>
      <c r="AK29" s="540"/>
      <c r="AL29" s="540"/>
      <c r="AM29" s="540"/>
      <c r="AN29" s="540"/>
      <c r="AO29" s="540"/>
      <c r="AP29" s="540"/>
      <c r="AQ29" s="540"/>
      <c r="AR29" s="540"/>
      <c r="AS29" s="540"/>
      <c r="AT29" s="540"/>
      <c r="AU29" s="540"/>
      <c r="AV29" s="540"/>
      <c r="AW29" s="540"/>
      <c r="AX29" s="540"/>
      <c r="AY29" s="540"/>
      <c r="AZ29" s="540"/>
      <c r="BA29" s="540"/>
      <c r="BB29" s="540"/>
      <c r="BC29" s="540"/>
      <c r="BD29" s="540"/>
      <c r="BE29" s="540"/>
      <c r="BF29" s="540"/>
      <c r="BG29" s="540"/>
      <c r="BH29" s="540"/>
      <c r="BI29" s="540"/>
      <c r="BJ29" s="540"/>
      <c r="BK29" s="540"/>
      <c r="BL29" s="540"/>
      <c r="BM29" s="540"/>
      <c r="BN29" s="540"/>
      <c r="BO29" s="540"/>
      <c r="BP29" s="540"/>
      <c r="BQ29" s="540"/>
      <c r="BR29" s="540"/>
      <c r="BS29" s="540"/>
      <c r="BT29" s="540"/>
      <c r="BU29" s="540"/>
      <c r="BV29" s="540"/>
      <c r="BW29" s="540"/>
      <c r="BX29" s="540"/>
      <c r="BY29" s="540"/>
      <c r="BZ29" s="540"/>
      <c r="CA29" s="540"/>
      <c r="CB29" s="540"/>
      <c r="CC29" s="540"/>
      <c r="CD29" s="540"/>
      <c r="CE29" s="540"/>
      <c r="CF29" s="540"/>
      <c r="CG29" s="540"/>
      <c r="CH29" s="540"/>
      <c r="CI29" s="540"/>
      <c r="CJ29" s="540"/>
      <c r="CK29" s="540"/>
      <c r="CL29" s="540"/>
      <c r="CM29" s="540"/>
      <c r="CN29" s="540"/>
      <c r="CO29" s="540"/>
      <c r="CP29" s="540"/>
      <c r="CQ29" s="540"/>
      <c r="CR29" s="540"/>
      <c r="CS29" s="540"/>
      <c r="CT29" s="540"/>
      <c r="CU29" s="540"/>
      <c r="CV29" s="540"/>
      <c r="CW29" s="540"/>
      <c r="CX29" s="1480"/>
      <c r="CY29" s="1480"/>
      <c r="CZ29" s="1480"/>
      <c r="DA29" s="1809"/>
      <c r="DB29" s="1809"/>
      <c r="DC29" s="1809"/>
      <c r="DD29" s="1809"/>
      <c r="DE29" s="1809"/>
      <c r="DF29" s="1809"/>
      <c r="DG29" s="1809"/>
      <c r="DH29" s="1809"/>
      <c r="DI29" s="1809"/>
      <c r="DJ29" s="1809"/>
      <c r="DK29" s="1809"/>
      <c r="DL29" s="1809"/>
      <c r="DM29" s="1809"/>
      <c r="DN29" s="1809"/>
      <c r="DO29" s="1809"/>
      <c r="DP29" s="1809"/>
      <c r="DQ29" s="1809"/>
      <c r="DR29" s="1809"/>
      <c r="DS29" s="1809"/>
      <c r="DT29" s="1809"/>
      <c r="DU29" s="1809"/>
      <c r="DV29" s="1809"/>
      <c r="DW29" s="1809"/>
      <c r="DX29" s="1809"/>
      <c r="DY29" s="1809"/>
      <c r="DZ29" s="1809"/>
      <c r="EA29" s="1809"/>
      <c r="EB29" s="1809"/>
      <c r="EC29" s="1809"/>
      <c r="ED29" s="1809"/>
      <c r="EE29" s="1809"/>
      <c r="EF29" s="1809"/>
      <c r="EG29" s="1809"/>
      <c r="EH29" s="1809"/>
      <c r="EI29" s="1809"/>
      <c r="EJ29" s="1809"/>
      <c r="EK29" s="1809"/>
      <c r="EL29" s="1809"/>
      <c r="EM29" s="1809"/>
      <c r="EN29" s="1809"/>
      <c r="EO29" s="1809"/>
      <c r="EP29" s="1809"/>
      <c r="EQ29" s="1809"/>
      <c r="ER29" s="1809"/>
      <c r="ES29" s="1809"/>
      <c r="ET29" s="1809"/>
      <c r="EU29" s="1809"/>
      <c r="EV29" s="1809"/>
      <c r="EW29" s="1809"/>
      <c r="EX29" s="1809"/>
      <c r="EY29" s="1809"/>
      <c r="EZ29" s="1809"/>
      <c r="FA29" s="1809"/>
      <c r="FB29" s="1809"/>
      <c r="FC29" s="1809"/>
      <c r="FD29" s="1809"/>
      <c r="FE29" s="1809"/>
      <c r="FF29" s="1809"/>
      <c r="FG29" s="1809"/>
      <c r="FH29" s="1809"/>
      <c r="FI29" s="1809"/>
      <c r="FJ29" s="1809"/>
      <c r="FK29" s="1809"/>
      <c r="FL29" s="1809"/>
      <c r="FM29" s="1809"/>
      <c r="FN29" s="1809"/>
      <c r="FO29" s="1809"/>
      <c r="FP29" s="1809"/>
      <c r="FQ29" s="1809"/>
      <c r="FR29" s="1809"/>
      <c r="FS29" s="1809"/>
      <c r="FT29" s="1809"/>
      <c r="FU29" s="1809"/>
      <c r="FV29" s="1809"/>
      <c r="FW29" s="1809"/>
      <c r="FX29" s="1809"/>
      <c r="FY29" s="1809"/>
      <c r="FZ29" s="1809"/>
      <c r="GA29" s="1809"/>
      <c r="GB29" s="1809"/>
      <c r="GC29" s="1809"/>
      <c r="GD29" s="1809"/>
      <c r="GE29" s="1809"/>
      <c r="GF29" s="1809"/>
      <c r="GG29" s="1809"/>
      <c r="GH29" s="1809"/>
      <c r="GI29" s="1809"/>
      <c r="GJ29" s="1809"/>
      <c r="GK29" s="1809"/>
      <c r="GL29" s="1809"/>
      <c r="GM29" s="1809"/>
      <c r="GN29" s="1809"/>
      <c r="GO29" s="1809"/>
      <c r="GP29" s="1809"/>
      <c r="GQ29" s="1809"/>
      <c r="GR29" s="1809"/>
      <c r="GS29" s="1809"/>
      <c r="GT29" s="1809"/>
      <c r="GU29" s="1809"/>
      <c r="GV29" s="1809"/>
      <c r="GW29" s="1809"/>
      <c r="GX29" s="1809"/>
      <c r="GY29" s="1809"/>
      <c r="GZ29" s="1809"/>
      <c r="HA29" s="1809"/>
      <c r="HB29" s="1809"/>
      <c r="HC29" s="1809"/>
      <c r="HD29" s="1809"/>
      <c r="HE29" s="1810"/>
      <c r="HF29" s="1883"/>
      <c r="HG29" s="1883"/>
      <c r="HH29" s="1883"/>
      <c r="HI29" s="1883"/>
      <c r="HJ29" s="1883"/>
      <c r="HK29" s="1883"/>
      <c r="HL29" s="1883"/>
      <c r="HM29" s="1883"/>
      <c r="HN29" s="1883"/>
      <c r="HO29" s="1883"/>
      <c r="HP29" s="1883"/>
      <c r="HQ29" s="1810"/>
      <c r="HR29" s="1955"/>
      <c r="HS29" s="1883"/>
      <c r="HT29" s="1809"/>
      <c r="HU29" s="1883"/>
      <c r="HV29" s="1883"/>
      <c r="HW29" s="1883"/>
      <c r="HX29" s="1883"/>
      <c r="HY29" s="1809"/>
      <c r="HZ29" s="1883"/>
      <c r="IA29" s="1883"/>
      <c r="IB29" s="1883"/>
      <c r="IC29" s="1883"/>
      <c r="ID29" s="1809"/>
      <c r="IE29" s="1883"/>
      <c r="IF29" s="1809"/>
      <c r="IG29" s="1883"/>
      <c r="IH29" s="1883"/>
      <c r="II29" s="1883"/>
      <c r="IJ29" s="1809"/>
      <c r="IK29" s="1883"/>
      <c r="IL29" s="1809"/>
      <c r="IM29" s="1883"/>
      <c r="IN29" s="1883"/>
      <c r="IO29" s="1809"/>
      <c r="IP29" s="2486"/>
      <c r="IQ29" s="2486"/>
    </row>
    <row r="30" spans="3:251" ht="18" customHeight="1" thickBot="1">
      <c r="C30" s="2636" t="s">
        <v>700</v>
      </c>
      <c r="D30" s="2637"/>
      <c r="E30" s="2638"/>
      <c r="F30" s="385">
        <f t="shared" ref="F30:K30" si="108">+($F$14*F25+F26*$F$15+F27*$F$16+F28*$F$17)*100</f>
        <v>100</v>
      </c>
      <c r="G30" s="388">
        <f t="shared" si="108"/>
        <v>230.22145055504089</v>
      </c>
      <c r="H30" s="388">
        <f t="shared" si="108"/>
        <v>231.02317013100028</v>
      </c>
      <c r="I30" s="388">
        <f t="shared" si="108"/>
        <v>231.43180172947612</v>
      </c>
      <c r="J30" s="388">
        <f t="shared" si="108"/>
        <v>233.96218555132359</v>
      </c>
      <c r="K30" s="388">
        <f t="shared" si="108"/>
        <v>233.41400000000002</v>
      </c>
      <c r="L30" s="1811">
        <f t="shared" ref="L30:AB30" si="109">ROUND((+($F$14*L25+L26*$F$15+L27*$F$16+L28*$F$17)*100),2)</f>
        <v>233.69</v>
      </c>
      <c r="M30" s="1811">
        <f t="shared" si="109"/>
        <v>232.84</v>
      </c>
      <c r="N30" s="1811">
        <f t="shared" si="109"/>
        <v>232.63</v>
      </c>
      <c r="O30" s="1811">
        <f t="shared" si="109"/>
        <v>232.7</v>
      </c>
      <c r="P30" s="1811">
        <f t="shared" si="109"/>
        <v>233.8</v>
      </c>
      <c r="Q30" s="1811">
        <f t="shared" si="109"/>
        <v>235.86</v>
      </c>
      <c r="R30" s="976">
        <f t="shared" si="109"/>
        <v>235.85</v>
      </c>
      <c r="S30" s="976">
        <f t="shared" si="109"/>
        <v>236.42</v>
      </c>
      <c r="T30" s="976">
        <f t="shared" si="109"/>
        <v>237.29</v>
      </c>
      <c r="U30" s="976">
        <f t="shared" si="109"/>
        <v>240.36</v>
      </c>
      <c r="V30" s="976">
        <f t="shared" si="109"/>
        <v>243.02</v>
      </c>
      <c r="W30" s="976">
        <f t="shared" si="109"/>
        <v>246.28</v>
      </c>
      <c r="X30" s="976">
        <f t="shared" si="109"/>
        <v>249.48</v>
      </c>
      <c r="Y30" s="976">
        <f t="shared" si="109"/>
        <v>251.02</v>
      </c>
      <c r="Z30" s="976">
        <f t="shared" si="109"/>
        <v>255.4</v>
      </c>
      <c r="AA30" s="976">
        <f t="shared" si="109"/>
        <v>257.58999999999997</v>
      </c>
      <c r="AB30" s="976">
        <f t="shared" si="109"/>
        <v>258.29000000000002</v>
      </c>
      <c r="AC30" s="976">
        <f t="shared" ref="AC30:AH30" si="110">ROUND((+($F$14*AC25+AC26*$F$15+AC27*$F$16+AC28*$F$17)*100),2)</f>
        <v>263.47000000000003</v>
      </c>
      <c r="AD30" s="976">
        <f t="shared" si="110"/>
        <v>264.89999999999998</v>
      </c>
      <c r="AE30" s="976">
        <f t="shared" si="110"/>
        <v>265.3</v>
      </c>
      <c r="AF30" s="976">
        <f t="shared" si="110"/>
        <v>265.38</v>
      </c>
      <c r="AG30" s="976">
        <f t="shared" si="110"/>
        <v>266.81</v>
      </c>
      <c r="AH30" s="976">
        <f t="shared" si="110"/>
        <v>255.51</v>
      </c>
      <c r="AI30" s="976">
        <f t="shared" ref="AI30:AN30" si="111">ROUND((+($F$14*AI25+AI26*$F$15+AI27*$F$16+AI28*$F$17)*100),2)</f>
        <v>274.48</v>
      </c>
      <c r="AJ30" s="976">
        <f t="shared" si="111"/>
        <v>285.08</v>
      </c>
      <c r="AK30" s="976">
        <f t="shared" si="111"/>
        <v>286.47000000000003</v>
      </c>
      <c r="AL30" s="976">
        <f t="shared" si="111"/>
        <v>286.82</v>
      </c>
      <c r="AM30" s="976">
        <f t="shared" si="111"/>
        <v>286.17</v>
      </c>
      <c r="AN30" s="976">
        <f t="shared" si="111"/>
        <v>286.63</v>
      </c>
      <c r="AO30" s="976">
        <f t="shared" ref="AO30:AT30" si="112">ROUND((+($F$14*AO25+AO26*$F$15+AO27*$F$16+AO28*$F$17)*100),2)</f>
        <v>287.73</v>
      </c>
      <c r="AP30" s="976">
        <f t="shared" si="112"/>
        <v>290.23</v>
      </c>
      <c r="AQ30" s="976">
        <f t="shared" si="112"/>
        <v>291.54000000000002</v>
      </c>
      <c r="AR30" s="976">
        <f t="shared" si="112"/>
        <v>299.19</v>
      </c>
      <c r="AS30" s="976">
        <f t="shared" si="112"/>
        <v>301.79000000000002</v>
      </c>
      <c r="AT30" s="976">
        <f t="shared" si="112"/>
        <v>305.11</v>
      </c>
      <c r="AU30" s="976">
        <f t="shared" ref="AU30:AZ30" si="113">ROUND((+($F$14*AU25+AU26*$F$15+AU27*$F$16+AU28*$F$17)*100),2)</f>
        <v>306.18</v>
      </c>
      <c r="AV30" s="976">
        <f t="shared" si="113"/>
        <v>309.91000000000003</v>
      </c>
      <c r="AW30" s="976">
        <f t="shared" si="113"/>
        <v>309.91000000000003</v>
      </c>
      <c r="AX30" s="976">
        <f t="shared" si="113"/>
        <v>314.08999999999997</v>
      </c>
      <c r="AY30" s="976">
        <f t="shared" si="113"/>
        <v>316.25</v>
      </c>
      <c r="AZ30" s="976">
        <f t="shared" si="113"/>
        <v>320.33999999999997</v>
      </c>
      <c r="BA30" s="976">
        <f t="shared" ref="BA30:BF30" si="114">ROUND((+($F$14*BA25+BA26*$F$15+BA27*$F$16+BA28*$F$17)*100),2)</f>
        <v>322.19</v>
      </c>
      <c r="BB30" s="976">
        <f t="shared" si="114"/>
        <v>313</v>
      </c>
      <c r="BC30" s="976">
        <f t="shared" si="114"/>
        <v>329.04</v>
      </c>
      <c r="BD30" s="976">
        <f t="shared" si="114"/>
        <v>328.71</v>
      </c>
      <c r="BE30" s="976">
        <f t="shared" si="114"/>
        <v>329.53</v>
      </c>
      <c r="BF30" s="976">
        <f t="shared" si="114"/>
        <v>333.82</v>
      </c>
      <c r="BG30" s="976">
        <f t="shared" ref="BG30:BL30" si="115">ROUND((+($F$14*BG25+BG26*$F$15+BG27*$F$16+BG28*$F$17)*100),2)</f>
        <v>335.28</v>
      </c>
      <c r="BH30" s="976">
        <f t="shared" si="115"/>
        <v>335.83</v>
      </c>
      <c r="BI30" s="976">
        <f t="shared" si="115"/>
        <v>337.63</v>
      </c>
      <c r="BJ30" s="976">
        <f t="shared" si="115"/>
        <v>346.66</v>
      </c>
      <c r="BK30" s="976">
        <f t="shared" si="115"/>
        <v>348.41</v>
      </c>
      <c r="BL30" s="976">
        <f t="shared" si="115"/>
        <v>355.64</v>
      </c>
      <c r="BM30" s="976">
        <f t="shared" ref="BM30:BS30" si="116">ROUND((+($F$14*BM25+BM26*$F$15+BM27*$F$16+BM28*$F$17)*100),2)</f>
        <v>359.37</v>
      </c>
      <c r="BN30" s="976">
        <f t="shared" si="116"/>
        <v>361.83</v>
      </c>
      <c r="BO30" s="976">
        <f t="shared" si="116"/>
        <v>364.72</v>
      </c>
      <c r="BP30" s="976">
        <f t="shared" si="116"/>
        <v>368.02</v>
      </c>
      <c r="BQ30" s="976">
        <f t="shared" si="116"/>
        <v>380.08</v>
      </c>
      <c r="BR30" s="976">
        <f t="shared" si="116"/>
        <v>376.75</v>
      </c>
      <c r="BS30" s="976">
        <f t="shared" si="116"/>
        <v>371.39</v>
      </c>
      <c r="BT30" s="976">
        <f t="shared" ref="BT30:BY30" si="117">ROUND((+($F$14*BT25+BT26*$F$15+BT27*$F$16+BT28*$F$17)*100),2)</f>
        <v>375.08</v>
      </c>
      <c r="BU30" s="976">
        <f t="shared" si="117"/>
        <v>385.93</v>
      </c>
      <c r="BV30" s="976">
        <f t="shared" si="117"/>
        <v>392.9</v>
      </c>
      <c r="BW30" s="976">
        <f t="shared" si="117"/>
        <v>397.75</v>
      </c>
      <c r="BX30" s="976">
        <f t="shared" si="117"/>
        <v>407.69</v>
      </c>
      <c r="BY30" s="976">
        <f t="shared" si="117"/>
        <v>409.17</v>
      </c>
      <c r="BZ30" s="976">
        <f t="shared" ref="BZ30:CE30" si="118">ROUND((+($F$14*BZ25+BZ26*$F$15+BZ27*$F$16+BZ28*$F$17)*100),2)</f>
        <v>414.6</v>
      </c>
      <c r="CA30" s="976">
        <f t="shared" si="118"/>
        <v>418.7</v>
      </c>
      <c r="CB30" s="976">
        <f t="shared" si="118"/>
        <v>422.74</v>
      </c>
      <c r="CC30" s="976">
        <f t="shared" si="118"/>
        <v>425.11</v>
      </c>
      <c r="CD30" s="976">
        <f t="shared" si="118"/>
        <v>428.89</v>
      </c>
      <c r="CE30" s="976">
        <f t="shared" si="118"/>
        <v>432.17</v>
      </c>
      <c r="CF30" s="976">
        <f t="shared" ref="CF30:CK30" si="119">ROUND((+($F$14*CF25+CF26*$F$15+CF27*$F$16+CF28*$F$17)*100),2)</f>
        <v>437.04</v>
      </c>
      <c r="CG30" s="976">
        <f t="shared" si="119"/>
        <v>443.7</v>
      </c>
      <c r="CH30" s="976">
        <f t="shared" si="119"/>
        <v>452.42</v>
      </c>
      <c r="CI30" s="976">
        <f t="shared" si="119"/>
        <v>461.64</v>
      </c>
      <c r="CJ30" s="976">
        <f t="shared" si="119"/>
        <v>469.59</v>
      </c>
      <c r="CK30" s="976">
        <f t="shared" si="119"/>
        <v>474.19</v>
      </c>
      <c r="CL30" s="976">
        <f t="shared" ref="CL30:CQ30" si="120">ROUND((+($F$14*CL25+CL26*$F$15+CL27*$F$16+CL28*$F$17)*100),2)</f>
        <v>476.98</v>
      </c>
      <c r="CM30" s="976">
        <f t="shared" si="120"/>
        <v>487.52</v>
      </c>
      <c r="CN30" s="976">
        <f t="shared" si="120"/>
        <v>489.46</v>
      </c>
      <c r="CO30" s="976">
        <f t="shared" si="120"/>
        <v>490.87</v>
      </c>
      <c r="CP30" s="976">
        <f t="shared" si="120"/>
        <v>491.52</v>
      </c>
      <c r="CQ30" s="976">
        <f t="shared" si="120"/>
        <v>496.5</v>
      </c>
      <c r="CR30" s="976">
        <f t="shared" ref="CR30:CW30" si="121">ROUND((+($F$14*CR25+CR26*$F$15+CR27*$F$16+CR28*$F$17)*100),2)</f>
        <v>507.87</v>
      </c>
      <c r="CS30" s="976">
        <f t="shared" si="121"/>
        <v>517.70000000000005</v>
      </c>
      <c r="CT30" s="976">
        <f t="shared" si="121"/>
        <v>532.33000000000004</v>
      </c>
      <c r="CU30" s="976">
        <f t="shared" si="121"/>
        <v>541.04</v>
      </c>
      <c r="CV30" s="976">
        <f t="shared" si="121"/>
        <v>548.22</v>
      </c>
      <c r="CW30" s="976">
        <f t="shared" si="121"/>
        <v>561.04</v>
      </c>
      <c r="CX30" s="388">
        <f t="shared" ref="CX30:DC30" si="122">ROUND((+($F$14*CX25+CX26*$F$15+CX27*$F$16+CX28*$F$17)*100),2)</f>
        <v>566.73</v>
      </c>
      <c r="CY30" s="388">
        <f t="shared" si="122"/>
        <v>571.92999999999995</v>
      </c>
      <c r="CZ30" s="388">
        <f t="shared" si="122"/>
        <v>579.13</v>
      </c>
      <c r="DA30" s="388">
        <f t="shared" si="122"/>
        <v>597.75</v>
      </c>
      <c r="DB30" s="388">
        <f t="shared" si="122"/>
        <v>606.65</v>
      </c>
      <c r="DC30" s="388">
        <f t="shared" si="122"/>
        <v>609.39</v>
      </c>
      <c r="DD30" s="388">
        <f t="shared" ref="DD30:DI30" si="123">ROUND((+($F$14*DD25+DD26*$F$15+DD27*$F$16+DD28*$F$17)*100),2)</f>
        <v>616.48</v>
      </c>
      <c r="DE30" s="388">
        <f t="shared" si="123"/>
        <v>646.78</v>
      </c>
      <c r="DF30" s="388">
        <f t="shared" si="123"/>
        <v>652.73</v>
      </c>
      <c r="DG30" s="388">
        <f t="shared" si="123"/>
        <v>661.79</v>
      </c>
      <c r="DH30" s="388">
        <f t="shared" si="123"/>
        <v>677.73</v>
      </c>
      <c r="DI30" s="388">
        <f t="shared" si="123"/>
        <v>690.28</v>
      </c>
      <c r="DJ30" s="388">
        <f t="shared" ref="DJ30:DO30" si="124">ROUND((+($F$14*DJ25+DJ26*$F$15+DJ27*$F$16+DJ28*$F$17)*100),2)</f>
        <v>698.17</v>
      </c>
      <c r="DK30" s="388">
        <f t="shared" si="124"/>
        <v>706.24</v>
      </c>
      <c r="DL30" s="388">
        <f t="shared" si="124"/>
        <v>720.02</v>
      </c>
      <c r="DM30" s="388">
        <f t="shared" si="124"/>
        <v>725.4</v>
      </c>
      <c r="DN30" s="388">
        <f t="shared" si="124"/>
        <v>734.22</v>
      </c>
      <c r="DO30" s="388">
        <f t="shared" si="124"/>
        <v>741.88</v>
      </c>
      <c r="DP30" s="388">
        <f t="shared" ref="DP30:DU30" si="125">ROUND((+($F$14*DP25+DP26*$F$15+DP27*$F$16+DP28*$F$17)*100),2)</f>
        <v>751.24</v>
      </c>
      <c r="DQ30" s="388">
        <f t="shared" si="125"/>
        <v>756.46</v>
      </c>
      <c r="DR30" s="388">
        <f t="shared" si="125"/>
        <v>764.51</v>
      </c>
      <c r="DS30" s="388">
        <f t="shared" si="125"/>
        <v>808.98</v>
      </c>
      <c r="DT30" s="388">
        <f t="shared" si="125"/>
        <v>820.93</v>
      </c>
      <c r="DU30" s="388">
        <f t="shared" si="125"/>
        <v>826.36</v>
      </c>
      <c r="DV30" s="388">
        <f t="shared" ref="DV30:EA30" si="126">ROUND((+($F$14*DV25+DV26*$F$15+DV27*$F$16+DV28*$F$17)*100),2)</f>
        <v>834.96</v>
      </c>
      <c r="DW30" s="388">
        <f t="shared" si="126"/>
        <v>838.57</v>
      </c>
      <c r="DX30" s="388">
        <f t="shared" si="126"/>
        <v>847.92</v>
      </c>
      <c r="DY30" s="388">
        <f t="shared" si="126"/>
        <v>851.9</v>
      </c>
      <c r="DZ30" s="388">
        <f t="shared" si="126"/>
        <v>861.13</v>
      </c>
      <c r="EA30" s="388">
        <f t="shared" si="126"/>
        <v>868.45</v>
      </c>
      <c r="EB30" s="388">
        <f t="shared" ref="EB30:EG30" si="127">ROUND((+($F$14*EB25+EB26*$F$15+EB27*$F$16+EB28*$F$17)*100),2)</f>
        <v>878.76</v>
      </c>
      <c r="EC30" s="388">
        <f t="shared" si="127"/>
        <v>891.18</v>
      </c>
      <c r="ED30" s="388">
        <f t="shared" si="127"/>
        <v>901.46</v>
      </c>
      <c r="EE30" s="388">
        <f t="shared" si="127"/>
        <v>949.34</v>
      </c>
      <c r="EF30" s="388">
        <f t="shared" si="127"/>
        <v>961.34</v>
      </c>
      <c r="EG30" s="388">
        <f t="shared" si="127"/>
        <v>968.81</v>
      </c>
      <c r="EH30" s="388">
        <f t="shared" ref="EH30:EM30" si="128">ROUND((+($F$14*EH25+EH26*$F$15+EH27*$F$16+EH28*$F$17)*100),2)</f>
        <v>991.03</v>
      </c>
      <c r="EI30" s="388">
        <f t="shared" si="128"/>
        <v>996.08</v>
      </c>
      <c r="EJ30" s="388">
        <f t="shared" si="128"/>
        <v>1004.53</v>
      </c>
      <c r="EK30" s="388">
        <f t="shared" si="128"/>
        <v>1014.77</v>
      </c>
      <c r="EL30" s="388">
        <f t="shared" si="128"/>
        <v>1048.8599999999999</v>
      </c>
      <c r="EM30" s="388">
        <f t="shared" si="128"/>
        <v>1090.79</v>
      </c>
      <c r="EN30" s="388">
        <f t="shared" ref="EN30:ES30" si="129">ROUND((+($F$14*EN25+EN26*$F$15+EN27*$F$16+EN28*$F$17)*100),2)</f>
        <v>1127.49</v>
      </c>
      <c r="EO30" s="388">
        <f t="shared" si="129"/>
        <v>1205.92</v>
      </c>
      <c r="EP30" s="388">
        <f t="shared" si="129"/>
        <v>1219.4100000000001</v>
      </c>
      <c r="EQ30" s="388">
        <f t="shared" si="129"/>
        <v>1231.94</v>
      </c>
      <c r="ER30" s="388">
        <f t="shared" si="129"/>
        <v>1287.67</v>
      </c>
      <c r="ES30" s="388">
        <f t="shared" si="129"/>
        <v>1294.77</v>
      </c>
      <c r="ET30" s="388">
        <f t="shared" ref="ET30:FB30" si="130">ROUND((+($F$14*ET25+ET26*$F$15+ET27*$F$16+ET28*$F$17)*100),2)</f>
        <v>1306.8499999999999</v>
      </c>
      <c r="EU30" s="388">
        <f t="shared" si="130"/>
        <v>1319.26</v>
      </c>
      <c r="EV30" s="388">
        <f t="shared" si="130"/>
        <v>1326.01</v>
      </c>
      <c r="EW30" s="388">
        <f t="shared" si="130"/>
        <v>1337.03</v>
      </c>
      <c r="EX30" s="388">
        <f t="shared" si="130"/>
        <v>1329.31</v>
      </c>
      <c r="EY30" s="388">
        <f t="shared" si="130"/>
        <v>1334.91</v>
      </c>
      <c r="EZ30" s="388">
        <f t="shared" si="130"/>
        <v>1354.66</v>
      </c>
      <c r="FA30" s="388">
        <f t="shared" si="130"/>
        <v>1415.87</v>
      </c>
      <c r="FB30" s="388">
        <f t="shared" si="130"/>
        <v>1424.63</v>
      </c>
      <c r="FC30" s="388">
        <f t="shared" ref="FC30:FH30" si="131">ROUND((+($F$14*FC25+FC26*$F$15+FC27*$F$16+FC28*$F$17)*100),2)</f>
        <v>1439.62</v>
      </c>
      <c r="FD30" s="388">
        <f t="shared" si="131"/>
        <v>1454.48</v>
      </c>
      <c r="FE30" s="388">
        <f t="shared" si="131"/>
        <v>1507.57</v>
      </c>
      <c r="FF30" s="388">
        <f t="shared" si="131"/>
        <v>1517.08</v>
      </c>
      <c r="FG30" s="388">
        <f t="shared" si="131"/>
        <v>1528.66</v>
      </c>
      <c r="FH30" s="388" t="e">
        <f t="shared" si="131"/>
        <v>#REF!</v>
      </c>
      <c r="FI30" s="388" t="e">
        <f t="shared" ref="FI30:FN30" si="132">ROUND((+($F$14*FI25+FI26*$F$15+FI27*$F$16+FI28*$F$17)*100),2)</f>
        <v>#REF!</v>
      </c>
      <c r="FJ30" s="388">
        <f t="shared" si="132"/>
        <v>100</v>
      </c>
      <c r="FK30" s="388">
        <f t="shared" si="132"/>
        <v>103.87</v>
      </c>
      <c r="FL30" s="388">
        <f t="shared" si="132"/>
        <v>109.71</v>
      </c>
      <c r="FM30" s="388">
        <f t="shared" si="132"/>
        <v>116.15</v>
      </c>
      <c r="FN30" s="388">
        <f t="shared" si="132"/>
        <v>123.21</v>
      </c>
      <c r="FO30" s="388">
        <f t="shared" ref="FO30:HC30" si="133">ROUND((+($F$14*FO25+FO26*$F$15+FO27*$F$16+FO28*$F$17)*100),2)</f>
        <v>126.06</v>
      </c>
      <c r="FP30" s="388">
        <f t="shared" si="133"/>
        <v>126.06</v>
      </c>
      <c r="FQ30" s="388">
        <f t="shared" si="133"/>
        <v>126.96</v>
      </c>
      <c r="FR30" s="388">
        <f t="shared" si="133"/>
        <v>128.25</v>
      </c>
      <c r="FS30" s="388">
        <f t="shared" si="133"/>
        <v>129.88999999999999</v>
      </c>
      <c r="FT30" s="388">
        <f t="shared" si="133"/>
        <v>134.54</v>
      </c>
      <c r="FU30" s="388">
        <f t="shared" si="133"/>
        <v>134.56</v>
      </c>
      <c r="FV30" s="388">
        <f t="shared" si="133"/>
        <v>137</v>
      </c>
      <c r="FW30" s="388">
        <f t="shared" si="133"/>
        <v>141.87</v>
      </c>
      <c r="FX30" s="388">
        <f t="shared" si="133"/>
        <v>142.66</v>
      </c>
      <c r="FY30" s="388">
        <f t="shared" si="133"/>
        <v>146.19999999999999</v>
      </c>
      <c r="FZ30" s="388">
        <f t="shared" si="133"/>
        <v>145.66999999999999</v>
      </c>
      <c r="GA30" s="388">
        <f t="shared" si="133"/>
        <v>145.76</v>
      </c>
      <c r="GB30" s="388">
        <f t="shared" si="133"/>
        <v>149.69999999999999</v>
      </c>
      <c r="GC30" s="388">
        <f t="shared" si="133"/>
        <v>149.69999999999999</v>
      </c>
      <c r="GD30" s="388">
        <f t="shared" si="133"/>
        <v>149.69999999999999</v>
      </c>
      <c r="GE30" s="388">
        <f t="shared" si="133"/>
        <v>151.62</v>
      </c>
      <c r="GF30" s="388">
        <f t="shared" si="133"/>
        <v>154.22999999999999</v>
      </c>
      <c r="GG30" s="388">
        <f t="shared" si="133"/>
        <v>157.01</v>
      </c>
      <c r="GH30" s="388">
        <f t="shared" si="133"/>
        <v>159.62</v>
      </c>
      <c r="GI30" s="388">
        <f t="shared" si="133"/>
        <v>166.21</v>
      </c>
      <c r="GJ30" s="388">
        <f t="shared" si="133"/>
        <v>166.46</v>
      </c>
      <c r="GK30" s="388">
        <f t="shared" si="133"/>
        <v>171.08</v>
      </c>
      <c r="GL30" s="388">
        <f t="shared" si="133"/>
        <v>186.64</v>
      </c>
      <c r="GM30" s="388">
        <f t="shared" si="133"/>
        <v>188.11</v>
      </c>
      <c r="GN30" s="388">
        <f t="shared" si="133"/>
        <v>202.85</v>
      </c>
      <c r="GO30" s="388">
        <f t="shared" si="133"/>
        <v>207.19</v>
      </c>
      <c r="GP30" s="388">
        <f t="shared" si="133"/>
        <v>250.88</v>
      </c>
      <c r="GQ30" s="388">
        <f t="shared" si="133"/>
        <v>258.35000000000002</v>
      </c>
      <c r="GR30" s="388">
        <f t="shared" si="133"/>
        <v>261.8</v>
      </c>
      <c r="GS30" s="388">
        <f t="shared" si="133"/>
        <v>265.58</v>
      </c>
      <c r="GT30" s="388">
        <f t="shared" si="133"/>
        <v>262.14999999999998</v>
      </c>
      <c r="GU30" s="388">
        <f t="shared" si="133"/>
        <v>270.45999999999998</v>
      </c>
      <c r="GV30" s="388">
        <f t="shared" si="133"/>
        <v>274.45</v>
      </c>
      <c r="GW30" s="388">
        <f t="shared" si="133"/>
        <v>283.2</v>
      </c>
      <c r="GX30" s="388">
        <f t="shared" si="133"/>
        <v>288.83</v>
      </c>
      <c r="GY30" s="388">
        <f t="shared" si="133"/>
        <v>292.58</v>
      </c>
      <c r="GZ30" s="388">
        <f t="shared" si="133"/>
        <v>299.85000000000002</v>
      </c>
      <c r="HA30" s="388">
        <f t="shared" si="133"/>
        <v>328.66</v>
      </c>
      <c r="HB30" s="388">
        <f t="shared" si="133"/>
        <v>333.07</v>
      </c>
      <c r="HC30" s="388">
        <f t="shared" si="133"/>
        <v>350.13</v>
      </c>
      <c r="HD30" s="388">
        <f t="shared" ref="HD30:HI30" si="134">ROUND((+($F$14*HD25+HD26*$F$15+HD27*$F$16+HD28*$F$17)*100),2)</f>
        <v>366.34</v>
      </c>
      <c r="HE30" s="782">
        <f t="shared" si="134"/>
        <v>387.02</v>
      </c>
      <c r="HF30" s="385">
        <f t="shared" si="134"/>
        <v>395.07</v>
      </c>
      <c r="HG30" s="388">
        <f t="shared" si="134"/>
        <v>401.42</v>
      </c>
      <c r="HH30" s="388">
        <f t="shared" si="134"/>
        <v>401.75</v>
      </c>
      <c r="HI30" s="388">
        <f t="shared" si="134"/>
        <v>402.35</v>
      </c>
      <c r="HJ30" s="388">
        <f t="shared" ref="HJ30:HK30" si="135">ROUND((+($F$14*HJ25+HJ26*$F$15+HJ27*$F$16+HJ28*$F$17)*100),2)</f>
        <v>403.87</v>
      </c>
      <c r="HK30" s="388">
        <f t="shared" si="135"/>
        <v>404.74</v>
      </c>
      <c r="HL30" s="388">
        <f t="shared" ref="HL30:HM30" si="136">ROUND((+($F$14*HL25+HL26*$F$15+HL27*$F$16+HL28*$F$17)*100),2)</f>
        <v>405.45</v>
      </c>
      <c r="HM30" s="388">
        <f t="shared" si="136"/>
        <v>409.7</v>
      </c>
      <c r="HN30" s="388">
        <f t="shared" ref="HN30:HO30" si="137">ROUND((+($F$14*HN25+HN26*$F$15+HN27*$F$16+HN28*$F$17)*100),2)</f>
        <v>416.21</v>
      </c>
      <c r="HO30" s="388">
        <f t="shared" si="137"/>
        <v>422.3</v>
      </c>
      <c r="HP30" s="388">
        <f t="shared" ref="HP30:HQ30" si="138">ROUND((+($F$14*HP25+HP26*$F$15+HP27*$F$16+HP28*$F$17)*100),2)</f>
        <v>435.03</v>
      </c>
      <c r="HQ30" s="782">
        <f t="shared" si="138"/>
        <v>446.71</v>
      </c>
      <c r="HR30" s="782">
        <f t="shared" ref="HR30:HS30" si="139">ROUND((+($F$14*HR25+HR26*$F$15+HR27*$F$16+HR28*$F$17)*100),2)</f>
        <v>467.74</v>
      </c>
      <c r="HS30" s="782">
        <f t="shared" si="139"/>
        <v>487.66</v>
      </c>
      <c r="HT30" s="782">
        <f t="shared" ref="HT30:HU30" si="140">ROUND((+($F$14*HT25+HT26*$F$15+HT27*$F$16+HT28*$F$17)*100),2)</f>
        <v>511.21</v>
      </c>
      <c r="HU30" s="782">
        <f t="shared" si="140"/>
        <v>530.36</v>
      </c>
      <c r="HV30" s="782">
        <f t="shared" ref="HV30:HW30" si="141">ROUND((+($F$14*HV25+HV26*$F$15+HV27*$F$16+HV28*$F$17)*100),2)</f>
        <v>553.28</v>
      </c>
      <c r="HW30" s="782">
        <f t="shared" si="141"/>
        <v>554.04999999999995</v>
      </c>
      <c r="HX30" s="782">
        <f t="shared" ref="HX30:HY30" si="142">ROUND((+($F$14*HX25+HX26*$F$15+HX27*$F$16+HX28*$F$17)*100),2)</f>
        <v>561.85</v>
      </c>
      <c r="HY30" s="782">
        <f t="shared" si="142"/>
        <v>585.6</v>
      </c>
      <c r="HZ30" s="782">
        <f t="shared" ref="HZ30:IA30" si="143">ROUND((+($F$14*HZ25+HZ26*$F$15+HZ27*$F$16+HZ28*$F$17)*100),2)</f>
        <v>593.96</v>
      </c>
      <c r="IA30" s="782">
        <f t="shared" si="143"/>
        <v>600.64</v>
      </c>
      <c r="IB30" s="782">
        <f t="shared" ref="IB30:IC30" si="144">ROUND((+($F$14*IB25+IB26*$F$15+IB27*$F$16+IB28*$F$17)*100),2)</f>
        <v>606.01</v>
      </c>
      <c r="IC30" s="782">
        <f t="shared" si="144"/>
        <v>616.97</v>
      </c>
      <c r="ID30" s="782">
        <f t="shared" ref="ID30:IE30" si="145">ROUND((+($F$14*ID25+ID26*$F$15+ID27*$F$16+ID28*$F$17)*100),2)</f>
        <v>624.03</v>
      </c>
      <c r="IE30" s="782">
        <f t="shared" si="145"/>
        <v>654.83000000000004</v>
      </c>
      <c r="IF30" s="782">
        <f t="shared" ref="IF30:IG30" si="146">ROUND((+($F$14*IF25+IF26*$F$15+IF27*$F$16+IF28*$F$17)*100),2)</f>
        <v>692.91</v>
      </c>
      <c r="IG30" s="782">
        <f t="shared" si="146"/>
        <v>720.95</v>
      </c>
      <c r="IH30" s="782">
        <f t="shared" ref="IH30:II30" si="147">ROUND((+($F$14*IH25+IH26*$F$15+IH27*$F$16+IH28*$F$17)*100),2)</f>
        <v>779.45</v>
      </c>
      <c r="II30" s="782">
        <f t="shared" si="147"/>
        <v>841.59</v>
      </c>
      <c r="IJ30" s="782">
        <f t="shared" ref="IJ30:IK30" si="148">ROUND((+($F$14*IJ25+IJ26*$F$15+IJ27*$F$16+IJ28*$F$17)*100),2)</f>
        <v>895.6</v>
      </c>
      <c r="IK30" s="782">
        <f t="shared" si="148"/>
        <v>936.17</v>
      </c>
      <c r="IL30" s="782">
        <f t="shared" ref="IL30:IM30" si="149">ROUND((+($F$14*IL25+IL26*$F$15+IL27*$F$16+IL28*$F$17)*100),2)</f>
        <v>960.75</v>
      </c>
      <c r="IM30" s="782">
        <f t="shared" si="149"/>
        <v>1029.3699999999999</v>
      </c>
      <c r="IN30" s="782">
        <f t="shared" ref="IN30:IO30" si="150">ROUND((+($F$14*IN25+IN26*$F$15+IN27*$F$16+IN28*$F$17)*100),2)</f>
        <v>1129.69</v>
      </c>
      <c r="IO30" s="782">
        <f t="shared" si="150"/>
        <v>1223.08</v>
      </c>
      <c r="IP30" s="782">
        <f t="shared" ref="IP30:IQ30" si="151">ROUND((+($F$14*IP25+IP26*$F$15+IP27*$F$16+IP28*$F$17)*100),2)</f>
        <v>1265.22</v>
      </c>
      <c r="IQ30" s="782">
        <f t="shared" si="151"/>
        <v>1378.37</v>
      </c>
    </row>
    <row r="31" spans="3:251" ht="9.9499999999999993" customHeight="1">
      <c r="C31" s="137"/>
      <c r="D31" s="137"/>
      <c r="E31" s="137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ER31" s="138"/>
    </row>
    <row r="32" spans="3:251">
      <c r="C32" s="3" t="s">
        <v>701</v>
      </c>
      <c r="ET32" s="132"/>
    </row>
    <row r="33" spans="3:251" ht="3" customHeight="1" thickBot="1">
      <c r="ET33" s="132"/>
    </row>
    <row r="34" spans="3:251" ht="6" customHeight="1">
      <c r="C34" s="2639" t="s">
        <v>655</v>
      </c>
      <c r="D34" s="2628" t="s">
        <v>831</v>
      </c>
      <c r="E34" s="2674"/>
      <c r="F34" s="2644" t="s">
        <v>509</v>
      </c>
      <c r="G34" s="1589"/>
      <c r="H34" s="1588"/>
      <c r="I34" s="1588"/>
      <c r="J34" s="1588"/>
      <c r="K34" s="1587"/>
      <c r="L34" s="1588"/>
      <c r="M34" s="1587"/>
      <c r="N34" s="1587"/>
      <c r="O34" s="1587"/>
      <c r="P34" s="1587"/>
      <c r="Q34" s="1587"/>
      <c r="R34" s="1587"/>
      <c r="S34" s="1587"/>
      <c r="T34" s="1587"/>
      <c r="U34" s="1587"/>
      <c r="V34" s="1587"/>
      <c r="W34" s="1587"/>
      <c r="X34" s="1587"/>
      <c r="Y34" s="1587"/>
      <c r="Z34" s="1587"/>
      <c r="AA34" s="1587"/>
      <c r="AB34" s="1587"/>
      <c r="AC34" s="1587"/>
      <c r="AD34" s="1587"/>
      <c r="AE34" s="1587"/>
      <c r="AF34" s="1587"/>
      <c r="AG34" s="1587"/>
      <c r="AH34" s="1586"/>
      <c r="AI34" s="1587"/>
      <c r="AJ34" s="1587"/>
      <c r="AK34" s="1587"/>
      <c r="AL34" s="1585"/>
      <c r="AM34" s="1587"/>
      <c r="AN34" s="1587"/>
      <c r="AO34" s="1587"/>
      <c r="AP34" s="1587"/>
      <c r="AQ34" s="1587"/>
      <c r="AR34" s="1587"/>
      <c r="AS34" s="1587"/>
      <c r="AT34" s="1587"/>
      <c r="AU34" s="1585"/>
      <c r="AV34" s="1585"/>
      <c r="AW34" s="1587"/>
      <c r="AX34" s="1587"/>
      <c r="AY34" s="1587"/>
      <c r="AZ34" s="1585"/>
      <c r="BA34" s="1587"/>
      <c r="BB34" s="1587"/>
      <c r="BC34" s="1587"/>
      <c r="BD34" s="1587"/>
      <c r="BE34" s="1587"/>
      <c r="BF34" s="1587"/>
      <c r="BG34" s="1587"/>
      <c r="BH34" s="1587"/>
      <c r="BI34" s="1587"/>
      <c r="BJ34" s="1587"/>
      <c r="BK34" s="1587"/>
      <c r="BL34" s="1587"/>
      <c r="BM34" s="1587"/>
      <c r="BN34" s="1587"/>
      <c r="BO34" s="1587"/>
      <c r="BP34" s="1587"/>
      <c r="BQ34" s="1587"/>
      <c r="BR34" s="1587"/>
      <c r="BS34" s="1587"/>
      <c r="BT34" s="1587"/>
      <c r="BU34" s="1587"/>
      <c r="BV34" s="1587"/>
      <c r="BW34" s="1587"/>
      <c r="BX34" s="1587"/>
      <c r="BY34" s="1587"/>
      <c r="BZ34" s="1587"/>
      <c r="CA34" s="1587"/>
      <c r="CB34" s="1587"/>
      <c r="CC34" s="1587"/>
      <c r="CD34" s="1587"/>
      <c r="CE34" s="1587"/>
      <c r="CF34" s="1587"/>
      <c r="CG34" s="1587"/>
      <c r="CH34" s="1587"/>
      <c r="CI34" s="1587"/>
      <c r="CJ34" s="1587"/>
      <c r="CK34" s="1587"/>
      <c r="CL34" s="1587"/>
      <c r="CM34" s="1584"/>
      <c r="CN34" s="1584"/>
      <c r="CO34" s="1584"/>
      <c r="CP34" s="1584"/>
      <c r="CQ34" s="1584"/>
      <c r="CR34" s="1584"/>
      <c r="CS34" s="1584"/>
      <c r="CT34" s="1584"/>
      <c r="CU34" s="1584"/>
      <c r="CV34" s="1584"/>
      <c r="CW34" s="1584"/>
      <c r="CX34" s="1584"/>
      <c r="CY34" s="1584"/>
      <c r="CZ34" s="1584"/>
      <c r="DA34" s="1584"/>
      <c r="DB34" s="1583"/>
      <c r="DC34" s="1583"/>
      <c r="DD34" s="1583"/>
      <c r="DE34" s="1584"/>
      <c r="DF34" s="1584"/>
      <c r="DG34" s="1583"/>
      <c r="DH34" s="1581"/>
      <c r="DI34" s="1584"/>
      <c r="DJ34" s="1584"/>
      <c r="DK34" s="1584"/>
      <c r="DL34" s="1583"/>
      <c r="DM34" s="1583"/>
      <c r="DN34" s="1584"/>
      <c r="DO34" s="1584"/>
      <c r="DP34" s="1584"/>
      <c r="DQ34" s="1583"/>
      <c r="DR34" s="1584"/>
      <c r="DS34" s="1584"/>
      <c r="DT34" s="1584"/>
      <c r="DU34" s="1583"/>
      <c r="DV34" s="1584"/>
      <c r="DW34" s="1583"/>
      <c r="DX34" s="1584"/>
      <c r="DY34" s="1584"/>
      <c r="DZ34" s="1583"/>
      <c r="EA34" s="1584"/>
      <c r="EB34" s="1584"/>
      <c r="EC34" s="1584"/>
      <c r="ED34" s="1583"/>
      <c r="EE34" s="1584"/>
      <c r="EF34" s="1584"/>
      <c r="EG34" s="1583"/>
      <c r="EH34" s="1584"/>
      <c r="EI34" s="1584"/>
      <c r="EJ34" s="1584"/>
      <c r="EK34" s="1584"/>
      <c r="EL34" s="1584"/>
      <c r="EM34" s="1583"/>
      <c r="EN34" s="1584"/>
      <c r="EO34" s="1584"/>
      <c r="EP34" s="1584"/>
      <c r="EQ34" s="1584"/>
      <c r="ET34" s="1589"/>
      <c r="GH34" s="991"/>
      <c r="GL34" s="991"/>
      <c r="IB34" s="991"/>
    </row>
    <row r="35" spans="3:251" ht="8.25" customHeight="1">
      <c r="C35" s="2640"/>
      <c r="D35" s="2646"/>
      <c r="E35" s="2675"/>
      <c r="F35" s="2646"/>
      <c r="G35" s="1580"/>
      <c r="H35" s="1588"/>
      <c r="I35" s="1588"/>
      <c r="J35" s="1588"/>
      <c r="K35" s="1587"/>
      <c r="L35" s="1587"/>
      <c r="M35" s="1587"/>
      <c r="N35" s="1587"/>
      <c r="O35" s="1587"/>
      <c r="P35" s="1587"/>
      <c r="Q35" s="1587"/>
      <c r="R35" s="1587"/>
      <c r="S35" s="1587"/>
      <c r="T35" s="1587"/>
      <c r="U35" s="1587"/>
      <c r="V35" s="1587"/>
      <c r="W35" s="1587"/>
      <c r="X35" s="1587"/>
      <c r="Y35" s="1587"/>
      <c r="Z35" s="1587"/>
      <c r="AA35" s="1587"/>
      <c r="AB35" s="1587"/>
      <c r="AC35" s="1587"/>
      <c r="AD35" s="1587"/>
      <c r="AE35" s="1587"/>
      <c r="AF35" s="1587"/>
      <c r="AG35" s="1587"/>
      <c r="AH35" s="1586"/>
      <c r="AI35" s="1587"/>
      <c r="AJ35" s="1587"/>
      <c r="AK35" s="1587"/>
      <c r="AL35" s="1585"/>
      <c r="AM35" s="1587"/>
      <c r="AN35" s="1587"/>
      <c r="AO35" s="1587"/>
      <c r="AP35" s="1587"/>
      <c r="AQ35" s="1587"/>
      <c r="AR35" s="1587"/>
      <c r="AS35" s="1587"/>
      <c r="AT35" s="1587"/>
      <c r="AU35" s="1585"/>
      <c r="AV35" s="1585"/>
      <c r="AW35" s="1587"/>
      <c r="AX35" s="1587"/>
      <c r="AY35" s="1587"/>
      <c r="AZ35" s="1585"/>
      <c r="BA35" s="1587"/>
      <c r="BB35" s="1587"/>
      <c r="BC35" s="1587"/>
      <c r="BD35" s="1587"/>
      <c r="BE35" s="1587"/>
      <c r="BF35" s="1587"/>
      <c r="BG35" s="1587"/>
      <c r="BH35" s="1587"/>
      <c r="BI35" s="1587"/>
      <c r="BJ35" s="1587"/>
      <c r="BK35" s="1587"/>
      <c r="BL35" s="1587"/>
      <c r="BM35" s="1587"/>
      <c r="BN35" s="1587"/>
      <c r="BO35" s="1587"/>
      <c r="BP35" s="1587"/>
      <c r="BQ35" s="1587"/>
      <c r="BR35" s="1587"/>
      <c r="BS35" s="1587"/>
      <c r="BT35" s="1587"/>
      <c r="BU35" s="1587"/>
      <c r="BV35" s="1587"/>
      <c r="BW35" s="1587"/>
      <c r="BX35" s="1587"/>
      <c r="BY35" s="1587"/>
      <c r="BZ35" s="1587"/>
      <c r="CA35" s="1587"/>
      <c r="CB35" s="1587"/>
      <c r="CC35" s="1587"/>
      <c r="CD35" s="1587"/>
      <c r="CE35" s="1587"/>
      <c r="CF35" s="1587"/>
      <c r="CG35" s="1587"/>
      <c r="CH35" s="1587"/>
      <c r="CI35" s="1587"/>
      <c r="CJ35" s="1587"/>
      <c r="CK35" s="1587"/>
      <c r="CL35" s="1587"/>
      <c r="CM35" s="1584"/>
      <c r="CN35" s="1584"/>
      <c r="CO35" s="1584"/>
      <c r="CP35" s="1584"/>
      <c r="CQ35" s="1584"/>
      <c r="CR35" s="1584"/>
      <c r="CS35" s="1584"/>
      <c r="CT35" s="1584"/>
      <c r="CU35" s="1584"/>
      <c r="CV35" s="1584"/>
      <c r="CW35" s="1584"/>
      <c r="CX35" s="1584"/>
      <c r="CY35" s="1584"/>
      <c r="CZ35" s="1584"/>
      <c r="DA35" s="1584"/>
      <c r="DB35" s="1583"/>
      <c r="DC35" s="1583"/>
      <c r="DD35" s="1583"/>
      <c r="DE35" s="1584"/>
      <c r="DF35" s="1584"/>
      <c r="DG35" s="1583"/>
      <c r="DH35" s="1581"/>
      <c r="DI35" s="1584"/>
      <c r="DJ35" s="1584"/>
      <c r="DK35" s="1584"/>
      <c r="DL35" s="1583"/>
      <c r="DM35" s="1583"/>
      <c r="DN35" s="1584"/>
      <c r="DO35" s="1584"/>
      <c r="DP35" s="1584"/>
      <c r="DQ35" s="1583"/>
      <c r="DR35" s="1584"/>
      <c r="DS35" s="1584"/>
      <c r="DT35" s="1584"/>
      <c r="DU35" s="1583"/>
      <c r="DV35" s="1584"/>
      <c r="DW35" s="1583"/>
      <c r="DX35" s="1584"/>
      <c r="DY35" s="1584"/>
      <c r="DZ35" s="1583"/>
      <c r="EA35" s="1584"/>
      <c r="EB35" s="1584"/>
      <c r="EC35" s="1584"/>
      <c r="ED35" s="1583"/>
      <c r="EE35" s="1584"/>
      <c r="EF35" s="1584"/>
      <c r="EG35" s="1583"/>
      <c r="EH35" s="1584"/>
      <c r="EI35" s="1584"/>
      <c r="EJ35" s="1584"/>
      <c r="EK35" s="1584"/>
      <c r="EL35" s="1584"/>
      <c r="EM35" s="1583"/>
      <c r="EN35" s="1584"/>
      <c r="EO35" s="1584"/>
      <c r="EP35" s="1584"/>
      <c r="EQ35" s="1584"/>
      <c r="ET35" s="1580"/>
      <c r="GH35" s="991"/>
      <c r="GL35" s="991"/>
      <c r="IB35" s="991"/>
    </row>
    <row r="36" spans="3:251" ht="6" customHeight="1">
      <c r="C36" s="2641"/>
      <c r="D36" s="2648"/>
      <c r="E36" s="2676"/>
      <c r="F36" s="2648"/>
      <c r="G36" s="1579"/>
      <c r="H36" s="1588"/>
      <c r="I36" s="1588"/>
      <c r="J36" s="1588"/>
      <c r="K36" s="1587"/>
      <c r="L36" s="1587"/>
      <c r="M36" s="1587"/>
      <c r="N36" s="1587"/>
      <c r="O36" s="1587"/>
      <c r="P36" s="1587"/>
      <c r="Q36" s="1587"/>
      <c r="R36" s="1587"/>
      <c r="S36" s="1587"/>
      <c r="T36" s="1587"/>
      <c r="U36" s="1587"/>
      <c r="V36" s="1587"/>
      <c r="W36" s="1587"/>
      <c r="X36" s="1587"/>
      <c r="Y36" s="1587"/>
      <c r="Z36" s="1587"/>
      <c r="AA36" s="1587"/>
      <c r="AB36" s="1587"/>
      <c r="AC36" s="1587"/>
      <c r="AD36" s="1587"/>
      <c r="AE36" s="1587"/>
      <c r="AF36" s="1587"/>
      <c r="AG36" s="1587"/>
      <c r="AH36" s="1586"/>
      <c r="AI36" s="1587"/>
      <c r="AJ36" s="1587"/>
      <c r="AK36" s="1587"/>
      <c r="AL36" s="1585"/>
      <c r="AM36" s="1587"/>
      <c r="AN36" s="1587"/>
      <c r="AO36" s="1587"/>
      <c r="AP36" s="1587"/>
      <c r="AQ36" s="1587"/>
      <c r="AR36" s="1587"/>
      <c r="AS36" s="1587"/>
      <c r="AT36" s="1587"/>
      <c r="AU36" s="1585"/>
      <c r="AV36" s="1585"/>
      <c r="AW36" s="1587"/>
      <c r="AX36" s="1587"/>
      <c r="AY36" s="1587"/>
      <c r="AZ36" s="1585"/>
      <c r="BA36" s="1587"/>
      <c r="BB36" s="1587"/>
      <c r="BC36" s="1587"/>
      <c r="BD36" s="1587"/>
      <c r="BE36" s="1587"/>
      <c r="BF36" s="1587"/>
      <c r="BG36" s="1587"/>
      <c r="BH36" s="1587"/>
      <c r="BI36" s="1587"/>
      <c r="BJ36" s="1587"/>
      <c r="BK36" s="1587"/>
      <c r="BL36" s="1587"/>
      <c r="BM36" s="1587"/>
      <c r="BN36" s="1587"/>
      <c r="BO36" s="1587"/>
      <c r="BP36" s="1587"/>
      <c r="BQ36" s="1587"/>
      <c r="BR36" s="1587"/>
      <c r="BS36" s="1587"/>
      <c r="BT36" s="1587"/>
      <c r="BU36" s="1587"/>
      <c r="BV36" s="1587"/>
      <c r="BW36" s="1587"/>
      <c r="BX36" s="1587"/>
      <c r="BY36" s="1587"/>
      <c r="BZ36" s="1587"/>
      <c r="CA36" s="1587"/>
      <c r="CB36" s="1587"/>
      <c r="CC36" s="1587"/>
      <c r="CD36" s="1587"/>
      <c r="CE36" s="1587"/>
      <c r="CF36" s="1587"/>
      <c r="CG36" s="1587"/>
      <c r="CH36" s="1587"/>
      <c r="CI36" s="1587"/>
      <c r="CJ36" s="1587"/>
      <c r="CK36" s="1587"/>
      <c r="CL36" s="1587"/>
      <c r="CM36" s="1584"/>
      <c r="CN36" s="1584"/>
      <c r="CO36" s="1584"/>
      <c r="CP36" s="1584"/>
      <c r="CQ36" s="1584"/>
      <c r="CR36" s="1584"/>
      <c r="CS36" s="1584"/>
      <c r="CT36" s="1584"/>
      <c r="CU36" s="1584"/>
      <c r="CV36" s="1584"/>
      <c r="CW36" s="1584"/>
      <c r="CX36" s="1584"/>
      <c r="CY36" s="1584"/>
      <c r="CZ36" s="1584"/>
      <c r="DA36" s="1584"/>
      <c r="DB36" s="1583"/>
      <c r="DC36" s="1583"/>
      <c r="DD36" s="1583"/>
      <c r="DE36" s="1584"/>
      <c r="DF36" s="1584"/>
      <c r="DG36" s="1583"/>
      <c r="DH36" s="1581"/>
      <c r="DI36" s="1584"/>
      <c r="DJ36" s="1584"/>
      <c r="DK36" s="1584"/>
      <c r="DL36" s="1583"/>
      <c r="DM36" s="1583"/>
      <c r="DN36" s="1584"/>
      <c r="DO36" s="1584"/>
      <c r="DP36" s="1584"/>
      <c r="DQ36" s="1583"/>
      <c r="DR36" s="1584"/>
      <c r="DS36" s="1584"/>
      <c r="DT36" s="1584"/>
      <c r="DU36" s="1583"/>
      <c r="DV36" s="1584"/>
      <c r="DW36" s="1583"/>
      <c r="DX36" s="1584"/>
      <c r="DY36" s="1584"/>
      <c r="DZ36" s="1583"/>
      <c r="EA36" s="1584"/>
      <c r="EB36" s="1584"/>
      <c r="EC36" s="1584"/>
      <c r="ED36" s="1583"/>
      <c r="EE36" s="1584"/>
      <c r="EF36" s="1584"/>
      <c r="EG36" s="1583"/>
      <c r="EH36" s="1584"/>
      <c r="EI36" s="1584"/>
      <c r="EJ36" s="1584"/>
      <c r="EK36" s="1584"/>
      <c r="EL36" s="1584"/>
      <c r="EM36" s="1583"/>
      <c r="EN36" s="1584"/>
      <c r="EO36" s="1584"/>
      <c r="EP36" s="1584"/>
      <c r="EQ36" s="1584"/>
      <c r="ET36" s="1579"/>
      <c r="GH36" s="991"/>
      <c r="GL36" s="991"/>
      <c r="IB36" s="991"/>
    </row>
    <row r="37" spans="3:251">
      <c r="C37" s="368" t="s">
        <v>657</v>
      </c>
      <c r="D37" s="2626">
        <v>221</v>
      </c>
      <c r="E37" s="2627"/>
      <c r="F37" s="2615">
        <v>0.44</v>
      </c>
      <c r="G37" s="2616"/>
      <c r="H37" s="120"/>
      <c r="I37" s="120"/>
      <c r="J37" s="120"/>
      <c r="K37" s="2653"/>
      <c r="L37" s="2653"/>
      <c r="M37" s="2653"/>
      <c r="N37" s="2653"/>
      <c r="O37" s="2653"/>
      <c r="P37" s="2653"/>
      <c r="AH37" s="445"/>
      <c r="AL37" s="425"/>
      <c r="AU37" s="425"/>
      <c r="AV37" s="425"/>
      <c r="AZ37" s="425"/>
      <c r="DB37" s="991"/>
      <c r="DC37" s="991"/>
      <c r="DD37" s="991"/>
      <c r="DG37" s="991"/>
      <c r="DH37" s="914"/>
      <c r="DL37" s="991"/>
      <c r="DM37" s="991"/>
      <c r="DQ37" s="991"/>
      <c r="DU37" s="991"/>
      <c r="DW37" s="991"/>
      <c r="DZ37" s="991"/>
      <c r="ED37" s="991"/>
      <c r="EG37" s="991"/>
      <c r="EM37" s="991"/>
      <c r="ET37" s="35"/>
      <c r="GH37" s="991"/>
      <c r="GL37" s="991"/>
      <c r="IB37" s="991"/>
    </row>
    <row r="38" spans="3:251">
      <c r="C38" s="368" t="s">
        <v>692</v>
      </c>
      <c r="D38" s="2626">
        <v>57</v>
      </c>
      <c r="E38" s="2627"/>
      <c r="F38" s="2615">
        <v>0.06</v>
      </c>
      <c r="G38" s="2616"/>
      <c r="H38" s="120"/>
      <c r="I38" s="120"/>
      <c r="J38" s="120"/>
      <c r="K38" s="121"/>
      <c r="L38" s="121"/>
      <c r="M38" s="121"/>
      <c r="N38" s="121"/>
      <c r="O38" s="121"/>
      <c r="P38" s="121"/>
      <c r="AH38" s="445"/>
      <c r="AL38" s="425"/>
      <c r="AU38" s="425"/>
      <c r="AV38" s="425"/>
      <c r="AZ38" s="425"/>
      <c r="DB38" s="991"/>
      <c r="DC38" s="991"/>
      <c r="DD38" s="991"/>
      <c r="DG38" s="991"/>
      <c r="DH38" s="914"/>
      <c r="DL38" s="991"/>
      <c r="DM38" s="991"/>
      <c r="DQ38" s="991"/>
      <c r="DU38" s="991"/>
      <c r="DW38" s="991"/>
      <c r="DZ38" s="991"/>
      <c r="ED38" s="991"/>
      <c r="EG38" s="991"/>
      <c r="EM38" s="991"/>
      <c r="ET38" s="1576"/>
      <c r="GH38" s="991"/>
      <c r="GL38" s="991"/>
      <c r="IB38" s="991"/>
    </row>
    <row r="39" spans="3:251">
      <c r="C39" s="368" t="s">
        <v>662</v>
      </c>
      <c r="D39" s="2626" t="s">
        <v>693</v>
      </c>
      <c r="E39" s="2627"/>
      <c r="F39" s="2615">
        <v>7.0000000000000007E-2</v>
      </c>
      <c r="G39" s="2630"/>
      <c r="H39" s="120"/>
      <c r="I39" s="120"/>
      <c r="J39" s="120"/>
      <c r="K39" s="121"/>
      <c r="L39" s="121"/>
      <c r="M39" s="121"/>
      <c r="N39" s="121"/>
      <c r="O39" s="121"/>
      <c r="P39" s="121"/>
      <c r="AH39" s="445"/>
      <c r="AL39" s="425"/>
      <c r="AU39" s="425"/>
      <c r="AV39" s="425"/>
      <c r="AZ39" s="425"/>
      <c r="DB39" s="991"/>
      <c r="DC39" s="991"/>
      <c r="DD39" s="991"/>
      <c r="DG39" s="991" t="s">
        <v>882</v>
      </c>
      <c r="DH39" s="914"/>
      <c r="DL39" s="991"/>
      <c r="DM39" s="991"/>
      <c r="DQ39" s="991"/>
      <c r="DU39" s="991"/>
      <c r="DW39" s="991"/>
      <c r="DZ39" s="991"/>
      <c r="ED39" s="991"/>
      <c r="EG39" s="991"/>
      <c r="EM39" s="991"/>
      <c r="ET39" s="1576"/>
      <c r="GH39" s="991"/>
      <c r="GL39" s="991"/>
      <c r="IB39" s="991"/>
    </row>
    <row r="40" spans="3:251" ht="16.5" thickBot="1">
      <c r="C40" s="369" t="s">
        <v>694</v>
      </c>
      <c r="D40" s="2642">
        <v>67</v>
      </c>
      <c r="E40" s="2643"/>
      <c r="F40" s="2632">
        <v>0.43</v>
      </c>
      <c r="G40" s="2633"/>
      <c r="H40" s="120"/>
      <c r="I40" s="120"/>
      <c r="J40" s="120"/>
      <c r="K40" s="121"/>
      <c r="L40" s="121"/>
      <c r="M40" s="121"/>
      <c r="N40" s="121"/>
      <c r="O40" s="121"/>
      <c r="P40" s="121"/>
      <c r="AH40" s="445"/>
      <c r="AL40" s="425"/>
      <c r="AU40" s="425"/>
      <c r="AV40" s="425"/>
      <c r="AZ40" s="425"/>
      <c r="DB40" s="991"/>
      <c r="DC40" s="991"/>
      <c r="DD40" s="991"/>
      <c r="DG40" s="991"/>
      <c r="DH40" s="914"/>
      <c r="DL40" s="991"/>
      <c r="DM40" s="991"/>
      <c r="DQ40" s="991"/>
      <c r="DU40" s="991"/>
      <c r="DW40" s="991"/>
      <c r="DZ40" s="991"/>
      <c r="ED40" s="991"/>
      <c r="EG40" s="991"/>
      <c r="EM40" s="991"/>
      <c r="ET40" s="1575"/>
      <c r="GH40" s="991"/>
      <c r="GL40" s="991"/>
      <c r="IB40" s="991"/>
    </row>
    <row r="41" spans="3:251" ht="9.9499999999999993" customHeight="1" thickBot="1">
      <c r="ET41" s="132"/>
    </row>
    <row r="42" spans="3:251" ht="6" customHeight="1">
      <c r="C42" s="2623" t="s">
        <v>673</v>
      </c>
      <c r="D42" s="2644" t="s">
        <v>831</v>
      </c>
      <c r="E42" s="2645"/>
      <c r="F42" s="2664">
        <v>37226</v>
      </c>
      <c r="G42" s="2634">
        <v>37536</v>
      </c>
      <c r="H42" s="2604">
        <v>37561</v>
      </c>
      <c r="I42" s="2604">
        <v>37591</v>
      </c>
      <c r="J42" s="2604">
        <v>37622</v>
      </c>
      <c r="K42" s="2604">
        <v>37653</v>
      </c>
      <c r="L42" s="2604">
        <v>37681</v>
      </c>
      <c r="M42" s="2604">
        <v>37712</v>
      </c>
      <c r="N42" s="2604">
        <v>37742</v>
      </c>
      <c r="O42" s="2604">
        <v>37773</v>
      </c>
      <c r="P42" s="2604">
        <v>37803</v>
      </c>
      <c r="Q42" s="2604">
        <v>37834</v>
      </c>
      <c r="R42" s="2604">
        <v>37865</v>
      </c>
      <c r="S42" s="2604">
        <v>37895</v>
      </c>
      <c r="T42" s="2604">
        <v>37926</v>
      </c>
      <c r="U42" s="2604">
        <v>37956</v>
      </c>
      <c r="V42" s="2604">
        <v>37987</v>
      </c>
      <c r="W42" s="2604">
        <v>38018</v>
      </c>
      <c r="X42" s="2604">
        <v>38047</v>
      </c>
      <c r="Y42" s="2604">
        <v>38078</v>
      </c>
      <c r="Z42" s="2604">
        <v>38108</v>
      </c>
      <c r="AA42" s="2604">
        <v>38139</v>
      </c>
      <c r="AB42" s="2604">
        <v>38169</v>
      </c>
      <c r="AC42" s="2604">
        <v>38200</v>
      </c>
      <c r="AD42" s="2604">
        <v>38231</v>
      </c>
      <c r="AE42" s="2604">
        <v>38261</v>
      </c>
      <c r="AF42" s="2604">
        <v>38292</v>
      </c>
      <c r="AG42" s="2604">
        <v>38322</v>
      </c>
      <c r="AH42" s="2604">
        <v>38353</v>
      </c>
      <c r="AI42" s="2604">
        <v>38384</v>
      </c>
      <c r="AJ42" s="2604">
        <v>38412</v>
      </c>
      <c r="AK42" s="2604">
        <v>38443</v>
      </c>
      <c r="AL42" s="2604">
        <v>38473</v>
      </c>
      <c r="AM42" s="2604">
        <v>38504</v>
      </c>
      <c r="AN42" s="2604">
        <v>38534</v>
      </c>
      <c r="AO42" s="2604">
        <v>38565</v>
      </c>
      <c r="AP42" s="2604">
        <v>38596</v>
      </c>
      <c r="AQ42" s="2604">
        <v>38626</v>
      </c>
      <c r="AR42" s="2604">
        <v>38657</v>
      </c>
      <c r="AS42" s="2604">
        <v>38687</v>
      </c>
      <c r="AT42" s="2604">
        <v>38718</v>
      </c>
      <c r="AU42" s="2604">
        <v>38749</v>
      </c>
      <c r="AV42" s="2604">
        <v>38777</v>
      </c>
      <c r="AW42" s="2604">
        <v>38808</v>
      </c>
      <c r="AX42" s="2604">
        <v>38838</v>
      </c>
      <c r="AY42" s="2604">
        <v>38869</v>
      </c>
      <c r="AZ42" s="2604">
        <v>38899</v>
      </c>
      <c r="BA42" s="2604">
        <v>38930</v>
      </c>
      <c r="BB42" s="2604">
        <v>38961</v>
      </c>
      <c r="BC42" s="2604">
        <v>38991</v>
      </c>
      <c r="BD42" s="2604">
        <v>39022</v>
      </c>
      <c r="BE42" s="2604">
        <v>39052</v>
      </c>
      <c r="BF42" s="2604">
        <v>39083</v>
      </c>
      <c r="BG42" s="2604">
        <v>39114</v>
      </c>
      <c r="BH42" s="2604">
        <v>39142</v>
      </c>
      <c r="BI42" s="2604">
        <v>39173</v>
      </c>
      <c r="BJ42" s="2604">
        <v>39203</v>
      </c>
      <c r="BK42" s="2604">
        <v>39234</v>
      </c>
      <c r="BL42" s="2604">
        <v>39264</v>
      </c>
      <c r="BM42" s="2604">
        <v>39295</v>
      </c>
      <c r="BN42" s="2604">
        <v>39326</v>
      </c>
      <c r="BO42" s="2604">
        <v>39356</v>
      </c>
      <c r="BP42" s="2604">
        <v>39387</v>
      </c>
      <c r="BQ42" s="2617">
        <v>39417</v>
      </c>
      <c r="BR42" s="2666">
        <v>39448</v>
      </c>
      <c r="BS42" s="2621">
        <v>39479</v>
      </c>
      <c r="BT42" s="2621">
        <v>39508</v>
      </c>
      <c r="BU42" s="2621">
        <v>39539</v>
      </c>
      <c r="BV42" s="2634">
        <v>39569</v>
      </c>
      <c r="BW42" s="2604">
        <v>39600</v>
      </c>
      <c r="BX42" s="2604">
        <v>39630</v>
      </c>
      <c r="BY42" s="2604">
        <v>39661</v>
      </c>
      <c r="BZ42" s="2604">
        <v>39692</v>
      </c>
      <c r="CA42" s="2604">
        <v>39722</v>
      </c>
      <c r="CB42" s="2604">
        <v>39753</v>
      </c>
      <c r="CC42" s="2617">
        <v>39783</v>
      </c>
      <c r="CD42" s="2634">
        <v>39814</v>
      </c>
      <c r="CE42" s="2604">
        <v>39845</v>
      </c>
      <c r="CF42" s="2604">
        <v>39873</v>
      </c>
      <c r="CG42" s="2604">
        <v>39904</v>
      </c>
      <c r="CH42" s="2604">
        <v>39934</v>
      </c>
      <c r="CI42" s="2604">
        <v>39965</v>
      </c>
      <c r="CJ42" s="2604">
        <v>39995</v>
      </c>
      <c r="CK42" s="2604">
        <v>40026</v>
      </c>
      <c r="CL42" s="2604">
        <v>40057</v>
      </c>
      <c r="CM42" s="2604">
        <v>40087</v>
      </c>
      <c r="CN42" s="2677">
        <v>40118</v>
      </c>
      <c r="CO42" s="2680">
        <v>40148</v>
      </c>
      <c r="CP42" s="2634">
        <v>40179</v>
      </c>
      <c r="CQ42" s="2604">
        <v>40210</v>
      </c>
      <c r="CR42" s="2604">
        <v>40238</v>
      </c>
      <c r="CS42" s="2604">
        <v>40269</v>
      </c>
      <c r="CT42" s="2604">
        <v>40299</v>
      </c>
      <c r="CU42" s="2604">
        <v>40330</v>
      </c>
      <c r="CV42" s="2604">
        <v>40360</v>
      </c>
      <c r="CW42" s="2604">
        <v>40391</v>
      </c>
      <c r="CX42" s="2604">
        <v>40422</v>
      </c>
      <c r="CY42" s="2680">
        <v>40452</v>
      </c>
      <c r="CZ42" s="2604">
        <v>40483</v>
      </c>
      <c r="DA42" s="2680">
        <v>40513</v>
      </c>
      <c r="DB42" s="2666">
        <v>40544</v>
      </c>
      <c r="DC42" s="2604">
        <v>40575</v>
      </c>
      <c r="DD42" s="2619">
        <v>40603</v>
      </c>
      <c r="DE42" s="2619">
        <v>40634</v>
      </c>
      <c r="DF42" s="2604">
        <v>40664</v>
      </c>
      <c r="DG42" s="2604">
        <v>40695</v>
      </c>
      <c r="DH42" s="2619">
        <v>40725</v>
      </c>
      <c r="DI42" s="2619">
        <v>40756</v>
      </c>
      <c r="DJ42" s="2619">
        <v>40787</v>
      </c>
      <c r="DK42" s="2619">
        <v>40817</v>
      </c>
      <c r="DL42" s="2619">
        <v>40848</v>
      </c>
      <c r="DM42" s="2617">
        <v>40878</v>
      </c>
      <c r="DN42" s="2619">
        <v>40909</v>
      </c>
      <c r="DO42" s="2619">
        <v>40940</v>
      </c>
      <c r="DP42" s="2619">
        <v>40969</v>
      </c>
      <c r="DQ42" s="2619">
        <v>41000</v>
      </c>
      <c r="DR42" s="2619">
        <v>41030</v>
      </c>
      <c r="DS42" s="2619">
        <v>41061</v>
      </c>
      <c r="DT42" s="2619">
        <v>41091</v>
      </c>
      <c r="DU42" s="2619">
        <v>41122</v>
      </c>
      <c r="DV42" s="2619">
        <v>41153</v>
      </c>
      <c r="DW42" s="2619">
        <v>41183</v>
      </c>
      <c r="DX42" s="2619">
        <v>41214</v>
      </c>
      <c r="DY42" s="2617">
        <v>41244</v>
      </c>
      <c r="DZ42" s="2634">
        <v>41275</v>
      </c>
      <c r="EA42" s="2604">
        <v>41306</v>
      </c>
      <c r="EB42" s="2619">
        <v>41334</v>
      </c>
      <c r="EC42" s="2619">
        <v>41365</v>
      </c>
      <c r="ED42" s="2619">
        <v>41395</v>
      </c>
      <c r="EE42" s="2619">
        <v>41426</v>
      </c>
      <c r="EF42" s="2619">
        <v>41456</v>
      </c>
      <c r="EG42" s="2619">
        <v>41487</v>
      </c>
      <c r="EH42" s="2619">
        <v>41518</v>
      </c>
      <c r="EI42" s="2619">
        <v>41548</v>
      </c>
      <c r="EJ42" s="2619">
        <v>41579</v>
      </c>
      <c r="EK42" s="2617">
        <v>41609</v>
      </c>
      <c r="EL42" s="2619">
        <v>41640</v>
      </c>
      <c r="EM42" s="2619">
        <v>41671</v>
      </c>
      <c r="EN42" s="2619">
        <v>41699</v>
      </c>
      <c r="EO42" s="2619">
        <v>41730</v>
      </c>
      <c r="EP42" s="2619">
        <v>41760</v>
      </c>
      <c r="EQ42" s="2619">
        <v>41791</v>
      </c>
      <c r="ER42" s="2619">
        <v>41821</v>
      </c>
      <c r="ES42" s="2619">
        <v>41852</v>
      </c>
      <c r="ET42" s="2619">
        <v>41883</v>
      </c>
      <c r="EU42" s="2619">
        <v>41913</v>
      </c>
      <c r="EV42" s="2619">
        <v>41944</v>
      </c>
      <c r="EW42" s="2617">
        <v>41974</v>
      </c>
      <c r="EX42" s="2666">
        <v>42005</v>
      </c>
      <c r="EY42" s="2619">
        <v>42036</v>
      </c>
      <c r="EZ42" s="2604">
        <v>42064</v>
      </c>
      <c r="FA42" s="2604">
        <v>42095</v>
      </c>
      <c r="FB42" s="2604">
        <v>42125</v>
      </c>
      <c r="FC42" s="2604">
        <v>42156</v>
      </c>
      <c r="FD42" s="2604">
        <v>42186</v>
      </c>
      <c r="FE42" s="2604">
        <v>42217</v>
      </c>
      <c r="FF42" s="2604">
        <v>42248</v>
      </c>
      <c r="FG42" s="2619">
        <v>42278</v>
      </c>
      <c r="FH42" s="2617">
        <v>42309</v>
      </c>
      <c r="FI42" s="2601">
        <f t="shared" ref="FI42:FN42" si="152">+FI19</f>
        <v>42339</v>
      </c>
      <c r="FJ42" s="2601">
        <f t="shared" si="152"/>
        <v>42370</v>
      </c>
      <c r="FK42" s="2601">
        <f t="shared" si="152"/>
        <v>42401</v>
      </c>
      <c r="FL42" s="2601">
        <f t="shared" si="152"/>
        <v>42430</v>
      </c>
      <c r="FM42" s="2601">
        <f t="shared" si="152"/>
        <v>42461</v>
      </c>
      <c r="FN42" s="2601">
        <f t="shared" si="152"/>
        <v>42491</v>
      </c>
      <c r="FO42" s="2601">
        <f t="shared" ref="FO42:GY42" si="153">+FO19</f>
        <v>42522</v>
      </c>
      <c r="FP42" s="2601">
        <f t="shared" si="153"/>
        <v>42552</v>
      </c>
      <c r="FQ42" s="2601">
        <f t="shared" si="153"/>
        <v>42583</v>
      </c>
      <c r="FR42" s="2601">
        <f t="shared" si="153"/>
        <v>42614</v>
      </c>
      <c r="FS42" s="2601">
        <f t="shared" si="153"/>
        <v>42644</v>
      </c>
      <c r="FT42" s="2601">
        <f t="shared" si="153"/>
        <v>42675</v>
      </c>
      <c r="FU42" s="2601">
        <f t="shared" si="153"/>
        <v>42705</v>
      </c>
      <c r="FV42" s="2601">
        <f t="shared" si="153"/>
        <v>42736</v>
      </c>
      <c r="FW42" s="2601">
        <f t="shared" si="153"/>
        <v>42767</v>
      </c>
      <c r="FX42" s="2601">
        <f t="shared" si="153"/>
        <v>42795</v>
      </c>
      <c r="FY42" s="2601">
        <f t="shared" si="153"/>
        <v>42826</v>
      </c>
      <c r="FZ42" s="2601">
        <f t="shared" si="153"/>
        <v>42856</v>
      </c>
      <c r="GA42" s="2601">
        <f t="shared" si="153"/>
        <v>42887</v>
      </c>
      <c r="GB42" s="2601">
        <f t="shared" si="153"/>
        <v>42917</v>
      </c>
      <c r="GC42" s="2601">
        <f t="shared" si="153"/>
        <v>42948</v>
      </c>
      <c r="GD42" s="2601">
        <f t="shared" si="153"/>
        <v>42979</v>
      </c>
      <c r="GE42" s="2601">
        <f t="shared" si="153"/>
        <v>43009</v>
      </c>
      <c r="GF42" s="2601">
        <f t="shared" si="153"/>
        <v>43040</v>
      </c>
      <c r="GG42" s="2601">
        <f t="shared" si="153"/>
        <v>43070</v>
      </c>
      <c r="GH42" s="2601">
        <f t="shared" si="153"/>
        <v>43101</v>
      </c>
      <c r="GI42" s="2601">
        <f t="shared" si="153"/>
        <v>43132</v>
      </c>
      <c r="GJ42" s="2601">
        <f t="shared" si="153"/>
        <v>43160</v>
      </c>
      <c r="GK42" s="2601">
        <f t="shared" si="153"/>
        <v>43191</v>
      </c>
      <c r="GL42" s="2601">
        <f t="shared" si="153"/>
        <v>43221</v>
      </c>
      <c r="GM42" s="2601">
        <f t="shared" si="153"/>
        <v>43252</v>
      </c>
      <c r="GN42" s="2601">
        <f t="shared" si="153"/>
        <v>43282</v>
      </c>
      <c r="GO42" s="2601">
        <f t="shared" si="153"/>
        <v>43313</v>
      </c>
      <c r="GP42" s="2601">
        <f t="shared" si="153"/>
        <v>43344</v>
      </c>
      <c r="GQ42" s="2601">
        <f t="shared" si="153"/>
        <v>43374</v>
      </c>
      <c r="GR42" s="2601">
        <f t="shared" si="153"/>
        <v>43405</v>
      </c>
      <c r="GS42" s="2601">
        <f t="shared" si="153"/>
        <v>43435</v>
      </c>
      <c r="GT42" s="2601">
        <f t="shared" si="153"/>
        <v>43466</v>
      </c>
      <c r="GU42" s="2601">
        <f t="shared" si="153"/>
        <v>43497</v>
      </c>
      <c r="GV42" s="2601">
        <f t="shared" si="153"/>
        <v>43525</v>
      </c>
      <c r="GW42" s="2601">
        <f t="shared" si="153"/>
        <v>43556</v>
      </c>
      <c r="GX42" s="2601">
        <f t="shared" si="153"/>
        <v>43586</v>
      </c>
      <c r="GY42" s="2601">
        <f t="shared" si="153"/>
        <v>43617</v>
      </c>
      <c r="GZ42" s="2601">
        <v>43647</v>
      </c>
      <c r="HA42" s="2601">
        <v>43678</v>
      </c>
      <c r="HB42" s="2601">
        <v>43709</v>
      </c>
      <c r="HC42" s="2601">
        <v>43739</v>
      </c>
      <c r="HD42" s="2601">
        <v>43770</v>
      </c>
      <c r="HE42" s="2601">
        <v>43800</v>
      </c>
      <c r="HF42" s="2601">
        <v>43831</v>
      </c>
      <c r="HG42" s="2601">
        <v>43862</v>
      </c>
      <c r="HH42" s="2601">
        <v>43891</v>
      </c>
      <c r="HI42" s="2601">
        <v>43922</v>
      </c>
      <c r="HJ42" s="2601">
        <v>43952</v>
      </c>
      <c r="HK42" s="2601">
        <v>43983</v>
      </c>
      <c r="HL42" s="2601">
        <v>44013</v>
      </c>
      <c r="HM42" s="2601">
        <v>44044</v>
      </c>
      <c r="HN42" s="2601">
        <v>44075</v>
      </c>
      <c r="HO42" s="2601">
        <v>44105</v>
      </c>
      <c r="HP42" s="2601">
        <v>44136</v>
      </c>
      <c r="HQ42" s="2601">
        <v>44166</v>
      </c>
      <c r="HR42" s="2609">
        <v>44197</v>
      </c>
      <c r="HS42" s="2606">
        <v>44228</v>
      </c>
      <c r="HT42" s="2606">
        <v>44256</v>
      </c>
      <c r="HU42" s="2606">
        <v>44287</v>
      </c>
      <c r="HV42" s="2606">
        <v>44317</v>
      </c>
      <c r="HW42" s="2606">
        <v>44348</v>
      </c>
      <c r="HX42" s="2606">
        <v>44378</v>
      </c>
      <c r="HY42" s="2606">
        <v>44409</v>
      </c>
      <c r="HZ42" s="2606">
        <v>44440</v>
      </c>
      <c r="IA42" s="2606">
        <v>44470</v>
      </c>
      <c r="IB42" s="2606">
        <v>44501</v>
      </c>
      <c r="IC42" s="2612">
        <v>44531</v>
      </c>
      <c r="ID42" s="2601">
        <v>44562</v>
      </c>
      <c r="IE42" s="2601">
        <v>44593</v>
      </c>
      <c r="IF42" s="2601">
        <v>44621</v>
      </c>
      <c r="IG42" s="2601">
        <v>44652</v>
      </c>
      <c r="IH42" s="2601">
        <v>44682</v>
      </c>
      <c r="II42" s="2601">
        <v>44713</v>
      </c>
      <c r="IJ42" s="2601">
        <v>44743</v>
      </c>
      <c r="IK42" s="2601">
        <v>44774</v>
      </c>
      <c r="IL42" s="2601">
        <v>44805</v>
      </c>
      <c r="IM42" s="2601">
        <v>44835</v>
      </c>
      <c r="IN42" s="2601">
        <v>44866</v>
      </c>
      <c r="IO42" s="2601">
        <v>44896</v>
      </c>
      <c r="IP42" s="2601">
        <v>44927</v>
      </c>
      <c r="IQ42" s="2601">
        <f>+IQ19</f>
        <v>44958</v>
      </c>
    </row>
    <row r="43" spans="3:251" ht="9.75" customHeight="1">
      <c r="C43" s="2624"/>
      <c r="D43" s="2646"/>
      <c r="E43" s="2647"/>
      <c r="F43" s="2665"/>
      <c r="G43" s="2635"/>
      <c r="H43" s="2605"/>
      <c r="I43" s="2605"/>
      <c r="J43" s="2605">
        <v>37257</v>
      </c>
      <c r="K43" s="2605"/>
      <c r="L43" s="2605"/>
      <c r="M43" s="2605"/>
      <c r="N43" s="2605"/>
      <c r="O43" s="2605"/>
      <c r="P43" s="2605"/>
      <c r="Q43" s="2605"/>
      <c r="R43" s="2605"/>
      <c r="S43" s="2605"/>
      <c r="T43" s="2605"/>
      <c r="U43" s="2605"/>
      <c r="V43" s="2605"/>
      <c r="W43" s="2605"/>
      <c r="X43" s="2605"/>
      <c r="Y43" s="2605"/>
      <c r="Z43" s="2605"/>
      <c r="AA43" s="2605"/>
      <c r="AB43" s="2605"/>
      <c r="AC43" s="2605"/>
      <c r="AD43" s="2605"/>
      <c r="AE43" s="2605"/>
      <c r="AF43" s="2605"/>
      <c r="AG43" s="2605"/>
      <c r="AH43" s="2605"/>
      <c r="AI43" s="2605"/>
      <c r="AJ43" s="2605"/>
      <c r="AK43" s="2605"/>
      <c r="AL43" s="2605"/>
      <c r="AM43" s="2605"/>
      <c r="AN43" s="2605"/>
      <c r="AO43" s="2605"/>
      <c r="AP43" s="2605"/>
      <c r="AQ43" s="2605"/>
      <c r="AR43" s="2605"/>
      <c r="AS43" s="2605"/>
      <c r="AT43" s="2605"/>
      <c r="AU43" s="2605"/>
      <c r="AV43" s="2605"/>
      <c r="AW43" s="2605"/>
      <c r="AX43" s="2605"/>
      <c r="AY43" s="2605"/>
      <c r="AZ43" s="2605"/>
      <c r="BA43" s="2605"/>
      <c r="BB43" s="2605"/>
      <c r="BC43" s="2605"/>
      <c r="BD43" s="2605"/>
      <c r="BE43" s="2605"/>
      <c r="BF43" s="2605"/>
      <c r="BG43" s="2605"/>
      <c r="BH43" s="2605"/>
      <c r="BI43" s="2605"/>
      <c r="BJ43" s="2605"/>
      <c r="BK43" s="2605"/>
      <c r="BL43" s="2605"/>
      <c r="BM43" s="2605"/>
      <c r="BN43" s="2605"/>
      <c r="BO43" s="2605"/>
      <c r="BP43" s="2605"/>
      <c r="BQ43" s="2618"/>
      <c r="BR43" s="2667"/>
      <c r="BS43" s="2622"/>
      <c r="BT43" s="2622"/>
      <c r="BU43" s="2622"/>
      <c r="BV43" s="2635"/>
      <c r="BW43" s="2605"/>
      <c r="BX43" s="2605"/>
      <c r="BY43" s="2605"/>
      <c r="BZ43" s="2605"/>
      <c r="CA43" s="2605"/>
      <c r="CB43" s="2605"/>
      <c r="CC43" s="2618"/>
      <c r="CD43" s="2635"/>
      <c r="CE43" s="2605"/>
      <c r="CF43" s="2605"/>
      <c r="CG43" s="2605"/>
      <c r="CH43" s="2605"/>
      <c r="CI43" s="2605"/>
      <c r="CJ43" s="2605"/>
      <c r="CK43" s="2605"/>
      <c r="CL43" s="2605"/>
      <c r="CM43" s="2605"/>
      <c r="CN43" s="2678"/>
      <c r="CO43" s="2681"/>
      <c r="CP43" s="2635"/>
      <c r="CQ43" s="2605"/>
      <c r="CR43" s="2605"/>
      <c r="CS43" s="2605"/>
      <c r="CT43" s="2605"/>
      <c r="CU43" s="2605"/>
      <c r="CV43" s="2605"/>
      <c r="CW43" s="2605"/>
      <c r="CX43" s="2605"/>
      <c r="CY43" s="2681"/>
      <c r="CZ43" s="2605"/>
      <c r="DA43" s="2681"/>
      <c r="DB43" s="2679"/>
      <c r="DC43" s="2605"/>
      <c r="DD43" s="2620"/>
      <c r="DE43" s="2620"/>
      <c r="DF43" s="2605"/>
      <c r="DG43" s="2605"/>
      <c r="DH43" s="2620"/>
      <c r="DI43" s="2620"/>
      <c r="DJ43" s="2620"/>
      <c r="DK43" s="2620"/>
      <c r="DL43" s="2620"/>
      <c r="DM43" s="2618"/>
      <c r="DN43" s="2620"/>
      <c r="DO43" s="2620"/>
      <c r="DP43" s="2620"/>
      <c r="DQ43" s="2620"/>
      <c r="DR43" s="2620"/>
      <c r="DS43" s="2620"/>
      <c r="DT43" s="2620"/>
      <c r="DU43" s="2620"/>
      <c r="DV43" s="2620"/>
      <c r="DW43" s="2620"/>
      <c r="DX43" s="2620"/>
      <c r="DY43" s="2618"/>
      <c r="DZ43" s="2635"/>
      <c r="EA43" s="2605"/>
      <c r="EB43" s="2620"/>
      <c r="EC43" s="2620"/>
      <c r="ED43" s="2620"/>
      <c r="EE43" s="2620"/>
      <c r="EF43" s="2620"/>
      <c r="EG43" s="2620"/>
      <c r="EH43" s="2620"/>
      <c r="EI43" s="2620"/>
      <c r="EJ43" s="2620"/>
      <c r="EK43" s="2618"/>
      <c r="EL43" s="2620"/>
      <c r="EM43" s="2620"/>
      <c r="EN43" s="2620"/>
      <c r="EO43" s="2620"/>
      <c r="EP43" s="2620"/>
      <c r="EQ43" s="2620"/>
      <c r="ER43" s="2620"/>
      <c r="ES43" s="2620"/>
      <c r="ET43" s="2620"/>
      <c r="EU43" s="2620"/>
      <c r="EV43" s="2620"/>
      <c r="EW43" s="2618"/>
      <c r="EX43" s="2679"/>
      <c r="EY43" s="2620"/>
      <c r="EZ43" s="2605"/>
      <c r="FA43" s="2605"/>
      <c r="FB43" s="2605"/>
      <c r="FC43" s="2605"/>
      <c r="FD43" s="2605"/>
      <c r="FE43" s="2605"/>
      <c r="FF43" s="2605"/>
      <c r="FG43" s="2620"/>
      <c r="FH43" s="2618"/>
      <c r="FI43" s="2602"/>
      <c r="FJ43" s="2602"/>
      <c r="FK43" s="2602"/>
      <c r="FL43" s="2602"/>
      <c r="FM43" s="2602"/>
      <c r="FN43" s="2602"/>
      <c r="FO43" s="2602"/>
      <c r="FP43" s="2602"/>
      <c r="FQ43" s="2602"/>
      <c r="FR43" s="2602"/>
      <c r="FS43" s="2602"/>
      <c r="FT43" s="2602"/>
      <c r="FU43" s="2602"/>
      <c r="FV43" s="2602"/>
      <c r="FW43" s="2602"/>
      <c r="FX43" s="2602"/>
      <c r="FY43" s="2602"/>
      <c r="FZ43" s="2602"/>
      <c r="GA43" s="2602"/>
      <c r="GB43" s="2602"/>
      <c r="GC43" s="2602"/>
      <c r="GD43" s="2602"/>
      <c r="GE43" s="2602"/>
      <c r="GF43" s="2602"/>
      <c r="GG43" s="2602"/>
      <c r="GH43" s="2602"/>
      <c r="GI43" s="2602"/>
      <c r="GJ43" s="2602"/>
      <c r="GK43" s="2602"/>
      <c r="GL43" s="2602"/>
      <c r="GM43" s="2602"/>
      <c r="GN43" s="2602"/>
      <c r="GO43" s="2602"/>
      <c r="GP43" s="2602"/>
      <c r="GQ43" s="2602"/>
      <c r="GR43" s="2602"/>
      <c r="GS43" s="2602"/>
      <c r="GT43" s="2602"/>
      <c r="GU43" s="2602"/>
      <c r="GV43" s="2602"/>
      <c r="GW43" s="2602"/>
      <c r="GX43" s="2602"/>
      <c r="GY43" s="2602"/>
      <c r="GZ43" s="2602"/>
      <c r="HA43" s="2602"/>
      <c r="HB43" s="2602"/>
      <c r="HC43" s="2602"/>
      <c r="HD43" s="2602"/>
      <c r="HE43" s="2602"/>
      <c r="HF43" s="2602"/>
      <c r="HG43" s="2602"/>
      <c r="HH43" s="2602"/>
      <c r="HI43" s="2602"/>
      <c r="HJ43" s="2602"/>
      <c r="HK43" s="2602"/>
      <c r="HL43" s="2602"/>
      <c r="HM43" s="2602"/>
      <c r="HN43" s="2602"/>
      <c r="HO43" s="2602"/>
      <c r="HP43" s="2602"/>
      <c r="HQ43" s="2602"/>
      <c r="HR43" s="2610"/>
      <c r="HS43" s="2607"/>
      <c r="HT43" s="2607"/>
      <c r="HU43" s="2607"/>
      <c r="HV43" s="2607"/>
      <c r="HW43" s="2607"/>
      <c r="HX43" s="2607"/>
      <c r="HY43" s="2607"/>
      <c r="HZ43" s="2607"/>
      <c r="IA43" s="2607"/>
      <c r="IB43" s="2607"/>
      <c r="IC43" s="2613"/>
      <c r="ID43" s="2602"/>
      <c r="IE43" s="2602"/>
      <c r="IF43" s="2602"/>
      <c r="IG43" s="2602"/>
      <c r="IH43" s="2602"/>
      <c r="II43" s="2602"/>
      <c r="IJ43" s="2602"/>
      <c r="IK43" s="2602"/>
      <c r="IL43" s="2602"/>
      <c r="IM43" s="2602"/>
      <c r="IN43" s="2602"/>
      <c r="IO43" s="2602"/>
      <c r="IP43" s="2602"/>
      <c r="IQ43" s="2602"/>
    </row>
    <row r="44" spans="3:251" ht="5.25" customHeight="1">
      <c r="C44" s="2624"/>
      <c r="D44" s="2648"/>
      <c r="E44" s="2649"/>
      <c r="F44" s="2665"/>
      <c r="G44" s="2635"/>
      <c r="H44" s="2605"/>
      <c r="I44" s="2605"/>
      <c r="J44" s="2605"/>
      <c r="K44" s="2605"/>
      <c r="L44" s="2605"/>
      <c r="M44" s="2605"/>
      <c r="N44" s="2605"/>
      <c r="O44" s="2605"/>
      <c r="P44" s="2605"/>
      <c r="Q44" s="2605"/>
      <c r="R44" s="2605"/>
      <c r="S44" s="2605"/>
      <c r="T44" s="2605"/>
      <c r="U44" s="2605"/>
      <c r="V44" s="2605"/>
      <c r="W44" s="2605"/>
      <c r="X44" s="2605"/>
      <c r="Y44" s="2605"/>
      <c r="Z44" s="2605"/>
      <c r="AA44" s="2605"/>
      <c r="AB44" s="2605"/>
      <c r="AC44" s="2605"/>
      <c r="AD44" s="2605"/>
      <c r="AE44" s="2605"/>
      <c r="AF44" s="2605"/>
      <c r="AG44" s="2605"/>
      <c r="AH44" s="2605"/>
      <c r="AI44" s="2605"/>
      <c r="AJ44" s="2605"/>
      <c r="AK44" s="2605"/>
      <c r="AL44" s="2605"/>
      <c r="AM44" s="2605"/>
      <c r="AN44" s="2605"/>
      <c r="AO44" s="2605"/>
      <c r="AP44" s="2605"/>
      <c r="AQ44" s="2605"/>
      <c r="AR44" s="2605"/>
      <c r="AS44" s="2605"/>
      <c r="AT44" s="2605"/>
      <c r="AU44" s="2605"/>
      <c r="AV44" s="2605"/>
      <c r="AW44" s="2605"/>
      <c r="AX44" s="2605"/>
      <c r="AY44" s="2605"/>
      <c r="AZ44" s="2605"/>
      <c r="BA44" s="2605"/>
      <c r="BB44" s="2605"/>
      <c r="BC44" s="2605"/>
      <c r="BD44" s="2605"/>
      <c r="BE44" s="2605"/>
      <c r="BF44" s="2605"/>
      <c r="BG44" s="2605"/>
      <c r="BH44" s="2605"/>
      <c r="BI44" s="2605"/>
      <c r="BJ44" s="2605"/>
      <c r="BK44" s="2605"/>
      <c r="BL44" s="2605"/>
      <c r="BM44" s="2605"/>
      <c r="BN44" s="2605"/>
      <c r="BO44" s="2605"/>
      <c r="BP44" s="2605"/>
      <c r="BQ44" s="2618"/>
      <c r="BR44" s="2667"/>
      <c r="BS44" s="2622"/>
      <c r="BT44" s="2622"/>
      <c r="BU44" s="2622"/>
      <c r="BV44" s="2635"/>
      <c r="BW44" s="2605"/>
      <c r="BX44" s="2605"/>
      <c r="BY44" s="2605"/>
      <c r="BZ44" s="2605"/>
      <c r="CA44" s="2605"/>
      <c r="CB44" s="2605"/>
      <c r="CC44" s="2618"/>
      <c r="CD44" s="2635"/>
      <c r="CE44" s="2605"/>
      <c r="CF44" s="2605"/>
      <c r="CG44" s="2605"/>
      <c r="CH44" s="2605"/>
      <c r="CI44" s="2605"/>
      <c r="CJ44" s="2605"/>
      <c r="CK44" s="2605"/>
      <c r="CL44" s="2605"/>
      <c r="CM44" s="2605"/>
      <c r="CN44" s="2678"/>
      <c r="CO44" s="2681"/>
      <c r="CP44" s="2635"/>
      <c r="CQ44" s="2605"/>
      <c r="CR44" s="2605"/>
      <c r="CS44" s="2605"/>
      <c r="CT44" s="2605"/>
      <c r="CU44" s="2605"/>
      <c r="CV44" s="2605"/>
      <c r="CW44" s="2605"/>
      <c r="CX44" s="2605"/>
      <c r="CY44" s="2681"/>
      <c r="CZ44" s="2605"/>
      <c r="DA44" s="2681"/>
      <c r="DB44" s="2679"/>
      <c r="DC44" s="2605"/>
      <c r="DD44" s="2620"/>
      <c r="DE44" s="2620"/>
      <c r="DF44" s="2605"/>
      <c r="DG44" s="2605"/>
      <c r="DH44" s="2620"/>
      <c r="DI44" s="2620"/>
      <c r="DJ44" s="2620"/>
      <c r="DK44" s="2620"/>
      <c r="DL44" s="2620"/>
      <c r="DM44" s="2618"/>
      <c r="DN44" s="2620"/>
      <c r="DO44" s="2620"/>
      <c r="DP44" s="2620"/>
      <c r="DQ44" s="2620"/>
      <c r="DR44" s="2620"/>
      <c r="DS44" s="2620"/>
      <c r="DT44" s="2620"/>
      <c r="DU44" s="2620"/>
      <c r="DV44" s="2620"/>
      <c r="DW44" s="2620"/>
      <c r="DX44" s="2620"/>
      <c r="DY44" s="2618"/>
      <c r="DZ44" s="2635"/>
      <c r="EA44" s="2605"/>
      <c r="EB44" s="2620"/>
      <c r="EC44" s="2620"/>
      <c r="ED44" s="2620"/>
      <c r="EE44" s="2620"/>
      <c r="EF44" s="2620"/>
      <c r="EG44" s="2620"/>
      <c r="EH44" s="2620"/>
      <c r="EI44" s="2620"/>
      <c r="EJ44" s="2620"/>
      <c r="EK44" s="2618"/>
      <c r="EL44" s="2620"/>
      <c r="EM44" s="2620"/>
      <c r="EN44" s="2620"/>
      <c r="EO44" s="2620"/>
      <c r="EP44" s="2620"/>
      <c r="EQ44" s="2620"/>
      <c r="ER44" s="2620"/>
      <c r="ES44" s="2620"/>
      <c r="ET44" s="2620"/>
      <c r="EU44" s="2620"/>
      <c r="EV44" s="2620"/>
      <c r="EW44" s="2618"/>
      <c r="EX44" s="2679"/>
      <c r="EY44" s="2620"/>
      <c r="EZ44" s="2605"/>
      <c r="FA44" s="2605"/>
      <c r="FB44" s="2605"/>
      <c r="FC44" s="2605"/>
      <c r="FD44" s="2605"/>
      <c r="FE44" s="2605"/>
      <c r="FF44" s="2605"/>
      <c r="FG44" s="2620"/>
      <c r="FH44" s="2618"/>
      <c r="FI44" s="2603"/>
      <c r="FJ44" s="2603"/>
      <c r="FK44" s="2603"/>
      <c r="FL44" s="2603"/>
      <c r="FM44" s="2603"/>
      <c r="FN44" s="2603"/>
      <c r="FO44" s="2603"/>
      <c r="FP44" s="2603"/>
      <c r="FQ44" s="2603"/>
      <c r="FR44" s="2603"/>
      <c r="FS44" s="2603"/>
      <c r="FT44" s="2603"/>
      <c r="FU44" s="2603"/>
      <c r="FV44" s="2603"/>
      <c r="FW44" s="2603"/>
      <c r="FX44" s="2603"/>
      <c r="FY44" s="2603"/>
      <c r="FZ44" s="2603"/>
      <c r="GA44" s="2603"/>
      <c r="GB44" s="2603"/>
      <c r="GC44" s="2603"/>
      <c r="GD44" s="2603"/>
      <c r="GE44" s="2603"/>
      <c r="GF44" s="2603"/>
      <c r="GG44" s="2603"/>
      <c r="GH44" s="2603"/>
      <c r="GI44" s="2603"/>
      <c r="GJ44" s="2603"/>
      <c r="GK44" s="2603"/>
      <c r="GL44" s="2603"/>
      <c r="GM44" s="2603"/>
      <c r="GN44" s="2603"/>
      <c r="GO44" s="2603"/>
      <c r="GP44" s="2603"/>
      <c r="GQ44" s="2603"/>
      <c r="GR44" s="2603"/>
      <c r="GS44" s="2603"/>
      <c r="GT44" s="2603"/>
      <c r="GU44" s="2603"/>
      <c r="GV44" s="2603"/>
      <c r="GW44" s="2603"/>
      <c r="GX44" s="2603"/>
      <c r="GY44" s="2603"/>
      <c r="GZ44" s="2603"/>
      <c r="HA44" s="2603"/>
      <c r="HB44" s="2603"/>
      <c r="HC44" s="2603"/>
      <c r="HD44" s="2603"/>
      <c r="HE44" s="2603"/>
      <c r="HF44" s="2603"/>
      <c r="HG44" s="2603"/>
      <c r="HH44" s="2603"/>
      <c r="HI44" s="2603"/>
      <c r="HJ44" s="2603"/>
      <c r="HK44" s="2603"/>
      <c r="HL44" s="2603"/>
      <c r="HM44" s="2603"/>
      <c r="HN44" s="2603"/>
      <c r="HO44" s="2603"/>
      <c r="HP44" s="2603"/>
      <c r="HQ44" s="2603"/>
      <c r="HR44" s="2611"/>
      <c r="HS44" s="2608"/>
      <c r="HT44" s="2608"/>
      <c r="HU44" s="2608"/>
      <c r="HV44" s="2608"/>
      <c r="HW44" s="2608"/>
      <c r="HX44" s="2608"/>
      <c r="HY44" s="2608"/>
      <c r="HZ44" s="2608"/>
      <c r="IA44" s="2608"/>
      <c r="IB44" s="2608"/>
      <c r="IC44" s="2614"/>
      <c r="ID44" s="2603"/>
      <c r="IE44" s="2603"/>
      <c r="IF44" s="2603"/>
      <c r="IG44" s="2603"/>
      <c r="IH44" s="2603"/>
      <c r="II44" s="2603"/>
      <c r="IJ44" s="2603"/>
      <c r="IK44" s="2603"/>
      <c r="IL44" s="2603"/>
      <c r="IM44" s="2603"/>
      <c r="IN44" s="2603"/>
      <c r="IO44" s="2603"/>
      <c r="IP44" s="2603"/>
      <c r="IQ44" s="2603"/>
    </row>
    <row r="45" spans="3:251">
      <c r="C45" s="372" t="s">
        <v>674</v>
      </c>
      <c r="D45" s="2658">
        <v>221</v>
      </c>
      <c r="E45" s="2626"/>
      <c r="F45" s="975">
        <f t="shared" ref="F45:O45" si="154">+F20</f>
        <v>100</v>
      </c>
      <c r="G45" s="1794">
        <f t="shared" si="154"/>
        <v>209.81</v>
      </c>
      <c r="H45" s="1794">
        <f t="shared" si="154"/>
        <v>209.93</v>
      </c>
      <c r="I45" s="1794">
        <f t="shared" si="154"/>
        <v>210.93</v>
      </c>
      <c r="J45" s="1812">
        <f t="shared" si="154"/>
        <v>204.96</v>
      </c>
      <c r="K45" s="1812">
        <f t="shared" si="154"/>
        <v>203.25</v>
      </c>
      <c r="L45" s="1812">
        <f t="shared" si="154"/>
        <v>202.15</v>
      </c>
      <c r="M45" s="1812">
        <f t="shared" si="154"/>
        <v>200.5</v>
      </c>
      <c r="N45" s="1812">
        <f t="shared" si="154"/>
        <v>198.52</v>
      </c>
      <c r="O45" s="1812">
        <f t="shared" si="154"/>
        <v>199.59</v>
      </c>
      <c r="P45" s="1813">
        <v>200.97</v>
      </c>
      <c r="Q45" s="1813">
        <v>203.44</v>
      </c>
      <c r="R45" s="1795">
        <v>202.12</v>
      </c>
      <c r="S45" s="1795">
        <v>201.73</v>
      </c>
      <c r="T45" s="538">
        <v>202.19</v>
      </c>
      <c r="U45" s="1814">
        <v>206.43</v>
      </c>
      <c r="V45" s="1814">
        <v>207.76</v>
      </c>
      <c r="W45" s="1795">
        <f>W20</f>
        <v>212.22</v>
      </c>
      <c r="X45" s="1795">
        <f>X20</f>
        <v>217.73</v>
      </c>
      <c r="Y45" s="1814">
        <v>218.98</v>
      </c>
      <c r="Z45" s="1795">
        <v>224.86</v>
      </c>
      <c r="AA45" s="1795">
        <f t="shared" ref="AA45:AF45" si="155">+AA20</f>
        <v>227.2</v>
      </c>
      <c r="AB45" s="1795">
        <f t="shared" si="155"/>
        <v>227.69</v>
      </c>
      <c r="AC45" s="1795">
        <f t="shared" si="155"/>
        <v>230.61</v>
      </c>
      <c r="AD45" s="1795">
        <f t="shared" si="155"/>
        <v>231.13</v>
      </c>
      <c r="AE45" s="1795">
        <f t="shared" si="155"/>
        <v>231.66</v>
      </c>
      <c r="AF45" s="1795">
        <f t="shared" si="155"/>
        <v>231.77</v>
      </c>
      <c r="AG45" s="1795">
        <f t="shared" ref="AG45:AH48" si="156">+AG20</f>
        <v>234.27</v>
      </c>
      <c r="AH45" s="1795">
        <f t="shared" si="156"/>
        <v>210.88</v>
      </c>
      <c r="AI45" s="1795">
        <f t="shared" ref="AI45:AJ48" si="157">+AI20</f>
        <v>244.75</v>
      </c>
      <c r="AJ45" s="1795">
        <f t="shared" si="157"/>
        <v>245.85</v>
      </c>
      <c r="AK45" s="1795">
        <f t="shared" ref="AK45:AL48" si="158">+AK20</f>
        <v>245.73</v>
      </c>
      <c r="AL45" s="1795">
        <f t="shared" si="158"/>
        <v>246.67</v>
      </c>
      <c r="AM45" s="1795">
        <f t="shared" ref="AM45:AN48" si="159">+AM20</f>
        <v>247.2</v>
      </c>
      <c r="AN45" s="1795">
        <f t="shared" si="159"/>
        <v>248.76</v>
      </c>
      <c r="AO45" s="1795">
        <f t="shared" ref="AO45:AP48" si="160">+AO20</f>
        <v>250.77</v>
      </c>
      <c r="AP45" s="1795">
        <f t="shared" si="160"/>
        <v>255.07</v>
      </c>
      <c r="AQ45" s="1795">
        <f t="shared" ref="AQ45:AR48" si="161">+AQ20</f>
        <v>257.17</v>
      </c>
      <c r="AR45" s="1795">
        <f t="shared" si="161"/>
        <v>257.77</v>
      </c>
      <c r="AS45" s="1795">
        <f t="shared" ref="AS45:AT48" si="162">+AS20</f>
        <v>261.87</v>
      </c>
      <c r="AT45" s="1795">
        <f t="shared" si="162"/>
        <v>264.17</v>
      </c>
      <c r="AU45" s="1795">
        <f t="shared" ref="AU45:AV48" si="163">+AU20</f>
        <v>266.12</v>
      </c>
      <c r="AV45" s="1795">
        <f t="shared" si="163"/>
        <v>268.56</v>
      </c>
      <c r="AW45" s="1795">
        <f t="shared" ref="AW45:AX48" si="164">+AW20</f>
        <v>269.23</v>
      </c>
      <c r="AX45" s="1795">
        <f t="shared" si="164"/>
        <v>269.91000000000003</v>
      </c>
      <c r="AY45" s="1795">
        <f t="shared" ref="AY45:AZ48" si="165">+AY20</f>
        <v>273.51</v>
      </c>
      <c r="AZ45" s="1795">
        <f t="shared" si="165"/>
        <v>277.93</v>
      </c>
      <c r="BA45" s="1795">
        <f t="shared" ref="BA45:BB48" si="166">+BA20</f>
        <v>281.19</v>
      </c>
      <c r="BB45" s="1795">
        <f t="shared" si="166"/>
        <v>283.33999999999997</v>
      </c>
      <c r="BC45" s="1795">
        <f t="shared" ref="BC45:BD48" si="167">+BC20</f>
        <v>285.17</v>
      </c>
      <c r="BD45" s="1795">
        <f t="shared" si="167"/>
        <v>284.43</v>
      </c>
      <c r="BE45" s="1795">
        <f t="shared" ref="BE45:BF48" si="168">+BE20</f>
        <v>285.69</v>
      </c>
      <c r="BF45" s="1795">
        <f t="shared" si="168"/>
        <v>285.86</v>
      </c>
      <c r="BG45" s="1795">
        <f t="shared" ref="BG45:BH48" si="169">+BG20</f>
        <v>288.51</v>
      </c>
      <c r="BH45" s="1795">
        <f t="shared" si="169"/>
        <v>289.39</v>
      </c>
      <c r="BI45" s="1795">
        <f t="shared" ref="BI45:BJ48" si="170">+BI20</f>
        <v>292.55</v>
      </c>
      <c r="BJ45" s="1795">
        <f t="shared" si="170"/>
        <v>296.19</v>
      </c>
      <c r="BK45" s="1795">
        <f t="shared" ref="BK45:BL48" si="171">+BK20</f>
        <v>298.33</v>
      </c>
      <c r="BL45" s="1795">
        <f t="shared" si="171"/>
        <v>301.55</v>
      </c>
      <c r="BM45" s="1795">
        <f t="shared" ref="BM45:BN48" si="172">+BM20</f>
        <v>309.32</v>
      </c>
      <c r="BN45" s="1795">
        <f t="shared" si="172"/>
        <v>312.04000000000002</v>
      </c>
      <c r="BO45" s="1795">
        <f t="shared" ref="BO45:BP48" si="173">+BO20</f>
        <v>316.22000000000003</v>
      </c>
      <c r="BP45" s="1795">
        <f t="shared" si="173"/>
        <v>320.13</v>
      </c>
      <c r="BQ45" s="1795">
        <f t="shared" ref="BQ45:BR48" si="174">+BQ20</f>
        <v>324.36</v>
      </c>
      <c r="BR45" s="1815">
        <f t="shared" si="174"/>
        <v>334.34</v>
      </c>
      <c r="BS45" s="1815">
        <f t="shared" ref="BS45:BT48" si="175">+BS20</f>
        <v>335.32</v>
      </c>
      <c r="BT45" s="1815">
        <f t="shared" si="175"/>
        <v>341.37</v>
      </c>
      <c r="BU45" s="1815">
        <f t="shared" ref="BU45:BV48" si="176">+BU20</f>
        <v>345.57</v>
      </c>
      <c r="BV45" s="1795">
        <f t="shared" si="176"/>
        <v>348.69</v>
      </c>
      <c r="BW45" s="1795">
        <f t="shared" ref="BW45:BX48" si="177">+BW20</f>
        <v>353.86</v>
      </c>
      <c r="BX45" s="1795">
        <f t="shared" si="177"/>
        <v>358.99</v>
      </c>
      <c r="BY45" s="1795">
        <f t="shared" ref="BY45:BZ48" si="178">+BY20</f>
        <v>364.2</v>
      </c>
      <c r="BZ45" s="1795">
        <f t="shared" si="178"/>
        <v>369.4</v>
      </c>
      <c r="CA45" s="1795">
        <f t="shared" ref="CA45:CB48" si="179">+CA20</f>
        <v>373.73</v>
      </c>
      <c r="CB45" s="1795">
        <f t="shared" si="179"/>
        <v>379.24</v>
      </c>
      <c r="CC45" s="1795">
        <f t="shared" ref="CC45:CD48" si="180">+CC20</f>
        <v>381.48</v>
      </c>
      <c r="CD45" s="1795">
        <f t="shared" si="180"/>
        <v>384.48</v>
      </c>
      <c r="CE45" s="1795">
        <f t="shared" ref="CE45:CF48" si="181">+CE20</f>
        <v>385.84</v>
      </c>
      <c r="CF45" s="1795">
        <f t="shared" si="181"/>
        <v>388.64</v>
      </c>
      <c r="CG45" s="1795">
        <f t="shared" ref="CG45:CH48" si="182">+CG20</f>
        <v>390.67</v>
      </c>
      <c r="CH45" s="1795">
        <f t="shared" si="182"/>
        <v>393.57</v>
      </c>
      <c r="CI45" s="1795">
        <f t="shared" ref="CI45:CJ48" si="183">+CI20</f>
        <v>395.24</v>
      </c>
      <c r="CJ45" s="1795">
        <f t="shared" si="183"/>
        <v>397.65</v>
      </c>
      <c r="CK45" s="1795">
        <f t="shared" ref="CK45:CL48" si="184">+CK20</f>
        <v>404.51</v>
      </c>
      <c r="CL45" s="1795">
        <f t="shared" si="184"/>
        <v>408.01</v>
      </c>
      <c r="CM45" s="1795">
        <f t="shared" ref="CM45:CN48" si="185">+CM20</f>
        <v>409.55</v>
      </c>
      <c r="CN45" s="1795">
        <f t="shared" si="185"/>
        <v>411.82</v>
      </c>
      <c r="CO45" s="1795">
        <f t="shared" ref="CO45:CP48" si="186">+CO20</f>
        <v>412.89</v>
      </c>
      <c r="CP45" s="1795">
        <f t="shared" si="186"/>
        <v>413.74</v>
      </c>
      <c r="CQ45" s="1795">
        <f t="shared" ref="CQ45:CR48" si="187">+CQ20</f>
        <v>420.98</v>
      </c>
      <c r="CR45" s="1795">
        <f t="shared" si="187"/>
        <v>429.56</v>
      </c>
      <c r="CS45" s="1795">
        <f t="shared" ref="CS45:CT48" si="188">+CS20</f>
        <v>438.05</v>
      </c>
      <c r="CT45" s="1795">
        <f t="shared" si="188"/>
        <v>442.28</v>
      </c>
      <c r="CU45" s="1795">
        <f t="shared" ref="CU45:CV48" si="189">+CU20</f>
        <v>447.41</v>
      </c>
      <c r="CV45" s="1795">
        <f t="shared" si="189"/>
        <v>453.88</v>
      </c>
      <c r="CW45" s="1795">
        <f t="shared" ref="CW45:CX48" si="190">+CW20</f>
        <v>460.09</v>
      </c>
      <c r="CX45" s="1795">
        <f t="shared" si="190"/>
        <v>465.16</v>
      </c>
      <c r="CY45" s="1795">
        <f t="shared" ref="CY45:CZ48" si="191">+CY20</f>
        <v>470.56</v>
      </c>
      <c r="CZ45" s="963">
        <f t="shared" ref="CZ45:DE45" si="192">+CZ20</f>
        <v>480.42</v>
      </c>
      <c r="DA45" s="963">
        <f t="shared" si="192"/>
        <v>489.71</v>
      </c>
      <c r="DB45" s="963">
        <f t="shared" si="192"/>
        <v>492.89</v>
      </c>
      <c r="DC45" s="963">
        <f t="shared" si="192"/>
        <v>496.8</v>
      </c>
      <c r="DD45" s="963">
        <f t="shared" si="192"/>
        <v>506</v>
      </c>
      <c r="DE45" s="963">
        <f t="shared" si="192"/>
        <v>518.59</v>
      </c>
      <c r="DF45" s="963">
        <f t="shared" ref="DF45:DG48" si="193">+DF20</f>
        <v>523.44000000000005</v>
      </c>
      <c r="DG45" s="963">
        <f t="shared" si="193"/>
        <v>536.30999999999995</v>
      </c>
      <c r="DH45" s="963">
        <f t="shared" ref="DH45:DI48" si="194">+DH20</f>
        <v>556.1</v>
      </c>
      <c r="DI45" s="963">
        <f t="shared" si="194"/>
        <v>559.92999999999995</v>
      </c>
      <c r="DJ45" s="963">
        <f t="shared" ref="DJ45:DK48" si="195">+DJ20</f>
        <v>569.12</v>
      </c>
      <c r="DK45" s="963">
        <f t="shared" si="195"/>
        <v>580.1</v>
      </c>
      <c r="DL45" s="963">
        <f t="shared" ref="DL45:DM48" si="196">+DL20</f>
        <v>588.07000000000005</v>
      </c>
      <c r="DM45" s="963">
        <f t="shared" si="196"/>
        <v>594.29999999999995</v>
      </c>
      <c r="DN45" s="963">
        <f t="shared" ref="DN45:DO48" si="197">+DN20</f>
        <v>594.77</v>
      </c>
      <c r="DO45" s="963">
        <f t="shared" si="197"/>
        <v>606.20000000000005</v>
      </c>
      <c r="DP45" s="963">
        <f t="shared" ref="DP45:DQ48" si="198">+DP20</f>
        <v>617.58000000000004</v>
      </c>
      <c r="DQ45" s="963">
        <f t="shared" si="198"/>
        <v>622.51</v>
      </c>
      <c r="DR45" s="963">
        <f t="shared" ref="DR45:DS48" si="199">+DR20</f>
        <v>627.69000000000005</v>
      </c>
      <c r="DS45" s="963">
        <f t="shared" si="199"/>
        <v>632.13</v>
      </c>
      <c r="DT45" s="963">
        <f t="shared" ref="DT45:DU48" si="200">+DT20</f>
        <v>642.23</v>
      </c>
      <c r="DU45" s="963">
        <f t="shared" si="200"/>
        <v>649.03</v>
      </c>
      <c r="DV45" s="963">
        <f t="shared" ref="DV45:DW48" si="201">+DV20</f>
        <v>663.14</v>
      </c>
      <c r="DW45" s="963">
        <f t="shared" si="201"/>
        <v>668.84</v>
      </c>
      <c r="DX45" s="963">
        <f t="shared" ref="DX45:DY48" si="202">+DX20</f>
        <v>680.38</v>
      </c>
      <c r="DY45" s="963">
        <f t="shared" si="202"/>
        <v>686.96</v>
      </c>
      <c r="DZ45" s="963">
        <f t="shared" ref="DZ45:EA48" si="203">+DZ20</f>
        <v>698.58</v>
      </c>
      <c r="EA45" s="963">
        <f t="shared" si="203"/>
        <v>707.98</v>
      </c>
      <c r="EB45" s="963">
        <f t="shared" ref="EB45:EC48" si="204">+EB20</f>
        <v>716.6</v>
      </c>
      <c r="EC45" s="963">
        <f t="shared" si="204"/>
        <v>729.18</v>
      </c>
      <c r="ED45" s="963">
        <f t="shared" ref="ED45:EE48" si="205">+ED20</f>
        <v>740.55</v>
      </c>
      <c r="EE45" s="963">
        <f t="shared" si="205"/>
        <v>758.12</v>
      </c>
      <c r="EF45" s="963">
        <f t="shared" ref="EF45:EG48" si="206">+EF20</f>
        <v>773.5</v>
      </c>
      <c r="EG45" s="963">
        <f t="shared" si="206"/>
        <v>783.05</v>
      </c>
      <c r="EH45" s="963">
        <f t="shared" ref="EH45:EI48" si="207">+EH20</f>
        <v>798.42</v>
      </c>
      <c r="EI45" s="963">
        <f t="shared" si="207"/>
        <v>807.2</v>
      </c>
      <c r="EJ45" s="963">
        <f t="shared" ref="EJ45:EK48" si="208">+EJ20</f>
        <v>820.04</v>
      </c>
      <c r="EK45" s="963">
        <f t="shared" si="208"/>
        <v>831.39</v>
      </c>
      <c r="EL45" s="963">
        <f t="shared" ref="EL45:EM48" si="209">+EL20</f>
        <v>871.59</v>
      </c>
      <c r="EM45" s="963">
        <f t="shared" si="209"/>
        <v>929.95</v>
      </c>
      <c r="EN45" s="963">
        <f t="shared" ref="EN45:EO48" si="210">+EN20</f>
        <v>967.2</v>
      </c>
      <c r="EO45" s="963">
        <f t="shared" si="210"/>
        <v>990.09</v>
      </c>
      <c r="EP45" s="963">
        <f t="shared" ref="EP45:EQ48" si="211">+EP20</f>
        <v>1008.38</v>
      </c>
      <c r="EQ45" s="963">
        <f t="shared" si="211"/>
        <v>1026.3900000000001</v>
      </c>
      <c r="ER45" s="963">
        <f t="shared" ref="ER45:ES48" si="212">+ER20</f>
        <v>1044.92</v>
      </c>
      <c r="ES45" s="963">
        <f t="shared" si="212"/>
        <v>1053.82</v>
      </c>
      <c r="ET45" s="963">
        <f t="shared" ref="ET45:FA45" si="213">+ET20</f>
        <v>1062.6199999999999</v>
      </c>
      <c r="EU45" s="963">
        <f t="shared" si="213"/>
        <v>1079.26</v>
      </c>
      <c r="EV45" s="963">
        <f t="shared" si="213"/>
        <v>1088.3499999999999</v>
      </c>
      <c r="EW45" s="963">
        <f t="shared" si="213"/>
        <v>1106.46</v>
      </c>
      <c r="EX45" s="963">
        <f t="shared" si="213"/>
        <v>1121.1400000000001</v>
      </c>
      <c r="EY45" s="963">
        <f t="shared" si="213"/>
        <v>1121.8800000000001</v>
      </c>
      <c r="EZ45" s="963">
        <f t="shared" si="213"/>
        <v>1149.19</v>
      </c>
      <c r="FA45" s="963">
        <f t="shared" si="213"/>
        <v>1162.3499999999999</v>
      </c>
      <c r="FB45" s="963">
        <f t="shared" ref="FB45:FE48" si="214">+FB20</f>
        <v>1167.45</v>
      </c>
      <c r="FC45" s="963">
        <f t="shared" si="214"/>
        <v>1181.23</v>
      </c>
      <c r="FD45" s="963">
        <f t="shared" si="214"/>
        <v>1198.26</v>
      </c>
      <c r="FE45" s="963">
        <f t="shared" si="214"/>
        <v>1228.3399999999999</v>
      </c>
      <c r="FF45" s="963">
        <f t="shared" ref="FF45:FG48" si="215">+FF20</f>
        <v>1242.52</v>
      </c>
      <c r="FG45" s="963">
        <f t="shared" si="215"/>
        <v>1262.28</v>
      </c>
      <c r="FH45" s="963" t="e">
        <f t="shared" ref="FH45:FL48" si="216">+FH20</f>
        <v>#REF!</v>
      </c>
      <c r="FI45" s="963" t="e">
        <f t="shared" si="216"/>
        <v>#REF!</v>
      </c>
      <c r="FJ45" s="963">
        <f t="shared" si="216"/>
        <v>100</v>
      </c>
      <c r="FK45" s="963">
        <f t="shared" si="216"/>
        <v>107.88</v>
      </c>
      <c r="FL45" s="963">
        <f t="shared" si="216"/>
        <v>115</v>
      </c>
      <c r="FM45" s="963">
        <f t="shared" ref="FM45:HC45" si="217">+FM20</f>
        <v>119.04</v>
      </c>
      <c r="FN45" s="963">
        <f t="shared" si="217"/>
        <v>125.57</v>
      </c>
      <c r="FO45" s="963">
        <f t="shared" si="217"/>
        <v>130.74</v>
      </c>
      <c r="FP45" s="963">
        <f t="shared" si="217"/>
        <v>130.74</v>
      </c>
      <c r="FQ45" s="963">
        <f t="shared" si="217"/>
        <v>132.26</v>
      </c>
      <c r="FR45" s="963">
        <f t="shared" si="217"/>
        <v>134.59</v>
      </c>
      <c r="FS45" s="963">
        <f t="shared" si="217"/>
        <v>135.38999999999999</v>
      </c>
      <c r="FT45" s="963">
        <f t="shared" si="217"/>
        <v>143.74</v>
      </c>
      <c r="FU45" s="963">
        <f t="shared" si="217"/>
        <v>143.74</v>
      </c>
      <c r="FV45" s="963">
        <f t="shared" si="217"/>
        <v>145.41</v>
      </c>
      <c r="FW45" s="963">
        <f t="shared" si="217"/>
        <v>150.44</v>
      </c>
      <c r="FX45" s="963">
        <f t="shared" si="217"/>
        <v>151.82</v>
      </c>
      <c r="FY45" s="963">
        <f t="shared" si="217"/>
        <v>155.37</v>
      </c>
      <c r="FZ45" s="963">
        <f t="shared" si="217"/>
        <v>156.15</v>
      </c>
      <c r="GA45" s="963">
        <f t="shared" si="217"/>
        <v>156.15</v>
      </c>
      <c r="GB45" s="963">
        <f t="shared" si="217"/>
        <v>156.15</v>
      </c>
      <c r="GC45" s="963">
        <f t="shared" si="217"/>
        <v>156.15</v>
      </c>
      <c r="GD45" s="963">
        <f t="shared" si="217"/>
        <v>156.15</v>
      </c>
      <c r="GE45" s="963">
        <f t="shared" si="217"/>
        <v>156.79</v>
      </c>
      <c r="GF45" s="963">
        <f t="shared" si="217"/>
        <v>156.79</v>
      </c>
      <c r="GG45" s="963">
        <f t="shared" si="217"/>
        <v>156.79</v>
      </c>
      <c r="GH45" s="963">
        <f t="shared" si="217"/>
        <v>161.33000000000001</v>
      </c>
      <c r="GI45" s="963">
        <f t="shared" si="217"/>
        <v>162.30000000000001</v>
      </c>
      <c r="GJ45" s="963">
        <f t="shared" si="217"/>
        <v>162.30000000000001</v>
      </c>
      <c r="GK45" s="963">
        <f t="shared" si="217"/>
        <v>165.01</v>
      </c>
      <c r="GL45" s="963">
        <f t="shared" si="217"/>
        <v>190.11</v>
      </c>
      <c r="GM45" s="963">
        <f t="shared" si="217"/>
        <v>191.06</v>
      </c>
      <c r="GN45" s="963">
        <f t="shared" si="217"/>
        <v>201.56</v>
      </c>
      <c r="GO45" s="963">
        <f t="shared" si="217"/>
        <v>202.56</v>
      </c>
      <c r="GP45" s="963">
        <f t="shared" si="217"/>
        <v>264.74</v>
      </c>
      <c r="GQ45" s="963">
        <f t="shared" si="217"/>
        <v>264.74</v>
      </c>
      <c r="GR45" s="963">
        <f t="shared" si="217"/>
        <v>264.74</v>
      </c>
      <c r="GS45" s="963">
        <f t="shared" si="217"/>
        <v>266.5</v>
      </c>
      <c r="GT45" s="963">
        <f t="shared" si="217"/>
        <v>264.74</v>
      </c>
      <c r="GU45" s="963">
        <f t="shared" si="217"/>
        <v>266.5</v>
      </c>
      <c r="GV45" s="963">
        <f t="shared" si="217"/>
        <v>270.58999999999997</v>
      </c>
      <c r="GW45" s="963">
        <f t="shared" si="217"/>
        <v>273.29000000000002</v>
      </c>
      <c r="GX45" s="963">
        <f t="shared" si="217"/>
        <v>273.29000000000002</v>
      </c>
      <c r="GY45" s="963">
        <f t="shared" si="217"/>
        <v>277.7</v>
      </c>
      <c r="GZ45" s="963">
        <f t="shared" si="217"/>
        <v>285.58</v>
      </c>
      <c r="HA45" s="963">
        <f t="shared" si="217"/>
        <v>328.41</v>
      </c>
      <c r="HB45" s="963">
        <f t="shared" si="217"/>
        <v>328.41</v>
      </c>
      <c r="HC45" s="963">
        <f t="shared" si="217"/>
        <v>354.46</v>
      </c>
      <c r="HD45" s="963">
        <f t="shared" ref="HD45:HE48" si="218">+HD20</f>
        <v>360.37</v>
      </c>
      <c r="HE45" s="1791">
        <f t="shared" si="218"/>
        <v>384.02</v>
      </c>
      <c r="HF45" s="1880">
        <f t="shared" ref="HF45:HG45" si="219">+HF20</f>
        <v>394.2</v>
      </c>
      <c r="HG45" s="1880">
        <f t="shared" si="219"/>
        <v>402.45</v>
      </c>
      <c r="HH45" s="1880">
        <f t="shared" ref="HH45:HI45" si="220">+HH20</f>
        <v>402.45</v>
      </c>
      <c r="HI45" s="1880">
        <f t="shared" si="220"/>
        <v>402.45</v>
      </c>
      <c r="HJ45" s="1880">
        <f t="shared" ref="HJ45:HK45" si="221">+HJ20</f>
        <v>404.7</v>
      </c>
      <c r="HK45" s="1880">
        <f t="shared" si="221"/>
        <v>404.7</v>
      </c>
      <c r="HL45" s="1880">
        <f t="shared" ref="HL45:HM45" si="222">+HL20</f>
        <v>404.7</v>
      </c>
      <c r="HM45" s="1880">
        <f t="shared" si="222"/>
        <v>404.7</v>
      </c>
      <c r="HN45" s="1880">
        <f t="shared" ref="HN45:HO45" si="223">+HN20</f>
        <v>404.7</v>
      </c>
      <c r="HO45" s="1880">
        <f t="shared" si="223"/>
        <v>404.7</v>
      </c>
      <c r="HP45" s="1880">
        <f t="shared" ref="HP45:HQ45" si="224">+HP20</f>
        <v>404.7</v>
      </c>
      <c r="HQ45" s="1791">
        <f t="shared" si="224"/>
        <v>404.7</v>
      </c>
      <c r="HR45" s="975">
        <f t="shared" ref="HR45:HS45" si="225">+HR20</f>
        <v>429.36</v>
      </c>
      <c r="HS45" s="1880">
        <f t="shared" si="225"/>
        <v>429.36</v>
      </c>
      <c r="HT45" s="963">
        <f t="shared" ref="HT45:HU45" si="226">+HT20</f>
        <v>429.36</v>
      </c>
      <c r="HU45" s="1880">
        <f t="shared" si="226"/>
        <v>429.36</v>
      </c>
      <c r="HV45" s="1880">
        <f t="shared" ref="HV45:HW45" si="227">+HV20</f>
        <v>435.88</v>
      </c>
      <c r="HW45" s="1880">
        <f t="shared" si="227"/>
        <v>433.44</v>
      </c>
      <c r="HX45" s="1880">
        <f t="shared" ref="HX45:HY45" si="228">+HX20</f>
        <v>434.79</v>
      </c>
      <c r="HY45" s="1880">
        <f t="shared" si="228"/>
        <v>465.4</v>
      </c>
      <c r="HZ45" s="1880">
        <f t="shared" ref="HZ45:IA45" si="229">+HZ20</f>
        <v>481.15</v>
      </c>
      <c r="IA45" s="1880">
        <f t="shared" si="229"/>
        <v>483.35</v>
      </c>
      <c r="IB45" s="1880">
        <f t="shared" ref="IB45:IC45" si="230">+IB20</f>
        <v>490.34</v>
      </c>
      <c r="IC45" s="1880">
        <f t="shared" si="230"/>
        <v>506.56</v>
      </c>
      <c r="ID45" s="963">
        <f t="shared" ref="ID45:IE45" si="231">+ID20</f>
        <v>509.53</v>
      </c>
      <c r="IE45" s="1880">
        <f t="shared" si="231"/>
        <v>517.83000000000004</v>
      </c>
      <c r="IF45" s="963">
        <f t="shared" ref="IF45:IG45" si="232">+IF20</f>
        <v>525.89</v>
      </c>
      <c r="IG45" s="1880">
        <f t="shared" si="232"/>
        <v>555.61</v>
      </c>
      <c r="IH45" s="1880">
        <f t="shared" ref="IH45:II45" si="233">+IH20</f>
        <v>579.99</v>
      </c>
      <c r="II45" s="1880">
        <f t="shared" si="233"/>
        <v>596.80999999999995</v>
      </c>
      <c r="IJ45" s="963">
        <f t="shared" ref="IJ45:IK45" si="234">+IJ20</f>
        <v>664.02</v>
      </c>
      <c r="IK45" s="1880">
        <f t="shared" si="234"/>
        <v>696.01</v>
      </c>
      <c r="IL45" s="1880">
        <f t="shared" ref="IL45:IM45" si="235">+IL20</f>
        <v>709.68</v>
      </c>
      <c r="IM45" s="1880">
        <f t="shared" si="235"/>
        <v>753.43</v>
      </c>
      <c r="IN45" s="1880">
        <f t="shared" ref="IN45:IO45" si="236">+IN20</f>
        <v>764.12</v>
      </c>
      <c r="IO45" s="963">
        <f t="shared" si="236"/>
        <v>830.19</v>
      </c>
      <c r="IP45" s="2476">
        <f t="shared" ref="IP45:IQ45" si="237">+IP20</f>
        <v>872.76</v>
      </c>
      <c r="IQ45" s="2476">
        <f t="shared" si="237"/>
        <v>938.09</v>
      </c>
    </row>
    <row r="46" spans="3:251">
      <c r="C46" s="372" t="s">
        <v>698</v>
      </c>
      <c r="D46" s="2658">
        <v>57</v>
      </c>
      <c r="E46" s="2626"/>
      <c r="F46" s="975">
        <v>108.83</v>
      </c>
      <c r="G46" s="1794">
        <v>272.95</v>
      </c>
      <c r="H46" s="1795">
        <v>277.8</v>
      </c>
      <c r="I46" s="1795">
        <v>280.02</v>
      </c>
      <c r="J46" s="1794">
        <v>280.02</v>
      </c>
      <c r="K46" s="1794">
        <v>287.77999999999997</v>
      </c>
      <c r="L46" s="1794">
        <f>+L21</f>
        <v>299.05</v>
      </c>
      <c r="M46" s="1794">
        <f>+M21</f>
        <v>302.61</v>
      </c>
      <c r="N46" s="1794">
        <f>+N21</f>
        <v>302.61</v>
      </c>
      <c r="O46" s="1794">
        <f>+O21</f>
        <v>316.14999999999998</v>
      </c>
      <c r="P46" s="1794">
        <v>326.3</v>
      </c>
      <c r="Q46" s="1813">
        <v>326.3</v>
      </c>
      <c r="R46" s="1813">
        <v>326.3</v>
      </c>
      <c r="S46" s="1794">
        <v>326.3</v>
      </c>
      <c r="T46" s="963">
        <v>326.3</v>
      </c>
      <c r="U46" s="1795">
        <v>326.3</v>
      </c>
      <c r="V46" s="1795">
        <v>330.9</v>
      </c>
      <c r="W46" s="1795">
        <v>334.05</v>
      </c>
      <c r="X46" s="1795">
        <f>X21</f>
        <v>334.06</v>
      </c>
      <c r="Y46" s="1795">
        <v>354.41</v>
      </c>
      <c r="Z46" s="1795">
        <v>354.41</v>
      </c>
      <c r="AA46" s="1795">
        <v>364.34</v>
      </c>
      <c r="AB46" s="1795">
        <v>364.34</v>
      </c>
      <c r="AC46" s="1795">
        <f>+AC21</f>
        <v>355.8</v>
      </c>
      <c r="AD46" s="1795">
        <f>+AD21</f>
        <v>354.35</v>
      </c>
      <c r="AE46" s="1795">
        <f>+AE21</f>
        <v>354.35</v>
      </c>
      <c r="AF46" s="1795">
        <f>+AF21</f>
        <v>354.35</v>
      </c>
      <c r="AG46" s="1795">
        <f t="shared" si="156"/>
        <v>354.35</v>
      </c>
      <c r="AH46" s="1795">
        <f t="shared" si="156"/>
        <v>353.29</v>
      </c>
      <c r="AI46" s="1795">
        <f t="shared" si="157"/>
        <v>352.85</v>
      </c>
      <c r="AJ46" s="1795">
        <f t="shared" si="157"/>
        <v>355.1</v>
      </c>
      <c r="AK46" s="1795">
        <f t="shared" si="158"/>
        <v>355.1</v>
      </c>
      <c r="AL46" s="1795">
        <f t="shared" si="158"/>
        <v>355.1</v>
      </c>
      <c r="AM46" s="1795">
        <f t="shared" si="159"/>
        <v>352.34</v>
      </c>
      <c r="AN46" s="1795">
        <f t="shared" si="159"/>
        <v>340.55</v>
      </c>
      <c r="AO46" s="1795">
        <f t="shared" si="160"/>
        <v>340.59</v>
      </c>
      <c r="AP46" s="1795">
        <f t="shared" si="160"/>
        <v>340.59</v>
      </c>
      <c r="AQ46" s="1795">
        <f t="shared" si="161"/>
        <v>340.59</v>
      </c>
      <c r="AR46" s="1795">
        <f t="shared" si="161"/>
        <v>356.34</v>
      </c>
      <c r="AS46" s="1795">
        <f t="shared" si="162"/>
        <v>364.32</v>
      </c>
      <c r="AT46" s="1795">
        <f t="shared" si="162"/>
        <v>364.32</v>
      </c>
      <c r="AU46" s="1795">
        <f t="shared" si="163"/>
        <v>364.32</v>
      </c>
      <c r="AV46" s="1795">
        <f t="shared" si="163"/>
        <v>362.64</v>
      </c>
      <c r="AW46" s="1795">
        <f t="shared" si="164"/>
        <v>362.66</v>
      </c>
      <c r="AX46" s="1795">
        <f t="shared" si="164"/>
        <v>369.95</v>
      </c>
      <c r="AY46" s="1795">
        <f t="shared" si="165"/>
        <v>373.72</v>
      </c>
      <c r="AZ46" s="1795">
        <f t="shared" si="165"/>
        <v>373.72</v>
      </c>
      <c r="BA46" s="1795">
        <f t="shared" si="166"/>
        <v>373.72</v>
      </c>
      <c r="BB46" s="1795">
        <f t="shared" si="166"/>
        <v>373.72</v>
      </c>
      <c r="BC46" s="1795">
        <f t="shared" si="167"/>
        <v>373.72</v>
      </c>
      <c r="BD46" s="1795">
        <f t="shared" si="167"/>
        <v>376.83</v>
      </c>
      <c r="BE46" s="1795">
        <f t="shared" si="168"/>
        <v>379.58</v>
      </c>
      <c r="BF46" s="1795">
        <f t="shared" si="168"/>
        <v>388.2</v>
      </c>
      <c r="BG46" s="1795">
        <f t="shared" si="169"/>
        <v>388.2</v>
      </c>
      <c r="BH46" s="1795">
        <f t="shared" si="169"/>
        <v>389.65</v>
      </c>
      <c r="BI46" s="1795">
        <f t="shared" si="170"/>
        <v>389.65</v>
      </c>
      <c r="BJ46" s="1795">
        <f t="shared" si="170"/>
        <v>398.89</v>
      </c>
      <c r="BK46" s="1795">
        <f t="shared" si="171"/>
        <v>398.89</v>
      </c>
      <c r="BL46" s="1795">
        <f t="shared" si="171"/>
        <v>402.75</v>
      </c>
      <c r="BM46" s="1795">
        <f t="shared" si="172"/>
        <v>407.83</v>
      </c>
      <c r="BN46" s="1795">
        <f t="shared" si="172"/>
        <v>418.12</v>
      </c>
      <c r="BO46" s="1795">
        <f t="shared" si="173"/>
        <v>421.51</v>
      </c>
      <c r="BP46" s="1795">
        <f t="shared" si="173"/>
        <v>432.17</v>
      </c>
      <c r="BQ46" s="1795">
        <f t="shared" si="174"/>
        <v>443.93</v>
      </c>
      <c r="BR46" s="1795">
        <f t="shared" si="174"/>
        <v>450.8</v>
      </c>
      <c r="BS46" s="1795">
        <f t="shared" si="175"/>
        <v>472.7</v>
      </c>
      <c r="BT46" s="1795">
        <f t="shared" si="175"/>
        <v>494.79</v>
      </c>
      <c r="BU46" s="1795">
        <f t="shared" si="176"/>
        <v>511.84</v>
      </c>
      <c r="BV46" s="1795">
        <f t="shared" si="176"/>
        <v>516.33000000000004</v>
      </c>
      <c r="BW46" s="1795">
        <f t="shared" si="177"/>
        <v>542.24</v>
      </c>
      <c r="BX46" s="1795">
        <f t="shared" si="177"/>
        <v>573.32000000000005</v>
      </c>
      <c r="BY46" s="1795">
        <f t="shared" si="178"/>
        <v>594.30999999999995</v>
      </c>
      <c r="BZ46" s="1795">
        <f t="shared" si="178"/>
        <v>597.74</v>
      </c>
      <c r="CA46" s="1795">
        <f t="shared" si="179"/>
        <v>601.69000000000005</v>
      </c>
      <c r="CB46" s="1795">
        <f t="shared" si="179"/>
        <v>601.69000000000005</v>
      </c>
      <c r="CC46" s="1795">
        <f t="shared" si="180"/>
        <v>601.69000000000005</v>
      </c>
      <c r="CD46" s="1795">
        <f t="shared" si="180"/>
        <v>606.72</v>
      </c>
      <c r="CE46" s="1795">
        <f t="shared" si="181"/>
        <v>606.72</v>
      </c>
      <c r="CF46" s="1795">
        <f t="shared" si="181"/>
        <v>606.72</v>
      </c>
      <c r="CG46" s="1795">
        <f t="shared" si="182"/>
        <v>606.72</v>
      </c>
      <c r="CH46" s="1795">
        <f t="shared" si="182"/>
        <v>606.72</v>
      </c>
      <c r="CI46" s="1795">
        <f t="shared" si="183"/>
        <v>597.44000000000005</v>
      </c>
      <c r="CJ46" s="1795">
        <f t="shared" si="183"/>
        <v>601.76</v>
      </c>
      <c r="CK46" s="1795">
        <f t="shared" si="184"/>
        <v>607.69000000000005</v>
      </c>
      <c r="CL46" s="1795">
        <f t="shared" si="184"/>
        <v>618.11</v>
      </c>
      <c r="CM46" s="1795">
        <f t="shared" si="185"/>
        <v>623.05999999999995</v>
      </c>
      <c r="CN46" s="1795">
        <f t="shared" si="185"/>
        <v>627.63</v>
      </c>
      <c r="CO46" s="1795">
        <f t="shared" si="186"/>
        <v>632.29</v>
      </c>
      <c r="CP46" s="1795">
        <f t="shared" si="186"/>
        <v>635.08000000000004</v>
      </c>
      <c r="CQ46" s="1795">
        <f t="shared" si="187"/>
        <v>653.88</v>
      </c>
      <c r="CR46" s="1795">
        <f t="shared" si="187"/>
        <v>677.44</v>
      </c>
      <c r="CS46" s="1795">
        <f t="shared" si="188"/>
        <v>683.99</v>
      </c>
      <c r="CT46" s="1795">
        <f t="shared" si="188"/>
        <v>690.68</v>
      </c>
      <c r="CU46" s="1795">
        <f t="shared" si="189"/>
        <v>694.84</v>
      </c>
      <c r="CV46" s="1795">
        <f t="shared" si="189"/>
        <v>700.45</v>
      </c>
      <c r="CW46" s="1795">
        <f t="shared" si="190"/>
        <v>706.13</v>
      </c>
      <c r="CX46" s="1795">
        <f t="shared" si="190"/>
        <v>709.07</v>
      </c>
      <c r="CY46" s="1795">
        <f t="shared" si="191"/>
        <v>768.17</v>
      </c>
      <c r="CZ46" s="963">
        <f t="shared" si="191"/>
        <v>779.66</v>
      </c>
      <c r="DA46" s="963">
        <f t="shared" ref="DA46:DB48" si="238">+DA21</f>
        <v>815.07</v>
      </c>
      <c r="DB46" s="963">
        <f t="shared" si="238"/>
        <v>815.07</v>
      </c>
      <c r="DC46" s="963">
        <f t="shared" ref="DC46:DD48" si="239">+DC21</f>
        <v>817.97</v>
      </c>
      <c r="DD46" s="963">
        <f t="shared" si="239"/>
        <v>826.52</v>
      </c>
      <c r="DE46" s="963">
        <f>+DE21</f>
        <v>829.12</v>
      </c>
      <c r="DF46" s="963">
        <f t="shared" si="193"/>
        <v>832.09</v>
      </c>
      <c r="DG46" s="963">
        <f t="shared" si="193"/>
        <v>838.7</v>
      </c>
      <c r="DH46" s="963">
        <f t="shared" si="194"/>
        <v>867.95</v>
      </c>
      <c r="DI46" s="963">
        <f t="shared" si="194"/>
        <v>872.71</v>
      </c>
      <c r="DJ46" s="963">
        <f t="shared" si="195"/>
        <v>886.11</v>
      </c>
      <c r="DK46" s="963">
        <f t="shared" si="195"/>
        <v>891.27</v>
      </c>
      <c r="DL46" s="963">
        <f t="shared" si="196"/>
        <v>920.2</v>
      </c>
      <c r="DM46" s="963">
        <f t="shared" si="196"/>
        <v>922.43</v>
      </c>
      <c r="DN46" s="963">
        <f t="shared" si="197"/>
        <v>923.87</v>
      </c>
      <c r="DO46" s="963">
        <f t="shared" si="197"/>
        <v>926.64</v>
      </c>
      <c r="DP46" s="963">
        <f t="shared" si="198"/>
        <v>927.7</v>
      </c>
      <c r="DQ46" s="963">
        <f t="shared" si="198"/>
        <v>963</v>
      </c>
      <c r="DR46" s="963">
        <f t="shared" si="199"/>
        <v>965.8</v>
      </c>
      <c r="DS46" s="963">
        <f t="shared" si="199"/>
        <v>968.82</v>
      </c>
      <c r="DT46" s="963">
        <f t="shared" si="200"/>
        <v>971.8</v>
      </c>
      <c r="DU46" s="963">
        <f t="shared" si="200"/>
        <v>983.19</v>
      </c>
      <c r="DV46" s="963">
        <f t="shared" si="201"/>
        <v>997.65</v>
      </c>
      <c r="DW46" s="963">
        <f t="shared" si="201"/>
        <v>1008.23</v>
      </c>
      <c r="DX46" s="963">
        <f t="shared" si="202"/>
        <v>1011.33</v>
      </c>
      <c r="DY46" s="963">
        <f t="shared" si="202"/>
        <v>1014.32</v>
      </c>
      <c r="DZ46" s="963">
        <f t="shared" si="203"/>
        <v>1038.02</v>
      </c>
      <c r="EA46" s="963">
        <f t="shared" si="203"/>
        <v>1041.07</v>
      </c>
      <c r="EB46" s="963">
        <f t="shared" si="204"/>
        <v>1044.21</v>
      </c>
      <c r="EC46" s="963">
        <f t="shared" si="204"/>
        <v>1047.4100000000001</v>
      </c>
      <c r="ED46" s="963">
        <f t="shared" si="205"/>
        <v>1050.6500000000001</v>
      </c>
      <c r="EE46" s="963">
        <f t="shared" si="205"/>
        <v>1062.6600000000001</v>
      </c>
      <c r="EF46" s="963">
        <f t="shared" si="206"/>
        <v>1090.79</v>
      </c>
      <c r="EG46" s="963">
        <f t="shared" si="206"/>
        <v>1098.76</v>
      </c>
      <c r="EH46" s="963">
        <f t="shared" si="207"/>
        <v>1102.1400000000001</v>
      </c>
      <c r="EI46" s="963">
        <f t="shared" si="207"/>
        <v>1105.53</v>
      </c>
      <c r="EJ46" s="963">
        <f t="shared" si="208"/>
        <v>1108.92</v>
      </c>
      <c r="EK46" s="963">
        <f t="shared" si="208"/>
        <v>1151.75</v>
      </c>
      <c r="EL46" s="963">
        <f t="shared" si="209"/>
        <v>1168.03</v>
      </c>
      <c r="EM46" s="963">
        <f t="shared" si="209"/>
        <v>1259.2</v>
      </c>
      <c r="EN46" s="963">
        <f t="shared" si="210"/>
        <v>1292.57</v>
      </c>
      <c r="EO46" s="963">
        <f t="shared" si="210"/>
        <v>1301.28</v>
      </c>
      <c r="EP46" s="963">
        <f t="shared" si="211"/>
        <v>1306.1199999999999</v>
      </c>
      <c r="EQ46" s="963">
        <f t="shared" si="211"/>
        <v>1309.99</v>
      </c>
      <c r="ER46" s="963">
        <f t="shared" si="212"/>
        <v>1320.46</v>
      </c>
      <c r="ES46" s="963">
        <f t="shared" si="212"/>
        <v>1324.33</v>
      </c>
      <c r="ET46" s="963">
        <f t="shared" ref="ET46:FA46" si="240">+ET21</f>
        <v>1339.2</v>
      </c>
      <c r="EU46" s="963">
        <f t="shared" si="240"/>
        <v>1380.74</v>
      </c>
      <c r="EV46" s="963">
        <f t="shared" si="240"/>
        <v>1424.91</v>
      </c>
      <c r="EW46" s="963">
        <f t="shared" si="240"/>
        <v>1449.17</v>
      </c>
      <c r="EX46" s="963">
        <f t="shared" si="240"/>
        <v>1449.17</v>
      </c>
      <c r="EY46" s="963">
        <f t="shared" si="240"/>
        <v>1476.58</v>
      </c>
      <c r="EZ46" s="963">
        <f t="shared" si="240"/>
        <v>1481.42</v>
      </c>
      <c r="FA46" s="963">
        <f t="shared" si="240"/>
        <v>1486.26</v>
      </c>
      <c r="FB46" s="963">
        <f t="shared" si="214"/>
        <v>1503.19</v>
      </c>
      <c r="FC46" s="963">
        <f t="shared" si="214"/>
        <v>1506.58</v>
      </c>
      <c r="FD46" s="963">
        <f t="shared" si="214"/>
        <v>1537.5</v>
      </c>
      <c r="FE46" s="963">
        <f t="shared" si="214"/>
        <v>1556.82</v>
      </c>
      <c r="FF46" s="963">
        <f t="shared" si="215"/>
        <v>1578.91</v>
      </c>
      <c r="FG46" s="963">
        <f t="shared" si="215"/>
        <v>1592.22</v>
      </c>
      <c r="FH46" s="963" t="e">
        <f t="shared" si="216"/>
        <v>#REF!</v>
      </c>
      <c r="FI46" s="963" t="e">
        <f t="shared" si="216"/>
        <v>#REF!</v>
      </c>
      <c r="FJ46" s="963">
        <f t="shared" si="216"/>
        <v>100</v>
      </c>
      <c r="FK46" s="963">
        <f t="shared" si="216"/>
        <v>86.23695969581604</v>
      </c>
      <c r="FL46" s="963">
        <f t="shared" si="216"/>
        <v>86.23695969581604</v>
      </c>
      <c r="FM46" s="963">
        <f t="shared" ref="FM46:HC46" si="241">+FM21</f>
        <v>87.503208522392839</v>
      </c>
      <c r="FN46" s="963">
        <f t="shared" si="241"/>
        <v>87.503208522392839</v>
      </c>
      <c r="FO46" s="963">
        <f t="shared" si="241"/>
        <v>87.503208522392839</v>
      </c>
      <c r="FP46" s="963">
        <f t="shared" si="241"/>
        <v>87.503208522392839</v>
      </c>
      <c r="FQ46" s="963">
        <f t="shared" si="241"/>
        <v>87.503208522392839</v>
      </c>
      <c r="FR46" s="963">
        <f t="shared" si="241"/>
        <v>87.503208522392839</v>
      </c>
      <c r="FS46" s="963">
        <f t="shared" si="241"/>
        <v>87.503208522392839</v>
      </c>
      <c r="FT46" s="963">
        <f t="shared" si="241"/>
        <v>87.503208522392839</v>
      </c>
      <c r="FU46" s="963">
        <f t="shared" si="241"/>
        <v>87.885783041999346</v>
      </c>
      <c r="FV46" s="963">
        <f t="shared" si="241"/>
        <v>87.885783041999346</v>
      </c>
      <c r="FW46" s="963">
        <f t="shared" si="241"/>
        <v>90.207526125997475</v>
      </c>
      <c r="FX46" s="963">
        <f t="shared" si="241"/>
        <v>90.200821271921626</v>
      </c>
      <c r="FY46" s="963">
        <f t="shared" si="241"/>
        <v>90.200821271921626</v>
      </c>
      <c r="FZ46" s="963">
        <f t="shared" si="241"/>
        <v>91.129957877814462</v>
      </c>
      <c r="GA46" s="963">
        <f t="shared" si="241"/>
        <v>93.36249088610333</v>
      </c>
      <c r="GB46" s="963">
        <f t="shared" si="241"/>
        <v>95.026978481897572</v>
      </c>
      <c r="GC46" s="963">
        <f t="shared" si="241"/>
        <v>95.026978481897572</v>
      </c>
      <c r="GD46" s="963">
        <f t="shared" si="241"/>
        <v>95.026978481897572</v>
      </c>
      <c r="GE46" s="963">
        <f t="shared" si="241"/>
        <v>102.19482153850986</v>
      </c>
      <c r="GF46" s="963">
        <f t="shared" si="241"/>
        <v>102.19482153850986</v>
      </c>
      <c r="GG46" s="963">
        <f t="shared" si="241"/>
        <v>103.56784614124206</v>
      </c>
      <c r="GH46" s="963">
        <f t="shared" si="241"/>
        <v>105.75837943372751</v>
      </c>
      <c r="GI46" s="963">
        <f t="shared" si="241"/>
        <v>106.90416345888353</v>
      </c>
      <c r="GJ46" s="963">
        <f t="shared" si="241"/>
        <v>106.90416345888353</v>
      </c>
      <c r="GK46" s="963">
        <f t="shared" si="241"/>
        <v>106.90416345888353</v>
      </c>
      <c r="GL46" s="963">
        <f t="shared" si="241"/>
        <v>144.7216759345479</v>
      </c>
      <c r="GM46" s="963">
        <f t="shared" si="241"/>
        <v>182.36192163228972</v>
      </c>
      <c r="GN46" s="963">
        <f t="shared" si="241"/>
        <v>264.42251244282664</v>
      </c>
      <c r="GO46" s="963">
        <f t="shared" si="241"/>
        <v>238.91520228596039</v>
      </c>
      <c r="GP46" s="963">
        <f t="shared" si="241"/>
        <v>238.91520228596039</v>
      </c>
      <c r="GQ46" s="963">
        <f t="shared" si="241"/>
        <v>248.55513467552416</v>
      </c>
      <c r="GR46" s="963">
        <f t="shared" si="241"/>
        <v>254.76803368571009</v>
      </c>
      <c r="GS46" s="963">
        <f t="shared" si="241"/>
        <v>263.17170767164555</v>
      </c>
      <c r="GT46" s="963">
        <f t="shared" si="241"/>
        <v>264.78308557821094</v>
      </c>
      <c r="GU46" s="963">
        <f t="shared" si="241"/>
        <v>273.29182548962143</v>
      </c>
      <c r="GV46" s="963">
        <f t="shared" si="241"/>
        <v>284.45897436002468</v>
      </c>
      <c r="GW46" s="963">
        <f t="shared" si="241"/>
        <v>298.54439678984539</v>
      </c>
      <c r="GX46" s="963">
        <f t="shared" si="241"/>
        <v>302.69178072482919</v>
      </c>
      <c r="GY46" s="963">
        <f t="shared" si="241"/>
        <v>301.05132284898372</v>
      </c>
      <c r="GZ46" s="963">
        <f t="shared" si="241"/>
        <v>298.3232018713482</v>
      </c>
      <c r="HA46" s="963">
        <f t="shared" si="241"/>
        <v>394.34570372827085</v>
      </c>
      <c r="HB46" s="963">
        <f t="shared" si="241"/>
        <v>402.55113733799317</v>
      </c>
      <c r="HC46" s="963">
        <f t="shared" si="241"/>
        <v>405.62162166337356</v>
      </c>
      <c r="HD46" s="963">
        <f t="shared" si="218"/>
        <v>405.62162166337356</v>
      </c>
      <c r="HE46" s="1791">
        <f t="shared" si="218"/>
        <v>405.62162166337356</v>
      </c>
      <c r="HF46" s="1880">
        <f t="shared" ref="HF46:HG46" si="242">+HF21</f>
        <v>410.69981629509948</v>
      </c>
      <c r="HG46" s="1880">
        <f t="shared" si="242"/>
        <v>416.06936489968018</v>
      </c>
      <c r="HH46" s="1880">
        <f t="shared" ref="HH46:HI46" si="243">+HH21</f>
        <v>426.38455037690102</v>
      </c>
      <c r="HI46" s="1880">
        <f t="shared" si="243"/>
        <v>441.64537272676193</v>
      </c>
      <c r="HJ46" s="1880">
        <f t="shared" ref="HJ46:HK46" si="244">+HJ21</f>
        <v>446.4497056887551</v>
      </c>
      <c r="HK46" s="1880">
        <f t="shared" si="244"/>
        <v>471.9550615605134</v>
      </c>
      <c r="HL46" s="1880">
        <f t="shared" ref="HL46:HM46" si="245">+HL21</f>
        <v>489.75935430201781</v>
      </c>
      <c r="HM46" s="1880">
        <f t="shared" si="245"/>
        <v>509.04733810531422</v>
      </c>
      <c r="HN46" s="1880">
        <f t="shared" ref="HN46:HO46" si="246">+HN21</f>
        <v>535.25921353030685</v>
      </c>
      <c r="HO46" s="1880">
        <f t="shared" si="246"/>
        <v>565.99281409599894</v>
      </c>
      <c r="HP46" s="1880">
        <f t="shared" ref="HP46:HQ46" si="247">+HP21</f>
        <v>603.36769846209347</v>
      </c>
      <c r="HQ46" s="1791">
        <f t="shared" si="247"/>
        <v>659.88926272083768</v>
      </c>
      <c r="HR46" s="975">
        <f t="shared" ref="HR46:HS46" si="248">+HR21</f>
        <v>710.12280295579649</v>
      </c>
      <c r="HS46" s="1880">
        <f t="shared" si="248"/>
        <v>757.74222084378835</v>
      </c>
      <c r="HT46" s="963">
        <f t="shared" ref="HT46:HU46" si="249">+HT21</f>
        <v>813.06270186203415</v>
      </c>
      <c r="HU46" s="1880">
        <f t="shared" si="249"/>
        <v>845.42129740016503</v>
      </c>
      <c r="HV46" s="1880">
        <f t="shared" ref="HV46:HW46" si="250">+HV21</f>
        <v>890.14398511989657</v>
      </c>
      <c r="HW46" s="1880">
        <f t="shared" si="250"/>
        <v>940.66013317614909</v>
      </c>
      <c r="HX46" s="1880">
        <f t="shared" ref="HX46:HY46" si="251">+HX21</f>
        <v>987.85563933220044</v>
      </c>
      <c r="HY46" s="1880">
        <f t="shared" si="251"/>
        <v>1035.4044052648687</v>
      </c>
      <c r="HZ46" s="1880">
        <f t="shared" ref="HZ46:IA46" si="252">+HZ21</f>
        <v>1073.1325494075807</v>
      </c>
      <c r="IA46" s="1880">
        <f t="shared" si="252"/>
        <v>1118.7737125465164</v>
      </c>
      <c r="IB46" s="1880">
        <f t="shared" ref="IB46:IC46" si="253">+IB21</f>
        <v>1156.643160599875</v>
      </c>
      <c r="IC46" s="1880">
        <f t="shared" si="253"/>
        <v>1211.9636416181211</v>
      </c>
      <c r="ID46" s="963">
        <f t="shared" ref="ID46:IE46" si="254">+ID21</f>
        <v>1266.4362991724856</v>
      </c>
      <c r="IE46" s="1880">
        <f t="shared" si="254"/>
        <v>1343.3762785197011</v>
      </c>
      <c r="IF46" s="963">
        <f t="shared" ref="IF46:IG46" si="255">+IF21</f>
        <v>1411.6967193174578</v>
      </c>
      <c r="IG46" s="1880">
        <f t="shared" si="255"/>
        <v>1490.4736495030825</v>
      </c>
      <c r="IH46" s="1880">
        <f t="shared" ref="IH46:II46" si="256">+IH21</f>
        <v>1575.4679517571692</v>
      </c>
      <c r="II46" s="1880">
        <f t="shared" si="256"/>
        <v>1673.038302058826</v>
      </c>
      <c r="IJ46" s="963">
        <f t="shared" ref="IJ46:IK46" si="257">+IJ21</f>
        <v>1793.7824937065682</v>
      </c>
      <c r="IK46" s="1880">
        <f t="shared" si="257"/>
        <v>1913.3256021138118</v>
      </c>
      <c r="IL46" s="1880">
        <f t="shared" ref="IL46:IM46" si="258">+IL21</f>
        <v>2082.4663831581038</v>
      </c>
      <c r="IM46" s="1880">
        <f t="shared" si="258"/>
        <v>2264.2538642052896</v>
      </c>
      <c r="IN46" s="1880">
        <f t="shared" ref="IN46:IO46" si="259">+IN21</f>
        <v>2420.4252601312451</v>
      </c>
      <c r="IO46" s="963">
        <f t="shared" si="259"/>
        <v>2585.3670011502795</v>
      </c>
      <c r="IP46" s="2476">
        <f t="shared" ref="IP46:IQ46" si="260">+IP21</f>
        <v>2717.6274615157404</v>
      </c>
      <c r="IQ46" s="2476">
        <f t="shared" si="260"/>
        <v>2868.4693861312639</v>
      </c>
    </row>
    <row r="47" spans="3:251">
      <c r="C47" s="372" t="s">
        <v>662</v>
      </c>
      <c r="D47" s="2658" t="s">
        <v>693</v>
      </c>
      <c r="E47" s="2626"/>
      <c r="F47" s="1796">
        <f>+F22</f>
        <v>3.09</v>
      </c>
      <c r="G47" s="538">
        <f>+G22</f>
        <v>3.66</v>
      </c>
      <c r="H47" s="538">
        <f>+H22</f>
        <v>3.66</v>
      </c>
      <c r="I47" s="538">
        <f>+I22</f>
        <v>3.66</v>
      </c>
      <c r="J47" s="538">
        <f>+J22</f>
        <v>3.82</v>
      </c>
      <c r="K47" s="538">
        <v>3.82</v>
      </c>
      <c r="L47" s="538">
        <v>3.94</v>
      </c>
      <c r="M47" s="538">
        <v>3.94</v>
      </c>
      <c r="N47" s="538">
        <v>4.22</v>
      </c>
      <c r="O47" s="538">
        <v>4.22</v>
      </c>
      <c r="P47" s="1794">
        <v>4.41</v>
      </c>
      <c r="Q47" s="1813">
        <v>4.63</v>
      </c>
      <c r="R47" s="1813">
        <v>4.8499999999999996</v>
      </c>
      <c r="S47" s="1813">
        <v>5.0999999999999996</v>
      </c>
      <c r="T47" s="1795">
        <v>5.27</v>
      </c>
      <c r="U47" s="1795">
        <v>5.5</v>
      </c>
      <c r="V47" s="1795">
        <v>6</v>
      </c>
      <c r="W47" s="1795">
        <v>6.21</v>
      </c>
      <c r="X47" s="1795">
        <v>6.21</v>
      </c>
      <c r="Y47" s="1795">
        <v>6.21</v>
      </c>
      <c r="Z47" s="1795">
        <v>6.21</v>
      </c>
      <c r="AA47" s="1795">
        <v>6.21</v>
      </c>
      <c r="AB47" s="1795">
        <v>6.21</v>
      </c>
      <c r="AC47" s="1795">
        <f>+AB47</f>
        <v>6.21</v>
      </c>
      <c r="AD47" s="1795">
        <f t="shared" ref="AD47:AF48" si="261">+AD22</f>
        <v>6.21</v>
      </c>
      <c r="AE47" s="1795">
        <f t="shared" si="261"/>
        <v>6.21</v>
      </c>
      <c r="AF47" s="1795">
        <f t="shared" si="261"/>
        <v>6.21</v>
      </c>
      <c r="AG47" s="1795">
        <f t="shared" si="156"/>
        <v>6.21</v>
      </c>
      <c r="AH47" s="1795">
        <f t="shared" si="156"/>
        <v>6.78</v>
      </c>
      <c r="AI47" s="1795">
        <f t="shared" si="157"/>
        <v>6.78</v>
      </c>
      <c r="AJ47" s="1795">
        <f t="shared" si="157"/>
        <v>9.5618289999999995</v>
      </c>
      <c r="AK47" s="1795">
        <f t="shared" si="158"/>
        <v>10.045543</v>
      </c>
      <c r="AL47" s="1795">
        <f t="shared" si="158"/>
        <v>10.045543</v>
      </c>
      <c r="AM47" s="1795">
        <f t="shared" si="159"/>
        <v>10.050000000000001</v>
      </c>
      <c r="AN47" s="1795">
        <f t="shared" si="159"/>
        <v>10.050000000000001</v>
      </c>
      <c r="AO47" s="1795">
        <f t="shared" si="160"/>
        <v>10.050000000000001</v>
      </c>
      <c r="AP47" s="1795">
        <f t="shared" si="160"/>
        <v>10.050000000000001</v>
      </c>
      <c r="AQ47" s="1795">
        <f t="shared" si="161"/>
        <v>10.045543</v>
      </c>
      <c r="AR47" s="1795">
        <f t="shared" si="161"/>
        <v>12.129433000000001</v>
      </c>
      <c r="AS47" s="1795">
        <f t="shared" si="162"/>
        <v>12.129433000000001</v>
      </c>
      <c r="AT47" s="1795">
        <f t="shared" si="162"/>
        <v>12.75847731818182</v>
      </c>
      <c r="AU47" s="1795">
        <f t="shared" si="163"/>
        <v>12.75847731818182</v>
      </c>
      <c r="AV47" s="1795">
        <f t="shared" si="163"/>
        <v>12.75847731818182</v>
      </c>
      <c r="AW47" s="1795">
        <f t="shared" si="164"/>
        <v>13.387248909090911</v>
      </c>
      <c r="AX47" s="1795">
        <f t="shared" si="164"/>
        <v>14.472594781818183</v>
      </c>
      <c r="AY47" s="1795">
        <f t="shared" si="165"/>
        <v>14.473413727272728</v>
      </c>
      <c r="AZ47" s="1795">
        <f t="shared" si="165"/>
        <v>14.977185318181817</v>
      </c>
      <c r="BA47" s="1795">
        <f t="shared" si="166"/>
        <v>14.977685318181818</v>
      </c>
      <c r="BB47" s="1795">
        <f t="shared" si="166"/>
        <v>11.71092</v>
      </c>
      <c r="BC47" s="1795">
        <f t="shared" si="167"/>
        <v>16.402142727272725</v>
      </c>
      <c r="BD47" s="1795">
        <f t="shared" si="167"/>
        <v>16.402142727272725</v>
      </c>
      <c r="BE47" s="1795">
        <f t="shared" si="168"/>
        <v>16.402142727272725</v>
      </c>
      <c r="BF47" s="1795">
        <f t="shared" si="168"/>
        <v>17.59504309090909</v>
      </c>
      <c r="BG47" s="1795">
        <f t="shared" si="169"/>
        <v>17.59504309090909</v>
      </c>
      <c r="BH47" s="1795">
        <f t="shared" si="169"/>
        <v>17.59504309090909</v>
      </c>
      <c r="BI47" s="1795">
        <f t="shared" si="170"/>
        <v>17.59504309090909</v>
      </c>
      <c r="BJ47" s="1795">
        <f t="shared" si="170"/>
        <v>19.342979795454543</v>
      </c>
      <c r="BK47" s="1795">
        <f t="shared" si="171"/>
        <v>19.343286900000003</v>
      </c>
      <c r="BL47" s="1795">
        <f t="shared" si="171"/>
        <v>20.499740249999999</v>
      </c>
      <c r="BM47" s="1795">
        <f t="shared" si="172"/>
        <v>20.500866299999998</v>
      </c>
      <c r="BN47" s="1795">
        <f t="shared" si="172"/>
        <v>20.500866299999998</v>
      </c>
      <c r="BO47" s="1795">
        <f t="shared" si="173"/>
        <v>20.494109999999999</v>
      </c>
      <c r="BP47" s="1795">
        <f t="shared" si="173"/>
        <v>20.494109999999999</v>
      </c>
      <c r="BQ47" s="1795">
        <f t="shared" si="174"/>
        <v>22.766837272727273</v>
      </c>
      <c r="BR47" s="1795">
        <f t="shared" si="174"/>
        <v>20.494109999999999</v>
      </c>
      <c r="BS47" s="1795">
        <f t="shared" si="175"/>
        <v>20.494109999999999</v>
      </c>
      <c r="BT47" s="1795">
        <f t="shared" si="175"/>
        <v>20.494109999999999</v>
      </c>
      <c r="BU47" s="1795">
        <f t="shared" si="176"/>
        <v>22.543520999999998</v>
      </c>
      <c r="BV47" s="1795">
        <f t="shared" si="176"/>
        <v>22.969520999999997</v>
      </c>
      <c r="BW47" s="1795">
        <f t="shared" si="177"/>
        <v>22.543520999999998</v>
      </c>
      <c r="BX47" s="1795">
        <f>+BX22</f>
        <v>23.982966000000001</v>
      </c>
      <c r="BY47" s="1795">
        <f t="shared" si="178"/>
        <v>23.556966000000003</v>
      </c>
      <c r="BZ47" s="1795">
        <f t="shared" si="178"/>
        <v>24.124966000000004</v>
      </c>
      <c r="CA47" s="1795">
        <f t="shared" si="179"/>
        <v>24.480326999999999</v>
      </c>
      <c r="CB47" s="1795">
        <f t="shared" si="179"/>
        <v>24.480326999999999</v>
      </c>
      <c r="CC47" s="1795">
        <f t="shared" si="180"/>
        <v>24.480326999999999</v>
      </c>
      <c r="CD47" s="1795">
        <f t="shared" si="180"/>
        <v>24.480326999999999</v>
      </c>
      <c r="CE47" s="1795">
        <f t="shared" si="181"/>
        <v>24.480326999999999</v>
      </c>
      <c r="CF47" s="1795">
        <f t="shared" si="181"/>
        <v>24.480326999999999</v>
      </c>
      <c r="CG47" s="1795">
        <f t="shared" si="182"/>
        <v>24.480326999999999</v>
      </c>
      <c r="CH47" s="1795">
        <f t="shared" si="182"/>
        <v>25.503054272727272</v>
      </c>
      <c r="CI47" s="1795">
        <f t="shared" si="183"/>
        <v>26.687384999999999</v>
      </c>
      <c r="CJ47" s="1795">
        <f t="shared" si="183"/>
        <v>26.687384999999999</v>
      </c>
      <c r="CK47" s="1795">
        <f t="shared" si="184"/>
        <v>26.687384999999999</v>
      </c>
      <c r="CL47" s="1795">
        <f t="shared" si="184"/>
        <v>26.687384999999999</v>
      </c>
      <c r="CM47" s="1795">
        <f t="shared" si="185"/>
        <v>28.286376000000001</v>
      </c>
      <c r="CN47" s="1795">
        <f t="shared" si="185"/>
        <v>28.286376000000001</v>
      </c>
      <c r="CO47" s="1795">
        <f t="shared" si="186"/>
        <v>28.286376000000001</v>
      </c>
      <c r="CP47" s="1795">
        <f t="shared" si="186"/>
        <v>28.286376000000001</v>
      </c>
      <c r="CQ47" s="1795">
        <f t="shared" si="187"/>
        <v>28.286376000000001</v>
      </c>
      <c r="CR47" s="1795">
        <f t="shared" si="187"/>
        <v>29.706830545454547</v>
      </c>
      <c r="CS47" s="1795">
        <f t="shared" si="188"/>
        <v>29.706830545454547</v>
      </c>
      <c r="CT47" s="1795">
        <f t="shared" si="188"/>
        <v>31.962455818181816</v>
      </c>
      <c r="CU47" s="1795">
        <f t="shared" si="189"/>
        <v>31.962455818181816</v>
      </c>
      <c r="CV47" s="1795">
        <f t="shared" si="189"/>
        <v>31.962455818181816</v>
      </c>
      <c r="CW47" s="1795">
        <f t="shared" si="190"/>
        <v>33.601331999999999</v>
      </c>
      <c r="CX47" s="1795">
        <f t="shared" si="190"/>
        <v>33.601331999999999</v>
      </c>
      <c r="CY47" s="1795">
        <f t="shared" si="191"/>
        <v>33.601331999999999</v>
      </c>
      <c r="CZ47" s="963">
        <f t="shared" si="191"/>
        <v>33.601331999999999</v>
      </c>
      <c r="DA47" s="963">
        <f t="shared" si="238"/>
        <v>35.943516000000002</v>
      </c>
      <c r="DB47" s="963">
        <f t="shared" si="238"/>
        <v>35.943516000000002</v>
      </c>
      <c r="DC47" s="963">
        <f t="shared" si="239"/>
        <v>35.943516000000002</v>
      </c>
      <c r="DD47" s="963">
        <f t="shared" si="239"/>
        <v>35.943516000000002</v>
      </c>
      <c r="DE47" s="963">
        <f>+DE22</f>
        <v>40.267547999999998</v>
      </c>
      <c r="DF47" s="963">
        <f t="shared" si="193"/>
        <v>40.267547999999998</v>
      </c>
      <c r="DG47" s="963">
        <f t="shared" si="193"/>
        <v>40.267547999999998</v>
      </c>
      <c r="DH47" s="963">
        <f t="shared" si="194"/>
        <v>40.267547999999998</v>
      </c>
      <c r="DI47" s="963">
        <f t="shared" si="194"/>
        <v>42.677295000000001</v>
      </c>
      <c r="DJ47" s="963">
        <f t="shared" si="195"/>
        <v>42.677295000000001</v>
      </c>
      <c r="DK47" s="963">
        <f t="shared" si="195"/>
        <v>42.677295000000001</v>
      </c>
      <c r="DL47" s="963">
        <f t="shared" si="196"/>
        <v>45.222167999999996</v>
      </c>
      <c r="DM47" s="963">
        <f t="shared" si="196"/>
        <v>45.222167999999996</v>
      </c>
      <c r="DN47" s="963">
        <f t="shared" si="197"/>
        <v>45.222167999999996</v>
      </c>
      <c r="DO47" s="963">
        <f t="shared" si="197"/>
        <v>45.222167999999996</v>
      </c>
      <c r="DP47" s="963">
        <f t="shared" si="198"/>
        <v>45.222167999999996</v>
      </c>
      <c r="DQ47" s="963">
        <f t="shared" si="198"/>
        <v>45.222167999999996</v>
      </c>
      <c r="DR47" s="963">
        <f t="shared" si="199"/>
        <v>45.222167999999996</v>
      </c>
      <c r="DS47" s="963">
        <f t="shared" si="199"/>
        <v>58.149222000000002</v>
      </c>
      <c r="DT47" s="963">
        <f t="shared" si="200"/>
        <v>58.149222000000002</v>
      </c>
      <c r="DU47" s="963">
        <f t="shared" si="200"/>
        <v>58.149222000000002</v>
      </c>
      <c r="DV47" s="963">
        <f t="shared" si="201"/>
        <v>58.149222000000002</v>
      </c>
      <c r="DW47" s="963">
        <f t="shared" si="201"/>
        <v>58.149222000000002</v>
      </c>
      <c r="DX47" s="963">
        <f t="shared" si="202"/>
        <v>58.149222000000002</v>
      </c>
      <c r="DY47" s="963">
        <f t="shared" si="202"/>
        <v>58.149222000000002</v>
      </c>
      <c r="DZ47" s="963">
        <f t="shared" si="203"/>
        <v>58.149222000000002</v>
      </c>
      <c r="EA47" s="963">
        <f t="shared" si="203"/>
        <v>58.149222000000002</v>
      </c>
      <c r="EB47" s="963">
        <f t="shared" si="204"/>
        <v>58.149222000000002</v>
      </c>
      <c r="EC47" s="963">
        <f t="shared" si="204"/>
        <v>58.149222000000002</v>
      </c>
      <c r="ED47" s="963">
        <f t="shared" si="205"/>
        <v>58.149222000000002</v>
      </c>
      <c r="EE47" s="963">
        <f t="shared" si="205"/>
        <v>68.621487000000002</v>
      </c>
      <c r="EF47" s="963">
        <f t="shared" si="206"/>
        <v>68.621487000000002</v>
      </c>
      <c r="EG47" s="963">
        <f t="shared" si="206"/>
        <v>68.621487000000002</v>
      </c>
      <c r="EH47" s="963">
        <f t="shared" si="207"/>
        <v>72.517620000000008</v>
      </c>
      <c r="EI47" s="963">
        <f t="shared" si="207"/>
        <v>72.517620000000008</v>
      </c>
      <c r="EJ47" s="963">
        <f t="shared" si="208"/>
        <v>72.742829999999998</v>
      </c>
      <c r="EK47" s="963">
        <f t="shared" si="208"/>
        <v>72.742829999999998</v>
      </c>
      <c r="EL47" s="963">
        <f t="shared" si="209"/>
        <v>72.742829999999998</v>
      </c>
      <c r="EM47" s="963">
        <f t="shared" si="209"/>
        <v>72.742829999999998</v>
      </c>
      <c r="EN47" s="963">
        <f t="shared" si="210"/>
        <v>72.742829999999998</v>
      </c>
      <c r="EO47" s="963">
        <f t="shared" si="210"/>
        <v>85.602320999999989</v>
      </c>
      <c r="EP47" s="963">
        <f t="shared" si="211"/>
        <v>85.602320999999989</v>
      </c>
      <c r="EQ47" s="963">
        <f t="shared" si="211"/>
        <v>85.602320999999989</v>
      </c>
      <c r="ER47" s="963">
        <f t="shared" si="212"/>
        <v>94.160301000000004</v>
      </c>
      <c r="ES47" s="963">
        <f t="shared" si="212"/>
        <v>94.160301000000004</v>
      </c>
      <c r="ET47" s="963">
        <f t="shared" ref="ET47:FA47" si="262">+ET22</f>
        <v>94.160301000000004</v>
      </c>
      <c r="EU47" s="963">
        <f t="shared" si="262"/>
        <v>94.160301000000004</v>
      </c>
      <c r="EV47" s="963">
        <f t="shared" si="262"/>
        <v>94.160301000000004</v>
      </c>
      <c r="EW47" s="963">
        <f t="shared" si="262"/>
        <v>94.160301000000004</v>
      </c>
      <c r="EX47" s="963">
        <f t="shared" si="262"/>
        <v>94.160301000000004</v>
      </c>
      <c r="EY47" s="963">
        <f t="shared" si="262"/>
        <v>94.160301000000004</v>
      </c>
      <c r="EZ47" s="963">
        <f t="shared" si="262"/>
        <v>94.160301000000004</v>
      </c>
      <c r="FA47" s="963">
        <f t="shared" si="262"/>
        <v>110.533068</v>
      </c>
      <c r="FB47" s="963">
        <f t="shared" si="214"/>
        <v>110.533068</v>
      </c>
      <c r="FC47" s="963">
        <f t="shared" si="214"/>
        <v>110.533068</v>
      </c>
      <c r="FD47" s="963">
        <f t="shared" si="214"/>
        <v>110.533068</v>
      </c>
      <c r="FE47" s="963">
        <f t="shared" si="214"/>
        <v>119.96936700000001</v>
      </c>
      <c r="FF47" s="963">
        <f t="shared" si="215"/>
        <v>119.96936700000001</v>
      </c>
      <c r="FG47" s="963">
        <f t="shared" si="215"/>
        <v>119.96936700000001</v>
      </c>
      <c r="FH47" s="963" t="e">
        <f t="shared" si="216"/>
        <v>#REF!</v>
      </c>
      <c r="FI47" s="963" t="e">
        <f t="shared" si="216"/>
        <v>#REF!</v>
      </c>
      <c r="FJ47" s="963">
        <f t="shared" si="216"/>
        <v>119.96936700000001</v>
      </c>
      <c r="FK47" s="963">
        <f t="shared" si="216"/>
        <v>119.96936700000001</v>
      </c>
      <c r="FL47" s="963">
        <f t="shared" si="216"/>
        <v>119.96936700000001</v>
      </c>
      <c r="FM47" s="963">
        <f t="shared" ref="FM47:HC47" si="263">+FM22</f>
        <v>146.363979</v>
      </c>
      <c r="FN47" s="963">
        <f t="shared" si="263"/>
        <v>146.363979</v>
      </c>
      <c r="FO47" s="963">
        <f t="shared" si="263"/>
        <v>146.363979</v>
      </c>
      <c r="FP47" s="963">
        <f t="shared" si="263"/>
        <v>146.363979</v>
      </c>
      <c r="FQ47" s="963">
        <f t="shared" si="263"/>
        <v>146.363979</v>
      </c>
      <c r="FR47" s="963">
        <f t="shared" si="263"/>
        <v>146.363979</v>
      </c>
      <c r="FS47" s="963">
        <f t="shared" si="263"/>
        <v>160.754898</v>
      </c>
      <c r="FT47" s="963">
        <f t="shared" si="263"/>
        <v>160.754898</v>
      </c>
      <c r="FU47" s="963">
        <f t="shared" si="263"/>
        <v>160.754898</v>
      </c>
      <c r="FV47" s="963">
        <f t="shared" si="263"/>
        <v>166.76800499999999</v>
      </c>
      <c r="FW47" s="963">
        <f t="shared" si="263"/>
        <v>166.76800499999999</v>
      </c>
      <c r="FX47" s="963">
        <f t="shared" si="263"/>
        <v>166.76800499999999</v>
      </c>
      <c r="FY47" s="963">
        <f t="shared" si="263"/>
        <v>185.100099</v>
      </c>
      <c r="FZ47" s="963">
        <f t="shared" si="263"/>
        <v>185.100099</v>
      </c>
      <c r="GA47" s="963">
        <f t="shared" si="263"/>
        <v>185.100099</v>
      </c>
      <c r="GB47" s="963">
        <f t="shared" si="263"/>
        <v>203.61236099999999</v>
      </c>
      <c r="GC47" s="963">
        <f t="shared" si="263"/>
        <v>203.61236099999999</v>
      </c>
      <c r="GD47" s="963">
        <f t="shared" si="263"/>
        <v>203.61236099999999</v>
      </c>
      <c r="GE47" s="963">
        <f t="shared" si="263"/>
        <v>203.61236099999999</v>
      </c>
      <c r="GF47" s="963">
        <f t="shared" si="263"/>
        <v>203.61236099999999</v>
      </c>
      <c r="GG47" s="963">
        <f t="shared" si="263"/>
        <v>203.61236099999999</v>
      </c>
      <c r="GH47" s="963">
        <f t="shared" si="263"/>
        <v>203.61236099999999</v>
      </c>
      <c r="GI47" s="963">
        <f t="shared" si="263"/>
        <v>206.675217</v>
      </c>
      <c r="GJ47" s="963">
        <f t="shared" si="263"/>
        <v>209.715552</v>
      </c>
      <c r="GK47" s="963">
        <f t="shared" si="263"/>
        <v>230.682603</v>
      </c>
      <c r="GL47" s="963">
        <f t="shared" si="263"/>
        <v>230.682603</v>
      </c>
      <c r="GM47" s="963">
        <f t="shared" si="263"/>
        <v>230.682603</v>
      </c>
      <c r="GN47" s="963">
        <f t="shared" si="263"/>
        <v>230.682603</v>
      </c>
      <c r="GO47" s="963">
        <f t="shared" si="263"/>
        <v>242.23587599999999</v>
      </c>
      <c r="GP47" s="963">
        <f t="shared" si="263"/>
        <v>251.919906</v>
      </c>
      <c r="GQ47" s="963">
        <f t="shared" si="263"/>
        <v>259.46444099999997</v>
      </c>
      <c r="GR47" s="963">
        <f t="shared" si="263"/>
        <v>267.031497</v>
      </c>
      <c r="GS47" s="963">
        <f t="shared" si="263"/>
        <v>267.031497</v>
      </c>
      <c r="GT47" s="963">
        <f t="shared" si="263"/>
        <v>275.04897299999999</v>
      </c>
      <c r="GU47" s="963">
        <f t="shared" si="263"/>
        <v>275.04897299999999</v>
      </c>
      <c r="GV47" s="963">
        <f t="shared" si="263"/>
        <v>294.30442800000003</v>
      </c>
      <c r="GW47" s="963">
        <f t="shared" si="263"/>
        <v>323.71685400000001</v>
      </c>
      <c r="GX47" s="963">
        <f t="shared" si="263"/>
        <v>339.90945300000004</v>
      </c>
      <c r="GY47" s="963">
        <f t="shared" si="263"/>
        <v>339.90945300000004</v>
      </c>
      <c r="GZ47" s="963">
        <f t="shared" si="263"/>
        <v>354.48054000000002</v>
      </c>
      <c r="HA47" s="963">
        <f t="shared" si="263"/>
        <v>366.889611</v>
      </c>
      <c r="HB47" s="963">
        <f t="shared" si="263"/>
        <v>366.889611</v>
      </c>
      <c r="HC47" s="963">
        <f t="shared" si="263"/>
        <v>395.53632299999998</v>
      </c>
      <c r="HD47" s="963">
        <f t="shared" si="218"/>
        <v>419.27345699999995</v>
      </c>
      <c r="HE47" s="1791">
        <f t="shared" si="218"/>
        <v>419.27345699999995</v>
      </c>
      <c r="HF47" s="1880">
        <f t="shared" ref="HF47:HG47" si="264">+HF22</f>
        <v>444.902355</v>
      </c>
      <c r="HG47" s="1880">
        <f t="shared" si="264"/>
        <v>462.69394499999999</v>
      </c>
      <c r="HH47" s="1880">
        <f t="shared" ref="HH47:HI47" si="265">+HH22</f>
        <v>462.69394499999999</v>
      </c>
      <c r="HI47" s="1880">
        <f t="shared" si="265"/>
        <v>462.69394499999999</v>
      </c>
      <c r="HJ47" s="1880">
        <f t="shared" ref="HJ47:HK47" si="266">+HJ22</f>
        <v>462.69394499999999</v>
      </c>
      <c r="HK47" s="1880">
        <f t="shared" si="266"/>
        <v>462.69394499999999</v>
      </c>
      <c r="HL47" s="1880">
        <f t="shared" ref="HL47:HM47" si="267">+HL22</f>
        <v>462.69394499999999</v>
      </c>
      <c r="HM47" s="1880">
        <f t="shared" si="267"/>
        <v>462.69394499999999</v>
      </c>
      <c r="HN47" s="1880">
        <f t="shared" ref="HN47:HO47" si="268">+HN22</f>
        <v>462.69394499999999</v>
      </c>
      <c r="HO47" s="1880">
        <f t="shared" si="268"/>
        <v>462.69394499999999</v>
      </c>
      <c r="HP47" s="1880">
        <f t="shared" ref="HP47:HQ47" si="269">+HP22</f>
        <v>578.36180100000001</v>
      </c>
      <c r="HQ47" s="1791">
        <f t="shared" si="269"/>
        <v>578.36180100000001</v>
      </c>
      <c r="HR47" s="975">
        <f t="shared" ref="HR47:HS47" si="270">+HR22</f>
        <v>578.36180100000001</v>
      </c>
      <c r="HS47" s="1880">
        <f t="shared" si="270"/>
        <v>615.36380400000007</v>
      </c>
      <c r="HT47" s="963">
        <f t="shared" ref="HT47:HU47" si="271">+HT22</f>
        <v>615.36380400000007</v>
      </c>
      <c r="HU47" s="1880">
        <f t="shared" si="271"/>
        <v>689.21016299999997</v>
      </c>
      <c r="HV47" s="1880">
        <f t="shared" ref="HV47:HW47" si="272">+HV22</f>
        <v>689.21016299999997</v>
      </c>
      <c r="HW47" s="1880">
        <f t="shared" si="272"/>
        <v>689.21016299999997</v>
      </c>
      <c r="HX47" s="1880">
        <f t="shared" ref="HX47:HY47" si="273">+HX22</f>
        <v>750.76005600000008</v>
      </c>
      <c r="HY47" s="1880">
        <f t="shared" si="273"/>
        <v>750.76005600000008</v>
      </c>
      <c r="HZ47" s="1880">
        <f t="shared" ref="HZ47:IA47" si="274">+HZ22</f>
        <v>781.52374199999997</v>
      </c>
      <c r="IA47" s="1880">
        <f t="shared" si="274"/>
        <v>824.60641499999997</v>
      </c>
      <c r="IB47" s="1880">
        <f t="shared" ref="IB47:IC47" si="275">+IB22</f>
        <v>824.60641499999997</v>
      </c>
      <c r="IC47" s="1880">
        <f t="shared" si="275"/>
        <v>824.60641499999997</v>
      </c>
      <c r="ID47" s="963">
        <f t="shared" ref="ID47:IE47" si="276">+ID22</f>
        <v>855.37010099999998</v>
      </c>
      <c r="IE47" s="1880">
        <f t="shared" si="276"/>
        <v>897.21411899999998</v>
      </c>
      <c r="IF47" s="963">
        <f t="shared" ref="IF47:IG47" si="277">+IF22</f>
        <v>947.661159</v>
      </c>
      <c r="IG47" s="1880">
        <f t="shared" si="277"/>
        <v>947.661159</v>
      </c>
      <c r="IH47" s="1880">
        <f t="shared" ref="IH47:II47" si="278">+IH22</f>
        <v>1042.7222999999999</v>
      </c>
      <c r="II47" s="1880">
        <f t="shared" si="278"/>
        <v>1137.3105</v>
      </c>
      <c r="IJ47" s="963">
        <f t="shared" ref="IJ47:IK47" si="279">+IJ22</f>
        <v>1137.3105</v>
      </c>
      <c r="IK47" s="1880">
        <f t="shared" si="279"/>
        <v>1213.8819000000001</v>
      </c>
      <c r="IL47" s="1880">
        <f t="shared" ref="IL47:IM47" si="280">+IL22</f>
        <v>1335.4953</v>
      </c>
      <c r="IM47" s="1880">
        <f t="shared" si="280"/>
        <v>1459.3607999999999</v>
      </c>
      <c r="IN47" s="1880">
        <f t="shared" ref="IN47:IO47" si="281">+IN22</f>
        <v>1574.2179000000001</v>
      </c>
      <c r="IO47" s="963">
        <f t="shared" si="281"/>
        <v>1574.2179000000001</v>
      </c>
      <c r="IP47" s="2476">
        <f>+IP22</f>
        <v>1621.5119999999999</v>
      </c>
      <c r="IQ47" s="2476">
        <f>+IQ22</f>
        <v>1896.2682</v>
      </c>
    </row>
    <row r="48" spans="3:251" ht="16.5" thickBot="1">
      <c r="C48" s="373" t="s">
        <v>671</v>
      </c>
      <c r="D48" s="2661">
        <v>67</v>
      </c>
      <c r="E48" s="2642"/>
      <c r="F48" s="1816">
        <v>126.2</v>
      </c>
      <c r="G48" s="540">
        <v>382.18</v>
      </c>
      <c r="H48" s="1817">
        <v>384.52</v>
      </c>
      <c r="I48" s="1817">
        <v>383.54</v>
      </c>
      <c r="J48" s="540">
        <f t="shared" ref="J48:O48" si="282">+J23</f>
        <v>406.07</v>
      </c>
      <c r="K48" s="540">
        <f t="shared" si="282"/>
        <v>406.51</v>
      </c>
      <c r="L48" s="540">
        <f t="shared" si="282"/>
        <v>406.9</v>
      </c>
      <c r="M48" s="540">
        <f t="shared" si="282"/>
        <v>406.68</v>
      </c>
      <c r="N48" s="540">
        <f t="shared" si="282"/>
        <v>406.68</v>
      </c>
      <c r="O48" s="540">
        <f t="shared" si="282"/>
        <v>402.3</v>
      </c>
      <c r="P48" s="540">
        <v>399.57</v>
      </c>
      <c r="Q48" s="1817">
        <v>399.57</v>
      </c>
      <c r="R48" s="1789">
        <v>399.57</v>
      </c>
      <c r="S48" s="1818">
        <v>399.57</v>
      </c>
      <c r="T48" s="1818">
        <v>399.57</v>
      </c>
      <c r="U48" s="1818">
        <v>399.57</v>
      </c>
      <c r="V48" s="1818">
        <v>399.95</v>
      </c>
      <c r="W48" s="1818">
        <v>399.95</v>
      </c>
      <c r="X48" s="1818">
        <f>X23</f>
        <v>400.47</v>
      </c>
      <c r="Y48" s="1818">
        <v>400.73</v>
      </c>
      <c r="Z48" s="1818">
        <v>405.2</v>
      </c>
      <c r="AA48" s="1818">
        <v>407.47</v>
      </c>
      <c r="AB48" s="1818">
        <f>+AB23</f>
        <v>409.3</v>
      </c>
      <c r="AC48" s="1818">
        <f>+AC23</f>
        <v>425.51</v>
      </c>
      <c r="AD48" s="1818">
        <f t="shared" si="261"/>
        <v>430.59</v>
      </c>
      <c r="AE48" s="1818">
        <f t="shared" si="261"/>
        <v>430.82</v>
      </c>
      <c r="AF48" s="1818">
        <f t="shared" si="261"/>
        <v>430.93</v>
      </c>
      <c r="AG48" s="1818">
        <f t="shared" si="156"/>
        <v>431.16</v>
      </c>
      <c r="AH48" s="1818">
        <f t="shared" si="156"/>
        <v>431.16</v>
      </c>
      <c r="AI48" s="1818">
        <f t="shared" si="157"/>
        <v>431.16</v>
      </c>
      <c r="AJ48" s="1818">
        <f t="shared" si="157"/>
        <v>434.92</v>
      </c>
      <c r="AK48" s="1818">
        <f t="shared" si="158"/>
        <v>434.58</v>
      </c>
      <c r="AL48" s="1818">
        <f t="shared" si="158"/>
        <v>433.74</v>
      </c>
      <c r="AM48" s="1818">
        <f t="shared" si="159"/>
        <v>430.24</v>
      </c>
      <c r="AN48" s="1818">
        <f t="shared" si="159"/>
        <v>430.24</v>
      </c>
      <c r="AO48" s="1818">
        <f t="shared" si="160"/>
        <v>430.08</v>
      </c>
      <c r="AP48" s="1818">
        <f t="shared" si="160"/>
        <v>430.42</v>
      </c>
      <c r="AQ48" s="1818">
        <f t="shared" si="161"/>
        <v>431.1</v>
      </c>
      <c r="AR48" s="1818">
        <f t="shared" si="161"/>
        <v>431.1</v>
      </c>
      <c r="AS48" s="1818">
        <f t="shared" si="162"/>
        <v>431.1</v>
      </c>
      <c r="AT48" s="1818">
        <f t="shared" si="162"/>
        <v>431.1</v>
      </c>
      <c r="AU48" s="1818">
        <f t="shared" si="163"/>
        <v>431.1</v>
      </c>
      <c r="AV48" s="1818">
        <f t="shared" si="163"/>
        <v>441.23</v>
      </c>
      <c r="AW48" s="1818">
        <f t="shared" si="164"/>
        <v>431.2</v>
      </c>
      <c r="AX48" s="1818">
        <f t="shared" si="164"/>
        <v>431.2</v>
      </c>
      <c r="AY48" s="1818">
        <f t="shared" si="165"/>
        <v>431.25</v>
      </c>
      <c r="AZ48" s="1818">
        <f t="shared" si="165"/>
        <v>431.25</v>
      </c>
      <c r="BA48" s="1818">
        <f t="shared" si="166"/>
        <v>431.25</v>
      </c>
      <c r="BB48" s="1818">
        <f t="shared" si="166"/>
        <v>432.07</v>
      </c>
      <c r="BC48" s="1818">
        <f t="shared" si="167"/>
        <v>431.25</v>
      </c>
      <c r="BD48" s="1818">
        <f t="shared" si="167"/>
        <v>431.2</v>
      </c>
      <c r="BE48" s="1818">
        <f t="shared" si="168"/>
        <v>431.2</v>
      </c>
      <c r="BF48" s="1818">
        <f t="shared" si="168"/>
        <v>431.2</v>
      </c>
      <c r="BG48" s="1818">
        <f t="shared" si="169"/>
        <v>431.25</v>
      </c>
      <c r="BH48" s="1818">
        <f t="shared" si="169"/>
        <v>431.25</v>
      </c>
      <c r="BI48" s="1818">
        <f t="shared" si="170"/>
        <v>431.25</v>
      </c>
      <c r="BJ48" s="1818">
        <f t="shared" si="170"/>
        <v>435.57</v>
      </c>
      <c r="BK48" s="1818">
        <f t="shared" si="171"/>
        <v>437.96</v>
      </c>
      <c r="BL48" s="1818">
        <f t="shared" si="171"/>
        <v>444.17</v>
      </c>
      <c r="BM48" s="1818">
        <f t="shared" si="172"/>
        <v>440.98</v>
      </c>
      <c r="BN48" s="1818">
        <f t="shared" si="172"/>
        <v>443.35</v>
      </c>
      <c r="BO48" s="1818">
        <f t="shared" si="173"/>
        <v>445.21</v>
      </c>
      <c r="BP48" s="1818">
        <f t="shared" si="173"/>
        <v>448.22</v>
      </c>
      <c r="BQ48" s="1818">
        <f t="shared" si="174"/>
        <v>456.08</v>
      </c>
      <c r="BR48" s="1818">
        <f t="shared" si="174"/>
        <v>448.6</v>
      </c>
      <c r="BS48" s="1818">
        <f t="shared" si="175"/>
        <v>420.39</v>
      </c>
      <c r="BT48" s="1818">
        <f t="shared" si="175"/>
        <v>418.16</v>
      </c>
      <c r="BU48" s="1818">
        <f t="shared" si="176"/>
        <v>423.22</v>
      </c>
      <c r="BV48" s="1818">
        <f t="shared" si="176"/>
        <v>438.77</v>
      </c>
      <c r="BW48" s="1818">
        <f t="shared" si="177"/>
        <v>448.78</v>
      </c>
      <c r="BX48" s="1818">
        <f t="shared" si="177"/>
        <v>454.18</v>
      </c>
      <c r="BY48" s="1818">
        <f t="shared" si="178"/>
        <v>450.71</v>
      </c>
      <c r="BZ48" s="1818">
        <f t="shared" si="178"/>
        <v>453.07</v>
      </c>
      <c r="CA48" s="1818">
        <f t="shared" si="179"/>
        <v>454.67</v>
      </c>
      <c r="CB48" s="1818">
        <f t="shared" si="179"/>
        <v>458.77</v>
      </c>
      <c r="CC48" s="1818">
        <f t="shared" si="180"/>
        <v>463.22</v>
      </c>
      <c r="CD48" s="1818">
        <f t="shared" si="180"/>
        <v>471.3</v>
      </c>
      <c r="CE48" s="1818">
        <f t="shared" si="181"/>
        <v>482.05</v>
      </c>
      <c r="CF48" s="1818">
        <f t="shared" si="181"/>
        <v>495.91</v>
      </c>
      <c r="CG48" s="1818">
        <f t="shared" si="182"/>
        <v>519.02</v>
      </c>
      <c r="CH48" s="1818">
        <f t="shared" si="182"/>
        <v>534.95000000000005</v>
      </c>
      <c r="CI48" s="1818">
        <f t="shared" si="183"/>
        <v>555.30999999999995</v>
      </c>
      <c r="CJ48" s="1819">
        <f t="shared" si="183"/>
        <v>582.22</v>
      </c>
      <c r="CK48" s="1819">
        <f t="shared" si="184"/>
        <v>584.62</v>
      </c>
      <c r="CL48" s="1819">
        <f t="shared" si="184"/>
        <v>586.39</v>
      </c>
      <c r="CM48" s="1819">
        <f t="shared" si="185"/>
        <v>604.54</v>
      </c>
      <c r="CN48" s="1819">
        <f t="shared" si="185"/>
        <v>606.80999999999995</v>
      </c>
      <c r="CO48" s="1819">
        <f t="shared" si="186"/>
        <v>609.45000000000005</v>
      </c>
      <c r="CP48" s="1819">
        <f t="shared" si="186"/>
        <v>609.84</v>
      </c>
      <c r="CQ48" s="1819">
        <f t="shared" si="187"/>
        <v>610.65</v>
      </c>
      <c r="CR48" s="1819">
        <f t="shared" si="187"/>
        <v>615.25</v>
      </c>
      <c r="CS48" s="1819">
        <f t="shared" si="188"/>
        <v>635.57000000000005</v>
      </c>
      <c r="CT48" s="1819">
        <f t="shared" si="188"/>
        <v>655.53</v>
      </c>
      <c r="CU48" s="1819">
        <f t="shared" si="189"/>
        <v>679.52</v>
      </c>
      <c r="CV48" s="1819">
        <f t="shared" si="189"/>
        <v>693.53</v>
      </c>
      <c r="CW48" s="1819">
        <f t="shared" si="190"/>
        <v>709.66</v>
      </c>
      <c r="CX48" s="1819">
        <f t="shared" si="190"/>
        <v>721.1</v>
      </c>
      <c r="CY48" s="1819">
        <f t="shared" si="191"/>
        <v>721.1</v>
      </c>
      <c r="CZ48" s="1465">
        <f t="shared" si="191"/>
        <v>726.54</v>
      </c>
      <c r="DA48" s="1465">
        <f t="shared" si="238"/>
        <v>745.61</v>
      </c>
      <c r="DB48" s="1465">
        <f t="shared" si="238"/>
        <v>775.48</v>
      </c>
      <c r="DC48" s="1465">
        <f t="shared" si="239"/>
        <v>777.44</v>
      </c>
      <c r="DD48" s="1465">
        <f t="shared" si="239"/>
        <v>784.16</v>
      </c>
      <c r="DE48" s="1465">
        <f>+DE23</f>
        <v>822.74</v>
      </c>
      <c r="DF48" s="1465">
        <f t="shared" si="193"/>
        <v>835.98</v>
      </c>
      <c r="DG48" s="1465">
        <f t="shared" si="193"/>
        <v>842.63</v>
      </c>
      <c r="DH48" s="1465">
        <f t="shared" si="194"/>
        <v>858.52</v>
      </c>
      <c r="DI48" s="1465">
        <f t="shared" si="194"/>
        <v>868.83</v>
      </c>
      <c r="DJ48" s="1465">
        <f t="shared" si="195"/>
        <v>878.37</v>
      </c>
      <c r="DK48" s="1465">
        <f t="shared" si="195"/>
        <v>885.52</v>
      </c>
      <c r="DL48" s="1465">
        <f t="shared" si="196"/>
        <v>885.52</v>
      </c>
      <c r="DM48" s="1465">
        <f t="shared" si="196"/>
        <v>893.21</v>
      </c>
      <c r="DN48" s="1465">
        <f t="shared" si="197"/>
        <v>928.95</v>
      </c>
      <c r="DO48" s="1465">
        <f t="shared" si="197"/>
        <v>933.84</v>
      </c>
      <c r="DP48" s="1465">
        <f t="shared" si="198"/>
        <v>946.21</v>
      </c>
      <c r="DQ48" s="1465">
        <f t="shared" si="198"/>
        <v>951.2</v>
      </c>
      <c r="DR48" s="1465">
        <f t="shared" si="199"/>
        <v>972.32</v>
      </c>
      <c r="DS48" s="1465">
        <f t="shared" si="199"/>
        <v>972.59</v>
      </c>
      <c r="DT48" s="1465">
        <f t="shared" si="200"/>
        <v>998.56</v>
      </c>
      <c r="DU48" s="1465">
        <f t="shared" si="200"/>
        <v>1003.73</v>
      </c>
      <c r="DV48" s="1465">
        <f t="shared" si="201"/>
        <v>1004.43</v>
      </c>
      <c r="DW48" s="1465">
        <f t="shared" si="201"/>
        <v>1004.6</v>
      </c>
      <c r="DX48" s="1465">
        <f t="shared" si="202"/>
        <v>1016.06</v>
      </c>
      <c r="DY48" s="1465">
        <f t="shared" si="202"/>
        <v>1016.77</v>
      </c>
      <c r="DZ48" s="1465">
        <f t="shared" si="203"/>
        <v>1024.6099999999999</v>
      </c>
      <c r="EA48" s="1465">
        <f t="shared" si="203"/>
        <v>1032.78</v>
      </c>
      <c r="EB48" s="1465">
        <f t="shared" si="204"/>
        <v>1055.3499999999999</v>
      </c>
      <c r="EC48" s="1465">
        <f t="shared" si="204"/>
        <v>1077.53</v>
      </c>
      <c r="ED48" s="1465">
        <f t="shared" si="205"/>
        <v>1093.44</v>
      </c>
      <c r="EE48" s="1465">
        <f t="shared" si="205"/>
        <v>1109.21</v>
      </c>
      <c r="EF48" s="1465">
        <f t="shared" si="206"/>
        <v>1118.96</v>
      </c>
      <c r="EG48" s="1465">
        <f t="shared" si="206"/>
        <v>1126.55</v>
      </c>
      <c r="EH48" s="1465">
        <f t="shared" si="207"/>
        <v>1130.51</v>
      </c>
      <c r="EI48" s="1465">
        <f t="shared" si="207"/>
        <v>1130.51</v>
      </c>
      <c r="EJ48" s="1465">
        <f t="shared" si="208"/>
        <v>1132.25</v>
      </c>
      <c r="EK48" s="1465">
        <f t="shared" si="208"/>
        <v>1141.83</v>
      </c>
      <c r="EL48" s="1789">
        <f t="shared" si="209"/>
        <v>1188</v>
      </c>
      <c r="EM48" s="1789">
        <f t="shared" si="209"/>
        <v>1212.73</v>
      </c>
      <c r="EN48" s="1789">
        <f t="shared" si="210"/>
        <v>1274.3499999999999</v>
      </c>
      <c r="EO48" s="1789">
        <f t="shared" si="210"/>
        <v>1373.92</v>
      </c>
      <c r="EP48" s="1789">
        <f t="shared" si="211"/>
        <v>1386.78</v>
      </c>
      <c r="EQ48" s="1789">
        <f t="shared" si="211"/>
        <v>1396.59</v>
      </c>
      <c r="ER48" s="1789">
        <f t="shared" si="212"/>
        <v>1469.17</v>
      </c>
      <c r="ES48" s="1789">
        <f t="shared" si="212"/>
        <v>1477.54</v>
      </c>
      <c r="ET48" s="1789">
        <f t="shared" ref="ET48:FA48" si="283">+ET23</f>
        <v>1505.35</v>
      </c>
      <c r="EU48" s="1789">
        <f t="shared" si="283"/>
        <v>1511.76</v>
      </c>
      <c r="EV48" s="1789">
        <f t="shared" si="283"/>
        <v>1511.91</v>
      </c>
      <c r="EW48" s="1789">
        <f t="shared" si="283"/>
        <v>1511.84</v>
      </c>
      <c r="EX48" s="1789">
        <f t="shared" si="283"/>
        <v>1445.03</v>
      </c>
      <c r="EY48" s="1789">
        <f t="shared" si="283"/>
        <v>1462.41</v>
      </c>
      <c r="EZ48" s="1789">
        <f t="shared" si="283"/>
        <v>1480.48</v>
      </c>
      <c r="FA48" s="1789">
        <f t="shared" si="283"/>
        <v>1483.26</v>
      </c>
      <c r="FB48" s="1789">
        <f t="shared" si="214"/>
        <v>1505.43</v>
      </c>
      <c r="FC48" s="1789">
        <f t="shared" si="214"/>
        <v>1535.69</v>
      </c>
      <c r="FD48" s="1789">
        <f t="shared" si="214"/>
        <v>1553.18</v>
      </c>
      <c r="FE48" s="1789">
        <f t="shared" si="214"/>
        <v>1574.35</v>
      </c>
      <c r="FF48" s="1789">
        <f t="shared" si="215"/>
        <v>1577.45</v>
      </c>
      <c r="FG48" s="1789">
        <f t="shared" si="215"/>
        <v>1577.54</v>
      </c>
      <c r="FH48" s="1789" t="e">
        <f t="shared" si="216"/>
        <v>#REF!</v>
      </c>
      <c r="FI48" s="1789" t="e">
        <f t="shared" si="216"/>
        <v>#REF!</v>
      </c>
      <c r="FJ48" s="1789">
        <f t="shared" si="216"/>
        <v>100</v>
      </c>
      <c r="FK48" s="1789">
        <f t="shared" si="216"/>
        <v>100</v>
      </c>
      <c r="FL48" s="1789">
        <f t="shared" si="216"/>
        <v>106.23167753219604</v>
      </c>
      <c r="FM48" s="1789">
        <f t="shared" ref="FM48:HC48" si="284">+FM23</f>
        <v>112.68328986332534</v>
      </c>
      <c r="FN48" s="1789">
        <f t="shared" si="284"/>
        <v>123.90029444471372</v>
      </c>
      <c r="FO48" s="1789">
        <f t="shared" si="284"/>
        <v>123.90029444471372</v>
      </c>
      <c r="FP48" s="1789">
        <f t="shared" si="284"/>
        <v>123.90029444471372</v>
      </c>
      <c r="FQ48" s="1789">
        <f t="shared" si="284"/>
        <v>123.90029444471372</v>
      </c>
      <c r="FR48" s="1789">
        <f t="shared" si="284"/>
        <v>123.90029444471372</v>
      </c>
      <c r="FS48" s="1789">
        <f t="shared" si="284"/>
        <v>123.90029444471372</v>
      </c>
      <c r="FT48" s="1789">
        <f t="shared" si="284"/>
        <v>123.90029444471372</v>
      </c>
      <c r="FU48" s="1789">
        <f t="shared" si="284"/>
        <v>123.90029444471372</v>
      </c>
      <c r="FV48" s="1789">
        <f t="shared" si="284"/>
        <v>127.19941025375421</v>
      </c>
      <c r="FW48" s="1789">
        <f t="shared" si="284"/>
        <v>133.79765160386373</v>
      </c>
      <c r="FX48" s="1789">
        <f t="shared" si="284"/>
        <v>133.79765160386373</v>
      </c>
      <c r="FY48" s="1789">
        <f t="shared" si="284"/>
        <v>133.79765160386373</v>
      </c>
      <c r="FZ48" s="1789">
        <f t="shared" si="284"/>
        <v>130.35190201548548</v>
      </c>
      <c r="GA48" s="1789">
        <f t="shared" si="284"/>
        <v>130.35190201548548</v>
      </c>
      <c r="GB48" s="1789">
        <f t="shared" si="284"/>
        <v>138.19647280564155</v>
      </c>
      <c r="GC48" s="1789">
        <f t="shared" si="284"/>
        <v>138.19647280564155</v>
      </c>
      <c r="GD48" s="1789">
        <f t="shared" si="284"/>
        <v>138.19647280564155</v>
      </c>
      <c r="GE48" s="1789">
        <f t="shared" si="284"/>
        <v>142.52198236531129</v>
      </c>
      <c r="GF48" s="1789">
        <f t="shared" si="284"/>
        <v>151.17300713493708</v>
      </c>
      <c r="GG48" s="1789">
        <f t="shared" si="284"/>
        <v>160.28835989488687</v>
      </c>
      <c r="GH48" s="1789">
        <f t="shared" si="284"/>
        <v>160.28835989488687</v>
      </c>
      <c r="GI48" s="1789">
        <f t="shared" si="284"/>
        <v>179.44769798011433</v>
      </c>
      <c r="GJ48" s="1789">
        <f t="shared" si="284"/>
        <v>179.44769798011433</v>
      </c>
      <c r="GK48" s="1789">
        <f t="shared" si="284"/>
        <v>183.85092862447544</v>
      </c>
      <c r="GL48" s="1789">
        <f t="shared" si="284"/>
        <v>183.85092862447544</v>
      </c>
      <c r="GM48" s="1789">
        <f t="shared" si="284"/>
        <v>181.94259436243931</v>
      </c>
      <c r="GN48" s="1789">
        <f t="shared" si="284"/>
        <v>200.49050131560125</v>
      </c>
      <c r="GO48" s="1789">
        <f t="shared" si="284"/>
        <v>213.26472286434279</v>
      </c>
      <c r="GP48" s="1789">
        <f t="shared" si="284"/>
        <v>240.25660318625958</v>
      </c>
      <c r="GQ48" s="1789">
        <f t="shared" si="284"/>
        <v>261.83567328319305</v>
      </c>
      <c r="GR48" s="1789">
        <f t="shared" si="284"/>
        <v>270.3518280371668</v>
      </c>
      <c r="GS48" s="1789">
        <f t="shared" si="284"/>
        <v>278.47076528530908</v>
      </c>
      <c r="GT48" s="1789">
        <f t="shared" si="284"/>
        <v>268.00926123095763</v>
      </c>
      <c r="GU48" s="1789">
        <f t="shared" si="284"/>
        <v>291.23060375396875</v>
      </c>
      <c r="GV48" s="1789">
        <f t="shared" si="284"/>
        <v>290.02776608919987</v>
      </c>
      <c r="GW48" s="1789">
        <f t="shared" si="284"/>
        <v>304.13238791928524</v>
      </c>
      <c r="GX48" s="1789">
        <f t="shared" si="284"/>
        <v>317.75751889806918</v>
      </c>
      <c r="GY48" s="1789">
        <f t="shared" si="284"/>
        <v>322.33322717020138</v>
      </c>
      <c r="GZ48" s="1789">
        <f t="shared" si="284"/>
        <v>328.0959875135074</v>
      </c>
      <c r="HA48" s="1789">
        <f t="shared" si="284"/>
        <v>328.00943768167269</v>
      </c>
      <c r="HB48" s="1789">
        <f t="shared" si="284"/>
        <v>341.56467053487893</v>
      </c>
      <c r="HC48" s="1789">
        <f t="shared" si="284"/>
        <v>341.42142680640973</v>
      </c>
      <c r="HD48" s="1789">
        <f t="shared" si="218"/>
        <v>377.84777040392208</v>
      </c>
      <c r="HE48" s="1790">
        <f t="shared" si="218"/>
        <v>402.68392811643059</v>
      </c>
      <c r="HF48" s="1884">
        <f t="shared" ref="HF48:HG48" si="285">+HF23</f>
        <v>402.68392811643059</v>
      </c>
      <c r="HG48" s="1884">
        <f t="shared" si="285"/>
        <v>402.68392811643059</v>
      </c>
      <c r="HH48" s="1884">
        <f t="shared" ref="HH48:HI48" si="286">+HH23</f>
        <v>402.39469563080206</v>
      </c>
      <c r="HI48" s="1884">
        <f t="shared" si="286"/>
        <v>402.39469563080206</v>
      </c>
      <c r="HJ48" s="1884">
        <f t="shared" ref="HJ48:HK48" si="287">+HJ23</f>
        <v>402.68413615993768</v>
      </c>
      <c r="HK48" s="1884">
        <f t="shared" si="287"/>
        <v>402.2020817681738</v>
      </c>
      <c r="HL48" s="1884">
        <f t="shared" ref="HL48:HM48" si="288">+HL23</f>
        <v>402.2020817681738</v>
      </c>
      <c r="HM48" s="1884">
        <f t="shared" si="288"/>
        <v>413.77922959636226</v>
      </c>
      <c r="HN48" s="1884">
        <f t="shared" ref="HN48:HO48" si="289">+HN23</f>
        <v>431.99998986525816</v>
      </c>
      <c r="HO48" s="1884">
        <f t="shared" si="289"/>
        <v>448.1910950205471</v>
      </c>
      <c r="HP48" s="1884">
        <f t="shared" ref="HP48:HQ48" si="290">+HP23</f>
        <v>453.48758729160573</v>
      </c>
      <c r="HQ48" s="1790">
        <f t="shared" si="290"/>
        <v>484.92436468607491</v>
      </c>
      <c r="HR48" s="1788">
        <f t="shared" ref="HR48:HS48" si="291">+HR23</f>
        <v>502.18767206889919</v>
      </c>
      <c r="HS48" s="1884">
        <f t="shared" si="291"/>
        <v>551.98291365290049</v>
      </c>
      <c r="HT48" s="1789">
        <f t="shared" ref="HT48:HU48" si="292">+HT23</f>
        <v>623.06823285988332</v>
      </c>
      <c r="HU48" s="1884">
        <f t="shared" si="292"/>
        <v>662.09916262581726</v>
      </c>
      <c r="HV48" s="1884">
        <f t="shared" ref="HV48:HW48" si="293">+HV23</f>
        <v>720.40269483344252</v>
      </c>
      <c r="HW48" s="1884">
        <f t="shared" si="293"/>
        <v>720.86183262547115</v>
      </c>
      <c r="HX48" s="1884">
        <f t="shared" ref="HX48:HY48" si="294">+HX23</f>
        <v>720.86183262547115</v>
      </c>
      <c r="HY48" s="1884">
        <f t="shared" si="294"/>
        <v>736.56229420270438</v>
      </c>
      <c r="HZ48" s="1884">
        <f t="shared" ref="HZ48:IA48" si="295">+HZ23</f>
        <v>721.35964845036062</v>
      </c>
      <c r="IA48" s="1884">
        <f t="shared" si="295"/>
        <v>721.51995059446062</v>
      </c>
      <c r="IB48" s="1884">
        <f t="shared" ref="IB48:IC48" si="296">+IB23</f>
        <v>721.51995059446062</v>
      </c>
      <c r="IC48" s="1884">
        <f t="shared" si="296"/>
        <v>720.19703172648394</v>
      </c>
      <c r="ID48" s="1789">
        <f t="shared" ref="ID48:IE48" si="297">+ID23</f>
        <v>722.47873196716534</v>
      </c>
      <c r="IE48" s="1884">
        <f t="shared" si="297"/>
        <v>787.80211540954565</v>
      </c>
      <c r="IF48" s="1789">
        <f t="shared" ref="IF48:IG48" si="298">+IF23</f>
        <v>876.54486341404106</v>
      </c>
      <c r="IG48" s="1884">
        <f t="shared" si="298"/>
        <v>904.00465949773832</v>
      </c>
      <c r="IH48" s="1884">
        <f t="shared" ref="IH48:II48" si="299">+IH23</f>
        <v>1015.7322678977031</v>
      </c>
      <c r="II48" s="1884">
        <f t="shared" si="299"/>
        <v>1152.2249070713278</v>
      </c>
      <c r="IJ48" s="1789">
        <f t="shared" ref="IJ48:IK48" si="300">+IJ23</f>
        <v>1190.6598575097328</v>
      </c>
      <c r="IK48" s="1884">
        <f t="shared" si="300"/>
        <v>1228.9559347980576</v>
      </c>
      <c r="IL48" s="1884">
        <f t="shared" ref="IL48:IM48" si="301">+IL23</f>
        <v>1228.9559347980576</v>
      </c>
      <c r="IM48" s="1884">
        <f t="shared" si="301"/>
        <v>1317.4690357507548</v>
      </c>
      <c r="IN48" s="1884">
        <f t="shared" ref="IN48:IO48" si="302">+IN23</f>
        <v>1579.1508115437905</v>
      </c>
      <c r="IO48" s="1789">
        <f t="shared" si="302"/>
        <v>1745.1440670231789</v>
      </c>
      <c r="IP48" s="2487">
        <f t="shared" ref="IP48:IQ48" si="303">+IP23</f>
        <v>1775.2633047281477</v>
      </c>
      <c r="IQ48" s="2487">
        <f t="shared" si="303"/>
        <v>1934.1216942843548</v>
      </c>
    </row>
    <row r="49" spans="3:251" ht="12" customHeight="1" thickBot="1">
      <c r="C49" s="374"/>
      <c r="F49" s="1820"/>
      <c r="G49" s="1821"/>
      <c r="H49" s="1821"/>
      <c r="I49" s="1821"/>
      <c r="J49" s="1821"/>
      <c r="K49" s="1821"/>
      <c r="L49" s="1821"/>
      <c r="M49" s="388"/>
      <c r="N49" s="388"/>
      <c r="O49" s="388"/>
      <c r="P49" s="388"/>
      <c r="Q49" s="388"/>
      <c r="R49" s="388"/>
      <c r="S49" s="388"/>
      <c r="T49" s="388"/>
      <c r="U49" s="1821"/>
      <c r="V49" s="388"/>
      <c r="W49" s="1821"/>
      <c r="X49" s="1821"/>
      <c r="Y49" s="388"/>
      <c r="Z49" s="1821"/>
      <c r="AA49" s="1821"/>
      <c r="AB49" s="1821"/>
      <c r="AC49" s="1821"/>
      <c r="AD49" s="1821"/>
      <c r="AE49" s="1821"/>
      <c r="AF49" s="1821"/>
      <c r="AG49" s="1821"/>
      <c r="AH49" s="1821"/>
      <c r="AI49" s="1821"/>
      <c r="AJ49" s="1821"/>
      <c r="AK49" s="1821"/>
      <c r="AL49" s="1821"/>
      <c r="AM49" s="1821"/>
      <c r="AN49" s="1821"/>
      <c r="AO49" s="1821"/>
      <c r="AP49" s="1821"/>
      <c r="AQ49" s="1821"/>
      <c r="AR49" s="1821"/>
      <c r="AS49" s="1821"/>
      <c r="AT49" s="1821"/>
      <c r="AU49" s="1821"/>
      <c r="AV49" s="1821"/>
      <c r="AW49" s="1821"/>
      <c r="AX49" s="1821"/>
      <c r="AY49" s="1821"/>
      <c r="AZ49" s="1821"/>
      <c r="BA49" s="1821"/>
      <c r="BB49" s="1821"/>
      <c r="BC49" s="1821"/>
      <c r="BD49" s="1821"/>
      <c r="BE49" s="1821"/>
      <c r="BF49" s="1821"/>
      <c r="BG49" s="1821"/>
      <c r="BH49" s="1821"/>
      <c r="BI49" s="1821"/>
      <c r="BJ49" s="1821"/>
      <c r="BK49" s="1821"/>
      <c r="BL49" s="1821"/>
      <c r="BM49" s="1821"/>
      <c r="BN49" s="1821"/>
      <c r="BO49" s="1821"/>
      <c r="BP49" s="1821"/>
      <c r="BQ49" s="1821"/>
      <c r="BR49" s="1821"/>
      <c r="BS49" s="1821"/>
      <c r="BT49" s="1821"/>
      <c r="BU49" s="1821"/>
      <c r="BV49" s="1821"/>
      <c r="BW49" s="1821"/>
      <c r="BX49" s="1821"/>
      <c r="BY49" s="1821"/>
      <c r="BZ49" s="1821"/>
      <c r="CA49" s="1821"/>
      <c r="CB49" s="1821"/>
      <c r="CC49" s="1822"/>
      <c r="CD49" s="1821"/>
      <c r="CE49" s="1821"/>
      <c r="CF49" s="1821"/>
      <c r="CG49" s="1821"/>
      <c r="CH49" s="1821"/>
      <c r="CI49" s="1821"/>
      <c r="CJ49" s="1821"/>
      <c r="CK49" s="1821"/>
      <c r="CL49" s="1821"/>
      <c r="CM49" s="1821"/>
      <c r="CN49" s="1821"/>
      <c r="CO49" s="1821"/>
      <c r="CP49" s="1821"/>
      <c r="CQ49" s="1821"/>
      <c r="CR49" s="1821"/>
      <c r="CS49" s="1821"/>
      <c r="CT49" s="1821"/>
      <c r="CU49" s="1821"/>
      <c r="CV49" s="1821"/>
      <c r="CW49" s="1821"/>
      <c r="CX49" s="1821"/>
      <c r="CY49" s="1821"/>
      <c r="CZ49" s="1823"/>
      <c r="DA49" s="1824"/>
      <c r="DB49" s="1824"/>
      <c r="DC49" s="1824"/>
      <c r="DD49" s="1824"/>
      <c r="DE49" s="1824"/>
      <c r="DF49" s="1824"/>
      <c r="DG49" s="1824"/>
      <c r="DH49" s="1824"/>
      <c r="DI49" s="1824"/>
      <c r="DJ49" s="1824"/>
      <c r="DK49" s="1824"/>
      <c r="DL49" s="1824"/>
      <c r="DM49" s="1824"/>
      <c r="DN49" s="1824"/>
      <c r="DO49" s="1824"/>
      <c r="DP49" s="1824"/>
      <c r="DQ49" s="1824"/>
      <c r="DR49" s="1824"/>
      <c r="DS49" s="1824"/>
      <c r="DT49" s="1824"/>
      <c r="DU49" s="1824"/>
      <c r="DV49" s="1824"/>
      <c r="DW49" s="1824"/>
      <c r="DX49" s="1824"/>
      <c r="DY49" s="1824"/>
      <c r="DZ49" s="1824"/>
      <c r="EA49" s="1824"/>
      <c r="EB49" s="1824"/>
      <c r="EC49" s="1825"/>
      <c r="ED49" s="1825"/>
      <c r="EE49" s="1825"/>
      <c r="EF49" s="1825"/>
      <c r="EG49" s="1825"/>
      <c r="EH49" s="1825"/>
      <c r="EI49" s="1825"/>
      <c r="EJ49" s="1825"/>
      <c r="EK49" s="1825"/>
      <c r="EL49" s="1824"/>
      <c r="EM49" s="1824"/>
      <c r="EN49" s="1824"/>
      <c r="EO49" s="1824"/>
      <c r="EP49" s="1824"/>
      <c r="EQ49" s="1824"/>
      <c r="ER49" s="1824"/>
      <c r="ES49" s="1824"/>
      <c r="ET49" s="1824"/>
      <c r="EU49" s="1824"/>
      <c r="EV49" s="1824"/>
      <c r="EW49" s="1824"/>
      <c r="EX49" s="1824"/>
      <c r="EY49" s="1824"/>
      <c r="EZ49" s="1824"/>
      <c r="FA49" s="1824"/>
      <c r="FB49" s="1824"/>
      <c r="FC49" s="1824"/>
      <c r="FD49" s="1824"/>
      <c r="FE49" s="1824"/>
      <c r="FF49" s="1824"/>
      <c r="FG49" s="1824"/>
      <c r="FH49" s="1824"/>
      <c r="FI49" s="1824"/>
      <c r="FJ49" s="1824"/>
      <c r="FK49" s="1824"/>
      <c r="FL49" s="1824"/>
      <c r="FM49" s="1824"/>
      <c r="FN49" s="1824"/>
      <c r="FO49" s="1824"/>
      <c r="FP49" s="1824"/>
      <c r="FQ49" s="1824"/>
      <c r="FR49" s="1824"/>
      <c r="FS49" s="1824"/>
      <c r="FT49" s="1824"/>
      <c r="FU49" s="1824"/>
      <c r="FV49" s="1824"/>
      <c r="FW49" s="1824"/>
      <c r="FX49" s="1824"/>
      <c r="FY49" s="1824"/>
      <c r="FZ49" s="1824"/>
      <c r="GA49" s="1824"/>
      <c r="GB49" s="1824"/>
      <c r="GC49" s="1824"/>
      <c r="GD49" s="1824"/>
      <c r="GE49" s="1824"/>
      <c r="GF49" s="1824"/>
      <c r="GG49" s="1824"/>
      <c r="GH49" s="1824"/>
      <c r="GI49" s="1824"/>
      <c r="GJ49" s="1824"/>
      <c r="GK49" s="1824"/>
      <c r="GL49" s="1824"/>
      <c r="GM49" s="1824"/>
      <c r="GN49" s="1824"/>
      <c r="GO49" s="1824"/>
      <c r="GP49" s="1824"/>
      <c r="GQ49" s="1824"/>
      <c r="GR49" s="1824"/>
      <c r="GS49" s="1824"/>
      <c r="GT49" s="1824"/>
      <c r="GU49" s="1824"/>
      <c r="GV49" s="1824"/>
      <c r="GW49" s="1824"/>
      <c r="GX49" s="1824"/>
      <c r="GY49" s="1824"/>
      <c r="GZ49" s="1824"/>
      <c r="HA49" s="1824"/>
      <c r="HB49" s="1824"/>
      <c r="HC49" s="1824"/>
      <c r="HD49" s="1824"/>
      <c r="HE49" s="1826"/>
      <c r="HF49" s="1885"/>
      <c r="HG49" s="1885"/>
      <c r="HH49" s="1885"/>
      <c r="HI49" s="1885"/>
      <c r="HJ49" s="1885"/>
      <c r="HK49" s="1885"/>
      <c r="HL49" s="1885"/>
      <c r="HM49" s="1885"/>
      <c r="HN49" s="1885"/>
      <c r="HO49" s="1885"/>
      <c r="HP49" s="1885"/>
      <c r="HQ49" s="1826"/>
      <c r="HR49" s="1950"/>
      <c r="HS49" s="1885"/>
      <c r="HT49" s="1824"/>
      <c r="HU49" s="1885"/>
      <c r="HV49" s="1885"/>
      <c r="HW49" s="1885"/>
      <c r="HX49" s="1885"/>
      <c r="HY49" s="1885"/>
      <c r="HZ49" s="1885"/>
      <c r="IA49" s="1885"/>
      <c r="IB49" s="1885"/>
      <c r="IC49" s="1885"/>
      <c r="ID49" s="1824"/>
      <c r="IE49" s="1885"/>
      <c r="IF49" s="1824"/>
      <c r="IG49" s="1885"/>
      <c r="IH49" s="1885"/>
      <c r="II49" s="1885"/>
      <c r="IJ49" s="1824"/>
      <c r="IK49" s="1885"/>
      <c r="IL49" s="1885"/>
      <c r="IM49" s="1885"/>
      <c r="IN49" s="1885"/>
      <c r="IO49" s="1824"/>
      <c r="IP49" s="2488"/>
      <c r="IQ49" s="2488"/>
    </row>
    <row r="50" spans="3:251">
      <c r="C50" s="2623" t="s">
        <v>675</v>
      </c>
      <c r="D50" s="2659" t="s">
        <v>676</v>
      </c>
      <c r="E50" s="2660"/>
      <c r="F50" s="1827">
        <f>+F45/$F$20</f>
        <v>1</v>
      </c>
      <c r="G50" s="1828">
        <f>+G45/$F$20</f>
        <v>2.0981000000000001</v>
      </c>
      <c r="H50" s="1828">
        <f>+H45/$F$20</f>
        <v>2.0992999999999999</v>
      </c>
      <c r="I50" s="1828">
        <f>+I45/$F$20</f>
        <v>2.1093000000000002</v>
      </c>
      <c r="J50" s="1828">
        <f>+J45/$F$20</f>
        <v>2.0495999999999999</v>
      </c>
      <c r="K50" s="1828">
        <v>2.0329999999999999</v>
      </c>
      <c r="L50" s="1828">
        <f t="shared" ref="L50:AB50" si="304">+L45/$F$20</f>
        <v>2.0215000000000001</v>
      </c>
      <c r="M50" s="1828">
        <f t="shared" si="304"/>
        <v>2.0049999999999999</v>
      </c>
      <c r="N50" s="1828">
        <f t="shared" si="304"/>
        <v>1.9852000000000001</v>
      </c>
      <c r="O50" s="1828">
        <f t="shared" si="304"/>
        <v>1.9959</v>
      </c>
      <c r="P50" s="1828">
        <f t="shared" si="304"/>
        <v>2.0097</v>
      </c>
      <c r="Q50" s="1828">
        <f t="shared" si="304"/>
        <v>2.0343999999999998</v>
      </c>
      <c r="R50" s="1828">
        <f t="shared" si="304"/>
        <v>2.0211999999999999</v>
      </c>
      <c r="S50" s="1828">
        <f t="shared" si="304"/>
        <v>2.0173000000000001</v>
      </c>
      <c r="T50" s="1828">
        <f t="shared" si="304"/>
        <v>2.0219</v>
      </c>
      <c r="U50" s="1828">
        <f t="shared" si="304"/>
        <v>2.0643000000000002</v>
      </c>
      <c r="V50" s="1828">
        <f t="shared" si="304"/>
        <v>2.0775999999999999</v>
      </c>
      <c r="W50" s="1828">
        <f t="shared" si="304"/>
        <v>2.1221999999999999</v>
      </c>
      <c r="X50" s="1828">
        <f t="shared" si="304"/>
        <v>2.1772999999999998</v>
      </c>
      <c r="Y50" s="1828">
        <f t="shared" si="304"/>
        <v>2.1898</v>
      </c>
      <c r="Z50" s="1828">
        <f t="shared" si="304"/>
        <v>2.2486000000000002</v>
      </c>
      <c r="AA50" s="1828">
        <f t="shared" si="304"/>
        <v>2.2719999999999998</v>
      </c>
      <c r="AB50" s="1828">
        <f t="shared" si="304"/>
        <v>2.2768999999999999</v>
      </c>
      <c r="AC50" s="1828">
        <f t="shared" ref="AC50:AH50" si="305">+AC45/$F$20</f>
        <v>2.3061000000000003</v>
      </c>
      <c r="AD50" s="1828">
        <f t="shared" si="305"/>
        <v>2.3113000000000001</v>
      </c>
      <c r="AE50" s="1828">
        <f t="shared" si="305"/>
        <v>2.3165999999999998</v>
      </c>
      <c r="AF50" s="1828">
        <f t="shared" si="305"/>
        <v>2.3177000000000003</v>
      </c>
      <c r="AG50" s="1828">
        <f t="shared" si="305"/>
        <v>2.3427000000000002</v>
      </c>
      <c r="AH50" s="1828">
        <f t="shared" si="305"/>
        <v>2.1088</v>
      </c>
      <c r="AI50" s="1828">
        <f t="shared" ref="AI50:AN50" si="306">+AI45/$F$20</f>
        <v>2.4474999999999998</v>
      </c>
      <c r="AJ50" s="1828">
        <f t="shared" si="306"/>
        <v>2.4584999999999999</v>
      </c>
      <c r="AK50" s="1828">
        <f t="shared" si="306"/>
        <v>2.4573</v>
      </c>
      <c r="AL50" s="1828">
        <f t="shared" si="306"/>
        <v>2.4666999999999999</v>
      </c>
      <c r="AM50" s="1828">
        <f t="shared" si="306"/>
        <v>2.472</v>
      </c>
      <c r="AN50" s="1828">
        <f t="shared" si="306"/>
        <v>2.4876</v>
      </c>
      <c r="AO50" s="1828">
        <f t="shared" ref="AO50:AT50" si="307">+AO45/$F$20</f>
        <v>2.5077000000000003</v>
      </c>
      <c r="AP50" s="1828">
        <f t="shared" si="307"/>
        <v>2.5507</v>
      </c>
      <c r="AQ50" s="1828">
        <f t="shared" si="307"/>
        <v>2.5717000000000003</v>
      </c>
      <c r="AR50" s="1828">
        <f t="shared" si="307"/>
        <v>2.5776999999999997</v>
      </c>
      <c r="AS50" s="1828">
        <f t="shared" si="307"/>
        <v>2.6187</v>
      </c>
      <c r="AT50" s="1828">
        <f t="shared" si="307"/>
        <v>2.6417000000000002</v>
      </c>
      <c r="AU50" s="1828">
        <f t="shared" ref="AU50:AZ50" si="308">+AU45/$F$20</f>
        <v>2.6612</v>
      </c>
      <c r="AV50" s="1828">
        <f t="shared" si="308"/>
        <v>2.6856</v>
      </c>
      <c r="AW50" s="1828">
        <f t="shared" si="308"/>
        <v>2.6923000000000004</v>
      </c>
      <c r="AX50" s="1828">
        <f t="shared" si="308"/>
        <v>2.6991000000000001</v>
      </c>
      <c r="AY50" s="1828">
        <f t="shared" si="308"/>
        <v>2.7351000000000001</v>
      </c>
      <c r="AZ50" s="1828">
        <f t="shared" si="308"/>
        <v>2.7793000000000001</v>
      </c>
      <c r="BA50" s="1828">
        <f t="shared" ref="BA50:BF50" si="309">+BA45/$F$20</f>
        <v>2.8119000000000001</v>
      </c>
      <c r="BB50" s="1828">
        <f t="shared" si="309"/>
        <v>2.8333999999999997</v>
      </c>
      <c r="BC50" s="1828">
        <f t="shared" si="309"/>
        <v>2.8517000000000001</v>
      </c>
      <c r="BD50" s="1828">
        <f t="shared" si="309"/>
        <v>2.8443000000000001</v>
      </c>
      <c r="BE50" s="1828">
        <f t="shared" si="309"/>
        <v>2.8569</v>
      </c>
      <c r="BF50" s="1828">
        <f t="shared" si="309"/>
        <v>2.8586</v>
      </c>
      <c r="BG50" s="1828">
        <f t="shared" ref="BG50:BL50" si="310">+BG45/$F$20</f>
        <v>2.8851</v>
      </c>
      <c r="BH50" s="1828">
        <f t="shared" si="310"/>
        <v>2.8938999999999999</v>
      </c>
      <c r="BI50" s="1828">
        <f t="shared" si="310"/>
        <v>2.9255</v>
      </c>
      <c r="BJ50" s="1828">
        <f t="shared" si="310"/>
        <v>2.9619</v>
      </c>
      <c r="BK50" s="1828">
        <f t="shared" si="310"/>
        <v>2.9832999999999998</v>
      </c>
      <c r="BL50" s="1828">
        <f t="shared" si="310"/>
        <v>3.0155000000000003</v>
      </c>
      <c r="BM50" s="1828">
        <f t="shared" ref="BM50:BR50" si="311">+BM45/$F$20</f>
        <v>3.0931999999999999</v>
      </c>
      <c r="BN50" s="1828">
        <f t="shared" si="311"/>
        <v>3.1204000000000001</v>
      </c>
      <c r="BO50" s="1828">
        <f t="shared" si="311"/>
        <v>3.1622000000000003</v>
      </c>
      <c r="BP50" s="1828">
        <f t="shared" si="311"/>
        <v>3.2012999999999998</v>
      </c>
      <c r="BQ50" s="1828">
        <f t="shared" si="311"/>
        <v>3.2436000000000003</v>
      </c>
      <c r="BR50" s="1828">
        <f t="shared" si="311"/>
        <v>3.3433999999999999</v>
      </c>
      <c r="BS50" s="1828">
        <f t="shared" ref="BS50:BX50" si="312">+BS45/$F$20</f>
        <v>3.3531999999999997</v>
      </c>
      <c r="BT50" s="1828">
        <f t="shared" si="312"/>
        <v>3.4137</v>
      </c>
      <c r="BU50" s="1828">
        <f t="shared" si="312"/>
        <v>3.4556999999999998</v>
      </c>
      <c r="BV50" s="1828">
        <f t="shared" si="312"/>
        <v>3.4868999999999999</v>
      </c>
      <c r="BW50" s="1828">
        <f t="shared" si="312"/>
        <v>3.5386000000000002</v>
      </c>
      <c r="BX50" s="1828">
        <f t="shared" si="312"/>
        <v>3.5899000000000001</v>
      </c>
      <c r="BY50" s="1828">
        <f t="shared" ref="BY50:CD50" si="313">+BY45/$F$20</f>
        <v>3.6419999999999999</v>
      </c>
      <c r="BZ50" s="1828">
        <f t="shared" si="313"/>
        <v>3.694</v>
      </c>
      <c r="CA50" s="1828">
        <f t="shared" si="313"/>
        <v>3.7373000000000003</v>
      </c>
      <c r="CB50" s="1828">
        <f t="shared" si="313"/>
        <v>3.7924000000000002</v>
      </c>
      <c r="CC50" s="1828">
        <f t="shared" si="313"/>
        <v>3.8148</v>
      </c>
      <c r="CD50" s="1828">
        <f t="shared" si="313"/>
        <v>3.8448000000000002</v>
      </c>
      <c r="CE50" s="1828">
        <f t="shared" ref="CE50:CJ50" si="314">+CE45/$F$20</f>
        <v>3.8583999999999996</v>
      </c>
      <c r="CF50" s="1828">
        <f t="shared" si="314"/>
        <v>3.8864000000000001</v>
      </c>
      <c r="CG50" s="1828">
        <f t="shared" si="314"/>
        <v>3.9067000000000003</v>
      </c>
      <c r="CH50" s="1828">
        <f t="shared" si="314"/>
        <v>3.9356999999999998</v>
      </c>
      <c r="CI50" s="1828">
        <f t="shared" si="314"/>
        <v>3.9523999999999999</v>
      </c>
      <c r="CJ50" s="1466">
        <f t="shared" si="314"/>
        <v>3.9764999999999997</v>
      </c>
      <c r="CK50" s="1466">
        <f t="shared" ref="CK50:CP50" si="315">+CK45/$F$20</f>
        <v>4.0450999999999997</v>
      </c>
      <c r="CL50" s="1466">
        <f t="shared" si="315"/>
        <v>4.0800999999999998</v>
      </c>
      <c r="CM50" s="1466">
        <f t="shared" si="315"/>
        <v>4.0955000000000004</v>
      </c>
      <c r="CN50" s="1466">
        <f t="shared" si="315"/>
        <v>4.1181999999999999</v>
      </c>
      <c r="CO50" s="1466">
        <f t="shared" si="315"/>
        <v>4.1288999999999998</v>
      </c>
      <c r="CP50" s="1466">
        <f t="shared" si="315"/>
        <v>4.1374000000000004</v>
      </c>
      <c r="CQ50" s="1466">
        <f t="shared" ref="CQ50:CV50" si="316">+CQ45/$F$20</f>
        <v>4.2098000000000004</v>
      </c>
      <c r="CR50" s="1466">
        <f t="shared" si="316"/>
        <v>4.2956000000000003</v>
      </c>
      <c r="CS50" s="1466">
        <f t="shared" si="316"/>
        <v>4.3805000000000005</v>
      </c>
      <c r="CT50" s="1466">
        <f t="shared" si="316"/>
        <v>4.4227999999999996</v>
      </c>
      <c r="CU50" s="1466">
        <f t="shared" si="316"/>
        <v>4.4741</v>
      </c>
      <c r="CV50" s="1466">
        <f t="shared" si="316"/>
        <v>4.5388000000000002</v>
      </c>
      <c r="CW50" s="1466">
        <f t="shared" ref="CW50:DB50" si="317">+CW45/$F$20</f>
        <v>4.6008999999999993</v>
      </c>
      <c r="CX50" s="1466">
        <f t="shared" si="317"/>
        <v>4.6516000000000002</v>
      </c>
      <c r="CY50" s="1466">
        <f t="shared" si="317"/>
        <v>4.7056000000000004</v>
      </c>
      <c r="CZ50" s="1467">
        <f t="shared" si="317"/>
        <v>4.8041999999999998</v>
      </c>
      <c r="DA50" s="1467">
        <f t="shared" si="317"/>
        <v>4.8971</v>
      </c>
      <c r="DB50" s="1467">
        <f t="shared" si="317"/>
        <v>4.9288999999999996</v>
      </c>
      <c r="DC50" s="1467">
        <f t="shared" ref="DC50:DH50" si="318">+DC45/$F$20</f>
        <v>4.968</v>
      </c>
      <c r="DD50" s="1467">
        <f t="shared" si="318"/>
        <v>5.0599999999999996</v>
      </c>
      <c r="DE50" s="1467">
        <f t="shared" si="318"/>
        <v>5.1859000000000002</v>
      </c>
      <c r="DF50" s="1467">
        <f t="shared" si="318"/>
        <v>5.2344000000000008</v>
      </c>
      <c r="DG50" s="1467">
        <f t="shared" si="318"/>
        <v>5.3630999999999993</v>
      </c>
      <c r="DH50" s="1467">
        <f t="shared" si="318"/>
        <v>5.5609999999999999</v>
      </c>
      <c r="DI50" s="1467">
        <f t="shared" ref="DI50:DN50" si="319">+DI45/$F$20</f>
        <v>5.5992999999999995</v>
      </c>
      <c r="DJ50" s="1467">
        <f t="shared" si="319"/>
        <v>5.6912000000000003</v>
      </c>
      <c r="DK50" s="1467">
        <f t="shared" si="319"/>
        <v>5.8010000000000002</v>
      </c>
      <c r="DL50" s="1467">
        <f t="shared" si="319"/>
        <v>5.8807000000000009</v>
      </c>
      <c r="DM50" s="1467">
        <f t="shared" si="319"/>
        <v>5.9429999999999996</v>
      </c>
      <c r="DN50" s="1467">
        <f t="shared" si="319"/>
        <v>5.9477000000000002</v>
      </c>
      <c r="DO50" s="1467">
        <f t="shared" ref="DO50:DT50" si="320">+DO45/$F$20</f>
        <v>6.0620000000000003</v>
      </c>
      <c r="DP50" s="1467">
        <f t="shared" si="320"/>
        <v>6.1758000000000006</v>
      </c>
      <c r="DQ50" s="1467">
        <f t="shared" si="320"/>
        <v>6.2251000000000003</v>
      </c>
      <c r="DR50" s="1467">
        <f t="shared" si="320"/>
        <v>6.2769000000000004</v>
      </c>
      <c r="DS50" s="1467">
        <f t="shared" si="320"/>
        <v>6.3212999999999999</v>
      </c>
      <c r="DT50" s="1467">
        <f t="shared" si="320"/>
        <v>6.4222999999999999</v>
      </c>
      <c r="DU50" s="1467">
        <f t="shared" ref="DU50:DZ50" si="321">+DU45/$F$20</f>
        <v>6.4902999999999995</v>
      </c>
      <c r="DV50" s="1467">
        <f t="shared" si="321"/>
        <v>6.6314000000000002</v>
      </c>
      <c r="DW50" s="1467">
        <f t="shared" si="321"/>
        <v>6.6884000000000006</v>
      </c>
      <c r="DX50" s="1467">
        <f t="shared" si="321"/>
        <v>6.8037999999999998</v>
      </c>
      <c r="DY50" s="1467">
        <f t="shared" si="321"/>
        <v>6.8696000000000002</v>
      </c>
      <c r="DZ50" s="1467">
        <f t="shared" si="321"/>
        <v>6.9858000000000002</v>
      </c>
      <c r="EA50" s="1467">
        <f t="shared" ref="EA50:EF50" si="322">+EA45/$F$20</f>
        <v>7.0798000000000005</v>
      </c>
      <c r="EB50" s="1467">
        <f t="shared" si="322"/>
        <v>7.1660000000000004</v>
      </c>
      <c r="EC50" s="1829">
        <f t="shared" si="322"/>
        <v>7.2917999999999994</v>
      </c>
      <c r="ED50" s="1829">
        <f t="shared" si="322"/>
        <v>7.4055</v>
      </c>
      <c r="EE50" s="1829">
        <f t="shared" si="322"/>
        <v>7.5811999999999999</v>
      </c>
      <c r="EF50" s="1829">
        <f t="shared" si="322"/>
        <v>7.7350000000000003</v>
      </c>
      <c r="EG50" s="1829">
        <f t="shared" ref="EG50:EL50" si="323">+EG45/$F$20</f>
        <v>7.8304999999999998</v>
      </c>
      <c r="EH50" s="1829">
        <f t="shared" si="323"/>
        <v>7.9841999999999995</v>
      </c>
      <c r="EI50" s="1829">
        <f t="shared" si="323"/>
        <v>8.072000000000001</v>
      </c>
      <c r="EJ50" s="1829">
        <f t="shared" si="323"/>
        <v>8.2004000000000001</v>
      </c>
      <c r="EK50" s="1829">
        <f t="shared" si="323"/>
        <v>8.3139000000000003</v>
      </c>
      <c r="EL50" s="1829">
        <f t="shared" si="323"/>
        <v>8.7158999999999995</v>
      </c>
      <c r="EM50" s="1829">
        <f t="shared" ref="EM50:ER50" si="324">+EM45/$F$20</f>
        <v>9.2995000000000001</v>
      </c>
      <c r="EN50" s="1829">
        <f t="shared" si="324"/>
        <v>9.6720000000000006</v>
      </c>
      <c r="EO50" s="1829">
        <f t="shared" si="324"/>
        <v>9.9009</v>
      </c>
      <c r="EP50" s="1829">
        <f t="shared" si="324"/>
        <v>10.0838</v>
      </c>
      <c r="EQ50" s="1829">
        <f t="shared" si="324"/>
        <v>10.263900000000001</v>
      </c>
      <c r="ER50" s="1829">
        <f t="shared" si="324"/>
        <v>10.449200000000001</v>
      </c>
      <c r="ES50" s="1829">
        <f t="shared" ref="ES50:EX50" si="325">+ES45/$F$20</f>
        <v>10.5382</v>
      </c>
      <c r="ET50" s="1829">
        <f t="shared" si="325"/>
        <v>10.626199999999999</v>
      </c>
      <c r="EU50" s="1829">
        <f t="shared" si="325"/>
        <v>10.7926</v>
      </c>
      <c r="EV50" s="1829">
        <f t="shared" si="325"/>
        <v>10.8835</v>
      </c>
      <c r="EW50" s="1829">
        <f t="shared" si="325"/>
        <v>11.0646</v>
      </c>
      <c r="EX50" s="1829">
        <f t="shared" si="325"/>
        <v>11.211400000000001</v>
      </c>
      <c r="EY50" s="1829">
        <f t="shared" ref="EY50:FE50" si="326">+EY45/$F$20</f>
        <v>11.218800000000002</v>
      </c>
      <c r="EZ50" s="1829">
        <f t="shared" si="326"/>
        <v>11.491900000000001</v>
      </c>
      <c r="FA50" s="1829">
        <f t="shared" si="326"/>
        <v>11.6235</v>
      </c>
      <c r="FB50" s="1829">
        <f t="shared" si="326"/>
        <v>11.6745</v>
      </c>
      <c r="FC50" s="1829">
        <f t="shared" si="326"/>
        <v>11.8123</v>
      </c>
      <c r="FD50" s="1829">
        <f t="shared" si="326"/>
        <v>11.9826</v>
      </c>
      <c r="FE50" s="1829">
        <f t="shared" si="326"/>
        <v>12.283399999999999</v>
      </c>
      <c r="FF50" s="1829">
        <f t="shared" ref="FF50:FJ50" si="327">+FF45/$F$20</f>
        <v>12.4252</v>
      </c>
      <c r="FG50" s="1829">
        <f t="shared" si="327"/>
        <v>12.6228</v>
      </c>
      <c r="FH50" s="1829" t="e">
        <f t="shared" si="327"/>
        <v>#REF!</v>
      </c>
      <c r="FI50" s="1829" t="e">
        <f t="shared" si="327"/>
        <v>#REF!</v>
      </c>
      <c r="FJ50" s="1829">
        <f t="shared" si="327"/>
        <v>1</v>
      </c>
      <c r="FK50" s="1829">
        <f>+FK45/$FJ$45</f>
        <v>1.0788</v>
      </c>
      <c r="FL50" s="1829">
        <f t="shared" ref="FL50:HW50" si="328">+FL45/$FJ$45</f>
        <v>1.1499999999999999</v>
      </c>
      <c r="FM50" s="1829">
        <f t="shared" si="328"/>
        <v>1.1904000000000001</v>
      </c>
      <c r="FN50" s="1829">
        <f t="shared" si="328"/>
        <v>1.2557</v>
      </c>
      <c r="FO50" s="1829">
        <f t="shared" si="328"/>
        <v>1.3074000000000001</v>
      </c>
      <c r="FP50" s="1829">
        <f t="shared" si="328"/>
        <v>1.3074000000000001</v>
      </c>
      <c r="FQ50" s="1829">
        <f t="shared" si="328"/>
        <v>1.3226</v>
      </c>
      <c r="FR50" s="1829">
        <f t="shared" si="328"/>
        <v>1.3459000000000001</v>
      </c>
      <c r="FS50" s="1829">
        <f t="shared" si="328"/>
        <v>1.3538999999999999</v>
      </c>
      <c r="FT50" s="1829">
        <f t="shared" si="328"/>
        <v>1.4374</v>
      </c>
      <c r="FU50" s="1829">
        <f t="shared" si="328"/>
        <v>1.4374</v>
      </c>
      <c r="FV50" s="1829">
        <f t="shared" si="328"/>
        <v>1.4540999999999999</v>
      </c>
      <c r="FW50" s="1829">
        <f t="shared" si="328"/>
        <v>1.5044</v>
      </c>
      <c r="FX50" s="1829">
        <f t="shared" si="328"/>
        <v>1.5182</v>
      </c>
      <c r="FY50" s="1829">
        <f t="shared" si="328"/>
        <v>1.5537000000000001</v>
      </c>
      <c r="FZ50" s="1829">
        <f t="shared" si="328"/>
        <v>1.5615000000000001</v>
      </c>
      <c r="GA50" s="1829">
        <f t="shared" si="328"/>
        <v>1.5615000000000001</v>
      </c>
      <c r="GB50" s="1829">
        <f t="shared" si="328"/>
        <v>1.5615000000000001</v>
      </c>
      <c r="GC50" s="1829">
        <f t="shared" si="328"/>
        <v>1.5615000000000001</v>
      </c>
      <c r="GD50" s="1829">
        <f t="shared" si="328"/>
        <v>1.5615000000000001</v>
      </c>
      <c r="GE50" s="1829">
        <f t="shared" si="328"/>
        <v>1.5678999999999998</v>
      </c>
      <c r="GF50" s="1829">
        <f t="shared" si="328"/>
        <v>1.5678999999999998</v>
      </c>
      <c r="GG50" s="1829">
        <f t="shared" si="328"/>
        <v>1.5678999999999998</v>
      </c>
      <c r="GH50" s="1829">
        <f t="shared" si="328"/>
        <v>1.6133000000000002</v>
      </c>
      <c r="GI50" s="1829">
        <f t="shared" si="328"/>
        <v>1.6230000000000002</v>
      </c>
      <c r="GJ50" s="1829">
        <f t="shared" si="328"/>
        <v>1.6230000000000002</v>
      </c>
      <c r="GK50" s="1829">
        <f t="shared" si="328"/>
        <v>1.6500999999999999</v>
      </c>
      <c r="GL50" s="1829">
        <f t="shared" si="328"/>
        <v>1.9011000000000002</v>
      </c>
      <c r="GM50" s="1829">
        <f t="shared" si="328"/>
        <v>1.9106000000000001</v>
      </c>
      <c r="GN50" s="1829">
        <f t="shared" si="328"/>
        <v>2.0156000000000001</v>
      </c>
      <c r="GO50" s="1829">
        <f t="shared" si="328"/>
        <v>2.0255999999999998</v>
      </c>
      <c r="GP50" s="1829">
        <f t="shared" si="328"/>
        <v>2.6474000000000002</v>
      </c>
      <c r="GQ50" s="1829">
        <f t="shared" si="328"/>
        <v>2.6474000000000002</v>
      </c>
      <c r="GR50" s="1829">
        <f t="shared" si="328"/>
        <v>2.6474000000000002</v>
      </c>
      <c r="GS50" s="1829">
        <f t="shared" si="328"/>
        <v>2.665</v>
      </c>
      <c r="GT50" s="1829">
        <f t="shared" si="328"/>
        <v>2.6474000000000002</v>
      </c>
      <c r="GU50" s="1829">
        <f t="shared" si="328"/>
        <v>2.665</v>
      </c>
      <c r="GV50" s="1829">
        <f t="shared" si="328"/>
        <v>2.7058999999999997</v>
      </c>
      <c r="GW50" s="1829">
        <f t="shared" si="328"/>
        <v>2.7329000000000003</v>
      </c>
      <c r="GX50" s="1829">
        <f t="shared" si="328"/>
        <v>2.7329000000000003</v>
      </c>
      <c r="GY50" s="1829">
        <f t="shared" si="328"/>
        <v>2.7769999999999997</v>
      </c>
      <c r="GZ50" s="1829">
        <f t="shared" si="328"/>
        <v>2.8557999999999999</v>
      </c>
      <c r="HA50" s="1829">
        <f t="shared" si="328"/>
        <v>3.2841000000000005</v>
      </c>
      <c r="HB50" s="1829">
        <f t="shared" si="328"/>
        <v>3.2841000000000005</v>
      </c>
      <c r="HC50" s="1829">
        <f t="shared" si="328"/>
        <v>3.5446</v>
      </c>
      <c r="HD50" s="1829">
        <f t="shared" si="328"/>
        <v>3.6036999999999999</v>
      </c>
      <c r="HE50" s="1829">
        <f t="shared" si="328"/>
        <v>3.8401999999999998</v>
      </c>
      <c r="HF50" s="1829">
        <f t="shared" si="328"/>
        <v>3.9419999999999997</v>
      </c>
      <c r="HG50" s="1829">
        <f t="shared" si="328"/>
        <v>4.0244999999999997</v>
      </c>
      <c r="HH50" s="1829">
        <f t="shared" si="328"/>
        <v>4.0244999999999997</v>
      </c>
      <c r="HI50" s="1829">
        <f t="shared" si="328"/>
        <v>4.0244999999999997</v>
      </c>
      <c r="HJ50" s="1829">
        <f t="shared" si="328"/>
        <v>4.0469999999999997</v>
      </c>
      <c r="HK50" s="1829">
        <f t="shared" si="328"/>
        <v>4.0469999999999997</v>
      </c>
      <c r="HL50" s="1829">
        <f t="shared" si="328"/>
        <v>4.0469999999999997</v>
      </c>
      <c r="HM50" s="1829">
        <f t="shared" si="328"/>
        <v>4.0469999999999997</v>
      </c>
      <c r="HN50" s="1829">
        <f t="shared" si="328"/>
        <v>4.0469999999999997</v>
      </c>
      <c r="HO50" s="1829">
        <f t="shared" si="328"/>
        <v>4.0469999999999997</v>
      </c>
      <c r="HP50" s="1829">
        <f t="shared" si="328"/>
        <v>4.0469999999999997</v>
      </c>
      <c r="HQ50" s="1829">
        <f t="shared" si="328"/>
        <v>4.0469999999999997</v>
      </c>
      <c r="HR50" s="1829">
        <f t="shared" si="328"/>
        <v>4.2936000000000005</v>
      </c>
      <c r="HS50" s="1829">
        <f t="shared" si="328"/>
        <v>4.2936000000000005</v>
      </c>
      <c r="HT50" s="1829">
        <f t="shared" si="328"/>
        <v>4.2936000000000005</v>
      </c>
      <c r="HU50" s="1829">
        <f t="shared" si="328"/>
        <v>4.2936000000000005</v>
      </c>
      <c r="HV50" s="1829">
        <f t="shared" si="328"/>
        <v>4.3587999999999996</v>
      </c>
      <c r="HW50" s="1829">
        <f t="shared" si="328"/>
        <v>4.3343999999999996</v>
      </c>
      <c r="HX50" s="1829">
        <f t="shared" ref="HX50:IO50" si="329">+HX45/$FJ$45</f>
        <v>4.3479000000000001</v>
      </c>
      <c r="HY50" s="1829">
        <f t="shared" si="329"/>
        <v>4.6539999999999999</v>
      </c>
      <c r="HZ50" s="1829">
        <f t="shared" si="329"/>
        <v>4.8114999999999997</v>
      </c>
      <c r="IA50" s="1829">
        <f t="shared" si="329"/>
        <v>4.8334999999999999</v>
      </c>
      <c r="IB50" s="1829">
        <f t="shared" si="329"/>
        <v>4.9033999999999995</v>
      </c>
      <c r="IC50" s="1829">
        <f t="shared" si="329"/>
        <v>5.0655999999999999</v>
      </c>
      <c r="ID50" s="1829">
        <f t="shared" si="329"/>
        <v>5.0952999999999999</v>
      </c>
      <c r="IE50" s="1829">
        <f t="shared" si="329"/>
        <v>5.1783000000000001</v>
      </c>
      <c r="IF50" s="1829">
        <f t="shared" si="329"/>
        <v>5.2588999999999997</v>
      </c>
      <c r="IG50" s="1829">
        <f t="shared" si="329"/>
        <v>5.5560999999999998</v>
      </c>
      <c r="IH50" s="1829">
        <f t="shared" si="329"/>
        <v>5.7999000000000001</v>
      </c>
      <c r="II50" s="1829">
        <f t="shared" si="329"/>
        <v>5.9680999999999997</v>
      </c>
      <c r="IJ50" s="1829">
        <f t="shared" si="329"/>
        <v>6.6402000000000001</v>
      </c>
      <c r="IK50" s="1829">
        <f t="shared" si="329"/>
        <v>6.9600999999999997</v>
      </c>
      <c r="IL50" s="1829">
        <f t="shared" si="329"/>
        <v>7.0967999999999991</v>
      </c>
      <c r="IM50" s="1829">
        <f t="shared" si="329"/>
        <v>7.5342999999999991</v>
      </c>
      <c r="IN50" s="1829">
        <f t="shared" si="329"/>
        <v>7.6412000000000004</v>
      </c>
      <c r="IO50" s="1829">
        <f t="shared" si="329"/>
        <v>8.3018999999999998</v>
      </c>
      <c r="IP50" s="2489">
        <f t="shared" ref="IP50:IQ50" si="330">+IP45/$FJ$45</f>
        <v>8.7276000000000007</v>
      </c>
      <c r="IQ50" s="2489">
        <f t="shared" si="330"/>
        <v>9.3809000000000005</v>
      </c>
    </row>
    <row r="51" spans="3:251">
      <c r="C51" s="2624"/>
      <c r="D51" s="2626" t="s">
        <v>699</v>
      </c>
      <c r="E51" s="2627"/>
      <c r="F51" s="1804">
        <f>+F46/$F$21</f>
        <v>1</v>
      </c>
      <c r="G51" s="523">
        <f>+G46/$F$21</f>
        <v>2.5080400624827712</v>
      </c>
      <c r="H51" s="523">
        <f>+H46/$F$21</f>
        <v>2.5526049802444182</v>
      </c>
      <c r="I51" s="523">
        <f>+I46/$F$21</f>
        <v>2.5730037673435633</v>
      </c>
      <c r="J51" s="523">
        <f>+J46/$F$21</f>
        <v>2.5730037673435633</v>
      </c>
      <c r="K51" s="523">
        <v>2.6440000000000001</v>
      </c>
      <c r="L51" s="523">
        <f t="shared" ref="L51:AB51" si="331">+L46/$F$21</f>
        <v>2.7478636405402925</v>
      </c>
      <c r="M51" s="523">
        <f t="shared" si="331"/>
        <v>2.7805752090416247</v>
      </c>
      <c r="N51" s="523">
        <f t="shared" si="331"/>
        <v>2.7805752090416247</v>
      </c>
      <c r="O51" s="523">
        <f t="shared" si="331"/>
        <v>2.9049894330607366</v>
      </c>
      <c r="P51" s="523">
        <f t="shared" si="331"/>
        <v>2.9982541578608841</v>
      </c>
      <c r="Q51" s="523">
        <f t="shared" si="331"/>
        <v>2.9982541578608841</v>
      </c>
      <c r="R51" s="523">
        <f t="shared" si="331"/>
        <v>2.9982541578608841</v>
      </c>
      <c r="S51" s="523">
        <f t="shared" si="331"/>
        <v>2.9982541578608841</v>
      </c>
      <c r="T51" s="523">
        <f t="shared" si="331"/>
        <v>2.9982541578608841</v>
      </c>
      <c r="U51" s="523">
        <f t="shared" si="331"/>
        <v>2.9982541578608841</v>
      </c>
      <c r="V51" s="523">
        <f t="shared" si="331"/>
        <v>3.040521914913167</v>
      </c>
      <c r="W51" s="523">
        <f t="shared" si="331"/>
        <v>3.0694661398511442</v>
      </c>
      <c r="X51" s="523">
        <f t="shared" si="331"/>
        <v>3.0695580262795188</v>
      </c>
      <c r="Y51" s="523">
        <f t="shared" si="331"/>
        <v>3.2565469080216856</v>
      </c>
      <c r="Z51" s="523">
        <f t="shared" si="331"/>
        <v>3.2565469080216856</v>
      </c>
      <c r="AA51" s="523">
        <f t="shared" si="331"/>
        <v>3.3477901313975922</v>
      </c>
      <c r="AB51" s="523">
        <f t="shared" si="331"/>
        <v>3.3477901313975922</v>
      </c>
      <c r="AC51" s="523">
        <f t="shared" ref="AC51:AH51" si="332">+AC46/$F$21</f>
        <v>3.2693191215657449</v>
      </c>
      <c r="AD51" s="523">
        <f t="shared" si="332"/>
        <v>3.2559955894514383</v>
      </c>
      <c r="AE51" s="523">
        <f t="shared" si="332"/>
        <v>3.2559955894514383</v>
      </c>
      <c r="AF51" s="523">
        <f t="shared" si="332"/>
        <v>3.2559955894514383</v>
      </c>
      <c r="AG51" s="523">
        <f t="shared" si="332"/>
        <v>3.2559955894514383</v>
      </c>
      <c r="AH51" s="523">
        <f t="shared" si="332"/>
        <v>3.246255628043738</v>
      </c>
      <c r="AI51" s="523">
        <f t="shared" ref="AI51:AN51" si="333">+AI46/$F$21</f>
        <v>3.242212625195259</v>
      </c>
      <c r="AJ51" s="523">
        <f t="shared" si="333"/>
        <v>3.2628870715795282</v>
      </c>
      <c r="AK51" s="523">
        <f t="shared" si="333"/>
        <v>3.2628870715795282</v>
      </c>
      <c r="AL51" s="523">
        <f t="shared" si="333"/>
        <v>3.2628870715795282</v>
      </c>
      <c r="AM51" s="523">
        <f t="shared" si="333"/>
        <v>3.2375264173481577</v>
      </c>
      <c r="AN51" s="523">
        <f t="shared" si="333"/>
        <v>3.1291923182945882</v>
      </c>
      <c r="AO51" s="523">
        <f t="shared" ref="AO51:AT51" si="334">+AO46/$F$21</f>
        <v>3.1295598640080859</v>
      </c>
      <c r="AP51" s="523">
        <f t="shared" si="334"/>
        <v>3.1295598640080859</v>
      </c>
      <c r="AQ51" s="523">
        <f t="shared" si="334"/>
        <v>3.1295598640080859</v>
      </c>
      <c r="AR51" s="523">
        <f t="shared" si="334"/>
        <v>3.2742809886979694</v>
      </c>
      <c r="AS51" s="523">
        <f t="shared" si="334"/>
        <v>3.3476063585408435</v>
      </c>
      <c r="AT51" s="523">
        <f t="shared" si="334"/>
        <v>3.3476063585408435</v>
      </c>
      <c r="AU51" s="523">
        <f t="shared" ref="AU51:AZ51" si="335">+AU46/$F$21</f>
        <v>3.3476063585408435</v>
      </c>
      <c r="AV51" s="523">
        <f t="shared" si="335"/>
        <v>3.3321694385739224</v>
      </c>
      <c r="AW51" s="523">
        <f t="shared" si="335"/>
        <v>3.332353211430672</v>
      </c>
      <c r="AX51" s="523">
        <f t="shared" si="335"/>
        <v>3.3993384177157036</v>
      </c>
      <c r="AY51" s="523">
        <f t="shared" si="335"/>
        <v>3.4339796012129011</v>
      </c>
      <c r="AZ51" s="523">
        <f t="shared" si="335"/>
        <v>3.4339796012129011</v>
      </c>
      <c r="BA51" s="523">
        <f t="shared" ref="BA51:BF51" si="336">+BA46/$F$21</f>
        <v>3.4339796012129011</v>
      </c>
      <c r="BB51" s="523">
        <f t="shared" si="336"/>
        <v>3.4339796012129011</v>
      </c>
      <c r="BC51" s="523">
        <f t="shared" si="336"/>
        <v>3.4339796012129011</v>
      </c>
      <c r="BD51" s="523">
        <f t="shared" si="336"/>
        <v>3.4625562804373793</v>
      </c>
      <c r="BE51" s="523">
        <f t="shared" si="336"/>
        <v>3.4878250482403748</v>
      </c>
      <c r="BF51" s="523">
        <f t="shared" si="336"/>
        <v>3.5670311494992188</v>
      </c>
      <c r="BG51" s="523">
        <f t="shared" ref="BG51:BL51" si="337">+BG46/$F$21</f>
        <v>3.5670311494992188</v>
      </c>
      <c r="BH51" s="523">
        <f t="shared" si="337"/>
        <v>3.5803546816135254</v>
      </c>
      <c r="BI51" s="523">
        <f t="shared" si="337"/>
        <v>3.5803546816135254</v>
      </c>
      <c r="BJ51" s="523">
        <f t="shared" si="337"/>
        <v>3.6652577414315903</v>
      </c>
      <c r="BK51" s="523">
        <f t="shared" si="337"/>
        <v>3.6652577414315903</v>
      </c>
      <c r="BL51" s="523">
        <f t="shared" si="337"/>
        <v>3.7007259027841588</v>
      </c>
      <c r="BM51" s="523">
        <f t="shared" ref="BM51:BR51" si="338">+BM46/$F$21</f>
        <v>3.7474042083984194</v>
      </c>
      <c r="BN51" s="523">
        <f t="shared" si="338"/>
        <v>3.84195534319581</v>
      </c>
      <c r="BO51" s="523">
        <f t="shared" si="338"/>
        <v>3.8731048424147754</v>
      </c>
      <c r="BP51" s="523">
        <f t="shared" si="338"/>
        <v>3.9710557750620237</v>
      </c>
      <c r="BQ51" s="523">
        <f t="shared" si="338"/>
        <v>4.0791142148304695</v>
      </c>
      <c r="BR51" s="523">
        <f t="shared" si="338"/>
        <v>4.1422401911237712</v>
      </c>
      <c r="BS51" s="523">
        <f t="shared" ref="BS51:BX51" si="339">+BS46/$F$21</f>
        <v>4.3434714692639895</v>
      </c>
      <c r="BT51" s="523">
        <f t="shared" si="339"/>
        <v>4.5464485895433251</v>
      </c>
      <c r="BU51" s="523">
        <f t="shared" si="339"/>
        <v>4.703114949921896</v>
      </c>
      <c r="BV51" s="523">
        <f t="shared" si="339"/>
        <v>4.7443719562620608</v>
      </c>
      <c r="BW51" s="523">
        <f t="shared" si="339"/>
        <v>4.9824496921804649</v>
      </c>
      <c r="BX51" s="523">
        <f t="shared" si="339"/>
        <v>5.2680327115685017</v>
      </c>
      <c r="BY51" s="523">
        <f t="shared" ref="BY51:CD51" si="340">+BY46/$F$21</f>
        <v>5.4609023247266375</v>
      </c>
      <c r="BZ51" s="523">
        <f t="shared" si="340"/>
        <v>5.4924193696591015</v>
      </c>
      <c r="CA51" s="523">
        <f t="shared" si="340"/>
        <v>5.5287145088670409</v>
      </c>
      <c r="CB51" s="523">
        <f t="shared" si="340"/>
        <v>5.5287145088670409</v>
      </c>
      <c r="CC51" s="523">
        <f t="shared" si="340"/>
        <v>5.5287145088670409</v>
      </c>
      <c r="CD51" s="523">
        <f t="shared" si="340"/>
        <v>5.5749333823394291</v>
      </c>
      <c r="CE51" s="523">
        <f t="shared" ref="CE51:CJ51" si="341">+CE46/$F$21</f>
        <v>5.5749333823394291</v>
      </c>
      <c r="CF51" s="523">
        <f t="shared" si="341"/>
        <v>5.5749333823394291</v>
      </c>
      <c r="CG51" s="523">
        <f t="shared" si="341"/>
        <v>5.5749333823394291</v>
      </c>
      <c r="CH51" s="523">
        <f t="shared" si="341"/>
        <v>5.5749333823394291</v>
      </c>
      <c r="CI51" s="523">
        <f t="shared" si="341"/>
        <v>5.4896627768078661</v>
      </c>
      <c r="CJ51" s="523">
        <f t="shared" si="341"/>
        <v>5.5293577138656618</v>
      </c>
      <c r="CK51" s="523">
        <f t="shared" ref="CK51:CP51" si="342">+CK46/$F$21</f>
        <v>5.5838463658917581</v>
      </c>
      <c r="CL51" s="523">
        <f t="shared" si="342"/>
        <v>5.6795920242580173</v>
      </c>
      <c r="CM51" s="523">
        <f t="shared" si="342"/>
        <v>5.7250758063034084</v>
      </c>
      <c r="CN51" s="523">
        <f t="shared" si="342"/>
        <v>5.7670679040705686</v>
      </c>
      <c r="CO51" s="523">
        <f t="shared" si="342"/>
        <v>5.8098869796930988</v>
      </c>
      <c r="CP51" s="523">
        <f t="shared" si="342"/>
        <v>5.8355232932095937</v>
      </c>
      <c r="CQ51" s="523">
        <f t="shared" ref="CQ51:CV51" si="343">+CQ46/$F$21</f>
        <v>6.008269778553708</v>
      </c>
      <c r="CR51" s="523">
        <f t="shared" si="343"/>
        <v>6.2247542038040988</v>
      </c>
      <c r="CS51" s="523">
        <f t="shared" si="343"/>
        <v>6.2849398143894151</v>
      </c>
      <c r="CT51" s="523">
        <f t="shared" si="343"/>
        <v>6.346411834971974</v>
      </c>
      <c r="CU51" s="523">
        <f t="shared" si="343"/>
        <v>6.3846365891757788</v>
      </c>
      <c r="CV51" s="523">
        <f t="shared" si="343"/>
        <v>6.4361848754938897</v>
      </c>
      <c r="CW51" s="523">
        <f t="shared" ref="CW51:DB51" si="344">+CW46/$F$21</f>
        <v>6.4883763668106225</v>
      </c>
      <c r="CX51" s="523">
        <f t="shared" si="344"/>
        <v>6.5153909767527338</v>
      </c>
      <c r="CY51" s="523">
        <f t="shared" si="344"/>
        <v>7.0584397684461999</v>
      </c>
      <c r="CZ51" s="964">
        <f t="shared" si="344"/>
        <v>7.1640172746485344</v>
      </c>
      <c r="DA51" s="964">
        <f t="shared" si="344"/>
        <v>7.4893871175227424</v>
      </c>
      <c r="DB51" s="964">
        <f t="shared" si="344"/>
        <v>7.4893871175227424</v>
      </c>
      <c r="DC51" s="964">
        <f t="shared" ref="DC51:DH51" si="345">+DC46/$F$21</f>
        <v>7.5160341817513556</v>
      </c>
      <c r="DD51" s="964">
        <f t="shared" si="345"/>
        <v>7.5945970780115779</v>
      </c>
      <c r="DE51" s="964">
        <f t="shared" si="345"/>
        <v>7.6184875493889557</v>
      </c>
      <c r="DF51" s="964">
        <f t="shared" si="345"/>
        <v>7.6457778186161907</v>
      </c>
      <c r="DG51" s="964">
        <f t="shared" si="345"/>
        <v>7.706514747771755</v>
      </c>
      <c r="DH51" s="964">
        <f t="shared" si="345"/>
        <v>7.9752825507672522</v>
      </c>
      <c r="DI51" s="964">
        <f t="shared" ref="DI51:DN51" si="346">+DI46/$F$21</f>
        <v>8.0190204906735278</v>
      </c>
      <c r="DJ51" s="964">
        <f t="shared" si="346"/>
        <v>8.1421483046953966</v>
      </c>
      <c r="DK51" s="964">
        <f t="shared" si="346"/>
        <v>8.189561701736654</v>
      </c>
      <c r="DL51" s="964">
        <f t="shared" si="346"/>
        <v>8.4553891390241667</v>
      </c>
      <c r="DM51" s="964">
        <f t="shared" si="346"/>
        <v>8.4758798125516854</v>
      </c>
      <c r="DN51" s="964">
        <f t="shared" si="346"/>
        <v>8.4891114582376179</v>
      </c>
      <c r="DO51" s="964">
        <f t="shared" ref="DO51:DT51" si="347">+DO46/$F$21</f>
        <v>8.514563998897362</v>
      </c>
      <c r="DP51" s="964">
        <f t="shared" si="347"/>
        <v>8.5243039603050637</v>
      </c>
      <c r="DQ51" s="964">
        <f t="shared" si="347"/>
        <v>8.8486630524671508</v>
      </c>
      <c r="DR51" s="964">
        <f t="shared" si="347"/>
        <v>8.8743912524120176</v>
      </c>
      <c r="DS51" s="964">
        <f t="shared" si="347"/>
        <v>8.9021409537811262</v>
      </c>
      <c r="DT51" s="964">
        <f t="shared" si="347"/>
        <v>8.9295231094367367</v>
      </c>
      <c r="DU51" s="964">
        <f t="shared" ref="DU51:DZ51" si="348">+DU46/$F$21</f>
        <v>9.0341817513553249</v>
      </c>
      <c r="DV51" s="964">
        <f t="shared" si="348"/>
        <v>9.1670495267848935</v>
      </c>
      <c r="DW51" s="964">
        <f t="shared" si="348"/>
        <v>9.2642653680051463</v>
      </c>
      <c r="DX51" s="964">
        <f t="shared" si="348"/>
        <v>9.2927501608012495</v>
      </c>
      <c r="DY51" s="964">
        <f t="shared" si="348"/>
        <v>9.3202242028852353</v>
      </c>
      <c r="DZ51" s="964">
        <f t="shared" si="348"/>
        <v>9.537995038132868</v>
      </c>
      <c r="EA51" s="964">
        <f t="shared" ref="EA51:EF51" si="349">+EA46/$F$21</f>
        <v>9.5660203987870993</v>
      </c>
      <c r="EB51" s="964">
        <f t="shared" si="349"/>
        <v>9.5948727372967024</v>
      </c>
      <c r="EC51" s="964">
        <f t="shared" si="349"/>
        <v>9.624276394376551</v>
      </c>
      <c r="ED51" s="964">
        <f t="shared" si="349"/>
        <v>9.6540475971698996</v>
      </c>
      <c r="EE51" s="964">
        <f t="shared" si="349"/>
        <v>9.7644031976477077</v>
      </c>
      <c r="EF51" s="964">
        <f t="shared" si="349"/>
        <v>10.022879720665257</v>
      </c>
      <c r="EG51" s="964">
        <f t="shared" ref="EG51:EL51" si="350">+EG46/$F$21</f>
        <v>10.096113204079758</v>
      </c>
      <c r="EH51" s="964">
        <f t="shared" si="350"/>
        <v>10.127170816870349</v>
      </c>
      <c r="EI51" s="964">
        <f t="shared" si="350"/>
        <v>10.158320316089313</v>
      </c>
      <c r="EJ51" s="964">
        <f t="shared" si="350"/>
        <v>10.18946981530828</v>
      </c>
      <c r="EK51" s="964">
        <f t="shared" si="350"/>
        <v>10.583019388036387</v>
      </c>
      <c r="EL51" s="964">
        <f t="shared" si="350"/>
        <v>10.732610493430121</v>
      </c>
      <c r="EM51" s="964">
        <f t="shared" ref="EM51:ER51" si="351">+EM46/$F$21</f>
        <v>11.570339060920702</v>
      </c>
      <c r="EN51" s="964">
        <f t="shared" si="351"/>
        <v>11.876964072406505</v>
      </c>
      <c r="EO51" s="964">
        <f t="shared" si="351"/>
        <v>11.956997151520721</v>
      </c>
      <c r="EP51" s="964">
        <f t="shared" si="351"/>
        <v>12.001470182853991</v>
      </c>
      <c r="EQ51" s="964">
        <f t="shared" si="351"/>
        <v>12.037030230634935</v>
      </c>
      <c r="ER51" s="964">
        <f t="shared" si="351"/>
        <v>12.133235321143069</v>
      </c>
      <c r="ES51" s="964">
        <f t="shared" ref="ES51:EX51" si="352">+ES46/$F$21</f>
        <v>12.168795368924009</v>
      </c>
      <c r="ET51" s="964">
        <f t="shared" si="352"/>
        <v>12.305430487916935</v>
      </c>
      <c r="EU51" s="964">
        <f t="shared" si="352"/>
        <v>12.687126711384728</v>
      </c>
      <c r="EV51" s="964">
        <f t="shared" si="352"/>
        <v>13.092989065515024</v>
      </c>
      <c r="EW51" s="964">
        <f t="shared" si="352"/>
        <v>13.315905540751633</v>
      </c>
      <c r="EX51" s="964">
        <f t="shared" si="352"/>
        <v>13.315905540751633</v>
      </c>
      <c r="EY51" s="964">
        <f t="shared" ref="EY51:FE51" si="353">+EY46/$F$21</f>
        <v>13.567766240926215</v>
      </c>
      <c r="EZ51" s="964">
        <f t="shared" si="353"/>
        <v>13.612239272259488</v>
      </c>
      <c r="FA51" s="964">
        <f t="shared" si="353"/>
        <v>13.656712303592759</v>
      </c>
      <c r="FB51" s="964">
        <f t="shared" si="353"/>
        <v>13.812276026830839</v>
      </c>
      <c r="FC51" s="964">
        <f t="shared" si="353"/>
        <v>13.843425526049803</v>
      </c>
      <c r="FD51" s="964">
        <f t="shared" si="353"/>
        <v>14.127538362583847</v>
      </c>
      <c r="FE51" s="964">
        <f t="shared" si="353"/>
        <v>14.305062942203437</v>
      </c>
      <c r="FF51" s="964">
        <f t="shared" ref="FF51:FI51" si="354">+FF46/$F$21</f>
        <v>14.508040062482772</v>
      </c>
      <c r="FG51" s="964">
        <f t="shared" si="354"/>
        <v>14.630340898649269</v>
      </c>
      <c r="FH51" s="964" t="e">
        <f t="shared" si="354"/>
        <v>#REF!</v>
      </c>
      <c r="FI51" s="964" t="e">
        <f t="shared" si="354"/>
        <v>#REF!</v>
      </c>
      <c r="FJ51" s="964">
        <v>1</v>
      </c>
      <c r="FK51" s="964">
        <f>+FK46/$FJ$46</f>
        <v>0.8623695969581604</v>
      </c>
      <c r="FL51" s="964">
        <f t="shared" ref="FL51:HW51" si="355">+FL46/$FJ$46</f>
        <v>0.8623695969581604</v>
      </c>
      <c r="FM51" s="964">
        <f t="shared" si="355"/>
        <v>0.87503208522392839</v>
      </c>
      <c r="FN51" s="964">
        <f t="shared" si="355"/>
        <v>0.87503208522392839</v>
      </c>
      <c r="FO51" s="964">
        <f t="shared" si="355"/>
        <v>0.87503208522392839</v>
      </c>
      <c r="FP51" s="964">
        <f t="shared" si="355"/>
        <v>0.87503208522392839</v>
      </c>
      <c r="FQ51" s="964">
        <f t="shared" si="355"/>
        <v>0.87503208522392839</v>
      </c>
      <c r="FR51" s="964">
        <f t="shared" si="355"/>
        <v>0.87503208522392839</v>
      </c>
      <c r="FS51" s="964">
        <f t="shared" si="355"/>
        <v>0.87503208522392839</v>
      </c>
      <c r="FT51" s="964">
        <f t="shared" si="355"/>
        <v>0.87503208522392839</v>
      </c>
      <c r="FU51" s="964">
        <f t="shared" si="355"/>
        <v>0.87885783041999344</v>
      </c>
      <c r="FV51" s="964">
        <f t="shared" si="355"/>
        <v>0.87885783041999344</v>
      </c>
      <c r="FW51" s="964">
        <f t="shared" si="355"/>
        <v>0.90207526125997473</v>
      </c>
      <c r="FX51" s="964">
        <f t="shared" si="355"/>
        <v>0.90200821271921627</v>
      </c>
      <c r="FY51" s="964">
        <f t="shared" si="355"/>
        <v>0.90200821271921627</v>
      </c>
      <c r="FZ51" s="964">
        <f t="shared" si="355"/>
        <v>0.9112995787781446</v>
      </c>
      <c r="GA51" s="964">
        <f t="shared" si="355"/>
        <v>0.93362490886103333</v>
      </c>
      <c r="GB51" s="964">
        <f t="shared" si="355"/>
        <v>0.95026978481897573</v>
      </c>
      <c r="GC51" s="964">
        <f t="shared" si="355"/>
        <v>0.95026978481897573</v>
      </c>
      <c r="GD51" s="964">
        <f t="shared" si="355"/>
        <v>0.95026978481897573</v>
      </c>
      <c r="GE51" s="964">
        <f t="shared" si="355"/>
        <v>1.0219482153850985</v>
      </c>
      <c r="GF51" s="964">
        <f t="shared" si="355"/>
        <v>1.0219482153850985</v>
      </c>
      <c r="GG51" s="964">
        <f t="shared" si="355"/>
        <v>1.0356784614124206</v>
      </c>
      <c r="GH51" s="964">
        <f t="shared" si="355"/>
        <v>1.0575837943372752</v>
      </c>
      <c r="GI51" s="964">
        <f t="shared" si="355"/>
        <v>1.0690416345888354</v>
      </c>
      <c r="GJ51" s="964">
        <f t="shared" si="355"/>
        <v>1.0690416345888354</v>
      </c>
      <c r="GK51" s="964">
        <f t="shared" si="355"/>
        <v>1.0690416345888354</v>
      </c>
      <c r="GL51" s="964">
        <f t="shared" si="355"/>
        <v>1.447216759345479</v>
      </c>
      <c r="GM51" s="964">
        <f t="shared" si="355"/>
        <v>1.8236192163228973</v>
      </c>
      <c r="GN51" s="964">
        <f t="shared" si="355"/>
        <v>2.6442251244282664</v>
      </c>
      <c r="GO51" s="964">
        <f t="shared" si="355"/>
        <v>2.3891520228596037</v>
      </c>
      <c r="GP51" s="964">
        <f t="shared" si="355"/>
        <v>2.3891520228596037</v>
      </c>
      <c r="GQ51" s="964">
        <f t="shared" si="355"/>
        <v>2.4855513467552415</v>
      </c>
      <c r="GR51" s="964">
        <f t="shared" si="355"/>
        <v>2.547680336857101</v>
      </c>
      <c r="GS51" s="964">
        <f t="shared" si="355"/>
        <v>2.6317170767164555</v>
      </c>
      <c r="GT51" s="964">
        <f t="shared" si="355"/>
        <v>2.6478308557821095</v>
      </c>
      <c r="GU51" s="964">
        <f t="shared" si="355"/>
        <v>2.7329182548962141</v>
      </c>
      <c r="GV51" s="964">
        <f t="shared" si="355"/>
        <v>2.8445897436002467</v>
      </c>
      <c r="GW51" s="964">
        <f t="shared" si="355"/>
        <v>2.9854439678984539</v>
      </c>
      <c r="GX51" s="964">
        <f t="shared" si="355"/>
        <v>3.0269178072482918</v>
      </c>
      <c r="GY51" s="964">
        <f t="shared" si="355"/>
        <v>3.0105132284898373</v>
      </c>
      <c r="GZ51" s="964">
        <f t="shared" si="355"/>
        <v>2.983232018713482</v>
      </c>
      <c r="HA51" s="964">
        <f t="shared" si="355"/>
        <v>3.9434570372827085</v>
      </c>
      <c r="HB51" s="964">
        <f t="shared" si="355"/>
        <v>4.0255113733799313</v>
      </c>
      <c r="HC51" s="964">
        <f t="shared" si="355"/>
        <v>4.0562162166337359</v>
      </c>
      <c r="HD51" s="964">
        <f t="shared" si="355"/>
        <v>4.0562162166337359</v>
      </c>
      <c r="HE51" s="964">
        <f t="shared" si="355"/>
        <v>4.0562162166337359</v>
      </c>
      <c r="HF51" s="964">
        <f t="shared" si="355"/>
        <v>4.1069981629509948</v>
      </c>
      <c r="HG51" s="964">
        <f t="shared" si="355"/>
        <v>4.1606936489968014</v>
      </c>
      <c r="HH51" s="964">
        <f t="shared" si="355"/>
        <v>4.2638455037690104</v>
      </c>
      <c r="HI51" s="964">
        <f t="shared" si="355"/>
        <v>4.4164537272676192</v>
      </c>
      <c r="HJ51" s="964">
        <f t="shared" si="355"/>
        <v>4.4644970568875513</v>
      </c>
      <c r="HK51" s="964">
        <f t="shared" si="355"/>
        <v>4.7195506156051339</v>
      </c>
      <c r="HL51" s="964">
        <f t="shared" si="355"/>
        <v>4.8975935430201778</v>
      </c>
      <c r="HM51" s="964">
        <f t="shared" si="355"/>
        <v>5.0904733810531422</v>
      </c>
      <c r="HN51" s="964">
        <f t="shared" si="355"/>
        <v>5.3525921353030688</v>
      </c>
      <c r="HO51" s="964">
        <f t="shared" si="355"/>
        <v>5.6599281409599893</v>
      </c>
      <c r="HP51" s="964">
        <f t="shared" si="355"/>
        <v>6.0336769846209348</v>
      </c>
      <c r="HQ51" s="964">
        <f t="shared" si="355"/>
        <v>6.598892627208377</v>
      </c>
      <c r="HR51" s="964">
        <f t="shared" si="355"/>
        <v>7.1012280295579648</v>
      </c>
      <c r="HS51" s="964">
        <f t="shared" si="355"/>
        <v>7.5774222084378833</v>
      </c>
      <c r="HT51" s="964">
        <f t="shared" si="355"/>
        <v>8.1306270186203413</v>
      </c>
      <c r="HU51" s="964">
        <f t="shared" si="355"/>
        <v>8.4542129740016509</v>
      </c>
      <c r="HV51" s="964">
        <f t="shared" si="355"/>
        <v>8.9014398511989654</v>
      </c>
      <c r="HW51" s="964">
        <f t="shared" si="355"/>
        <v>9.4066013317614914</v>
      </c>
      <c r="HX51" s="964">
        <f t="shared" ref="HX51:IO51" si="356">+HX46/$FJ$46</f>
        <v>9.878556393322004</v>
      </c>
      <c r="HY51" s="964">
        <f t="shared" si="356"/>
        <v>10.354044052648687</v>
      </c>
      <c r="HZ51" s="964">
        <f t="shared" si="356"/>
        <v>10.731325494075806</v>
      </c>
      <c r="IA51" s="964">
        <f t="shared" si="356"/>
        <v>11.187737125465164</v>
      </c>
      <c r="IB51" s="964">
        <f t="shared" si="356"/>
        <v>11.566431605998751</v>
      </c>
      <c r="IC51" s="964">
        <f t="shared" si="356"/>
        <v>12.11963641618121</v>
      </c>
      <c r="ID51" s="964">
        <f t="shared" si="356"/>
        <v>12.664362991724856</v>
      </c>
      <c r="IE51" s="964">
        <f t="shared" si="356"/>
        <v>13.433762785197011</v>
      </c>
      <c r="IF51" s="964">
        <f t="shared" si="356"/>
        <v>14.116967193174577</v>
      </c>
      <c r="IG51" s="964">
        <f t="shared" si="356"/>
        <v>14.904736495030825</v>
      </c>
      <c r="IH51" s="964">
        <f t="shared" si="356"/>
        <v>15.754679517571692</v>
      </c>
      <c r="II51" s="964">
        <f t="shared" si="356"/>
        <v>16.73038302058826</v>
      </c>
      <c r="IJ51" s="964">
        <f t="shared" si="356"/>
        <v>17.937824937065681</v>
      </c>
      <c r="IK51" s="964">
        <f t="shared" si="356"/>
        <v>19.133256021138116</v>
      </c>
      <c r="IL51" s="964">
        <f t="shared" si="356"/>
        <v>20.824663831581038</v>
      </c>
      <c r="IM51" s="964">
        <f t="shared" si="356"/>
        <v>22.642538642052894</v>
      </c>
      <c r="IN51" s="964">
        <f t="shared" si="356"/>
        <v>24.204252601312451</v>
      </c>
      <c r="IO51" s="964">
        <f t="shared" si="356"/>
        <v>25.853670011502796</v>
      </c>
      <c r="IP51" s="2480">
        <f t="shared" ref="IP51:IQ51" si="357">+IP46/$FJ$46</f>
        <v>27.176274615157404</v>
      </c>
      <c r="IQ51" s="2480">
        <f t="shared" si="357"/>
        <v>28.684693861312638</v>
      </c>
    </row>
    <row r="52" spans="3:251">
      <c r="C52" s="2624"/>
      <c r="D52" s="2626" t="s">
        <v>677</v>
      </c>
      <c r="E52" s="2627"/>
      <c r="F52" s="1805">
        <f>+F47/$F$22</f>
        <v>1</v>
      </c>
      <c r="G52" s="529">
        <f>+G47/$F$22</f>
        <v>1.1844660194174759</v>
      </c>
      <c r="H52" s="529">
        <f>+H47/$F$22</f>
        <v>1.1844660194174759</v>
      </c>
      <c r="I52" s="529">
        <f>+I47/$F$22</f>
        <v>1.1844660194174759</v>
      </c>
      <c r="J52" s="529">
        <f>+J47/$F$22</f>
        <v>1.2362459546925566</v>
      </c>
      <c r="K52" s="529">
        <v>1.236</v>
      </c>
      <c r="L52" s="529">
        <f t="shared" ref="L52:AB52" si="358">+L47/$F$22</f>
        <v>1.2750809061488673</v>
      </c>
      <c r="M52" s="529">
        <f t="shared" si="358"/>
        <v>1.2750809061488673</v>
      </c>
      <c r="N52" s="529">
        <f t="shared" si="358"/>
        <v>1.3656957928802589</v>
      </c>
      <c r="O52" s="529">
        <f t="shared" si="358"/>
        <v>1.3656957928802589</v>
      </c>
      <c r="P52" s="529">
        <f t="shared" si="358"/>
        <v>1.4271844660194175</v>
      </c>
      <c r="Q52" s="529">
        <f t="shared" si="358"/>
        <v>1.4983818770226538</v>
      </c>
      <c r="R52" s="529">
        <f t="shared" si="358"/>
        <v>1.5695792880258899</v>
      </c>
      <c r="S52" s="529">
        <f t="shared" si="358"/>
        <v>1.6504854368932038</v>
      </c>
      <c r="T52" s="529">
        <f t="shared" si="358"/>
        <v>1.7055016181229772</v>
      </c>
      <c r="U52" s="529">
        <f t="shared" si="358"/>
        <v>1.7799352750809063</v>
      </c>
      <c r="V52" s="529">
        <f t="shared" si="358"/>
        <v>1.941747572815534</v>
      </c>
      <c r="W52" s="529">
        <f t="shared" si="358"/>
        <v>2.0097087378640777</v>
      </c>
      <c r="X52" s="529">
        <f t="shared" si="358"/>
        <v>2.0097087378640777</v>
      </c>
      <c r="Y52" s="529">
        <f t="shared" si="358"/>
        <v>2.0097087378640777</v>
      </c>
      <c r="Z52" s="529">
        <f t="shared" si="358"/>
        <v>2.0097087378640777</v>
      </c>
      <c r="AA52" s="529">
        <f t="shared" si="358"/>
        <v>2.0097087378640777</v>
      </c>
      <c r="AB52" s="529">
        <f t="shared" si="358"/>
        <v>2.0097087378640777</v>
      </c>
      <c r="AC52" s="529">
        <f t="shared" ref="AC52:AH52" si="359">+AC47/$F$22</f>
        <v>2.0097087378640777</v>
      </c>
      <c r="AD52" s="529">
        <f t="shared" si="359"/>
        <v>2.0097087378640777</v>
      </c>
      <c r="AE52" s="529">
        <f t="shared" si="359"/>
        <v>2.0097087378640777</v>
      </c>
      <c r="AF52" s="529">
        <f t="shared" si="359"/>
        <v>2.0097087378640777</v>
      </c>
      <c r="AG52" s="529">
        <f t="shared" si="359"/>
        <v>2.0097087378640777</v>
      </c>
      <c r="AH52" s="529">
        <f t="shared" si="359"/>
        <v>2.1941747572815538</v>
      </c>
      <c r="AI52" s="529">
        <f t="shared" ref="AI52:AN52" si="360">+AI47/$F$22</f>
        <v>2.1941747572815538</v>
      </c>
      <c r="AJ52" s="529">
        <f t="shared" si="360"/>
        <v>3.0944430420711972</v>
      </c>
      <c r="AK52" s="529">
        <f t="shared" si="360"/>
        <v>3.2509847896440132</v>
      </c>
      <c r="AL52" s="529">
        <f t="shared" si="360"/>
        <v>3.2509847896440132</v>
      </c>
      <c r="AM52" s="529">
        <f t="shared" si="360"/>
        <v>3.2524271844660197</v>
      </c>
      <c r="AN52" s="529">
        <f t="shared" si="360"/>
        <v>3.2524271844660197</v>
      </c>
      <c r="AO52" s="529">
        <f t="shared" ref="AO52:AT52" si="361">+AO47/$F$22</f>
        <v>3.2524271844660197</v>
      </c>
      <c r="AP52" s="529">
        <f t="shared" si="361"/>
        <v>3.2524271844660197</v>
      </c>
      <c r="AQ52" s="529">
        <f t="shared" si="361"/>
        <v>3.2509847896440132</v>
      </c>
      <c r="AR52" s="529">
        <f t="shared" si="361"/>
        <v>3.9253828478964405</v>
      </c>
      <c r="AS52" s="529">
        <f t="shared" si="361"/>
        <v>3.9253828478964405</v>
      </c>
      <c r="AT52" s="529">
        <f t="shared" si="361"/>
        <v>4.128957060900265</v>
      </c>
      <c r="AU52" s="529">
        <f t="shared" ref="AU52:AZ52" si="362">+AU47/$F$22</f>
        <v>4.128957060900265</v>
      </c>
      <c r="AV52" s="529">
        <f t="shared" si="362"/>
        <v>4.128957060900265</v>
      </c>
      <c r="AW52" s="529">
        <f t="shared" si="362"/>
        <v>4.3324430126507805</v>
      </c>
      <c r="AX52" s="529">
        <f t="shared" si="362"/>
        <v>4.6836876316563698</v>
      </c>
      <c r="AY52" s="529">
        <f t="shared" si="362"/>
        <v>4.6839526625478083</v>
      </c>
      <c r="AZ52" s="529">
        <f t="shared" si="362"/>
        <v>4.846985539864666</v>
      </c>
      <c r="BA52" s="529">
        <f t="shared" ref="BA52:BF52" si="363">+BA47/$F$22</f>
        <v>4.8471473521624011</v>
      </c>
      <c r="BB52" s="529">
        <f t="shared" si="363"/>
        <v>3.7899417475728154</v>
      </c>
      <c r="BC52" s="529">
        <f t="shared" si="363"/>
        <v>5.3081368049426301</v>
      </c>
      <c r="BD52" s="529">
        <f t="shared" si="363"/>
        <v>5.3081368049426301</v>
      </c>
      <c r="BE52" s="529">
        <f t="shared" si="363"/>
        <v>5.3081368049426301</v>
      </c>
      <c r="BF52" s="529">
        <f t="shared" si="363"/>
        <v>5.6941887025595763</v>
      </c>
      <c r="BG52" s="529">
        <f t="shared" ref="BG52:BL52" si="364">+BG47/$F$22</f>
        <v>5.6941887025595763</v>
      </c>
      <c r="BH52" s="529">
        <f t="shared" si="364"/>
        <v>5.6941887025595763</v>
      </c>
      <c r="BI52" s="529">
        <f t="shared" si="364"/>
        <v>5.6941887025595763</v>
      </c>
      <c r="BJ52" s="529">
        <f t="shared" si="364"/>
        <v>6.2598640114739625</v>
      </c>
      <c r="BK52" s="529">
        <f t="shared" si="364"/>
        <v>6.2599633980582539</v>
      </c>
      <c r="BL52" s="529">
        <f t="shared" si="364"/>
        <v>6.6342201456310681</v>
      </c>
      <c r="BM52" s="529">
        <f t="shared" ref="BM52:BR52" si="365">+BM47/$F$22</f>
        <v>6.6345845631067961</v>
      </c>
      <c r="BN52" s="529">
        <f t="shared" si="365"/>
        <v>6.6345845631067961</v>
      </c>
      <c r="BO52" s="529">
        <f t="shared" si="365"/>
        <v>6.6323980582524271</v>
      </c>
      <c r="BP52" s="529">
        <f t="shared" si="365"/>
        <v>6.6323980582524271</v>
      </c>
      <c r="BQ52" s="529">
        <f t="shared" si="365"/>
        <v>7.367908502500736</v>
      </c>
      <c r="BR52" s="529">
        <f t="shared" si="365"/>
        <v>6.6323980582524271</v>
      </c>
      <c r="BS52" s="529">
        <f t="shared" ref="BS52:BX52" si="366">+BS47/$F$22</f>
        <v>6.6323980582524271</v>
      </c>
      <c r="BT52" s="529">
        <f t="shared" si="366"/>
        <v>6.6323980582524271</v>
      </c>
      <c r="BU52" s="529">
        <f t="shared" si="366"/>
        <v>7.29563786407767</v>
      </c>
      <c r="BV52" s="529">
        <f t="shared" si="366"/>
        <v>7.4335019417475721</v>
      </c>
      <c r="BW52" s="529">
        <f t="shared" si="366"/>
        <v>7.29563786407767</v>
      </c>
      <c r="BX52" s="529">
        <f t="shared" si="366"/>
        <v>7.7614776699029138</v>
      </c>
      <c r="BY52" s="529">
        <f t="shared" ref="BY52:CD52" si="367">+BY47/$F$22</f>
        <v>7.6236135922330108</v>
      </c>
      <c r="BZ52" s="529">
        <f t="shared" si="367"/>
        <v>7.807432362459549</v>
      </c>
      <c r="CA52" s="529">
        <f t="shared" si="367"/>
        <v>7.9224359223300969</v>
      </c>
      <c r="CB52" s="529">
        <f t="shared" si="367"/>
        <v>7.9224359223300969</v>
      </c>
      <c r="CC52" s="529">
        <f t="shared" si="367"/>
        <v>7.9224359223300969</v>
      </c>
      <c r="CD52" s="529">
        <f t="shared" si="367"/>
        <v>7.9224359223300969</v>
      </c>
      <c r="CE52" s="529">
        <f t="shared" ref="CE52:CJ52" si="368">+CE47/$F$22</f>
        <v>7.9224359223300969</v>
      </c>
      <c r="CF52" s="529">
        <f t="shared" si="368"/>
        <v>7.9224359223300969</v>
      </c>
      <c r="CG52" s="529">
        <f t="shared" si="368"/>
        <v>7.9224359223300969</v>
      </c>
      <c r="CH52" s="529">
        <f t="shared" si="368"/>
        <v>8.2534156222418353</v>
      </c>
      <c r="CI52" s="529">
        <f t="shared" si="368"/>
        <v>8.636694174757281</v>
      </c>
      <c r="CJ52" s="529">
        <f t="shared" si="368"/>
        <v>8.636694174757281</v>
      </c>
      <c r="CK52" s="529">
        <f t="shared" ref="CK52:CP52" si="369">+CK47/$F$22</f>
        <v>8.636694174757281</v>
      </c>
      <c r="CL52" s="529">
        <f t="shared" si="369"/>
        <v>8.636694174757281</v>
      </c>
      <c r="CM52" s="529">
        <f t="shared" si="369"/>
        <v>9.1541669902912624</v>
      </c>
      <c r="CN52" s="529">
        <f t="shared" si="369"/>
        <v>9.1541669902912624</v>
      </c>
      <c r="CO52" s="529">
        <f t="shared" si="369"/>
        <v>9.1541669902912624</v>
      </c>
      <c r="CP52" s="529">
        <f t="shared" si="369"/>
        <v>9.1541669902912624</v>
      </c>
      <c r="CQ52" s="529">
        <f t="shared" ref="CQ52:CV52" si="370">+CQ47/$F$22</f>
        <v>9.1541669902912624</v>
      </c>
      <c r="CR52" s="529">
        <f t="shared" si="370"/>
        <v>9.6138610179464568</v>
      </c>
      <c r="CS52" s="529">
        <f t="shared" si="370"/>
        <v>9.6138610179464568</v>
      </c>
      <c r="CT52" s="529">
        <f t="shared" si="370"/>
        <v>10.343836834363048</v>
      </c>
      <c r="CU52" s="529">
        <f t="shared" si="370"/>
        <v>10.343836834363048</v>
      </c>
      <c r="CV52" s="529">
        <f t="shared" si="370"/>
        <v>10.343836834363048</v>
      </c>
      <c r="CW52" s="529">
        <f t="shared" ref="CW52:DB52" si="371">+CW47/$F$22</f>
        <v>10.874217475728155</v>
      </c>
      <c r="CX52" s="529">
        <f t="shared" si="371"/>
        <v>10.874217475728155</v>
      </c>
      <c r="CY52" s="529">
        <f t="shared" si="371"/>
        <v>10.874217475728155</v>
      </c>
      <c r="CZ52" s="965">
        <f t="shared" si="371"/>
        <v>10.874217475728155</v>
      </c>
      <c r="DA52" s="965">
        <f t="shared" si="371"/>
        <v>11.632205825242719</v>
      </c>
      <c r="DB52" s="965">
        <f t="shared" si="371"/>
        <v>11.632205825242719</v>
      </c>
      <c r="DC52" s="965">
        <f t="shared" ref="DC52:DH52" si="372">+DC47/$F$22</f>
        <v>11.632205825242719</v>
      </c>
      <c r="DD52" s="965">
        <f t="shared" si="372"/>
        <v>11.632205825242719</v>
      </c>
      <c r="DE52" s="965">
        <f t="shared" si="372"/>
        <v>13.031568932038835</v>
      </c>
      <c r="DF52" s="965">
        <f t="shared" si="372"/>
        <v>13.031568932038835</v>
      </c>
      <c r="DG52" s="965">
        <f t="shared" si="372"/>
        <v>13.031568932038835</v>
      </c>
      <c r="DH52" s="965">
        <f t="shared" si="372"/>
        <v>13.031568932038835</v>
      </c>
      <c r="DI52" s="965">
        <f t="shared" ref="DI52:DN52" si="373">+DI47/$F$22</f>
        <v>13.811422330097088</v>
      </c>
      <c r="DJ52" s="965">
        <f t="shared" si="373"/>
        <v>13.811422330097088</v>
      </c>
      <c r="DK52" s="965">
        <f t="shared" si="373"/>
        <v>13.811422330097088</v>
      </c>
      <c r="DL52" s="965">
        <f t="shared" si="373"/>
        <v>14.635005825242718</v>
      </c>
      <c r="DM52" s="965">
        <f t="shared" si="373"/>
        <v>14.635005825242718</v>
      </c>
      <c r="DN52" s="965">
        <f t="shared" si="373"/>
        <v>14.635005825242718</v>
      </c>
      <c r="DO52" s="965">
        <f t="shared" ref="DO52:DT52" si="374">+DO47/$F$22</f>
        <v>14.635005825242718</v>
      </c>
      <c r="DP52" s="965">
        <f t="shared" si="374"/>
        <v>14.635005825242718</v>
      </c>
      <c r="DQ52" s="965">
        <f t="shared" si="374"/>
        <v>14.635005825242718</v>
      </c>
      <c r="DR52" s="965">
        <f t="shared" si="374"/>
        <v>14.635005825242718</v>
      </c>
      <c r="DS52" s="965">
        <f t="shared" si="374"/>
        <v>18.818518446601942</v>
      </c>
      <c r="DT52" s="965">
        <f t="shared" si="374"/>
        <v>18.818518446601942</v>
      </c>
      <c r="DU52" s="965">
        <f t="shared" ref="DU52:DZ52" si="375">+DU47/$F$22</f>
        <v>18.818518446601942</v>
      </c>
      <c r="DV52" s="965">
        <f t="shared" si="375"/>
        <v>18.818518446601942</v>
      </c>
      <c r="DW52" s="965">
        <f t="shared" si="375"/>
        <v>18.818518446601942</v>
      </c>
      <c r="DX52" s="965">
        <f t="shared" si="375"/>
        <v>18.818518446601942</v>
      </c>
      <c r="DY52" s="965">
        <f t="shared" si="375"/>
        <v>18.818518446601942</v>
      </c>
      <c r="DZ52" s="965">
        <f t="shared" si="375"/>
        <v>18.818518446601942</v>
      </c>
      <c r="EA52" s="965">
        <f t="shared" ref="EA52:EF52" si="376">+EA47/$F$22</f>
        <v>18.818518446601942</v>
      </c>
      <c r="EB52" s="965">
        <f t="shared" si="376"/>
        <v>18.818518446601942</v>
      </c>
      <c r="EC52" s="965">
        <f t="shared" si="376"/>
        <v>18.818518446601942</v>
      </c>
      <c r="ED52" s="965">
        <f t="shared" si="376"/>
        <v>18.818518446601942</v>
      </c>
      <c r="EE52" s="965">
        <f t="shared" si="376"/>
        <v>22.207600970873788</v>
      </c>
      <c r="EF52" s="965">
        <f t="shared" si="376"/>
        <v>22.207600970873788</v>
      </c>
      <c r="EG52" s="965">
        <f t="shared" ref="EG52:EL52" si="377">+EG47/$F$22</f>
        <v>22.207600970873788</v>
      </c>
      <c r="EH52" s="965">
        <f t="shared" si="377"/>
        <v>23.468485436893207</v>
      </c>
      <c r="EI52" s="965">
        <f t="shared" si="377"/>
        <v>23.468485436893207</v>
      </c>
      <c r="EJ52" s="965">
        <f t="shared" si="377"/>
        <v>23.541368932038836</v>
      </c>
      <c r="EK52" s="965">
        <f t="shared" si="377"/>
        <v>23.541368932038836</v>
      </c>
      <c r="EL52" s="965">
        <f t="shared" si="377"/>
        <v>23.541368932038836</v>
      </c>
      <c r="EM52" s="965">
        <f t="shared" ref="EM52:ER52" si="378">+EM47/$F$22</f>
        <v>23.541368932038836</v>
      </c>
      <c r="EN52" s="965">
        <f t="shared" si="378"/>
        <v>23.541368932038836</v>
      </c>
      <c r="EO52" s="965">
        <f t="shared" si="378"/>
        <v>27.703016504854368</v>
      </c>
      <c r="EP52" s="965">
        <f t="shared" si="378"/>
        <v>27.703016504854368</v>
      </c>
      <c r="EQ52" s="965">
        <f t="shared" si="378"/>
        <v>27.703016504854368</v>
      </c>
      <c r="ER52" s="965">
        <f t="shared" si="378"/>
        <v>30.472589320388352</v>
      </c>
      <c r="ES52" s="965">
        <f t="shared" ref="ES52:EX52" si="379">+ES47/$F$22</f>
        <v>30.472589320388352</v>
      </c>
      <c r="ET52" s="965">
        <f t="shared" si="379"/>
        <v>30.472589320388352</v>
      </c>
      <c r="EU52" s="965">
        <f t="shared" si="379"/>
        <v>30.472589320388352</v>
      </c>
      <c r="EV52" s="965">
        <f t="shared" si="379"/>
        <v>30.472589320388352</v>
      </c>
      <c r="EW52" s="965">
        <f t="shared" si="379"/>
        <v>30.472589320388352</v>
      </c>
      <c r="EX52" s="965">
        <f t="shared" si="379"/>
        <v>30.472589320388352</v>
      </c>
      <c r="EY52" s="965">
        <f t="shared" ref="EY52:FE52" si="380">+EY47/$F$22</f>
        <v>30.472589320388352</v>
      </c>
      <c r="EZ52" s="965">
        <f t="shared" si="380"/>
        <v>30.472589320388352</v>
      </c>
      <c r="FA52" s="965">
        <f t="shared" si="380"/>
        <v>35.771219417475727</v>
      </c>
      <c r="FB52" s="965">
        <f t="shared" si="380"/>
        <v>35.771219417475727</v>
      </c>
      <c r="FC52" s="965">
        <f t="shared" si="380"/>
        <v>35.771219417475727</v>
      </c>
      <c r="FD52" s="965">
        <f t="shared" si="380"/>
        <v>35.771219417475727</v>
      </c>
      <c r="FE52" s="965">
        <f t="shared" si="380"/>
        <v>38.825037864077672</v>
      </c>
      <c r="FF52" s="965">
        <f t="shared" ref="FF52:FI52" si="381">+FF47/$F$22</f>
        <v>38.825037864077672</v>
      </c>
      <c r="FG52" s="965">
        <f t="shared" si="381"/>
        <v>38.825037864077672</v>
      </c>
      <c r="FH52" s="965" t="e">
        <f t="shared" si="381"/>
        <v>#REF!</v>
      </c>
      <c r="FI52" s="965" t="e">
        <f t="shared" si="381"/>
        <v>#REF!</v>
      </c>
      <c r="FJ52" s="965">
        <v>1</v>
      </c>
      <c r="FK52" s="965">
        <f>+FK47/$FJ$47</f>
        <v>1</v>
      </c>
      <c r="FL52" s="965">
        <f t="shared" ref="FL52:HW52" si="382">+FL47/$FJ$47</f>
        <v>1</v>
      </c>
      <c r="FM52" s="965">
        <f t="shared" si="382"/>
        <v>1.220011263375258</v>
      </c>
      <c r="FN52" s="965">
        <f t="shared" si="382"/>
        <v>1.220011263375258</v>
      </c>
      <c r="FO52" s="965">
        <f t="shared" si="382"/>
        <v>1.220011263375258</v>
      </c>
      <c r="FP52" s="965">
        <f t="shared" si="382"/>
        <v>1.220011263375258</v>
      </c>
      <c r="FQ52" s="965">
        <f t="shared" si="382"/>
        <v>1.220011263375258</v>
      </c>
      <c r="FR52" s="965">
        <f t="shared" si="382"/>
        <v>1.220011263375258</v>
      </c>
      <c r="FS52" s="965">
        <f t="shared" si="382"/>
        <v>1.3399662098742255</v>
      </c>
      <c r="FT52" s="965">
        <f t="shared" si="382"/>
        <v>1.3399662098742255</v>
      </c>
      <c r="FU52" s="965">
        <f t="shared" si="382"/>
        <v>1.3399662098742255</v>
      </c>
      <c r="FV52" s="965">
        <f t="shared" si="382"/>
        <v>1.3900882297728552</v>
      </c>
      <c r="FW52" s="965">
        <f t="shared" si="382"/>
        <v>1.3900882297728552</v>
      </c>
      <c r="FX52" s="965">
        <f t="shared" si="382"/>
        <v>1.3900882297728552</v>
      </c>
      <c r="FY52" s="965">
        <f t="shared" si="382"/>
        <v>1.5428946874413365</v>
      </c>
      <c r="FZ52" s="965">
        <f t="shared" si="382"/>
        <v>1.5428946874413365</v>
      </c>
      <c r="GA52" s="965">
        <f t="shared" si="382"/>
        <v>1.5428946874413365</v>
      </c>
      <c r="GB52" s="965">
        <f t="shared" si="382"/>
        <v>1.6972029284775669</v>
      </c>
      <c r="GC52" s="965">
        <f t="shared" si="382"/>
        <v>1.6972029284775669</v>
      </c>
      <c r="GD52" s="965">
        <f t="shared" si="382"/>
        <v>1.6972029284775669</v>
      </c>
      <c r="GE52" s="965">
        <f t="shared" si="382"/>
        <v>1.6972029284775669</v>
      </c>
      <c r="GF52" s="965">
        <f t="shared" si="382"/>
        <v>1.6972029284775669</v>
      </c>
      <c r="GG52" s="965">
        <f t="shared" si="382"/>
        <v>1.6972029284775669</v>
      </c>
      <c r="GH52" s="965">
        <f t="shared" si="382"/>
        <v>1.6972029284775669</v>
      </c>
      <c r="GI52" s="965">
        <f t="shared" si="382"/>
        <v>1.7227332457293034</v>
      </c>
      <c r="GJ52" s="965">
        <f t="shared" si="382"/>
        <v>1.7480758400600713</v>
      </c>
      <c r="GK52" s="965">
        <f t="shared" si="382"/>
        <v>1.9228458794818846</v>
      </c>
      <c r="GL52" s="965">
        <f t="shared" si="382"/>
        <v>1.9228458794818846</v>
      </c>
      <c r="GM52" s="965">
        <f t="shared" si="382"/>
        <v>1.9228458794818846</v>
      </c>
      <c r="GN52" s="965">
        <f t="shared" si="382"/>
        <v>1.9228458794818846</v>
      </c>
      <c r="GO52" s="965">
        <f t="shared" si="382"/>
        <v>2.0191477379388023</v>
      </c>
      <c r="GP52" s="965">
        <f t="shared" si="382"/>
        <v>2.0998685939553217</v>
      </c>
      <c r="GQ52" s="965">
        <f t="shared" si="382"/>
        <v>2.1627557724798194</v>
      </c>
      <c r="GR52" s="965">
        <f t="shared" si="382"/>
        <v>2.225830673925286</v>
      </c>
      <c r="GS52" s="965">
        <f t="shared" si="382"/>
        <v>2.225830673925286</v>
      </c>
      <c r="GT52" s="965">
        <f t="shared" si="382"/>
        <v>2.2926600337901255</v>
      </c>
      <c r="GU52" s="965">
        <f t="shared" si="382"/>
        <v>2.2926600337901255</v>
      </c>
      <c r="GV52" s="965">
        <f t="shared" si="382"/>
        <v>2.453163131218322</v>
      </c>
      <c r="GW52" s="965">
        <f t="shared" si="382"/>
        <v>2.6983292660033791</v>
      </c>
      <c r="GX52" s="965">
        <f t="shared" si="382"/>
        <v>2.8333020461798388</v>
      </c>
      <c r="GY52" s="965">
        <f t="shared" si="382"/>
        <v>2.8333020461798388</v>
      </c>
      <c r="GZ52" s="965">
        <f t="shared" si="382"/>
        <v>2.9547587760465555</v>
      </c>
      <c r="HA52" s="965">
        <f t="shared" si="382"/>
        <v>3.0581941055002813</v>
      </c>
      <c r="HB52" s="965">
        <f t="shared" si="382"/>
        <v>3.0581941055002813</v>
      </c>
      <c r="HC52" s="965">
        <f t="shared" si="382"/>
        <v>3.2969776609724044</v>
      </c>
      <c r="HD52" s="965">
        <f t="shared" si="382"/>
        <v>3.4948376196733615</v>
      </c>
      <c r="HE52" s="965">
        <f t="shared" si="382"/>
        <v>3.4948376196733615</v>
      </c>
      <c r="HF52" s="965">
        <f t="shared" si="382"/>
        <v>3.708466303735686</v>
      </c>
      <c r="HG52" s="965">
        <f t="shared" si="382"/>
        <v>3.8567674113009196</v>
      </c>
      <c r="HH52" s="965">
        <f t="shared" si="382"/>
        <v>3.8567674113009196</v>
      </c>
      <c r="HI52" s="965">
        <f t="shared" si="382"/>
        <v>3.8567674113009196</v>
      </c>
      <c r="HJ52" s="965">
        <f t="shared" si="382"/>
        <v>3.8567674113009196</v>
      </c>
      <c r="HK52" s="965">
        <f t="shared" si="382"/>
        <v>3.8567674113009196</v>
      </c>
      <c r="HL52" s="965">
        <f t="shared" si="382"/>
        <v>3.8567674113009196</v>
      </c>
      <c r="HM52" s="965">
        <f t="shared" si="382"/>
        <v>3.8567674113009196</v>
      </c>
      <c r="HN52" s="965">
        <f t="shared" si="382"/>
        <v>3.8567674113009196</v>
      </c>
      <c r="HO52" s="965">
        <f t="shared" si="382"/>
        <v>3.8567674113009196</v>
      </c>
      <c r="HP52" s="965">
        <f t="shared" si="382"/>
        <v>4.8209123333959072</v>
      </c>
      <c r="HQ52" s="965">
        <f t="shared" si="382"/>
        <v>4.8209123333959072</v>
      </c>
      <c r="HR52" s="965">
        <f t="shared" si="382"/>
        <v>4.8209123333959072</v>
      </c>
      <c r="HS52" s="965">
        <f t="shared" si="382"/>
        <v>5.1293410925474001</v>
      </c>
      <c r="HT52" s="965">
        <f t="shared" si="382"/>
        <v>5.1293410925474001</v>
      </c>
      <c r="HU52" s="965">
        <f t="shared" si="382"/>
        <v>5.7448845504036035</v>
      </c>
      <c r="HV52" s="965">
        <f t="shared" si="382"/>
        <v>5.7448845504036035</v>
      </c>
      <c r="HW52" s="965">
        <f t="shared" si="382"/>
        <v>5.7448845504036035</v>
      </c>
      <c r="HX52" s="965">
        <f t="shared" ref="HX52:IO52" si="383">+HX47/$FJ$47</f>
        <v>6.2579312934109259</v>
      </c>
      <c r="HY52" s="965">
        <f t="shared" si="383"/>
        <v>6.2579312934109259</v>
      </c>
      <c r="HZ52" s="965">
        <f t="shared" si="383"/>
        <v>6.5143608034541014</v>
      </c>
      <c r="IA52" s="965">
        <f t="shared" si="383"/>
        <v>6.8734747512671293</v>
      </c>
      <c r="IB52" s="965">
        <f t="shared" si="383"/>
        <v>6.8734747512671293</v>
      </c>
      <c r="IC52" s="965">
        <f t="shared" si="383"/>
        <v>6.8734747512671293</v>
      </c>
      <c r="ID52" s="965">
        <f t="shared" si="383"/>
        <v>7.1299042613103056</v>
      </c>
      <c r="IE52" s="965">
        <f t="shared" si="383"/>
        <v>7.4786934484700573</v>
      </c>
      <c r="IF52" s="965">
        <f t="shared" si="383"/>
        <v>7.8991927914398348</v>
      </c>
      <c r="IG52" s="965">
        <f t="shared" si="383"/>
        <v>7.8991927914398348</v>
      </c>
      <c r="IH52" s="965">
        <f t="shared" si="383"/>
        <v>8.6915712408485071</v>
      </c>
      <c r="II52" s="965">
        <f t="shared" si="383"/>
        <v>9.4800075089168381</v>
      </c>
      <c r="IJ52" s="965">
        <f t="shared" si="383"/>
        <v>9.4800075089168381</v>
      </c>
      <c r="IK52" s="965">
        <f t="shared" si="383"/>
        <v>10.11826544021025</v>
      </c>
      <c r="IL52" s="965">
        <f t="shared" si="383"/>
        <v>11.131969213440961</v>
      </c>
      <c r="IM52" s="965">
        <f t="shared" si="383"/>
        <v>12.164445278768536</v>
      </c>
      <c r="IN52" s="965">
        <f t="shared" si="383"/>
        <v>13.121832175708654</v>
      </c>
      <c r="IO52" s="965">
        <f t="shared" si="383"/>
        <v>13.121832175708654</v>
      </c>
      <c r="IP52" s="2481">
        <f t="shared" ref="IP52:IQ52" si="384">+IP47/$FJ$47</f>
        <v>13.516050309742818</v>
      </c>
      <c r="IQ52" s="2481">
        <f t="shared" si="384"/>
        <v>15.806269945560352</v>
      </c>
    </row>
    <row r="53" spans="3:251" ht="16.5" thickBot="1">
      <c r="C53" s="2625"/>
      <c r="D53" s="2642" t="s">
        <v>678</v>
      </c>
      <c r="E53" s="2643"/>
      <c r="F53" s="1830">
        <f>+F48/$F$23</f>
        <v>1</v>
      </c>
      <c r="G53" s="534">
        <f>+G48/$F$23</f>
        <v>3.0283676703645006</v>
      </c>
      <c r="H53" s="534">
        <f>+H48/$F$23</f>
        <v>3.0469096671949285</v>
      </c>
      <c r="I53" s="534">
        <f>+I48/$F$23</f>
        <v>3.0391442155309036</v>
      </c>
      <c r="J53" s="534">
        <f>+J48/$F$23</f>
        <v>3.2176703645007922</v>
      </c>
      <c r="K53" s="534">
        <v>3.2210000000000001</v>
      </c>
      <c r="L53" s="534">
        <f t="shared" ref="L53:AB53" si="385">+L48/$F$23</f>
        <v>3.2242472266244055</v>
      </c>
      <c r="M53" s="534">
        <f t="shared" si="385"/>
        <v>3.2225039619651348</v>
      </c>
      <c r="N53" s="534">
        <f t="shared" si="385"/>
        <v>3.2225039619651348</v>
      </c>
      <c r="O53" s="534">
        <f t="shared" si="385"/>
        <v>3.187797147385103</v>
      </c>
      <c r="P53" s="534">
        <f t="shared" si="385"/>
        <v>3.1661648177496038</v>
      </c>
      <c r="Q53" s="534">
        <f t="shared" si="385"/>
        <v>3.1661648177496038</v>
      </c>
      <c r="R53" s="534">
        <f t="shared" si="385"/>
        <v>3.1661648177496038</v>
      </c>
      <c r="S53" s="534">
        <f t="shared" si="385"/>
        <v>3.1661648177496038</v>
      </c>
      <c r="T53" s="534">
        <f t="shared" si="385"/>
        <v>3.1661648177496038</v>
      </c>
      <c r="U53" s="534">
        <f t="shared" si="385"/>
        <v>3.1661648177496038</v>
      </c>
      <c r="V53" s="534">
        <f t="shared" si="385"/>
        <v>3.1691759112519806</v>
      </c>
      <c r="W53" s="534">
        <f t="shared" si="385"/>
        <v>3.1691759112519806</v>
      </c>
      <c r="X53" s="534">
        <f t="shared" si="385"/>
        <v>3.1732963549920763</v>
      </c>
      <c r="Y53" s="534">
        <f t="shared" si="385"/>
        <v>3.1753565768621237</v>
      </c>
      <c r="Z53" s="534">
        <f t="shared" si="385"/>
        <v>3.2107765451664023</v>
      </c>
      <c r="AA53" s="534">
        <f t="shared" si="385"/>
        <v>3.2287638668779715</v>
      </c>
      <c r="AB53" s="534">
        <f t="shared" si="385"/>
        <v>3.2432646592709986</v>
      </c>
      <c r="AC53" s="534">
        <f t="shared" ref="AC53:AH53" si="386">+AC48/$F$23</f>
        <v>3.3717115689381933</v>
      </c>
      <c r="AD53" s="534">
        <f t="shared" si="386"/>
        <v>3.4119651347068145</v>
      </c>
      <c r="AE53" s="534">
        <f t="shared" si="386"/>
        <v>3.4137876386687798</v>
      </c>
      <c r="AF53" s="534">
        <f t="shared" si="386"/>
        <v>3.4146592709984152</v>
      </c>
      <c r="AG53" s="534">
        <f t="shared" si="386"/>
        <v>3.4164817749603804</v>
      </c>
      <c r="AH53" s="534">
        <f t="shared" si="386"/>
        <v>3.4164817749603804</v>
      </c>
      <c r="AI53" s="534">
        <f t="shared" ref="AI53:AN53" si="387">+AI48/$F$23</f>
        <v>3.4164817749603804</v>
      </c>
      <c r="AJ53" s="534">
        <f t="shared" si="387"/>
        <v>3.4462757527733756</v>
      </c>
      <c r="AK53" s="534">
        <f t="shared" si="387"/>
        <v>3.443581616481775</v>
      </c>
      <c r="AL53" s="534">
        <f t="shared" si="387"/>
        <v>3.4369255150554676</v>
      </c>
      <c r="AM53" s="534">
        <f t="shared" si="387"/>
        <v>3.4091917591125198</v>
      </c>
      <c r="AN53" s="534">
        <f t="shared" si="387"/>
        <v>3.4091917591125198</v>
      </c>
      <c r="AO53" s="534">
        <f t="shared" ref="AO53:AT53" si="388">+AO48/$F$23</f>
        <v>3.4079239302694133</v>
      </c>
      <c r="AP53" s="534">
        <f t="shared" si="388"/>
        <v>3.4106180665610144</v>
      </c>
      <c r="AQ53" s="534">
        <f t="shared" si="388"/>
        <v>3.4160063391442157</v>
      </c>
      <c r="AR53" s="534">
        <f t="shared" si="388"/>
        <v>3.4160063391442157</v>
      </c>
      <c r="AS53" s="534">
        <f t="shared" si="388"/>
        <v>3.4160063391442157</v>
      </c>
      <c r="AT53" s="534">
        <f t="shared" si="388"/>
        <v>3.4160063391442157</v>
      </c>
      <c r="AU53" s="534">
        <f t="shared" ref="AU53:AZ53" si="389">+AU48/$F$23</f>
        <v>3.4160063391442157</v>
      </c>
      <c r="AV53" s="534">
        <f t="shared" si="389"/>
        <v>3.4962757527733759</v>
      </c>
      <c r="AW53" s="534">
        <f t="shared" si="389"/>
        <v>3.4167987321711566</v>
      </c>
      <c r="AX53" s="534">
        <f t="shared" si="389"/>
        <v>3.4167987321711566</v>
      </c>
      <c r="AY53" s="534">
        <f t="shared" si="389"/>
        <v>3.4171949286846277</v>
      </c>
      <c r="AZ53" s="534">
        <f t="shared" si="389"/>
        <v>3.4171949286846277</v>
      </c>
      <c r="BA53" s="534">
        <f t="shared" ref="BA53:BF53" si="390">+BA48/$F$23</f>
        <v>3.4171949286846277</v>
      </c>
      <c r="BB53" s="534">
        <f t="shared" si="390"/>
        <v>3.4236925515055465</v>
      </c>
      <c r="BC53" s="534">
        <f t="shared" si="390"/>
        <v>3.4171949286846277</v>
      </c>
      <c r="BD53" s="534">
        <f t="shared" si="390"/>
        <v>3.4167987321711566</v>
      </c>
      <c r="BE53" s="534">
        <f t="shared" si="390"/>
        <v>3.4167987321711566</v>
      </c>
      <c r="BF53" s="534">
        <f t="shared" si="390"/>
        <v>3.4167987321711566</v>
      </c>
      <c r="BG53" s="534">
        <f t="shared" ref="BG53:BL53" si="391">+BG48/$F$23</f>
        <v>3.4171949286846277</v>
      </c>
      <c r="BH53" s="534">
        <f t="shared" si="391"/>
        <v>3.4171949286846277</v>
      </c>
      <c r="BI53" s="534">
        <f t="shared" si="391"/>
        <v>3.4171949286846277</v>
      </c>
      <c r="BJ53" s="534">
        <f t="shared" si="391"/>
        <v>3.4514263074484943</v>
      </c>
      <c r="BK53" s="534">
        <f t="shared" si="391"/>
        <v>3.4703645007923929</v>
      </c>
      <c r="BL53" s="534">
        <f t="shared" si="391"/>
        <v>3.5195721077654518</v>
      </c>
      <c r="BM53" s="534">
        <f t="shared" ref="BM53:BR53" si="392">+BM48/$F$23</f>
        <v>3.4942947702060221</v>
      </c>
      <c r="BN53" s="534">
        <f t="shared" si="392"/>
        <v>3.5130744849445326</v>
      </c>
      <c r="BO53" s="534">
        <f t="shared" si="392"/>
        <v>3.5278129952456414</v>
      </c>
      <c r="BP53" s="534">
        <f t="shared" si="392"/>
        <v>3.551664025356577</v>
      </c>
      <c r="BQ53" s="534">
        <f t="shared" si="392"/>
        <v>3.6139461172741676</v>
      </c>
      <c r="BR53" s="534">
        <f t="shared" si="392"/>
        <v>3.5546751188589543</v>
      </c>
      <c r="BS53" s="534">
        <f t="shared" ref="BS53:BX53" si="393">+BS48/$F$23</f>
        <v>3.3311410459587956</v>
      </c>
      <c r="BT53" s="534">
        <f t="shared" si="393"/>
        <v>3.3134706814580035</v>
      </c>
      <c r="BU53" s="534">
        <f t="shared" si="393"/>
        <v>3.3535657686212361</v>
      </c>
      <c r="BV53" s="534">
        <f t="shared" si="393"/>
        <v>3.4767828843106177</v>
      </c>
      <c r="BW53" s="534">
        <f t="shared" si="393"/>
        <v>3.5561014263074484</v>
      </c>
      <c r="BX53" s="534">
        <f t="shared" si="393"/>
        <v>3.5988906497622821</v>
      </c>
      <c r="BY53" s="534">
        <f t="shared" ref="BY53:CD53" si="394">+BY48/$F$23</f>
        <v>3.5713946117274165</v>
      </c>
      <c r="BZ53" s="534">
        <f t="shared" si="394"/>
        <v>3.5900950871632329</v>
      </c>
      <c r="CA53" s="534">
        <f t="shared" si="394"/>
        <v>3.6027733755942948</v>
      </c>
      <c r="CB53" s="534">
        <f t="shared" si="394"/>
        <v>3.6352614896988906</v>
      </c>
      <c r="CC53" s="534">
        <f t="shared" si="394"/>
        <v>3.6705229793977816</v>
      </c>
      <c r="CD53" s="534">
        <f t="shared" si="394"/>
        <v>3.7345483359746434</v>
      </c>
      <c r="CE53" s="534">
        <f t="shared" ref="CE53:CJ53" si="395">+CE48/$F$23</f>
        <v>3.8197305863708397</v>
      </c>
      <c r="CF53" s="534">
        <f t="shared" si="395"/>
        <v>3.929556259904913</v>
      </c>
      <c r="CG53" s="534">
        <f t="shared" si="395"/>
        <v>4.112678288431062</v>
      </c>
      <c r="CH53" s="534">
        <f t="shared" si="395"/>
        <v>4.2389064976228212</v>
      </c>
      <c r="CI53" s="534">
        <f t="shared" si="395"/>
        <v>4.400237717908082</v>
      </c>
      <c r="CJ53" s="534">
        <f t="shared" si="395"/>
        <v>4.6134706814580033</v>
      </c>
      <c r="CK53" s="534">
        <f t="shared" ref="CK53:CP53" si="396">+CK48/$F$23</f>
        <v>4.6324881141045955</v>
      </c>
      <c r="CL53" s="534">
        <f t="shared" si="396"/>
        <v>4.6465134706814579</v>
      </c>
      <c r="CM53" s="534">
        <f t="shared" si="396"/>
        <v>4.7903328050713148</v>
      </c>
      <c r="CN53" s="534">
        <f t="shared" si="396"/>
        <v>4.8083201267828839</v>
      </c>
      <c r="CO53" s="534">
        <f t="shared" si="396"/>
        <v>4.8292393026941367</v>
      </c>
      <c r="CP53" s="534">
        <f t="shared" si="396"/>
        <v>4.8323296354992076</v>
      </c>
      <c r="CQ53" s="534">
        <f t="shared" ref="CQ53:CV53" si="397">+CQ48/$F$23</f>
        <v>4.8387480190174328</v>
      </c>
      <c r="CR53" s="534">
        <f t="shared" si="397"/>
        <v>4.8751980982567353</v>
      </c>
      <c r="CS53" s="534">
        <f t="shared" si="397"/>
        <v>5.0362123613312209</v>
      </c>
      <c r="CT53" s="534">
        <f t="shared" si="397"/>
        <v>5.1943740095087163</v>
      </c>
      <c r="CU53" s="534">
        <f t="shared" si="397"/>
        <v>5.3844690966719488</v>
      </c>
      <c r="CV53" s="534">
        <f t="shared" si="397"/>
        <v>5.4954833597464336</v>
      </c>
      <c r="CW53" s="534">
        <f t="shared" ref="CW53:DB53" si="398">+CW48/$F$23</f>
        <v>5.6232963549920756</v>
      </c>
      <c r="CX53" s="534">
        <f t="shared" si="398"/>
        <v>5.7139461172741681</v>
      </c>
      <c r="CY53" s="534">
        <f t="shared" si="398"/>
        <v>5.7139461172741681</v>
      </c>
      <c r="CZ53" s="1831">
        <f t="shared" si="398"/>
        <v>5.7570522979397776</v>
      </c>
      <c r="DA53" s="1831">
        <f t="shared" si="398"/>
        <v>5.9081616481774963</v>
      </c>
      <c r="DB53" s="1831">
        <f t="shared" si="398"/>
        <v>6.1448494453248808</v>
      </c>
      <c r="DC53" s="1831">
        <f t="shared" ref="DC53:DH53" si="399">+DC48/$F$23</f>
        <v>6.1603803486529323</v>
      </c>
      <c r="DD53" s="1831">
        <f t="shared" si="399"/>
        <v>6.2136291600633911</v>
      </c>
      <c r="DE53" s="1831">
        <f t="shared" si="399"/>
        <v>6.5193343898573692</v>
      </c>
      <c r="DF53" s="1831">
        <f t="shared" si="399"/>
        <v>6.6242472266244059</v>
      </c>
      <c r="DG53" s="1831">
        <f t="shared" si="399"/>
        <v>6.6769413629160059</v>
      </c>
      <c r="DH53" s="1831">
        <f t="shared" si="399"/>
        <v>6.802852614896989</v>
      </c>
      <c r="DI53" s="1831">
        <f t="shared" ref="DI53:DN53" si="400">+DI48/$F$23</f>
        <v>6.8845483359746433</v>
      </c>
      <c r="DJ53" s="1831">
        <f t="shared" si="400"/>
        <v>6.9601426307448495</v>
      </c>
      <c r="DK53" s="1831">
        <f t="shared" si="400"/>
        <v>7.0167987321711562</v>
      </c>
      <c r="DL53" s="1831">
        <f t="shared" si="400"/>
        <v>7.0167987321711562</v>
      </c>
      <c r="DM53" s="1831">
        <f t="shared" si="400"/>
        <v>7.0777337559429476</v>
      </c>
      <c r="DN53" s="1831">
        <f t="shared" si="400"/>
        <v>7.3609350237717912</v>
      </c>
      <c r="DO53" s="1831">
        <f t="shared" ref="DO53:DT53" si="401">+DO48/$F$23</f>
        <v>7.3996830427892233</v>
      </c>
      <c r="DP53" s="1831">
        <f t="shared" si="401"/>
        <v>7.4977020602218705</v>
      </c>
      <c r="DQ53" s="1831">
        <f t="shared" si="401"/>
        <v>7.5372424722662439</v>
      </c>
      <c r="DR53" s="1831">
        <f t="shared" si="401"/>
        <v>7.7045958795562601</v>
      </c>
      <c r="DS53" s="1831">
        <f t="shared" si="401"/>
        <v>7.7067353407290016</v>
      </c>
      <c r="DT53" s="1831">
        <f t="shared" si="401"/>
        <v>7.9125198098256728</v>
      </c>
      <c r="DU53" s="1831">
        <f t="shared" ref="DU53:DZ53" si="402">+DU48/$F$23</f>
        <v>7.9534865293185417</v>
      </c>
      <c r="DV53" s="1831">
        <f t="shared" si="402"/>
        <v>7.9590332805071311</v>
      </c>
      <c r="DW53" s="1831">
        <f t="shared" si="402"/>
        <v>7.9603803486529321</v>
      </c>
      <c r="DX53" s="1831">
        <f t="shared" si="402"/>
        <v>8.0511885895404109</v>
      </c>
      <c r="DY53" s="1831">
        <f t="shared" si="402"/>
        <v>8.0568145800316948</v>
      </c>
      <c r="DZ53" s="1831">
        <f t="shared" si="402"/>
        <v>8.1189381933438973</v>
      </c>
      <c r="EA53" s="1831">
        <f t="shared" ref="EA53:EF53" si="403">+EA48/$F$23</f>
        <v>8.1836767036450073</v>
      </c>
      <c r="EB53" s="1831">
        <f t="shared" si="403"/>
        <v>8.3625198098256721</v>
      </c>
      <c r="EC53" s="1831">
        <f t="shared" si="403"/>
        <v>8.5382725832012678</v>
      </c>
      <c r="ED53" s="1831">
        <f t="shared" si="403"/>
        <v>8.664342313787639</v>
      </c>
      <c r="EE53" s="1831">
        <f t="shared" si="403"/>
        <v>8.7893026941362908</v>
      </c>
      <c r="EF53" s="1831">
        <f t="shared" si="403"/>
        <v>8.8665610142630751</v>
      </c>
      <c r="EG53" s="1831">
        <f t="shared" ref="EG53:EL53" si="404">+EG48/$F$23</f>
        <v>8.9267036450079242</v>
      </c>
      <c r="EH53" s="1831">
        <f t="shared" si="404"/>
        <v>8.9580824088748017</v>
      </c>
      <c r="EI53" s="1831">
        <f t="shared" si="404"/>
        <v>8.9580824088748017</v>
      </c>
      <c r="EJ53" s="1831">
        <f t="shared" si="404"/>
        <v>8.9718700475435806</v>
      </c>
      <c r="EK53" s="1831">
        <f t="shared" si="404"/>
        <v>9.0477812995245639</v>
      </c>
      <c r="EL53" s="1831">
        <f t="shared" si="404"/>
        <v>9.4136291600633903</v>
      </c>
      <c r="EM53" s="1831">
        <f t="shared" ref="EM53:ER53" si="405">+EM48/$F$23</f>
        <v>9.6095879556259902</v>
      </c>
      <c r="EN53" s="1831">
        <f t="shared" si="405"/>
        <v>10.097860538827257</v>
      </c>
      <c r="EO53" s="1831">
        <f t="shared" si="405"/>
        <v>10.886846275752774</v>
      </c>
      <c r="EP53" s="1831">
        <f t="shared" si="405"/>
        <v>10.988748019017432</v>
      </c>
      <c r="EQ53" s="1831">
        <f t="shared" si="405"/>
        <v>11.06648177496038</v>
      </c>
      <c r="ER53" s="1831">
        <f t="shared" si="405"/>
        <v>11.641600633914422</v>
      </c>
      <c r="ES53" s="1831">
        <f t="shared" ref="ES53:EX53" si="406">+ES48/$F$23</f>
        <v>11.707923930269413</v>
      </c>
      <c r="ET53" s="1831">
        <f t="shared" si="406"/>
        <v>11.928288431061805</v>
      </c>
      <c r="EU53" s="1831">
        <f t="shared" si="406"/>
        <v>11.979080824088747</v>
      </c>
      <c r="EV53" s="1831">
        <f t="shared" si="406"/>
        <v>11.980269413629161</v>
      </c>
      <c r="EW53" s="1831">
        <f t="shared" si="406"/>
        <v>11.9797147385103</v>
      </c>
      <c r="EX53" s="1831">
        <f t="shared" si="406"/>
        <v>11.450316957210775</v>
      </c>
      <c r="EY53" s="1831">
        <f t="shared" ref="EY53:FE53" si="407">+EY48/$F$23</f>
        <v>11.588034865293185</v>
      </c>
      <c r="EZ53" s="1831">
        <f t="shared" si="407"/>
        <v>11.73122028526149</v>
      </c>
      <c r="FA53" s="1831">
        <f t="shared" si="407"/>
        <v>11.75324881141046</v>
      </c>
      <c r="FB53" s="1831">
        <f t="shared" si="407"/>
        <v>11.928922345483359</v>
      </c>
      <c r="FC53" s="1831">
        <f t="shared" si="407"/>
        <v>12.168700475435816</v>
      </c>
      <c r="FD53" s="1831">
        <f t="shared" si="407"/>
        <v>12.30729001584786</v>
      </c>
      <c r="FE53" s="1831">
        <f t="shared" si="407"/>
        <v>12.475039619651346</v>
      </c>
      <c r="FF53" s="1831">
        <f t="shared" ref="FF53:FI53" si="408">+FF48/$F$23</f>
        <v>12.499603803486529</v>
      </c>
      <c r="FG53" s="1831">
        <f t="shared" si="408"/>
        <v>12.500316957210776</v>
      </c>
      <c r="FH53" s="1831" t="e">
        <f t="shared" si="408"/>
        <v>#REF!</v>
      </c>
      <c r="FI53" s="1831" t="e">
        <f t="shared" si="408"/>
        <v>#REF!</v>
      </c>
      <c r="FJ53" s="1831">
        <v>1</v>
      </c>
      <c r="FK53" s="1831">
        <f>+FK48/$FJ$48</f>
        <v>1</v>
      </c>
      <c r="FL53" s="1831">
        <f t="shared" ref="FL53:HW53" si="409">+FL48/$FJ$48</f>
        <v>1.0623167753219604</v>
      </c>
      <c r="FM53" s="1831">
        <f t="shared" si="409"/>
        <v>1.1268328986332534</v>
      </c>
      <c r="FN53" s="1831">
        <f t="shared" si="409"/>
        <v>1.2390029444471373</v>
      </c>
      <c r="FO53" s="1831">
        <f t="shared" si="409"/>
        <v>1.2390029444471373</v>
      </c>
      <c r="FP53" s="1831">
        <f t="shared" si="409"/>
        <v>1.2390029444471373</v>
      </c>
      <c r="FQ53" s="1831">
        <f t="shared" si="409"/>
        <v>1.2390029444471373</v>
      </c>
      <c r="FR53" s="1831">
        <f t="shared" si="409"/>
        <v>1.2390029444471373</v>
      </c>
      <c r="FS53" s="1831">
        <f t="shared" si="409"/>
        <v>1.2390029444471373</v>
      </c>
      <c r="FT53" s="1831">
        <f t="shared" si="409"/>
        <v>1.2390029444471373</v>
      </c>
      <c r="FU53" s="1831">
        <f t="shared" si="409"/>
        <v>1.2390029444471373</v>
      </c>
      <c r="FV53" s="1831">
        <f t="shared" si="409"/>
        <v>1.2719941025375421</v>
      </c>
      <c r="FW53" s="1831">
        <f t="shared" si="409"/>
        <v>1.3379765160386372</v>
      </c>
      <c r="FX53" s="1831">
        <f t="shared" si="409"/>
        <v>1.3379765160386372</v>
      </c>
      <c r="FY53" s="1831">
        <f t="shared" si="409"/>
        <v>1.3379765160386372</v>
      </c>
      <c r="FZ53" s="1831">
        <f t="shared" si="409"/>
        <v>1.3035190201548548</v>
      </c>
      <c r="GA53" s="1831">
        <f t="shared" si="409"/>
        <v>1.3035190201548548</v>
      </c>
      <c r="GB53" s="1831">
        <f t="shared" si="409"/>
        <v>1.3819647280564156</v>
      </c>
      <c r="GC53" s="1831">
        <f t="shared" si="409"/>
        <v>1.3819647280564156</v>
      </c>
      <c r="GD53" s="1831">
        <f t="shared" si="409"/>
        <v>1.3819647280564156</v>
      </c>
      <c r="GE53" s="1831">
        <f t="shared" si="409"/>
        <v>1.4252198236531128</v>
      </c>
      <c r="GF53" s="1831">
        <f t="shared" si="409"/>
        <v>1.5117300713493709</v>
      </c>
      <c r="GG53" s="1831">
        <f t="shared" si="409"/>
        <v>1.6028835989488686</v>
      </c>
      <c r="GH53" s="1831">
        <f t="shared" si="409"/>
        <v>1.6028835989488686</v>
      </c>
      <c r="GI53" s="1831">
        <f t="shared" si="409"/>
        <v>1.7944769798011433</v>
      </c>
      <c r="GJ53" s="1831">
        <f t="shared" si="409"/>
        <v>1.7944769798011433</v>
      </c>
      <c r="GK53" s="1831">
        <f t="shared" si="409"/>
        <v>1.8385092862447545</v>
      </c>
      <c r="GL53" s="1831">
        <f t="shared" si="409"/>
        <v>1.8385092862447545</v>
      </c>
      <c r="GM53" s="1831">
        <f t="shared" si="409"/>
        <v>1.8194259436243931</v>
      </c>
      <c r="GN53" s="1831">
        <f t="shared" si="409"/>
        <v>2.0049050131560127</v>
      </c>
      <c r="GO53" s="1831">
        <f t="shared" si="409"/>
        <v>2.1326472286434277</v>
      </c>
      <c r="GP53" s="1831">
        <f t="shared" si="409"/>
        <v>2.4025660318625959</v>
      </c>
      <c r="GQ53" s="1831">
        <f t="shared" si="409"/>
        <v>2.6183567328319306</v>
      </c>
      <c r="GR53" s="1831">
        <f t="shared" si="409"/>
        <v>2.703518280371668</v>
      </c>
      <c r="GS53" s="1831">
        <f t="shared" si="409"/>
        <v>2.7847076528530907</v>
      </c>
      <c r="GT53" s="1831">
        <f t="shared" si="409"/>
        <v>2.6800926123095765</v>
      </c>
      <c r="GU53" s="1831">
        <f t="shared" si="409"/>
        <v>2.9123060375396874</v>
      </c>
      <c r="GV53" s="1831">
        <f t="shared" si="409"/>
        <v>2.9002776608919989</v>
      </c>
      <c r="GW53" s="1831">
        <f t="shared" si="409"/>
        <v>3.0413238791928525</v>
      </c>
      <c r="GX53" s="1831">
        <f t="shared" si="409"/>
        <v>3.1775751889806916</v>
      </c>
      <c r="GY53" s="1831">
        <f t="shared" si="409"/>
        <v>3.2233322717020139</v>
      </c>
      <c r="GZ53" s="1831">
        <f t="shared" si="409"/>
        <v>3.2809598751350739</v>
      </c>
      <c r="HA53" s="1831">
        <f t="shared" si="409"/>
        <v>3.2800943768167268</v>
      </c>
      <c r="HB53" s="1831">
        <f t="shared" si="409"/>
        <v>3.4156467053487893</v>
      </c>
      <c r="HC53" s="1831">
        <f t="shared" si="409"/>
        <v>3.4142142680640974</v>
      </c>
      <c r="HD53" s="1831">
        <f t="shared" si="409"/>
        <v>3.7784777040392208</v>
      </c>
      <c r="HE53" s="1831">
        <f t="shared" si="409"/>
        <v>4.0268392811643059</v>
      </c>
      <c r="HF53" s="1831">
        <f t="shared" si="409"/>
        <v>4.0268392811643059</v>
      </c>
      <c r="HG53" s="1831">
        <f t="shared" si="409"/>
        <v>4.0268392811643059</v>
      </c>
      <c r="HH53" s="1831">
        <f t="shared" si="409"/>
        <v>4.0239469563080208</v>
      </c>
      <c r="HI53" s="1831">
        <f t="shared" si="409"/>
        <v>4.0239469563080208</v>
      </c>
      <c r="HJ53" s="1831">
        <f t="shared" si="409"/>
        <v>4.0268413615993772</v>
      </c>
      <c r="HK53" s="1831">
        <f t="shared" si="409"/>
        <v>4.0220208176817378</v>
      </c>
      <c r="HL53" s="1831">
        <f t="shared" si="409"/>
        <v>4.0220208176817378</v>
      </c>
      <c r="HM53" s="1831">
        <f t="shared" si="409"/>
        <v>4.1377922959636226</v>
      </c>
      <c r="HN53" s="1831">
        <f t="shared" si="409"/>
        <v>4.3199998986525818</v>
      </c>
      <c r="HO53" s="1831">
        <f t="shared" si="409"/>
        <v>4.4819109502054708</v>
      </c>
      <c r="HP53" s="1831">
        <f t="shared" si="409"/>
        <v>4.5348758729160572</v>
      </c>
      <c r="HQ53" s="1831">
        <f t="shared" si="409"/>
        <v>4.8492436468607494</v>
      </c>
      <c r="HR53" s="1831">
        <f t="shared" si="409"/>
        <v>5.0218767206889918</v>
      </c>
      <c r="HS53" s="1831">
        <f t="shared" si="409"/>
        <v>5.5198291365290046</v>
      </c>
      <c r="HT53" s="1831">
        <f t="shared" si="409"/>
        <v>6.2306823285988333</v>
      </c>
      <c r="HU53" s="1831">
        <f t="shared" si="409"/>
        <v>6.6209916262581725</v>
      </c>
      <c r="HV53" s="1831">
        <f t="shared" si="409"/>
        <v>7.204026948334425</v>
      </c>
      <c r="HW53" s="1831">
        <f t="shared" si="409"/>
        <v>7.2086183262547117</v>
      </c>
      <c r="HX53" s="1831">
        <f t="shared" ref="HX53:IO53" si="410">+HX48/$FJ$48</f>
        <v>7.2086183262547117</v>
      </c>
      <c r="HY53" s="1831">
        <f t="shared" si="410"/>
        <v>7.365622942027044</v>
      </c>
      <c r="HZ53" s="1831">
        <f t="shared" si="410"/>
        <v>7.213596484503606</v>
      </c>
      <c r="IA53" s="1831">
        <f t="shared" si="410"/>
        <v>7.2151995059446064</v>
      </c>
      <c r="IB53" s="1831">
        <f t="shared" si="410"/>
        <v>7.2151995059446064</v>
      </c>
      <c r="IC53" s="1831">
        <f t="shared" si="410"/>
        <v>7.2019703172648395</v>
      </c>
      <c r="ID53" s="1831">
        <f t="shared" si="410"/>
        <v>7.2247873196716537</v>
      </c>
      <c r="IE53" s="1831">
        <f t="shared" si="410"/>
        <v>7.8780211540954568</v>
      </c>
      <c r="IF53" s="1831">
        <f t="shared" si="410"/>
        <v>8.7654486341404105</v>
      </c>
      <c r="IG53" s="1831">
        <f t="shared" si="410"/>
        <v>9.0400465949773832</v>
      </c>
      <c r="IH53" s="1831">
        <f t="shared" si="410"/>
        <v>10.157322678977032</v>
      </c>
      <c r="II53" s="1831">
        <f t="shared" si="410"/>
        <v>11.522249070713279</v>
      </c>
      <c r="IJ53" s="1831">
        <f t="shared" si="410"/>
        <v>11.906598575097327</v>
      </c>
      <c r="IK53" s="1831">
        <f t="shared" si="410"/>
        <v>12.289559347980576</v>
      </c>
      <c r="IL53" s="1831">
        <f t="shared" si="410"/>
        <v>12.289559347980576</v>
      </c>
      <c r="IM53" s="1831">
        <f t="shared" si="410"/>
        <v>13.174690357507547</v>
      </c>
      <c r="IN53" s="1831">
        <f t="shared" si="410"/>
        <v>15.791508115437905</v>
      </c>
      <c r="IO53" s="1831">
        <f t="shared" si="410"/>
        <v>17.45144067023179</v>
      </c>
      <c r="IP53" s="2482">
        <f t="shared" ref="IP53:IQ53" si="411">+IP48/$FJ$48</f>
        <v>17.752633047281478</v>
      </c>
      <c r="IQ53" s="2482">
        <f t="shared" si="411"/>
        <v>19.341216942843548</v>
      </c>
    </row>
    <row r="54" spans="3:251" ht="9" customHeight="1">
      <c r="C54" s="2654" t="s">
        <v>823</v>
      </c>
      <c r="D54" s="2655"/>
      <c r="E54" s="2655"/>
      <c r="F54" s="1832"/>
      <c r="G54" s="1822"/>
      <c r="H54" s="1822"/>
      <c r="I54" s="1822"/>
      <c r="J54" s="1822"/>
      <c r="K54" s="1822"/>
      <c r="L54" s="1822"/>
      <c r="M54" s="1822"/>
      <c r="N54" s="1822"/>
      <c r="O54" s="1822"/>
      <c r="P54" s="1822"/>
      <c r="Q54" s="1822"/>
      <c r="R54" s="1822"/>
      <c r="S54" s="1833"/>
      <c r="T54" s="1833"/>
      <c r="U54" s="1822"/>
      <c r="V54" s="1833"/>
      <c r="W54" s="1822"/>
      <c r="X54" s="1822"/>
      <c r="Y54" s="1833"/>
      <c r="Z54" s="1822"/>
      <c r="AA54" s="1822"/>
      <c r="AB54" s="1822"/>
      <c r="AC54" s="1822"/>
      <c r="AD54" s="1822"/>
      <c r="AE54" s="1822"/>
      <c r="AF54" s="1822"/>
      <c r="AG54" s="1822"/>
      <c r="AH54" s="1822"/>
      <c r="AI54" s="1822"/>
      <c r="AJ54" s="1822"/>
      <c r="AK54" s="1822"/>
      <c r="AL54" s="1822"/>
      <c r="AM54" s="1822"/>
      <c r="AN54" s="1822"/>
      <c r="AO54" s="1822"/>
      <c r="AP54" s="1822"/>
      <c r="AQ54" s="1822"/>
      <c r="AR54" s="1822"/>
      <c r="AS54" s="1822"/>
      <c r="AT54" s="1822"/>
      <c r="AU54" s="1822"/>
      <c r="AV54" s="1822"/>
      <c r="AW54" s="1822"/>
      <c r="AX54" s="1822"/>
      <c r="AY54" s="1822"/>
      <c r="AZ54" s="1822"/>
      <c r="BA54" s="1822"/>
      <c r="BB54" s="1822"/>
      <c r="BC54" s="1822"/>
      <c r="BD54" s="1822"/>
      <c r="BE54" s="1822"/>
      <c r="BF54" s="1822"/>
      <c r="BG54" s="1822"/>
      <c r="BH54" s="1822"/>
      <c r="BI54" s="1822"/>
      <c r="BJ54" s="1822"/>
      <c r="BK54" s="1822"/>
      <c r="BL54" s="1822"/>
      <c r="BM54" s="1822"/>
      <c r="BN54" s="1822"/>
      <c r="BO54" s="1822"/>
      <c r="BP54" s="1822"/>
      <c r="BQ54" s="1822"/>
      <c r="BR54" s="1822"/>
      <c r="BS54" s="1822"/>
      <c r="BT54" s="1822"/>
      <c r="BU54" s="1822"/>
      <c r="BV54" s="1822"/>
      <c r="BW54" s="1822"/>
      <c r="BX54" s="1822"/>
      <c r="BY54" s="1822"/>
      <c r="BZ54" s="1822"/>
      <c r="CA54" s="1822"/>
      <c r="CB54" s="1822"/>
      <c r="CC54" s="1822"/>
      <c r="CD54" s="1822"/>
      <c r="CE54" s="1822"/>
      <c r="CF54" s="1822"/>
      <c r="CG54" s="1822"/>
      <c r="CH54" s="1822"/>
      <c r="CI54" s="1822"/>
      <c r="CJ54" s="1822"/>
      <c r="CK54" s="1822"/>
      <c r="CL54" s="1822"/>
      <c r="CM54" s="1822"/>
      <c r="CN54" s="1822"/>
      <c r="CO54" s="1822"/>
      <c r="CP54" s="1822"/>
      <c r="CQ54" s="1822"/>
      <c r="CR54" s="1822"/>
      <c r="CS54" s="1822"/>
      <c r="CT54" s="1822"/>
      <c r="CU54" s="1822"/>
      <c r="CV54" s="1822"/>
      <c r="CW54" s="1822"/>
      <c r="CX54" s="1822"/>
      <c r="CY54" s="1822"/>
      <c r="CZ54" s="1834"/>
      <c r="DA54" s="1834"/>
      <c r="DB54" s="1834"/>
      <c r="DC54" s="1834"/>
      <c r="DD54" s="1834"/>
      <c r="DE54" s="1834"/>
      <c r="DF54" s="1834"/>
      <c r="DG54" s="1834"/>
      <c r="DH54" s="1834"/>
      <c r="DI54" s="1834"/>
      <c r="DJ54" s="1834"/>
      <c r="DK54" s="1834"/>
      <c r="DL54" s="1834"/>
      <c r="DM54" s="1834"/>
      <c r="DN54" s="1834"/>
      <c r="DO54" s="1834"/>
      <c r="DP54" s="1834"/>
      <c r="DQ54" s="1834"/>
      <c r="DR54" s="1834"/>
      <c r="DS54" s="1834"/>
      <c r="DT54" s="1834"/>
      <c r="DU54" s="1834"/>
      <c r="DV54" s="1834"/>
      <c r="DW54" s="1834"/>
      <c r="DX54" s="1834"/>
      <c r="DY54" s="1834"/>
      <c r="DZ54" s="1834"/>
      <c r="EA54" s="1834"/>
      <c r="EB54" s="1834"/>
      <c r="EC54" s="1834"/>
      <c r="ED54" s="1834"/>
      <c r="EE54" s="1834"/>
      <c r="EF54" s="1834"/>
      <c r="EG54" s="1834"/>
      <c r="EH54" s="1834"/>
      <c r="EI54" s="1834"/>
      <c r="EJ54" s="1834"/>
      <c r="EK54" s="1834"/>
      <c r="EL54" s="1835"/>
      <c r="EM54" s="1835"/>
      <c r="EN54" s="1835"/>
      <c r="EO54" s="1835"/>
      <c r="EP54" s="1835"/>
      <c r="EQ54" s="1835"/>
      <c r="ER54" s="1835"/>
      <c r="ES54" s="1835"/>
      <c r="ET54" s="1835"/>
      <c r="EU54" s="1835"/>
      <c r="EV54" s="1835"/>
      <c r="EW54" s="1835"/>
      <c r="EX54" s="1835"/>
      <c r="EY54" s="1835"/>
      <c r="EZ54" s="1835"/>
      <c r="FA54" s="1835"/>
      <c r="FB54" s="1835"/>
      <c r="FC54" s="1835"/>
      <c r="FD54" s="1835"/>
      <c r="FE54" s="1835"/>
      <c r="FF54" s="1835"/>
      <c r="FG54" s="1835"/>
      <c r="FH54" s="1835"/>
      <c r="FI54" s="1835"/>
      <c r="FJ54" s="1835"/>
      <c r="FK54" s="1835"/>
      <c r="FL54" s="1835"/>
      <c r="FM54" s="1835"/>
      <c r="FN54" s="1835"/>
      <c r="FO54" s="1835"/>
      <c r="FP54" s="1835"/>
      <c r="FQ54" s="1835"/>
      <c r="FR54" s="1835"/>
      <c r="FS54" s="1835"/>
      <c r="FT54" s="1835"/>
      <c r="FU54" s="1835"/>
      <c r="FV54" s="1835"/>
      <c r="FW54" s="1835"/>
      <c r="FX54" s="1835"/>
      <c r="FY54" s="1835"/>
      <c r="FZ54" s="1835"/>
      <c r="GA54" s="1835"/>
      <c r="GB54" s="1835"/>
      <c r="GC54" s="1835"/>
      <c r="GD54" s="1835"/>
      <c r="GE54" s="1835"/>
      <c r="GF54" s="1835"/>
      <c r="GG54" s="1835"/>
      <c r="GH54" s="1835"/>
      <c r="GI54" s="1835"/>
      <c r="GJ54" s="1835"/>
      <c r="GK54" s="1835"/>
      <c r="GL54" s="1835"/>
      <c r="GM54" s="1835"/>
      <c r="GN54" s="1835"/>
      <c r="GO54" s="1835"/>
      <c r="GP54" s="1835"/>
      <c r="GQ54" s="1835"/>
      <c r="GR54" s="1835"/>
      <c r="GS54" s="1835"/>
      <c r="GT54" s="1835"/>
      <c r="GU54" s="1835"/>
      <c r="GV54" s="1835"/>
      <c r="GW54" s="1835"/>
      <c r="GX54" s="1835"/>
      <c r="GY54" s="1835"/>
      <c r="GZ54" s="1835"/>
      <c r="HA54" s="1835"/>
      <c r="HB54" s="1835"/>
      <c r="HC54" s="1835"/>
      <c r="HD54" s="1835"/>
      <c r="HE54" s="1836"/>
      <c r="HF54" s="1916"/>
      <c r="HG54" s="1825"/>
      <c r="HH54" s="1825"/>
      <c r="HI54" s="1825"/>
      <c r="HJ54" s="1825"/>
      <c r="HK54" s="1825"/>
      <c r="HL54" s="1825"/>
      <c r="HM54" s="1825"/>
      <c r="HN54" s="1825"/>
      <c r="HO54" s="1825"/>
      <c r="HP54" s="1825"/>
      <c r="HQ54" s="1917"/>
      <c r="HR54" s="1916"/>
      <c r="HS54" s="1825"/>
      <c r="HT54" s="1825"/>
      <c r="HU54" s="1825"/>
      <c r="HV54" s="1825"/>
      <c r="HW54" s="1825"/>
      <c r="HX54" s="1825"/>
      <c r="HY54" s="1825"/>
      <c r="HZ54" s="1825"/>
      <c r="IA54" s="1825"/>
      <c r="IB54" s="1825"/>
      <c r="IC54" s="2353"/>
      <c r="ID54" s="1825"/>
      <c r="IE54" s="1825"/>
      <c r="IF54" s="1825"/>
      <c r="IG54" s="1825"/>
      <c r="IH54" s="1825"/>
      <c r="II54" s="1825"/>
      <c r="IJ54" s="1825"/>
      <c r="IK54" s="2353"/>
      <c r="IL54" s="2353"/>
      <c r="IM54" s="2353"/>
      <c r="IN54" s="1825"/>
      <c r="IO54" s="1917"/>
      <c r="IP54" s="1917"/>
      <c r="IQ54" s="1917"/>
    </row>
    <row r="55" spans="3:251" ht="32.25" customHeight="1" thickBot="1">
      <c r="C55" s="2656"/>
      <c r="D55" s="2657"/>
      <c r="E55" s="2657"/>
      <c r="F55" s="1837">
        <f>+($F$37*F50+F51*$F$38+F52*$F$39+F53*$F$40)*100</f>
        <v>100</v>
      </c>
      <c r="G55" s="1838">
        <f>+($F$37*G50+G51*$F$38+G52*$F$39+G53*$F$40)*100</f>
        <v>245.87571233649248</v>
      </c>
      <c r="H55" s="1838">
        <f>+($F$37*H50+H51*$F$38+H52*$F$39+H53*$F$40)*100</f>
        <v>246.99320770677079</v>
      </c>
      <c r="I55" s="1838">
        <f>+($F$37*I50+I51*$F$38+I52*$F$39+I53*$F$40)*100</f>
        <v>247.22168600781256</v>
      </c>
      <c r="J55" s="1838">
        <f>+($F$37*J50+J51*$F$38+J52*$F$39+J53*$F$40)*100</f>
        <v>252.63396996044332</v>
      </c>
      <c r="K55" s="1839">
        <f t="shared" ref="K55:AB55" si="412">ROUND((+($F$37*K50+K51*$F$38+K52*$F$39+K53*$F$40)*100),2)</f>
        <v>252.47</v>
      </c>
      <c r="L55" s="1840">
        <f t="shared" si="412"/>
        <v>253</v>
      </c>
      <c r="M55" s="1840">
        <f t="shared" si="412"/>
        <v>252.4</v>
      </c>
      <c r="N55" s="1840">
        <f t="shared" si="412"/>
        <v>252.16</v>
      </c>
      <c r="O55" s="1840">
        <f t="shared" si="412"/>
        <v>251.88</v>
      </c>
      <c r="P55" s="1840">
        <f t="shared" si="412"/>
        <v>252.55</v>
      </c>
      <c r="Q55" s="1840">
        <f t="shared" si="412"/>
        <v>254.14</v>
      </c>
      <c r="R55" s="1840">
        <f t="shared" si="412"/>
        <v>254.05</v>
      </c>
      <c r="S55" s="1840">
        <f t="shared" si="412"/>
        <v>254.45</v>
      </c>
      <c r="T55" s="1840">
        <f t="shared" si="412"/>
        <v>255.04</v>
      </c>
      <c r="U55" s="1840">
        <f t="shared" si="412"/>
        <v>257.42</v>
      </c>
      <c r="V55" s="1840">
        <f t="shared" si="412"/>
        <v>259.52</v>
      </c>
      <c r="W55" s="1840">
        <f t="shared" si="412"/>
        <v>262.14</v>
      </c>
      <c r="X55" s="1840">
        <f t="shared" si="412"/>
        <v>264.74</v>
      </c>
      <c r="Y55" s="1840">
        <f t="shared" si="412"/>
        <v>266.5</v>
      </c>
      <c r="Z55" s="1840">
        <f t="shared" si="412"/>
        <v>270.61</v>
      </c>
      <c r="AA55" s="1840">
        <f t="shared" si="412"/>
        <v>272.95999999999998</v>
      </c>
      <c r="AB55" s="1840">
        <f t="shared" si="412"/>
        <v>273.8</v>
      </c>
      <c r="AC55" s="1840">
        <f t="shared" ref="AC55:AH55" si="413">ROUND((+($F$37*AC50+AC51*$F$38+AC52*$F$39+AC53*$F$40)*100),2)</f>
        <v>280.14</v>
      </c>
      <c r="AD55" s="1840">
        <f t="shared" si="413"/>
        <v>282.02</v>
      </c>
      <c r="AE55" s="1840">
        <f t="shared" si="413"/>
        <v>282.33</v>
      </c>
      <c r="AF55" s="1840">
        <f t="shared" si="413"/>
        <v>282.41000000000003</v>
      </c>
      <c r="AG55" s="1840">
        <f t="shared" si="413"/>
        <v>283.58999999999997</v>
      </c>
      <c r="AH55" s="1840">
        <f t="shared" si="413"/>
        <v>274.52999999999997</v>
      </c>
      <c r="AI55" s="1840">
        <f t="shared" ref="AI55:AN55" si="414">ROUND((+($F$37*AI50+AI51*$F$38+AI52*$F$39+AI53*$F$40)*100),2)</f>
        <v>289.41000000000003</v>
      </c>
      <c r="AJ55" s="1840">
        <f t="shared" si="414"/>
        <v>297.60000000000002</v>
      </c>
      <c r="AK55" s="1840">
        <f t="shared" si="414"/>
        <v>298.52999999999997</v>
      </c>
      <c r="AL55" s="1840">
        <f t="shared" si="414"/>
        <v>298.66000000000003</v>
      </c>
      <c r="AM55" s="1840">
        <f t="shared" si="414"/>
        <v>297.56</v>
      </c>
      <c r="AN55" s="1840">
        <f t="shared" si="414"/>
        <v>297.58999999999997</v>
      </c>
      <c r="AO55" s="1840">
        <f t="shared" ref="AO55:AT55" si="415">ROUND((+($F$37*AO50+AO51*$F$38+AO52*$F$39+AO53*$F$40)*100),2)</f>
        <v>298.42</v>
      </c>
      <c r="AP55" s="1840">
        <f t="shared" si="415"/>
        <v>300.43</v>
      </c>
      <c r="AQ55" s="1840">
        <f t="shared" si="415"/>
        <v>301.58</v>
      </c>
      <c r="AR55" s="1840">
        <f t="shared" si="415"/>
        <v>307.43</v>
      </c>
      <c r="AS55" s="1840">
        <f t="shared" si="415"/>
        <v>309.67</v>
      </c>
      <c r="AT55" s="1840">
        <f t="shared" si="415"/>
        <v>312.11</v>
      </c>
      <c r="AU55" s="1840">
        <f t="shared" ref="AU55:AZ55" si="416">ROUND((+($F$37*AU50+AU51*$F$38+AU52*$F$39+AU53*$F$40)*100),2)</f>
        <v>312.97000000000003</v>
      </c>
      <c r="AV55" s="1840">
        <f t="shared" si="416"/>
        <v>317.39999999999998</v>
      </c>
      <c r="AW55" s="1840">
        <f t="shared" si="416"/>
        <v>315.7</v>
      </c>
      <c r="AX55" s="1840">
        <f t="shared" si="416"/>
        <v>318.86</v>
      </c>
      <c r="AY55" s="1840">
        <f t="shared" si="416"/>
        <v>320.68</v>
      </c>
      <c r="AZ55" s="1840">
        <f t="shared" si="416"/>
        <v>323.76</v>
      </c>
      <c r="BA55" s="1840">
        <f t="shared" ref="BA55:BF55" si="417">ROUND((+($F$37*BA50+BA51*$F$38+BA52*$F$39+BA53*$F$40)*100),2)</f>
        <v>325.2</v>
      </c>
      <c r="BB55" s="1840">
        <f t="shared" si="417"/>
        <v>319.02</v>
      </c>
      <c r="BC55" s="1840">
        <f t="shared" si="417"/>
        <v>330.18</v>
      </c>
      <c r="BD55" s="1840">
        <f t="shared" si="417"/>
        <v>330</v>
      </c>
      <c r="BE55" s="1840">
        <f t="shared" si="417"/>
        <v>330.71</v>
      </c>
      <c r="BF55" s="1840">
        <f t="shared" si="417"/>
        <v>333.96</v>
      </c>
      <c r="BG55" s="1840">
        <f t="shared" ref="BG55:BL55" si="418">ROUND((+($F$37*BG50+BG51*$F$38+BG52*$F$39+BG53*$F$40)*100),2)</f>
        <v>335.15</v>
      </c>
      <c r="BH55" s="1840">
        <f t="shared" si="418"/>
        <v>335.61</v>
      </c>
      <c r="BI55" s="1840">
        <f t="shared" si="418"/>
        <v>337</v>
      </c>
      <c r="BJ55" s="1840">
        <f t="shared" si="418"/>
        <v>344.55</v>
      </c>
      <c r="BK55" s="1840">
        <f t="shared" si="418"/>
        <v>346.3</v>
      </c>
      <c r="BL55" s="1840">
        <f t="shared" si="418"/>
        <v>352.67</v>
      </c>
      <c r="BM55" s="1840">
        <f t="shared" ref="BM55:BR55" si="419">ROUND((+($F$37*BM50+BM51*$F$38+BM52*$F$39+BM53*$F$40)*100),2)</f>
        <v>355.28</v>
      </c>
      <c r="BN55" s="1840">
        <f t="shared" si="419"/>
        <v>357.85</v>
      </c>
      <c r="BO55" s="1840">
        <f t="shared" si="419"/>
        <v>360.5</v>
      </c>
      <c r="BP55" s="1840">
        <f t="shared" si="419"/>
        <v>363.83</v>
      </c>
      <c r="BQ55" s="1840">
        <f t="shared" si="419"/>
        <v>374.17</v>
      </c>
      <c r="BR55" s="1840">
        <f t="shared" si="419"/>
        <v>371.24</v>
      </c>
      <c r="BS55" s="1840">
        <f t="shared" ref="BS55:BX55" si="420">ROUND((+($F$37*BS50+BS51*$F$38+BS52*$F$39+BS53*$F$40)*100),2)</f>
        <v>363.27</v>
      </c>
      <c r="BT55" s="1840">
        <f t="shared" si="420"/>
        <v>366.39</v>
      </c>
      <c r="BU55" s="1840">
        <f t="shared" si="420"/>
        <v>375.54</v>
      </c>
      <c r="BV55" s="1840">
        <f t="shared" si="420"/>
        <v>383.43</v>
      </c>
      <c r="BW55" s="1840">
        <f t="shared" si="420"/>
        <v>389.57</v>
      </c>
      <c r="BX55" s="1840">
        <f t="shared" si="420"/>
        <v>398.65</v>
      </c>
      <c r="BY55" s="1840">
        <f t="shared" ref="BY55:CD55" si="421">ROUND((+($F$37*BY50+BY51*$F$38+BY52*$F$39+BY53*$F$40)*100),2)</f>
        <v>399.95</v>
      </c>
      <c r="BZ55" s="1840">
        <f t="shared" si="421"/>
        <v>404.52</v>
      </c>
      <c r="CA55" s="1840">
        <f t="shared" si="421"/>
        <v>407.99</v>
      </c>
      <c r="CB55" s="1840">
        <f t="shared" si="421"/>
        <v>411.81</v>
      </c>
      <c r="CC55" s="1840">
        <f t="shared" si="421"/>
        <v>414.31</v>
      </c>
      <c r="CD55" s="1840">
        <f t="shared" si="421"/>
        <v>418.66</v>
      </c>
      <c r="CE55" s="1840">
        <f t="shared" ref="CE55:CJ55" si="422">ROUND((+($F$37*CE50+CE51*$F$38+CE52*$F$39+CE53*$F$40)*100),2)</f>
        <v>422.92</v>
      </c>
      <c r="CF55" s="1840">
        <f t="shared" si="422"/>
        <v>428.88</v>
      </c>
      <c r="CG55" s="1840">
        <f t="shared" si="422"/>
        <v>437.65</v>
      </c>
      <c r="CH55" s="1840">
        <f t="shared" si="422"/>
        <v>446.67</v>
      </c>
      <c r="CI55" s="1840">
        <f t="shared" si="422"/>
        <v>456.51</v>
      </c>
      <c r="CJ55" s="1840">
        <f t="shared" si="422"/>
        <v>466.98</v>
      </c>
      <c r="CK55" s="1840">
        <f t="shared" ref="CK55:CP55" si="423">ROUND((+($F$37*CK50+CK51*$F$38+CK52*$F$39+CK53*$F$40)*100),2)</f>
        <v>471.14</v>
      </c>
      <c r="CL55" s="1840">
        <f t="shared" si="423"/>
        <v>473.86</v>
      </c>
      <c r="CM55" s="1840">
        <f t="shared" si="423"/>
        <v>484.62</v>
      </c>
      <c r="CN55" s="1840">
        <f t="shared" si="423"/>
        <v>486.64</v>
      </c>
      <c r="CO55" s="1840">
        <f t="shared" si="423"/>
        <v>488.27</v>
      </c>
      <c r="CP55" s="1840">
        <f t="shared" si="423"/>
        <v>488.93</v>
      </c>
      <c r="CQ55" s="1840">
        <f t="shared" ref="CQ55:CV55" si="424">ROUND((+($F$37*CQ50+CQ51*$F$38+CQ52*$F$39+CQ53*$F$40)*100),2)</f>
        <v>493.43</v>
      </c>
      <c r="CR55" s="1840">
        <f t="shared" si="424"/>
        <v>503.29</v>
      </c>
      <c r="CS55" s="1840">
        <f t="shared" si="424"/>
        <v>514.30999999999995</v>
      </c>
      <c r="CT55" s="1840">
        <f t="shared" si="424"/>
        <v>528.45000000000005</v>
      </c>
      <c r="CU55" s="1840">
        <f t="shared" si="424"/>
        <v>539.11</v>
      </c>
      <c r="CV55" s="1840">
        <f t="shared" si="424"/>
        <v>547.04</v>
      </c>
      <c r="CW55" s="1840">
        <f t="shared" ref="CW55:DB55" si="425">ROUND((+($F$37*CW50+CW51*$F$38+CW52*$F$39+CW53*$F$40)*100),2)</f>
        <v>559.29</v>
      </c>
      <c r="CX55" s="1840">
        <f t="shared" si="425"/>
        <v>565.58000000000004</v>
      </c>
      <c r="CY55" s="1840">
        <f t="shared" si="425"/>
        <v>571.22</v>
      </c>
      <c r="CZ55" s="1838">
        <f t="shared" si="425"/>
        <v>578.04</v>
      </c>
      <c r="DA55" s="1838">
        <f t="shared" si="425"/>
        <v>595.89</v>
      </c>
      <c r="DB55" s="1838">
        <f t="shared" si="425"/>
        <v>607.46</v>
      </c>
      <c r="DC55" s="1838">
        <f t="shared" ref="DC55:DH55" si="426">ROUND((+($F$37*DC50+DC51*$F$38+DC52*$F$39+DC53*$F$40)*100),2)</f>
        <v>610.01</v>
      </c>
      <c r="DD55" s="1838">
        <f t="shared" si="426"/>
        <v>616.82000000000005</v>
      </c>
      <c r="DE55" s="1838">
        <f t="shared" si="426"/>
        <v>645.44000000000005</v>
      </c>
      <c r="DF55" s="1838">
        <f t="shared" si="426"/>
        <v>652.25</v>
      </c>
      <c r="DG55" s="1838">
        <f t="shared" si="426"/>
        <v>660.54</v>
      </c>
      <c r="DH55" s="1838">
        <f t="shared" si="426"/>
        <v>676.28</v>
      </c>
      <c r="DI55" s="1838">
        <f t="shared" ref="DI55:DN55" si="427">ROUND((+($F$37*DI50+DI51*$F$38+DI52*$F$39+DI53*$F$40)*100),2)</f>
        <v>687.2</v>
      </c>
      <c r="DJ55" s="1838">
        <f t="shared" si="427"/>
        <v>695.23</v>
      </c>
      <c r="DK55" s="1838">
        <f t="shared" si="427"/>
        <v>702.78</v>
      </c>
      <c r="DL55" s="1838">
        <f t="shared" si="427"/>
        <v>713.65</v>
      </c>
      <c r="DM55" s="1838">
        <f t="shared" si="427"/>
        <v>719.13</v>
      </c>
      <c r="DN55" s="1838">
        <f t="shared" si="427"/>
        <v>731.6</v>
      </c>
      <c r="DO55" s="1838">
        <f t="shared" ref="DO55:DT55" si="428">ROUND((+($F$37*DO50+DO51*$F$38+DO52*$F$39+DO53*$F$40)*100),2)</f>
        <v>738.45</v>
      </c>
      <c r="DP55" s="1838">
        <f t="shared" si="428"/>
        <v>747.73</v>
      </c>
      <c r="DQ55" s="1838">
        <f t="shared" si="428"/>
        <v>753.54</v>
      </c>
      <c r="DR55" s="1838">
        <f t="shared" si="428"/>
        <v>763.17</v>
      </c>
      <c r="DS55" s="1838">
        <f t="shared" si="428"/>
        <v>794.67</v>
      </c>
      <c r="DT55" s="1838">
        <f t="shared" si="428"/>
        <v>808.13</v>
      </c>
      <c r="DU55" s="1838">
        <f t="shared" ref="DU55:DZ55" si="429">ROUND((+($F$37*DU50+DU51*$F$38+DU52*$F$39+DU53*$F$40)*100),2)</f>
        <v>813.51</v>
      </c>
      <c r="DV55" s="1838">
        <f t="shared" si="429"/>
        <v>820.75</v>
      </c>
      <c r="DW55" s="1838">
        <f t="shared" si="429"/>
        <v>823.9</v>
      </c>
      <c r="DX55" s="1838">
        <f t="shared" si="429"/>
        <v>833.05</v>
      </c>
      <c r="DY55" s="1838">
        <f t="shared" si="429"/>
        <v>836.36</v>
      </c>
      <c r="DZ55" s="1838">
        <f t="shared" si="429"/>
        <v>845.45</v>
      </c>
      <c r="EA55" s="1838">
        <f t="shared" ref="EA55:EF55" si="430">ROUND((+($F$37*EA50+EA51*$F$38+EA52*$F$39+EA53*$F$40)*100),2)</f>
        <v>852.54</v>
      </c>
      <c r="EB55" s="1838">
        <f t="shared" si="430"/>
        <v>864.19</v>
      </c>
      <c r="EC55" s="1838">
        <f t="shared" si="430"/>
        <v>877.46</v>
      </c>
      <c r="ED55" s="1838">
        <f t="shared" si="430"/>
        <v>888.06</v>
      </c>
      <c r="EE55" s="1838">
        <f t="shared" si="430"/>
        <v>925.55</v>
      </c>
      <c r="EF55" s="1838">
        <f t="shared" si="430"/>
        <v>937.19</v>
      </c>
      <c r="EG55" s="1838">
        <f t="shared" ref="EG55:EL55" si="431">ROUND((+($F$37*EG50+EG51*$F$38+EG52*$F$39+EG53*$F$40)*100),2)</f>
        <v>944.42</v>
      </c>
      <c r="EH55" s="1838">
        <f t="shared" si="431"/>
        <v>961.54</v>
      </c>
      <c r="EI55" s="1838">
        <f t="shared" si="431"/>
        <v>965.59</v>
      </c>
      <c r="EJ55" s="1838">
        <f t="shared" si="431"/>
        <v>972.53</v>
      </c>
      <c r="EK55" s="1838">
        <f t="shared" si="431"/>
        <v>983.15</v>
      </c>
      <c r="EL55" s="1838">
        <f t="shared" si="431"/>
        <v>1017.47</v>
      </c>
      <c r="EM55" s="1838">
        <f t="shared" ref="EM55:ER55" si="432">ROUND((+($F$37*EM50+EM51*$F$38+EM52*$F$39+EM53*$F$40)*100),2)</f>
        <v>1056.5999999999999</v>
      </c>
      <c r="EN55" s="1838">
        <f t="shared" si="432"/>
        <v>1095.83</v>
      </c>
      <c r="EO55" s="1838">
        <f t="shared" si="432"/>
        <v>1169.44</v>
      </c>
      <c r="EP55" s="1838">
        <f t="shared" si="432"/>
        <v>1182.1300000000001</v>
      </c>
      <c r="EQ55" s="1838">
        <f t="shared" si="432"/>
        <v>1193.6099999999999</v>
      </c>
      <c r="ER55" s="1838">
        <f t="shared" si="432"/>
        <v>1246.46</v>
      </c>
      <c r="ES55" s="1838">
        <f t="shared" ref="ES55:EX55" si="433">ROUND((+($F$37*ES50+ES51*$F$38+ES52*$F$39+ES53*$F$40)*100),2)</f>
        <v>1253.44</v>
      </c>
      <c r="ET55" s="1838">
        <f t="shared" si="433"/>
        <v>1267.6099999999999</v>
      </c>
      <c r="EU55" s="1838">
        <f t="shared" si="433"/>
        <v>1279.4100000000001</v>
      </c>
      <c r="EV55" s="1838">
        <f t="shared" si="433"/>
        <v>1285.8900000000001</v>
      </c>
      <c r="EW55" s="1838">
        <f t="shared" si="433"/>
        <v>1295.17</v>
      </c>
      <c r="EX55" s="1838">
        <f t="shared" si="433"/>
        <v>1278.8699999999999</v>
      </c>
      <c r="EY55" s="1838">
        <f t="shared" ref="EY55:FE55" si="434">ROUND((+($F$37*EY50+EY51*$F$38+EY52*$F$39+EY53*$F$40)*100),2)</f>
        <v>1286.6300000000001</v>
      </c>
      <c r="EZ55" s="1838">
        <f t="shared" si="434"/>
        <v>1305.07</v>
      </c>
      <c r="FA55" s="1838">
        <f t="shared" si="434"/>
        <v>1349.16</v>
      </c>
      <c r="FB55" s="1838">
        <f t="shared" si="434"/>
        <v>1359.89</v>
      </c>
      <c r="FC55" s="1838">
        <f t="shared" si="434"/>
        <v>1376.45</v>
      </c>
      <c r="FD55" s="1838">
        <f t="shared" si="434"/>
        <v>1391.61</v>
      </c>
      <c r="FE55" s="1838">
        <f t="shared" si="434"/>
        <v>1434.5</v>
      </c>
      <c r="FF55" s="1838">
        <f t="shared" ref="FF55:FL55" si="435">ROUND((+($F$37*FF50+FF51*$F$38+FF52*$F$39+FF53*$F$40)*100),2)</f>
        <v>1443.02</v>
      </c>
      <c r="FG55" s="1838">
        <f t="shared" si="435"/>
        <v>1452.47</v>
      </c>
      <c r="FH55" s="1838" t="e">
        <f t="shared" si="435"/>
        <v>#REF!</v>
      </c>
      <c r="FI55" s="1838" t="e">
        <f t="shared" si="435"/>
        <v>#REF!</v>
      </c>
      <c r="FJ55" s="1838">
        <f t="shared" si="435"/>
        <v>100</v>
      </c>
      <c r="FK55" s="1838">
        <f t="shared" si="435"/>
        <v>102.64</v>
      </c>
      <c r="FL55" s="1838">
        <f t="shared" si="435"/>
        <v>108.45</v>
      </c>
      <c r="FM55" s="1838">
        <f>ROUND((+($F$37*FM50+FM51*$F$38+FM52*$F$39+FM53*$F$40)*100),2)</f>
        <v>114.62</v>
      </c>
      <c r="FN55" s="1838">
        <f>ROUND((+($F$37*FN50+FN51*$F$38+FN52*$F$39+FN53*$F$40)*100),2)</f>
        <v>122.32</v>
      </c>
      <c r="FO55" s="1838">
        <f>ROUND((+($F$37*FO50+FO51*$F$38+FO52*$F$39+FO53*$F$40)*100),2)</f>
        <v>124.59</v>
      </c>
      <c r="FP55" s="1838">
        <f>ROUND((+($F$37*FP50+FP51*$F$38+FP52*$F$39+FP53*$F$40)*100),2)</f>
        <v>124.59</v>
      </c>
      <c r="FQ55" s="1838">
        <f t="shared" ref="FQ55:FV55" si="436">ROUND((+($F$37*FQ50+FQ51*$F$38+FQ52*$F$39+FQ53*$F$40)*100),2)</f>
        <v>125.26</v>
      </c>
      <c r="FR55" s="1838">
        <f t="shared" si="436"/>
        <v>126.29</v>
      </c>
      <c r="FS55" s="1838">
        <f t="shared" si="436"/>
        <v>127.48</v>
      </c>
      <c r="FT55" s="1838">
        <f t="shared" si="436"/>
        <v>131.15</v>
      </c>
      <c r="FU55" s="1838">
        <f t="shared" si="436"/>
        <v>131.18</v>
      </c>
      <c r="FV55" s="1838">
        <f t="shared" si="436"/>
        <v>133.68</v>
      </c>
      <c r="FW55" s="1838">
        <f t="shared" ref="FW55:HC55" si="437">ROUND((+($F$37*FW50+FW51*$F$38+FW52*$F$39+FW53*$F$40)*100),2)</f>
        <v>138.87</v>
      </c>
      <c r="FX55" s="1838">
        <f t="shared" si="437"/>
        <v>139.47999999999999</v>
      </c>
      <c r="FY55" s="1838">
        <f t="shared" si="437"/>
        <v>142.11000000000001</v>
      </c>
      <c r="FZ55" s="1838">
        <f t="shared" si="437"/>
        <v>141.03</v>
      </c>
      <c r="GA55" s="1838">
        <f t="shared" si="437"/>
        <v>141.16</v>
      </c>
      <c r="GB55" s="1838">
        <f t="shared" si="437"/>
        <v>145.71</v>
      </c>
      <c r="GC55" s="1838">
        <f t="shared" si="437"/>
        <v>145.71</v>
      </c>
      <c r="GD55" s="1838">
        <f t="shared" si="437"/>
        <v>145.71</v>
      </c>
      <c r="GE55" s="1838">
        <f t="shared" si="437"/>
        <v>148.28</v>
      </c>
      <c r="GF55" s="1838">
        <f t="shared" si="437"/>
        <v>152</v>
      </c>
      <c r="GG55" s="1838">
        <f t="shared" si="437"/>
        <v>156.01</v>
      </c>
      <c r="GH55" s="1838">
        <f t="shared" si="437"/>
        <v>158.13999999999999</v>
      </c>
      <c r="GI55" s="1838">
        <f t="shared" si="437"/>
        <v>167.05</v>
      </c>
      <c r="GJ55" s="1838">
        <f t="shared" si="437"/>
        <v>167.23</v>
      </c>
      <c r="GK55" s="1838">
        <f t="shared" si="437"/>
        <v>171.53</v>
      </c>
      <c r="GL55" s="1838">
        <f t="shared" si="437"/>
        <v>184.85</v>
      </c>
      <c r="GM55" s="1838">
        <f t="shared" si="437"/>
        <v>186.7</v>
      </c>
      <c r="GN55" s="1838">
        <f t="shared" si="437"/>
        <v>204.22</v>
      </c>
      <c r="GO55" s="1838">
        <f t="shared" si="437"/>
        <v>209.3</v>
      </c>
      <c r="GP55" s="1838">
        <f t="shared" si="437"/>
        <v>248.83</v>
      </c>
      <c r="GQ55" s="1838">
        <f t="shared" si="437"/>
        <v>259.13</v>
      </c>
      <c r="GR55" s="1838">
        <f t="shared" si="437"/>
        <v>263.60000000000002</v>
      </c>
      <c r="GS55" s="1838">
        <f t="shared" si="437"/>
        <v>268.37</v>
      </c>
      <c r="GT55" s="1838">
        <f t="shared" si="437"/>
        <v>263.67</v>
      </c>
      <c r="GU55" s="1838">
        <f t="shared" si="437"/>
        <v>274.94</v>
      </c>
      <c r="GV55" s="1838">
        <f t="shared" si="437"/>
        <v>278.01</v>
      </c>
      <c r="GW55" s="1838">
        <f t="shared" si="437"/>
        <v>287.83</v>
      </c>
      <c r="GX55" s="1838">
        <f t="shared" si="437"/>
        <v>294.88</v>
      </c>
      <c r="GY55" s="1838">
        <f t="shared" si="437"/>
        <v>298.69</v>
      </c>
      <c r="GZ55" s="1838">
        <f t="shared" si="437"/>
        <v>305.32</v>
      </c>
      <c r="HA55" s="1838">
        <f t="shared" si="437"/>
        <v>330.61</v>
      </c>
      <c r="HB55" s="1838">
        <f t="shared" si="437"/>
        <v>336.93</v>
      </c>
      <c r="HC55" s="1838">
        <f t="shared" si="437"/>
        <v>350.19</v>
      </c>
      <c r="HD55" s="1838">
        <f t="shared" ref="HD55:HI55" si="438">ROUND((+($F$37*HD50+HD51*$F$38+HD52*$F$39+HD53*$F$40)*100),2)</f>
        <v>369.84</v>
      </c>
      <c r="HE55" s="1841">
        <f t="shared" si="438"/>
        <v>390.92</v>
      </c>
      <c r="HF55" s="1837">
        <f t="shared" si="438"/>
        <v>397.2</v>
      </c>
      <c r="HG55" s="1838">
        <f t="shared" si="438"/>
        <v>402.19</v>
      </c>
      <c r="HH55" s="1838">
        <f t="shared" si="438"/>
        <v>402.69</v>
      </c>
      <c r="HI55" s="1838">
        <f t="shared" si="438"/>
        <v>403.6</v>
      </c>
      <c r="HJ55" s="1838">
        <f t="shared" ref="HJ55:HK55" si="439">ROUND((+($F$37*HJ50+HJ51*$F$38+HJ52*$F$39+HJ53*$F$40)*100),2)</f>
        <v>405.01</v>
      </c>
      <c r="HK55" s="1838">
        <f t="shared" si="439"/>
        <v>406.33</v>
      </c>
      <c r="HL55" s="1838">
        <f t="shared" ref="HL55:HM55" si="440">ROUND((+($F$37*HL50+HL51*$F$38+HL52*$F$39+HL53*$F$40)*100),2)</f>
        <v>407.4</v>
      </c>
      <c r="HM55" s="1838">
        <f t="shared" si="440"/>
        <v>413.53</v>
      </c>
      <c r="HN55" s="1838">
        <f t="shared" ref="HN55:HO55" si="441">ROUND((+($F$37*HN50+HN51*$F$38+HN52*$F$39+HN53*$F$40)*100),2)</f>
        <v>422.94</v>
      </c>
      <c r="HO55" s="1838">
        <f t="shared" si="441"/>
        <v>431.75</v>
      </c>
      <c r="HP55" s="1838">
        <f t="shared" ref="HP55:HQ55" si="442">ROUND((+($F$37*HP50+HP51*$F$38+HP52*$F$39+HP53*$F$40)*100),2)</f>
        <v>443.02</v>
      </c>
      <c r="HQ55" s="1841">
        <f t="shared" si="442"/>
        <v>459.93</v>
      </c>
      <c r="HR55" s="1837">
        <f t="shared" ref="HR55:HS55" si="443">ROUND((+($F$37*HR50+HR51*$F$38+HR52*$F$39+HR53*$F$40)*100),2)</f>
        <v>481.21</v>
      </c>
      <c r="HS55" s="1838">
        <f t="shared" si="443"/>
        <v>507.64</v>
      </c>
      <c r="HT55" s="1838">
        <f t="shared" ref="HT55:HU55" si="444">ROUND((+($F$37*HT50+HT51*$F$38+HT52*$F$39+HT53*$F$40)*100),2)</f>
        <v>541.53</v>
      </c>
      <c r="HU55" s="1838">
        <f t="shared" si="444"/>
        <v>564.55999999999995</v>
      </c>
      <c r="HV55" s="1838">
        <f t="shared" ref="HV55:HW55" si="445">ROUND((+($F$37*HV50+HV51*$F$38+HV52*$F$39+HV53*$F$40)*100),2)</f>
        <v>595.17999999999995</v>
      </c>
      <c r="HW55" s="1838">
        <f t="shared" si="445"/>
        <v>597.34</v>
      </c>
      <c r="HX55" s="1838">
        <f t="shared" ref="HX55:HY55" si="446">ROUND((+($F$37*HX50+HX51*$F$38+HX52*$F$39+HX53*$F$40)*100),2)</f>
        <v>604.36</v>
      </c>
      <c r="HY55" s="1838">
        <f t="shared" si="446"/>
        <v>627.42999999999995</v>
      </c>
      <c r="HZ55" s="1838">
        <f t="shared" ref="HZ55:IA55" si="447">ROUND((+($F$37*HZ50+HZ51*$F$38+HZ52*$F$39+HZ53*$F$40)*100),2)</f>
        <v>631.88</v>
      </c>
      <c r="IA55" s="1838">
        <f t="shared" si="447"/>
        <v>638.16999999999996</v>
      </c>
      <c r="IB55" s="1838">
        <f t="shared" ref="IB55:IC55" si="448">ROUND((+($F$37*IB50+IB51*$F$38+IB52*$F$39+IB53*$F$40)*100),2)</f>
        <v>643.52</v>
      </c>
      <c r="IC55" s="2354">
        <f t="shared" si="448"/>
        <v>653.4</v>
      </c>
      <c r="ID55" s="1838">
        <f t="shared" ref="ID55:IE55" si="449">ROUND((+($F$37*ID50+ID51*$F$38+ID52*$F$39+ID53*$F$40)*100),2)</f>
        <v>660.75</v>
      </c>
      <c r="IE55" s="1838">
        <f t="shared" si="449"/>
        <v>699.55</v>
      </c>
      <c r="IF55" s="1838">
        <f t="shared" ref="IF55:IG55" si="450">ROUND((+($F$37*IF50+IF51*$F$38+IF52*$F$39+IF53*$F$40)*100),2)</f>
        <v>748.3</v>
      </c>
      <c r="IG55" s="1838">
        <f t="shared" si="450"/>
        <v>777.91</v>
      </c>
      <c r="IH55" s="1838">
        <f t="shared" ref="IH55:II55" si="451">ROUND((+($F$37*IH50+IH51*$F$38+IH52*$F$39+IH53*$F$40)*100),2)</f>
        <v>847.33</v>
      </c>
      <c r="II55" s="1838">
        <f t="shared" si="451"/>
        <v>924.8</v>
      </c>
      <c r="IJ55" s="1838">
        <f t="shared" ref="IJ55:IK55" si="452">ROUND((+($F$37*IJ50+IJ51*$F$38+IJ52*$F$39+IJ53*$F$40)*100),2)</f>
        <v>978.14</v>
      </c>
      <c r="IK55" s="2354">
        <f t="shared" si="452"/>
        <v>1020.32</v>
      </c>
      <c r="IL55" s="2354">
        <f t="shared" ref="IL55:IM55" si="453">ROUND((+($F$37*IL50+IL51*$F$38+IL52*$F$39+IL53*$F$40)*100),2)</f>
        <v>1043.58</v>
      </c>
      <c r="IM55" s="2354">
        <f t="shared" si="453"/>
        <v>1119.03</v>
      </c>
      <c r="IN55" s="1838">
        <f t="shared" ref="IN55:IO55" si="454">ROUND((+($F$37*IN50+IN51*$F$38+IN52*$F$39+IN53*$F$40)*100),2)</f>
        <v>1252.33</v>
      </c>
      <c r="IO55" s="1841">
        <f t="shared" si="454"/>
        <v>1362.67</v>
      </c>
      <c r="IP55" s="1841">
        <f t="shared" ref="IP55:IQ55" si="455">ROUND((+($F$37*IP50+IP51*$F$38+IP52*$F$39+IP53*$F$40)*100),2)</f>
        <v>1405.05</v>
      </c>
      <c r="IQ55" s="1841">
        <f t="shared" si="455"/>
        <v>1527.18</v>
      </c>
    </row>
    <row r="56" spans="3:251" ht="17.25" customHeight="1">
      <c r="C56" s="137"/>
      <c r="D56" s="137"/>
      <c r="E56" s="137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269"/>
      <c r="V56" s="138"/>
      <c r="W56" s="269"/>
      <c r="X56" s="269"/>
      <c r="Y56" s="138"/>
      <c r="Z56" s="269"/>
      <c r="AA56" s="269"/>
      <c r="AB56" s="269"/>
      <c r="ER56" s="138"/>
    </row>
    <row r="57" spans="3:251" ht="15.75" customHeight="1" thickBot="1">
      <c r="C57" s="3" t="s">
        <v>702</v>
      </c>
      <c r="ES57" s="132"/>
    </row>
    <row r="58" spans="3:251" ht="22.5" customHeight="1">
      <c r="C58" s="365" t="s">
        <v>655</v>
      </c>
      <c r="D58" s="2628" t="s">
        <v>249</v>
      </c>
      <c r="E58" s="2629"/>
      <c r="F58" s="1590" t="s">
        <v>508</v>
      </c>
      <c r="G58" s="1589"/>
      <c r="H58" s="1588"/>
      <c r="I58" s="1588"/>
      <c r="J58" s="1588"/>
      <c r="K58" s="1587"/>
      <c r="L58" s="1588"/>
      <c r="M58" s="1587"/>
      <c r="N58" s="1587"/>
      <c r="O58" s="1587"/>
      <c r="P58" s="1587"/>
      <c r="Q58" s="1587"/>
      <c r="R58" s="1587"/>
      <c r="S58" s="1587"/>
      <c r="T58" s="1587"/>
      <c r="U58" s="1587"/>
      <c r="V58" s="1587"/>
      <c r="W58" s="1587"/>
      <c r="X58" s="1587"/>
      <c r="Y58" s="1587"/>
      <c r="Z58" s="1587"/>
      <c r="AA58" s="1587"/>
      <c r="AB58" s="1587"/>
      <c r="AC58" s="1587"/>
      <c r="AD58" s="1587"/>
      <c r="AE58" s="1587"/>
      <c r="AF58" s="1587"/>
      <c r="AG58" s="1587"/>
      <c r="AH58" s="1586"/>
      <c r="AI58" s="1587"/>
      <c r="AJ58" s="1587"/>
      <c r="AK58" s="1587"/>
      <c r="AL58" s="1585"/>
      <c r="AM58" s="1587"/>
      <c r="AN58" s="1587"/>
      <c r="AO58" s="1587"/>
      <c r="AP58" s="1587"/>
      <c r="AQ58" s="1587"/>
      <c r="AR58" s="1587"/>
      <c r="AS58" s="1587"/>
      <c r="AT58" s="1587"/>
      <c r="AU58" s="1585"/>
      <c r="AV58" s="1585"/>
      <c r="AW58" s="1587"/>
      <c r="AX58" s="1587"/>
      <c r="AY58" s="1587"/>
      <c r="AZ58" s="1585"/>
      <c r="BA58" s="1587"/>
      <c r="BB58" s="1587"/>
      <c r="BC58" s="1587"/>
      <c r="BD58" s="1587"/>
      <c r="BE58" s="1587"/>
      <c r="BF58" s="1587"/>
      <c r="BG58" s="1587"/>
      <c r="BH58" s="1587"/>
      <c r="BI58" s="1587"/>
      <c r="BJ58" s="1587"/>
      <c r="BK58" s="1587"/>
      <c r="BL58" s="1587"/>
      <c r="BM58" s="1587"/>
      <c r="BN58" s="1587"/>
      <c r="BO58" s="1587"/>
      <c r="BP58" s="1587"/>
      <c r="BQ58" s="1587"/>
      <c r="BR58" s="1587"/>
      <c r="BS58" s="1587"/>
      <c r="BT58" s="1587"/>
      <c r="BU58" s="1587"/>
      <c r="BV58" s="1587"/>
      <c r="BW58" s="1587"/>
      <c r="BX58" s="1587"/>
      <c r="BY58" s="1587"/>
      <c r="BZ58" s="1587"/>
      <c r="CA58" s="1587"/>
      <c r="CB58" s="1587"/>
      <c r="CC58" s="1587"/>
      <c r="CD58" s="1587"/>
      <c r="CE58" s="1587"/>
      <c r="CF58" s="1587"/>
      <c r="CG58" s="1587"/>
      <c r="CH58" s="1587"/>
      <c r="CI58" s="1587"/>
      <c r="CJ58" s="1587"/>
      <c r="CK58" s="1587"/>
      <c r="CL58" s="1587"/>
      <c r="CM58" s="1584"/>
      <c r="CN58" s="1584"/>
      <c r="CO58" s="1584"/>
      <c r="CP58" s="1584"/>
      <c r="CQ58" s="1584"/>
      <c r="CR58" s="1584"/>
      <c r="CS58" s="1584"/>
      <c r="CT58" s="1584"/>
      <c r="CU58" s="1584"/>
      <c r="CV58" s="1584"/>
      <c r="CW58" s="1584"/>
      <c r="CX58" s="1584"/>
      <c r="CY58" s="1584"/>
      <c r="CZ58" s="1584"/>
      <c r="DA58" s="1584"/>
      <c r="DB58" s="1584"/>
      <c r="DC58" s="1583"/>
      <c r="DD58" s="1583"/>
      <c r="DE58" s="1584"/>
      <c r="DF58" s="1584"/>
      <c r="DG58" s="1584"/>
      <c r="DH58" s="1583"/>
      <c r="DI58" s="1584"/>
      <c r="DJ58" s="1584"/>
      <c r="DK58" s="1584"/>
      <c r="DL58" s="1584"/>
      <c r="DM58" s="1583"/>
      <c r="DN58" s="1584"/>
      <c r="DO58" s="1584"/>
      <c r="DP58" s="1584"/>
      <c r="DQ58" s="1584"/>
      <c r="DR58" s="1584"/>
      <c r="DS58" s="1584"/>
      <c r="DT58" s="1584"/>
      <c r="DU58" s="1583"/>
      <c r="DV58" s="1584"/>
      <c r="DW58" s="1583"/>
      <c r="DX58" s="1584"/>
      <c r="DY58" s="1584"/>
      <c r="DZ58" s="1584"/>
      <c r="EA58" s="1584"/>
      <c r="EB58" s="1584"/>
      <c r="EC58" s="1584"/>
      <c r="ED58" s="1583"/>
      <c r="EE58" s="1584"/>
      <c r="EF58" s="1584"/>
      <c r="EG58" s="1583"/>
      <c r="EH58" s="1584"/>
      <c r="EI58" s="1584"/>
      <c r="EJ58" s="1584"/>
      <c r="EK58" s="1584"/>
      <c r="EL58" s="1584"/>
      <c r="EM58" s="1584"/>
      <c r="EN58" s="1584"/>
      <c r="EO58" s="1584"/>
      <c r="EP58" s="1584"/>
      <c r="EQ58" s="1584"/>
      <c r="ET58" s="1582"/>
      <c r="GH58" s="991"/>
      <c r="GL58" s="991"/>
      <c r="IB58" s="991"/>
    </row>
    <row r="59" spans="3:251">
      <c r="C59" s="368" t="s">
        <v>657</v>
      </c>
      <c r="D59" s="2626">
        <v>222</v>
      </c>
      <c r="E59" s="2627"/>
      <c r="F59" s="2615">
        <v>0.48</v>
      </c>
      <c r="G59" s="2616"/>
      <c r="H59" s="120"/>
      <c r="I59" s="120"/>
      <c r="J59" s="120"/>
      <c r="K59" s="2653"/>
      <c r="L59" s="2653"/>
      <c r="M59" s="2653"/>
      <c r="N59" s="2653"/>
      <c r="O59" s="2653"/>
      <c r="P59" s="2653"/>
      <c r="AH59" s="445"/>
      <c r="AL59" s="425"/>
      <c r="AU59" s="425"/>
      <c r="AV59" s="425"/>
      <c r="AZ59" s="425"/>
      <c r="DB59" s="991"/>
      <c r="DC59" s="991"/>
      <c r="DD59" s="991"/>
      <c r="DG59" s="991"/>
      <c r="DH59" s="991"/>
      <c r="DL59" s="991"/>
      <c r="DM59" s="991"/>
      <c r="DQ59" s="991"/>
      <c r="DU59" s="991"/>
      <c r="DW59" s="991"/>
      <c r="DZ59" s="991"/>
      <c r="ED59" s="991"/>
      <c r="EG59" s="991"/>
      <c r="EM59" s="991"/>
      <c r="ET59" s="35"/>
      <c r="GH59" s="991"/>
      <c r="GL59" s="991"/>
      <c r="IB59" s="991"/>
    </row>
    <row r="60" spans="3:251">
      <c r="C60" s="368" t="s">
        <v>692</v>
      </c>
      <c r="D60" s="2626">
        <v>57</v>
      </c>
      <c r="E60" s="2627"/>
      <c r="F60" s="2615">
        <v>0.09</v>
      </c>
      <c r="G60" s="2616"/>
      <c r="H60" s="120"/>
      <c r="I60" s="120"/>
      <c r="J60" s="120"/>
      <c r="K60" s="121"/>
      <c r="L60" s="121"/>
      <c r="M60" s="121"/>
      <c r="N60" s="121"/>
      <c r="O60" s="121"/>
      <c r="P60" s="121"/>
      <c r="AH60" s="445"/>
      <c r="AL60" s="425"/>
      <c r="AU60" s="425"/>
      <c r="AV60" s="425"/>
      <c r="AZ60" s="425"/>
      <c r="DB60" s="991"/>
      <c r="DC60" s="991"/>
      <c r="DD60" s="991"/>
      <c r="DG60" s="991"/>
      <c r="DH60" s="991"/>
      <c r="DL60" s="991"/>
      <c r="DM60" s="991"/>
      <c r="DQ60" s="991"/>
      <c r="DU60" s="991"/>
      <c r="DW60" s="991"/>
      <c r="DZ60" s="991"/>
      <c r="ED60" s="991"/>
      <c r="EG60" s="991"/>
      <c r="EM60" s="991"/>
      <c r="ET60" s="1577"/>
      <c r="GH60" s="991"/>
      <c r="GL60" s="991"/>
      <c r="IB60" s="991"/>
    </row>
    <row r="61" spans="3:251">
      <c r="C61" s="368" t="s">
        <v>662</v>
      </c>
      <c r="D61" s="2626">
        <v>4</v>
      </c>
      <c r="E61" s="2627"/>
      <c r="F61" s="2615">
        <v>0.08</v>
      </c>
      <c r="G61" s="2630"/>
      <c r="H61" s="120"/>
      <c r="I61" s="120"/>
      <c r="J61" s="120"/>
      <c r="K61" s="121"/>
      <c r="L61" s="121"/>
      <c r="M61" s="121"/>
      <c r="N61" s="121"/>
      <c r="O61" s="121"/>
      <c r="P61" s="121"/>
      <c r="AH61" s="445"/>
      <c r="AL61" s="425"/>
      <c r="AU61" s="425"/>
      <c r="AV61" s="425"/>
      <c r="AZ61" s="425"/>
      <c r="DB61" s="991"/>
      <c r="DC61" s="991"/>
      <c r="DD61" s="991"/>
      <c r="DG61" s="991"/>
      <c r="DH61" s="991"/>
      <c r="DL61" s="991"/>
      <c r="DM61" s="991"/>
      <c r="DQ61" s="991"/>
      <c r="DU61" s="991"/>
      <c r="DW61" s="991"/>
      <c r="DZ61" s="991"/>
      <c r="ED61" s="991"/>
      <c r="EG61" s="991"/>
      <c r="EM61" s="991"/>
      <c r="ET61" s="1576"/>
      <c r="GH61" s="991"/>
      <c r="GL61" s="991"/>
      <c r="IB61" s="991"/>
    </row>
    <row r="62" spans="3:251" ht="16.5" thickBot="1">
      <c r="C62" s="369" t="s">
        <v>694</v>
      </c>
      <c r="D62" s="2642">
        <v>67</v>
      </c>
      <c r="E62" s="2643"/>
      <c r="F62" s="2632">
        <v>0.35</v>
      </c>
      <c r="G62" s="2633"/>
      <c r="H62" s="120"/>
      <c r="I62" s="120"/>
      <c r="J62" s="120"/>
      <c r="K62" s="121"/>
      <c r="L62" s="121"/>
      <c r="M62" s="121"/>
      <c r="N62" s="121"/>
      <c r="O62" s="121"/>
      <c r="P62" s="121"/>
      <c r="AH62" s="445"/>
      <c r="AL62" s="425"/>
      <c r="AU62" s="425"/>
      <c r="AV62" s="425"/>
      <c r="AZ62" s="425"/>
      <c r="DB62" s="991"/>
      <c r="DC62" s="991"/>
      <c r="DD62" s="991"/>
      <c r="DG62" s="991"/>
      <c r="DH62" s="991"/>
      <c r="DL62" s="991"/>
      <c r="DM62" s="991"/>
      <c r="DQ62" s="991"/>
      <c r="DU62" s="991"/>
      <c r="DW62" s="991"/>
      <c r="DZ62" s="991"/>
      <c r="ED62" s="991"/>
      <c r="EG62" s="991"/>
      <c r="EM62" s="991"/>
      <c r="ET62" s="1575"/>
      <c r="GH62" s="991"/>
      <c r="GL62" s="991"/>
      <c r="IB62" s="991"/>
    </row>
    <row r="63" spans="3:251" ht="16.5" thickBot="1">
      <c r="ET63" s="132"/>
    </row>
    <row r="64" spans="3:251" ht="18.75" customHeight="1" thickBot="1">
      <c r="C64" s="365" t="s">
        <v>673</v>
      </c>
      <c r="D64" s="1441" t="s">
        <v>831</v>
      </c>
      <c r="E64" s="1448"/>
      <c r="F64" s="1456">
        <v>37226</v>
      </c>
      <c r="G64" s="1440">
        <v>37536</v>
      </c>
      <c r="H64" s="1236">
        <v>37561</v>
      </c>
      <c r="I64" s="1236">
        <v>37591</v>
      </c>
      <c r="J64" s="1236">
        <v>37622</v>
      </c>
      <c r="K64" s="1236">
        <v>37653</v>
      </c>
      <c r="L64" s="1236">
        <v>37681</v>
      </c>
      <c r="M64" s="1236">
        <v>37712</v>
      </c>
      <c r="N64" s="1236">
        <v>37742</v>
      </c>
      <c r="O64" s="1236">
        <v>37773</v>
      </c>
      <c r="P64" s="1236">
        <v>37803</v>
      </c>
      <c r="Q64" s="1236">
        <v>37834</v>
      </c>
      <c r="R64" s="1236">
        <v>37865</v>
      </c>
      <c r="S64" s="1236">
        <v>37895</v>
      </c>
      <c r="T64" s="1236">
        <v>37926</v>
      </c>
      <c r="U64" s="1236">
        <v>37956</v>
      </c>
      <c r="V64" s="1236">
        <v>37987</v>
      </c>
      <c r="W64" s="1236">
        <v>38018</v>
      </c>
      <c r="X64" s="1236">
        <v>38047</v>
      </c>
      <c r="Y64" s="1236">
        <v>38078</v>
      </c>
      <c r="Z64" s="1236">
        <v>38108</v>
      </c>
      <c r="AA64" s="1236">
        <v>38139</v>
      </c>
      <c r="AB64" s="1236">
        <v>38169</v>
      </c>
      <c r="AC64" s="1236">
        <v>38200</v>
      </c>
      <c r="AD64" s="1236">
        <v>38231</v>
      </c>
      <c r="AE64" s="1236">
        <v>38261</v>
      </c>
      <c r="AF64" s="1236">
        <v>38292</v>
      </c>
      <c r="AG64" s="1236">
        <v>38322</v>
      </c>
      <c r="AH64" s="1236">
        <v>38353</v>
      </c>
      <c r="AI64" s="1236">
        <v>38384</v>
      </c>
      <c r="AJ64" s="1236">
        <v>38412</v>
      </c>
      <c r="AK64" s="1236">
        <v>38443</v>
      </c>
      <c r="AL64" s="1236">
        <v>38473</v>
      </c>
      <c r="AM64" s="1236">
        <v>38504</v>
      </c>
      <c r="AN64" s="1236">
        <v>38534</v>
      </c>
      <c r="AO64" s="1236">
        <v>38565</v>
      </c>
      <c r="AP64" s="1236">
        <v>38596</v>
      </c>
      <c r="AQ64" s="1236">
        <v>38626</v>
      </c>
      <c r="AR64" s="1236">
        <v>38657</v>
      </c>
      <c r="AS64" s="1236">
        <v>38687</v>
      </c>
      <c r="AT64" s="1236">
        <v>38718</v>
      </c>
      <c r="AU64" s="1236">
        <v>38749</v>
      </c>
      <c r="AV64" s="1236">
        <v>38777</v>
      </c>
      <c r="AW64" s="1236">
        <v>38808</v>
      </c>
      <c r="AX64" s="1236">
        <v>38838</v>
      </c>
      <c r="AY64" s="1236">
        <v>38869</v>
      </c>
      <c r="AZ64" s="1236">
        <v>38899</v>
      </c>
      <c r="BA64" s="1236">
        <v>38930</v>
      </c>
      <c r="BB64" s="1236">
        <v>38961</v>
      </c>
      <c r="BC64" s="1236">
        <v>38991</v>
      </c>
      <c r="BD64" s="1236">
        <v>39022</v>
      </c>
      <c r="BE64" s="1236">
        <v>39052</v>
      </c>
      <c r="BF64" s="1236">
        <v>39083</v>
      </c>
      <c r="BG64" s="1236">
        <v>39114</v>
      </c>
      <c r="BH64" s="1236">
        <v>39142</v>
      </c>
      <c r="BI64" s="1236">
        <v>39173</v>
      </c>
      <c r="BJ64" s="1236">
        <v>39203</v>
      </c>
      <c r="BK64" s="1236">
        <v>39234</v>
      </c>
      <c r="BL64" s="1236">
        <v>39264</v>
      </c>
      <c r="BM64" s="1236">
        <v>39295</v>
      </c>
      <c r="BN64" s="1236">
        <v>39326</v>
      </c>
      <c r="BO64" s="1236">
        <v>39356</v>
      </c>
      <c r="BP64" s="1236">
        <v>39387</v>
      </c>
      <c r="BQ64" s="1235">
        <v>39417</v>
      </c>
      <c r="BR64" s="1449">
        <v>39448</v>
      </c>
      <c r="BS64" s="1450">
        <v>39479</v>
      </c>
      <c r="BT64" s="1450">
        <v>39508</v>
      </c>
      <c r="BU64" s="1450">
        <v>39539</v>
      </c>
      <c r="BV64" s="1440">
        <v>39569</v>
      </c>
      <c r="BW64" s="1236">
        <v>39600</v>
      </c>
      <c r="BX64" s="1236">
        <v>39630</v>
      </c>
      <c r="BY64" s="1236">
        <v>39661</v>
      </c>
      <c r="BZ64" s="1236">
        <v>39692</v>
      </c>
      <c r="CA64" s="1236">
        <v>39722</v>
      </c>
      <c r="CB64" s="1236">
        <v>39753</v>
      </c>
      <c r="CC64" s="1235">
        <v>39783</v>
      </c>
      <c r="CD64" s="1440">
        <v>39814</v>
      </c>
      <c r="CE64" s="1236">
        <v>39845</v>
      </c>
      <c r="CF64" s="1236">
        <v>39873</v>
      </c>
      <c r="CG64" s="1236">
        <v>39904</v>
      </c>
      <c r="CH64" s="1236">
        <v>39934</v>
      </c>
      <c r="CI64" s="1236">
        <v>39965</v>
      </c>
      <c r="CJ64" s="1236">
        <v>39995</v>
      </c>
      <c r="CK64" s="1236">
        <v>40026</v>
      </c>
      <c r="CL64" s="1236">
        <v>40057</v>
      </c>
      <c r="CM64" s="1236">
        <v>40087</v>
      </c>
      <c r="CN64" s="1447">
        <v>40118</v>
      </c>
      <c r="CO64" s="1446">
        <v>40148</v>
      </c>
      <c r="CP64" s="1440">
        <v>40179</v>
      </c>
      <c r="CQ64" s="1236">
        <v>40210</v>
      </c>
      <c r="CR64" s="1236">
        <v>40238</v>
      </c>
      <c r="CS64" s="1236">
        <v>40269</v>
      </c>
      <c r="CT64" s="1236">
        <v>40299</v>
      </c>
      <c r="CU64" s="1236">
        <v>40330</v>
      </c>
      <c r="CV64" s="1236">
        <v>40360</v>
      </c>
      <c r="CW64" s="1236">
        <v>40391</v>
      </c>
      <c r="CX64" s="1236">
        <v>40422</v>
      </c>
      <c r="CY64" s="1236">
        <v>40452</v>
      </c>
      <c r="CZ64" s="1444">
        <v>40483</v>
      </c>
      <c r="DA64" s="1235">
        <v>40513</v>
      </c>
      <c r="DB64" s="1449">
        <v>40544</v>
      </c>
      <c r="DC64" s="1444">
        <v>40575</v>
      </c>
      <c r="DD64" s="1444">
        <v>40603</v>
      </c>
      <c r="DE64" s="1444">
        <v>40634</v>
      </c>
      <c r="DF64" s="1444">
        <v>40664</v>
      </c>
      <c r="DG64" s="1444">
        <v>40695</v>
      </c>
      <c r="DH64" s="1444">
        <v>40725</v>
      </c>
      <c r="DI64" s="1444">
        <v>40756</v>
      </c>
      <c r="DJ64" s="1444">
        <v>40787</v>
      </c>
      <c r="DK64" s="1444">
        <v>40817</v>
      </c>
      <c r="DL64" s="1444">
        <v>40848</v>
      </c>
      <c r="DM64" s="1235">
        <v>40878</v>
      </c>
      <c r="DN64" s="1444">
        <v>40909</v>
      </c>
      <c r="DO64" s="1444">
        <v>40940</v>
      </c>
      <c r="DP64" s="1444">
        <v>40969</v>
      </c>
      <c r="DQ64" s="1444">
        <v>41000</v>
      </c>
      <c r="DR64" s="1444">
        <v>41030</v>
      </c>
      <c r="DS64" s="1444">
        <v>41061</v>
      </c>
      <c r="DT64" s="1444">
        <v>41091</v>
      </c>
      <c r="DU64" s="1444">
        <v>41122</v>
      </c>
      <c r="DV64" s="1444">
        <v>41153</v>
      </c>
      <c r="DW64" s="1444">
        <v>41183</v>
      </c>
      <c r="DX64" s="1444">
        <v>41214</v>
      </c>
      <c r="DY64" s="1235">
        <v>41244</v>
      </c>
      <c r="DZ64" s="1438">
        <v>41275</v>
      </c>
      <c r="EA64" s="1233">
        <v>41306</v>
      </c>
      <c r="EB64" s="1233">
        <v>41334</v>
      </c>
      <c r="EC64" s="1233">
        <v>41365</v>
      </c>
      <c r="ED64" s="1233">
        <v>41395</v>
      </c>
      <c r="EE64" s="1233">
        <v>41426</v>
      </c>
      <c r="EF64" s="1233">
        <v>41456</v>
      </c>
      <c r="EG64" s="1233">
        <v>41487</v>
      </c>
      <c r="EH64" s="1233">
        <v>41518</v>
      </c>
      <c r="EI64" s="1233">
        <v>41548</v>
      </c>
      <c r="EJ64" s="1439">
        <v>41579</v>
      </c>
      <c r="EK64" s="1428">
        <v>41609</v>
      </c>
      <c r="EL64" s="1501">
        <v>41640</v>
      </c>
      <c r="EM64" s="1236">
        <v>41671</v>
      </c>
      <c r="EN64" s="1444">
        <v>41699</v>
      </c>
      <c r="EO64" s="1444">
        <v>41730</v>
      </c>
      <c r="EP64" s="1444">
        <v>41760</v>
      </c>
      <c r="EQ64" s="1444">
        <v>41791</v>
      </c>
      <c r="ER64" s="1444">
        <v>41821</v>
      </c>
      <c r="ES64" s="1444">
        <v>41852</v>
      </c>
      <c r="ET64" s="1444">
        <v>41883</v>
      </c>
      <c r="EU64" s="1444">
        <v>41913</v>
      </c>
      <c r="EV64" s="1444">
        <v>41944</v>
      </c>
      <c r="EW64" s="1235">
        <v>41974</v>
      </c>
      <c r="EX64" s="1501">
        <v>42005</v>
      </c>
      <c r="EY64" s="1444">
        <v>42036</v>
      </c>
      <c r="EZ64" s="1236">
        <v>42064</v>
      </c>
      <c r="FA64" s="1236">
        <v>42095</v>
      </c>
      <c r="FB64" s="1236">
        <v>42125</v>
      </c>
      <c r="FC64" s="1236">
        <v>42156</v>
      </c>
      <c r="FD64" s="1236">
        <v>42186</v>
      </c>
      <c r="FE64" s="1236">
        <v>42217</v>
      </c>
      <c r="FF64" s="1236">
        <v>42248</v>
      </c>
      <c r="FG64" s="1446">
        <v>42278</v>
      </c>
      <c r="FH64" s="1235">
        <v>42309</v>
      </c>
      <c r="FI64" s="1235">
        <f t="shared" ref="FI64:FN64" si="456">+FI42</f>
        <v>42339</v>
      </c>
      <c r="FJ64" s="1235">
        <f t="shared" si="456"/>
        <v>42370</v>
      </c>
      <c r="FK64" s="1235">
        <f t="shared" si="456"/>
        <v>42401</v>
      </c>
      <c r="FL64" s="1235">
        <f t="shared" si="456"/>
        <v>42430</v>
      </c>
      <c r="FM64" s="1235">
        <f t="shared" si="456"/>
        <v>42461</v>
      </c>
      <c r="FN64" s="1235">
        <f t="shared" si="456"/>
        <v>42491</v>
      </c>
      <c r="FO64" s="1235">
        <f t="shared" ref="FO64:GY64" si="457">+FO42</f>
        <v>42522</v>
      </c>
      <c r="FP64" s="1235">
        <f t="shared" si="457"/>
        <v>42552</v>
      </c>
      <c r="FQ64" s="1235">
        <f t="shared" si="457"/>
        <v>42583</v>
      </c>
      <c r="FR64" s="1235">
        <f t="shared" si="457"/>
        <v>42614</v>
      </c>
      <c r="FS64" s="1235">
        <f t="shared" si="457"/>
        <v>42644</v>
      </c>
      <c r="FT64" s="1235">
        <f t="shared" si="457"/>
        <v>42675</v>
      </c>
      <c r="FU64" s="1235">
        <f t="shared" si="457"/>
        <v>42705</v>
      </c>
      <c r="FV64" s="1235">
        <f t="shared" si="457"/>
        <v>42736</v>
      </c>
      <c r="FW64" s="1235">
        <f t="shared" si="457"/>
        <v>42767</v>
      </c>
      <c r="FX64" s="1235">
        <f t="shared" si="457"/>
        <v>42795</v>
      </c>
      <c r="FY64" s="1235">
        <f t="shared" si="457"/>
        <v>42826</v>
      </c>
      <c r="FZ64" s="1235">
        <f t="shared" si="457"/>
        <v>42856</v>
      </c>
      <c r="GA64" s="1235">
        <f t="shared" si="457"/>
        <v>42887</v>
      </c>
      <c r="GB64" s="1235">
        <f t="shared" si="457"/>
        <v>42917</v>
      </c>
      <c r="GC64" s="1235">
        <f t="shared" si="457"/>
        <v>42948</v>
      </c>
      <c r="GD64" s="1235">
        <f t="shared" si="457"/>
        <v>42979</v>
      </c>
      <c r="GE64" s="1235">
        <f t="shared" si="457"/>
        <v>43009</v>
      </c>
      <c r="GF64" s="1235">
        <f t="shared" si="457"/>
        <v>43040</v>
      </c>
      <c r="GG64" s="1235">
        <f t="shared" si="457"/>
        <v>43070</v>
      </c>
      <c r="GH64" s="1235">
        <f t="shared" si="457"/>
        <v>43101</v>
      </c>
      <c r="GI64" s="1235">
        <f t="shared" si="457"/>
        <v>43132</v>
      </c>
      <c r="GJ64" s="1235">
        <f t="shared" si="457"/>
        <v>43160</v>
      </c>
      <c r="GK64" s="1235">
        <f t="shared" si="457"/>
        <v>43191</v>
      </c>
      <c r="GL64" s="1235">
        <f t="shared" si="457"/>
        <v>43221</v>
      </c>
      <c r="GM64" s="1235">
        <f t="shared" si="457"/>
        <v>43252</v>
      </c>
      <c r="GN64" s="1235">
        <f t="shared" si="457"/>
        <v>43282</v>
      </c>
      <c r="GO64" s="1235">
        <f t="shared" si="457"/>
        <v>43313</v>
      </c>
      <c r="GP64" s="1235">
        <f t="shared" si="457"/>
        <v>43344</v>
      </c>
      <c r="GQ64" s="1235">
        <f t="shared" si="457"/>
        <v>43374</v>
      </c>
      <c r="GR64" s="1235">
        <f t="shared" si="457"/>
        <v>43405</v>
      </c>
      <c r="GS64" s="1235">
        <f t="shared" si="457"/>
        <v>43435</v>
      </c>
      <c r="GT64" s="1235">
        <f t="shared" si="457"/>
        <v>43466</v>
      </c>
      <c r="GU64" s="1235">
        <f t="shared" si="457"/>
        <v>43497</v>
      </c>
      <c r="GV64" s="1235">
        <f t="shared" si="457"/>
        <v>43525</v>
      </c>
      <c r="GW64" s="1235">
        <f t="shared" si="457"/>
        <v>43556</v>
      </c>
      <c r="GX64" s="1235">
        <f t="shared" si="457"/>
        <v>43586</v>
      </c>
      <c r="GY64" s="1235">
        <f t="shared" si="457"/>
        <v>43617</v>
      </c>
      <c r="GZ64" s="1235">
        <v>43647</v>
      </c>
      <c r="HA64" s="1249">
        <v>43678</v>
      </c>
      <c r="HB64" s="1249">
        <v>43709</v>
      </c>
      <c r="HC64" s="1249">
        <v>43739</v>
      </c>
      <c r="HD64" s="1249">
        <v>43770</v>
      </c>
      <c r="HE64" s="1249">
        <v>43800</v>
      </c>
      <c r="HF64" s="1249">
        <v>43831</v>
      </c>
      <c r="HG64" s="1249">
        <v>43862</v>
      </c>
      <c r="HH64" s="1249">
        <v>43891</v>
      </c>
      <c r="HI64" s="1249">
        <v>43922</v>
      </c>
      <c r="HJ64" s="1249">
        <v>43952</v>
      </c>
      <c r="HK64" s="1249">
        <v>43983</v>
      </c>
      <c r="HL64" s="1249">
        <v>44013</v>
      </c>
      <c r="HM64" s="1249">
        <v>44044</v>
      </c>
      <c r="HN64" s="1249">
        <v>44075</v>
      </c>
      <c r="HO64" s="1249">
        <v>44105</v>
      </c>
      <c r="HP64" s="1249">
        <v>44136</v>
      </c>
      <c r="HQ64" s="1249">
        <v>44166</v>
      </c>
      <c r="HR64" s="1475">
        <v>44197</v>
      </c>
      <c r="HS64" s="1476">
        <v>44228</v>
      </c>
      <c r="HT64" s="1476">
        <v>44256</v>
      </c>
      <c r="HU64" s="1476">
        <v>44287</v>
      </c>
      <c r="HV64" s="1476">
        <v>44317</v>
      </c>
      <c r="HW64" s="1476">
        <v>44348</v>
      </c>
      <c r="HX64" s="1476">
        <v>44378</v>
      </c>
      <c r="HY64" s="1476">
        <v>44409</v>
      </c>
      <c r="HZ64" s="1476">
        <v>44440</v>
      </c>
      <c r="IA64" s="1476">
        <v>44470</v>
      </c>
      <c r="IB64" s="1476">
        <v>44501</v>
      </c>
      <c r="IC64" s="1472">
        <v>44531</v>
      </c>
      <c r="ID64" s="1476">
        <v>44562</v>
      </c>
      <c r="IE64" s="1476">
        <v>44593</v>
      </c>
      <c r="IF64" s="1941">
        <v>44621</v>
      </c>
      <c r="IG64" s="1941">
        <v>44652</v>
      </c>
      <c r="IH64" s="1941">
        <v>44682</v>
      </c>
      <c r="II64" s="1941">
        <v>44713</v>
      </c>
      <c r="IJ64" s="1941">
        <v>44743</v>
      </c>
      <c r="IK64" s="1457">
        <v>44774</v>
      </c>
      <c r="IL64" s="1457">
        <v>44805</v>
      </c>
      <c r="IM64" s="1457">
        <v>44835</v>
      </c>
      <c r="IN64" s="1457">
        <v>44866</v>
      </c>
      <c r="IO64" s="1457">
        <f>+IO42</f>
        <v>44896</v>
      </c>
      <c r="IP64" s="1457">
        <v>44927</v>
      </c>
      <c r="IQ64" s="1457">
        <f>+IQ42</f>
        <v>44958</v>
      </c>
    </row>
    <row r="65" spans="3:251">
      <c r="C65" s="372" t="s">
        <v>674</v>
      </c>
      <c r="D65" s="2658">
        <v>222</v>
      </c>
      <c r="E65" s="2626"/>
      <c r="F65" s="975">
        <v>100</v>
      </c>
      <c r="G65" s="1812">
        <v>311.52999999999997</v>
      </c>
      <c r="H65" s="1813">
        <v>287.05</v>
      </c>
      <c r="I65" s="1813">
        <v>283.47000000000003</v>
      </c>
      <c r="J65" s="1812">
        <v>270.45999999999998</v>
      </c>
      <c r="K65" s="1812">
        <v>267.06</v>
      </c>
      <c r="L65" s="1812">
        <v>251.92</v>
      </c>
      <c r="M65" s="1718">
        <v>240.1</v>
      </c>
      <c r="N65" s="1812">
        <v>231.79</v>
      </c>
      <c r="O65" s="1812">
        <v>229.73</v>
      </c>
      <c r="P65" s="1813">
        <v>224.3</v>
      </c>
      <c r="Q65" s="1794">
        <v>230.57</v>
      </c>
      <c r="R65" s="1795">
        <v>230.71</v>
      </c>
      <c r="S65" s="1812">
        <v>227.05</v>
      </c>
      <c r="T65" s="1813">
        <v>228.31</v>
      </c>
      <c r="U65" s="1813">
        <v>233.62</v>
      </c>
      <c r="V65" s="1813">
        <v>231.9</v>
      </c>
      <c r="W65" s="1813">
        <v>233.13</v>
      </c>
      <c r="X65" s="1813">
        <v>232.09</v>
      </c>
      <c r="Y65" s="1813">
        <v>227.41</v>
      </c>
      <c r="Z65" s="1813">
        <v>231.5</v>
      </c>
      <c r="AA65" s="1813">
        <v>233.72</v>
      </c>
      <c r="AB65" s="1813">
        <v>233.72</v>
      </c>
      <c r="AC65" s="1813">
        <f>+'ANEXOA-MODIFICADO'!K31</f>
        <v>236.09</v>
      </c>
      <c r="AD65" s="1813">
        <f>+'ANEXOA-MODIFICADO'!L31</f>
        <v>231.54</v>
      </c>
      <c r="AE65" s="1813">
        <f>+'ANEXOA-MODIFICADO'!M31</f>
        <v>230.78</v>
      </c>
      <c r="AF65" s="1813">
        <f>+'ANEXOA-MODIFICADO'!N31</f>
        <v>230.89</v>
      </c>
      <c r="AG65" s="1813">
        <f>+'ANEXOA-MODIFICADO'!O31</f>
        <v>233.02</v>
      </c>
      <c r="AH65" s="1813">
        <f>+'ANEXOA-MODIFICADO'!D39</f>
        <v>232.13</v>
      </c>
      <c r="AI65" s="1813">
        <f>+'ANEXOA-MODIFICADO'!E39</f>
        <v>229.97</v>
      </c>
      <c r="AJ65" s="1813">
        <f>+'ANEXOA-MODIFICADO'!F39</f>
        <v>231.29</v>
      </c>
      <c r="AK65" s="1813">
        <f>+'ANEXOA-MODIFICADO'!G39</f>
        <v>231.38</v>
      </c>
      <c r="AL65" s="1813">
        <f>+'ANEXOA-MODIFICADO'!H39</f>
        <v>231.27</v>
      </c>
      <c r="AM65" s="1813">
        <f>+'ANEXOA-MODIFICADO'!I39</f>
        <v>229.65</v>
      </c>
      <c r="AN65" s="1813">
        <f>+'ANEXOA-MODIFICADO'!J39</f>
        <v>229.03</v>
      </c>
      <c r="AO65" s="1813">
        <f>+'ANEXOA-MODIFICADO'!K39</f>
        <v>230.01</v>
      </c>
      <c r="AP65" s="1813">
        <f>+'ANEXOA-MODIFICADO'!L39</f>
        <v>231.04</v>
      </c>
      <c r="AQ65" s="1813">
        <f>+'ANEXOA-MODIFICADO'!M39</f>
        <v>233.38</v>
      </c>
      <c r="AR65" s="1813">
        <f>+'ANEXOA-MODIFICADO'!N39</f>
        <v>233.4</v>
      </c>
      <c r="AS65" s="1813">
        <f>+'ANEXOA-MODIFICADO'!O39</f>
        <v>236.03</v>
      </c>
      <c r="AT65" s="1813">
        <f>+'ANEXOA-MODIFICADO'!D47</f>
        <v>238.35</v>
      </c>
      <c r="AU65" s="1813">
        <f>+'ANEXOA-MODIFICADO'!E47</f>
        <v>239.91</v>
      </c>
      <c r="AV65" s="1813">
        <f>+'ANEXOA-MODIFICADO'!F47</f>
        <v>241.5</v>
      </c>
      <c r="AW65" s="1813">
        <f>+'ANEXOA-MODIFICADO'!G47</f>
        <v>235.88</v>
      </c>
      <c r="AX65" s="1813">
        <f>+'ANEXOA-MODIFICADO'!H47</f>
        <v>236.38</v>
      </c>
      <c r="AY65" s="1813">
        <f>+'ANEXOA-MODIFICADO'!I47</f>
        <v>236.81</v>
      </c>
      <c r="AZ65" s="1813">
        <f>+'ANEXOA-MODIFICADO'!J47</f>
        <v>238.16</v>
      </c>
      <c r="BA65" s="1813">
        <f>+'ANEXOA-MODIFICADO'!K47</f>
        <v>241.89</v>
      </c>
      <c r="BB65" s="1813">
        <f>+'ANEXOA-MODIFICADO'!L47</f>
        <v>243.45</v>
      </c>
      <c r="BC65" s="1813">
        <f>+'ANEXOA-MODIFICADO'!M47</f>
        <v>240.71</v>
      </c>
      <c r="BD65" s="1813">
        <f>+'ANEXOA-MODIFICADO'!N47</f>
        <v>236.34</v>
      </c>
      <c r="BE65" s="1813">
        <f>+'ANEXOA-MODIFICADO'!O47</f>
        <v>236.63</v>
      </c>
      <c r="BF65" s="1813">
        <f>+'ANEXOA-MODIFICADO'!D55</f>
        <v>237.51</v>
      </c>
      <c r="BG65" s="1813">
        <f>+'ANEXOA-MODIFICADO'!E55</f>
        <v>240.29</v>
      </c>
      <c r="BH65" s="1813">
        <f>+'ANEXOA-MODIFICADO'!F55</f>
        <v>238.62</v>
      </c>
      <c r="BI65" s="1813">
        <f>+'ANEXOA-MODIFICADO'!G55</f>
        <v>239.24</v>
      </c>
      <c r="BJ65" s="1813">
        <f>+'ANEXOA-MODIFICADO'!H55</f>
        <v>241.52</v>
      </c>
      <c r="BK65" s="1813">
        <f>+'ANEXOA-MODIFICADO'!I55</f>
        <v>242.14</v>
      </c>
      <c r="BL65" s="1813">
        <f>+'ANEXOA-MODIFICADO'!J55</f>
        <v>243.54</v>
      </c>
      <c r="BM65" s="1795">
        <f>+'ANEXOA-MODIFICADO'!K55</f>
        <v>246.09</v>
      </c>
      <c r="BN65" s="1795">
        <f>+'ANEXOA-MODIFICADO'!L55</f>
        <v>245.95</v>
      </c>
      <c r="BO65" s="1795">
        <f>+'ANEXOA-MODIFICADO'!M55</f>
        <v>247.8</v>
      </c>
      <c r="BP65" s="1795">
        <f>+'ANEXOA-MODIFICADO'!N55</f>
        <v>247.26</v>
      </c>
      <c r="BQ65" s="1795">
        <f>+'ANEXOA-MODIFICADO'!O55</f>
        <v>249.53</v>
      </c>
      <c r="BR65" s="1815">
        <f>+'ANEXOA-MODIFICADO'!D64</f>
        <v>247.98</v>
      </c>
      <c r="BS65" s="1795">
        <f>+'ANEXOA-MODIFICADO'!E64</f>
        <v>250.75</v>
      </c>
      <c r="BT65" s="1795">
        <f>+'ANEXOA-MODIFICADO'!F64</f>
        <v>254.97</v>
      </c>
      <c r="BU65" s="1795">
        <f>+'ANEXOA-MODIFICADO'!G64</f>
        <v>258.94</v>
      </c>
      <c r="BV65" s="1795">
        <f>+'ANEXOA-MODIFICADO'!H64</f>
        <v>259.98</v>
      </c>
      <c r="BW65" s="1795">
        <f>+'ANEXOA-MODIFICADO'!I64</f>
        <v>258.13</v>
      </c>
      <c r="BX65" s="1795">
        <f>+'ANEXOA-MODIFICADO'!J64</f>
        <v>257.89999999999998</v>
      </c>
      <c r="BY65" s="1795">
        <f>+'ANEXOA-MODIFICADO'!K64</f>
        <v>259.3</v>
      </c>
      <c r="BZ65" s="1795">
        <f>+'ANEXOA-MODIFICADO'!L64</f>
        <v>259.5</v>
      </c>
      <c r="CA65" s="1795">
        <f>+'ANEXOA-MODIFICADO'!M64</f>
        <v>265.11</v>
      </c>
      <c r="CB65" s="1795">
        <f>+'ANEXOA-MODIFICADO'!N64</f>
        <v>266.68</v>
      </c>
      <c r="CC65" s="1795">
        <f>+'ANEXOA-MODIFICADO'!O64</f>
        <v>270.3</v>
      </c>
      <c r="CD65" s="1795">
        <f>'ANEXOA-MODIFICADO'!D71</f>
        <v>271.44</v>
      </c>
      <c r="CE65" s="1795">
        <f>'ANEXOA-MODIFICADO'!E71</f>
        <v>274.99</v>
      </c>
      <c r="CF65" s="1795">
        <f>'ANEXOA-MODIFICADO'!F71</f>
        <v>279.47000000000003</v>
      </c>
      <c r="CG65" s="1795">
        <f>'ANEXOA-MODIFICADO'!G71</f>
        <v>283.89</v>
      </c>
      <c r="CH65" s="1795">
        <f>'ANEXOA-MODIFICADO'!H71</f>
        <v>285.73</v>
      </c>
      <c r="CI65" s="1795">
        <f>'ANEXOA-MODIFICADO'!I71</f>
        <v>286.08999999999997</v>
      </c>
      <c r="CJ65" s="1795">
        <f>'ANEXOA-MODIFICADO'!J71</f>
        <v>287.45</v>
      </c>
      <c r="CK65" s="1795">
        <f>'ANEXOA-MODIFICADO'!K71</f>
        <v>291.01</v>
      </c>
      <c r="CL65" s="1795">
        <f>'ANEXOA-MODIFICADO'!L71</f>
        <v>292.39</v>
      </c>
      <c r="CM65" s="1795">
        <f>'ANEXOA-MODIFICADO'!M71</f>
        <v>293.5</v>
      </c>
      <c r="CN65" s="1795">
        <f>'ANEXOA-MODIFICADO'!N71</f>
        <v>293.26</v>
      </c>
      <c r="CO65" s="1795">
        <f>'ANEXOA-MODIFICADO'!O71</f>
        <v>293.41000000000003</v>
      </c>
      <c r="CP65" s="1795">
        <f>+'ANEXOA-MODIFICADO'!D78</f>
        <v>294.48</v>
      </c>
      <c r="CQ65" s="1795">
        <f>+'ANEXOA-MODIFICADO'!E78</f>
        <v>297.39999999999998</v>
      </c>
      <c r="CR65" s="1795">
        <f>+'ANEXOA-MODIFICADO'!F78</f>
        <v>298.51</v>
      </c>
      <c r="CS65" s="1795">
        <f>+'ANEXOA-MODIFICADO'!G78</f>
        <v>299.66000000000003</v>
      </c>
      <c r="CT65" s="1795">
        <f>+'ANEXOA-MODIFICADO'!H78</f>
        <v>303.18</v>
      </c>
      <c r="CU65" s="1795">
        <f>+'ANEXOA-MODIFICADO'!I78</f>
        <v>302.92</v>
      </c>
      <c r="CV65" s="1795">
        <f>+'ANEXOA-MODIFICADO'!J78</f>
        <v>304.89999999999998</v>
      </c>
      <c r="CW65" s="1795">
        <f>+'ANEXOA-MODIFICADO'!K78</f>
        <v>305.45999999999998</v>
      </c>
      <c r="CX65" s="1795">
        <f>+'ANEXOA-MODIFICADO'!L78</f>
        <v>307.23</v>
      </c>
      <c r="CY65" s="1795">
        <f>+'ANEXOA-MODIFICADO'!M78</f>
        <v>312.12</v>
      </c>
      <c r="CZ65" s="963">
        <f>+'ANEXOA-MODIFICADO'!N78</f>
        <v>312.29000000000002</v>
      </c>
      <c r="DA65" s="963">
        <f>+'ANEXOA-MODIFICADO'!O78</f>
        <v>312.8</v>
      </c>
      <c r="DB65" s="963">
        <f>+'ANEXOA-MODIFICADO'!D85</f>
        <v>314.74</v>
      </c>
      <c r="DC65" s="963">
        <f>+'ANEXOA-MODIFICADO'!E85</f>
        <v>316.7</v>
      </c>
      <c r="DD65" s="963">
        <f>+'ANEXOA-MODIFICADO'!F85</f>
        <v>316.02</v>
      </c>
      <c r="DE65" s="963">
        <f>+'ANEXOA-MODIFICADO'!G85</f>
        <v>319.25</v>
      </c>
      <c r="DF65" s="963">
        <f>+'ANEXOA-MODIFICADO'!H85</f>
        <v>320.07</v>
      </c>
      <c r="DG65" s="963">
        <f>+'ANEXOA-MODIFICADO'!I85</f>
        <v>322.97000000000003</v>
      </c>
      <c r="DH65" s="963">
        <f>+'ANEXOA-MODIFICADO'!J85</f>
        <v>326.48</v>
      </c>
      <c r="DI65" s="963">
        <f>+'ANEXOA-MODIFICADO'!K85</f>
        <v>328.32</v>
      </c>
      <c r="DJ65" s="963">
        <f>+'ANEXOA-MODIFICADO'!L85</f>
        <v>329.63</v>
      </c>
      <c r="DK65" s="963">
        <f>+'ANEXOA-MODIFICADO'!M85</f>
        <v>330.69</v>
      </c>
      <c r="DL65" s="963">
        <f>+'ANEXOA-MODIFICADO'!N85</f>
        <v>330.62</v>
      </c>
      <c r="DM65" s="963">
        <f>+'ANEXOA-MODIFICADO'!O85</f>
        <v>334.4</v>
      </c>
      <c r="DN65" s="963">
        <f>+'ANEXOA-MODIFICADO'!D92</f>
        <v>335.97</v>
      </c>
      <c r="DO65" s="963">
        <f>+'ANEXOA-MODIFICADO'!E92</f>
        <v>336.71</v>
      </c>
      <c r="DP65" s="963">
        <f>+'ANEXOA-MODIFICADO'!F92</f>
        <v>342.98</v>
      </c>
      <c r="DQ65" s="963">
        <f>+'ANEXOA-MODIFICADO'!G92</f>
        <v>346.28</v>
      </c>
      <c r="DR65" s="963">
        <f>+'ANEXOA-MODIFICADO'!H92</f>
        <v>348.05</v>
      </c>
      <c r="DS65" s="963">
        <f>+'ANEXOA-MODIFICADO'!I92</f>
        <v>350.33</v>
      </c>
      <c r="DT65" s="963">
        <f>+'ANEXOA-MODIFICADO'!J92</f>
        <v>356.44</v>
      </c>
      <c r="DU65" s="963">
        <f>+'ANEXOA-MODIFICADO'!K92</f>
        <v>359.35</v>
      </c>
      <c r="DV65" s="963">
        <f>+'ANEXOA-MODIFICADO'!L92</f>
        <v>362.62</v>
      </c>
      <c r="DW65" s="963">
        <f>+'ANEXOA-MODIFICADO'!M92</f>
        <v>364.52</v>
      </c>
      <c r="DX65" s="963">
        <f>+'ANEXOA-MODIFICADO'!N92</f>
        <v>367.04</v>
      </c>
      <c r="DY65" s="963">
        <f>+'ANEXOA-MODIFICADO'!O92</f>
        <v>369.1</v>
      </c>
      <c r="DZ65" s="963">
        <f>+'ANEXOA-MODIFICADO'!D99</f>
        <v>373.71</v>
      </c>
      <c r="EA65" s="963">
        <f>+'ANEXOA-MODIFICADO'!E99</f>
        <v>377.44</v>
      </c>
      <c r="EB65" s="963">
        <f>+'ANEXOA-MODIFICADO'!F99</f>
        <v>380.57</v>
      </c>
      <c r="EC65" s="963">
        <f>+'ANEXOA-MODIFICADO'!G99</f>
        <v>385.81</v>
      </c>
      <c r="ED65" s="963">
        <f>+'ANEXOA-MODIFICADO'!H99</f>
        <v>390.47</v>
      </c>
      <c r="EE65" s="963">
        <f>+'ANEXOA-MODIFICADO'!I99</f>
        <v>393.54</v>
      </c>
      <c r="EF65" s="963">
        <f>+'ANEXOA-MODIFICADO'!J99</f>
        <v>396.16</v>
      </c>
      <c r="EG65" s="963">
        <f>+'ANEXOA-MODIFICADO'!K99</f>
        <v>399.84</v>
      </c>
      <c r="EH65" s="963">
        <f>+'ANEXOA-MODIFICADO'!L99</f>
        <v>403.77</v>
      </c>
      <c r="EI65" s="963">
        <f>+'ANEXOA-MODIFICADO'!M99</f>
        <v>405.46</v>
      </c>
      <c r="EJ65" s="963">
        <f>+'ANEXOA-MODIFICADO'!N99</f>
        <v>408.27</v>
      </c>
      <c r="EK65" s="963">
        <f>+'ANEXOA-MODIFICADO'!O99</f>
        <v>417.76</v>
      </c>
      <c r="EL65" s="1842">
        <f>'ANEXOA-MODIFICADO'!D106</f>
        <v>429.35</v>
      </c>
      <c r="EM65" s="1842">
        <f>'ANEXOA-MODIFICADO'!E106</f>
        <v>462.13</v>
      </c>
      <c r="EN65" s="1842">
        <f>'ANEXOA-MODIFICADO'!F106</f>
        <v>471.88</v>
      </c>
      <c r="EO65" s="1842">
        <f>'ANEXOA-MODIFICADO'!G106</f>
        <v>475.42</v>
      </c>
      <c r="EP65" s="1842">
        <f>'ANEXOA-MODIFICADO'!H106</f>
        <v>478.02</v>
      </c>
      <c r="EQ65" s="1842">
        <f>'ANEXOA-MODIFICADO'!I106</f>
        <v>481.5</v>
      </c>
      <c r="ER65" s="1842">
        <f>'ANEXOA-MODIFICADO'!J106</f>
        <v>480.13</v>
      </c>
      <c r="ES65" s="1842">
        <f>'ANEXOA-MODIFICADO'!K106</f>
        <v>497.03</v>
      </c>
      <c r="ET65" s="1842">
        <f>'ANEXOA-MODIFICADO'!L106</f>
        <v>502.59</v>
      </c>
      <c r="EU65" s="1842">
        <f>'ANEXOA-MODIFICADO'!M106</f>
        <v>507.98</v>
      </c>
      <c r="EV65" s="1842">
        <f>'ANEXOA-MODIFICADO'!N106</f>
        <v>514.42999999999995</v>
      </c>
      <c r="EW65" s="1842">
        <f>'ANEXOA-MODIFICADO'!O106</f>
        <v>515.37</v>
      </c>
      <c r="EX65" s="1842">
        <f>'ANEXOA-MODIFICADO'!D113</f>
        <v>518.89</v>
      </c>
      <c r="EY65" s="1842">
        <f>'ANEXOA-MODIFICADO'!E113</f>
        <v>520.91999999999996</v>
      </c>
      <c r="EZ65" s="1842">
        <f>'ANEXOA-MODIFICADO'!F113</f>
        <v>533.51</v>
      </c>
      <c r="FA65" s="1842">
        <f>'ANEXOA-MODIFICADO'!G113</f>
        <v>550.91999999999996</v>
      </c>
      <c r="FB65" s="1842">
        <f>'ANEXOA-MODIFICADO'!H113</f>
        <v>562.13</v>
      </c>
      <c r="FC65" s="1842">
        <f>'ANEXOA-MODIFICADO'!I113</f>
        <v>574.11</v>
      </c>
      <c r="FD65" s="1842">
        <f>'ANEXOA-MODIFICADO'!J113</f>
        <v>584.46</v>
      </c>
      <c r="FE65" s="1842">
        <f>'ANEXOA-MODIFICADO'!K113</f>
        <v>595.29999999999995</v>
      </c>
      <c r="FF65" s="1842">
        <f>'ANEXOA-MODIFICADO'!L113</f>
        <v>597.77</v>
      </c>
      <c r="FG65" s="1842">
        <f>'ANEXOA-MODIFICADO'!M113</f>
        <v>605.84</v>
      </c>
      <c r="FH65" s="1842" t="e">
        <f>'ANEXOA-MODIFICADO'!N113</f>
        <v>#REF!</v>
      </c>
      <c r="FI65" s="1842" t="e">
        <f>'ANEXOA-MODIFICADO'!O113</f>
        <v>#REF!</v>
      </c>
      <c r="FJ65" s="1842">
        <f>+'ANEXOA-MODIFICADO'!D120</f>
        <v>100</v>
      </c>
      <c r="FK65" s="1842">
        <f>+'ANEXOA-MODIFICADO'!E120</f>
        <v>112.96</v>
      </c>
      <c r="FL65" s="1842">
        <f>+'ANEXOA-MODIFICADO'!F120</f>
        <v>107.56</v>
      </c>
      <c r="FM65" s="1842">
        <f>+'ANEXOA-MODIFICADO'!G120</f>
        <v>106.15</v>
      </c>
      <c r="FN65" s="1842">
        <f>+'ANEXOA-MODIFICADO'!H120</f>
        <v>103.93</v>
      </c>
      <c r="FO65" s="1842">
        <f>+'ANEXOA-MODIFICADO'!I120</f>
        <v>111.85</v>
      </c>
      <c r="FP65" s="1842">
        <f>+'ANEXOA-MODIFICADO'!J120</f>
        <v>111.85</v>
      </c>
      <c r="FQ65" s="1842">
        <f>+'ANEXOA-MODIFICADO'!K120</f>
        <v>111.85</v>
      </c>
      <c r="FR65" s="1842">
        <f>+'ANEXOA-MODIFICADO'!L120</f>
        <v>112.59</v>
      </c>
      <c r="FS65" s="1842">
        <f>+'ANEXOA-MODIFICADO'!M120</f>
        <v>114.59</v>
      </c>
      <c r="FT65" s="1842">
        <f>+'ANEXOA-MODIFICADO'!N120</f>
        <v>116.67</v>
      </c>
      <c r="FU65" s="1842">
        <f>+'ANEXOA-MODIFICADO'!O120</f>
        <v>118.89</v>
      </c>
      <c r="FV65" s="1842">
        <f>+'ANEXOA-MODIFICADO'!D127</f>
        <v>119.26</v>
      </c>
      <c r="FW65" s="1842">
        <f>+'ANEXOA-MODIFICADO'!E127</f>
        <v>115.56</v>
      </c>
      <c r="FX65" s="1842">
        <f>+'ANEXOA-MODIFICADO'!F127</f>
        <v>115.93</v>
      </c>
      <c r="FY65" s="1842">
        <f>+'ANEXOA-MODIFICADO'!G127</f>
        <v>116.3</v>
      </c>
      <c r="FZ65" s="1842">
        <f>+'ANEXOA-MODIFICADO'!H127</f>
        <v>120</v>
      </c>
      <c r="GA65" s="1842">
        <f>+'ANEXOA-MODIFICADO'!I127</f>
        <v>121.85</v>
      </c>
      <c r="GB65" s="1842">
        <f>+'ANEXOA-MODIFICADO'!J127</f>
        <v>137.97999999999999</v>
      </c>
      <c r="GC65" s="1842">
        <f>+'ANEXOA-MODIFICADO'!K127</f>
        <v>140.16</v>
      </c>
      <c r="GD65" s="1842">
        <f>+'ANEXOA-MODIFICADO'!L127</f>
        <v>137.74</v>
      </c>
      <c r="GE65" s="1842">
        <f>+'ANEXOA-MODIFICADO'!M127</f>
        <v>139.6</v>
      </c>
      <c r="GF65" s="1842">
        <f>+'ANEXOA-MODIFICADO'!N127</f>
        <v>142.4</v>
      </c>
      <c r="GG65" s="1842">
        <f>+'ANEXOA-MODIFICADO'!O127</f>
        <v>146.66999999999999</v>
      </c>
      <c r="GH65" s="1842">
        <f>+'ANEXOA-MODIFICADO'!D134</f>
        <v>154</v>
      </c>
      <c r="GI65" s="1842">
        <f>+'ANEXOA-MODIFICADO'!E134</f>
        <v>158.62</v>
      </c>
      <c r="GJ65" s="1842">
        <f>+'ANEXOA-MODIFICADO'!F134</f>
        <v>163.38</v>
      </c>
      <c r="GK65" s="1842">
        <f>+'ANEXOA-MODIFICADO'!G134</f>
        <v>163.38</v>
      </c>
      <c r="GL65" s="1842">
        <f>+'ANEXOA-MODIFICADO'!H134</f>
        <v>199.94</v>
      </c>
      <c r="GM65" s="1842">
        <f>+'ANEXOA-MODIFICADO'!I134</f>
        <v>226.23</v>
      </c>
      <c r="GN65" s="1842">
        <f>+'ANEXOA-MODIFICADO'!J134</f>
        <v>223.84</v>
      </c>
      <c r="GO65" s="1842">
        <f>+'ANEXOA-MODIFICADO'!K134</f>
        <v>234.99</v>
      </c>
      <c r="GP65" s="1842">
        <f>+'ANEXOA-MODIFICADO'!L134</f>
        <v>316.49</v>
      </c>
      <c r="GQ65" s="1842">
        <f>+'ANEXOA-MODIFICADO'!M134</f>
        <v>300.87</v>
      </c>
      <c r="GR65" s="1842">
        <f>+'ANEXOA-MODIFICADO'!N134</f>
        <v>283.43</v>
      </c>
      <c r="GS65" s="1842">
        <f>+'ANEXOA-MODIFICADO'!O134</f>
        <v>306.31</v>
      </c>
      <c r="GT65" s="1842">
        <f>+'ANEXOA-MODIFICADO'!D141</f>
        <v>294.77999999999997</v>
      </c>
      <c r="GU65" s="1842">
        <f>+'ANEXOA-MODIFICADO'!E141</f>
        <v>316.83999999999997</v>
      </c>
      <c r="GV65" s="1842">
        <f>+'ANEXOA-MODIFICADO'!F141</f>
        <v>326.27</v>
      </c>
      <c r="GW65" s="1842">
        <f>+'ANEXOA-MODIFICADO'!G141</f>
        <v>347.76</v>
      </c>
      <c r="GX65" s="1842">
        <f>+'ANEXOA-MODIFICADO'!H141</f>
        <v>376.02</v>
      </c>
      <c r="GY65" s="1842">
        <f>+'ANEXOA-MODIFICADO'!I141</f>
        <v>357.55</v>
      </c>
      <c r="GZ65" s="1843">
        <f>+'ANEXOA-MODIFICADO'!J141</f>
        <v>356.55</v>
      </c>
      <c r="HA65" s="1843">
        <f>+'ANEXOA-MODIFICADO'!K141</f>
        <v>459.75</v>
      </c>
      <c r="HB65" s="1843">
        <f>+'ANEXOA-MODIFICADO'!L141</f>
        <v>481.2</v>
      </c>
      <c r="HC65" s="1843">
        <f>+'ANEXOA-MODIFICADO'!M141</f>
        <v>501.36</v>
      </c>
      <c r="HD65" s="1843">
        <f>+'ANEXOA-MODIFICADO'!N141</f>
        <v>484.59</v>
      </c>
      <c r="HE65" s="1844">
        <f>+'ANEXOA-MODIFICADO'!O141</f>
        <v>484.59</v>
      </c>
      <c r="HF65" s="1886">
        <f>+'ANEXOA-MODIFICADO'!D148</f>
        <v>508.78</v>
      </c>
      <c r="HG65" s="1889">
        <f>+'ANEXOA-MODIFICADO'!E148</f>
        <v>515.99</v>
      </c>
      <c r="HH65" s="1889">
        <f>+'ANEXOA-MODIFICADO'!F148</f>
        <v>530.1</v>
      </c>
      <c r="HI65" s="1889">
        <f>+'ANEXOA-MODIFICADO'!G148</f>
        <v>554.28</v>
      </c>
      <c r="HJ65" s="1889">
        <f>+'ANEXOA-MODIFICADO'!H148</f>
        <v>568.39</v>
      </c>
      <c r="HK65" s="1889">
        <f>+'ANEXOA-MODIFICADO'!I148</f>
        <v>592.58000000000004</v>
      </c>
      <c r="HL65" s="1889">
        <f>+'ANEXOA-MODIFICADO'!J148</f>
        <v>614.75</v>
      </c>
      <c r="HM65" s="1889">
        <f>+'ANEXOA-MODIFICADO'!K148</f>
        <v>628.86</v>
      </c>
      <c r="HN65" s="1889">
        <f>+'ANEXOA-MODIFICADO'!L148</f>
        <v>644.98</v>
      </c>
      <c r="HO65" s="1889">
        <f>+'ANEXOA-MODIFICADO'!M148</f>
        <v>673.2</v>
      </c>
      <c r="HP65" s="1889">
        <f>+'ANEXOA-MODIFICADO'!N148</f>
        <v>697.39</v>
      </c>
      <c r="HQ65" s="1888">
        <f>+'ANEXOA-MODIFICADO'!O148</f>
        <v>719.56</v>
      </c>
      <c r="HR65" s="1951">
        <f>+'ANEXOA-MODIFICADO'!D155</f>
        <v>741.73</v>
      </c>
      <c r="HS65" s="1889">
        <f>+'ANEXOA-MODIFICADO'!E155</f>
        <v>761.89</v>
      </c>
      <c r="HT65" s="1952">
        <f>+'ANEXOA-MODIFICADO'!F155</f>
        <v>784.06</v>
      </c>
      <c r="HU65" s="1889">
        <f>+'ANEXOA-MODIFICADO'!G155</f>
        <v>794.14</v>
      </c>
      <c r="HV65" s="1889">
        <f>+'ANEXOA-MODIFICADO'!H155</f>
        <v>806.23</v>
      </c>
      <c r="HW65" s="1889">
        <f>+'ANEXOA-MODIFICADO'!I155</f>
        <v>812.28</v>
      </c>
      <c r="HX65" s="1889">
        <f>+'ANEXOA-MODIFICADO'!J155</f>
        <v>820.34</v>
      </c>
      <c r="HY65" s="1889">
        <f>+'ANEXOA-MODIFICADO'!K155</f>
        <v>828.4</v>
      </c>
      <c r="HZ65" s="1889">
        <f>+'ANEXOA-MODIFICADO'!L155</f>
        <v>836.46</v>
      </c>
      <c r="IA65" s="1889">
        <f>+'ANEXOA-MODIFICADO'!M155</f>
        <v>846.54</v>
      </c>
      <c r="IB65" s="1889">
        <f>+'ANEXOA-MODIFICADO'!N155</f>
        <v>852.59</v>
      </c>
      <c r="IC65" s="1889">
        <f>+'ANEXOA-MODIFICADO'!O155</f>
        <v>868.71</v>
      </c>
      <c r="ID65" s="1952">
        <f>+'ANEXOA-MODIFICADO'!D162</f>
        <v>888.87</v>
      </c>
      <c r="IE65" s="1889">
        <f>+'ANEXOA-MODIFICADO'!E162</f>
        <v>907.01</v>
      </c>
      <c r="IF65" s="1952">
        <f>+'ANEXOA-MODIFICADO'!F162</f>
        <v>935.23</v>
      </c>
      <c r="IG65" s="1889">
        <f>+'ANEXOA-MODIFICADO'!G162</f>
        <v>969.49</v>
      </c>
      <c r="IH65" s="1889">
        <f>+'ANEXOA-MODIFICADO'!H162</f>
        <v>1009.8</v>
      </c>
      <c r="II65" s="1889">
        <f>+'ANEXOA-MODIFICADO'!I162</f>
        <v>1046.08</v>
      </c>
      <c r="IJ65" s="1889">
        <f>+'ANEXOA-MODIFICADO'!J162</f>
        <v>1106.55</v>
      </c>
      <c r="IK65" s="1886">
        <f>+'ANEXOA-MODIFICADO'!K162</f>
        <v>1142.83</v>
      </c>
      <c r="IL65" s="1889">
        <f>+'ANEXOA-MODIFICADO'!L162</f>
        <v>1233.53</v>
      </c>
      <c r="IM65" s="1889">
        <f>+'ANEXOA-MODIFICADO'!M162</f>
        <v>1310.1199999999999</v>
      </c>
      <c r="IN65" s="1889">
        <f>+'ANEXOA-MODIFICADO'!N162</f>
        <v>1404.85</v>
      </c>
      <c r="IO65" s="1889">
        <f>+'ANEXOA-MODIFICADO'!O162</f>
        <v>1477.41</v>
      </c>
      <c r="IP65" s="2475">
        <f>+'Insumos testigos '!JE168</f>
        <v>1558.04</v>
      </c>
      <c r="IQ65" s="2475">
        <f>+'Insumos testigos '!JF168</f>
        <v>1644.71</v>
      </c>
    </row>
    <row r="66" spans="3:251">
      <c r="C66" s="372" t="s">
        <v>698</v>
      </c>
      <c r="D66" s="2658">
        <v>57</v>
      </c>
      <c r="E66" s="2626"/>
      <c r="F66" s="975">
        <v>108.83</v>
      </c>
      <c r="G66" s="1794">
        <v>272.95</v>
      </c>
      <c r="H66" s="1795">
        <v>277.8</v>
      </c>
      <c r="I66" s="1795">
        <v>280.02</v>
      </c>
      <c r="J66" s="1794">
        <v>280.02</v>
      </c>
      <c r="K66" s="1794">
        <v>287.77999999999997</v>
      </c>
      <c r="L66" s="1794">
        <v>299.05</v>
      </c>
      <c r="M66" s="1794">
        <f>+M46</f>
        <v>302.61</v>
      </c>
      <c r="N66" s="1794">
        <f>+N46</f>
        <v>302.61</v>
      </c>
      <c r="O66" s="1794">
        <f>+O46</f>
        <v>316.14999999999998</v>
      </c>
      <c r="P66" s="1794">
        <v>326.3</v>
      </c>
      <c r="Q66" s="1794">
        <v>326.3</v>
      </c>
      <c r="R66" s="1794">
        <v>326.3</v>
      </c>
      <c r="S66" s="1794">
        <v>326.3</v>
      </c>
      <c r="T66" s="1794">
        <v>326.3</v>
      </c>
      <c r="U66" s="1794">
        <v>326.3</v>
      </c>
      <c r="V66" s="1794">
        <v>330.9</v>
      </c>
      <c r="W66" s="1794">
        <v>334.05</v>
      </c>
      <c r="X66" s="1794">
        <v>334.06</v>
      </c>
      <c r="Y66" s="1794">
        <v>354.41</v>
      </c>
      <c r="Z66" s="1794">
        <v>354.41</v>
      </c>
      <c r="AA66" s="1794">
        <v>364.34</v>
      </c>
      <c r="AB66" s="1794">
        <v>364.34</v>
      </c>
      <c r="AC66" s="1794">
        <f>+AC46</f>
        <v>355.8</v>
      </c>
      <c r="AD66" s="1794">
        <f>+AD46</f>
        <v>354.35</v>
      </c>
      <c r="AE66" s="1794">
        <f>+AE46</f>
        <v>354.35</v>
      </c>
      <c r="AF66" s="1794">
        <f>+AF46</f>
        <v>354.35</v>
      </c>
      <c r="AG66" s="1794">
        <f>+AG46</f>
        <v>354.35</v>
      </c>
      <c r="AH66" s="1794">
        <f>+'TABLA FINAL '!AV77</f>
        <v>353.29</v>
      </c>
      <c r="AI66" s="1794">
        <f>+'TABLA FINAL '!AW77</f>
        <v>352.85</v>
      </c>
      <c r="AJ66" s="1794">
        <f>+'TABLA FINAL '!AX77</f>
        <v>355.1</v>
      </c>
      <c r="AK66" s="1794">
        <f>+'TABLA FINAL '!AY77</f>
        <v>355.1</v>
      </c>
      <c r="AL66" s="1794">
        <f>+'TABLA FINAL '!AZ77</f>
        <v>355.1</v>
      </c>
      <c r="AM66" s="1794">
        <f>+'TABLA FINAL '!BA77</f>
        <v>352.34</v>
      </c>
      <c r="AN66" s="1794">
        <f>+'TABLA FINAL '!BB77</f>
        <v>340.55</v>
      </c>
      <c r="AO66" s="1794">
        <f>+'TABLA FINAL '!BC77</f>
        <v>340.59</v>
      </c>
      <c r="AP66" s="1794">
        <f>+'TABLA FINAL '!BD77</f>
        <v>340.59</v>
      </c>
      <c r="AQ66" s="1794">
        <f>+'TABLA FINAL '!BE77</f>
        <v>340.59</v>
      </c>
      <c r="AR66" s="1794">
        <f>+'TABLA FINAL '!BF77</f>
        <v>356.34</v>
      </c>
      <c r="AS66" s="1794">
        <f>+'TABLA FINAL '!BG77</f>
        <v>364.32</v>
      </c>
      <c r="AT66" s="1794">
        <f>+'TABLA FINAL '!BH77</f>
        <v>364.32</v>
      </c>
      <c r="AU66" s="1794">
        <f>+'TABLA FINAL '!BI77</f>
        <v>364.32</v>
      </c>
      <c r="AV66" s="1794">
        <f>+'TABLA FINAL '!BJ77</f>
        <v>362.64</v>
      </c>
      <c r="AW66" s="1794">
        <f>+'TABLA FINAL '!BK77</f>
        <v>362.66</v>
      </c>
      <c r="AX66" s="1794">
        <f>+'TABLA FINAL '!BL77</f>
        <v>369.95</v>
      </c>
      <c r="AY66" s="1794">
        <f>+'TABLA FINAL '!BM77</f>
        <v>373.72</v>
      </c>
      <c r="AZ66" s="1794">
        <f>+'TABLA FINAL '!BN77</f>
        <v>373.72</v>
      </c>
      <c r="BA66" s="1794">
        <f>+'TABLA FINAL '!BO77</f>
        <v>373.72</v>
      </c>
      <c r="BB66" s="1794">
        <f>+'TABLA FINAL '!BP77</f>
        <v>373.72</v>
      </c>
      <c r="BC66" s="1794">
        <f>+'TABLA FINAL '!BQ77</f>
        <v>373.72</v>
      </c>
      <c r="BD66" s="1794">
        <f>+'TABLA FINAL '!BR77</f>
        <v>376.83</v>
      </c>
      <c r="BE66" s="1794">
        <f>+'TABLA FINAL '!BS77</f>
        <v>379.58</v>
      </c>
      <c r="BF66" s="1794">
        <f>+'TABLA FINAL '!BT77</f>
        <v>388.2</v>
      </c>
      <c r="BG66" s="1794">
        <f>+'TABLA FINAL '!BU77</f>
        <v>388.2</v>
      </c>
      <c r="BH66" s="1794">
        <f>+'TABLA FINAL '!BV77</f>
        <v>389.65</v>
      </c>
      <c r="BI66" s="1794">
        <f>+'TABLA FINAL '!BW77</f>
        <v>389.65</v>
      </c>
      <c r="BJ66" s="1794">
        <f>+'TABLA FINAL '!BX77</f>
        <v>398.89</v>
      </c>
      <c r="BK66" s="1794">
        <f>+'TABLA FINAL '!BY77</f>
        <v>398.89</v>
      </c>
      <c r="BL66" s="1794">
        <f>+'TABLA FINAL '!BZ77</f>
        <v>402.75</v>
      </c>
      <c r="BM66" s="1795">
        <f>+'TABLA FINAL '!CA77</f>
        <v>407.83</v>
      </c>
      <c r="BN66" s="1795">
        <f>+'TABLA FINAL '!CB77</f>
        <v>418.12</v>
      </c>
      <c r="BO66" s="1795">
        <f>+'TABLA FINAL '!CC77</f>
        <v>421.51</v>
      </c>
      <c r="BP66" s="1795">
        <f>+'TABLA FINAL '!CD77</f>
        <v>432.17</v>
      </c>
      <c r="BQ66" s="1795">
        <f>+'TABLA FINAL '!CE77</f>
        <v>443.93</v>
      </c>
      <c r="BR66" s="1795">
        <f>+'TABLA FINAL '!CF77</f>
        <v>450.8</v>
      </c>
      <c r="BS66" s="1795">
        <f>+'TABLA FINAL '!CG77</f>
        <v>472.7</v>
      </c>
      <c r="BT66" s="1795">
        <f>+'TABLA FINAL '!CH77</f>
        <v>494.79</v>
      </c>
      <c r="BU66" s="1795">
        <f>+'TABLA FINAL '!CI77</f>
        <v>511.84</v>
      </c>
      <c r="BV66" s="1795">
        <f>+'TABLA FINAL '!CJ77</f>
        <v>516.33000000000004</v>
      </c>
      <c r="BW66" s="1795">
        <f>+'TABLA FINAL '!CK77</f>
        <v>542.24</v>
      </c>
      <c r="BX66" s="1795">
        <f>+'TABLA FINAL '!CL77</f>
        <v>573.32000000000005</v>
      </c>
      <c r="BY66" s="1795">
        <f>+'TABLA FINAL '!CM77</f>
        <v>594.30999999999995</v>
      </c>
      <c r="BZ66" s="1795">
        <f>+'TABLA FINAL '!CN77</f>
        <v>597.74</v>
      </c>
      <c r="CA66" s="1795">
        <f>+'TABLA FINAL '!CO77</f>
        <v>601.69000000000005</v>
      </c>
      <c r="CB66" s="1795">
        <f>+'TABLA FINAL '!CP77</f>
        <v>601.69000000000005</v>
      </c>
      <c r="CC66" s="1795">
        <f>+'TABLA FINAL '!CQ77</f>
        <v>601.69000000000005</v>
      </c>
      <c r="CD66" s="1795">
        <f>+'TABLA FINAL '!CR77</f>
        <v>606.72</v>
      </c>
      <c r="CE66" s="1795">
        <f>+'TABLA FINAL '!CS77</f>
        <v>606.72</v>
      </c>
      <c r="CF66" s="1795">
        <f>+'TABLA FINAL '!CT77</f>
        <v>606.72</v>
      </c>
      <c r="CG66" s="1795">
        <f>+'TABLA FINAL '!CU77</f>
        <v>606.72</v>
      </c>
      <c r="CH66" s="1795">
        <f>+'TABLA FINAL '!CV77</f>
        <v>606.72</v>
      </c>
      <c r="CI66" s="1795">
        <f>+'TABLA FINAL '!CW77</f>
        <v>597.44000000000005</v>
      </c>
      <c r="CJ66" s="1795">
        <f>+'TABLA FINAL '!CX77</f>
        <v>601.76</v>
      </c>
      <c r="CK66" s="1795">
        <f>+'TABLA FINAL '!CY77</f>
        <v>607.69000000000005</v>
      </c>
      <c r="CL66" s="1795">
        <f>+'TABLA FINAL '!CZ77</f>
        <v>618.11</v>
      </c>
      <c r="CM66" s="1795">
        <f>+'TABLA FINAL '!DA77</f>
        <v>623.05999999999995</v>
      </c>
      <c r="CN66" s="1795">
        <f>+'TABLA FINAL '!DB77</f>
        <v>627.63</v>
      </c>
      <c r="CO66" s="1795">
        <f>+'TABLA FINAL '!DC77</f>
        <v>632.29</v>
      </c>
      <c r="CP66" s="1795">
        <f>+'TABLA FINAL '!DD77</f>
        <v>635.08000000000004</v>
      </c>
      <c r="CQ66" s="1795">
        <f>+'TABLA FINAL '!DE77</f>
        <v>653.88</v>
      </c>
      <c r="CR66" s="1795">
        <f>+'TABLA FINAL '!DF77</f>
        <v>677.44</v>
      </c>
      <c r="CS66" s="1795">
        <f>+'TABLA FINAL '!DG77</f>
        <v>683.99</v>
      </c>
      <c r="CT66" s="1795">
        <f>+'TABLA FINAL '!DH77</f>
        <v>690.68</v>
      </c>
      <c r="CU66" s="1795">
        <f>+'TABLA FINAL '!DI77</f>
        <v>694.84</v>
      </c>
      <c r="CV66" s="1795">
        <f>+'TABLA FINAL '!DJ77</f>
        <v>700.45</v>
      </c>
      <c r="CW66" s="1795">
        <f>+'TABLA FINAL '!DK77</f>
        <v>706.13</v>
      </c>
      <c r="CX66" s="1795">
        <f>+'TABLA FINAL '!DL77</f>
        <v>709.07</v>
      </c>
      <c r="CY66" s="1795">
        <f>+'TABLA FINAL  NO'!DM82</f>
        <v>768.17</v>
      </c>
      <c r="CZ66" s="963">
        <f>+'TABLA FINAL  NO'!DN82</f>
        <v>779.66</v>
      </c>
      <c r="DA66" s="963">
        <f>+'TABLA FINAL  NO'!DO82</f>
        <v>815.07</v>
      </c>
      <c r="DB66" s="963">
        <f>+'TABLA FINAL  NO'!DP82</f>
        <v>815.07</v>
      </c>
      <c r="DC66" s="963">
        <f>+'TABLA FINAL  NO'!DQ82</f>
        <v>817.97</v>
      </c>
      <c r="DD66" s="963">
        <f>+'TABLA FINAL  NO'!DR82</f>
        <v>826.52</v>
      </c>
      <c r="DE66" s="963">
        <f>+'TABLA FINAL  NO'!DS82</f>
        <v>829.12</v>
      </c>
      <c r="DF66" s="963">
        <f>+'TABLA FINAL  NO'!DT82</f>
        <v>832.09</v>
      </c>
      <c r="DG66" s="963">
        <f>+'TABLA FINAL  NO'!DU82</f>
        <v>838.7</v>
      </c>
      <c r="DH66" s="963">
        <f>+'TABLA FINAL  NO'!DV82</f>
        <v>867.95</v>
      </c>
      <c r="DI66" s="963">
        <f>+'TABLA FINAL  NO'!DW82</f>
        <v>872.71</v>
      </c>
      <c r="DJ66" s="963">
        <f>+'TABLA FINAL  NO'!DX82</f>
        <v>886.11</v>
      </c>
      <c r="DK66" s="963">
        <f>+'TABLA FINAL  NO'!DY82</f>
        <v>891.27</v>
      </c>
      <c r="DL66" s="963">
        <f>+'TABLA FINAL  NO'!DZ82</f>
        <v>920.2</v>
      </c>
      <c r="DM66" s="963">
        <f>+'TABLA FINAL  NO'!EA82</f>
        <v>922.43</v>
      </c>
      <c r="DN66" s="963">
        <f>+'TABLA FINAL  NO'!EB82</f>
        <v>923.87</v>
      </c>
      <c r="DO66" s="963">
        <f>+'TABLA FINAL  NO'!EC82</f>
        <v>926.64</v>
      </c>
      <c r="DP66" s="963">
        <f>+'TABLA FINAL  NO'!ED82</f>
        <v>927.7</v>
      </c>
      <c r="DQ66" s="963">
        <f>+'TABLA FINAL  NO'!EE82</f>
        <v>963</v>
      </c>
      <c r="DR66" s="963">
        <f>+'TABLA FINAL  NO'!EF82</f>
        <v>965.8</v>
      </c>
      <c r="DS66" s="963">
        <f>+'TABLA FINAL  NO'!EG82</f>
        <v>968.82</v>
      </c>
      <c r="DT66" s="963">
        <f>+'TABLA FINAL  NO'!EH82</f>
        <v>971.8</v>
      </c>
      <c r="DU66" s="963">
        <f>+'TABLA FINAL  NO'!EI82</f>
        <v>983.19</v>
      </c>
      <c r="DV66" s="963">
        <f>+'TABLA FINAL  NO'!EJ82</f>
        <v>997.65</v>
      </c>
      <c r="DW66" s="963">
        <f>+'TABLA FINAL  NO'!EK82</f>
        <v>1008.23</v>
      </c>
      <c r="DX66" s="963">
        <f>+'TABLA FINAL  NO'!EL82</f>
        <v>1011.33</v>
      </c>
      <c r="DY66" s="963">
        <f>+'TABLA FINAL  NO'!EM82</f>
        <v>1014.32</v>
      </c>
      <c r="DZ66" s="963">
        <f>+'TABLA FINAL  NO'!EN82</f>
        <v>1038.02</v>
      </c>
      <c r="EA66" s="963">
        <f>+'TABLA FINAL  NO'!EO82</f>
        <v>1041.07</v>
      </c>
      <c r="EB66" s="963">
        <f>+'TABLA FINAL  NO'!EP82</f>
        <v>1044.21</v>
      </c>
      <c r="EC66" s="963">
        <f>+'TABLA FINAL  NO'!EQ82</f>
        <v>1047.4100000000001</v>
      </c>
      <c r="ED66" s="963">
        <f>+'TABLA FINAL  NO'!ER82</f>
        <v>1050.6500000000001</v>
      </c>
      <c r="EE66" s="963">
        <f>+'TABLA FINAL  NO'!ES82</f>
        <v>1062.6600000000001</v>
      </c>
      <c r="EF66" s="963">
        <f>+'TABLA FINAL  NO'!ET82</f>
        <v>1090.79</v>
      </c>
      <c r="EG66" s="963">
        <f>+'TABLA FINAL  NO'!EU82</f>
        <v>1098.76</v>
      </c>
      <c r="EH66" s="963">
        <f>+'TABLA FINAL  NO'!EV82</f>
        <v>1102.1400000000001</v>
      </c>
      <c r="EI66" s="963">
        <f>+'TABLA FINAL  NO'!EW82</f>
        <v>1105.53</v>
      </c>
      <c r="EJ66" s="963">
        <f>+'TABLA FINAL  NO'!EX82</f>
        <v>1108.92</v>
      </c>
      <c r="EK66" s="963">
        <f>+'TABLA FINAL  NO'!EY82</f>
        <v>1151.75</v>
      </c>
      <c r="EL66" s="963">
        <f>+'TABLA FINAL  NO'!EZ82</f>
        <v>1168.03</v>
      </c>
      <c r="EM66" s="963">
        <f>+'TABLA FINAL  NO'!FA82</f>
        <v>1259.2</v>
      </c>
      <c r="EN66" s="963">
        <f>+'TABLA FINAL  NO'!FB82</f>
        <v>1292.57</v>
      </c>
      <c r="EO66" s="963">
        <f>+'TABLA FINAL  NO'!FC82</f>
        <v>1301.28</v>
      </c>
      <c r="EP66" s="963">
        <f>+'TABLA FINAL  NO'!FD82</f>
        <v>1306.1199999999999</v>
      </c>
      <c r="EQ66" s="963">
        <f>+'TABLA FINAL  NO'!FE82</f>
        <v>1309.99</v>
      </c>
      <c r="ER66" s="963">
        <f>+'TABLA FINAL  NO'!FF82</f>
        <v>1320.46</v>
      </c>
      <c r="ES66" s="963">
        <f>+'TABLA FINAL  NO'!FG82</f>
        <v>1324.33</v>
      </c>
      <c r="ET66" s="963">
        <f>+'TABLA FINAL  NO'!FH82</f>
        <v>1339.2</v>
      </c>
      <c r="EU66" s="963">
        <f>+'TABLA FINAL  NO'!FI82</f>
        <v>1380.74</v>
      </c>
      <c r="EV66" s="963">
        <f>+'TABLA FINAL  NO'!FJ82</f>
        <v>1424.91</v>
      </c>
      <c r="EW66" s="963">
        <f>+'TABLA FINAL  NO'!FK82</f>
        <v>1449.17</v>
      </c>
      <c r="EX66" s="963">
        <f>+'TABLA FINAL  NO'!FL82</f>
        <v>1449.17</v>
      </c>
      <c r="EY66" s="963">
        <f>+'TABLA FINAL  NO'!FM82</f>
        <v>1476.58</v>
      </c>
      <c r="EZ66" s="963">
        <f>+'TABLA FINAL  NO'!FN82</f>
        <v>1481.42</v>
      </c>
      <c r="FA66" s="963">
        <f>+'TABLA FINAL  NO'!FO82</f>
        <v>1486.26</v>
      </c>
      <c r="FB66" s="963">
        <f>+'TABLA FINAL  NO'!FP82</f>
        <v>1503.19</v>
      </c>
      <c r="FC66" s="963">
        <f>+'TABLA FINAL  NO'!FQ82</f>
        <v>1506.58</v>
      </c>
      <c r="FD66" s="963">
        <f>+'TABLA FINAL  NO'!FR82</f>
        <v>1537.5</v>
      </c>
      <c r="FE66" s="963">
        <f>+'TABLA FINAL  NO'!FS82</f>
        <v>1556.82</v>
      </c>
      <c r="FF66" s="963">
        <f>+'TABLA FINAL  NO'!FT82</f>
        <v>1578.91</v>
      </c>
      <c r="FG66" s="963">
        <f>+'TABLA FINAL  NO'!FU82</f>
        <v>1592.22</v>
      </c>
      <c r="FH66" s="963" t="e">
        <f t="shared" ref="FH66:FL68" si="458">+FH46</f>
        <v>#REF!</v>
      </c>
      <c r="FI66" s="963" t="e">
        <f t="shared" si="458"/>
        <v>#REF!</v>
      </c>
      <c r="FJ66" s="963">
        <f t="shared" si="458"/>
        <v>100</v>
      </c>
      <c r="FK66" s="963">
        <f t="shared" si="458"/>
        <v>86.23695969581604</v>
      </c>
      <c r="FL66" s="963">
        <f t="shared" si="458"/>
        <v>86.23695969581604</v>
      </c>
      <c r="FM66" s="963">
        <f t="shared" ref="FM66:HC66" si="459">+FM46</f>
        <v>87.503208522392839</v>
      </c>
      <c r="FN66" s="963">
        <f t="shared" si="459"/>
        <v>87.503208522392839</v>
      </c>
      <c r="FO66" s="963">
        <f t="shared" si="459"/>
        <v>87.503208522392839</v>
      </c>
      <c r="FP66" s="963">
        <f t="shared" si="459"/>
        <v>87.503208522392839</v>
      </c>
      <c r="FQ66" s="963">
        <f t="shared" si="459"/>
        <v>87.503208522392839</v>
      </c>
      <c r="FR66" s="963">
        <f t="shared" si="459"/>
        <v>87.503208522392839</v>
      </c>
      <c r="FS66" s="963">
        <f t="shared" si="459"/>
        <v>87.503208522392839</v>
      </c>
      <c r="FT66" s="963">
        <f t="shared" si="459"/>
        <v>87.503208522392839</v>
      </c>
      <c r="FU66" s="963">
        <f t="shared" si="459"/>
        <v>87.885783041999346</v>
      </c>
      <c r="FV66" s="963">
        <f t="shared" si="459"/>
        <v>87.885783041999346</v>
      </c>
      <c r="FW66" s="963">
        <f t="shared" si="459"/>
        <v>90.207526125997475</v>
      </c>
      <c r="FX66" s="963">
        <f t="shared" si="459"/>
        <v>90.200821271921626</v>
      </c>
      <c r="FY66" s="963">
        <f t="shared" si="459"/>
        <v>90.200821271921626</v>
      </c>
      <c r="FZ66" s="963">
        <f t="shared" si="459"/>
        <v>91.129957877814462</v>
      </c>
      <c r="GA66" s="963">
        <f t="shared" si="459"/>
        <v>93.36249088610333</v>
      </c>
      <c r="GB66" s="963">
        <f t="shared" si="459"/>
        <v>95.026978481897572</v>
      </c>
      <c r="GC66" s="963">
        <f t="shared" si="459"/>
        <v>95.026978481897572</v>
      </c>
      <c r="GD66" s="963">
        <f t="shared" si="459"/>
        <v>95.026978481897572</v>
      </c>
      <c r="GE66" s="963">
        <f t="shared" si="459"/>
        <v>102.19482153850986</v>
      </c>
      <c r="GF66" s="963">
        <f t="shared" si="459"/>
        <v>102.19482153850986</v>
      </c>
      <c r="GG66" s="963">
        <f t="shared" si="459"/>
        <v>103.56784614124206</v>
      </c>
      <c r="GH66" s="963">
        <f t="shared" si="459"/>
        <v>105.75837943372751</v>
      </c>
      <c r="GI66" s="963">
        <f t="shared" si="459"/>
        <v>106.90416345888353</v>
      </c>
      <c r="GJ66" s="963">
        <f t="shared" si="459"/>
        <v>106.90416345888353</v>
      </c>
      <c r="GK66" s="963">
        <f t="shared" si="459"/>
        <v>106.90416345888353</v>
      </c>
      <c r="GL66" s="963">
        <f t="shared" si="459"/>
        <v>144.7216759345479</v>
      </c>
      <c r="GM66" s="963">
        <f t="shared" si="459"/>
        <v>182.36192163228972</v>
      </c>
      <c r="GN66" s="963">
        <f t="shared" si="459"/>
        <v>264.42251244282664</v>
      </c>
      <c r="GO66" s="963">
        <f t="shared" si="459"/>
        <v>238.91520228596039</v>
      </c>
      <c r="GP66" s="963">
        <f t="shared" si="459"/>
        <v>238.91520228596039</v>
      </c>
      <c r="GQ66" s="963">
        <f t="shared" si="459"/>
        <v>248.55513467552416</v>
      </c>
      <c r="GR66" s="963">
        <f t="shared" si="459"/>
        <v>254.76803368571009</v>
      </c>
      <c r="GS66" s="963">
        <f t="shared" si="459"/>
        <v>263.17170767164555</v>
      </c>
      <c r="GT66" s="963">
        <f t="shared" si="459"/>
        <v>264.78308557821094</v>
      </c>
      <c r="GU66" s="963">
        <f t="shared" si="459"/>
        <v>273.29182548962143</v>
      </c>
      <c r="GV66" s="963">
        <f t="shared" si="459"/>
        <v>284.45897436002468</v>
      </c>
      <c r="GW66" s="963">
        <f t="shared" si="459"/>
        <v>298.54439678984539</v>
      </c>
      <c r="GX66" s="963">
        <f t="shared" si="459"/>
        <v>302.69178072482919</v>
      </c>
      <c r="GY66" s="963">
        <f t="shared" si="459"/>
        <v>301.05132284898372</v>
      </c>
      <c r="GZ66" s="963">
        <f t="shared" si="459"/>
        <v>298.3232018713482</v>
      </c>
      <c r="HA66" s="963">
        <f t="shared" si="459"/>
        <v>394.34570372827085</v>
      </c>
      <c r="HB66" s="963">
        <f t="shared" si="459"/>
        <v>402.55113733799317</v>
      </c>
      <c r="HC66" s="963">
        <f t="shared" si="459"/>
        <v>405.62162166337356</v>
      </c>
      <c r="HD66" s="963">
        <f t="shared" ref="HD66:HE68" si="460">+HD46</f>
        <v>405.62162166337356</v>
      </c>
      <c r="HE66" s="1791">
        <f t="shared" si="460"/>
        <v>405.62162166337356</v>
      </c>
      <c r="HF66" s="1880">
        <f t="shared" ref="HF66:HG66" si="461">+HF46</f>
        <v>410.69981629509948</v>
      </c>
      <c r="HG66" s="1880">
        <f t="shared" si="461"/>
        <v>416.06936489968018</v>
      </c>
      <c r="HH66" s="1880">
        <f t="shared" ref="HH66:HI66" si="462">+HH46</f>
        <v>426.38455037690102</v>
      </c>
      <c r="HI66" s="1880">
        <f t="shared" si="462"/>
        <v>441.64537272676193</v>
      </c>
      <c r="HJ66" s="1880">
        <f t="shared" ref="HJ66:HK66" si="463">+HJ46</f>
        <v>446.4497056887551</v>
      </c>
      <c r="HK66" s="1880">
        <f t="shared" si="463"/>
        <v>471.9550615605134</v>
      </c>
      <c r="HL66" s="1880">
        <f t="shared" ref="HL66:HM66" si="464">+HL46</f>
        <v>489.75935430201781</v>
      </c>
      <c r="HM66" s="1880">
        <f t="shared" si="464"/>
        <v>509.04733810531422</v>
      </c>
      <c r="HN66" s="1880">
        <f t="shared" ref="HN66:HO66" si="465">+HN46</f>
        <v>535.25921353030685</v>
      </c>
      <c r="HO66" s="1880">
        <f t="shared" si="465"/>
        <v>565.99281409599894</v>
      </c>
      <c r="HP66" s="1880">
        <f t="shared" ref="HP66:HQ66" si="466">+HP46</f>
        <v>603.36769846209347</v>
      </c>
      <c r="HQ66" s="1791">
        <f t="shared" si="466"/>
        <v>659.88926272083768</v>
      </c>
      <c r="HR66" s="975">
        <f t="shared" ref="HR66:HS66" si="467">+HR46</f>
        <v>710.12280295579649</v>
      </c>
      <c r="HS66" s="1880">
        <f t="shared" si="467"/>
        <v>757.74222084378835</v>
      </c>
      <c r="HT66" s="963">
        <f t="shared" ref="HT66:HU66" si="468">+HT46</f>
        <v>813.06270186203415</v>
      </c>
      <c r="HU66" s="1880">
        <f t="shared" si="468"/>
        <v>845.42129740016503</v>
      </c>
      <c r="HV66" s="1880">
        <f t="shared" ref="HV66:HW66" si="469">+HV46</f>
        <v>890.14398511989657</v>
      </c>
      <c r="HW66" s="1880">
        <f t="shared" si="469"/>
        <v>940.66013317614909</v>
      </c>
      <c r="HX66" s="1880">
        <f t="shared" ref="HX66:HY66" si="470">+HX46</f>
        <v>987.85563933220044</v>
      </c>
      <c r="HY66" s="1880">
        <f t="shared" si="470"/>
        <v>1035.4044052648687</v>
      </c>
      <c r="HZ66" s="1880">
        <f t="shared" ref="HZ66:IA66" si="471">+HZ46</f>
        <v>1073.1325494075807</v>
      </c>
      <c r="IA66" s="1880">
        <f t="shared" si="471"/>
        <v>1118.7737125465164</v>
      </c>
      <c r="IB66" s="1880">
        <f t="shared" ref="IB66:IC66" si="472">+IB46</f>
        <v>1156.643160599875</v>
      </c>
      <c r="IC66" s="1880">
        <f t="shared" si="472"/>
        <v>1211.9636416181211</v>
      </c>
      <c r="ID66" s="963">
        <f t="shared" ref="ID66:IE66" si="473">+ID46</f>
        <v>1266.4362991724856</v>
      </c>
      <c r="IE66" s="1880">
        <f t="shared" si="473"/>
        <v>1343.3762785197011</v>
      </c>
      <c r="IF66" s="963">
        <f t="shared" ref="IF66:IG66" si="474">+IF46</f>
        <v>1411.6967193174578</v>
      </c>
      <c r="IG66" s="1880">
        <f t="shared" si="474"/>
        <v>1490.4736495030825</v>
      </c>
      <c r="IH66" s="1880">
        <f t="shared" ref="IH66:II66" si="475">+IH46</f>
        <v>1575.4679517571692</v>
      </c>
      <c r="II66" s="1880">
        <f t="shared" si="475"/>
        <v>1673.038302058826</v>
      </c>
      <c r="IJ66" s="1880">
        <f t="shared" ref="IJ66:IK66" si="476">+IJ46</f>
        <v>1793.7824937065682</v>
      </c>
      <c r="IK66" s="1880">
        <f t="shared" si="476"/>
        <v>1913.3256021138118</v>
      </c>
      <c r="IL66" s="1880">
        <f t="shared" ref="IL66:IM66" si="477">+IL46</f>
        <v>2082.4663831581038</v>
      </c>
      <c r="IM66" s="1880">
        <f t="shared" si="477"/>
        <v>2264.2538642052896</v>
      </c>
      <c r="IN66" s="1880">
        <f t="shared" ref="IN66:IO66" si="478">+IN46</f>
        <v>2420.4252601312451</v>
      </c>
      <c r="IO66" s="1880">
        <f t="shared" si="478"/>
        <v>2585.3670011502795</v>
      </c>
      <c r="IP66" s="2476">
        <f t="shared" ref="IP66:IQ66" si="479">+IP46</f>
        <v>2717.6274615157404</v>
      </c>
      <c r="IQ66" s="2476">
        <f t="shared" si="479"/>
        <v>2868.4693861312639</v>
      </c>
    </row>
    <row r="67" spans="3:251">
      <c r="C67" s="372" t="s">
        <v>662</v>
      </c>
      <c r="D67" s="2658" t="s">
        <v>703</v>
      </c>
      <c r="E67" s="2626"/>
      <c r="F67" s="1796">
        <f>+F47</f>
        <v>3.09</v>
      </c>
      <c r="G67" s="538">
        <f>+G47</f>
        <v>3.66</v>
      </c>
      <c r="H67" s="538">
        <f>+H47</f>
        <v>3.66</v>
      </c>
      <c r="I67" s="538">
        <f>+I47</f>
        <v>3.66</v>
      </c>
      <c r="J67" s="538">
        <f>+J47</f>
        <v>3.82</v>
      </c>
      <c r="K67" s="538">
        <v>3.82</v>
      </c>
      <c r="L67" s="538">
        <v>3.94</v>
      </c>
      <c r="M67" s="538">
        <v>3.94</v>
      </c>
      <c r="N67" s="538">
        <v>4.22</v>
      </c>
      <c r="O67" s="538">
        <v>4.22</v>
      </c>
      <c r="P67" s="538">
        <v>4.41</v>
      </c>
      <c r="Q67" s="538">
        <v>4.63</v>
      </c>
      <c r="R67" s="538">
        <v>4.8499999999999996</v>
      </c>
      <c r="S67" s="538">
        <v>5.0999999999999996</v>
      </c>
      <c r="T67" s="538">
        <v>5.27</v>
      </c>
      <c r="U67" s="538">
        <v>5.5</v>
      </c>
      <c r="V67" s="538">
        <v>6</v>
      </c>
      <c r="W67" s="538">
        <v>6.21</v>
      </c>
      <c r="X67" s="538">
        <v>6.21</v>
      </c>
      <c r="Y67" s="538">
        <v>6.21</v>
      </c>
      <c r="Z67" s="538">
        <v>6.21</v>
      </c>
      <c r="AA67" s="538">
        <v>6.21</v>
      </c>
      <c r="AB67" s="538">
        <v>6.21</v>
      </c>
      <c r="AC67" s="538">
        <f>+AB67</f>
        <v>6.21</v>
      </c>
      <c r="AD67" s="1794">
        <f t="shared" ref="AD67:AF68" si="480">+AD47</f>
        <v>6.21</v>
      </c>
      <c r="AE67" s="1794">
        <f t="shared" si="480"/>
        <v>6.21</v>
      </c>
      <c r="AF67" s="1794">
        <f t="shared" si="480"/>
        <v>6.21</v>
      </c>
      <c r="AG67" s="1794">
        <f t="shared" ref="AG67:AI68" si="481">+AG47</f>
        <v>6.21</v>
      </c>
      <c r="AH67" s="1794">
        <f t="shared" si="481"/>
        <v>6.78</v>
      </c>
      <c r="AI67" s="1794">
        <f t="shared" si="481"/>
        <v>6.78</v>
      </c>
      <c r="AJ67" s="1794">
        <f t="shared" ref="AJ67:AL68" si="482">+AJ47</f>
        <v>9.5618289999999995</v>
      </c>
      <c r="AK67" s="1794">
        <f t="shared" si="482"/>
        <v>10.045543</v>
      </c>
      <c r="AL67" s="1794">
        <f t="shared" si="482"/>
        <v>10.045543</v>
      </c>
      <c r="AM67" s="1794">
        <f t="shared" ref="AM67:AO68" si="483">+AM47</f>
        <v>10.050000000000001</v>
      </c>
      <c r="AN67" s="1794">
        <f t="shared" si="483"/>
        <v>10.050000000000001</v>
      </c>
      <c r="AO67" s="1794">
        <f t="shared" si="483"/>
        <v>10.050000000000001</v>
      </c>
      <c r="AP67" s="1794">
        <f t="shared" ref="AP67:AR68" si="484">+AP47</f>
        <v>10.050000000000001</v>
      </c>
      <c r="AQ67" s="1794">
        <f t="shared" si="484"/>
        <v>10.045543</v>
      </c>
      <c r="AR67" s="1794">
        <f t="shared" si="484"/>
        <v>12.129433000000001</v>
      </c>
      <c r="AS67" s="1794">
        <f t="shared" ref="AS67:AU68" si="485">+AS47</f>
        <v>12.129433000000001</v>
      </c>
      <c r="AT67" s="1794">
        <f t="shared" si="485"/>
        <v>12.75847731818182</v>
      </c>
      <c r="AU67" s="1794">
        <f t="shared" si="485"/>
        <v>12.75847731818182</v>
      </c>
      <c r="AV67" s="1794">
        <f t="shared" ref="AV67:AX68" si="486">+AV47</f>
        <v>12.75847731818182</v>
      </c>
      <c r="AW67" s="1794">
        <f t="shared" si="486"/>
        <v>13.387248909090911</v>
      </c>
      <c r="AX67" s="1794">
        <f t="shared" si="486"/>
        <v>14.472594781818183</v>
      </c>
      <c r="AY67" s="1794">
        <f t="shared" ref="AY67:BA68" si="487">+AY47</f>
        <v>14.473413727272728</v>
      </c>
      <c r="AZ67" s="1794">
        <f t="shared" si="487"/>
        <v>14.977185318181817</v>
      </c>
      <c r="BA67" s="1794">
        <f t="shared" si="487"/>
        <v>14.977685318181818</v>
      </c>
      <c r="BB67" s="1794">
        <f t="shared" ref="BB67:BD68" si="488">+BB47</f>
        <v>11.71092</v>
      </c>
      <c r="BC67" s="1794">
        <f t="shared" si="488"/>
        <v>16.402142727272725</v>
      </c>
      <c r="BD67" s="1794">
        <f t="shared" si="488"/>
        <v>16.402142727272725</v>
      </c>
      <c r="BE67" s="1794">
        <f t="shared" ref="BE67:BG68" si="489">+BE47</f>
        <v>16.402142727272725</v>
      </c>
      <c r="BF67" s="1794">
        <f t="shared" si="489"/>
        <v>17.59504309090909</v>
      </c>
      <c r="BG67" s="1794">
        <f t="shared" si="489"/>
        <v>17.59504309090909</v>
      </c>
      <c r="BH67" s="1794">
        <f t="shared" ref="BH67:BJ68" si="490">+BH47</f>
        <v>17.59504309090909</v>
      </c>
      <c r="BI67" s="1794">
        <f t="shared" si="490"/>
        <v>17.59504309090909</v>
      </c>
      <c r="BJ67" s="1794">
        <f t="shared" si="490"/>
        <v>19.342979795454543</v>
      </c>
      <c r="BK67" s="1794">
        <f t="shared" ref="BK67:BM68" si="491">+BK47</f>
        <v>19.343286900000003</v>
      </c>
      <c r="BL67" s="1794">
        <f t="shared" si="491"/>
        <v>20.499740249999999</v>
      </c>
      <c r="BM67" s="1795">
        <f t="shared" si="491"/>
        <v>20.500866299999998</v>
      </c>
      <c r="BN67" s="1795">
        <f t="shared" ref="BN67:BP68" si="492">+BN47</f>
        <v>20.500866299999998</v>
      </c>
      <c r="BO67" s="1795">
        <f t="shared" si="492"/>
        <v>20.494109999999999</v>
      </c>
      <c r="BP67" s="1795">
        <f t="shared" si="492"/>
        <v>20.494109999999999</v>
      </c>
      <c r="BQ67" s="1795">
        <f t="shared" ref="BQ67:BS68" si="493">+BQ47</f>
        <v>22.766837272727273</v>
      </c>
      <c r="BR67" s="1795">
        <f t="shared" si="493"/>
        <v>20.494109999999999</v>
      </c>
      <c r="BS67" s="1795">
        <f t="shared" si="493"/>
        <v>20.494109999999999</v>
      </c>
      <c r="BT67" s="1795">
        <f t="shared" ref="BT67:BV68" si="494">+BT47</f>
        <v>20.494109999999999</v>
      </c>
      <c r="BU67" s="1795">
        <f t="shared" si="494"/>
        <v>22.543520999999998</v>
      </c>
      <c r="BV67" s="1795">
        <f t="shared" si="494"/>
        <v>22.969520999999997</v>
      </c>
      <c r="BW67" s="1795">
        <f t="shared" ref="BW67:BY68" si="495">+BW47</f>
        <v>22.543520999999998</v>
      </c>
      <c r="BX67" s="1795">
        <f t="shared" si="495"/>
        <v>23.982966000000001</v>
      </c>
      <c r="BY67" s="1795">
        <f t="shared" si="495"/>
        <v>23.556966000000003</v>
      </c>
      <c r="BZ67" s="1795">
        <f t="shared" ref="BZ67:CB68" si="496">+BZ47</f>
        <v>24.124966000000004</v>
      </c>
      <c r="CA67" s="1795">
        <f t="shared" si="496"/>
        <v>24.480326999999999</v>
      </c>
      <c r="CB67" s="1795">
        <f t="shared" si="496"/>
        <v>24.480326999999999</v>
      </c>
      <c r="CC67" s="1795">
        <f t="shared" ref="CC67:CE68" si="497">+CC47</f>
        <v>24.480326999999999</v>
      </c>
      <c r="CD67" s="1795">
        <f t="shared" si="497"/>
        <v>24.480326999999999</v>
      </c>
      <c r="CE67" s="1795">
        <f t="shared" si="497"/>
        <v>24.480326999999999</v>
      </c>
      <c r="CF67" s="1795">
        <f t="shared" ref="CF67:CH68" si="498">+CF47</f>
        <v>24.480326999999999</v>
      </c>
      <c r="CG67" s="1795">
        <f t="shared" si="498"/>
        <v>24.480326999999999</v>
      </c>
      <c r="CH67" s="1795">
        <f t="shared" si="498"/>
        <v>25.503054272727272</v>
      </c>
      <c r="CI67" s="1795">
        <f t="shared" ref="CI67:CK68" si="499">+CI47</f>
        <v>26.687384999999999</v>
      </c>
      <c r="CJ67" s="1795">
        <f t="shared" si="499"/>
        <v>26.687384999999999</v>
      </c>
      <c r="CK67" s="1795">
        <f t="shared" si="499"/>
        <v>26.687384999999999</v>
      </c>
      <c r="CL67" s="1795">
        <f t="shared" ref="CL67:CN68" si="500">+CL47</f>
        <v>26.687384999999999</v>
      </c>
      <c r="CM67" s="1795">
        <f t="shared" si="500"/>
        <v>28.286376000000001</v>
      </c>
      <c r="CN67" s="1795">
        <f t="shared" si="500"/>
        <v>28.286376000000001</v>
      </c>
      <c r="CO67" s="1795">
        <f t="shared" ref="CO67:CQ68" si="501">+CO47</f>
        <v>28.286376000000001</v>
      </c>
      <c r="CP67" s="1795">
        <f t="shared" si="501"/>
        <v>28.286376000000001</v>
      </c>
      <c r="CQ67" s="1795">
        <f t="shared" si="501"/>
        <v>28.286376000000001</v>
      </c>
      <c r="CR67" s="1795">
        <f t="shared" ref="CR67:CT68" si="502">+CR47</f>
        <v>29.706830545454547</v>
      </c>
      <c r="CS67" s="1795">
        <f t="shared" si="502"/>
        <v>29.706830545454547</v>
      </c>
      <c r="CT67" s="1795">
        <f t="shared" si="502"/>
        <v>31.962455818181816</v>
      </c>
      <c r="CU67" s="1795">
        <f t="shared" ref="CU67:CW68" si="503">+CU47</f>
        <v>31.962455818181816</v>
      </c>
      <c r="CV67" s="1795">
        <f t="shared" si="503"/>
        <v>31.962455818181816</v>
      </c>
      <c r="CW67" s="1795">
        <f t="shared" si="503"/>
        <v>33.601331999999999</v>
      </c>
      <c r="CX67" s="1795">
        <f t="shared" ref="CX67:CZ68" si="504">+CX47</f>
        <v>33.601331999999999</v>
      </c>
      <c r="CY67" s="1795">
        <f t="shared" si="504"/>
        <v>33.601331999999999</v>
      </c>
      <c r="CZ67" s="963">
        <f t="shared" si="504"/>
        <v>33.601331999999999</v>
      </c>
      <c r="DA67" s="963">
        <f t="shared" ref="DA67:DC68" si="505">+DA47</f>
        <v>35.943516000000002</v>
      </c>
      <c r="DB67" s="963">
        <f t="shared" si="505"/>
        <v>35.943516000000002</v>
      </c>
      <c r="DC67" s="963">
        <f t="shared" si="505"/>
        <v>35.943516000000002</v>
      </c>
      <c r="DD67" s="963">
        <f t="shared" ref="DD67:DF68" si="506">+DD47</f>
        <v>35.943516000000002</v>
      </c>
      <c r="DE67" s="963">
        <f t="shared" si="506"/>
        <v>40.267547999999998</v>
      </c>
      <c r="DF67" s="963">
        <f t="shared" si="506"/>
        <v>40.267547999999998</v>
      </c>
      <c r="DG67" s="963">
        <f t="shared" ref="DG67:DI68" si="507">+DG47</f>
        <v>40.267547999999998</v>
      </c>
      <c r="DH67" s="963">
        <f t="shared" si="507"/>
        <v>40.267547999999998</v>
      </c>
      <c r="DI67" s="963">
        <f t="shared" si="507"/>
        <v>42.677295000000001</v>
      </c>
      <c r="DJ67" s="963">
        <f t="shared" ref="DJ67:DL68" si="508">+DJ47</f>
        <v>42.677295000000001</v>
      </c>
      <c r="DK67" s="963">
        <f t="shared" si="508"/>
        <v>42.677295000000001</v>
      </c>
      <c r="DL67" s="963">
        <f t="shared" si="508"/>
        <v>45.222167999999996</v>
      </c>
      <c r="DM67" s="963">
        <f t="shared" ref="DM67:DO68" si="509">+DM47</f>
        <v>45.222167999999996</v>
      </c>
      <c r="DN67" s="963">
        <f t="shared" si="509"/>
        <v>45.222167999999996</v>
      </c>
      <c r="DO67" s="963">
        <f t="shared" si="509"/>
        <v>45.222167999999996</v>
      </c>
      <c r="DP67" s="963">
        <f t="shared" ref="DP67:DR68" si="510">+DP47</f>
        <v>45.222167999999996</v>
      </c>
      <c r="DQ67" s="963">
        <f t="shared" si="510"/>
        <v>45.222167999999996</v>
      </c>
      <c r="DR67" s="963">
        <f t="shared" si="510"/>
        <v>45.222167999999996</v>
      </c>
      <c r="DS67" s="963">
        <f t="shared" ref="DS67:DU68" si="511">+DS47</f>
        <v>58.149222000000002</v>
      </c>
      <c r="DT67" s="963">
        <f t="shared" si="511"/>
        <v>58.149222000000002</v>
      </c>
      <c r="DU67" s="963">
        <f t="shared" si="511"/>
        <v>58.149222000000002</v>
      </c>
      <c r="DV67" s="963">
        <f t="shared" ref="DV67:DX68" si="512">+DV47</f>
        <v>58.149222000000002</v>
      </c>
      <c r="DW67" s="963">
        <f t="shared" si="512"/>
        <v>58.149222000000002</v>
      </c>
      <c r="DX67" s="963">
        <f t="shared" si="512"/>
        <v>58.149222000000002</v>
      </c>
      <c r="DY67" s="963">
        <f t="shared" ref="DY67:EA68" si="513">+DY47</f>
        <v>58.149222000000002</v>
      </c>
      <c r="DZ67" s="963">
        <f t="shared" si="513"/>
        <v>58.149222000000002</v>
      </c>
      <c r="EA67" s="963">
        <f t="shared" si="513"/>
        <v>58.149222000000002</v>
      </c>
      <c r="EB67" s="963">
        <f t="shared" ref="EB67:ED68" si="514">+EB47</f>
        <v>58.149222000000002</v>
      </c>
      <c r="EC67" s="963">
        <f t="shared" si="514"/>
        <v>58.149222000000002</v>
      </c>
      <c r="ED67" s="963">
        <f t="shared" si="514"/>
        <v>58.149222000000002</v>
      </c>
      <c r="EE67" s="963">
        <f t="shared" ref="EE67:EG68" si="515">+EE47</f>
        <v>68.621487000000002</v>
      </c>
      <c r="EF67" s="963">
        <f t="shared" si="515"/>
        <v>68.621487000000002</v>
      </c>
      <c r="EG67" s="963">
        <f t="shared" si="515"/>
        <v>68.621487000000002</v>
      </c>
      <c r="EH67" s="963">
        <f t="shared" ref="EH67:EJ68" si="516">+EH47</f>
        <v>72.517620000000008</v>
      </c>
      <c r="EI67" s="963">
        <f t="shared" si="516"/>
        <v>72.517620000000008</v>
      </c>
      <c r="EJ67" s="963">
        <f t="shared" si="516"/>
        <v>72.742829999999998</v>
      </c>
      <c r="EK67" s="963">
        <f t="shared" ref="EK67:EM68" si="517">+EK47</f>
        <v>72.742829999999998</v>
      </c>
      <c r="EL67" s="963">
        <f t="shared" si="517"/>
        <v>72.742829999999998</v>
      </c>
      <c r="EM67" s="963">
        <f t="shared" si="517"/>
        <v>72.742829999999998</v>
      </c>
      <c r="EN67" s="963">
        <f t="shared" ref="EN67:EP68" si="518">+EN47</f>
        <v>72.742829999999998</v>
      </c>
      <c r="EO67" s="963">
        <f t="shared" si="518"/>
        <v>85.602320999999989</v>
      </c>
      <c r="EP67" s="963">
        <f t="shared" si="518"/>
        <v>85.602320999999989</v>
      </c>
      <c r="EQ67" s="963">
        <f t="shared" ref="EQ67:ES68" si="519">+EQ47</f>
        <v>85.602320999999989</v>
      </c>
      <c r="ER67" s="963">
        <f t="shared" si="519"/>
        <v>94.160301000000004</v>
      </c>
      <c r="ES67" s="963">
        <f t="shared" si="519"/>
        <v>94.160301000000004</v>
      </c>
      <c r="ET67" s="963">
        <f t="shared" ref="ET67:FA67" si="520">+ET47</f>
        <v>94.160301000000004</v>
      </c>
      <c r="EU67" s="963">
        <f t="shared" si="520"/>
        <v>94.160301000000004</v>
      </c>
      <c r="EV67" s="963">
        <f t="shared" si="520"/>
        <v>94.160301000000004</v>
      </c>
      <c r="EW67" s="963">
        <f t="shared" si="520"/>
        <v>94.160301000000004</v>
      </c>
      <c r="EX67" s="963">
        <f t="shared" si="520"/>
        <v>94.160301000000004</v>
      </c>
      <c r="EY67" s="963">
        <f t="shared" si="520"/>
        <v>94.160301000000004</v>
      </c>
      <c r="EZ67" s="963">
        <f t="shared" si="520"/>
        <v>94.160301000000004</v>
      </c>
      <c r="FA67" s="963">
        <f t="shared" si="520"/>
        <v>110.533068</v>
      </c>
      <c r="FB67" s="963">
        <f t="shared" ref="FB67:FE68" si="521">+FB47</f>
        <v>110.533068</v>
      </c>
      <c r="FC67" s="963">
        <f t="shared" si="521"/>
        <v>110.533068</v>
      </c>
      <c r="FD67" s="963">
        <f t="shared" si="521"/>
        <v>110.533068</v>
      </c>
      <c r="FE67" s="963">
        <f t="shared" si="521"/>
        <v>119.96936700000001</v>
      </c>
      <c r="FF67" s="963">
        <f>+FF47</f>
        <v>119.96936700000001</v>
      </c>
      <c r="FG67" s="963">
        <f>+FG47</f>
        <v>119.96936700000001</v>
      </c>
      <c r="FH67" s="963" t="e">
        <f t="shared" si="458"/>
        <v>#REF!</v>
      </c>
      <c r="FI67" s="963" t="e">
        <f t="shared" si="458"/>
        <v>#REF!</v>
      </c>
      <c r="FJ67" s="963">
        <f t="shared" si="458"/>
        <v>119.96936700000001</v>
      </c>
      <c r="FK67" s="963">
        <f t="shared" si="458"/>
        <v>119.96936700000001</v>
      </c>
      <c r="FL67" s="963">
        <f t="shared" si="458"/>
        <v>119.96936700000001</v>
      </c>
      <c r="FM67" s="963">
        <f t="shared" ref="FM67:HC67" si="522">+FM47</f>
        <v>146.363979</v>
      </c>
      <c r="FN67" s="963">
        <f t="shared" si="522"/>
        <v>146.363979</v>
      </c>
      <c r="FO67" s="963">
        <f t="shared" si="522"/>
        <v>146.363979</v>
      </c>
      <c r="FP67" s="963">
        <f t="shared" si="522"/>
        <v>146.363979</v>
      </c>
      <c r="FQ67" s="963">
        <f t="shared" si="522"/>
        <v>146.363979</v>
      </c>
      <c r="FR67" s="963">
        <f t="shared" si="522"/>
        <v>146.363979</v>
      </c>
      <c r="FS67" s="963">
        <f t="shared" si="522"/>
        <v>160.754898</v>
      </c>
      <c r="FT67" s="963">
        <f t="shared" si="522"/>
        <v>160.754898</v>
      </c>
      <c r="FU67" s="963">
        <f t="shared" si="522"/>
        <v>160.754898</v>
      </c>
      <c r="FV67" s="963">
        <f t="shared" si="522"/>
        <v>166.76800499999999</v>
      </c>
      <c r="FW67" s="963">
        <f t="shared" si="522"/>
        <v>166.76800499999999</v>
      </c>
      <c r="FX67" s="963">
        <f t="shared" si="522"/>
        <v>166.76800499999999</v>
      </c>
      <c r="FY67" s="963">
        <f t="shared" si="522"/>
        <v>185.100099</v>
      </c>
      <c r="FZ67" s="963">
        <f t="shared" si="522"/>
        <v>185.100099</v>
      </c>
      <c r="GA67" s="963">
        <f t="shared" si="522"/>
        <v>185.100099</v>
      </c>
      <c r="GB67" s="963">
        <f t="shared" si="522"/>
        <v>203.61236099999999</v>
      </c>
      <c r="GC67" s="963">
        <f t="shared" si="522"/>
        <v>203.61236099999999</v>
      </c>
      <c r="GD67" s="963">
        <f t="shared" si="522"/>
        <v>203.61236099999999</v>
      </c>
      <c r="GE67" s="963">
        <f t="shared" si="522"/>
        <v>203.61236099999999</v>
      </c>
      <c r="GF67" s="963">
        <f t="shared" si="522"/>
        <v>203.61236099999999</v>
      </c>
      <c r="GG67" s="963">
        <f t="shared" si="522"/>
        <v>203.61236099999999</v>
      </c>
      <c r="GH67" s="963">
        <f t="shared" si="522"/>
        <v>203.61236099999999</v>
      </c>
      <c r="GI67" s="963">
        <f t="shared" si="522"/>
        <v>206.675217</v>
      </c>
      <c r="GJ67" s="963">
        <f t="shared" si="522"/>
        <v>209.715552</v>
      </c>
      <c r="GK67" s="963">
        <f t="shared" si="522"/>
        <v>230.682603</v>
      </c>
      <c r="GL67" s="963">
        <f t="shared" si="522"/>
        <v>230.682603</v>
      </c>
      <c r="GM67" s="963">
        <f t="shared" si="522"/>
        <v>230.682603</v>
      </c>
      <c r="GN67" s="963">
        <f t="shared" si="522"/>
        <v>230.682603</v>
      </c>
      <c r="GO67" s="963">
        <f t="shared" si="522"/>
        <v>242.23587599999999</v>
      </c>
      <c r="GP67" s="963">
        <f t="shared" si="522"/>
        <v>251.919906</v>
      </c>
      <c r="GQ67" s="963">
        <f t="shared" si="522"/>
        <v>259.46444099999997</v>
      </c>
      <c r="GR67" s="963">
        <f t="shared" si="522"/>
        <v>267.031497</v>
      </c>
      <c r="GS67" s="963">
        <f t="shared" si="522"/>
        <v>267.031497</v>
      </c>
      <c r="GT67" s="963">
        <f t="shared" si="522"/>
        <v>275.04897299999999</v>
      </c>
      <c r="GU67" s="963">
        <f t="shared" si="522"/>
        <v>275.04897299999999</v>
      </c>
      <c r="GV67" s="963">
        <f t="shared" si="522"/>
        <v>294.30442800000003</v>
      </c>
      <c r="GW67" s="963">
        <f t="shared" si="522"/>
        <v>323.71685400000001</v>
      </c>
      <c r="GX67" s="963">
        <f t="shared" si="522"/>
        <v>339.90945300000004</v>
      </c>
      <c r="GY67" s="963">
        <f t="shared" si="522"/>
        <v>339.90945300000004</v>
      </c>
      <c r="GZ67" s="963">
        <f t="shared" si="522"/>
        <v>354.48054000000002</v>
      </c>
      <c r="HA67" s="963">
        <f t="shared" si="522"/>
        <v>366.889611</v>
      </c>
      <c r="HB67" s="963">
        <f t="shared" si="522"/>
        <v>366.889611</v>
      </c>
      <c r="HC67" s="963">
        <f t="shared" si="522"/>
        <v>395.53632299999998</v>
      </c>
      <c r="HD67" s="963">
        <f t="shared" si="460"/>
        <v>419.27345699999995</v>
      </c>
      <c r="HE67" s="1791">
        <f t="shared" si="460"/>
        <v>419.27345699999995</v>
      </c>
      <c r="HF67" s="1880">
        <f t="shared" ref="HF67:HG67" si="523">+HF47</f>
        <v>444.902355</v>
      </c>
      <c r="HG67" s="1880">
        <f t="shared" si="523"/>
        <v>462.69394499999999</v>
      </c>
      <c r="HH67" s="1880">
        <f t="shared" ref="HH67:HI67" si="524">+HH47</f>
        <v>462.69394499999999</v>
      </c>
      <c r="HI67" s="1880">
        <f t="shared" si="524"/>
        <v>462.69394499999999</v>
      </c>
      <c r="HJ67" s="1880">
        <f t="shared" ref="HJ67:HK67" si="525">+HJ47</f>
        <v>462.69394499999999</v>
      </c>
      <c r="HK67" s="1880">
        <f t="shared" si="525"/>
        <v>462.69394499999999</v>
      </c>
      <c r="HL67" s="1880">
        <f t="shared" ref="HL67:HM67" si="526">+HL47</f>
        <v>462.69394499999999</v>
      </c>
      <c r="HM67" s="1880">
        <f t="shared" si="526"/>
        <v>462.69394499999999</v>
      </c>
      <c r="HN67" s="1880">
        <f t="shared" ref="HN67:HO67" si="527">+HN47</f>
        <v>462.69394499999999</v>
      </c>
      <c r="HO67" s="1880">
        <f t="shared" si="527"/>
        <v>462.69394499999999</v>
      </c>
      <c r="HP67" s="1880">
        <f t="shared" ref="HP67:HQ67" si="528">+HP47</f>
        <v>578.36180100000001</v>
      </c>
      <c r="HQ67" s="1791">
        <f t="shared" si="528"/>
        <v>578.36180100000001</v>
      </c>
      <c r="HR67" s="975">
        <f t="shared" ref="HR67:HS67" si="529">+HR47</f>
        <v>578.36180100000001</v>
      </c>
      <c r="HS67" s="1880">
        <f t="shared" si="529"/>
        <v>615.36380400000007</v>
      </c>
      <c r="HT67" s="963">
        <f t="shared" ref="HT67:HU67" si="530">+HT47</f>
        <v>615.36380400000007</v>
      </c>
      <c r="HU67" s="1880">
        <f t="shared" si="530"/>
        <v>689.21016299999997</v>
      </c>
      <c r="HV67" s="1880">
        <f t="shared" ref="HV67:HW67" si="531">+HV47</f>
        <v>689.21016299999997</v>
      </c>
      <c r="HW67" s="1880">
        <f t="shared" si="531"/>
        <v>689.21016299999997</v>
      </c>
      <c r="HX67" s="1880">
        <f t="shared" ref="HX67:HY67" si="532">+HX47</f>
        <v>750.76005600000008</v>
      </c>
      <c r="HY67" s="1880">
        <f t="shared" si="532"/>
        <v>750.76005600000008</v>
      </c>
      <c r="HZ67" s="1880">
        <f t="shared" ref="HZ67:IA67" si="533">+HZ47</f>
        <v>781.52374199999997</v>
      </c>
      <c r="IA67" s="1880">
        <f t="shared" si="533"/>
        <v>824.60641499999997</v>
      </c>
      <c r="IB67" s="1880">
        <f t="shared" ref="IB67:IC67" si="534">+IB47</f>
        <v>824.60641499999997</v>
      </c>
      <c r="IC67" s="1880">
        <f t="shared" si="534"/>
        <v>824.60641499999997</v>
      </c>
      <c r="ID67" s="963">
        <f t="shared" ref="ID67:IE67" si="535">+ID47</f>
        <v>855.37010099999998</v>
      </c>
      <c r="IE67" s="1880">
        <f t="shared" si="535"/>
        <v>897.21411899999998</v>
      </c>
      <c r="IF67" s="963">
        <f t="shared" ref="IF67:IG67" si="536">+IF47</f>
        <v>947.661159</v>
      </c>
      <c r="IG67" s="1880">
        <f t="shared" si="536"/>
        <v>947.661159</v>
      </c>
      <c r="IH67" s="1880">
        <f t="shared" ref="IH67:II67" si="537">+IH47</f>
        <v>1042.7222999999999</v>
      </c>
      <c r="II67" s="1880">
        <f t="shared" si="537"/>
        <v>1137.3105</v>
      </c>
      <c r="IJ67" s="1880">
        <f t="shared" ref="IJ67:IK67" si="538">+IJ47</f>
        <v>1137.3105</v>
      </c>
      <c r="IK67" s="1880">
        <f t="shared" si="538"/>
        <v>1213.8819000000001</v>
      </c>
      <c r="IL67" s="1880">
        <f t="shared" ref="IL67:IM67" si="539">+IL47</f>
        <v>1335.4953</v>
      </c>
      <c r="IM67" s="1880">
        <f t="shared" si="539"/>
        <v>1459.3607999999999</v>
      </c>
      <c r="IN67" s="1880">
        <f t="shared" ref="IN67:IO67" si="540">+IN47</f>
        <v>1574.2179000000001</v>
      </c>
      <c r="IO67" s="1880">
        <f t="shared" si="540"/>
        <v>1574.2179000000001</v>
      </c>
      <c r="IP67" s="2476">
        <f>+IP47</f>
        <v>1621.5119999999999</v>
      </c>
      <c r="IQ67" s="2476">
        <f>+IQ47</f>
        <v>1896.2682</v>
      </c>
    </row>
    <row r="68" spans="3:251">
      <c r="C68" s="566" t="s">
        <v>671</v>
      </c>
      <c r="D68" s="2668">
        <v>67</v>
      </c>
      <c r="E68" s="2669"/>
      <c r="F68" s="1778">
        <v>126.2</v>
      </c>
      <c r="G68" s="1780">
        <v>382.18</v>
      </c>
      <c r="H68" s="1798">
        <v>384.52</v>
      </c>
      <c r="I68" s="1798">
        <v>383.54</v>
      </c>
      <c r="J68" s="1780">
        <v>406.07</v>
      </c>
      <c r="K68" s="1780">
        <v>406.51</v>
      </c>
      <c r="L68" s="1780">
        <v>406.9</v>
      </c>
      <c r="M68" s="1780">
        <f>+M48</f>
        <v>406.68</v>
      </c>
      <c r="N68" s="1780">
        <f>+N48</f>
        <v>406.68</v>
      </c>
      <c r="O68" s="1780">
        <f>+O48</f>
        <v>402.3</v>
      </c>
      <c r="P68" s="1780">
        <v>399.57</v>
      </c>
      <c r="Q68" s="1798">
        <v>399.57</v>
      </c>
      <c r="R68" s="1798">
        <v>399.57</v>
      </c>
      <c r="S68" s="1780">
        <v>399.57</v>
      </c>
      <c r="T68" s="1780">
        <v>399.57</v>
      </c>
      <c r="U68" s="1780">
        <v>399.57</v>
      </c>
      <c r="V68" s="1780">
        <v>399.95</v>
      </c>
      <c r="W68" s="1780">
        <v>399.95</v>
      </c>
      <c r="X68" s="1780">
        <v>400.47</v>
      </c>
      <c r="Y68" s="1780">
        <v>400.73</v>
      </c>
      <c r="Z68" s="1780">
        <v>405.2</v>
      </c>
      <c r="AA68" s="1780">
        <v>407.47</v>
      </c>
      <c r="AB68" s="1798">
        <f>+AB48</f>
        <v>409.3</v>
      </c>
      <c r="AC68" s="1798">
        <f>+AC48</f>
        <v>425.51</v>
      </c>
      <c r="AD68" s="1798">
        <f t="shared" si="480"/>
        <v>430.59</v>
      </c>
      <c r="AE68" s="1798">
        <f t="shared" si="480"/>
        <v>430.82</v>
      </c>
      <c r="AF68" s="1798">
        <f t="shared" si="480"/>
        <v>430.93</v>
      </c>
      <c r="AG68" s="1798">
        <f t="shared" si="481"/>
        <v>431.16</v>
      </c>
      <c r="AH68" s="1798">
        <f t="shared" si="481"/>
        <v>431.16</v>
      </c>
      <c r="AI68" s="1798">
        <f t="shared" si="481"/>
        <v>431.16</v>
      </c>
      <c r="AJ68" s="1798">
        <f t="shared" si="482"/>
        <v>434.92</v>
      </c>
      <c r="AK68" s="1798">
        <f t="shared" si="482"/>
        <v>434.58</v>
      </c>
      <c r="AL68" s="1798">
        <f t="shared" si="482"/>
        <v>433.74</v>
      </c>
      <c r="AM68" s="1798">
        <f t="shared" si="483"/>
        <v>430.24</v>
      </c>
      <c r="AN68" s="1798">
        <f t="shared" si="483"/>
        <v>430.24</v>
      </c>
      <c r="AO68" s="1798">
        <f t="shared" si="483"/>
        <v>430.08</v>
      </c>
      <c r="AP68" s="1798">
        <f t="shared" si="484"/>
        <v>430.42</v>
      </c>
      <c r="AQ68" s="1798">
        <f t="shared" si="484"/>
        <v>431.1</v>
      </c>
      <c r="AR68" s="1798">
        <f t="shared" si="484"/>
        <v>431.1</v>
      </c>
      <c r="AS68" s="1798">
        <f t="shared" si="485"/>
        <v>431.1</v>
      </c>
      <c r="AT68" s="1798">
        <f t="shared" si="485"/>
        <v>431.1</v>
      </c>
      <c r="AU68" s="1798">
        <f t="shared" si="485"/>
        <v>431.1</v>
      </c>
      <c r="AV68" s="1798">
        <f t="shared" si="486"/>
        <v>441.23</v>
      </c>
      <c r="AW68" s="1798">
        <f t="shared" si="486"/>
        <v>431.2</v>
      </c>
      <c r="AX68" s="1798">
        <f t="shared" si="486"/>
        <v>431.2</v>
      </c>
      <c r="AY68" s="1798">
        <f t="shared" si="487"/>
        <v>431.25</v>
      </c>
      <c r="AZ68" s="1798">
        <f t="shared" si="487"/>
        <v>431.25</v>
      </c>
      <c r="BA68" s="1798">
        <f t="shared" si="487"/>
        <v>431.25</v>
      </c>
      <c r="BB68" s="1798">
        <f t="shared" si="488"/>
        <v>432.07</v>
      </c>
      <c r="BC68" s="1798">
        <f t="shared" si="488"/>
        <v>431.25</v>
      </c>
      <c r="BD68" s="1798">
        <f t="shared" si="488"/>
        <v>431.2</v>
      </c>
      <c r="BE68" s="1798">
        <f t="shared" si="489"/>
        <v>431.2</v>
      </c>
      <c r="BF68" s="1798">
        <f t="shared" si="489"/>
        <v>431.2</v>
      </c>
      <c r="BG68" s="1798">
        <f t="shared" si="489"/>
        <v>431.25</v>
      </c>
      <c r="BH68" s="1798">
        <f t="shared" si="490"/>
        <v>431.25</v>
      </c>
      <c r="BI68" s="1798">
        <f t="shared" si="490"/>
        <v>431.25</v>
      </c>
      <c r="BJ68" s="1798">
        <f t="shared" si="490"/>
        <v>435.57</v>
      </c>
      <c r="BK68" s="1798">
        <f t="shared" si="491"/>
        <v>437.96</v>
      </c>
      <c r="BL68" s="1798">
        <f t="shared" si="491"/>
        <v>444.17</v>
      </c>
      <c r="BM68" s="1819">
        <f t="shared" si="491"/>
        <v>440.98</v>
      </c>
      <c r="BN68" s="1819">
        <f t="shared" si="492"/>
        <v>443.35</v>
      </c>
      <c r="BO68" s="1819">
        <f t="shared" si="492"/>
        <v>445.21</v>
      </c>
      <c r="BP68" s="1819">
        <f t="shared" si="492"/>
        <v>448.22</v>
      </c>
      <c r="BQ68" s="1819">
        <f t="shared" si="493"/>
        <v>456.08</v>
      </c>
      <c r="BR68" s="1819">
        <f t="shared" si="493"/>
        <v>448.6</v>
      </c>
      <c r="BS68" s="1819">
        <f t="shared" si="493"/>
        <v>420.39</v>
      </c>
      <c r="BT68" s="1819">
        <f t="shared" si="494"/>
        <v>418.16</v>
      </c>
      <c r="BU68" s="1819">
        <f t="shared" si="494"/>
        <v>423.22</v>
      </c>
      <c r="BV68" s="1819">
        <f t="shared" si="494"/>
        <v>438.77</v>
      </c>
      <c r="BW68" s="1819">
        <f t="shared" si="495"/>
        <v>448.78</v>
      </c>
      <c r="BX68" s="1819">
        <f t="shared" si="495"/>
        <v>454.18</v>
      </c>
      <c r="BY68" s="1819">
        <f t="shared" si="495"/>
        <v>450.71</v>
      </c>
      <c r="BZ68" s="1819">
        <f t="shared" si="496"/>
        <v>453.07</v>
      </c>
      <c r="CA68" s="1819">
        <f t="shared" si="496"/>
        <v>454.67</v>
      </c>
      <c r="CB68" s="1819">
        <f t="shared" si="496"/>
        <v>458.77</v>
      </c>
      <c r="CC68" s="1819">
        <f t="shared" si="497"/>
        <v>463.22</v>
      </c>
      <c r="CD68" s="1819">
        <f t="shared" si="497"/>
        <v>471.3</v>
      </c>
      <c r="CE68" s="1819">
        <f t="shared" si="497"/>
        <v>482.05</v>
      </c>
      <c r="CF68" s="1819">
        <f t="shared" si="498"/>
        <v>495.91</v>
      </c>
      <c r="CG68" s="1819">
        <f t="shared" si="498"/>
        <v>519.02</v>
      </c>
      <c r="CH68" s="1819">
        <f t="shared" si="498"/>
        <v>534.95000000000005</v>
      </c>
      <c r="CI68" s="1819">
        <f t="shared" si="499"/>
        <v>555.30999999999995</v>
      </c>
      <c r="CJ68" s="1819">
        <f t="shared" si="499"/>
        <v>582.22</v>
      </c>
      <c r="CK68" s="1819">
        <f t="shared" si="499"/>
        <v>584.62</v>
      </c>
      <c r="CL68" s="1819">
        <f t="shared" si="500"/>
        <v>586.39</v>
      </c>
      <c r="CM68" s="1819">
        <f t="shared" si="500"/>
        <v>604.54</v>
      </c>
      <c r="CN68" s="1819">
        <f t="shared" si="500"/>
        <v>606.80999999999995</v>
      </c>
      <c r="CO68" s="1819">
        <f t="shared" si="501"/>
        <v>609.45000000000005</v>
      </c>
      <c r="CP68" s="1819">
        <f t="shared" si="501"/>
        <v>609.84</v>
      </c>
      <c r="CQ68" s="1819">
        <f t="shared" si="501"/>
        <v>610.65</v>
      </c>
      <c r="CR68" s="1819">
        <f t="shared" si="502"/>
        <v>615.25</v>
      </c>
      <c r="CS68" s="1819">
        <f t="shared" si="502"/>
        <v>635.57000000000005</v>
      </c>
      <c r="CT68" s="1819">
        <f t="shared" si="502"/>
        <v>655.53</v>
      </c>
      <c r="CU68" s="1819">
        <f t="shared" si="503"/>
        <v>679.52</v>
      </c>
      <c r="CV68" s="1819">
        <f t="shared" si="503"/>
        <v>693.53</v>
      </c>
      <c r="CW68" s="1819">
        <f t="shared" si="503"/>
        <v>709.66</v>
      </c>
      <c r="CX68" s="1819">
        <f t="shared" si="504"/>
        <v>721.1</v>
      </c>
      <c r="CY68" s="1819">
        <f t="shared" si="504"/>
        <v>721.1</v>
      </c>
      <c r="CZ68" s="1465">
        <f t="shared" si="504"/>
        <v>726.54</v>
      </c>
      <c r="DA68" s="1465">
        <f t="shared" si="505"/>
        <v>745.61</v>
      </c>
      <c r="DB68" s="1465">
        <f t="shared" si="505"/>
        <v>775.48</v>
      </c>
      <c r="DC68" s="1465">
        <f t="shared" si="505"/>
        <v>777.44</v>
      </c>
      <c r="DD68" s="1465">
        <f t="shared" si="506"/>
        <v>784.16</v>
      </c>
      <c r="DE68" s="1465">
        <f t="shared" si="506"/>
        <v>822.74</v>
      </c>
      <c r="DF68" s="1465">
        <f t="shared" si="506"/>
        <v>835.98</v>
      </c>
      <c r="DG68" s="1465">
        <f t="shared" si="507"/>
        <v>842.63</v>
      </c>
      <c r="DH68" s="1465">
        <f t="shared" si="507"/>
        <v>858.52</v>
      </c>
      <c r="DI68" s="1465">
        <f t="shared" si="507"/>
        <v>868.83</v>
      </c>
      <c r="DJ68" s="1465">
        <f t="shared" si="508"/>
        <v>878.37</v>
      </c>
      <c r="DK68" s="1465">
        <f t="shared" si="508"/>
        <v>885.52</v>
      </c>
      <c r="DL68" s="1465">
        <f t="shared" si="508"/>
        <v>885.52</v>
      </c>
      <c r="DM68" s="1465">
        <f t="shared" si="509"/>
        <v>893.21</v>
      </c>
      <c r="DN68" s="1465">
        <f t="shared" si="509"/>
        <v>928.95</v>
      </c>
      <c r="DO68" s="1465">
        <f t="shared" si="509"/>
        <v>933.84</v>
      </c>
      <c r="DP68" s="1465">
        <f t="shared" si="510"/>
        <v>946.21</v>
      </c>
      <c r="DQ68" s="1465">
        <f t="shared" si="510"/>
        <v>951.2</v>
      </c>
      <c r="DR68" s="1465">
        <f t="shared" si="510"/>
        <v>972.32</v>
      </c>
      <c r="DS68" s="1465">
        <f t="shared" si="511"/>
        <v>972.59</v>
      </c>
      <c r="DT68" s="1465">
        <f t="shared" si="511"/>
        <v>998.56</v>
      </c>
      <c r="DU68" s="1465">
        <f t="shared" si="511"/>
        <v>1003.73</v>
      </c>
      <c r="DV68" s="1465">
        <f t="shared" si="512"/>
        <v>1004.43</v>
      </c>
      <c r="DW68" s="1465">
        <f t="shared" si="512"/>
        <v>1004.6</v>
      </c>
      <c r="DX68" s="1465">
        <f t="shared" si="512"/>
        <v>1016.06</v>
      </c>
      <c r="DY68" s="1465">
        <f t="shared" si="513"/>
        <v>1016.77</v>
      </c>
      <c r="DZ68" s="1465">
        <f t="shared" si="513"/>
        <v>1024.6099999999999</v>
      </c>
      <c r="EA68" s="1465">
        <f t="shared" si="513"/>
        <v>1032.78</v>
      </c>
      <c r="EB68" s="1465">
        <f t="shared" si="514"/>
        <v>1055.3499999999999</v>
      </c>
      <c r="EC68" s="1465">
        <f t="shared" si="514"/>
        <v>1077.53</v>
      </c>
      <c r="ED68" s="1465">
        <f t="shared" si="514"/>
        <v>1093.44</v>
      </c>
      <c r="EE68" s="1465">
        <f t="shared" si="515"/>
        <v>1109.21</v>
      </c>
      <c r="EF68" s="1465">
        <f t="shared" si="515"/>
        <v>1118.96</v>
      </c>
      <c r="EG68" s="1465">
        <f t="shared" si="515"/>
        <v>1126.55</v>
      </c>
      <c r="EH68" s="1465">
        <f t="shared" si="516"/>
        <v>1130.51</v>
      </c>
      <c r="EI68" s="1465">
        <f t="shared" si="516"/>
        <v>1130.51</v>
      </c>
      <c r="EJ68" s="1465">
        <f t="shared" si="516"/>
        <v>1132.25</v>
      </c>
      <c r="EK68" s="1465">
        <f t="shared" si="517"/>
        <v>1141.83</v>
      </c>
      <c r="EL68" s="1465">
        <f t="shared" si="517"/>
        <v>1188</v>
      </c>
      <c r="EM68" s="1465">
        <f t="shared" si="517"/>
        <v>1212.73</v>
      </c>
      <c r="EN68" s="1465">
        <f t="shared" si="518"/>
        <v>1274.3499999999999</v>
      </c>
      <c r="EO68" s="1465">
        <f t="shared" si="518"/>
        <v>1373.92</v>
      </c>
      <c r="EP68" s="1465">
        <f t="shared" si="518"/>
        <v>1386.78</v>
      </c>
      <c r="EQ68" s="1465">
        <f t="shared" si="519"/>
        <v>1396.59</v>
      </c>
      <c r="ER68" s="1465">
        <f t="shared" si="519"/>
        <v>1469.17</v>
      </c>
      <c r="ES68" s="1465">
        <f t="shared" si="519"/>
        <v>1477.54</v>
      </c>
      <c r="ET68" s="1465">
        <f t="shared" ref="ET68:FA68" si="541">+ET48</f>
        <v>1505.35</v>
      </c>
      <c r="EU68" s="1465">
        <f t="shared" si="541"/>
        <v>1511.76</v>
      </c>
      <c r="EV68" s="1465">
        <f t="shared" si="541"/>
        <v>1511.91</v>
      </c>
      <c r="EW68" s="1465">
        <f t="shared" si="541"/>
        <v>1511.84</v>
      </c>
      <c r="EX68" s="1465">
        <f t="shared" si="541"/>
        <v>1445.03</v>
      </c>
      <c r="EY68" s="1465">
        <f t="shared" si="541"/>
        <v>1462.41</v>
      </c>
      <c r="EZ68" s="1465">
        <f t="shared" si="541"/>
        <v>1480.48</v>
      </c>
      <c r="FA68" s="1465">
        <f t="shared" si="541"/>
        <v>1483.26</v>
      </c>
      <c r="FB68" s="1465">
        <f t="shared" si="521"/>
        <v>1505.43</v>
      </c>
      <c r="FC68" s="1465">
        <f t="shared" si="521"/>
        <v>1535.69</v>
      </c>
      <c r="FD68" s="1465">
        <f t="shared" si="521"/>
        <v>1553.18</v>
      </c>
      <c r="FE68" s="1465">
        <f t="shared" si="521"/>
        <v>1574.35</v>
      </c>
      <c r="FF68" s="1465">
        <f>+FF48</f>
        <v>1577.45</v>
      </c>
      <c r="FG68" s="1465">
        <f>+FG48</f>
        <v>1577.54</v>
      </c>
      <c r="FH68" s="1465" t="e">
        <f t="shared" si="458"/>
        <v>#REF!</v>
      </c>
      <c r="FI68" s="1465" t="e">
        <f t="shared" si="458"/>
        <v>#REF!</v>
      </c>
      <c r="FJ68" s="1465">
        <f t="shared" si="458"/>
        <v>100</v>
      </c>
      <c r="FK68" s="1465">
        <f t="shared" si="458"/>
        <v>100</v>
      </c>
      <c r="FL68" s="1465">
        <f t="shared" si="458"/>
        <v>106.23167753219604</v>
      </c>
      <c r="FM68" s="1465">
        <f t="shared" ref="FM68:HC68" si="542">+FM48</f>
        <v>112.68328986332534</v>
      </c>
      <c r="FN68" s="1465">
        <f t="shared" si="542"/>
        <v>123.90029444471372</v>
      </c>
      <c r="FO68" s="1465">
        <f t="shared" si="542"/>
        <v>123.90029444471372</v>
      </c>
      <c r="FP68" s="1465">
        <f t="shared" si="542"/>
        <v>123.90029444471372</v>
      </c>
      <c r="FQ68" s="1465">
        <f t="shared" si="542"/>
        <v>123.90029444471372</v>
      </c>
      <c r="FR68" s="1465">
        <f t="shared" si="542"/>
        <v>123.90029444471372</v>
      </c>
      <c r="FS68" s="1465">
        <f t="shared" si="542"/>
        <v>123.90029444471372</v>
      </c>
      <c r="FT68" s="1465">
        <f t="shared" si="542"/>
        <v>123.90029444471372</v>
      </c>
      <c r="FU68" s="1465">
        <f t="shared" si="542"/>
        <v>123.90029444471372</v>
      </c>
      <c r="FV68" s="1465">
        <f t="shared" si="542"/>
        <v>127.19941025375421</v>
      </c>
      <c r="FW68" s="1465">
        <f t="shared" si="542"/>
        <v>133.79765160386373</v>
      </c>
      <c r="FX68" s="1465">
        <f t="shared" si="542"/>
        <v>133.79765160386373</v>
      </c>
      <c r="FY68" s="1465">
        <f t="shared" si="542"/>
        <v>133.79765160386373</v>
      </c>
      <c r="FZ68" s="1465">
        <f t="shared" si="542"/>
        <v>130.35190201548548</v>
      </c>
      <c r="GA68" s="1465">
        <f t="shared" si="542"/>
        <v>130.35190201548548</v>
      </c>
      <c r="GB68" s="1465">
        <f t="shared" si="542"/>
        <v>138.19647280564155</v>
      </c>
      <c r="GC68" s="1465">
        <f t="shared" si="542"/>
        <v>138.19647280564155</v>
      </c>
      <c r="GD68" s="1465">
        <f t="shared" si="542"/>
        <v>138.19647280564155</v>
      </c>
      <c r="GE68" s="1465">
        <f t="shared" si="542"/>
        <v>142.52198236531129</v>
      </c>
      <c r="GF68" s="1465">
        <f t="shared" si="542"/>
        <v>151.17300713493708</v>
      </c>
      <c r="GG68" s="1465">
        <f t="shared" si="542"/>
        <v>160.28835989488687</v>
      </c>
      <c r="GH68" s="1465">
        <f t="shared" si="542"/>
        <v>160.28835989488687</v>
      </c>
      <c r="GI68" s="1465">
        <f t="shared" si="542"/>
        <v>179.44769798011433</v>
      </c>
      <c r="GJ68" s="1465">
        <f t="shared" si="542"/>
        <v>179.44769798011433</v>
      </c>
      <c r="GK68" s="1465">
        <f t="shared" si="542"/>
        <v>183.85092862447544</v>
      </c>
      <c r="GL68" s="1465">
        <f t="shared" si="542"/>
        <v>183.85092862447544</v>
      </c>
      <c r="GM68" s="1465">
        <f t="shared" si="542"/>
        <v>181.94259436243931</v>
      </c>
      <c r="GN68" s="1465">
        <f t="shared" si="542"/>
        <v>200.49050131560125</v>
      </c>
      <c r="GO68" s="1465">
        <f t="shared" si="542"/>
        <v>213.26472286434279</v>
      </c>
      <c r="GP68" s="1465">
        <f t="shared" si="542"/>
        <v>240.25660318625958</v>
      </c>
      <c r="GQ68" s="1465">
        <f t="shared" si="542"/>
        <v>261.83567328319305</v>
      </c>
      <c r="GR68" s="1465">
        <f t="shared" si="542"/>
        <v>270.3518280371668</v>
      </c>
      <c r="GS68" s="1465">
        <f t="shared" si="542"/>
        <v>278.47076528530908</v>
      </c>
      <c r="GT68" s="1465">
        <f t="shared" si="542"/>
        <v>268.00926123095763</v>
      </c>
      <c r="GU68" s="1465">
        <f t="shared" si="542"/>
        <v>291.23060375396875</v>
      </c>
      <c r="GV68" s="1465">
        <f t="shared" si="542"/>
        <v>290.02776608919987</v>
      </c>
      <c r="GW68" s="1465">
        <f t="shared" si="542"/>
        <v>304.13238791928524</v>
      </c>
      <c r="GX68" s="1465">
        <f t="shared" si="542"/>
        <v>317.75751889806918</v>
      </c>
      <c r="GY68" s="1465">
        <f t="shared" si="542"/>
        <v>322.33322717020138</v>
      </c>
      <c r="GZ68" s="1465">
        <f t="shared" si="542"/>
        <v>328.0959875135074</v>
      </c>
      <c r="HA68" s="1465">
        <f t="shared" si="542"/>
        <v>328.00943768167269</v>
      </c>
      <c r="HB68" s="1465">
        <f t="shared" si="542"/>
        <v>341.56467053487893</v>
      </c>
      <c r="HC68" s="1465">
        <f t="shared" si="542"/>
        <v>341.42142680640973</v>
      </c>
      <c r="HD68" s="1465">
        <f t="shared" si="460"/>
        <v>377.84777040392208</v>
      </c>
      <c r="HE68" s="1799">
        <f t="shared" si="460"/>
        <v>402.68392811643059</v>
      </c>
      <c r="HF68" s="1881">
        <f t="shared" ref="HF68:HG68" si="543">+HF48</f>
        <v>402.68392811643059</v>
      </c>
      <c r="HG68" s="1881">
        <f t="shared" si="543"/>
        <v>402.68392811643059</v>
      </c>
      <c r="HH68" s="1881">
        <f t="shared" ref="HH68:HI68" si="544">+HH48</f>
        <v>402.39469563080206</v>
      </c>
      <c r="HI68" s="1881">
        <f t="shared" si="544"/>
        <v>402.39469563080206</v>
      </c>
      <c r="HJ68" s="1881">
        <f t="shared" ref="HJ68:HK68" si="545">+HJ48</f>
        <v>402.68413615993768</v>
      </c>
      <c r="HK68" s="1881">
        <f t="shared" si="545"/>
        <v>402.2020817681738</v>
      </c>
      <c r="HL68" s="1881">
        <f t="shared" ref="HL68:HM68" si="546">+HL48</f>
        <v>402.2020817681738</v>
      </c>
      <c r="HM68" s="1881">
        <f t="shared" si="546"/>
        <v>413.77922959636226</v>
      </c>
      <c r="HN68" s="1881">
        <f t="shared" ref="HN68:HO68" si="547">+HN48</f>
        <v>431.99998986525816</v>
      </c>
      <c r="HO68" s="1881">
        <f t="shared" si="547"/>
        <v>448.1910950205471</v>
      </c>
      <c r="HP68" s="1881">
        <f t="shared" ref="HP68:HQ68" si="548">+HP48</f>
        <v>453.48758729160573</v>
      </c>
      <c r="HQ68" s="1799">
        <f t="shared" si="548"/>
        <v>484.92436468607491</v>
      </c>
      <c r="HR68" s="1953">
        <f t="shared" ref="HR68:HS68" si="549">+HR48</f>
        <v>502.18767206889919</v>
      </c>
      <c r="HS68" s="1881">
        <f t="shared" si="549"/>
        <v>551.98291365290049</v>
      </c>
      <c r="HT68" s="1465">
        <f t="shared" ref="HT68:HU68" si="550">+HT48</f>
        <v>623.06823285988332</v>
      </c>
      <c r="HU68" s="1881">
        <f t="shared" si="550"/>
        <v>662.09916262581726</v>
      </c>
      <c r="HV68" s="1881">
        <f t="shared" ref="HV68:HW68" si="551">+HV48</f>
        <v>720.40269483344252</v>
      </c>
      <c r="HW68" s="1881">
        <f t="shared" si="551"/>
        <v>720.86183262547115</v>
      </c>
      <c r="HX68" s="1881">
        <f t="shared" ref="HX68:HY68" si="552">+HX48</f>
        <v>720.86183262547115</v>
      </c>
      <c r="HY68" s="1881">
        <f t="shared" si="552"/>
        <v>736.56229420270438</v>
      </c>
      <c r="HZ68" s="1881">
        <f t="shared" ref="HZ68:IA68" si="553">+HZ48</f>
        <v>721.35964845036062</v>
      </c>
      <c r="IA68" s="1881">
        <f t="shared" si="553"/>
        <v>721.51995059446062</v>
      </c>
      <c r="IB68" s="1881">
        <f t="shared" ref="IB68:IC68" si="554">+IB48</f>
        <v>721.51995059446062</v>
      </c>
      <c r="IC68" s="1881">
        <f t="shared" si="554"/>
        <v>720.19703172648394</v>
      </c>
      <c r="ID68" s="1465">
        <f t="shared" ref="ID68:IE68" si="555">+ID48</f>
        <v>722.47873196716534</v>
      </c>
      <c r="IE68" s="1881">
        <f t="shared" si="555"/>
        <v>787.80211540954565</v>
      </c>
      <c r="IF68" s="1465">
        <f t="shared" ref="IF68:IG68" si="556">+IF48</f>
        <v>876.54486341404106</v>
      </c>
      <c r="IG68" s="1881">
        <f t="shared" si="556"/>
        <v>904.00465949773832</v>
      </c>
      <c r="IH68" s="1881">
        <f t="shared" ref="IH68:II68" si="557">+IH48</f>
        <v>1015.7322678977031</v>
      </c>
      <c r="II68" s="1881">
        <f t="shared" si="557"/>
        <v>1152.2249070713278</v>
      </c>
      <c r="IJ68" s="1881">
        <f t="shared" ref="IJ68:IK68" si="558">+IJ48</f>
        <v>1190.6598575097328</v>
      </c>
      <c r="IK68" s="1881">
        <f t="shared" si="558"/>
        <v>1228.9559347980576</v>
      </c>
      <c r="IL68" s="1881">
        <f t="shared" ref="IL68:IM68" si="559">+IL48</f>
        <v>1228.9559347980576</v>
      </c>
      <c r="IM68" s="1881">
        <f t="shared" si="559"/>
        <v>1317.4690357507548</v>
      </c>
      <c r="IN68" s="1881">
        <f t="shared" ref="IN68:IO68" si="560">+IN48</f>
        <v>1579.1508115437905</v>
      </c>
      <c r="IO68" s="1881">
        <f t="shared" si="560"/>
        <v>1745.1440670231789</v>
      </c>
      <c r="IP68" s="2477">
        <f t="shared" ref="IP68" si="561">+IP48</f>
        <v>1775.2633047281477</v>
      </c>
      <c r="IQ68" s="2477">
        <f>+IQ48</f>
        <v>1934.1216942843548</v>
      </c>
    </row>
    <row r="69" spans="3:251" ht="9.75" customHeight="1">
      <c r="C69" s="368"/>
      <c r="D69" s="426"/>
      <c r="E69" s="426"/>
      <c r="F69" s="1796"/>
      <c r="G69" s="538"/>
      <c r="H69" s="538"/>
      <c r="I69" s="538"/>
      <c r="J69" s="538"/>
      <c r="K69" s="538"/>
      <c r="L69" s="538"/>
      <c r="M69" s="538"/>
      <c r="N69" s="538"/>
      <c r="O69" s="538"/>
      <c r="P69" s="538"/>
      <c r="Q69" s="538"/>
      <c r="R69" s="538"/>
      <c r="S69" s="538"/>
      <c r="T69" s="538"/>
      <c r="U69" s="538"/>
      <c r="V69" s="538"/>
      <c r="W69" s="538"/>
      <c r="X69" s="538"/>
      <c r="Y69" s="538"/>
      <c r="Z69" s="538"/>
      <c r="AA69" s="538"/>
      <c r="AB69" s="538"/>
      <c r="AC69" s="538"/>
      <c r="AD69" s="538"/>
      <c r="AE69" s="538"/>
      <c r="AF69" s="538"/>
      <c r="AG69" s="538"/>
      <c r="AH69" s="538"/>
      <c r="AI69" s="538"/>
      <c r="AJ69" s="538"/>
      <c r="AK69" s="538"/>
      <c r="AL69" s="538"/>
      <c r="AM69" s="538"/>
      <c r="AN69" s="538"/>
      <c r="AO69" s="538"/>
      <c r="AP69" s="538"/>
      <c r="AQ69" s="538"/>
      <c r="AR69" s="538"/>
      <c r="AS69" s="538"/>
      <c r="AT69" s="538"/>
      <c r="AU69" s="538"/>
      <c r="AV69" s="538"/>
      <c r="AW69" s="538"/>
      <c r="AX69" s="538"/>
      <c r="AY69" s="538"/>
      <c r="AZ69" s="538"/>
      <c r="BA69" s="538"/>
      <c r="BB69" s="538"/>
      <c r="BC69" s="538"/>
      <c r="BD69" s="538"/>
      <c r="BE69" s="538"/>
      <c r="BF69" s="538"/>
      <c r="BG69" s="538"/>
      <c r="BH69" s="538"/>
      <c r="BI69" s="538"/>
      <c r="BJ69" s="538"/>
      <c r="BK69" s="538"/>
      <c r="BL69" s="538"/>
      <c r="BM69" s="538"/>
      <c r="BN69" s="538"/>
      <c r="BO69" s="538"/>
      <c r="BP69" s="538"/>
      <c r="BQ69" s="538"/>
      <c r="BR69" s="538"/>
      <c r="BS69" s="538"/>
      <c r="BT69" s="538"/>
      <c r="BU69" s="538"/>
      <c r="BV69" s="538"/>
      <c r="BW69" s="538"/>
      <c r="BX69" s="538"/>
      <c r="BY69" s="538"/>
      <c r="BZ69" s="538"/>
      <c r="CA69" s="538"/>
      <c r="CB69" s="538"/>
      <c r="CC69" s="538"/>
      <c r="CD69" s="538"/>
      <c r="CE69" s="538"/>
      <c r="CF69" s="538"/>
      <c r="CG69" s="538"/>
      <c r="CH69" s="538"/>
      <c r="CI69" s="538"/>
      <c r="CJ69" s="538"/>
      <c r="CK69" s="538"/>
      <c r="CL69" s="538"/>
      <c r="CM69" s="538"/>
      <c r="CN69" s="538"/>
      <c r="CO69" s="538"/>
      <c r="CP69" s="538"/>
      <c r="CQ69" s="538"/>
      <c r="CR69" s="538"/>
      <c r="CS69" s="538"/>
      <c r="CT69" s="538"/>
      <c r="CU69" s="538"/>
      <c r="CV69" s="538"/>
      <c r="CW69" s="538"/>
      <c r="CX69" s="538"/>
      <c r="CY69" s="538"/>
      <c r="CZ69" s="1468"/>
      <c r="DA69" s="1468"/>
      <c r="DB69" s="1468"/>
      <c r="DC69" s="1468"/>
      <c r="DD69" s="1468"/>
      <c r="DE69" s="1468"/>
      <c r="DF69" s="1468"/>
      <c r="DG69" s="1468"/>
      <c r="DH69" s="1468"/>
      <c r="DI69" s="1468"/>
      <c r="DJ69" s="1468"/>
      <c r="DK69" s="1468"/>
      <c r="DL69" s="1468"/>
      <c r="DM69" s="1468"/>
      <c r="DN69" s="1468"/>
      <c r="DO69" s="1468"/>
      <c r="DP69" s="1468"/>
      <c r="DQ69" s="1468"/>
      <c r="DR69" s="1468"/>
      <c r="DS69" s="1468"/>
      <c r="DT69" s="1468"/>
      <c r="DU69" s="1468"/>
      <c r="DV69" s="1468"/>
      <c r="DW69" s="1468"/>
      <c r="DX69" s="1468"/>
      <c r="DY69" s="1468"/>
      <c r="DZ69" s="1468"/>
      <c r="EA69" s="1468"/>
      <c r="EB69" s="1468"/>
      <c r="EC69" s="1468"/>
      <c r="ED69" s="1468"/>
      <c r="EE69" s="1468"/>
      <c r="EF69" s="1468"/>
      <c r="EG69" s="1468"/>
      <c r="EH69" s="1468"/>
      <c r="EI69" s="1468"/>
      <c r="EJ69" s="1468"/>
      <c r="EK69" s="1468"/>
      <c r="EL69" s="1801"/>
      <c r="EM69" s="1801"/>
      <c r="EN69" s="1801"/>
      <c r="EO69" s="1801"/>
      <c r="EP69" s="1801"/>
      <c r="EQ69" s="1801"/>
      <c r="ER69" s="1801"/>
      <c r="ES69" s="1801"/>
      <c r="ET69" s="1801"/>
      <c r="EU69" s="1801"/>
      <c r="EV69" s="1801"/>
      <c r="EW69" s="1801"/>
      <c r="EX69" s="1801"/>
      <c r="EY69" s="1801"/>
      <c r="EZ69" s="1801"/>
      <c r="FA69" s="1801"/>
      <c r="FB69" s="1801"/>
      <c r="FC69" s="1801"/>
      <c r="FD69" s="1801"/>
      <c r="FE69" s="1801"/>
      <c r="FF69" s="1801"/>
      <c r="FG69" s="1801"/>
      <c r="FH69" s="1801"/>
      <c r="FI69" s="1801"/>
      <c r="FJ69" s="1801"/>
      <c r="FK69" s="1801"/>
      <c r="FL69" s="1801"/>
      <c r="FM69" s="1801"/>
      <c r="FN69" s="1801"/>
      <c r="FO69" s="1801"/>
      <c r="FP69" s="1801"/>
      <c r="FQ69" s="1801"/>
      <c r="FR69" s="1801"/>
      <c r="FS69" s="1801"/>
      <c r="FT69" s="1801"/>
      <c r="FU69" s="1801"/>
      <c r="FV69" s="1801"/>
      <c r="FW69" s="1801"/>
      <c r="FX69" s="1801"/>
      <c r="FY69" s="1801"/>
      <c r="FZ69" s="1801"/>
      <c r="GA69" s="1801"/>
      <c r="GB69" s="1801"/>
      <c r="GC69" s="1801"/>
      <c r="GD69" s="1801"/>
      <c r="GE69" s="1801"/>
      <c r="GF69" s="1801"/>
      <c r="GG69" s="1801"/>
      <c r="GH69" s="1801"/>
      <c r="GI69" s="1801"/>
      <c r="GJ69" s="1801"/>
      <c r="GK69" s="1801"/>
      <c r="GL69" s="1801"/>
      <c r="GM69" s="1801"/>
      <c r="GN69" s="1801"/>
      <c r="GO69" s="1801"/>
      <c r="GP69" s="1801"/>
      <c r="GQ69" s="1801"/>
      <c r="GR69" s="1801"/>
      <c r="GS69" s="1801"/>
      <c r="GT69" s="1801"/>
      <c r="GU69" s="1801"/>
      <c r="GV69" s="1801"/>
      <c r="GW69" s="1801"/>
      <c r="GX69" s="1801"/>
      <c r="GY69" s="1801"/>
      <c r="GZ69" s="1801"/>
      <c r="HA69" s="1801"/>
      <c r="HB69" s="1801"/>
      <c r="HC69" s="1801"/>
      <c r="HD69" s="1801"/>
      <c r="HE69" s="1845"/>
      <c r="HF69" s="1887"/>
      <c r="HG69" s="1887"/>
      <c r="HH69" s="1887"/>
      <c r="HI69" s="1887"/>
      <c r="HJ69" s="1887"/>
      <c r="HK69" s="1887"/>
      <c r="HL69" s="1887"/>
      <c r="HM69" s="1887"/>
      <c r="HN69" s="1887"/>
      <c r="HO69" s="1887"/>
      <c r="HP69" s="1887"/>
      <c r="HQ69" s="1845"/>
      <c r="HR69" s="1954"/>
      <c r="HS69" s="1887"/>
      <c r="HT69" s="1801"/>
      <c r="HU69" s="1887"/>
      <c r="HV69" s="1887"/>
      <c r="HW69" s="1887"/>
      <c r="HX69" s="1887"/>
      <c r="HY69" s="1887"/>
      <c r="HZ69" s="1887"/>
      <c r="IA69" s="1887"/>
      <c r="IB69" s="1887"/>
      <c r="IC69" s="1887"/>
      <c r="ID69" s="1801"/>
      <c r="IE69" s="1887"/>
      <c r="IF69" s="1801"/>
      <c r="IG69" s="1887"/>
      <c r="IH69" s="1887"/>
      <c r="II69" s="1887"/>
      <c r="IJ69" s="1887"/>
      <c r="IK69" s="1887"/>
      <c r="IL69" s="1887"/>
      <c r="IM69" s="1887"/>
      <c r="IN69" s="1887"/>
      <c r="IO69" s="1887"/>
      <c r="IP69" s="2478"/>
      <c r="IQ69" s="2478"/>
    </row>
    <row r="70" spans="3:251">
      <c r="C70" s="2641" t="s">
        <v>675</v>
      </c>
      <c r="D70" s="2662" t="s">
        <v>676</v>
      </c>
      <c r="E70" s="2663"/>
      <c r="F70" s="1803">
        <f>+F65/$F$20</f>
        <v>1</v>
      </c>
      <c r="G70" s="1466">
        <f>+G65/$F$20</f>
        <v>3.1152999999999995</v>
      </c>
      <c r="H70" s="1466">
        <f>+H65/$F$20</f>
        <v>2.8705000000000003</v>
      </c>
      <c r="I70" s="1466">
        <f>+I65/$F$20</f>
        <v>2.8347000000000002</v>
      </c>
      <c r="J70" s="1466">
        <f>+J65/$F$20</f>
        <v>2.7045999999999997</v>
      </c>
      <c r="K70" s="1466">
        <f t="shared" ref="K70:AB70" si="562">ROUND((+K65/$F$20),3)</f>
        <v>2.6709999999999998</v>
      </c>
      <c r="L70" s="1466">
        <f t="shared" si="562"/>
        <v>2.5190000000000001</v>
      </c>
      <c r="M70" s="1466">
        <f t="shared" si="562"/>
        <v>2.4009999999999998</v>
      </c>
      <c r="N70" s="1466">
        <f t="shared" si="562"/>
        <v>2.3180000000000001</v>
      </c>
      <c r="O70" s="1466">
        <f t="shared" si="562"/>
        <v>2.2970000000000002</v>
      </c>
      <c r="P70" s="1466">
        <f t="shared" si="562"/>
        <v>2.2429999999999999</v>
      </c>
      <c r="Q70" s="1482">
        <f t="shared" si="562"/>
        <v>2.306</v>
      </c>
      <c r="R70" s="1482">
        <f t="shared" si="562"/>
        <v>2.3069999999999999</v>
      </c>
      <c r="S70" s="1482">
        <f t="shared" si="562"/>
        <v>2.2709999999999999</v>
      </c>
      <c r="T70" s="1482">
        <f t="shared" si="562"/>
        <v>2.2829999999999999</v>
      </c>
      <c r="U70" s="1482">
        <f t="shared" si="562"/>
        <v>2.3359999999999999</v>
      </c>
      <c r="V70" s="1482">
        <f t="shared" si="562"/>
        <v>2.319</v>
      </c>
      <c r="W70" s="1482">
        <f t="shared" si="562"/>
        <v>2.331</v>
      </c>
      <c r="X70" s="1482">
        <f t="shared" si="562"/>
        <v>2.3210000000000002</v>
      </c>
      <c r="Y70" s="1482">
        <f t="shared" si="562"/>
        <v>2.274</v>
      </c>
      <c r="Z70" s="1482">
        <f t="shared" si="562"/>
        <v>2.3149999999999999</v>
      </c>
      <c r="AA70" s="1482">
        <f t="shared" si="562"/>
        <v>2.3370000000000002</v>
      </c>
      <c r="AB70" s="1482">
        <f t="shared" si="562"/>
        <v>2.3370000000000002</v>
      </c>
      <c r="AC70" s="1482">
        <f t="shared" ref="AC70:AH70" si="563">ROUND((+AC65/$F$20),3)</f>
        <v>2.3610000000000002</v>
      </c>
      <c r="AD70" s="1482">
        <f t="shared" si="563"/>
        <v>2.3149999999999999</v>
      </c>
      <c r="AE70" s="1482">
        <f t="shared" si="563"/>
        <v>2.3079999999999998</v>
      </c>
      <c r="AF70" s="1482">
        <f t="shared" si="563"/>
        <v>2.3090000000000002</v>
      </c>
      <c r="AG70" s="1482">
        <f t="shared" si="563"/>
        <v>2.33</v>
      </c>
      <c r="AH70" s="1482">
        <f t="shared" si="563"/>
        <v>2.3210000000000002</v>
      </c>
      <c r="AI70" s="1482">
        <f t="shared" ref="AI70:AN70" si="564">ROUND((+AI65/$F$20),3)</f>
        <v>2.2999999999999998</v>
      </c>
      <c r="AJ70" s="1482">
        <f t="shared" si="564"/>
        <v>2.3130000000000002</v>
      </c>
      <c r="AK70" s="1482">
        <f t="shared" si="564"/>
        <v>2.3140000000000001</v>
      </c>
      <c r="AL70" s="1482">
        <f t="shared" si="564"/>
        <v>2.3130000000000002</v>
      </c>
      <c r="AM70" s="1482">
        <f t="shared" si="564"/>
        <v>2.2970000000000002</v>
      </c>
      <c r="AN70" s="1482">
        <f t="shared" si="564"/>
        <v>2.29</v>
      </c>
      <c r="AO70" s="1482">
        <f t="shared" ref="AO70:AT70" si="565">ROUND((+AO65/$F$20),3)</f>
        <v>2.2999999999999998</v>
      </c>
      <c r="AP70" s="1482">
        <f t="shared" si="565"/>
        <v>2.31</v>
      </c>
      <c r="AQ70" s="1482">
        <f t="shared" si="565"/>
        <v>2.3340000000000001</v>
      </c>
      <c r="AR70" s="1482">
        <f t="shared" si="565"/>
        <v>2.3340000000000001</v>
      </c>
      <c r="AS70" s="1482">
        <f t="shared" si="565"/>
        <v>2.36</v>
      </c>
      <c r="AT70" s="1482">
        <f t="shared" si="565"/>
        <v>2.3839999999999999</v>
      </c>
      <c r="AU70" s="1482">
        <f t="shared" ref="AU70:AZ70" si="566">ROUND((+AU65/$F$20),3)</f>
        <v>2.399</v>
      </c>
      <c r="AV70" s="1482">
        <f t="shared" si="566"/>
        <v>2.415</v>
      </c>
      <c r="AW70" s="1482">
        <f t="shared" si="566"/>
        <v>2.359</v>
      </c>
      <c r="AX70" s="1482">
        <f t="shared" si="566"/>
        <v>2.3639999999999999</v>
      </c>
      <c r="AY70" s="1482">
        <f t="shared" si="566"/>
        <v>2.3679999999999999</v>
      </c>
      <c r="AZ70" s="1482">
        <f t="shared" si="566"/>
        <v>2.3820000000000001</v>
      </c>
      <c r="BA70" s="1482">
        <f t="shared" ref="BA70:BF70" si="567">ROUND((+BA65/$F$20),3)</f>
        <v>2.419</v>
      </c>
      <c r="BB70" s="1482">
        <f t="shared" si="567"/>
        <v>2.4350000000000001</v>
      </c>
      <c r="BC70" s="1482">
        <f t="shared" si="567"/>
        <v>2.407</v>
      </c>
      <c r="BD70" s="1482">
        <f t="shared" si="567"/>
        <v>2.363</v>
      </c>
      <c r="BE70" s="1482">
        <f t="shared" si="567"/>
        <v>2.3660000000000001</v>
      </c>
      <c r="BF70" s="1482">
        <f t="shared" si="567"/>
        <v>2.375</v>
      </c>
      <c r="BG70" s="1482">
        <f t="shared" ref="BG70:BL70" si="568">ROUND((+BG65/$F$20),3)</f>
        <v>2.403</v>
      </c>
      <c r="BH70" s="1482">
        <f t="shared" si="568"/>
        <v>2.3860000000000001</v>
      </c>
      <c r="BI70" s="1482">
        <f t="shared" si="568"/>
        <v>2.3919999999999999</v>
      </c>
      <c r="BJ70" s="1482">
        <f t="shared" si="568"/>
        <v>2.415</v>
      </c>
      <c r="BK70" s="1482">
        <f t="shared" si="568"/>
        <v>2.4209999999999998</v>
      </c>
      <c r="BL70" s="1482">
        <f t="shared" si="568"/>
        <v>2.4350000000000001</v>
      </c>
      <c r="BM70" s="1466">
        <f t="shared" ref="BM70:BR70" si="569">ROUND((+BM65/$F$20),3)</f>
        <v>2.4609999999999999</v>
      </c>
      <c r="BN70" s="1466">
        <f t="shared" si="569"/>
        <v>2.46</v>
      </c>
      <c r="BO70" s="1466">
        <f t="shared" si="569"/>
        <v>2.4780000000000002</v>
      </c>
      <c r="BP70" s="1466">
        <f t="shared" si="569"/>
        <v>2.4729999999999999</v>
      </c>
      <c r="BQ70" s="1466">
        <f t="shared" si="569"/>
        <v>2.4950000000000001</v>
      </c>
      <c r="BR70" s="1466">
        <f t="shared" si="569"/>
        <v>2.48</v>
      </c>
      <c r="BS70" s="1466">
        <f t="shared" ref="BS70:BX70" si="570">ROUND((+BS65/$F$20),3)</f>
        <v>2.508</v>
      </c>
      <c r="BT70" s="1466">
        <f t="shared" si="570"/>
        <v>2.5499999999999998</v>
      </c>
      <c r="BU70" s="1466">
        <f t="shared" si="570"/>
        <v>2.589</v>
      </c>
      <c r="BV70" s="1466">
        <f t="shared" si="570"/>
        <v>2.6</v>
      </c>
      <c r="BW70" s="1466">
        <f t="shared" si="570"/>
        <v>2.581</v>
      </c>
      <c r="BX70" s="1466">
        <f t="shared" si="570"/>
        <v>2.5790000000000002</v>
      </c>
      <c r="BY70" s="1466">
        <f t="shared" ref="BY70:CD70" si="571">ROUND((+BY65/$F$20),3)</f>
        <v>2.593</v>
      </c>
      <c r="BZ70" s="1466">
        <f t="shared" si="571"/>
        <v>2.5950000000000002</v>
      </c>
      <c r="CA70" s="1466">
        <f t="shared" si="571"/>
        <v>2.6509999999999998</v>
      </c>
      <c r="CB70" s="1466">
        <f t="shared" si="571"/>
        <v>2.6669999999999998</v>
      </c>
      <c r="CC70" s="1466">
        <f t="shared" si="571"/>
        <v>2.7029999999999998</v>
      </c>
      <c r="CD70" s="1466">
        <f t="shared" si="571"/>
        <v>2.714</v>
      </c>
      <c r="CE70" s="1466">
        <f t="shared" ref="CE70:CJ70" si="572">ROUND((+CE65/$F$20),3)</f>
        <v>2.75</v>
      </c>
      <c r="CF70" s="1466">
        <f t="shared" si="572"/>
        <v>2.7949999999999999</v>
      </c>
      <c r="CG70" s="1466">
        <f t="shared" si="572"/>
        <v>2.839</v>
      </c>
      <c r="CH70" s="1466">
        <f t="shared" si="572"/>
        <v>2.8570000000000002</v>
      </c>
      <c r="CI70" s="1466">
        <f t="shared" si="572"/>
        <v>2.8610000000000002</v>
      </c>
      <c r="CJ70" s="1466">
        <f t="shared" si="572"/>
        <v>2.875</v>
      </c>
      <c r="CK70" s="1466">
        <f t="shared" ref="CK70:CP70" si="573">ROUND((+CK65/$F$20),3)</f>
        <v>2.91</v>
      </c>
      <c r="CL70" s="1466">
        <f t="shared" si="573"/>
        <v>2.9239999999999999</v>
      </c>
      <c r="CM70" s="1466">
        <f t="shared" si="573"/>
        <v>2.9350000000000001</v>
      </c>
      <c r="CN70" s="1466">
        <f t="shared" si="573"/>
        <v>2.9329999999999998</v>
      </c>
      <c r="CO70" s="1466">
        <f t="shared" si="573"/>
        <v>2.9340000000000002</v>
      </c>
      <c r="CP70" s="1466">
        <f t="shared" si="573"/>
        <v>2.9449999999999998</v>
      </c>
      <c r="CQ70" s="1466">
        <f t="shared" ref="CQ70:CV70" si="574">ROUND((+CQ65/$F$20),3)</f>
        <v>2.9740000000000002</v>
      </c>
      <c r="CR70" s="1466">
        <f t="shared" si="574"/>
        <v>2.9849999999999999</v>
      </c>
      <c r="CS70" s="1466">
        <f t="shared" si="574"/>
        <v>2.9969999999999999</v>
      </c>
      <c r="CT70" s="1466">
        <f t="shared" si="574"/>
        <v>3.032</v>
      </c>
      <c r="CU70" s="1466">
        <f t="shared" si="574"/>
        <v>3.0289999999999999</v>
      </c>
      <c r="CV70" s="1466">
        <f t="shared" si="574"/>
        <v>3.0489999999999999</v>
      </c>
      <c r="CW70" s="1466">
        <f t="shared" ref="CW70:DB70" si="575">ROUND((+CW65/$F$20),3)</f>
        <v>3.0550000000000002</v>
      </c>
      <c r="CX70" s="1466">
        <f t="shared" si="575"/>
        <v>3.0720000000000001</v>
      </c>
      <c r="CY70" s="1466">
        <f t="shared" si="575"/>
        <v>3.121</v>
      </c>
      <c r="CZ70" s="1467">
        <f t="shared" si="575"/>
        <v>3.1230000000000002</v>
      </c>
      <c r="DA70" s="1467">
        <f t="shared" si="575"/>
        <v>3.1280000000000001</v>
      </c>
      <c r="DB70" s="1467">
        <f t="shared" si="575"/>
        <v>3.1469999999999998</v>
      </c>
      <c r="DC70" s="1467">
        <f t="shared" ref="DC70:DH70" si="576">ROUND((+DC65/$F$20),3)</f>
        <v>3.1669999999999998</v>
      </c>
      <c r="DD70" s="1467">
        <f t="shared" si="576"/>
        <v>3.16</v>
      </c>
      <c r="DE70" s="1467">
        <f t="shared" si="576"/>
        <v>3.1930000000000001</v>
      </c>
      <c r="DF70" s="1467">
        <f t="shared" si="576"/>
        <v>3.2010000000000001</v>
      </c>
      <c r="DG70" s="1467">
        <f t="shared" si="576"/>
        <v>3.23</v>
      </c>
      <c r="DH70" s="1467">
        <f t="shared" si="576"/>
        <v>3.2650000000000001</v>
      </c>
      <c r="DI70" s="1467">
        <f>ROUND((+DI65/$F$20),3)</f>
        <v>3.2829999999999999</v>
      </c>
      <c r="DJ70" s="1467">
        <f>ROUND((+DJ65/$F$20),3)</f>
        <v>3.2959999999999998</v>
      </c>
      <c r="DK70" s="1467">
        <f>ROUND((+DK65/$F$20),3)</f>
        <v>3.3069999999999999</v>
      </c>
      <c r="DL70" s="1467">
        <f>ROUND((+DL65/$F$20),3)</f>
        <v>3.306</v>
      </c>
      <c r="DM70" s="1467">
        <f>ROUND((+DM65/$F$20),3)</f>
        <v>3.3439999999999999</v>
      </c>
      <c r="DN70" s="1467">
        <f t="shared" ref="DN70:DS70" si="577">ROUND((+DN65/$F$65),3)</f>
        <v>3.36</v>
      </c>
      <c r="DO70" s="1467">
        <f t="shared" si="577"/>
        <v>3.367</v>
      </c>
      <c r="DP70" s="1467">
        <f t="shared" si="577"/>
        <v>3.43</v>
      </c>
      <c r="DQ70" s="1467">
        <f t="shared" si="577"/>
        <v>3.4630000000000001</v>
      </c>
      <c r="DR70" s="1467">
        <f t="shared" si="577"/>
        <v>3.4809999999999999</v>
      </c>
      <c r="DS70" s="1467">
        <f t="shared" si="577"/>
        <v>3.5030000000000001</v>
      </c>
      <c r="DT70" s="1467">
        <f t="shared" ref="DT70:DY70" si="578">ROUND((+DT65/$F$65),3)</f>
        <v>3.5640000000000001</v>
      </c>
      <c r="DU70" s="1467">
        <f t="shared" si="578"/>
        <v>3.5939999999999999</v>
      </c>
      <c r="DV70" s="1467">
        <f t="shared" si="578"/>
        <v>3.6259999999999999</v>
      </c>
      <c r="DW70" s="1467">
        <f t="shared" si="578"/>
        <v>3.645</v>
      </c>
      <c r="DX70" s="1467">
        <f t="shared" si="578"/>
        <v>3.67</v>
      </c>
      <c r="DY70" s="1467">
        <f t="shared" si="578"/>
        <v>3.6909999999999998</v>
      </c>
      <c r="DZ70" s="1467">
        <f t="shared" ref="DZ70:EE70" si="579">ROUND((+DZ65/$F$65),3)</f>
        <v>3.7370000000000001</v>
      </c>
      <c r="EA70" s="1467">
        <f t="shared" si="579"/>
        <v>3.774</v>
      </c>
      <c r="EB70" s="1467">
        <f t="shared" si="579"/>
        <v>3.806</v>
      </c>
      <c r="EC70" s="1467">
        <f t="shared" si="579"/>
        <v>3.8580000000000001</v>
      </c>
      <c r="ED70" s="1467">
        <f t="shared" si="579"/>
        <v>3.9049999999999998</v>
      </c>
      <c r="EE70" s="1467">
        <f t="shared" si="579"/>
        <v>3.9350000000000001</v>
      </c>
      <c r="EF70" s="1467">
        <f t="shared" ref="EF70:EL70" si="580">ROUND((+EF65/$F$65),3)</f>
        <v>3.9620000000000002</v>
      </c>
      <c r="EG70" s="1467">
        <f t="shared" si="580"/>
        <v>3.9980000000000002</v>
      </c>
      <c r="EH70" s="1467">
        <f t="shared" si="580"/>
        <v>4.0380000000000003</v>
      </c>
      <c r="EI70" s="1467">
        <f t="shared" si="580"/>
        <v>4.0549999999999997</v>
      </c>
      <c r="EJ70" s="1467">
        <f t="shared" si="580"/>
        <v>4.0830000000000002</v>
      </c>
      <c r="EK70" s="1467">
        <f t="shared" si="580"/>
        <v>4.1779999999999999</v>
      </c>
      <c r="EL70" s="1467">
        <f t="shared" si="580"/>
        <v>4.2939999999999996</v>
      </c>
      <c r="EM70" s="1467">
        <f t="shared" ref="EM70:ER70" si="581">ROUND((+EM65/$F$65),3)</f>
        <v>4.6210000000000004</v>
      </c>
      <c r="EN70" s="1467">
        <f t="shared" si="581"/>
        <v>4.7190000000000003</v>
      </c>
      <c r="EO70" s="1467">
        <f t="shared" si="581"/>
        <v>4.7539999999999996</v>
      </c>
      <c r="EP70" s="1467">
        <f t="shared" si="581"/>
        <v>4.78</v>
      </c>
      <c r="EQ70" s="1467">
        <f t="shared" si="581"/>
        <v>4.8150000000000004</v>
      </c>
      <c r="ER70" s="1467">
        <f t="shared" si="581"/>
        <v>4.8010000000000002</v>
      </c>
      <c r="ES70" s="1467">
        <f t="shared" ref="ES70:EX70" si="582">ROUND((+ES65/$F$65),3)</f>
        <v>4.97</v>
      </c>
      <c r="ET70" s="1467">
        <f t="shared" si="582"/>
        <v>5.0259999999999998</v>
      </c>
      <c r="EU70" s="1467">
        <f t="shared" si="582"/>
        <v>5.08</v>
      </c>
      <c r="EV70" s="1467">
        <f t="shared" si="582"/>
        <v>5.1440000000000001</v>
      </c>
      <c r="EW70" s="1467">
        <f t="shared" si="582"/>
        <v>5.1539999999999999</v>
      </c>
      <c r="EX70" s="1467">
        <f t="shared" si="582"/>
        <v>5.1890000000000001</v>
      </c>
      <c r="EY70" s="1467">
        <f t="shared" ref="EY70:FE70" si="583">ROUND((+EY65/$F$65),3)</f>
        <v>5.2089999999999996</v>
      </c>
      <c r="EZ70" s="1467">
        <f t="shared" si="583"/>
        <v>5.335</v>
      </c>
      <c r="FA70" s="1467">
        <f t="shared" si="583"/>
        <v>5.5090000000000003</v>
      </c>
      <c r="FB70" s="1467">
        <f t="shared" si="583"/>
        <v>5.6210000000000004</v>
      </c>
      <c r="FC70" s="1467">
        <f t="shared" si="583"/>
        <v>5.7409999999999997</v>
      </c>
      <c r="FD70" s="1467">
        <f t="shared" si="583"/>
        <v>5.8449999999999998</v>
      </c>
      <c r="FE70" s="1467">
        <f t="shared" si="583"/>
        <v>5.9530000000000003</v>
      </c>
      <c r="FF70" s="1467">
        <f t="shared" ref="FF70:FI70" si="584">ROUND((+FF65/$F$65),3)</f>
        <v>5.9779999999999998</v>
      </c>
      <c r="FG70" s="1467">
        <f t="shared" si="584"/>
        <v>6.0579999999999998</v>
      </c>
      <c r="FH70" s="1467" t="e">
        <f t="shared" si="584"/>
        <v>#REF!</v>
      </c>
      <c r="FI70" s="1467" t="e">
        <f t="shared" si="584"/>
        <v>#REF!</v>
      </c>
      <c r="FJ70" s="1467">
        <v>1</v>
      </c>
      <c r="FK70" s="1467">
        <f>ROUND((+FK65/$FJ$65),3)</f>
        <v>1.1299999999999999</v>
      </c>
      <c r="FL70" s="1467">
        <f>ROUND((+FL65/$FJ$65),3)</f>
        <v>1.0760000000000001</v>
      </c>
      <c r="FM70" s="1467">
        <f t="shared" ref="FM70:HX70" si="585">ROUND((+FM65/$FJ$65),3)</f>
        <v>1.0620000000000001</v>
      </c>
      <c r="FN70" s="1467">
        <f t="shared" si="585"/>
        <v>1.0389999999999999</v>
      </c>
      <c r="FO70" s="1467">
        <f t="shared" si="585"/>
        <v>1.119</v>
      </c>
      <c r="FP70" s="1467">
        <f t="shared" si="585"/>
        <v>1.119</v>
      </c>
      <c r="FQ70" s="1467">
        <f t="shared" si="585"/>
        <v>1.119</v>
      </c>
      <c r="FR70" s="1467">
        <f t="shared" si="585"/>
        <v>1.1259999999999999</v>
      </c>
      <c r="FS70" s="1467">
        <f t="shared" si="585"/>
        <v>1.1459999999999999</v>
      </c>
      <c r="FT70" s="1467">
        <f t="shared" si="585"/>
        <v>1.167</v>
      </c>
      <c r="FU70" s="1467">
        <f t="shared" si="585"/>
        <v>1.1890000000000001</v>
      </c>
      <c r="FV70" s="1467">
        <f t="shared" si="585"/>
        <v>1.1930000000000001</v>
      </c>
      <c r="FW70" s="1467">
        <f t="shared" si="585"/>
        <v>1.1559999999999999</v>
      </c>
      <c r="FX70" s="1467">
        <f t="shared" si="585"/>
        <v>1.159</v>
      </c>
      <c r="FY70" s="1467">
        <f t="shared" si="585"/>
        <v>1.163</v>
      </c>
      <c r="FZ70" s="1467">
        <f t="shared" si="585"/>
        <v>1.2</v>
      </c>
      <c r="GA70" s="1467">
        <f t="shared" si="585"/>
        <v>1.2190000000000001</v>
      </c>
      <c r="GB70" s="1467">
        <f t="shared" si="585"/>
        <v>1.38</v>
      </c>
      <c r="GC70" s="1467">
        <f t="shared" si="585"/>
        <v>1.4019999999999999</v>
      </c>
      <c r="GD70" s="1467">
        <f t="shared" si="585"/>
        <v>1.377</v>
      </c>
      <c r="GE70" s="1467">
        <f t="shared" si="585"/>
        <v>1.3959999999999999</v>
      </c>
      <c r="GF70" s="1467">
        <f t="shared" si="585"/>
        <v>1.4239999999999999</v>
      </c>
      <c r="GG70" s="1467">
        <f t="shared" si="585"/>
        <v>1.4670000000000001</v>
      </c>
      <c r="GH70" s="1467">
        <f t="shared" si="585"/>
        <v>1.54</v>
      </c>
      <c r="GI70" s="1467">
        <f t="shared" si="585"/>
        <v>1.5860000000000001</v>
      </c>
      <c r="GJ70" s="1467">
        <f t="shared" si="585"/>
        <v>1.6339999999999999</v>
      </c>
      <c r="GK70" s="1467">
        <f t="shared" si="585"/>
        <v>1.6339999999999999</v>
      </c>
      <c r="GL70" s="1467">
        <f t="shared" si="585"/>
        <v>1.9990000000000001</v>
      </c>
      <c r="GM70" s="1467">
        <f t="shared" si="585"/>
        <v>2.262</v>
      </c>
      <c r="GN70" s="1467">
        <f t="shared" si="585"/>
        <v>2.238</v>
      </c>
      <c r="GO70" s="1467">
        <f t="shared" si="585"/>
        <v>2.35</v>
      </c>
      <c r="GP70" s="1467">
        <f t="shared" si="585"/>
        <v>3.165</v>
      </c>
      <c r="GQ70" s="1467">
        <f t="shared" si="585"/>
        <v>3.0089999999999999</v>
      </c>
      <c r="GR70" s="1467">
        <f t="shared" si="585"/>
        <v>2.8340000000000001</v>
      </c>
      <c r="GS70" s="1467">
        <f t="shared" si="585"/>
        <v>3.0630000000000002</v>
      </c>
      <c r="GT70" s="1467">
        <f t="shared" si="585"/>
        <v>2.948</v>
      </c>
      <c r="GU70" s="1467">
        <f t="shared" si="585"/>
        <v>3.1680000000000001</v>
      </c>
      <c r="GV70" s="1467">
        <f t="shared" si="585"/>
        <v>3.2629999999999999</v>
      </c>
      <c r="GW70" s="1467">
        <f t="shared" si="585"/>
        <v>3.4780000000000002</v>
      </c>
      <c r="GX70" s="1467">
        <f t="shared" si="585"/>
        <v>3.76</v>
      </c>
      <c r="GY70" s="1467">
        <f t="shared" si="585"/>
        <v>3.5760000000000001</v>
      </c>
      <c r="GZ70" s="1467">
        <f t="shared" si="585"/>
        <v>3.5659999999999998</v>
      </c>
      <c r="HA70" s="1467">
        <f t="shared" si="585"/>
        <v>4.5979999999999999</v>
      </c>
      <c r="HB70" s="1467">
        <f t="shared" si="585"/>
        <v>4.8120000000000003</v>
      </c>
      <c r="HC70" s="1467">
        <f t="shared" si="585"/>
        <v>5.0140000000000002</v>
      </c>
      <c r="HD70" s="1467">
        <f t="shared" si="585"/>
        <v>4.8460000000000001</v>
      </c>
      <c r="HE70" s="1467">
        <f t="shared" si="585"/>
        <v>4.8460000000000001</v>
      </c>
      <c r="HF70" s="1467">
        <f t="shared" si="585"/>
        <v>5.0880000000000001</v>
      </c>
      <c r="HG70" s="1467">
        <f t="shared" si="585"/>
        <v>5.16</v>
      </c>
      <c r="HH70" s="1467">
        <f t="shared" si="585"/>
        <v>5.3010000000000002</v>
      </c>
      <c r="HI70" s="1467">
        <f t="shared" si="585"/>
        <v>5.5430000000000001</v>
      </c>
      <c r="HJ70" s="1467">
        <f t="shared" si="585"/>
        <v>5.6840000000000002</v>
      </c>
      <c r="HK70" s="1467">
        <f t="shared" si="585"/>
        <v>5.9260000000000002</v>
      </c>
      <c r="HL70" s="1467">
        <f t="shared" si="585"/>
        <v>6.1479999999999997</v>
      </c>
      <c r="HM70" s="1467">
        <f t="shared" si="585"/>
        <v>6.2889999999999997</v>
      </c>
      <c r="HN70" s="1467">
        <f t="shared" si="585"/>
        <v>6.45</v>
      </c>
      <c r="HO70" s="1467">
        <f t="shared" si="585"/>
        <v>6.7320000000000002</v>
      </c>
      <c r="HP70" s="1467">
        <f t="shared" si="585"/>
        <v>6.9740000000000002</v>
      </c>
      <c r="HQ70" s="1467">
        <f t="shared" si="585"/>
        <v>7.1959999999999997</v>
      </c>
      <c r="HR70" s="1467">
        <f t="shared" si="585"/>
        <v>7.4169999999999998</v>
      </c>
      <c r="HS70" s="1467">
        <f t="shared" si="585"/>
        <v>7.6189999999999998</v>
      </c>
      <c r="HT70" s="1467">
        <f t="shared" si="585"/>
        <v>7.8410000000000002</v>
      </c>
      <c r="HU70" s="1467">
        <f t="shared" si="585"/>
        <v>7.9409999999999998</v>
      </c>
      <c r="HV70" s="1467">
        <f t="shared" si="585"/>
        <v>8.0619999999999994</v>
      </c>
      <c r="HW70" s="1467">
        <f t="shared" si="585"/>
        <v>8.1229999999999993</v>
      </c>
      <c r="HX70" s="1467">
        <f t="shared" si="585"/>
        <v>8.2029999999999994</v>
      </c>
      <c r="HY70" s="1467">
        <f t="shared" ref="HY70:IO70" si="586">ROUND((+HY65/$FJ$65),3)</f>
        <v>8.2840000000000007</v>
      </c>
      <c r="HZ70" s="1467">
        <f t="shared" si="586"/>
        <v>8.3650000000000002</v>
      </c>
      <c r="IA70" s="1467">
        <f t="shared" si="586"/>
        <v>8.4649999999999999</v>
      </c>
      <c r="IB70" s="1467">
        <f t="shared" si="586"/>
        <v>8.5259999999999998</v>
      </c>
      <c r="IC70" s="1467">
        <f t="shared" si="586"/>
        <v>8.6869999999999994</v>
      </c>
      <c r="ID70" s="1467">
        <f t="shared" si="586"/>
        <v>8.8889999999999993</v>
      </c>
      <c r="IE70" s="1467">
        <f t="shared" si="586"/>
        <v>9.07</v>
      </c>
      <c r="IF70" s="1467">
        <f t="shared" si="586"/>
        <v>9.3520000000000003</v>
      </c>
      <c r="IG70" s="1467">
        <f t="shared" si="586"/>
        <v>9.6950000000000003</v>
      </c>
      <c r="IH70" s="1467">
        <f t="shared" si="586"/>
        <v>10.098000000000001</v>
      </c>
      <c r="II70" s="1467">
        <f t="shared" si="586"/>
        <v>10.461</v>
      </c>
      <c r="IJ70" s="1467">
        <f t="shared" si="586"/>
        <v>11.066000000000001</v>
      </c>
      <c r="IK70" s="1467">
        <f t="shared" si="586"/>
        <v>11.428000000000001</v>
      </c>
      <c r="IL70" s="1467">
        <f t="shared" si="586"/>
        <v>12.335000000000001</v>
      </c>
      <c r="IM70" s="1467">
        <f t="shared" si="586"/>
        <v>13.101000000000001</v>
      </c>
      <c r="IN70" s="1467">
        <f t="shared" si="586"/>
        <v>14.048999999999999</v>
      </c>
      <c r="IO70" s="2472">
        <f t="shared" si="586"/>
        <v>14.773999999999999</v>
      </c>
      <c r="IP70" s="2479">
        <f t="shared" ref="IP70:IQ70" si="587">ROUND((+IP65/$FJ$65),3)</f>
        <v>15.58</v>
      </c>
      <c r="IQ70" s="2479">
        <f t="shared" si="587"/>
        <v>16.446999999999999</v>
      </c>
    </row>
    <row r="71" spans="3:251">
      <c r="C71" s="2624"/>
      <c r="D71" s="2626" t="s">
        <v>699</v>
      </c>
      <c r="E71" s="2627"/>
      <c r="F71" s="1804">
        <f>+F66/$F$21</f>
        <v>1</v>
      </c>
      <c r="G71" s="523">
        <f>+G66/$F$21</f>
        <v>2.5080400624827712</v>
      </c>
      <c r="H71" s="523">
        <f>+H66/$F$21</f>
        <v>2.5526049802444182</v>
      </c>
      <c r="I71" s="523">
        <f>+I66/$F$21</f>
        <v>2.5730037673435633</v>
      </c>
      <c r="J71" s="523">
        <f>+J66/$F$21</f>
        <v>2.5730037673435633</v>
      </c>
      <c r="K71" s="523">
        <f t="shared" ref="K71:AB71" si="588">ROUND((+K66/$F$21),3)</f>
        <v>2.6440000000000001</v>
      </c>
      <c r="L71" s="523">
        <f t="shared" si="588"/>
        <v>2.7480000000000002</v>
      </c>
      <c r="M71" s="523">
        <f t="shared" si="588"/>
        <v>2.7810000000000001</v>
      </c>
      <c r="N71" s="523">
        <f t="shared" si="588"/>
        <v>2.7810000000000001</v>
      </c>
      <c r="O71" s="523">
        <f t="shared" si="588"/>
        <v>2.9049999999999998</v>
      </c>
      <c r="P71" s="523">
        <f t="shared" si="588"/>
        <v>2.9980000000000002</v>
      </c>
      <c r="Q71" s="538">
        <f t="shared" si="588"/>
        <v>2.9980000000000002</v>
      </c>
      <c r="R71" s="538">
        <f t="shared" si="588"/>
        <v>2.9980000000000002</v>
      </c>
      <c r="S71" s="538">
        <f t="shared" si="588"/>
        <v>2.9980000000000002</v>
      </c>
      <c r="T71" s="538">
        <f t="shared" si="588"/>
        <v>2.9980000000000002</v>
      </c>
      <c r="U71" s="538">
        <f t="shared" si="588"/>
        <v>2.9980000000000002</v>
      </c>
      <c r="V71" s="538">
        <f t="shared" si="588"/>
        <v>3.0409999999999999</v>
      </c>
      <c r="W71" s="538">
        <f t="shared" si="588"/>
        <v>3.069</v>
      </c>
      <c r="X71" s="538">
        <f t="shared" si="588"/>
        <v>3.07</v>
      </c>
      <c r="Y71" s="538">
        <f t="shared" si="588"/>
        <v>3.2570000000000001</v>
      </c>
      <c r="Z71" s="538">
        <f t="shared" si="588"/>
        <v>3.2570000000000001</v>
      </c>
      <c r="AA71" s="538">
        <f t="shared" si="588"/>
        <v>3.3479999999999999</v>
      </c>
      <c r="AB71" s="538">
        <f t="shared" si="588"/>
        <v>3.3479999999999999</v>
      </c>
      <c r="AC71" s="538">
        <f t="shared" ref="AC71:AH71" si="589">ROUND((+AC66/$F$21),3)</f>
        <v>3.2690000000000001</v>
      </c>
      <c r="AD71" s="538">
        <f t="shared" si="589"/>
        <v>3.2559999999999998</v>
      </c>
      <c r="AE71" s="538">
        <f t="shared" si="589"/>
        <v>3.2559999999999998</v>
      </c>
      <c r="AF71" s="538">
        <f t="shared" si="589"/>
        <v>3.2559999999999998</v>
      </c>
      <c r="AG71" s="538">
        <f t="shared" si="589"/>
        <v>3.2559999999999998</v>
      </c>
      <c r="AH71" s="538">
        <f t="shared" si="589"/>
        <v>3.246</v>
      </c>
      <c r="AI71" s="538">
        <f t="shared" ref="AI71:AN71" si="590">ROUND((+AI66/$F$21),3)</f>
        <v>3.242</v>
      </c>
      <c r="AJ71" s="538">
        <f t="shared" si="590"/>
        <v>3.2629999999999999</v>
      </c>
      <c r="AK71" s="538">
        <f t="shared" si="590"/>
        <v>3.2629999999999999</v>
      </c>
      <c r="AL71" s="538">
        <f t="shared" si="590"/>
        <v>3.2629999999999999</v>
      </c>
      <c r="AM71" s="538">
        <f t="shared" si="590"/>
        <v>3.238</v>
      </c>
      <c r="AN71" s="538">
        <f t="shared" si="590"/>
        <v>3.129</v>
      </c>
      <c r="AO71" s="538">
        <f t="shared" ref="AO71:AT71" si="591">ROUND((+AO66/$F$21),3)</f>
        <v>3.13</v>
      </c>
      <c r="AP71" s="538">
        <f t="shared" si="591"/>
        <v>3.13</v>
      </c>
      <c r="AQ71" s="538">
        <f t="shared" si="591"/>
        <v>3.13</v>
      </c>
      <c r="AR71" s="538">
        <f t="shared" si="591"/>
        <v>3.274</v>
      </c>
      <c r="AS71" s="538">
        <f t="shared" si="591"/>
        <v>3.3479999999999999</v>
      </c>
      <c r="AT71" s="538">
        <f t="shared" si="591"/>
        <v>3.3479999999999999</v>
      </c>
      <c r="AU71" s="538">
        <f t="shared" ref="AU71:AZ71" si="592">ROUND((+AU66/$F$21),3)</f>
        <v>3.3479999999999999</v>
      </c>
      <c r="AV71" s="538">
        <f t="shared" si="592"/>
        <v>3.3319999999999999</v>
      </c>
      <c r="AW71" s="538">
        <f t="shared" si="592"/>
        <v>3.3319999999999999</v>
      </c>
      <c r="AX71" s="538">
        <f t="shared" si="592"/>
        <v>3.399</v>
      </c>
      <c r="AY71" s="538">
        <f t="shared" si="592"/>
        <v>3.4340000000000002</v>
      </c>
      <c r="AZ71" s="538">
        <f t="shared" si="592"/>
        <v>3.4340000000000002</v>
      </c>
      <c r="BA71" s="538">
        <f t="shared" ref="BA71:BF71" si="593">ROUND((+BA66/$F$21),3)</f>
        <v>3.4340000000000002</v>
      </c>
      <c r="BB71" s="538">
        <f t="shared" si="593"/>
        <v>3.4340000000000002</v>
      </c>
      <c r="BC71" s="538">
        <f t="shared" si="593"/>
        <v>3.4340000000000002</v>
      </c>
      <c r="BD71" s="538">
        <f t="shared" si="593"/>
        <v>3.4630000000000001</v>
      </c>
      <c r="BE71" s="538">
        <f t="shared" si="593"/>
        <v>3.488</v>
      </c>
      <c r="BF71" s="538">
        <f t="shared" si="593"/>
        <v>3.5670000000000002</v>
      </c>
      <c r="BG71" s="538">
        <f t="shared" ref="BG71:BL71" si="594">ROUND((+BG66/$F$21),3)</f>
        <v>3.5670000000000002</v>
      </c>
      <c r="BH71" s="538">
        <f t="shared" si="594"/>
        <v>3.58</v>
      </c>
      <c r="BI71" s="538">
        <f t="shared" si="594"/>
        <v>3.58</v>
      </c>
      <c r="BJ71" s="538">
        <f t="shared" si="594"/>
        <v>3.665</v>
      </c>
      <c r="BK71" s="538">
        <f t="shared" si="594"/>
        <v>3.665</v>
      </c>
      <c r="BL71" s="538">
        <f t="shared" si="594"/>
        <v>3.7010000000000001</v>
      </c>
      <c r="BM71" s="523">
        <f t="shared" ref="BM71:BR71" si="595">ROUND((+BM66/$F$21),3)</f>
        <v>3.7469999999999999</v>
      </c>
      <c r="BN71" s="523">
        <f t="shared" si="595"/>
        <v>3.8420000000000001</v>
      </c>
      <c r="BO71" s="523">
        <f t="shared" si="595"/>
        <v>3.8730000000000002</v>
      </c>
      <c r="BP71" s="523">
        <f t="shared" si="595"/>
        <v>3.9710000000000001</v>
      </c>
      <c r="BQ71" s="523">
        <f t="shared" si="595"/>
        <v>4.0789999999999997</v>
      </c>
      <c r="BR71" s="523">
        <f t="shared" si="595"/>
        <v>4.1420000000000003</v>
      </c>
      <c r="BS71" s="523">
        <f t="shared" ref="BS71:BX71" si="596">ROUND((+BS66/$F$21),3)</f>
        <v>4.343</v>
      </c>
      <c r="BT71" s="523">
        <f t="shared" si="596"/>
        <v>4.5460000000000003</v>
      </c>
      <c r="BU71" s="523">
        <f t="shared" si="596"/>
        <v>4.7030000000000003</v>
      </c>
      <c r="BV71" s="523">
        <f t="shared" si="596"/>
        <v>4.7439999999999998</v>
      </c>
      <c r="BW71" s="523">
        <f t="shared" si="596"/>
        <v>4.9820000000000002</v>
      </c>
      <c r="BX71" s="523">
        <f t="shared" si="596"/>
        <v>5.2679999999999998</v>
      </c>
      <c r="BY71" s="523">
        <f t="shared" ref="BY71:CD71" si="597">ROUND((+BY66/$F$21),3)</f>
        <v>5.4610000000000003</v>
      </c>
      <c r="BZ71" s="523">
        <f t="shared" si="597"/>
        <v>5.492</v>
      </c>
      <c r="CA71" s="523">
        <f t="shared" si="597"/>
        <v>5.5289999999999999</v>
      </c>
      <c r="CB71" s="523">
        <f t="shared" si="597"/>
        <v>5.5289999999999999</v>
      </c>
      <c r="CC71" s="523">
        <f t="shared" si="597"/>
        <v>5.5289999999999999</v>
      </c>
      <c r="CD71" s="523">
        <f t="shared" si="597"/>
        <v>5.5750000000000002</v>
      </c>
      <c r="CE71" s="523">
        <f t="shared" ref="CE71:CJ71" si="598">ROUND((+CE66/$F$21),3)</f>
        <v>5.5750000000000002</v>
      </c>
      <c r="CF71" s="523">
        <f t="shared" si="598"/>
        <v>5.5750000000000002</v>
      </c>
      <c r="CG71" s="523">
        <f t="shared" si="598"/>
        <v>5.5750000000000002</v>
      </c>
      <c r="CH71" s="523">
        <f t="shared" si="598"/>
        <v>5.5750000000000002</v>
      </c>
      <c r="CI71" s="523">
        <f t="shared" si="598"/>
        <v>5.49</v>
      </c>
      <c r="CJ71" s="523">
        <f t="shared" si="598"/>
        <v>5.5289999999999999</v>
      </c>
      <c r="CK71" s="523">
        <f t="shared" ref="CK71:CP71" si="599">ROUND((+CK66/$F$21),3)</f>
        <v>5.5839999999999996</v>
      </c>
      <c r="CL71" s="523">
        <f t="shared" si="599"/>
        <v>5.68</v>
      </c>
      <c r="CM71" s="523">
        <f t="shared" si="599"/>
        <v>5.7249999999999996</v>
      </c>
      <c r="CN71" s="523">
        <f t="shared" si="599"/>
        <v>5.7670000000000003</v>
      </c>
      <c r="CO71" s="523">
        <f t="shared" si="599"/>
        <v>5.81</v>
      </c>
      <c r="CP71" s="523">
        <f t="shared" si="599"/>
        <v>5.8360000000000003</v>
      </c>
      <c r="CQ71" s="523">
        <f t="shared" ref="CQ71:CV71" si="600">ROUND((+CQ66/$F$21),3)</f>
        <v>6.008</v>
      </c>
      <c r="CR71" s="523">
        <f t="shared" si="600"/>
        <v>6.2249999999999996</v>
      </c>
      <c r="CS71" s="523">
        <f t="shared" si="600"/>
        <v>6.2850000000000001</v>
      </c>
      <c r="CT71" s="523">
        <f t="shared" si="600"/>
        <v>6.3460000000000001</v>
      </c>
      <c r="CU71" s="523">
        <f t="shared" si="600"/>
        <v>6.3849999999999998</v>
      </c>
      <c r="CV71" s="523">
        <f t="shared" si="600"/>
        <v>6.4359999999999999</v>
      </c>
      <c r="CW71" s="523">
        <f t="shared" ref="CW71:DB71" si="601">ROUND((+CW66/$F$21),3)</f>
        <v>6.4880000000000004</v>
      </c>
      <c r="CX71" s="523">
        <f t="shared" si="601"/>
        <v>6.5149999999999997</v>
      </c>
      <c r="CY71" s="523">
        <f t="shared" si="601"/>
        <v>7.0579999999999998</v>
      </c>
      <c r="CZ71" s="964">
        <f t="shared" si="601"/>
        <v>7.1639999999999997</v>
      </c>
      <c r="DA71" s="964">
        <f t="shared" si="601"/>
        <v>7.4889999999999999</v>
      </c>
      <c r="DB71" s="964">
        <f t="shared" si="601"/>
        <v>7.4889999999999999</v>
      </c>
      <c r="DC71" s="964">
        <f t="shared" ref="DC71:DH71" si="602">ROUND((+DC66/$F$21),3)</f>
        <v>7.516</v>
      </c>
      <c r="DD71" s="964">
        <f t="shared" si="602"/>
        <v>7.5949999999999998</v>
      </c>
      <c r="DE71" s="964">
        <f t="shared" si="602"/>
        <v>7.6180000000000003</v>
      </c>
      <c r="DF71" s="964">
        <f t="shared" si="602"/>
        <v>7.6459999999999999</v>
      </c>
      <c r="DG71" s="964">
        <f t="shared" si="602"/>
        <v>7.7069999999999999</v>
      </c>
      <c r="DH71" s="964">
        <f t="shared" si="602"/>
        <v>7.9749999999999996</v>
      </c>
      <c r="DI71" s="964">
        <f>ROUND((+DI66/$F$21),3)</f>
        <v>8.0190000000000001</v>
      </c>
      <c r="DJ71" s="964">
        <f>ROUND((+DJ66/$F$21),3)</f>
        <v>8.1419999999999995</v>
      </c>
      <c r="DK71" s="964">
        <f>ROUND((+DK66/$F$21),3)</f>
        <v>8.19</v>
      </c>
      <c r="DL71" s="964">
        <f>ROUND((+DL66/$F$21),3)</f>
        <v>8.4550000000000001</v>
      </c>
      <c r="DM71" s="964">
        <f>ROUND((+DM66/$F$21),3)</f>
        <v>8.4760000000000009</v>
      </c>
      <c r="DN71" s="964">
        <f t="shared" ref="DN71:DS71" si="603">ROUND((+DN66/$F$66),3)</f>
        <v>8.4890000000000008</v>
      </c>
      <c r="DO71" s="964">
        <f t="shared" si="603"/>
        <v>8.5150000000000006</v>
      </c>
      <c r="DP71" s="964">
        <f t="shared" si="603"/>
        <v>8.5239999999999991</v>
      </c>
      <c r="DQ71" s="964">
        <f t="shared" si="603"/>
        <v>8.8490000000000002</v>
      </c>
      <c r="DR71" s="964">
        <f t="shared" si="603"/>
        <v>8.8740000000000006</v>
      </c>
      <c r="DS71" s="964">
        <f t="shared" si="603"/>
        <v>8.9019999999999992</v>
      </c>
      <c r="DT71" s="964">
        <f t="shared" ref="DT71:DY71" si="604">ROUND((+DT66/$F$66),3)</f>
        <v>8.93</v>
      </c>
      <c r="DU71" s="964">
        <f t="shared" si="604"/>
        <v>9.0340000000000007</v>
      </c>
      <c r="DV71" s="964">
        <f t="shared" si="604"/>
        <v>9.1669999999999998</v>
      </c>
      <c r="DW71" s="964">
        <f t="shared" si="604"/>
        <v>9.2639999999999993</v>
      </c>
      <c r="DX71" s="964">
        <f t="shared" si="604"/>
        <v>9.2929999999999993</v>
      </c>
      <c r="DY71" s="964">
        <f t="shared" si="604"/>
        <v>9.32</v>
      </c>
      <c r="DZ71" s="964">
        <f t="shared" ref="DZ71:EE71" si="605">ROUND((+DZ66/$F$66),3)</f>
        <v>9.5380000000000003</v>
      </c>
      <c r="EA71" s="964">
        <f t="shared" si="605"/>
        <v>9.5660000000000007</v>
      </c>
      <c r="EB71" s="964">
        <f t="shared" si="605"/>
        <v>9.5950000000000006</v>
      </c>
      <c r="EC71" s="964">
        <f t="shared" si="605"/>
        <v>9.6240000000000006</v>
      </c>
      <c r="ED71" s="964">
        <f t="shared" si="605"/>
        <v>9.6539999999999999</v>
      </c>
      <c r="EE71" s="964">
        <f t="shared" si="605"/>
        <v>9.7639999999999993</v>
      </c>
      <c r="EF71" s="964">
        <f t="shared" ref="EF71:EL71" si="606">ROUND((+EF66/$F$66),3)</f>
        <v>10.023</v>
      </c>
      <c r="EG71" s="964">
        <f t="shared" si="606"/>
        <v>10.096</v>
      </c>
      <c r="EH71" s="964">
        <f t="shared" si="606"/>
        <v>10.127000000000001</v>
      </c>
      <c r="EI71" s="964">
        <f t="shared" si="606"/>
        <v>10.157999999999999</v>
      </c>
      <c r="EJ71" s="964">
        <f t="shared" si="606"/>
        <v>10.189</v>
      </c>
      <c r="EK71" s="964">
        <f t="shared" si="606"/>
        <v>10.583</v>
      </c>
      <c r="EL71" s="964">
        <f t="shared" si="606"/>
        <v>10.733000000000001</v>
      </c>
      <c r="EM71" s="964">
        <f t="shared" ref="EM71:ER71" si="607">ROUND((+EM66/$F$66),3)</f>
        <v>11.57</v>
      </c>
      <c r="EN71" s="964">
        <f t="shared" si="607"/>
        <v>11.877000000000001</v>
      </c>
      <c r="EO71" s="964">
        <f t="shared" si="607"/>
        <v>11.957000000000001</v>
      </c>
      <c r="EP71" s="964">
        <f t="shared" si="607"/>
        <v>12.000999999999999</v>
      </c>
      <c r="EQ71" s="964">
        <f t="shared" si="607"/>
        <v>12.037000000000001</v>
      </c>
      <c r="ER71" s="964">
        <f t="shared" si="607"/>
        <v>12.132999999999999</v>
      </c>
      <c r="ES71" s="964">
        <f t="shared" ref="ES71:EX71" si="608">ROUND((+ES66/$F$66),3)</f>
        <v>12.169</v>
      </c>
      <c r="ET71" s="964">
        <f t="shared" si="608"/>
        <v>12.305</v>
      </c>
      <c r="EU71" s="964">
        <f t="shared" si="608"/>
        <v>12.686999999999999</v>
      </c>
      <c r="EV71" s="964">
        <f t="shared" si="608"/>
        <v>13.093</v>
      </c>
      <c r="EW71" s="964">
        <f t="shared" si="608"/>
        <v>13.316000000000001</v>
      </c>
      <c r="EX71" s="964">
        <f t="shared" si="608"/>
        <v>13.316000000000001</v>
      </c>
      <c r="EY71" s="964">
        <f t="shared" ref="EY71:FE71" si="609">ROUND((+EY66/$F$66),3)</f>
        <v>13.568</v>
      </c>
      <c r="EZ71" s="964">
        <f t="shared" si="609"/>
        <v>13.612</v>
      </c>
      <c r="FA71" s="964">
        <f t="shared" si="609"/>
        <v>13.657</v>
      </c>
      <c r="FB71" s="964">
        <f t="shared" si="609"/>
        <v>13.811999999999999</v>
      </c>
      <c r="FC71" s="964">
        <f t="shared" si="609"/>
        <v>13.843</v>
      </c>
      <c r="FD71" s="964">
        <f t="shared" si="609"/>
        <v>14.128</v>
      </c>
      <c r="FE71" s="964">
        <f t="shared" si="609"/>
        <v>14.305</v>
      </c>
      <c r="FF71" s="964">
        <f t="shared" ref="FF71:FI71" si="610">ROUND((+FF66/$F$66),3)</f>
        <v>14.507999999999999</v>
      </c>
      <c r="FG71" s="964">
        <f t="shared" si="610"/>
        <v>14.63</v>
      </c>
      <c r="FH71" s="964" t="e">
        <f t="shared" si="610"/>
        <v>#REF!</v>
      </c>
      <c r="FI71" s="964" t="e">
        <f t="shared" si="610"/>
        <v>#REF!</v>
      </c>
      <c r="FJ71" s="964">
        <v>1</v>
      </c>
      <c r="FK71" s="964">
        <f>ROUND((+FK66/$FJ$66),3)</f>
        <v>0.86199999999999999</v>
      </c>
      <c r="FL71" s="964">
        <f>ROUND((+FL66/$FJ$66),3)</f>
        <v>0.86199999999999999</v>
      </c>
      <c r="FM71" s="964">
        <f t="shared" ref="FM71:HX71" si="611">ROUND((+FM66/$FJ$66),3)</f>
        <v>0.875</v>
      </c>
      <c r="FN71" s="964">
        <f t="shared" si="611"/>
        <v>0.875</v>
      </c>
      <c r="FO71" s="964">
        <f t="shared" si="611"/>
        <v>0.875</v>
      </c>
      <c r="FP71" s="964">
        <f t="shared" si="611"/>
        <v>0.875</v>
      </c>
      <c r="FQ71" s="964">
        <f t="shared" si="611"/>
        <v>0.875</v>
      </c>
      <c r="FR71" s="964">
        <f t="shared" si="611"/>
        <v>0.875</v>
      </c>
      <c r="FS71" s="964">
        <f t="shared" si="611"/>
        <v>0.875</v>
      </c>
      <c r="FT71" s="964">
        <f t="shared" si="611"/>
        <v>0.875</v>
      </c>
      <c r="FU71" s="964">
        <f t="shared" si="611"/>
        <v>0.879</v>
      </c>
      <c r="FV71" s="964">
        <f t="shared" si="611"/>
        <v>0.879</v>
      </c>
      <c r="FW71" s="964">
        <f t="shared" si="611"/>
        <v>0.90200000000000002</v>
      </c>
      <c r="FX71" s="964">
        <f t="shared" si="611"/>
        <v>0.90200000000000002</v>
      </c>
      <c r="FY71" s="964">
        <f t="shared" si="611"/>
        <v>0.90200000000000002</v>
      </c>
      <c r="FZ71" s="964">
        <f t="shared" si="611"/>
        <v>0.91100000000000003</v>
      </c>
      <c r="GA71" s="964">
        <f t="shared" si="611"/>
        <v>0.93400000000000005</v>
      </c>
      <c r="GB71" s="964">
        <f t="shared" si="611"/>
        <v>0.95</v>
      </c>
      <c r="GC71" s="964">
        <f t="shared" si="611"/>
        <v>0.95</v>
      </c>
      <c r="GD71" s="964">
        <f t="shared" si="611"/>
        <v>0.95</v>
      </c>
      <c r="GE71" s="964">
        <f t="shared" si="611"/>
        <v>1.022</v>
      </c>
      <c r="GF71" s="964">
        <f t="shared" si="611"/>
        <v>1.022</v>
      </c>
      <c r="GG71" s="964">
        <f t="shared" si="611"/>
        <v>1.036</v>
      </c>
      <c r="GH71" s="964">
        <f t="shared" si="611"/>
        <v>1.0580000000000001</v>
      </c>
      <c r="GI71" s="964">
        <f t="shared" si="611"/>
        <v>1.069</v>
      </c>
      <c r="GJ71" s="964">
        <f t="shared" si="611"/>
        <v>1.069</v>
      </c>
      <c r="GK71" s="964">
        <f t="shared" si="611"/>
        <v>1.069</v>
      </c>
      <c r="GL71" s="964">
        <f t="shared" si="611"/>
        <v>1.4470000000000001</v>
      </c>
      <c r="GM71" s="964">
        <f t="shared" si="611"/>
        <v>1.8240000000000001</v>
      </c>
      <c r="GN71" s="964">
        <f t="shared" si="611"/>
        <v>2.6440000000000001</v>
      </c>
      <c r="GO71" s="964">
        <f t="shared" si="611"/>
        <v>2.3889999999999998</v>
      </c>
      <c r="GP71" s="964">
        <f t="shared" si="611"/>
        <v>2.3889999999999998</v>
      </c>
      <c r="GQ71" s="964">
        <f t="shared" si="611"/>
        <v>2.4860000000000002</v>
      </c>
      <c r="GR71" s="964">
        <f t="shared" si="611"/>
        <v>2.548</v>
      </c>
      <c r="GS71" s="964">
        <f t="shared" si="611"/>
        <v>2.6320000000000001</v>
      </c>
      <c r="GT71" s="964">
        <f t="shared" si="611"/>
        <v>2.6480000000000001</v>
      </c>
      <c r="GU71" s="964">
        <f t="shared" si="611"/>
        <v>2.7330000000000001</v>
      </c>
      <c r="GV71" s="964">
        <f t="shared" si="611"/>
        <v>2.8450000000000002</v>
      </c>
      <c r="GW71" s="964">
        <f t="shared" si="611"/>
        <v>2.9849999999999999</v>
      </c>
      <c r="GX71" s="964">
        <f t="shared" si="611"/>
        <v>3.0270000000000001</v>
      </c>
      <c r="GY71" s="964">
        <f t="shared" si="611"/>
        <v>3.0110000000000001</v>
      </c>
      <c r="GZ71" s="964">
        <f t="shared" si="611"/>
        <v>2.9830000000000001</v>
      </c>
      <c r="HA71" s="964">
        <f t="shared" si="611"/>
        <v>3.9430000000000001</v>
      </c>
      <c r="HB71" s="964">
        <f t="shared" si="611"/>
        <v>4.0259999999999998</v>
      </c>
      <c r="HC71" s="964">
        <f t="shared" si="611"/>
        <v>4.056</v>
      </c>
      <c r="HD71" s="964">
        <f t="shared" si="611"/>
        <v>4.056</v>
      </c>
      <c r="HE71" s="964">
        <f t="shared" si="611"/>
        <v>4.056</v>
      </c>
      <c r="HF71" s="964">
        <f t="shared" si="611"/>
        <v>4.1070000000000002</v>
      </c>
      <c r="HG71" s="964">
        <f t="shared" si="611"/>
        <v>4.1609999999999996</v>
      </c>
      <c r="HH71" s="964">
        <f t="shared" si="611"/>
        <v>4.2640000000000002</v>
      </c>
      <c r="HI71" s="964">
        <f t="shared" si="611"/>
        <v>4.4160000000000004</v>
      </c>
      <c r="HJ71" s="964">
        <f t="shared" si="611"/>
        <v>4.4640000000000004</v>
      </c>
      <c r="HK71" s="964">
        <f t="shared" si="611"/>
        <v>4.72</v>
      </c>
      <c r="HL71" s="964">
        <f t="shared" si="611"/>
        <v>4.8979999999999997</v>
      </c>
      <c r="HM71" s="964">
        <f t="shared" si="611"/>
        <v>5.09</v>
      </c>
      <c r="HN71" s="964">
        <f t="shared" si="611"/>
        <v>5.3529999999999998</v>
      </c>
      <c r="HO71" s="964">
        <f t="shared" si="611"/>
        <v>5.66</v>
      </c>
      <c r="HP71" s="964">
        <f t="shared" si="611"/>
        <v>6.0339999999999998</v>
      </c>
      <c r="HQ71" s="964">
        <f t="shared" si="611"/>
        <v>6.5990000000000002</v>
      </c>
      <c r="HR71" s="964">
        <f t="shared" si="611"/>
        <v>7.101</v>
      </c>
      <c r="HS71" s="964">
        <f t="shared" si="611"/>
        <v>7.577</v>
      </c>
      <c r="HT71" s="964">
        <f t="shared" si="611"/>
        <v>8.1310000000000002</v>
      </c>
      <c r="HU71" s="964">
        <f t="shared" si="611"/>
        <v>8.4540000000000006</v>
      </c>
      <c r="HV71" s="964">
        <f t="shared" si="611"/>
        <v>8.9009999999999998</v>
      </c>
      <c r="HW71" s="964">
        <f t="shared" si="611"/>
        <v>9.407</v>
      </c>
      <c r="HX71" s="964">
        <f t="shared" si="611"/>
        <v>9.8789999999999996</v>
      </c>
      <c r="HY71" s="964">
        <f t="shared" ref="HY71:IO71" si="612">ROUND((+HY66/$FJ$66),3)</f>
        <v>10.353999999999999</v>
      </c>
      <c r="HZ71" s="964">
        <f t="shared" si="612"/>
        <v>10.731</v>
      </c>
      <c r="IA71" s="964">
        <f t="shared" si="612"/>
        <v>11.188000000000001</v>
      </c>
      <c r="IB71" s="964">
        <f t="shared" si="612"/>
        <v>11.566000000000001</v>
      </c>
      <c r="IC71" s="964">
        <f t="shared" si="612"/>
        <v>12.12</v>
      </c>
      <c r="ID71" s="964">
        <f t="shared" si="612"/>
        <v>12.664</v>
      </c>
      <c r="IE71" s="964">
        <f t="shared" si="612"/>
        <v>13.433999999999999</v>
      </c>
      <c r="IF71" s="964">
        <f t="shared" si="612"/>
        <v>14.117000000000001</v>
      </c>
      <c r="IG71" s="964">
        <f t="shared" si="612"/>
        <v>14.904999999999999</v>
      </c>
      <c r="IH71" s="964">
        <f t="shared" si="612"/>
        <v>15.755000000000001</v>
      </c>
      <c r="II71" s="964">
        <f t="shared" si="612"/>
        <v>16.73</v>
      </c>
      <c r="IJ71" s="964">
        <f t="shared" si="612"/>
        <v>17.937999999999999</v>
      </c>
      <c r="IK71" s="964">
        <f t="shared" si="612"/>
        <v>19.132999999999999</v>
      </c>
      <c r="IL71" s="964">
        <f t="shared" si="612"/>
        <v>20.824999999999999</v>
      </c>
      <c r="IM71" s="964">
        <f t="shared" si="612"/>
        <v>22.643000000000001</v>
      </c>
      <c r="IN71" s="964">
        <f t="shared" si="612"/>
        <v>24.204000000000001</v>
      </c>
      <c r="IO71" s="2473">
        <f t="shared" si="612"/>
        <v>25.853999999999999</v>
      </c>
      <c r="IP71" s="2480">
        <f t="shared" ref="IP71:IQ71" si="613">ROUND((+IP66/$FJ$66),3)</f>
        <v>27.175999999999998</v>
      </c>
      <c r="IQ71" s="2480">
        <f t="shared" si="613"/>
        <v>28.684999999999999</v>
      </c>
    </row>
    <row r="72" spans="3:251">
      <c r="C72" s="2624"/>
      <c r="D72" s="2626" t="s">
        <v>677</v>
      </c>
      <c r="E72" s="2627"/>
      <c r="F72" s="1805">
        <f>+F67/$F$22</f>
        <v>1</v>
      </c>
      <c r="G72" s="529">
        <f>+G67/$F$22</f>
        <v>1.1844660194174759</v>
      </c>
      <c r="H72" s="529">
        <f>+H67/$F$22</f>
        <v>1.1844660194174759</v>
      </c>
      <c r="I72" s="529">
        <f>+I67/$F$22</f>
        <v>1.1844660194174759</v>
      </c>
      <c r="J72" s="529">
        <f>+J67/$F$22</f>
        <v>1.2362459546925566</v>
      </c>
      <c r="K72" s="529">
        <f t="shared" ref="K72:AB72" si="614">ROUND((+K67/$F$22),3)</f>
        <v>1.236</v>
      </c>
      <c r="L72" s="529">
        <f t="shared" si="614"/>
        <v>1.2749999999999999</v>
      </c>
      <c r="M72" s="529">
        <f t="shared" si="614"/>
        <v>1.2749999999999999</v>
      </c>
      <c r="N72" s="529">
        <f t="shared" si="614"/>
        <v>1.3660000000000001</v>
      </c>
      <c r="O72" s="529">
        <f t="shared" si="614"/>
        <v>1.3660000000000001</v>
      </c>
      <c r="P72" s="529">
        <f t="shared" si="614"/>
        <v>1.427</v>
      </c>
      <c r="Q72" s="538">
        <f t="shared" si="614"/>
        <v>1.498</v>
      </c>
      <c r="R72" s="538">
        <f t="shared" si="614"/>
        <v>1.57</v>
      </c>
      <c r="S72" s="538">
        <f t="shared" si="614"/>
        <v>1.65</v>
      </c>
      <c r="T72" s="538">
        <f t="shared" si="614"/>
        <v>1.706</v>
      </c>
      <c r="U72" s="538">
        <f t="shared" si="614"/>
        <v>1.78</v>
      </c>
      <c r="V72" s="538">
        <f t="shared" si="614"/>
        <v>1.9419999999999999</v>
      </c>
      <c r="W72" s="538">
        <f t="shared" si="614"/>
        <v>2.0099999999999998</v>
      </c>
      <c r="X72" s="538">
        <f t="shared" si="614"/>
        <v>2.0099999999999998</v>
      </c>
      <c r="Y72" s="538">
        <f t="shared" si="614"/>
        <v>2.0099999999999998</v>
      </c>
      <c r="Z72" s="538">
        <f t="shared" si="614"/>
        <v>2.0099999999999998</v>
      </c>
      <c r="AA72" s="538">
        <f t="shared" si="614"/>
        <v>2.0099999999999998</v>
      </c>
      <c r="AB72" s="538">
        <f t="shared" si="614"/>
        <v>2.0099999999999998</v>
      </c>
      <c r="AC72" s="538">
        <f t="shared" ref="AC72:AH72" si="615">ROUND((+AC67/$F$22),3)</f>
        <v>2.0099999999999998</v>
      </c>
      <c r="AD72" s="538">
        <f t="shared" si="615"/>
        <v>2.0099999999999998</v>
      </c>
      <c r="AE72" s="538">
        <f t="shared" si="615"/>
        <v>2.0099999999999998</v>
      </c>
      <c r="AF72" s="538">
        <f t="shared" si="615"/>
        <v>2.0099999999999998</v>
      </c>
      <c r="AG72" s="538">
        <f t="shared" si="615"/>
        <v>2.0099999999999998</v>
      </c>
      <c r="AH72" s="538">
        <f t="shared" si="615"/>
        <v>2.194</v>
      </c>
      <c r="AI72" s="538">
        <f t="shared" ref="AI72:AN72" si="616">ROUND((+AI67/$F$22),3)</f>
        <v>2.194</v>
      </c>
      <c r="AJ72" s="538">
        <f t="shared" si="616"/>
        <v>3.0939999999999999</v>
      </c>
      <c r="AK72" s="538">
        <f t="shared" si="616"/>
        <v>3.2509999999999999</v>
      </c>
      <c r="AL72" s="538">
        <f t="shared" si="616"/>
        <v>3.2509999999999999</v>
      </c>
      <c r="AM72" s="538">
        <f t="shared" si="616"/>
        <v>3.2519999999999998</v>
      </c>
      <c r="AN72" s="538">
        <f t="shared" si="616"/>
        <v>3.2519999999999998</v>
      </c>
      <c r="AO72" s="538">
        <f t="shared" ref="AO72:AT72" si="617">ROUND((+AO67/$F$22),3)</f>
        <v>3.2519999999999998</v>
      </c>
      <c r="AP72" s="538">
        <f t="shared" si="617"/>
        <v>3.2519999999999998</v>
      </c>
      <c r="AQ72" s="538">
        <f t="shared" si="617"/>
        <v>3.2509999999999999</v>
      </c>
      <c r="AR72" s="538">
        <f t="shared" si="617"/>
        <v>3.9249999999999998</v>
      </c>
      <c r="AS72" s="538">
        <f t="shared" si="617"/>
        <v>3.9249999999999998</v>
      </c>
      <c r="AT72" s="538">
        <f t="shared" si="617"/>
        <v>4.1289999999999996</v>
      </c>
      <c r="AU72" s="538">
        <f t="shared" ref="AU72:AZ72" si="618">ROUND((+AU67/$F$22),3)</f>
        <v>4.1289999999999996</v>
      </c>
      <c r="AV72" s="538">
        <f t="shared" si="618"/>
        <v>4.1289999999999996</v>
      </c>
      <c r="AW72" s="538">
        <f t="shared" si="618"/>
        <v>4.3319999999999999</v>
      </c>
      <c r="AX72" s="538">
        <f t="shared" si="618"/>
        <v>4.6840000000000002</v>
      </c>
      <c r="AY72" s="538">
        <f t="shared" si="618"/>
        <v>4.6840000000000002</v>
      </c>
      <c r="AZ72" s="538">
        <f t="shared" si="618"/>
        <v>4.8470000000000004</v>
      </c>
      <c r="BA72" s="538">
        <f t="shared" ref="BA72:BF72" si="619">ROUND((+BA67/$F$22),3)</f>
        <v>4.8470000000000004</v>
      </c>
      <c r="BB72" s="538">
        <f t="shared" si="619"/>
        <v>3.79</v>
      </c>
      <c r="BC72" s="538">
        <f t="shared" si="619"/>
        <v>5.3079999999999998</v>
      </c>
      <c r="BD72" s="538">
        <f t="shared" si="619"/>
        <v>5.3079999999999998</v>
      </c>
      <c r="BE72" s="538">
        <f t="shared" si="619"/>
        <v>5.3079999999999998</v>
      </c>
      <c r="BF72" s="538">
        <f t="shared" si="619"/>
        <v>5.694</v>
      </c>
      <c r="BG72" s="538">
        <f t="shared" ref="BG72:BL72" si="620">ROUND((+BG67/$F$22),3)</f>
        <v>5.694</v>
      </c>
      <c r="BH72" s="538">
        <f t="shared" si="620"/>
        <v>5.694</v>
      </c>
      <c r="BI72" s="538">
        <f t="shared" si="620"/>
        <v>5.694</v>
      </c>
      <c r="BJ72" s="538">
        <f t="shared" si="620"/>
        <v>6.26</v>
      </c>
      <c r="BK72" s="538">
        <f t="shared" si="620"/>
        <v>6.26</v>
      </c>
      <c r="BL72" s="538">
        <f t="shared" si="620"/>
        <v>6.6340000000000003</v>
      </c>
      <c r="BM72" s="529">
        <f t="shared" ref="BM72:BR72" si="621">ROUND((+BM67/$F$22),3)</f>
        <v>6.6349999999999998</v>
      </c>
      <c r="BN72" s="529">
        <f t="shared" si="621"/>
        <v>6.6349999999999998</v>
      </c>
      <c r="BO72" s="529">
        <f t="shared" si="621"/>
        <v>6.6319999999999997</v>
      </c>
      <c r="BP72" s="529">
        <f t="shared" si="621"/>
        <v>6.6319999999999997</v>
      </c>
      <c r="BQ72" s="529">
        <f t="shared" si="621"/>
        <v>7.3680000000000003</v>
      </c>
      <c r="BR72" s="529">
        <f t="shared" si="621"/>
        <v>6.6319999999999997</v>
      </c>
      <c r="BS72" s="529">
        <f t="shared" ref="BS72:BX72" si="622">ROUND((+BS67/$F$22),3)</f>
        <v>6.6319999999999997</v>
      </c>
      <c r="BT72" s="529">
        <f t="shared" si="622"/>
        <v>6.6319999999999997</v>
      </c>
      <c r="BU72" s="529">
        <f t="shared" si="622"/>
        <v>7.2960000000000003</v>
      </c>
      <c r="BV72" s="529">
        <f t="shared" si="622"/>
        <v>7.4340000000000002</v>
      </c>
      <c r="BW72" s="529">
        <f t="shared" si="622"/>
        <v>7.2960000000000003</v>
      </c>
      <c r="BX72" s="529">
        <f t="shared" si="622"/>
        <v>7.7610000000000001</v>
      </c>
      <c r="BY72" s="529">
        <f t="shared" ref="BY72:CD72" si="623">ROUND((+BY67/$F$22),3)</f>
        <v>7.6239999999999997</v>
      </c>
      <c r="BZ72" s="529">
        <f t="shared" si="623"/>
        <v>7.8070000000000004</v>
      </c>
      <c r="CA72" s="529">
        <f t="shared" si="623"/>
        <v>7.9219999999999997</v>
      </c>
      <c r="CB72" s="529">
        <f t="shared" si="623"/>
        <v>7.9219999999999997</v>
      </c>
      <c r="CC72" s="529">
        <f t="shared" si="623"/>
        <v>7.9219999999999997</v>
      </c>
      <c r="CD72" s="529">
        <f t="shared" si="623"/>
        <v>7.9219999999999997</v>
      </c>
      <c r="CE72" s="529">
        <f t="shared" ref="CE72:CJ72" si="624">ROUND((+CE67/$F$22),3)</f>
        <v>7.9219999999999997</v>
      </c>
      <c r="CF72" s="529">
        <f t="shared" si="624"/>
        <v>7.9219999999999997</v>
      </c>
      <c r="CG72" s="529">
        <f t="shared" si="624"/>
        <v>7.9219999999999997</v>
      </c>
      <c r="CH72" s="529">
        <f t="shared" si="624"/>
        <v>8.2530000000000001</v>
      </c>
      <c r="CI72" s="529">
        <f t="shared" si="624"/>
        <v>8.6370000000000005</v>
      </c>
      <c r="CJ72" s="529">
        <f t="shared" si="624"/>
        <v>8.6370000000000005</v>
      </c>
      <c r="CK72" s="529">
        <f t="shared" ref="CK72:CP72" si="625">ROUND((+CK67/$F$22),3)</f>
        <v>8.6370000000000005</v>
      </c>
      <c r="CL72" s="529">
        <f t="shared" si="625"/>
        <v>8.6370000000000005</v>
      </c>
      <c r="CM72" s="529">
        <f t="shared" si="625"/>
        <v>9.1539999999999999</v>
      </c>
      <c r="CN72" s="529">
        <f t="shared" si="625"/>
        <v>9.1539999999999999</v>
      </c>
      <c r="CO72" s="529">
        <f t="shared" si="625"/>
        <v>9.1539999999999999</v>
      </c>
      <c r="CP72" s="529">
        <f t="shared" si="625"/>
        <v>9.1539999999999999</v>
      </c>
      <c r="CQ72" s="529">
        <f t="shared" ref="CQ72:CV72" si="626">ROUND((+CQ67/$F$22),3)</f>
        <v>9.1539999999999999</v>
      </c>
      <c r="CR72" s="529">
        <f t="shared" si="626"/>
        <v>9.6140000000000008</v>
      </c>
      <c r="CS72" s="529">
        <f t="shared" si="626"/>
        <v>9.6140000000000008</v>
      </c>
      <c r="CT72" s="529">
        <f t="shared" si="626"/>
        <v>10.343999999999999</v>
      </c>
      <c r="CU72" s="529">
        <f t="shared" si="626"/>
        <v>10.343999999999999</v>
      </c>
      <c r="CV72" s="529">
        <f t="shared" si="626"/>
        <v>10.343999999999999</v>
      </c>
      <c r="CW72" s="529">
        <f t="shared" ref="CW72:DB72" si="627">ROUND((+CW67/$F$22),3)</f>
        <v>10.874000000000001</v>
      </c>
      <c r="CX72" s="529">
        <f t="shared" si="627"/>
        <v>10.874000000000001</v>
      </c>
      <c r="CY72" s="529">
        <f t="shared" si="627"/>
        <v>10.874000000000001</v>
      </c>
      <c r="CZ72" s="965">
        <f t="shared" si="627"/>
        <v>10.874000000000001</v>
      </c>
      <c r="DA72" s="965">
        <f t="shared" si="627"/>
        <v>11.632</v>
      </c>
      <c r="DB72" s="965">
        <f t="shared" si="627"/>
        <v>11.632</v>
      </c>
      <c r="DC72" s="965">
        <f t="shared" ref="DC72:DH72" si="628">ROUND((+DC67/$F$22),3)</f>
        <v>11.632</v>
      </c>
      <c r="DD72" s="965">
        <f t="shared" si="628"/>
        <v>11.632</v>
      </c>
      <c r="DE72" s="965">
        <f t="shared" si="628"/>
        <v>13.032</v>
      </c>
      <c r="DF72" s="965">
        <f t="shared" si="628"/>
        <v>13.032</v>
      </c>
      <c r="DG72" s="965">
        <f t="shared" si="628"/>
        <v>13.032</v>
      </c>
      <c r="DH72" s="965">
        <f t="shared" si="628"/>
        <v>13.032</v>
      </c>
      <c r="DI72" s="965">
        <f>ROUND((+DI67/$F$22),3)</f>
        <v>13.811</v>
      </c>
      <c r="DJ72" s="965">
        <f>ROUND((+DJ67/$F$22),3)</f>
        <v>13.811</v>
      </c>
      <c r="DK72" s="965">
        <f>ROUND((+DK67/$F$22),3)</f>
        <v>13.811</v>
      </c>
      <c r="DL72" s="965">
        <f>ROUND((+DL67/$F$22),3)</f>
        <v>14.635</v>
      </c>
      <c r="DM72" s="965">
        <f>ROUND((+DM67/$F$22),3)</f>
        <v>14.635</v>
      </c>
      <c r="DN72" s="965">
        <f t="shared" ref="DN72:DS72" si="629">ROUND((+DN67/$F$67),3)</f>
        <v>14.635</v>
      </c>
      <c r="DO72" s="965">
        <f t="shared" si="629"/>
        <v>14.635</v>
      </c>
      <c r="DP72" s="965">
        <f t="shared" si="629"/>
        <v>14.635</v>
      </c>
      <c r="DQ72" s="965">
        <f t="shared" si="629"/>
        <v>14.635</v>
      </c>
      <c r="DR72" s="965">
        <f t="shared" si="629"/>
        <v>14.635</v>
      </c>
      <c r="DS72" s="965">
        <f t="shared" si="629"/>
        <v>18.818999999999999</v>
      </c>
      <c r="DT72" s="965">
        <f t="shared" ref="DT72:DY72" si="630">ROUND((+DT67/$F$67),3)</f>
        <v>18.818999999999999</v>
      </c>
      <c r="DU72" s="965">
        <f t="shared" si="630"/>
        <v>18.818999999999999</v>
      </c>
      <c r="DV72" s="965">
        <f t="shared" si="630"/>
        <v>18.818999999999999</v>
      </c>
      <c r="DW72" s="965">
        <f t="shared" si="630"/>
        <v>18.818999999999999</v>
      </c>
      <c r="DX72" s="965">
        <f t="shared" si="630"/>
        <v>18.818999999999999</v>
      </c>
      <c r="DY72" s="965">
        <f t="shared" si="630"/>
        <v>18.818999999999999</v>
      </c>
      <c r="DZ72" s="965">
        <f t="shared" ref="DZ72:EE72" si="631">ROUND((+DZ67/$F$67),3)</f>
        <v>18.818999999999999</v>
      </c>
      <c r="EA72" s="965">
        <f t="shared" si="631"/>
        <v>18.818999999999999</v>
      </c>
      <c r="EB72" s="965">
        <f t="shared" si="631"/>
        <v>18.818999999999999</v>
      </c>
      <c r="EC72" s="965">
        <f t="shared" si="631"/>
        <v>18.818999999999999</v>
      </c>
      <c r="ED72" s="965">
        <f t="shared" si="631"/>
        <v>18.818999999999999</v>
      </c>
      <c r="EE72" s="965">
        <f t="shared" si="631"/>
        <v>22.207999999999998</v>
      </c>
      <c r="EF72" s="965">
        <f t="shared" ref="EF72:EL72" si="632">ROUND((+EF67/$F$67),3)</f>
        <v>22.207999999999998</v>
      </c>
      <c r="EG72" s="965">
        <f t="shared" si="632"/>
        <v>22.207999999999998</v>
      </c>
      <c r="EH72" s="965">
        <f t="shared" si="632"/>
        <v>23.468</v>
      </c>
      <c r="EI72" s="965">
        <f t="shared" si="632"/>
        <v>23.468</v>
      </c>
      <c r="EJ72" s="965">
        <f t="shared" si="632"/>
        <v>23.541</v>
      </c>
      <c r="EK72" s="965">
        <f t="shared" si="632"/>
        <v>23.541</v>
      </c>
      <c r="EL72" s="965">
        <f t="shared" si="632"/>
        <v>23.541</v>
      </c>
      <c r="EM72" s="965">
        <f t="shared" ref="EM72:ER72" si="633">ROUND((+EM67/$F$67),3)</f>
        <v>23.541</v>
      </c>
      <c r="EN72" s="965">
        <f t="shared" si="633"/>
        <v>23.541</v>
      </c>
      <c r="EO72" s="965">
        <f t="shared" si="633"/>
        <v>27.702999999999999</v>
      </c>
      <c r="EP72" s="965">
        <f t="shared" si="633"/>
        <v>27.702999999999999</v>
      </c>
      <c r="EQ72" s="965">
        <f t="shared" si="633"/>
        <v>27.702999999999999</v>
      </c>
      <c r="ER72" s="965">
        <f t="shared" si="633"/>
        <v>30.472999999999999</v>
      </c>
      <c r="ES72" s="965">
        <f t="shared" ref="ES72:EX72" si="634">ROUND((+ES67/$F$67),3)</f>
        <v>30.472999999999999</v>
      </c>
      <c r="ET72" s="965">
        <f t="shared" si="634"/>
        <v>30.472999999999999</v>
      </c>
      <c r="EU72" s="965">
        <f t="shared" si="634"/>
        <v>30.472999999999999</v>
      </c>
      <c r="EV72" s="965">
        <f t="shared" si="634"/>
        <v>30.472999999999999</v>
      </c>
      <c r="EW72" s="965">
        <f t="shared" si="634"/>
        <v>30.472999999999999</v>
      </c>
      <c r="EX72" s="965">
        <f t="shared" si="634"/>
        <v>30.472999999999999</v>
      </c>
      <c r="EY72" s="965">
        <f t="shared" ref="EY72:FE72" si="635">ROUND((+EY67/$F$67),3)</f>
        <v>30.472999999999999</v>
      </c>
      <c r="EZ72" s="965">
        <f t="shared" si="635"/>
        <v>30.472999999999999</v>
      </c>
      <c r="FA72" s="965">
        <f t="shared" si="635"/>
        <v>35.771000000000001</v>
      </c>
      <c r="FB72" s="965">
        <f t="shared" si="635"/>
        <v>35.771000000000001</v>
      </c>
      <c r="FC72" s="965">
        <f t="shared" si="635"/>
        <v>35.771000000000001</v>
      </c>
      <c r="FD72" s="965">
        <f t="shared" si="635"/>
        <v>35.771000000000001</v>
      </c>
      <c r="FE72" s="965">
        <f t="shared" si="635"/>
        <v>38.825000000000003</v>
      </c>
      <c r="FF72" s="965">
        <f t="shared" ref="FF72:FI72" si="636">ROUND((+FF67/$F$67),3)</f>
        <v>38.825000000000003</v>
      </c>
      <c r="FG72" s="965">
        <f t="shared" si="636"/>
        <v>38.825000000000003</v>
      </c>
      <c r="FH72" s="965" t="e">
        <f t="shared" si="636"/>
        <v>#REF!</v>
      </c>
      <c r="FI72" s="965" t="e">
        <f t="shared" si="636"/>
        <v>#REF!</v>
      </c>
      <c r="FJ72" s="965">
        <v>1</v>
      </c>
      <c r="FK72" s="965">
        <f>ROUND((+FK67/$FJ$67),3)</f>
        <v>1</v>
      </c>
      <c r="FL72" s="965">
        <f>ROUND((+FL67/$FJ$67),3)</f>
        <v>1</v>
      </c>
      <c r="FM72" s="965">
        <f t="shared" ref="FM72:HX72" si="637">ROUND((+FM67/$FJ$67),3)</f>
        <v>1.22</v>
      </c>
      <c r="FN72" s="965">
        <f t="shared" si="637"/>
        <v>1.22</v>
      </c>
      <c r="FO72" s="965">
        <f t="shared" si="637"/>
        <v>1.22</v>
      </c>
      <c r="FP72" s="965">
        <f t="shared" si="637"/>
        <v>1.22</v>
      </c>
      <c r="FQ72" s="965">
        <f t="shared" si="637"/>
        <v>1.22</v>
      </c>
      <c r="FR72" s="965">
        <f t="shared" si="637"/>
        <v>1.22</v>
      </c>
      <c r="FS72" s="965">
        <f t="shared" si="637"/>
        <v>1.34</v>
      </c>
      <c r="FT72" s="965">
        <f t="shared" si="637"/>
        <v>1.34</v>
      </c>
      <c r="FU72" s="965">
        <f t="shared" si="637"/>
        <v>1.34</v>
      </c>
      <c r="FV72" s="965">
        <f t="shared" si="637"/>
        <v>1.39</v>
      </c>
      <c r="FW72" s="965">
        <f t="shared" si="637"/>
        <v>1.39</v>
      </c>
      <c r="FX72" s="965">
        <f t="shared" si="637"/>
        <v>1.39</v>
      </c>
      <c r="FY72" s="965">
        <f t="shared" si="637"/>
        <v>1.5429999999999999</v>
      </c>
      <c r="FZ72" s="965">
        <f t="shared" si="637"/>
        <v>1.5429999999999999</v>
      </c>
      <c r="GA72" s="965">
        <f t="shared" si="637"/>
        <v>1.5429999999999999</v>
      </c>
      <c r="GB72" s="965">
        <f t="shared" si="637"/>
        <v>1.6970000000000001</v>
      </c>
      <c r="GC72" s="965">
        <f t="shared" si="637"/>
        <v>1.6970000000000001</v>
      </c>
      <c r="GD72" s="965">
        <f t="shared" si="637"/>
        <v>1.6970000000000001</v>
      </c>
      <c r="GE72" s="965">
        <f t="shared" si="637"/>
        <v>1.6970000000000001</v>
      </c>
      <c r="GF72" s="965">
        <f t="shared" si="637"/>
        <v>1.6970000000000001</v>
      </c>
      <c r="GG72" s="965">
        <f t="shared" si="637"/>
        <v>1.6970000000000001</v>
      </c>
      <c r="GH72" s="965">
        <f t="shared" si="637"/>
        <v>1.6970000000000001</v>
      </c>
      <c r="GI72" s="965">
        <f t="shared" si="637"/>
        <v>1.7230000000000001</v>
      </c>
      <c r="GJ72" s="965">
        <f t="shared" si="637"/>
        <v>1.748</v>
      </c>
      <c r="GK72" s="965">
        <f t="shared" si="637"/>
        <v>1.923</v>
      </c>
      <c r="GL72" s="965">
        <f t="shared" si="637"/>
        <v>1.923</v>
      </c>
      <c r="GM72" s="965">
        <f t="shared" si="637"/>
        <v>1.923</v>
      </c>
      <c r="GN72" s="965">
        <f t="shared" si="637"/>
        <v>1.923</v>
      </c>
      <c r="GO72" s="965">
        <f t="shared" si="637"/>
        <v>2.0190000000000001</v>
      </c>
      <c r="GP72" s="965">
        <f t="shared" si="637"/>
        <v>2.1</v>
      </c>
      <c r="GQ72" s="965">
        <f t="shared" si="637"/>
        <v>2.1629999999999998</v>
      </c>
      <c r="GR72" s="965">
        <f t="shared" si="637"/>
        <v>2.226</v>
      </c>
      <c r="GS72" s="965">
        <f t="shared" si="637"/>
        <v>2.226</v>
      </c>
      <c r="GT72" s="965">
        <f t="shared" si="637"/>
        <v>2.2930000000000001</v>
      </c>
      <c r="GU72" s="965">
        <f t="shared" si="637"/>
        <v>2.2930000000000001</v>
      </c>
      <c r="GV72" s="965">
        <f t="shared" si="637"/>
        <v>2.4529999999999998</v>
      </c>
      <c r="GW72" s="965">
        <f t="shared" si="637"/>
        <v>2.698</v>
      </c>
      <c r="GX72" s="965">
        <f t="shared" si="637"/>
        <v>2.8330000000000002</v>
      </c>
      <c r="GY72" s="965">
        <f t="shared" si="637"/>
        <v>2.8330000000000002</v>
      </c>
      <c r="GZ72" s="965">
        <f t="shared" si="637"/>
        <v>2.9550000000000001</v>
      </c>
      <c r="HA72" s="965">
        <f t="shared" si="637"/>
        <v>3.0579999999999998</v>
      </c>
      <c r="HB72" s="965">
        <f t="shared" si="637"/>
        <v>3.0579999999999998</v>
      </c>
      <c r="HC72" s="965">
        <f t="shared" si="637"/>
        <v>3.2970000000000002</v>
      </c>
      <c r="HD72" s="965">
        <f t="shared" si="637"/>
        <v>3.4950000000000001</v>
      </c>
      <c r="HE72" s="965">
        <f t="shared" si="637"/>
        <v>3.4950000000000001</v>
      </c>
      <c r="HF72" s="965">
        <f t="shared" si="637"/>
        <v>3.7080000000000002</v>
      </c>
      <c r="HG72" s="965">
        <f t="shared" si="637"/>
        <v>3.8570000000000002</v>
      </c>
      <c r="HH72" s="965">
        <f t="shared" si="637"/>
        <v>3.8570000000000002</v>
      </c>
      <c r="HI72" s="965">
        <f t="shared" si="637"/>
        <v>3.8570000000000002</v>
      </c>
      <c r="HJ72" s="965">
        <f t="shared" si="637"/>
        <v>3.8570000000000002</v>
      </c>
      <c r="HK72" s="965">
        <f t="shared" si="637"/>
        <v>3.8570000000000002</v>
      </c>
      <c r="HL72" s="965">
        <f t="shared" si="637"/>
        <v>3.8570000000000002</v>
      </c>
      <c r="HM72" s="965">
        <f t="shared" si="637"/>
        <v>3.8570000000000002</v>
      </c>
      <c r="HN72" s="965">
        <f t="shared" si="637"/>
        <v>3.8570000000000002</v>
      </c>
      <c r="HO72" s="965">
        <f t="shared" si="637"/>
        <v>3.8570000000000002</v>
      </c>
      <c r="HP72" s="965">
        <f t="shared" si="637"/>
        <v>4.8209999999999997</v>
      </c>
      <c r="HQ72" s="965">
        <f t="shared" si="637"/>
        <v>4.8209999999999997</v>
      </c>
      <c r="HR72" s="965">
        <f t="shared" si="637"/>
        <v>4.8209999999999997</v>
      </c>
      <c r="HS72" s="965">
        <f t="shared" si="637"/>
        <v>5.1289999999999996</v>
      </c>
      <c r="HT72" s="965">
        <f t="shared" si="637"/>
        <v>5.1289999999999996</v>
      </c>
      <c r="HU72" s="965">
        <f t="shared" si="637"/>
        <v>5.7450000000000001</v>
      </c>
      <c r="HV72" s="965">
        <f t="shared" si="637"/>
        <v>5.7450000000000001</v>
      </c>
      <c r="HW72" s="965">
        <f t="shared" si="637"/>
        <v>5.7450000000000001</v>
      </c>
      <c r="HX72" s="965">
        <f t="shared" si="637"/>
        <v>6.258</v>
      </c>
      <c r="HY72" s="965">
        <f t="shared" ref="HY72:IO72" si="638">ROUND((+HY67/$FJ$67),3)</f>
        <v>6.258</v>
      </c>
      <c r="HZ72" s="965">
        <f t="shared" si="638"/>
        <v>6.5140000000000002</v>
      </c>
      <c r="IA72" s="965">
        <f t="shared" si="638"/>
        <v>6.8730000000000002</v>
      </c>
      <c r="IB72" s="965">
        <f t="shared" si="638"/>
        <v>6.8730000000000002</v>
      </c>
      <c r="IC72" s="965">
        <f t="shared" si="638"/>
        <v>6.8730000000000002</v>
      </c>
      <c r="ID72" s="965">
        <f t="shared" si="638"/>
        <v>7.13</v>
      </c>
      <c r="IE72" s="965">
        <f t="shared" si="638"/>
        <v>7.4790000000000001</v>
      </c>
      <c r="IF72" s="965">
        <f t="shared" si="638"/>
        <v>7.899</v>
      </c>
      <c r="IG72" s="965">
        <f t="shared" si="638"/>
        <v>7.899</v>
      </c>
      <c r="IH72" s="965">
        <f t="shared" si="638"/>
        <v>8.6920000000000002</v>
      </c>
      <c r="II72" s="965">
        <f t="shared" si="638"/>
        <v>9.48</v>
      </c>
      <c r="IJ72" s="965">
        <f t="shared" si="638"/>
        <v>9.48</v>
      </c>
      <c r="IK72" s="965">
        <f t="shared" si="638"/>
        <v>10.118</v>
      </c>
      <c r="IL72" s="965">
        <f t="shared" si="638"/>
        <v>11.132</v>
      </c>
      <c r="IM72" s="965">
        <f t="shared" si="638"/>
        <v>12.164</v>
      </c>
      <c r="IN72" s="965">
        <f t="shared" si="638"/>
        <v>13.122</v>
      </c>
      <c r="IO72" s="1882">
        <f t="shared" si="638"/>
        <v>13.122</v>
      </c>
      <c r="IP72" s="2481">
        <f t="shared" ref="IP72:IQ72" si="639">ROUND((+IP67/$FJ$67),3)</f>
        <v>13.516</v>
      </c>
      <c r="IQ72" s="2481">
        <f t="shared" si="639"/>
        <v>15.805999999999999</v>
      </c>
    </row>
    <row r="73" spans="3:251" ht="16.5" thickBot="1">
      <c r="C73" s="2625"/>
      <c r="D73" s="2642" t="s">
        <v>678</v>
      </c>
      <c r="E73" s="2643"/>
      <c r="F73" s="1830">
        <f>+F68/$F$23</f>
        <v>1</v>
      </c>
      <c r="G73" s="534">
        <f>+G68/$F$23</f>
        <v>3.0283676703645006</v>
      </c>
      <c r="H73" s="534">
        <f>+H68/$F$23</f>
        <v>3.0469096671949285</v>
      </c>
      <c r="I73" s="534">
        <f>+I68/$F$23</f>
        <v>3.0391442155309036</v>
      </c>
      <c r="J73" s="534">
        <f>+J68/$F$23</f>
        <v>3.2176703645007922</v>
      </c>
      <c r="K73" s="534">
        <f t="shared" ref="K73:AB73" si="640">ROUND((+K68/$F$23),3)</f>
        <v>3.2210000000000001</v>
      </c>
      <c r="L73" s="534">
        <f t="shared" si="640"/>
        <v>3.2240000000000002</v>
      </c>
      <c r="M73" s="534">
        <f t="shared" si="640"/>
        <v>3.2229999999999999</v>
      </c>
      <c r="N73" s="534">
        <f t="shared" si="640"/>
        <v>3.2229999999999999</v>
      </c>
      <c r="O73" s="534">
        <f t="shared" si="640"/>
        <v>3.1880000000000002</v>
      </c>
      <c r="P73" s="534">
        <f t="shared" si="640"/>
        <v>3.1659999999999999</v>
      </c>
      <c r="Q73" s="540">
        <f t="shared" si="640"/>
        <v>3.1659999999999999</v>
      </c>
      <c r="R73" s="540">
        <f t="shared" si="640"/>
        <v>3.1659999999999999</v>
      </c>
      <c r="S73" s="540">
        <f t="shared" si="640"/>
        <v>3.1659999999999999</v>
      </c>
      <c r="T73" s="540">
        <f t="shared" si="640"/>
        <v>3.1659999999999999</v>
      </c>
      <c r="U73" s="540">
        <f t="shared" si="640"/>
        <v>3.1659999999999999</v>
      </c>
      <c r="V73" s="540">
        <f t="shared" si="640"/>
        <v>3.169</v>
      </c>
      <c r="W73" s="540">
        <f t="shared" si="640"/>
        <v>3.169</v>
      </c>
      <c r="X73" s="540">
        <f t="shared" si="640"/>
        <v>3.173</v>
      </c>
      <c r="Y73" s="540">
        <f t="shared" si="640"/>
        <v>3.1749999999999998</v>
      </c>
      <c r="Z73" s="540">
        <f t="shared" si="640"/>
        <v>3.2109999999999999</v>
      </c>
      <c r="AA73" s="540">
        <f t="shared" si="640"/>
        <v>3.2290000000000001</v>
      </c>
      <c r="AB73" s="540">
        <f t="shared" si="640"/>
        <v>3.2429999999999999</v>
      </c>
      <c r="AC73" s="540">
        <f t="shared" ref="AC73:AH73" si="641">ROUND((+AC68/$F$23),3)</f>
        <v>3.3719999999999999</v>
      </c>
      <c r="AD73" s="540">
        <f t="shared" si="641"/>
        <v>3.4119999999999999</v>
      </c>
      <c r="AE73" s="540">
        <f t="shared" si="641"/>
        <v>3.4140000000000001</v>
      </c>
      <c r="AF73" s="540">
        <f t="shared" si="641"/>
        <v>3.415</v>
      </c>
      <c r="AG73" s="540">
        <f t="shared" si="641"/>
        <v>3.4159999999999999</v>
      </c>
      <c r="AH73" s="540">
        <f t="shared" si="641"/>
        <v>3.4159999999999999</v>
      </c>
      <c r="AI73" s="540">
        <f t="shared" ref="AI73:AN73" si="642">ROUND((+AI68/$F$23),3)</f>
        <v>3.4159999999999999</v>
      </c>
      <c r="AJ73" s="540">
        <f t="shared" si="642"/>
        <v>3.4460000000000002</v>
      </c>
      <c r="AK73" s="540">
        <f t="shared" si="642"/>
        <v>3.444</v>
      </c>
      <c r="AL73" s="540">
        <f t="shared" si="642"/>
        <v>3.4369999999999998</v>
      </c>
      <c r="AM73" s="540">
        <f t="shared" si="642"/>
        <v>3.4089999999999998</v>
      </c>
      <c r="AN73" s="540">
        <f t="shared" si="642"/>
        <v>3.4089999999999998</v>
      </c>
      <c r="AO73" s="540">
        <f t="shared" ref="AO73:AT73" si="643">ROUND((+AO68/$F$23),3)</f>
        <v>3.4079999999999999</v>
      </c>
      <c r="AP73" s="540">
        <f t="shared" si="643"/>
        <v>3.411</v>
      </c>
      <c r="AQ73" s="540">
        <f t="shared" si="643"/>
        <v>3.4159999999999999</v>
      </c>
      <c r="AR73" s="540">
        <f t="shared" si="643"/>
        <v>3.4159999999999999</v>
      </c>
      <c r="AS73" s="540">
        <f t="shared" si="643"/>
        <v>3.4159999999999999</v>
      </c>
      <c r="AT73" s="540">
        <f t="shared" si="643"/>
        <v>3.4159999999999999</v>
      </c>
      <c r="AU73" s="540">
        <f t="shared" ref="AU73:AZ73" si="644">ROUND((+AU68/$F$23),3)</f>
        <v>3.4159999999999999</v>
      </c>
      <c r="AV73" s="540">
        <f t="shared" si="644"/>
        <v>3.496</v>
      </c>
      <c r="AW73" s="540">
        <f t="shared" si="644"/>
        <v>3.4169999999999998</v>
      </c>
      <c r="AX73" s="540">
        <f t="shared" si="644"/>
        <v>3.4169999999999998</v>
      </c>
      <c r="AY73" s="540">
        <f t="shared" si="644"/>
        <v>3.4169999999999998</v>
      </c>
      <c r="AZ73" s="540">
        <f t="shared" si="644"/>
        <v>3.4169999999999998</v>
      </c>
      <c r="BA73" s="540">
        <f t="shared" ref="BA73:BF73" si="645">ROUND((+BA68/$F$23),3)</f>
        <v>3.4169999999999998</v>
      </c>
      <c r="BB73" s="540">
        <f t="shared" si="645"/>
        <v>3.4239999999999999</v>
      </c>
      <c r="BC73" s="540">
        <f t="shared" si="645"/>
        <v>3.4169999999999998</v>
      </c>
      <c r="BD73" s="540">
        <f t="shared" si="645"/>
        <v>3.4169999999999998</v>
      </c>
      <c r="BE73" s="540">
        <f t="shared" si="645"/>
        <v>3.4169999999999998</v>
      </c>
      <c r="BF73" s="540">
        <f t="shared" si="645"/>
        <v>3.4169999999999998</v>
      </c>
      <c r="BG73" s="540">
        <f t="shared" ref="BG73:BL73" si="646">ROUND((+BG68/$F$23),3)</f>
        <v>3.4169999999999998</v>
      </c>
      <c r="BH73" s="540">
        <f t="shared" si="646"/>
        <v>3.4169999999999998</v>
      </c>
      <c r="BI73" s="540">
        <f t="shared" si="646"/>
        <v>3.4169999999999998</v>
      </c>
      <c r="BJ73" s="540">
        <f t="shared" si="646"/>
        <v>3.4510000000000001</v>
      </c>
      <c r="BK73" s="540">
        <f t="shared" si="646"/>
        <v>3.47</v>
      </c>
      <c r="BL73" s="540">
        <f t="shared" si="646"/>
        <v>3.52</v>
      </c>
      <c r="BM73" s="534">
        <f t="shared" ref="BM73:BR73" si="647">ROUND((+BM68/$F$23),3)</f>
        <v>3.4940000000000002</v>
      </c>
      <c r="BN73" s="534">
        <f t="shared" si="647"/>
        <v>3.5129999999999999</v>
      </c>
      <c r="BO73" s="534">
        <f t="shared" si="647"/>
        <v>3.528</v>
      </c>
      <c r="BP73" s="534">
        <f t="shared" si="647"/>
        <v>3.552</v>
      </c>
      <c r="BQ73" s="534">
        <f t="shared" si="647"/>
        <v>3.6139999999999999</v>
      </c>
      <c r="BR73" s="534">
        <f t="shared" si="647"/>
        <v>3.5550000000000002</v>
      </c>
      <c r="BS73" s="534">
        <f t="shared" ref="BS73:BX73" si="648">ROUND((+BS68/$F$23),3)</f>
        <v>3.331</v>
      </c>
      <c r="BT73" s="534">
        <f t="shared" si="648"/>
        <v>3.3130000000000002</v>
      </c>
      <c r="BU73" s="534">
        <f t="shared" si="648"/>
        <v>3.3540000000000001</v>
      </c>
      <c r="BV73" s="534">
        <f t="shared" si="648"/>
        <v>3.4769999999999999</v>
      </c>
      <c r="BW73" s="534">
        <f t="shared" si="648"/>
        <v>3.556</v>
      </c>
      <c r="BX73" s="534">
        <f t="shared" si="648"/>
        <v>3.5990000000000002</v>
      </c>
      <c r="BY73" s="534">
        <f t="shared" ref="BY73:CD73" si="649">ROUND((+BY68/$F$23),3)</f>
        <v>3.5710000000000002</v>
      </c>
      <c r="BZ73" s="534">
        <f t="shared" si="649"/>
        <v>3.59</v>
      </c>
      <c r="CA73" s="534">
        <f t="shared" si="649"/>
        <v>3.6030000000000002</v>
      </c>
      <c r="CB73" s="534">
        <f t="shared" si="649"/>
        <v>3.6349999999999998</v>
      </c>
      <c r="CC73" s="534">
        <f t="shared" si="649"/>
        <v>3.6709999999999998</v>
      </c>
      <c r="CD73" s="534">
        <f t="shared" si="649"/>
        <v>3.7349999999999999</v>
      </c>
      <c r="CE73" s="534">
        <f t="shared" ref="CE73:CJ73" si="650">ROUND((+CE68/$F$23),3)</f>
        <v>3.82</v>
      </c>
      <c r="CF73" s="534">
        <f t="shared" si="650"/>
        <v>3.93</v>
      </c>
      <c r="CG73" s="534">
        <f t="shared" si="650"/>
        <v>4.1130000000000004</v>
      </c>
      <c r="CH73" s="534">
        <f t="shared" si="650"/>
        <v>4.2389999999999999</v>
      </c>
      <c r="CI73" s="534">
        <f t="shared" si="650"/>
        <v>4.4000000000000004</v>
      </c>
      <c r="CJ73" s="534">
        <f t="shared" si="650"/>
        <v>4.6130000000000004</v>
      </c>
      <c r="CK73" s="534">
        <f t="shared" ref="CK73:CP73" si="651">ROUND((+CK68/$F$23),3)</f>
        <v>4.6319999999999997</v>
      </c>
      <c r="CL73" s="534">
        <f t="shared" si="651"/>
        <v>4.6470000000000002</v>
      </c>
      <c r="CM73" s="534">
        <f t="shared" si="651"/>
        <v>4.79</v>
      </c>
      <c r="CN73" s="534">
        <f t="shared" si="651"/>
        <v>4.8079999999999998</v>
      </c>
      <c r="CO73" s="534">
        <f t="shared" si="651"/>
        <v>4.8289999999999997</v>
      </c>
      <c r="CP73" s="534">
        <f t="shared" si="651"/>
        <v>4.8319999999999999</v>
      </c>
      <c r="CQ73" s="534">
        <f t="shared" ref="CQ73:CV73" si="652">ROUND((+CQ68/$F$23),3)</f>
        <v>4.8390000000000004</v>
      </c>
      <c r="CR73" s="534">
        <f t="shared" si="652"/>
        <v>4.875</v>
      </c>
      <c r="CS73" s="534">
        <f t="shared" si="652"/>
        <v>5.0359999999999996</v>
      </c>
      <c r="CT73" s="534">
        <f t="shared" si="652"/>
        <v>5.194</v>
      </c>
      <c r="CU73" s="534">
        <f t="shared" si="652"/>
        <v>5.3840000000000003</v>
      </c>
      <c r="CV73" s="534">
        <f t="shared" si="652"/>
        <v>5.4950000000000001</v>
      </c>
      <c r="CW73" s="534">
        <f t="shared" ref="CW73:DB73" si="653">ROUND((+CW68/$F$23),3)</f>
        <v>5.6230000000000002</v>
      </c>
      <c r="CX73" s="534">
        <f t="shared" si="653"/>
        <v>5.7140000000000004</v>
      </c>
      <c r="CY73" s="534">
        <f t="shared" si="653"/>
        <v>5.7140000000000004</v>
      </c>
      <c r="CZ73" s="1831">
        <f t="shared" si="653"/>
        <v>5.7569999999999997</v>
      </c>
      <c r="DA73" s="1831">
        <f t="shared" si="653"/>
        <v>5.9080000000000004</v>
      </c>
      <c r="DB73" s="1831">
        <f t="shared" si="653"/>
        <v>6.1449999999999996</v>
      </c>
      <c r="DC73" s="1831">
        <f t="shared" ref="DC73:DH73" si="654">ROUND((+DC68/$F$23),3)</f>
        <v>6.16</v>
      </c>
      <c r="DD73" s="1831">
        <f t="shared" si="654"/>
        <v>6.2140000000000004</v>
      </c>
      <c r="DE73" s="1831">
        <f t="shared" si="654"/>
        <v>6.5190000000000001</v>
      </c>
      <c r="DF73" s="1831">
        <f t="shared" si="654"/>
        <v>6.6239999999999997</v>
      </c>
      <c r="DG73" s="1831">
        <f t="shared" si="654"/>
        <v>6.6769999999999996</v>
      </c>
      <c r="DH73" s="1831">
        <f t="shared" si="654"/>
        <v>6.8029999999999999</v>
      </c>
      <c r="DI73" s="1831">
        <f>ROUND((+DI68/$F$23),3)</f>
        <v>6.8849999999999998</v>
      </c>
      <c r="DJ73" s="1831">
        <f>ROUND((+DJ68/$F$23),3)</f>
        <v>6.96</v>
      </c>
      <c r="DK73" s="1831">
        <f>ROUND((+DK68/$F$23),3)</f>
        <v>7.0170000000000003</v>
      </c>
      <c r="DL73" s="1831">
        <f>ROUND((+DL68/$F$23),3)</f>
        <v>7.0170000000000003</v>
      </c>
      <c r="DM73" s="1831">
        <f>ROUND((+DM68/$F$23),3)</f>
        <v>7.0780000000000003</v>
      </c>
      <c r="DN73" s="1831">
        <f t="shared" ref="DN73:DS73" si="655">ROUND((+DN68/$F$68),3)</f>
        <v>7.3609999999999998</v>
      </c>
      <c r="DO73" s="1831">
        <f t="shared" si="655"/>
        <v>7.4</v>
      </c>
      <c r="DP73" s="1831">
        <f t="shared" si="655"/>
        <v>7.4980000000000002</v>
      </c>
      <c r="DQ73" s="1831">
        <f t="shared" si="655"/>
        <v>7.5369999999999999</v>
      </c>
      <c r="DR73" s="1831">
        <f t="shared" si="655"/>
        <v>7.7050000000000001</v>
      </c>
      <c r="DS73" s="1831">
        <f t="shared" si="655"/>
        <v>7.7069999999999999</v>
      </c>
      <c r="DT73" s="1831">
        <f t="shared" ref="DT73:DY73" si="656">ROUND((+DT68/$F$68),3)</f>
        <v>7.9130000000000003</v>
      </c>
      <c r="DU73" s="1831">
        <f t="shared" si="656"/>
        <v>7.9530000000000003</v>
      </c>
      <c r="DV73" s="1831">
        <f t="shared" si="656"/>
        <v>7.9589999999999996</v>
      </c>
      <c r="DW73" s="1831">
        <f t="shared" si="656"/>
        <v>7.96</v>
      </c>
      <c r="DX73" s="1831">
        <f t="shared" si="656"/>
        <v>8.0510000000000002</v>
      </c>
      <c r="DY73" s="1831">
        <f t="shared" si="656"/>
        <v>8.0570000000000004</v>
      </c>
      <c r="DZ73" s="1831">
        <f t="shared" ref="DZ73:EE73" si="657">ROUND((+DZ68/$F$68),3)</f>
        <v>8.1189999999999998</v>
      </c>
      <c r="EA73" s="1831">
        <f t="shared" si="657"/>
        <v>8.1839999999999993</v>
      </c>
      <c r="EB73" s="1831">
        <f t="shared" si="657"/>
        <v>8.3629999999999995</v>
      </c>
      <c r="EC73" s="1831">
        <f t="shared" si="657"/>
        <v>8.5380000000000003</v>
      </c>
      <c r="ED73" s="1831">
        <f t="shared" si="657"/>
        <v>8.6639999999999997</v>
      </c>
      <c r="EE73" s="1831">
        <f t="shared" si="657"/>
        <v>8.7889999999999997</v>
      </c>
      <c r="EF73" s="1831">
        <f t="shared" ref="EF73:EL73" si="658">ROUND((+EF68/$F$68),3)</f>
        <v>8.8670000000000009</v>
      </c>
      <c r="EG73" s="1831">
        <f t="shared" si="658"/>
        <v>8.9269999999999996</v>
      </c>
      <c r="EH73" s="1831">
        <f t="shared" si="658"/>
        <v>8.9580000000000002</v>
      </c>
      <c r="EI73" s="1831">
        <f t="shared" si="658"/>
        <v>8.9580000000000002</v>
      </c>
      <c r="EJ73" s="1831">
        <f t="shared" si="658"/>
        <v>8.9719999999999995</v>
      </c>
      <c r="EK73" s="1831">
        <f t="shared" si="658"/>
        <v>9.048</v>
      </c>
      <c r="EL73" s="1831">
        <f t="shared" si="658"/>
        <v>9.4139999999999997</v>
      </c>
      <c r="EM73" s="1831">
        <f t="shared" ref="EM73:ER73" si="659">ROUND((+EM68/$F$68),3)</f>
        <v>9.61</v>
      </c>
      <c r="EN73" s="1831">
        <f t="shared" si="659"/>
        <v>10.098000000000001</v>
      </c>
      <c r="EO73" s="1831">
        <f t="shared" si="659"/>
        <v>10.887</v>
      </c>
      <c r="EP73" s="1831">
        <f t="shared" si="659"/>
        <v>10.989000000000001</v>
      </c>
      <c r="EQ73" s="1831">
        <f t="shared" si="659"/>
        <v>11.066000000000001</v>
      </c>
      <c r="ER73" s="1831">
        <f t="shared" si="659"/>
        <v>11.641999999999999</v>
      </c>
      <c r="ES73" s="1831">
        <f t="shared" ref="ES73:EX73" si="660">ROUND((+ES68/$F$68),3)</f>
        <v>11.708</v>
      </c>
      <c r="ET73" s="1831">
        <f t="shared" si="660"/>
        <v>11.928000000000001</v>
      </c>
      <c r="EU73" s="1831">
        <f t="shared" si="660"/>
        <v>11.978999999999999</v>
      </c>
      <c r="EV73" s="1831">
        <f t="shared" si="660"/>
        <v>11.98</v>
      </c>
      <c r="EW73" s="1831">
        <f t="shared" si="660"/>
        <v>11.98</v>
      </c>
      <c r="EX73" s="1831">
        <f t="shared" si="660"/>
        <v>11.45</v>
      </c>
      <c r="EY73" s="1831">
        <f t="shared" ref="EY73:FE73" si="661">ROUND((+EY68/$F$68),3)</f>
        <v>11.587999999999999</v>
      </c>
      <c r="EZ73" s="1831">
        <f t="shared" si="661"/>
        <v>11.731</v>
      </c>
      <c r="FA73" s="1831">
        <f t="shared" si="661"/>
        <v>11.753</v>
      </c>
      <c r="FB73" s="1831">
        <f t="shared" si="661"/>
        <v>11.929</v>
      </c>
      <c r="FC73" s="1831">
        <f t="shared" si="661"/>
        <v>12.169</v>
      </c>
      <c r="FD73" s="1831">
        <f t="shared" si="661"/>
        <v>12.307</v>
      </c>
      <c r="FE73" s="1831">
        <f t="shared" si="661"/>
        <v>12.475</v>
      </c>
      <c r="FF73" s="1831">
        <f t="shared" ref="FF73:FI73" si="662">ROUND((+FF68/$F$68),3)</f>
        <v>12.5</v>
      </c>
      <c r="FG73" s="1831">
        <f t="shared" si="662"/>
        <v>12.5</v>
      </c>
      <c r="FH73" s="1831" t="e">
        <f t="shared" si="662"/>
        <v>#REF!</v>
      </c>
      <c r="FI73" s="1831" t="e">
        <f t="shared" si="662"/>
        <v>#REF!</v>
      </c>
      <c r="FJ73" s="1831">
        <v>1</v>
      </c>
      <c r="FK73" s="1831">
        <f>ROUND((+FK68/$FJ$68),3)</f>
        <v>1</v>
      </c>
      <c r="FL73" s="1831">
        <f>ROUND((+FL68/$FJ$68),3)</f>
        <v>1.0620000000000001</v>
      </c>
      <c r="FM73" s="1831">
        <f t="shared" ref="FM73:HX73" si="663">ROUND((+FM68/$FJ$68),3)</f>
        <v>1.127</v>
      </c>
      <c r="FN73" s="1831">
        <f t="shared" si="663"/>
        <v>1.2390000000000001</v>
      </c>
      <c r="FO73" s="1831">
        <f t="shared" si="663"/>
        <v>1.2390000000000001</v>
      </c>
      <c r="FP73" s="1831">
        <f t="shared" si="663"/>
        <v>1.2390000000000001</v>
      </c>
      <c r="FQ73" s="1831">
        <f t="shared" si="663"/>
        <v>1.2390000000000001</v>
      </c>
      <c r="FR73" s="1831">
        <f t="shared" si="663"/>
        <v>1.2390000000000001</v>
      </c>
      <c r="FS73" s="1831">
        <f t="shared" si="663"/>
        <v>1.2390000000000001</v>
      </c>
      <c r="FT73" s="1831">
        <f t="shared" si="663"/>
        <v>1.2390000000000001</v>
      </c>
      <c r="FU73" s="1831">
        <f t="shared" si="663"/>
        <v>1.2390000000000001</v>
      </c>
      <c r="FV73" s="1831">
        <f t="shared" si="663"/>
        <v>1.272</v>
      </c>
      <c r="FW73" s="1831">
        <f t="shared" si="663"/>
        <v>1.3380000000000001</v>
      </c>
      <c r="FX73" s="1831">
        <f t="shared" si="663"/>
        <v>1.3380000000000001</v>
      </c>
      <c r="FY73" s="1831">
        <f t="shared" si="663"/>
        <v>1.3380000000000001</v>
      </c>
      <c r="FZ73" s="1831">
        <f t="shared" si="663"/>
        <v>1.304</v>
      </c>
      <c r="GA73" s="1831">
        <f t="shared" si="663"/>
        <v>1.304</v>
      </c>
      <c r="GB73" s="1831">
        <f t="shared" si="663"/>
        <v>1.3819999999999999</v>
      </c>
      <c r="GC73" s="1831">
        <f t="shared" si="663"/>
        <v>1.3819999999999999</v>
      </c>
      <c r="GD73" s="1831">
        <f t="shared" si="663"/>
        <v>1.3819999999999999</v>
      </c>
      <c r="GE73" s="1831">
        <f t="shared" si="663"/>
        <v>1.425</v>
      </c>
      <c r="GF73" s="1831">
        <f t="shared" si="663"/>
        <v>1.512</v>
      </c>
      <c r="GG73" s="1831">
        <f t="shared" si="663"/>
        <v>1.603</v>
      </c>
      <c r="GH73" s="1831">
        <f t="shared" si="663"/>
        <v>1.603</v>
      </c>
      <c r="GI73" s="1831">
        <f t="shared" si="663"/>
        <v>1.794</v>
      </c>
      <c r="GJ73" s="1831">
        <f t="shared" si="663"/>
        <v>1.794</v>
      </c>
      <c r="GK73" s="1831">
        <f t="shared" si="663"/>
        <v>1.839</v>
      </c>
      <c r="GL73" s="1831">
        <f t="shared" si="663"/>
        <v>1.839</v>
      </c>
      <c r="GM73" s="1831">
        <f t="shared" si="663"/>
        <v>1.819</v>
      </c>
      <c r="GN73" s="1831">
        <f t="shared" si="663"/>
        <v>2.0049999999999999</v>
      </c>
      <c r="GO73" s="1831">
        <f t="shared" si="663"/>
        <v>2.133</v>
      </c>
      <c r="GP73" s="1831">
        <f t="shared" si="663"/>
        <v>2.403</v>
      </c>
      <c r="GQ73" s="1831">
        <f t="shared" si="663"/>
        <v>2.6179999999999999</v>
      </c>
      <c r="GR73" s="1831">
        <f t="shared" si="663"/>
        <v>2.7040000000000002</v>
      </c>
      <c r="GS73" s="1831">
        <f t="shared" si="663"/>
        <v>2.7850000000000001</v>
      </c>
      <c r="GT73" s="1831">
        <f t="shared" si="663"/>
        <v>2.68</v>
      </c>
      <c r="GU73" s="1831">
        <f t="shared" si="663"/>
        <v>2.9119999999999999</v>
      </c>
      <c r="GV73" s="1831">
        <f t="shared" si="663"/>
        <v>2.9</v>
      </c>
      <c r="GW73" s="1831">
        <f t="shared" si="663"/>
        <v>3.0409999999999999</v>
      </c>
      <c r="GX73" s="1831">
        <f t="shared" si="663"/>
        <v>3.1779999999999999</v>
      </c>
      <c r="GY73" s="1831">
        <f t="shared" si="663"/>
        <v>3.2229999999999999</v>
      </c>
      <c r="GZ73" s="1831">
        <f t="shared" si="663"/>
        <v>3.2810000000000001</v>
      </c>
      <c r="HA73" s="1831">
        <f t="shared" si="663"/>
        <v>3.28</v>
      </c>
      <c r="HB73" s="1831">
        <f t="shared" si="663"/>
        <v>3.4159999999999999</v>
      </c>
      <c r="HC73" s="1831">
        <f t="shared" si="663"/>
        <v>3.4140000000000001</v>
      </c>
      <c r="HD73" s="1831">
        <f t="shared" si="663"/>
        <v>3.778</v>
      </c>
      <c r="HE73" s="1831">
        <f t="shared" si="663"/>
        <v>4.0270000000000001</v>
      </c>
      <c r="HF73" s="1831">
        <f t="shared" si="663"/>
        <v>4.0270000000000001</v>
      </c>
      <c r="HG73" s="1831">
        <f t="shared" si="663"/>
        <v>4.0270000000000001</v>
      </c>
      <c r="HH73" s="1831">
        <f t="shared" si="663"/>
        <v>4.024</v>
      </c>
      <c r="HI73" s="1831">
        <f t="shared" si="663"/>
        <v>4.024</v>
      </c>
      <c r="HJ73" s="1831">
        <f t="shared" si="663"/>
        <v>4.0270000000000001</v>
      </c>
      <c r="HK73" s="1831">
        <f t="shared" si="663"/>
        <v>4.0220000000000002</v>
      </c>
      <c r="HL73" s="1831">
        <f t="shared" si="663"/>
        <v>4.0220000000000002</v>
      </c>
      <c r="HM73" s="1831">
        <f t="shared" si="663"/>
        <v>4.1379999999999999</v>
      </c>
      <c r="HN73" s="1831">
        <f t="shared" si="663"/>
        <v>4.32</v>
      </c>
      <c r="HO73" s="1831">
        <f t="shared" si="663"/>
        <v>4.4820000000000002</v>
      </c>
      <c r="HP73" s="1831">
        <f t="shared" si="663"/>
        <v>4.5350000000000001</v>
      </c>
      <c r="HQ73" s="1831">
        <f t="shared" si="663"/>
        <v>4.8490000000000002</v>
      </c>
      <c r="HR73" s="1831">
        <f t="shared" si="663"/>
        <v>5.0220000000000002</v>
      </c>
      <c r="HS73" s="1831">
        <f t="shared" si="663"/>
        <v>5.52</v>
      </c>
      <c r="HT73" s="1831">
        <f t="shared" si="663"/>
        <v>6.2309999999999999</v>
      </c>
      <c r="HU73" s="1831">
        <f t="shared" si="663"/>
        <v>6.6210000000000004</v>
      </c>
      <c r="HV73" s="1831">
        <f t="shared" si="663"/>
        <v>7.2039999999999997</v>
      </c>
      <c r="HW73" s="1831">
        <f t="shared" si="663"/>
        <v>7.2089999999999996</v>
      </c>
      <c r="HX73" s="1831">
        <f t="shared" si="663"/>
        <v>7.2089999999999996</v>
      </c>
      <c r="HY73" s="1831">
        <f t="shared" ref="HY73:IO73" si="664">ROUND((+HY68/$FJ$68),3)</f>
        <v>7.3659999999999997</v>
      </c>
      <c r="HZ73" s="1831">
        <f t="shared" si="664"/>
        <v>7.2140000000000004</v>
      </c>
      <c r="IA73" s="1831">
        <f t="shared" si="664"/>
        <v>7.2149999999999999</v>
      </c>
      <c r="IB73" s="1831">
        <f t="shared" si="664"/>
        <v>7.2149999999999999</v>
      </c>
      <c r="IC73" s="1831">
        <f t="shared" si="664"/>
        <v>7.202</v>
      </c>
      <c r="ID73" s="1831">
        <f t="shared" si="664"/>
        <v>7.2249999999999996</v>
      </c>
      <c r="IE73" s="1831">
        <f t="shared" si="664"/>
        <v>7.8780000000000001</v>
      </c>
      <c r="IF73" s="1831">
        <f t="shared" si="664"/>
        <v>8.7650000000000006</v>
      </c>
      <c r="IG73" s="1831">
        <f t="shared" si="664"/>
        <v>9.0399999999999991</v>
      </c>
      <c r="IH73" s="1831">
        <f t="shared" si="664"/>
        <v>10.157</v>
      </c>
      <c r="II73" s="1831">
        <f t="shared" si="664"/>
        <v>11.522</v>
      </c>
      <c r="IJ73" s="1831">
        <f t="shared" si="664"/>
        <v>11.907</v>
      </c>
      <c r="IK73" s="1831">
        <f t="shared" si="664"/>
        <v>12.29</v>
      </c>
      <c r="IL73" s="1831">
        <f t="shared" si="664"/>
        <v>12.29</v>
      </c>
      <c r="IM73" s="1831">
        <f t="shared" si="664"/>
        <v>13.175000000000001</v>
      </c>
      <c r="IN73" s="1831">
        <f t="shared" si="664"/>
        <v>15.792</v>
      </c>
      <c r="IO73" s="2474">
        <f t="shared" si="664"/>
        <v>17.451000000000001</v>
      </c>
      <c r="IP73" s="2482">
        <f t="shared" ref="IP73:IQ73" si="665">ROUND((+IP68/$FJ$68),3)</f>
        <v>17.753</v>
      </c>
      <c r="IQ73" s="2482">
        <f t="shared" si="665"/>
        <v>19.341000000000001</v>
      </c>
    </row>
    <row r="74" spans="3:251" ht="34.5" customHeight="1" thickBot="1">
      <c r="C74" s="2650" t="s">
        <v>1117</v>
      </c>
      <c r="D74" s="2651"/>
      <c r="E74" s="2652"/>
      <c r="F74" s="1837">
        <f>+($F$59*F70+F71*$F$60+F72*$F$61+F73*$F$62)*100</f>
        <v>99.999999999999986</v>
      </c>
      <c r="G74" s="1838">
        <f>+($F$59*G70+G71*$F$60+G72*$F$61+G73*$F$62)*100</f>
        <v>287.57535718044227</v>
      </c>
      <c r="H74" s="1838">
        <f>+($F$59*H70+H71*$F$60+H72*$F$61+H73*$F$62)*100</f>
        <v>276.87501132936205</v>
      </c>
      <c r="I74" s="1838">
        <f>+($F$59*I70+I71*$F$60+I72*$F$61+I73*$F$62)*100</f>
        <v>275.06840960501353</v>
      </c>
      <c r="J74" s="1839">
        <f t="shared" ref="J74:AB74" si="666">ROUND((+($F$59*J70+J71*$F$60+J72*$F$61+J73*$F$62)*100),2)</f>
        <v>275.49</v>
      </c>
      <c r="K74" s="1839">
        <f t="shared" si="666"/>
        <v>274.63</v>
      </c>
      <c r="L74" s="1839">
        <f t="shared" si="666"/>
        <v>268.68</v>
      </c>
      <c r="M74" s="1839">
        <f t="shared" si="666"/>
        <v>263.27999999999997</v>
      </c>
      <c r="N74" s="1839">
        <f t="shared" si="666"/>
        <v>260.02999999999997</v>
      </c>
      <c r="O74" s="1839">
        <f t="shared" si="666"/>
        <v>258.91000000000003</v>
      </c>
      <c r="P74" s="1839">
        <f t="shared" si="666"/>
        <v>256.87</v>
      </c>
      <c r="Q74" s="1839">
        <f t="shared" si="666"/>
        <v>260.45999999999998</v>
      </c>
      <c r="R74" s="1839">
        <f t="shared" si="666"/>
        <v>261.08999999999997</v>
      </c>
      <c r="S74" s="1840">
        <f t="shared" si="666"/>
        <v>260</v>
      </c>
      <c r="T74" s="1839">
        <f t="shared" si="666"/>
        <v>261.02</v>
      </c>
      <c r="U74" s="1839">
        <f t="shared" si="666"/>
        <v>264.16000000000003</v>
      </c>
      <c r="V74" s="1839">
        <f t="shared" si="666"/>
        <v>265.13</v>
      </c>
      <c r="W74" s="1839">
        <f t="shared" si="666"/>
        <v>266.5</v>
      </c>
      <c r="X74" s="1839">
        <f t="shared" si="666"/>
        <v>266.17</v>
      </c>
      <c r="Y74" s="1839">
        <f t="shared" si="666"/>
        <v>265.67</v>
      </c>
      <c r="Z74" s="1839">
        <f t="shared" si="666"/>
        <v>268.89999999999998</v>
      </c>
      <c r="AA74" s="1839">
        <f t="shared" si="666"/>
        <v>271.39999999999998</v>
      </c>
      <c r="AB74" s="1839">
        <f t="shared" si="666"/>
        <v>271.89</v>
      </c>
      <c r="AC74" s="1839">
        <f t="shared" ref="AC74:AH74" si="667">ROUND((+($F$59*AC70+AC71*$F$60+AC72*$F$61+AC73*$F$62)*100),2)</f>
        <v>276.85000000000002</v>
      </c>
      <c r="AD74" s="1839">
        <f t="shared" si="667"/>
        <v>275.92</v>
      </c>
      <c r="AE74" s="1839">
        <f t="shared" si="667"/>
        <v>275.66000000000003</v>
      </c>
      <c r="AF74" s="1839">
        <f t="shared" si="667"/>
        <v>275.74</v>
      </c>
      <c r="AG74" s="1839">
        <f t="shared" si="667"/>
        <v>276.77999999999997</v>
      </c>
      <c r="AH74" s="1839">
        <f t="shared" si="667"/>
        <v>277.73</v>
      </c>
      <c r="AI74" s="1839">
        <f t="shared" ref="AI74:AN74" si="668">ROUND((+($F$59*AI70+AI71*$F$60+AI72*$F$61+AI73*$F$62)*100),2)</f>
        <v>276.69</v>
      </c>
      <c r="AJ74" s="1839">
        <f t="shared" si="668"/>
        <v>285.75</v>
      </c>
      <c r="AK74" s="1839">
        <f t="shared" si="668"/>
        <v>286.99</v>
      </c>
      <c r="AL74" s="1839">
        <f t="shared" si="668"/>
        <v>286.69</v>
      </c>
      <c r="AM74" s="1839">
        <f t="shared" si="668"/>
        <v>284.73</v>
      </c>
      <c r="AN74" s="1839">
        <f t="shared" si="668"/>
        <v>283.41000000000003</v>
      </c>
      <c r="AO74" s="1839">
        <f t="shared" ref="AO74:AT74" si="669">ROUND((+($F$59*AO70+AO71*$F$60+AO72*$F$61+AO73*$F$62)*100),2)</f>
        <v>283.87</v>
      </c>
      <c r="AP74" s="1839">
        <f t="shared" si="669"/>
        <v>284.45</v>
      </c>
      <c r="AQ74" s="1839">
        <f t="shared" si="669"/>
        <v>285.77</v>
      </c>
      <c r="AR74" s="1839">
        <f t="shared" si="669"/>
        <v>292.45999999999998</v>
      </c>
      <c r="AS74" s="1839">
        <f t="shared" si="669"/>
        <v>294.37</v>
      </c>
      <c r="AT74" s="1839">
        <f t="shared" si="669"/>
        <v>297.16000000000003</v>
      </c>
      <c r="AU74" s="1839">
        <f t="shared" ref="AU74:AZ74" si="670">ROUND((+($F$59*AU70+AU71*$F$60+AU72*$F$61+AU73*$F$62)*100),2)</f>
        <v>297.88</v>
      </c>
      <c r="AV74" s="1839">
        <f t="shared" si="670"/>
        <v>301.3</v>
      </c>
      <c r="AW74" s="1839">
        <f t="shared" si="670"/>
        <v>297.47000000000003</v>
      </c>
      <c r="AX74" s="1839">
        <f t="shared" si="670"/>
        <v>301.13</v>
      </c>
      <c r="AY74" s="1839">
        <f t="shared" si="670"/>
        <v>301.64</v>
      </c>
      <c r="AZ74" s="1839">
        <f t="shared" si="670"/>
        <v>303.61</v>
      </c>
      <c r="BA74" s="1839">
        <f t="shared" ref="BA74:BF74" si="671">ROUND((+($F$59*BA70+BA71*$F$60+BA72*$F$61+BA73*$F$62)*100),2)</f>
        <v>305.39</v>
      </c>
      <c r="BB74" s="1839">
        <f t="shared" si="671"/>
        <v>297.95</v>
      </c>
      <c r="BC74" s="1839">
        <f t="shared" si="671"/>
        <v>308.5</v>
      </c>
      <c r="BD74" s="1839">
        <f t="shared" si="671"/>
        <v>306.64999999999998</v>
      </c>
      <c r="BE74" s="1839">
        <f t="shared" si="671"/>
        <v>307.02</v>
      </c>
      <c r="BF74" s="1839">
        <f t="shared" si="671"/>
        <v>311.25</v>
      </c>
      <c r="BG74" s="1839">
        <f t="shared" ref="BG74:BL74" si="672">ROUND((+($F$59*BG70+BG71*$F$60+BG72*$F$61+BG73*$F$62)*100),2)</f>
        <v>312.58999999999997</v>
      </c>
      <c r="BH74" s="1839">
        <f t="shared" si="672"/>
        <v>311.89999999999998</v>
      </c>
      <c r="BI74" s="1839">
        <f t="shared" si="672"/>
        <v>312.18</v>
      </c>
      <c r="BJ74" s="1839">
        <f t="shared" si="672"/>
        <v>319.77</v>
      </c>
      <c r="BK74" s="1839">
        <f t="shared" si="672"/>
        <v>320.72000000000003</v>
      </c>
      <c r="BL74" s="1839">
        <f t="shared" si="672"/>
        <v>326.45999999999998</v>
      </c>
      <c r="BM74" s="1840">
        <f t="shared" ref="BM74:BR74" si="673">ROUND((+($F$59*BM70+BM71*$F$60+BM72*$F$61+BM73*$F$62)*100),2)</f>
        <v>327.22000000000003</v>
      </c>
      <c r="BN74" s="1840">
        <f t="shared" si="673"/>
        <v>328.69</v>
      </c>
      <c r="BO74" s="1840">
        <f t="shared" si="673"/>
        <v>330.34</v>
      </c>
      <c r="BP74" s="1840">
        <f t="shared" si="673"/>
        <v>331.82</v>
      </c>
      <c r="BQ74" s="1840">
        <f t="shared" si="673"/>
        <v>341.91</v>
      </c>
      <c r="BR74" s="1840">
        <f t="shared" si="673"/>
        <v>333.8</v>
      </c>
      <c r="BS74" s="1840">
        <f t="shared" ref="BS74:BX74" si="674">ROUND((+($F$59*BS70+BS71*$F$60+BS72*$F$61+BS73*$F$62)*100),2)</f>
        <v>329.11</v>
      </c>
      <c r="BT74" s="1840">
        <f t="shared" si="674"/>
        <v>332.33</v>
      </c>
      <c r="BU74" s="1840">
        <f t="shared" si="674"/>
        <v>342.36</v>
      </c>
      <c r="BV74" s="1840">
        <f t="shared" si="674"/>
        <v>348.66</v>
      </c>
      <c r="BW74" s="1840">
        <f t="shared" si="674"/>
        <v>351.55</v>
      </c>
      <c r="BX74" s="1840">
        <f t="shared" si="674"/>
        <v>359.26</v>
      </c>
      <c r="BY74" s="1840">
        <f t="shared" ref="BY74:CD74" si="675">ROUND((+($F$59*BY70+BY71*$F$60+BY72*$F$61+BY73*$F$62)*100),2)</f>
        <v>359.59</v>
      </c>
      <c r="BZ74" s="1840">
        <f t="shared" si="675"/>
        <v>362.09</v>
      </c>
      <c r="CA74" s="1840">
        <f t="shared" si="675"/>
        <v>366.49</v>
      </c>
      <c r="CB74" s="1840">
        <f t="shared" si="675"/>
        <v>368.38</v>
      </c>
      <c r="CC74" s="1840">
        <f t="shared" si="675"/>
        <v>371.37</v>
      </c>
      <c r="CD74" s="1840">
        <f t="shared" si="675"/>
        <v>374.55</v>
      </c>
      <c r="CE74" s="1840">
        <f t="shared" ref="CE74:CJ74" si="676">ROUND((+($F$59*CE70+CE71*$F$60+CE72*$F$61+CE73*$F$62)*100),2)</f>
        <v>379.25</v>
      </c>
      <c r="CF74" s="1840">
        <f t="shared" si="676"/>
        <v>385.26</v>
      </c>
      <c r="CG74" s="1840">
        <f t="shared" si="676"/>
        <v>393.78</v>
      </c>
      <c r="CH74" s="1840">
        <f t="shared" si="676"/>
        <v>401.7</v>
      </c>
      <c r="CI74" s="1840">
        <f t="shared" si="676"/>
        <v>409.83</v>
      </c>
      <c r="CJ74" s="1840">
        <f t="shared" si="676"/>
        <v>418.31</v>
      </c>
      <c r="CK74" s="1840">
        <f t="shared" ref="CK74:CP74" si="677">ROUND((+($F$59*CK70+CK71*$F$60+CK72*$F$61+CK73*$F$62)*100),2)</f>
        <v>421.15</v>
      </c>
      <c r="CL74" s="1840">
        <f t="shared" si="677"/>
        <v>423.21</v>
      </c>
      <c r="CM74" s="1840">
        <f t="shared" si="677"/>
        <v>433.29</v>
      </c>
      <c r="CN74" s="1840">
        <f t="shared" si="677"/>
        <v>434.2</v>
      </c>
      <c r="CO74" s="1840">
        <f t="shared" si="677"/>
        <v>435.37</v>
      </c>
      <c r="CP74" s="1840">
        <f t="shared" si="677"/>
        <v>436.24</v>
      </c>
      <c r="CQ74" s="1840">
        <f t="shared" ref="CQ74:CV74" si="678">ROUND((+($F$59*CQ70+CQ71*$F$60+CQ72*$F$61+CQ73*$F$62)*100),2)</f>
        <v>439.42</v>
      </c>
      <c r="CR74" s="1840">
        <f t="shared" si="678"/>
        <v>446.84</v>
      </c>
      <c r="CS74" s="1840">
        <f t="shared" si="678"/>
        <v>453.59</v>
      </c>
      <c r="CT74" s="1840">
        <f t="shared" si="678"/>
        <v>467.19</v>
      </c>
      <c r="CU74" s="1840">
        <f t="shared" si="678"/>
        <v>474.05</v>
      </c>
      <c r="CV74" s="1840">
        <f t="shared" si="678"/>
        <v>479.35</v>
      </c>
      <c r="CW74" s="1840">
        <f t="shared" ref="CW74:DB74" si="679">ROUND((+($F$59*CW70+CW71*$F$60+CW72*$F$61+CW73*$F$62)*100),2)</f>
        <v>488.83</v>
      </c>
      <c r="CX74" s="1840">
        <f t="shared" si="679"/>
        <v>493.07</v>
      </c>
      <c r="CY74" s="1840">
        <f t="shared" si="679"/>
        <v>500.31</v>
      </c>
      <c r="CZ74" s="1838">
        <f t="shared" si="679"/>
        <v>502.87</v>
      </c>
      <c r="DA74" s="1838">
        <f t="shared" si="679"/>
        <v>517.38</v>
      </c>
      <c r="DB74" s="1838">
        <f t="shared" si="679"/>
        <v>526.59</v>
      </c>
      <c r="DC74" s="1838">
        <f t="shared" ref="DC74:DH74" si="680">ROUND((+($F$59*DC70+DC71*$F$60+DC72*$F$61+DC73*$F$62)*100),2)</f>
        <v>528.32000000000005</v>
      </c>
      <c r="DD74" s="1838">
        <f t="shared" si="680"/>
        <v>530.58000000000004</v>
      </c>
      <c r="DE74" s="1838">
        <f t="shared" si="680"/>
        <v>554.25</v>
      </c>
      <c r="DF74" s="1838">
        <f t="shared" si="680"/>
        <v>558.55999999999995</v>
      </c>
      <c r="DG74" s="1838">
        <f t="shared" si="680"/>
        <v>562.35</v>
      </c>
      <c r="DH74" s="1838">
        <f t="shared" si="680"/>
        <v>570.86</v>
      </c>
      <c r="DI74" s="1838">
        <f t="shared" ref="DI74:DN74" si="681">ROUND((+($F$59*DI70+DI71*$F$60+DI72*$F$61+DI73*$F$62)*100),2)</f>
        <v>581.22</v>
      </c>
      <c r="DJ74" s="1838">
        <f t="shared" si="681"/>
        <v>585.57000000000005</v>
      </c>
      <c r="DK74" s="1838">
        <f t="shared" si="681"/>
        <v>588.53</v>
      </c>
      <c r="DL74" s="1838">
        <f t="shared" si="681"/>
        <v>597.46</v>
      </c>
      <c r="DM74" s="1838">
        <f t="shared" si="681"/>
        <v>601.61</v>
      </c>
      <c r="DN74" s="1838">
        <f t="shared" si="681"/>
        <v>612.4</v>
      </c>
      <c r="DO74" s="1838">
        <f t="shared" ref="DO74:DT74" si="682">ROUND((+($F$59*DO70+DO71*$F$60+DO72*$F$61+DO73*$F$62)*100),2)</f>
        <v>614.33000000000004</v>
      </c>
      <c r="DP74" s="1838">
        <f t="shared" si="682"/>
        <v>620.87</v>
      </c>
      <c r="DQ74" s="1838">
        <f t="shared" si="682"/>
        <v>626.74</v>
      </c>
      <c r="DR74" s="1838">
        <f t="shared" si="682"/>
        <v>633.71</v>
      </c>
      <c r="DS74" s="1838">
        <f t="shared" si="682"/>
        <v>668.56</v>
      </c>
      <c r="DT74" s="1838">
        <f t="shared" si="682"/>
        <v>678.95</v>
      </c>
      <c r="DU74" s="1838">
        <f t="shared" ref="DU74:DZ74" si="683">ROUND((+($F$59*DU70+DU71*$F$60+DU72*$F$61+DU73*$F$62)*100),2)</f>
        <v>682.73</v>
      </c>
      <c r="DV74" s="1838">
        <f t="shared" si="683"/>
        <v>685.67</v>
      </c>
      <c r="DW74" s="1838">
        <f t="shared" si="683"/>
        <v>687.49</v>
      </c>
      <c r="DX74" s="1838">
        <f t="shared" si="683"/>
        <v>692.13</v>
      </c>
      <c r="DY74" s="1838">
        <f t="shared" si="683"/>
        <v>693.6</v>
      </c>
      <c r="DZ74" s="1838">
        <f t="shared" si="683"/>
        <v>699.94</v>
      </c>
      <c r="EA74" s="1838">
        <f t="shared" ref="EA74:EF74" si="684">ROUND((+($F$59*EA70+EA71*$F$60+EA72*$F$61+EA73*$F$62)*100),2)</f>
        <v>704.24</v>
      </c>
      <c r="EB74" s="1838">
        <f t="shared" si="684"/>
        <v>712.3</v>
      </c>
      <c r="EC74" s="1838">
        <f t="shared" si="684"/>
        <v>721.18</v>
      </c>
      <c r="ED74" s="1838">
        <f t="shared" si="684"/>
        <v>728.12</v>
      </c>
      <c r="EE74" s="1838">
        <f t="shared" si="684"/>
        <v>762.04</v>
      </c>
      <c r="EF74" s="1838">
        <f t="shared" si="684"/>
        <v>768.39</v>
      </c>
      <c r="EG74" s="1838">
        <f t="shared" ref="EG74:ER74" si="685">ROUND((+($F$59*EG70+EG71*$F$60+EG72*$F$61+EG73*$F$62)*100),2)</f>
        <v>772.88</v>
      </c>
      <c r="EH74" s="1838">
        <f t="shared" si="685"/>
        <v>786.24</v>
      </c>
      <c r="EI74" s="1838">
        <f t="shared" si="685"/>
        <v>787.34</v>
      </c>
      <c r="EJ74" s="1838">
        <f t="shared" si="685"/>
        <v>790.03</v>
      </c>
      <c r="EK74" s="1838">
        <f t="shared" si="685"/>
        <v>800.8</v>
      </c>
      <c r="EL74" s="1838">
        <f t="shared" si="685"/>
        <v>820.53</v>
      </c>
      <c r="EM74" s="1838">
        <f t="shared" si="685"/>
        <v>850.62</v>
      </c>
      <c r="EN74" s="1838">
        <f t="shared" si="685"/>
        <v>875.16</v>
      </c>
      <c r="EO74" s="1838">
        <f t="shared" si="685"/>
        <v>938.47</v>
      </c>
      <c r="EP74" s="1838">
        <f t="shared" si="685"/>
        <v>943.69</v>
      </c>
      <c r="EQ74" s="1838">
        <f t="shared" si="685"/>
        <v>948.39</v>
      </c>
      <c r="ER74" s="1838">
        <f t="shared" si="685"/>
        <v>990.9</v>
      </c>
      <c r="ES74" s="1838">
        <f t="shared" ref="ES74:EX74" si="686">ROUND((+($F$59*ES70+ES71*$F$60+ES72*$F$61+ES73*$F$62)*100),2)</f>
        <v>1001.65</v>
      </c>
      <c r="ET74" s="1838">
        <f t="shared" si="686"/>
        <v>1013.26</v>
      </c>
      <c r="EU74" s="1838">
        <f t="shared" si="686"/>
        <v>1021.07</v>
      </c>
      <c r="EV74" s="1838">
        <f t="shared" si="686"/>
        <v>1027.83</v>
      </c>
      <c r="EW74" s="1838">
        <f t="shared" si="686"/>
        <v>1030.32</v>
      </c>
      <c r="EX74" s="1838">
        <f t="shared" si="686"/>
        <v>1013.45</v>
      </c>
      <c r="EY74" s="1838">
        <f t="shared" ref="EY74:FE74" si="687">ROUND((+($F$59*EY70+EY71*$F$60+EY72*$F$61+EY73*$F$62)*100),2)</f>
        <v>1021.51</v>
      </c>
      <c r="EZ74" s="1838">
        <f t="shared" si="687"/>
        <v>1032.96</v>
      </c>
      <c r="FA74" s="1838">
        <f t="shared" si="687"/>
        <v>1084.8699999999999</v>
      </c>
      <c r="FB74" s="1838">
        <f t="shared" si="687"/>
        <v>1097.8</v>
      </c>
      <c r="FC74" s="1838">
        <f t="shared" si="687"/>
        <v>1112.24</v>
      </c>
      <c r="FD74" s="1838">
        <f t="shared" si="687"/>
        <v>1124.6300000000001</v>
      </c>
      <c r="FE74" s="1838">
        <f t="shared" si="687"/>
        <v>1161.71</v>
      </c>
      <c r="FF74" s="1838">
        <f t="shared" ref="FF74:FL74" si="688">ROUND((+($F$59*FF70+FF71*$F$60+FF72*$F$61+FF73*$F$62)*100),2)</f>
        <v>1165.6199999999999</v>
      </c>
      <c r="FG74" s="1838">
        <f t="shared" si="688"/>
        <v>1170.55</v>
      </c>
      <c r="FH74" s="1838" t="e">
        <f t="shared" si="688"/>
        <v>#REF!</v>
      </c>
      <c r="FI74" s="1838" t="e">
        <f t="shared" si="688"/>
        <v>#REF!</v>
      </c>
      <c r="FJ74" s="1838">
        <f t="shared" si="688"/>
        <v>100</v>
      </c>
      <c r="FK74" s="1838">
        <f t="shared" si="688"/>
        <v>105</v>
      </c>
      <c r="FL74" s="1838">
        <f t="shared" si="688"/>
        <v>104.58</v>
      </c>
      <c r="FM74" s="1838">
        <f t="shared" ref="FM74:HC74" si="689">ROUND((+($F$59*FM70+FM71*$F$60+FM72*$F$61+FM73*$F$62)*100),2)</f>
        <v>108.06</v>
      </c>
      <c r="FN74" s="1838">
        <f t="shared" si="689"/>
        <v>110.87</v>
      </c>
      <c r="FO74" s="1838">
        <f t="shared" si="689"/>
        <v>114.71</v>
      </c>
      <c r="FP74" s="1838">
        <f t="shared" si="689"/>
        <v>114.71</v>
      </c>
      <c r="FQ74" s="1838">
        <f t="shared" si="689"/>
        <v>114.71</v>
      </c>
      <c r="FR74" s="1838">
        <f t="shared" si="689"/>
        <v>115.05</v>
      </c>
      <c r="FS74" s="1838">
        <f t="shared" si="689"/>
        <v>116.97</v>
      </c>
      <c r="FT74" s="1838">
        <f t="shared" si="689"/>
        <v>117.98</v>
      </c>
      <c r="FU74" s="1838">
        <f t="shared" si="689"/>
        <v>119.07</v>
      </c>
      <c r="FV74" s="1838">
        <f t="shared" si="689"/>
        <v>120.82</v>
      </c>
      <c r="FW74" s="1838">
        <f t="shared" si="689"/>
        <v>121.56</v>
      </c>
      <c r="FX74" s="1838">
        <f t="shared" si="689"/>
        <v>121.7</v>
      </c>
      <c r="FY74" s="1838">
        <f t="shared" si="689"/>
        <v>123.12</v>
      </c>
      <c r="FZ74" s="1838">
        <f t="shared" si="689"/>
        <v>123.78</v>
      </c>
      <c r="GA74" s="1838">
        <f t="shared" si="689"/>
        <v>124.9</v>
      </c>
      <c r="GB74" s="1838">
        <f t="shared" si="689"/>
        <v>136.74</v>
      </c>
      <c r="GC74" s="1838">
        <f t="shared" si="689"/>
        <v>137.79</v>
      </c>
      <c r="GD74" s="1838">
        <f t="shared" si="689"/>
        <v>136.59</v>
      </c>
      <c r="GE74" s="1838">
        <f t="shared" si="689"/>
        <v>139.66</v>
      </c>
      <c r="GF74" s="1838">
        <f t="shared" si="689"/>
        <v>144.05000000000001</v>
      </c>
      <c r="GG74" s="1838">
        <f t="shared" si="689"/>
        <v>149.41999999999999</v>
      </c>
      <c r="GH74" s="1838">
        <f t="shared" si="689"/>
        <v>153.12</v>
      </c>
      <c r="GI74" s="1838">
        <f t="shared" si="689"/>
        <v>162.32</v>
      </c>
      <c r="GJ74" s="1838">
        <f t="shared" si="689"/>
        <v>164.83</v>
      </c>
      <c r="GK74" s="1838">
        <f t="shared" si="689"/>
        <v>167.8</v>
      </c>
      <c r="GL74" s="1838">
        <f t="shared" si="689"/>
        <v>188.72</v>
      </c>
      <c r="GM74" s="1838">
        <f t="shared" si="689"/>
        <v>204.04</v>
      </c>
      <c r="GN74" s="1838">
        <f t="shared" si="689"/>
        <v>216.78</v>
      </c>
      <c r="GO74" s="1838">
        <f t="shared" si="689"/>
        <v>225.11</v>
      </c>
      <c r="GP74" s="1838">
        <f t="shared" si="689"/>
        <v>274.33</v>
      </c>
      <c r="GQ74" s="1838">
        <f t="shared" si="689"/>
        <v>275.74</v>
      </c>
      <c r="GR74" s="1838">
        <f t="shared" si="689"/>
        <v>271.41000000000003</v>
      </c>
      <c r="GS74" s="1838">
        <f t="shared" si="689"/>
        <v>286</v>
      </c>
      <c r="GT74" s="1838">
        <f t="shared" si="689"/>
        <v>277.48</v>
      </c>
      <c r="GU74" s="1838">
        <f t="shared" si="689"/>
        <v>296.93</v>
      </c>
      <c r="GV74" s="1838">
        <f t="shared" si="689"/>
        <v>303.35000000000002</v>
      </c>
      <c r="GW74" s="1838">
        <f t="shared" si="689"/>
        <v>321.83</v>
      </c>
      <c r="GX74" s="1838">
        <f t="shared" si="689"/>
        <v>341.62</v>
      </c>
      <c r="GY74" s="1838">
        <f t="shared" si="689"/>
        <v>334.22</v>
      </c>
      <c r="GZ74" s="1838">
        <f t="shared" si="689"/>
        <v>336.49</v>
      </c>
      <c r="HA74" s="1838">
        <f t="shared" si="689"/>
        <v>395.46</v>
      </c>
      <c r="HB74" s="1838">
        <f t="shared" si="689"/>
        <v>411.23</v>
      </c>
      <c r="HC74" s="1838">
        <f t="shared" si="689"/>
        <v>423.04</v>
      </c>
      <c r="HD74" s="1838">
        <f t="shared" ref="HD74:HI74" si="690">ROUND((+($F$59*HD70+HD71*$F$60+HD72*$F$61+HD73*$F$62)*100),2)</f>
        <v>429.3</v>
      </c>
      <c r="HE74" s="1841">
        <f t="shared" si="690"/>
        <v>438.02</v>
      </c>
      <c r="HF74" s="385">
        <f t="shared" si="690"/>
        <v>451.8</v>
      </c>
      <c r="HG74" s="388">
        <f t="shared" si="690"/>
        <v>456.93</v>
      </c>
      <c r="HH74" s="388">
        <f t="shared" si="690"/>
        <v>464.52</v>
      </c>
      <c r="HI74" s="388">
        <f t="shared" si="690"/>
        <v>477.5</v>
      </c>
      <c r="HJ74" s="388">
        <f t="shared" ref="HJ74:HK74" si="691">ROUND((+($F$59*HJ70+HJ71*$F$60+HJ72*$F$61+HJ73*$F$62)*100),2)</f>
        <v>484.81</v>
      </c>
      <c r="HK74" s="388">
        <f t="shared" si="691"/>
        <v>498.55</v>
      </c>
      <c r="HL74" s="388">
        <f t="shared" ref="HL74:HM74" si="692">ROUND((+($F$59*HL70+HL71*$F$60+HL72*$F$61+HL73*$F$62)*100),2)</f>
        <v>510.81</v>
      </c>
      <c r="HM74" s="388">
        <f t="shared" si="692"/>
        <v>523.37</v>
      </c>
      <c r="HN74" s="388">
        <f t="shared" ref="HN74:HO74" si="693">ROUND((+($F$59*HN70+HN71*$F$60+HN72*$F$61+HN73*$F$62)*100),2)</f>
        <v>539.83000000000004</v>
      </c>
      <c r="HO74" s="388">
        <f t="shared" si="693"/>
        <v>561.79999999999995</v>
      </c>
      <c r="HP74" s="388">
        <f t="shared" ref="HP74:HQ74" si="694">ROUND((+($F$59*HP70+HP71*$F$60+HP72*$F$61+HP73*$F$62)*100),2)</f>
        <v>586.35</v>
      </c>
      <c r="HQ74" s="782">
        <f t="shared" si="694"/>
        <v>613.08000000000004</v>
      </c>
      <c r="HR74" s="385">
        <f t="shared" ref="HR74:HS74" si="695">ROUND((+($F$59*HR70+HR71*$F$60+HR72*$F$61+HR73*$F$62)*100),2)</f>
        <v>634.26</v>
      </c>
      <c r="HS74" s="388">
        <f t="shared" si="695"/>
        <v>668.14</v>
      </c>
      <c r="HT74" s="388">
        <f t="shared" ref="HT74:HU74" si="696">ROUND((+($F$59*HT70+HT71*$F$60+HT72*$F$61+HT73*$F$62)*100),2)</f>
        <v>708.66</v>
      </c>
      <c r="HU74" s="388">
        <f t="shared" si="696"/>
        <v>734.95</v>
      </c>
      <c r="HV74" s="388">
        <f t="shared" ref="HV74:HW74" si="697">ROUND((+($F$59*HV70+HV71*$F$60+HV72*$F$61+HV73*$F$62)*100),2)</f>
        <v>765.19</v>
      </c>
      <c r="HW74" s="388">
        <f t="shared" si="697"/>
        <v>772.84</v>
      </c>
      <c r="HX74" s="388">
        <f t="shared" ref="HX74:HY74" si="698">ROUND((+($F$59*HX70+HX71*$F$60+HX72*$F$61+HX73*$F$62)*100),2)</f>
        <v>785.03</v>
      </c>
      <c r="HY74" s="388">
        <f t="shared" si="698"/>
        <v>798.69</v>
      </c>
      <c r="HZ74" s="388">
        <f t="shared" ref="HZ74:IA74" si="699">ROUND((+($F$59*HZ70+HZ71*$F$60+HZ72*$F$61+HZ73*$F$62)*100),2)</f>
        <v>802.7</v>
      </c>
      <c r="IA74" s="388">
        <f t="shared" si="699"/>
        <v>814.52</v>
      </c>
      <c r="IB74" s="388">
        <f t="shared" ref="IB74:IC74" si="700">ROUND((+($F$59*IB70+IB71*$F$60+IB72*$F$61+IB73*$F$62)*100),2)</f>
        <v>820.85</v>
      </c>
      <c r="IC74" s="387">
        <f t="shared" si="700"/>
        <v>833.11</v>
      </c>
      <c r="ID74" s="388">
        <f t="shared" ref="ID74:IE74" si="701">ROUND((+($F$59*ID70+ID71*$F$60+ID72*$F$61+ID73*$F$62)*100),2)</f>
        <v>850.56</v>
      </c>
      <c r="IE74" s="388">
        <f t="shared" si="701"/>
        <v>891.83</v>
      </c>
      <c r="IF74" s="387">
        <f t="shared" ref="IF74:IG74" si="702">ROUND((+($F$59*IF70+IF71*$F$60+IF72*$F$61+IF73*$F$62)*100),2)</f>
        <v>945.92</v>
      </c>
      <c r="IG74" s="388">
        <f t="shared" si="702"/>
        <v>979.1</v>
      </c>
      <c r="IH74" s="388">
        <f t="shared" ref="IH74:II74" si="703">ROUND((+($F$59*IH70+IH71*$F$60+IH72*$F$61+IH73*$F$62)*100),2)</f>
        <v>1051.53</v>
      </c>
      <c r="II74" s="388">
        <f t="shared" si="703"/>
        <v>1131.81</v>
      </c>
      <c r="IJ74" s="388">
        <f t="shared" ref="IJ74:IK74" si="704">ROUND((+($F$59*IJ70+IJ71*$F$60+IJ72*$F$61+IJ73*$F$62)*100),2)</f>
        <v>1185.2</v>
      </c>
      <c r="IK74" s="387">
        <f t="shared" si="704"/>
        <v>1231.8399999999999</v>
      </c>
      <c r="IL74" s="387">
        <f t="shared" ref="IL74:IM74" si="705">ROUND((+($F$59*IL70+IL71*$F$60+IL72*$F$61+IL73*$F$62)*100),2)</f>
        <v>1298.71</v>
      </c>
      <c r="IM74" s="387">
        <f t="shared" si="705"/>
        <v>1391.07</v>
      </c>
      <c r="IN74" s="388">
        <f t="shared" ref="IN74:IO74" si="706">ROUND((+($F$59*IN70+IN71*$F$60+IN72*$F$61+IN73*$F$62)*100),2)</f>
        <v>1549.88</v>
      </c>
      <c r="IO74" s="387">
        <f t="shared" si="706"/>
        <v>1657.6</v>
      </c>
      <c r="IP74" s="338">
        <f t="shared" ref="IP74:IQ74" si="707">ROUND((+($F$59*IP70+IP71*$F$60+IP72*$F$61+IP73*$F$62)*100),2)</f>
        <v>1721.91</v>
      </c>
      <c r="IQ74" s="338">
        <f t="shared" si="707"/>
        <v>1851</v>
      </c>
    </row>
    <row r="75" spans="3:251" ht="11.25" customHeight="1"/>
  </sheetData>
  <mergeCells count="311">
    <mergeCell ref="DA42:DA44"/>
    <mergeCell ref="CQ42:CQ44"/>
    <mergeCell ref="CP42:CP44"/>
    <mergeCell ref="CT42:CT44"/>
    <mergeCell ref="CW42:CW44"/>
    <mergeCell ref="DE42:DE44"/>
    <mergeCell ref="DB42:DB44"/>
    <mergeCell ref="IL42:IL44"/>
    <mergeCell ref="CZ42:CZ44"/>
    <mergeCell ref="HD42:HD44"/>
    <mergeCell ref="FE42:FE44"/>
    <mergeCell ref="GJ42:GJ44"/>
    <mergeCell ref="GI42:GI44"/>
    <mergeCell ref="FV42:FV44"/>
    <mergeCell ref="GG42:GG44"/>
    <mergeCell ref="FZ42:FZ44"/>
    <mergeCell ref="GE42:GE44"/>
    <mergeCell ref="GA42:GA44"/>
    <mergeCell ref="ER42:ER44"/>
    <mergeCell ref="DY42:DY44"/>
    <mergeCell ref="EW42:EW44"/>
    <mergeCell ref="FR42:FR44"/>
    <mergeCell ref="FH42:FH44"/>
    <mergeCell ref="EY42:EY44"/>
    <mergeCell ref="EU42:EU44"/>
    <mergeCell ref="IN42:IN44"/>
    <mergeCell ref="DS42:DS44"/>
    <mergeCell ref="EH42:EH44"/>
    <mergeCell ref="EL42:EL44"/>
    <mergeCell ref="EG42:EG44"/>
    <mergeCell ref="ED42:ED44"/>
    <mergeCell ref="DQ42:DQ44"/>
    <mergeCell ref="DF42:DF44"/>
    <mergeCell ref="DG42:DG44"/>
    <mergeCell ref="EI42:EI44"/>
    <mergeCell ref="IJ42:IJ44"/>
    <mergeCell ref="IH42:IH44"/>
    <mergeCell ref="IG42:IG44"/>
    <mergeCell ref="IE42:IE44"/>
    <mergeCell ref="EJ42:EJ44"/>
    <mergeCell ref="GY42:GY44"/>
    <mergeCell ref="GX42:GX44"/>
    <mergeCell ref="GW42:GW44"/>
    <mergeCell ref="FM42:FM44"/>
    <mergeCell ref="FG42:FG44"/>
    <mergeCell ref="FT42:FT44"/>
    <mergeCell ref="FN42:FN44"/>
    <mergeCell ref="FQ42:FQ44"/>
    <mergeCell ref="DC42:DC44"/>
    <mergeCell ref="DD42:DD44"/>
    <mergeCell ref="DJ42:DJ44"/>
    <mergeCell ref="DO42:DO44"/>
    <mergeCell ref="DH42:DH44"/>
    <mergeCell ref="EA42:EA44"/>
    <mergeCell ref="CD42:CD44"/>
    <mergeCell ref="CE42:CE44"/>
    <mergeCell ref="BN42:BN44"/>
    <mergeCell ref="CO42:CO44"/>
    <mergeCell ref="DT42:DT44"/>
    <mergeCell ref="CB42:CB44"/>
    <mergeCell ref="DI42:DI44"/>
    <mergeCell ref="DK42:DK44"/>
    <mergeCell ref="DL42:DL44"/>
    <mergeCell ref="CS42:CS44"/>
    <mergeCell ref="CX42:CX44"/>
    <mergeCell ref="CR42:CR44"/>
    <mergeCell ref="CI42:CI44"/>
    <mergeCell ref="DZ42:DZ44"/>
    <mergeCell ref="CG42:CG44"/>
    <mergeCell ref="BW42:BW44"/>
    <mergeCell ref="BX42:BX44"/>
    <mergeCell ref="CM42:CM44"/>
    <mergeCell ref="CC42:CC44"/>
    <mergeCell ref="BY42:BY44"/>
    <mergeCell ref="CF42:CF44"/>
    <mergeCell ref="EQ42:EQ44"/>
    <mergeCell ref="FC42:FC44"/>
    <mergeCell ref="DU42:DU44"/>
    <mergeCell ref="DX42:DX44"/>
    <mergeCell ref="EC42:EC44"/>
    <mergeCell ref="FA42:FA44"/>
    <mergeCell ref="EX42:EX44"/>
    <mergeCell ref="EV42:EV44"/>
    <mergeCell ref="EF42:EF44"/>
    <mergeCell ref="EM42:EM44"/>
    <mergeCell ref="ES42:ES44"/>
    <mergeCell ref="DW42:DW44"/>
    <mergeCell ref="DV42:DV44"/>
    <mergeCell ref="EZ42:EZ44"/>
    <mergeCell ref="EN42:EN44"/>
    <mergeCell ref="EK42:EK44"/>
    <mergeCell ref="CV42:CV44"/>
    <mergeCell ref="CY42:CY44"/>
    <mergeCell ref="EO42:EO44"/>
    <mergeCell ref="EP42:EP44"/>
    <mergeCell ref="EE42:EE44"/>
    <mergeCell ref="F61:G61"/>
    <mergeCell ref="ET42:ET44"/>
    <mergeCell ref="D15:E15"/>
    <mergeCell ref="D16:E16"/>
    <mergeCell ref="D21:E21"/>
    <mergeCell ref="D22:E22"/>
    <mergeCell ref="D19:E19"/>
    <mergeCell ref="D17:E17"/>
    <mergeCell ref="O42:O44"/>
    <mergeCell ref="M42:M44"/>
    <mergeCell ref="K42:K44"/>
    <mergeCell ref="D20:E20"/>
    <mergeCell ref="D23:E23"/>
    <mergeCell ref="K37:P37"/>
    <mergeCell ref="D25:E25"/>
    <mergeCell ref="D26:E26"/>
    <mergeCell ref="F40:G40"/>
    <mergeCell ref="D28:E28"/>
    <mergeCell ref="D34:E36"/>
    <mergeCell ref="DP42:DP44"/>
    <mergeCell ref="I42:I44"/>
    <mergeCell ref="CN42:CN44"/>
    <mergeCell ref="BJ42:BJ44"/>
    <mergeCell ref="AY42:AY44"/>
    <mergeCell ref="C70:C73"/>
    <mergeCell ref="D61:E61"/>
    <mergeCell ref="D62:E62"/>
    <mergeCell ref="D58:E58"/>
    <mergeCell ref="D60:E60"/>
    <mergeCell ref="D71:E71"/>
    <mergeCell ref="D65:E65"/>
    <mergeCell ref="D66:E66"/>
    <mergeCell ref="D67:E67"/>
    <mergeCell ref="D68:E68"/>
    <mergeCell ref="D72:E72"/>
    <mergeCell ref="D59:E59"/>
    <mergeCell ref="AU42:AU44"/>
    <mergeCell ref="Q42:Q44"/>
    <mergeCell ref="BR42:BR44"/>
    <mergeCell ref="AR42:AR44"/>
    <mergeCell ref="AV42:AV44"/>
    <mergeCell ref="AX42:AX44"/>
    <mergeCell ref="BE42:BE44"/>
    <mergeCell ref="AA42:AA44"/>
    <mergeCell ref="AS42:AS44"/>
    <mergeCell ref="AT42:AT44"/>
    <mergeCell ref="BA42:BA44"/>
    <mergeCell ref="F59:G59"/>
    <mergeCell ref="AM42:AM44"/>
    <mergeCell ref="AL42:AL44"/>
    <mergeCell ref="AG42:AG44"/>
    <mergeCell ref="AK42:AK44"/>
    <mergeCell ref="F42:F44"/>
    <mergeCell ref="AF42:AF44"/>
    <mergeCell ref="F60:G60"/>
    <mergeCell ref="AC42:AC44"/>
    <mergeCell ref="P42:P44"/>
    <mergeCell ref="J42:J44"/>
    <mergeCell ref="Y42:Y44"/>
    <mergeCell ref="Z42:Z44"/>
    <mergeCell ref="AD42:AD44"/>
    <mergeCell ref="C74:E74"/>
    <mergeCell ref="AE42:AE44"/>
    <mergeCell ref="K59:P59"/>
    <mergeCell ref="D51:E51"/>
    <mergeCell ref="N42:N44"/>
    <mergeCell ref="C54:E55"/>
    <mergeCell ref="L42:L44"/>
    <mergeCell ref="T42:T44"/>
    <mergeCell ref="D52:E52"/>
    <mergeCell ref="H42:H44"/>
    <mergeCell ref="D47:E47"/>
    <mergeCell ref="D45:E45"/>
    <mergeCell ref="D50:E50"/>
    <mergeCell ref="D48:E48"/>
    <mergeCell ref="X42:X44"/>
    <mergeCell ref="AB42:AB44"/>
    <mergeCell ref="D46:E46"/>
    <mergeCell ref="S42:S44"/>
    <mergeCell ref="U42:U44"/>
    <mergeCell ref="R42:R44"/>
    <mergeCell ref="F62:G62"/>
    <mergeCell ref="D73:E73"/>
    <mergeCell ref="D53:E53"/>
    <mergeCell ref="D70:E70"/>
    <mergeCell ref="C30:E30"/>
    <mergeCell ref="C34:C36"/>
    <mergeCell ref="C42:C44"/>
    <mergeCell ref="D38:E38"/>
    <mergeCell ref="D40:E40"/>
    <mergeCell ref="D39:E39"/>
    <mergeCell ref="D42:E44"/>
    <mergeCell ref="D37:E37"/>
    <mergeCell ref="CL42:CL44"/>
    <mergeCell ref="BK42:BK44"/>
    <mergeCell ref="CK42:CK44"/>
    <mergeCell ref="BV42:BV44"/>
    <mergeCell ref="BU42:BU44"/>
    <mergeCell ref="AQ42:AQ44"/>
    <mergeCell ref="AN42:AN44"/>
    <mergeCell ref="AI42:AI44"/>
    <mergeCell ref="CJ42:CJ44"/>
    <mergeCell ref="F34:F36"/>
    <mergeCell ref="AH42:AH44"/>
    <mergeCell ref="AZ42:AZ44"/>
    <mergeCell ref="AW42:AW44"/>
    <mergeCell ref="BC42:BC44"/>
    <mergeCell ref="AP42:AP44"/>
    <mergeCell ref="BB42:BB44"/>
    <mergeCell ref="C50:C53"/>
    <mergeCell ref="FO42:FO44"/>
    <mergeCell ref="EB42:EB44"/>
    <mergeCell ref="D14:E14"/>
    <mergeCell ref="D11:E11"/>
    <mergeCell ref="AO42:AO44"/>
    <mergeCell ref="F39:G39"/>
    <mergeCell ref="BQ42:BQ44"/>
    <mergeCell ref="BI42:BI44"/>
    <mergeCell ref="BG42:BG44"/>
    <mergeCell ref="BO42:BO44"/>
    <mergeCell ref="BD42:BD44"/>
    <mergeCell ref="BH42:BH44"/>
    <mergeCell ref="F11:F12"/>
    <mergeCell ref="F14:G14"/>
    <mergeCell ref="F15:G15"/>
    <mergeCell ref="F16:G16"/>
    <mergeCell ref="F37:G37"/>
    <mergeCell ref="F17:G17"/>
    <mergeCell ref="W42:W44"/>
    <mergeCell ref="V42:V44"/>
    <mergeCell ref="G42:G44"/>
    <mergeCell ref="C25:C28"/>
    <mergeCell ref="D27:E27"/>
    <mergeCell ref="F38:G38"/>
    <mergeCell ref="AJ42:AJ44"/>
    <mergeCell ref="CU42:CU44"/>
    <mergeCell ref="GT42:GT44"/>
    <mergeCell ref="GQ42:GQ44"/>
    <mergeCell ref="GR42:GR44"/>
    <mergeCell ref="GS42:GS44"/>
    <mergeCell ref="CH42:CH44"/>
    <mergeCell ref="DM42:DM44"/>
    <mergeCell ref="DR42:DR44"/>
    <mergeCell ref="BF42:BF44"/>
    <mergeCell ref="BM42:BM44"/>
    <mergeCell ref="BP42:BP44"/>
    <mergeCell ref="BZ42:BZ44"/>
    <mergeCell ref="BL42:BL44"/>
    <mergeCell ref="BT42:BT44"/>
    <mergeCell ref="BS42:BS44"/>
    <mergeCell ref="CA42:CA44"/>
    <mergeCell ref="GD42:GD44"/>
    <mergeCell ref="DN42:DN44"/>
    <mergeCell ref="FY42:FY44"/>
    <mergeCell ref="GB42:GB44"/>
    <mergeCell ref="FU42:FU44"/>
    <mergeCell ref="FD42:FD44"/>
    <mergeCell ref="FJ42:FJ44"/>
    <mergeCell ref="FK42:FK44"/>
    <mergeCell ref="FL42:FL44"/>
    <mergeCell ref="FW42:FW44"/>
    <mergeCell ref="GC42:GC44"/>
    <mergeCell ref="GK42:GK44"/>
    <mergeCell ref="GO42:GO44"/>
    <mergeCell ref="GM42:GM44"/>
    <mergeCell ref="GP42:GP44"/>
    <mergeCell ref="GN42:GN44"/>
    <mergeCell ref="GL42:GL44"/>
    <mergeCell ref="FX42:FX44"/>
    <mergeCell ref="FP42:FP44"/>
    <mergeCell ref="FB42:FB44"/>
    <mergeCell ref="FS42:FS44"/>
    <mergeCell ref="FF42:FF44"/>
    <mergeCell ref="FI42:FI44"/>
    <mergeCell ref="GH42:GH44"/>
    <mergeCell ref="GF42:GF44"/>
    <mergeCell ref="ID42:ID44"/>
    <mergeCell ref="IB42:IB44"/>
    <mergeCell ref="IA42:IA44"/>
    <mergeCell ref="HY42:HY44"/>
    <mergeCell ref="HX42:HX44"/>
    <mergeCell ref="HW42:HW44"/>
    <mergeCell ref="HV42:HV44"/>
    <mergeCell ref="HS42:HS44"/>
    <mergeCell ref="HR42:HR44"/>
    <mergeCell ref="IC42:IC44"/>
    <mergeCell ref="HZ42:HZ44"/>
    <mergeCell ref="HU42:HU44"/>
    <mergeCell ref="HT42:HT44"/>
    <mergeCell ref="HK42:HK44"/>
    <mergeCell ref="HJ42:HJ44"/>
    <mergeCell ref="HI42:HI44"/>
    <mergeCell ref="HH42:HH44"/>
    <mergeCell ref="HG42:HG44"/>
    <mergeCell ref="IQ42:IQ44"/>
    <mergeCell ref="IP42:IP44"/>
    <mergeCell ref="IO42:IO44"/>
    <mergeCell ref="GZ42:GZ44"/>
    <mergeCell ref="GV42:GV44"/>
    <mergeCell ref="GU42:GU44"/>
    <mergeCell ref="IM42:IM44"/>
    <mergeCell ref="IK42:IK44"/>
    <mergeCell ref="II42:II44"/>
    <mergeCell ref="IF42:IF44"/>
    <mergeCell ref="HB42:HB44"/>
    <mergeCell ref="HA42:HA44"/>
    <mergeCell ref="HC42:HC44"/>
    <mergeCell ref="HQ42:HQ44"/>
    <mergeCell ref="HN42:HN44"/>
    <mergeCell ref="HF42:HF44"/>
    <mergeCell ref="HE42:HE44"/>
    <mergeCell ref="HP42:HP44"/>
    <mergeCell ref="HO42:HO44"/>
    <mergeCell ref="HM42:HM44"/>
    <mergeCell ref="HL42:HL44"/>
  </mergeCells>
  <phoneticPr fontId="0" type="noConversion"/>
  <printOptions horizontalCentered="1"/>
  <pageMargins left="0.39370078740157483" right="0.39370078740157483" top="0.82677165354330717" bottom="0.19685039370078741" header="0" footer="0.27559055118110237"/>
  <pageSetup paperSize="5" scale="65" firstPageNumber="13" fitToHeight="3" orientation="landscape" useFirstPageNumber="1" r:id="rId1"/>
  <headerFooter alignWithMargins="0"/>
  <rowBreaks count="1" manualBreakCount="1">
    <brk id="56" min="1" max="246" man="1"/>
  </rowBreaks>
  <ignoredErrors>
    <ignoredError sqref="FH74:FQ74 FH65:FQ65 FH70:FI70 FH71:FI71 FH72:FI72 FH73:FI7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43"/>
  <sheetViews>
    <sheetView view="pageBreakPreview" topLeftCell="A22" zoomScale="70" zoomScaleNormal="70" zoomScaleSheetLayoutView="70" workbookViewId="0">
      <selection activeCell="D43" sqref="D4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3" t="s">
        <v>1331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  <c r="S4" s="2574"/>
      <c r="T4" s="2575"/>
      <c r="U4" s="2575"/>
      <c r="V4" s="2576"/>
      <c r="X4" s="36"/>
      <c r="Y4" s="54"/>
    </row>
    <row r="5" spans="2:25" s="2" customFormat="1" ht="15.75">
      <c r="B5" s="3" t="s">
        <v>1332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/>
      <c r="T5" s="2578"/>
      <c r="U5" s="2578"/>
      <c r="V5" s="35"/>
      <c r="X5" s="37"/>
      <c r="Y5" s="55"/>
    </row>
    <row r="9" spans="2:25" s="2" customFormat="1" ht="15.75">
      <c r="B9" s="2566" t="s">
        <v>1325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25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1333</v>
      </c>
      <c r="C11" s="545">
        <v>526.29999999999995</v>
      </c>
      <c r="D11" s="545">
        <v>537.75684262272944</v>
      </c>
      <c r="E11" s="545">
        <v>578.79999999999995</v>
      </c>
      <c r="F11" s="545">
        <v>610.1</v>
      </c>
      <c r="G11" s="545">
        <v>634.5</v>
      </c>
      <c r="H11" s="545">
        <v>651.29999999999995</v>
      </c>
      <c r="I11" s="545">
        <v>676.1</v>
      </c>
      <c r="J11" s="545">
        <v>697.9</v>
      </c>
      <c r="K11" s="545">
        <v>719</v>
      </c>
      <c r="L11" s="546">
        <v>747</v>
      </c>
      <c r="M11" s="546">
        <v>776.6</v>
      </c>
      <c r="N11" s="1640">
        <v>806.4</v>
      </c>
    </row>
    <row r="12" spans="2:25" s="2" customFormat="1" ht="15.75">
      <c r="B12" s="566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1012"/>
    </row>
    <row r="13" spans="2:25" s="2" customFormat="1" ht="15.75">
      <c r="B13" s="1241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1633"/>
      <c r="N13" s="1643"/>
    </row>
    <row r="14" spans="2:25" s="2" customFormat="1" ht="15.75">
      <c r="B14" s="1241"/>
      <c r="C14" s="323">
        <v>1</v>
      </c>
      <c r="D14" s="323">
        <f t="shared" ref="D14:N14" si="0">+D11/C11</f>
        <v>1.0217686540428073</v>
      </c>
      <c r="E14" s="323">
        <f t="shared" si="0"/>
        <v>1.0763228919172767</v>
      </c>
      <c r="F14" s="323">
        <f t="shared" si="0"/>
        <v>1.0540774015203871</v>
      </c>
      <c r="G14" s="323">
        <f t="shared" si="0"/>
        <v>1.0399934436977545</v>
      </c>
      <c r="H14" s="323">
        <f t="shared" si="0"/>
        <v>1.0264775413711584</v>
      </c>
      <c r="I14" s="323">
        <f t="shared" si="0"/>
        <v>1.0380776907723017</v>
      </c>
      <c r="J14" s="323">
        <f t="shared" si="0"/>
        <v>1.0322437509244193</v>
      </c>
      <c r="K14" s="323">
        <f t="shared" si="0"/>
        <v>1.030233557816306</v>
      </c>
      <c r="L14" s="323">
        <f t="shared" si="0"/>
        <v>1.03894297635605</v>
      </c>
      <c r="M14" s="323">
        <f t="shared" si="0"/>
        <v>1.0396251673360108</v>
      </c>
      <c r="N14" s="1643">
        <f t="shared" si="0"/>
        <v>1.0383723924800412</v>
      </c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</row>
    <row r="16" spans="2:25" s="2" customFormat="1" ht="16.5" thickBot="1">
      <c r="B16" s="1243" t="s">
        <v>1334</v>
      </c>
      <c r="C16" s="337">
        <v>383.96528227169603</v>
      </c>
      <c r="D16" s="337">
        <f t="shared" ref="D16:N16" si="1">+D14*C16</f>
        <v>392.32368966591741</v>
      </c>
      <c r="E16" s="337">
        <f t="shared" si="1"/>
        <v>422.26696822887641</v>
      </c>
      <c r="F16" s="337">
        <f t="shared" si="1"/>
        <v>445.10206861858592</v>
      </c>
      <c r="G16" s="337">
        <f t="shared" si="1"/>
        <v>462.90323313963739</v>
      </c>
      <c r="H16" s="337">
        <f t="shared" si="1"/>
        <v>475.15977264593516</v>
      </c>
      <c r="I16" s="337">
        <f t="shared" si="1"/>
        <v>493.25275953618427</v>
      </c>
      <c r="J16" s="337">
        <f t="shared" si="1"/>
        <v>509.15707865745151</v>
      </c>
      <c r="K16" s="337">
        <f t="shared" si="1"/>
        <v>524.55070863262301</v>
      </c>
      <c r="L16" s="337">
        <f t="shared" si="1"/>
        <v>544.9782744764525</v>
      </c>
      <c r="M16" s="337">
        <f t="shared" si="1"/>
        <v>566.5731297970724</v>
      </c>
      <c r="N16" s="338">
        <f t="shared" si="1"/>
        <v>588.31389630229103</v>
      </c>
      <c r="P16" s="50"/>
      <c r="Q16" s="50"/>
      <c r="R16" s="50"/>
      <c r="S16" s="50"/>
      <c r="T16" s="50"/>
      <c r="U16" s="50"/>
    </row>
    <row r="17" spans="2:14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2:14" s="2" customFormat="1" ht="15.75">
      <c r="B18" s="2566" t="s">
        <v>1325</v>
      </c>
      <c r="C18" s="2568">
        <v>2021</v>
      </c>
      <c r="D18" s="2569"/>
      <c r="E18" s="2569"/>
      <c r="F18" s="2569"/>
      <c r="G18" s="2569"/>
      <c r="H18" s="2569"/>
      <c r="I18" s="2569"/>
      <c r="J18" s="2569"/>
      <c r="K18" s="2569"/>
      <c r="L18" s="2569"/>
      <c r="M18" s="2570"/>
      <c r="N18" s="2571"/>
    </row>
    <row r="19" spans="2:14" s="2" customFormat="1" ht="16.5" thickBot="1">
      <c r="B19" s="2567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</row>
    <row r="20" spans="2:14" s="2" customFormat="1" ht="15.75">
      <c r="B20" s="544" t="s">
        <v>1333</v>
      </c>
      <c r="C20" s="546">
        <v>836.71614007551375</v>
      </c>
      <c r="D20" s="546">
        <v>873</v>
      </c>
      <c r="E20" s="546">
        <v>896.6</v>
      </c>
      <c r="F20" s="545">
        <v>926.6</v>
      </c>
      <c r="G20" s="546">
        <v>934.40635110432243</v>
      </c>
      <c r="H20" s="546">
        <v>963.1</v>
      </c>
      <c r="I20" s="546">
        <v>970.356037422491</v>
      </c>
      <c r="J20" s="546">
        <v>981.9</v>
      </c>
      <c r="K20" s="546">
        <v>1006.8</v>
      </c>
      <c r="L20" s="546">
        <v>1030.7</v>
      </c>
      <c r="M20" s="546">
        <v>1047</v>
      </c>
      <c r="N20" s="1640">
        <v>1067.2</v>
      </c>
    </row>
    <row r="21" spans="2:14" s="2" customFormat="1" ht="15.75">
      <c r="B21" s="566"/>
      <c r="C21" s="163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1012"/>
    </row>
    <row r="22" spans="2:14" s="2" customFormat="1" ht="15.75">
      <c r="B22" s="1241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1633"/>
      <c r="N22" s="1643"/>
    </row>
    <row r="23" spans="2:14" s="2" customFormat="1" ht="15.75">
      <c r="B23" s="1241"/>
      <c r="C23" s="323">
        <f>+C20/N11</f>
        <v>1.0375944197365001</v>
      </c>
      <c r="D23" s="323">
        <f t="shared" ref="D23:N23" si="2">+D20/C20</f>
        <v>1.0433645990397791</v>
      </c>
      <c r="E23" s="323">
        <f t="shared" si="2"/>
        <v>1.0270332187857962</v>
      </c>
      <c r="F23" s="323">
        <f t="shared" si="2"/>
        <v>1.033459736783404</v>
      </c>
      <c r="G23" s="323">
        <f t="shared" si="2"/>
        <v>1.0084247259921459</v>
      </c>
      <c r="H23" s="323">
        <f t="shared" si="2"/>
        <v>1.0307078915524988</v>
      </c>
      <c r="I23" s="323">
        <f t="shared" si="2"/>
        <v>1.0075340436325313</v>
      </c>
      <c r="J23" s="323">
        <f t="shared" si="2"/>
        <v>1.0118966257046977</v>
      </c>
      <c r="K23" s="323">
        <f t="shared" si="2"/>
        <v>1.0253589978612894</v>
      </c>
      <c r="L23" s="323">
        <f t="shared" si="2"/>
        <v>1.0237385776718317</v>
      </c>
      <c r="M23" s="323">
        <f t="shared" si="2"/>
        <v>1.0158144950033956</v>
      </c>
      <c r="N23" s="1643">
        <f t="shared" si="2"/>
        <v>1.0192932187201529</v>
      </c>
    </row>
    <row r="24" spans="2:14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</row>
    <row r="25" spans="2:14" s="2" customFormat="1" ht="16.5" thickBot="1">
      <c r="B25" s="1243" t="s">
        <v>1334</v>
      </c>
      <c r="C25" s="337">
        <f>+C23*N16</f>
        <v>610.43121585669519</v>
      </c>
      <c r="D25" s="337">
        <f t="shared" ref="D25:N25" si="3">+D23*C25</f>
        <v>636.90232077368557</v>
      </c>
      <c r="E25" s="337">
        <f t="shared" si="3"/>
        <v>654.11984055634196</v>
      </c>
      <c r="F25" s="337">
        <f t="shared" si="3"/>
        <v>676.00651824615932</v>
      </c>
      <c r="G25" s="337">
        <f t="shared" si="3"/>
        <v>681.70168793128778</v>
      </c>
      <c r="H25" s="337">
        <f t="shared" si="3"/>
        <v>702.63530943543708</v>
      </c>
      <c r="I25" s="337">
        <f t="shared" si="3"/>
        <v>707.92899451448079</v>
      </c>
      <c r="J25" s="337">
        <f t="shared" si="3"/>
        <v>716.35096078772256</v>
      </c>
      <c r="K25" s="337">
        <f t="shared" si="3"/>
        <v>734.51690327027097</v>
      </c>
      <c r="L25" s="337">
        <f t="shared" si="3"/>
        <v>751.95328982982562</v>
      </c>
      <c r="M25" s="337">
        <f t="shared" si="3"/>
        <v>763.84505137462634</v>
      </c>
      <c r="N25" s="338">
        <f t="shared" si="3"/>
        <v>778.58208101910338</v>
      </c>
    </row>
    <row r="26" spans="2:14" ht="13.5" thickBot="1"/>
    <row r="27" spans="2:14" s="2" customFormat="1" ht="15.75">
      <c r="B27" s="2566" t="s">
        <v>1325</v>
      </c>
      <c r="C27" s="2568">
        <v>2022</v>
      </c>
      <c r="D27" s="2569"/>
      <c r="E27" s="2569"/>
      <c r="F27" s="2569"/>
      <c r="G27" s="2569"/>
      <c r="H27" s="2569"/>
      <c r="I27" s="2569"/>
      <c r="J27" s="2569"/>
      <c r="K27" s="2569"/>
      <c r="L27" s="2569"/>
      <c r="M27" s="2570"/>
      <c r="N27" s="2571"/>
    </row>
    <row r="28" spans="2:14" s="2" customFormat="1" ht="16.5" thickBot="1">
      <c r="B28" s="2567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1508" t="s">
        <v>577</v>
      </c>
    </row>
    <row r="29" spans="2:14" s="2" customFormat="1" ht="15.75">
      <c r="B29" s="544" t="s">
        <v>1333</v>
      </c>
      <c r="C29" s="546">
        <v>1108.5999999999999</v>
      </c>
      <c r="D29" s="546">
        <v>1141.8</v>
      </c>
      <c r="E29" s="546">
        <v>1190.5</v>
      </c>
      <c r="F29" s="1993">
        <v>1228.9000000000001</v>
      </c>
      <c r="G29" s="546">
        <v>1286.2</v>
      </c>
      <c r="H29" s="546">
        <v>1332.5</v>
      </c>
      <c r="I29" s="546">
        <v>1402.5</v>
      </c>
      <c r="J29" s="546">
        <v>1493.2</v>
      </c>
      <c r="K29" s="546">
        <v>1582.5</v>
      </c>
      <c r="L29" s="546">
        <v>1689</v>
      </c>
      <c r="M29" s="546">
        <v>1774.4</v>
      </c>
      <c r="N29" s="1640">
        <v>1881.4</v>
      </c>
    </row>
    <row r="30" spans="2:14" s="2" customFormat="1" ht="15.75">
      <c r="B30" s="566"/>
      <c r="C30" s="163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1012"/>
    </row>
    <row r="31" spans="2:14" s="2" customFormat="1" ht="15.75">
      <c r="B31" s="1241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1633"/>
      <c r="N31" s="1643"/>
    </row>
    <row r="32" spans="2:14" s="2" customFormat="1" ht="15.75">
      <c r="B32" s="1241"/>
      <c r="C32" s="323">
        <f>+C29/N20</f>
        <v>1.0387931034482758</v>
      </c>
      <c r="D32" s="323">
        <f t="shared" ref="D32:N32" si="4">+D29/C29</f>
        <v>1.0299476817607793</v>
      </c>
      <c r="E32" s="323">
        <f t="shared" si="4"/>
        <v>1.0426519530565774</v>
      </c>
      <c r="F32" s="323">
        <f t="shared" si="4"/>
        <v>1.0322553548929023</v>
      </c>
      <c r="G32" s="323">
        <f t="shared" si="4"/>
        <v>1.0466270648547482</v>
      </c>
      <c r="H32" s="323">
        <f t="shared" si="4"/>
        <v>1.035997512051003</v>
      </c>
      <c r="I32" s="323">
        <f t="shared" si="4"/>
        <v>1.0525328330206378</v>
      </c>
      <c r="J32" s="323">
        <f t="shared" si="4"/>
        <v>1.0646702317290553</v>
      </c>
      <c r="K32" s="323">
        <f t="shared" si="4"/>
        <v>1.0598044468256094</v>
      </c>
      <c r="L32" s="323">
        <f t="shared" si="4"/>
        <v>1.0672985781990521</v>
      </c>
      <c r="M32" s="323">
        <f t="shared" si="4"/>
        <v>1.0505624629958557</v>
      </c>
      <c r="N32" s="323">
        <f t="shared" si="4"/>
        <v>1.0603020739404869</v>
      </c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thickBot="1">
      <c r="B34" s="1243" t="s">
        <v>1334</v>
      </c>
      <c r="C34" s="337">
        <f>+C32*N25</f>
        <v>808.78569623105136</v>
      </c>
      <c r="D34" s="337">
        <f t="shared" ref="D34:N34" si="5">+D32*C34</f>
        <v>833.00695287444921</v>
      </c>
      <c r="E34" s="337">
        <f t="shared" si="5"/>
        <v>868.53632632425285</v>
      </c>
      <c r="F34" s="337">
        <f t="shared" si="5"/>
        <v>896.5512737672193</v>
      </c>
      <c r="G34" s="337">
        <f t="shared" si="5"/>
        <v>938.35482815477053</v>
      </c>
      <c r="H34" s="337">
        <f t="shared" si="5"/>
        <v>972.13326738938872</v>
      </c>
      <c r="I34" s="337">
        <f t="shared" si="5"/>
        <v>1023.2021819989625</v>
      </c>
      <c r="J34" s="337">
        <f t="shared" si="5"/>
        <v>1089.3729042145103</v>
      </c>
      <c r="K34" s="337">
        <f t="shared" si="5"/>
        <v>1154.5222481378667</v>
      </c>
      <c r="L34" s="337">
        <f t="shared" si="5"/>
        <v>1232.2199539367182</v>
      </c>
      <c r="M34" s="337">
        <f t="shared" si="5"/>
        <v>1294.5240297603984</v>
      </c>
      <c r="N34" s="337">
        <f t="shared" si="5"/>
        <v>1372.5865135207471</v>
      </c>
    </row>
    <row r="35" spans="2:14" ht="13.5" thickBot="1"/>
    <row r="36" spans="2:14" s="2" customFormat="1" ht="15.75">
      <c r="B36" s="2566" t="s">
        <v>1325</v>
      </c>
      <c r="C36" s="2568">
        <v>2023</v>
      </c>
      <c r="D36" s="2569"/>
      <c r="E36" s="2569"/>
      <c r="F36" s="2569"/>
      <c r="G36" s="2569"/>
      <c r="H36" s="2569"/>
      <c r="I36" s="2569"/>
      <c r="J36" s="2569"/>
      <c r="K36" s="2569"/>
      <c r="L36" s="2569"/>
      <c r="M36" s="2570"/>
      <c r="N36" s="2571"/>
    </row>
    <row r="37" spans="2:14" s="2" customFormat="1" ht="16.5" thickBot="1">
      <c r="B37" s="2567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1508" t="s">
        <v>577</v>
      </c>
    </row>
    <row r="38" spans="2:14" s="2" customFormat="1" ht="15.75">
      <c r="B38" s="544" t="s">
        <v>1333</v>
      </c>
      <c r="C38" s="546">
        <v>1996.1</v>
      </c>
      <c r="D38" s="546">
        <v>2159.1</v>
      </c>
      <c r="E38" s="546"/>
      <c r="F38" s="1993"/>
      <c r="G38" s="546"/>
      <c r="H38" s="546"/>
      <c r="I38" s="546"/>
      <c r="J38" s="546"/>
      <c r="K38" s="546"/>
      <c r="L38" s="546"/>
      <c r="M38" s="546"/>
      <c r="N38" s="1640"/>
    </row>
    <row r="39" spans="2:14" s="2" customFormat="1" ht="15.75">
      <c r="B39" s="566"/>
      <c r="C39" s="163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1012"/>
    </row>
    <row r="40" spans="2:14" s="2" customFormat="1" ht="15.75">
      <c r="B40" s="1241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1633"/>
      <c r="N40" s="1643"/>
    </row>
    <row r="41" spans="2:14" s="2" customFormat="1" ht="15.75">
      <c r="B41" s="1241"/>
      <c r="C41" s="323">
        <f>+C38/N29</f>
        <v>1.0609652386520676</v>
      </c>
      <c r="D41" s="323">
        <f t="shared" ref="D41" si="6">+D38/C38</f>
        <v>1.0816592355092429</v>
      </c>
      <c r="E41" s="323"/>
      <c r="F41" s="323"/>
      <c r="G41" s="323"/>
      <c r="H41" s="323"/>
      <c r="I41" s="323"/>
      <c r="J41" s="323"/>
      <c r="K41" s="323"/>
      <c r="L41" s="323"/>
      <c r="M41" s="323"/>
      <c r="N41" s="323"/>
    </row>
    <row r="42" spans="2:14" s="2" customFormat="1" ht="16.5" thickBot="1">
      <c r="B42" s="369"/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0"/>
    </row>
    <row r="43" spans="2:14" s="2" customFormat="1" ht="16.5" thickBot="1">
      <c r="B43" s="1243" t="s">
        <v>1334</v>
      </c>
      <c r="C43" s="337">
        <f>+C41*N34</f>
        <v>1456.2665778881487</v>
      </c>
      <c r="D43" s="337">
        <f t="shared" ref="D43" si="7">+D41*C43</f>
        <v>1575.1841933361563</v>
      </c>
      <c r="E43" s="337">
        <f t="shared" ref="E43" si="8">+E41*D43</f>
        <v>0</v>
      </c>
      <c r="F43" s="337">
        <f t="shared" ref="F43" si="9">+F41*E43</f>
        <v>0</v>
      </c>
      <c r="G43" s="337">
        <f t="shared" ref="G43" si="10">+G41*F43</f>
        <v>0</v>
      </c>
      <c r="H43" s="337">
        <f t="shared" ref="H43" si="11">+H41*G43</f>
        <v>0</v>
      </c>
      <c r="I43" s="337">
        <f t="shared" ref="I43" si="12">+I41*H43</f>
        <v>0</v>
      </c>
      <c r="J43" s="337">
        <f t="shared" ref="J43" si="13">+J41*I43</f>
        <v>0</v>
      </c>
      <c r="K43" s="337">
        <f t="shared" ref="K43" si="14">+K41*J43</f>
        <v>0</v>
      </c>
      <c r="L43" s="337">
        <f t="shared" ref="L43" si="15">+L41*K43</f>
        <v>0</v>
      </c>
      <c r="M43" s="337">
        <f t="shared" ref="M43" si="16">+M41*L43</f>
        <v>0</v>
      </c>
      <c r="N43" s="337">
        <f t="shared" ref="N43" si="17">+N41*M43</f>
        <v>0</v>
      </c>
    </row>
  </sheetData>
  <mergeCells count="13">
    <mergeCell ref="D1:O1"/>
    <mergeCell ref="D2:O2"/>
    <mergeCell ref="B4:O4"/>
    <mergeCell ref="B36:B37"/>
    <mergeCell ref="C36:N36"/>
    <mergeCell ref="B27:B28"/>
    <mergeCell ref="C27:N27"/>
    <mergeCell ref="S4:V4"/>
    <mergeCell ref="S5:U5"/>
    <mergeCell ref="B9:B10"/>
    <mergeCell ref="C9:N9"/>
    <mergeCell ref="B18:B19"/>
    <mergeCell ref="C18:N18"/>
  </mergeCells>
  <printOptions horizontalCentered="1"/>
  <pageMargins left="0" right="0" top="0.74803149606299213" bottom="0.74803149606299213" header="0.31496062992125984" footer="0.31496062992125984"/>
  <pageSetup paperSize="5" scale="72" orientation="landscape" r:id="rId1"/>
  <rowBreaks count="1" manualBreakCount="1">
    <brk id="15" max="14" man="1"/>
  </rowBreaks>
  <colBreaks count="1" manualBreakCount="1">
    <brk id="13" max="4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92D050"/>
  </sheetPr>
  <dimension ref="B1:X641"/>
  <sheetViews>
    <sheetView showGridLines="0" showZeros="0" view="pageBreakPreview" topLeftCell="A499" zoomScale="70" zoomScaleSheetLayoutView="70" workbookViewId="0">
      <selection activeCell="F641" sqref="F641"/>
    </sheetView>
  </sheetViews>
  <sheetFormatPr baseColWidth="10" defaultColWidth="11.42578125" defaultRowHeight="15.75"/>
  <cols>
    <col min="1" max="1" width="3.85546875" style="2" customWidth="1"/>
    <col min="2" max="2" width="64.42578125" style="132" customWidth="1"/>
    <col min="3" max="3" width="8" style="132" customWidth="1"/>
    <col min="4" max="4" width="11.140625" style="132" customWidth="1"/>
    <col min="5" max="5" width="10.28515625" style="132" customWidth="1"/>
    <col min="6" max="6" width="9.7109375" style="132" customWidth="1"/>
    <col min="7" max="7" width="10.140625" style="132" customWidth="1"/>
    <col min="8" max="8" width="10" style="132" customWidth="1"/>
    <col min="9" max="9" width="9.7109375" style="132" customWidth="1"/>
    <col min="10" max="10" width="9.5703125" style="132" customWidth="1"/>
    <col min="11" max="11" width="10.28515625" style="132" customWidth="1"/>
    <col min="12" max="12" width="10.5703125" style="132" customWidth="1"/>
    <col min="13" max="13" width="10" style="132" customWidth="1"/>
    <col min="14" max="14" width="11.140625" style="132" customWidth="1"/>
    <col min="15" max="15" width="10.42578125" style="132" customWidth="1"/>
    <col min="16" max="16" width="10.5703125" style="132" customWidth="1"/>
    <col min="17" max="17" width="1.7109375" style="2" customWidth="1"/>
    <col min="18" max="18" width="9.7109375" style="2" customWidth="1"/>
    <col min="19" max="19" width="8.28515625" style="2" customWidth="1"/>
    <col min="20" max="16384" width="11.42578125" style="2"/>
  </cols>
  <sheetData>
    <row r="1" spans="2:19">
      <c r="B1" s="132" t="s">
        <v>591</v>
      </c>
      <c r="D1" s="2691" t="s">
        <v>592</v>
      </c>
      <c r="E1" s="2691"/>
      <c r="F1" s="2691"/>
      <c r="G1" s="2691"/>
      <c r="H1" s="2691"/>
      <c r="I1" s="2691"/>
      <c r="J1" s="2691"/>
      <c r="K1" s="2691"/>
      <c r="L1" s="2691"/>
      <c r="M1" s="2691"/>
      <c r="N1" s="2691"/>
      <c r="R1" s="1559"/>
      <c r="S1" s="1559"/>
    </row>
    <row r="2" spans="2:19">
      <c r="B2" s="132" t="s">
        <v>593</v>
      </c>
      <c r="D2" s="2691" t="s">
        <v>594</v>
      </c>
      <c r="E2" s="2691"/>
      <c r="F2" s="2691"/>
      <c r="G2" s="2691"/>
      <c r="H2" s="2691"/>
      <c r="I2" s="2691"/>
      <c r="J2" s="2691"/>
      <c r="K2" s="2691"/>
      <c r="L2" s="2691"/>
      <c r="M2" s="2691"/>
      <c r="N2" s="2691"/>
      <c r="R2" s="1559"/>
      <c r="S2" s="1559"/>
    </row>
    <row r="3" spans="2:19">
      <c r="B3" s="132" t="s">
        <v>595</v>
      </c>
      <c r="R3" s="1559"/>
      <c r="S3" s="1559"/>
    </row>
    <row r="4" spans="2:19">
      <c r="D4" s="2690" t="s">
        <v>633</v>
      </c>
      <c r="E4" s="2690"/>
      <c r="F4" s="2690"/>
      <c r="G4" s="2690"/>
      <c r="H4" s="2690"/>
      <c r="I4" s="2690"/>
      <c r="J4" s="2690"/>
      <c r="K4" s="2690"/>
      <c r="L4" s="2690"/>
      <c r="M4" s="2690"/>
      <c r="N4" s="2690"/>
      <c r="R4" s="1559"/>
      <c r="S4" s="1559"/>
    </row>
    <row r="5" spans="2:19"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R5" s="1559"/>
      <c r="S5" s="1559"/>
    </row>
    <row r="6" spans="2:19">
      <c r="B6" s="3" t="s">
        <v>634</v>
      </c>
      <c r="C6" s="3"/>
      <c r="R6" s="1559"/>
      <c r="S6" s="1559"/>
    </row>
    <row r="7" spans="2:19" ht="12.75" customHeight="1">
      <c r="B7" s="3"/>
      <c r="C7" s="3"/>
      <c r="R7" s="1559"/>
      <c r="S7" s="1559"/>
    </row>
    <row r="8" spans="2:19" ht="16.5" thickBot="1">
      <c r="B8" s="2685" t="s">
        <v>1319</v>
      </c>
      <c r="C8" s="2686"/>
      <c r="D8" s="2686"/>
      <c r="E8" s="2686"/>
      <c r="F8" s="2686"/>
      <c r="G8" s="2686"/>
      <c r="H8" s="2686"/>
      <c r="I8" s="2686"/>
      <c r="J8" s="2686"/>
      <c r="R8" s="1559"/>
      <c r="S8" s="1559"/>
    </row>
    <row r="9" spans="2:19" ht="16.5" hidden="1" thickBot="1">
      <c r="C9" s="401">
        <v>2001</v>
      </c>
      <c r="D9" s="2682">
        <v>2002</v>
      </c>
      <c r="E9" s="2683"/>
      <c r="F9" s="2683"/>
      <c r="G9" s="2683"/>
      <c r="H9" s="2683"/>
      <c r="I9" s="2683"/>
      <c r="J9" s="2683"/>
      <c r="K9" s="2683"/>
      <c r="L9" s="2683"/>
      <c r="M9" s="2683"/>
      <c r="N9" s="2683"/>
      <c r="O9" s="2684"/>
      <c r="R9" s="1559"/>
      <c r="S9" s="1559"/>
    </row>
    <row r="10" spans="2:19" ht="16.5" hidden="1" thickBot="1">
      <c r="C10" s="298" t="s">
        <v>577</v>
      </c>
      <c r="D10" s="449" t="s">
        <v>578</v>
      </c>
      <c r="E10" s="412" t="s">
        <v>579</v>
      </c>
      <c r="F10" s="412" t="s">
        <v>580</v>
      </c>
      <c r="G10" s="412" t="s">
        <v>581</v>
      </c>
      <c r="H10" s="412" t="s">
        <v>582</v>
      </c>
      <c r="I10" s="412" t="s">
        <v>583</v>
      </c>
      <c r="J10" s="412" t="s">
        <v>636</v>
      </c>
      <c r="K10" s="412" t="s">
        <v>637</v>
      </c>
      <c r="L10" s="412" t="s">
        <v>638</v>
      </c>
      <c r="M10" s="412" t="s">
        <v>639</v>
      </c>
      <c r="N10" s="412" t="s">
        <v>586</v>
      </c>
      <c r="O10" s="413" t="s">
        <v>577</v>
      </c>
      <c r="R10" s="1559"/>
      <c r="S10" s="1559"/>
    </row>
    <row r="11" spans="2:19" hidden="1">
      <c r="B11" s="132" t="s">
        <v>143</v>
      </c>
      <c r="C11" s="450">
        <v>86.98</v>
      </c>
      <c r="D11" s="451">
        <v>96.77</v>
      </c>
      <c r="E11" s="452">
        <v>124.1</v>
      </c>
      <c r="F11" s="451">
        <v>151.43</v>
      </c>
      <c r="G11" s="451">
        <v>177.29</v>
      </c>
      <c r="H11" s="451">
        <v>233.84</v>
      </c>
      <c r="I11" s="451">
        <v>250.46</v>
      </c>
      <c r="J11" s="451">
        <v>254.83</v>
      </c>
      <c r="K11" s="451">
        <v>274.5</v>
      </c>
      <c r="L11" s="451">
        <v>269.93</v>
      </c>
      <c r="M11" s="451">
        <v>270.97000000000003</v>
      </c>
      <c r="N11" s="451">
        <v>249.68</v>
      </c>
      <c r="O11" s="453">
        <v>246.56</v>
      </c>
      <c r="R11" s="1559"/>
      <c r="S11" s="1559"/>
    </row>
    <row r="12" spans="2:19" hidden="1">
      <c r="B12" s="132" t="s">
        <v>830</v>
      </c>
      <c r="C12" s="1153">
        <f t="shared" ref="C12:O12" si="0">ROUND(100*C11/$C$11,2)</f>
        <v>100</v>
      </c>
      <c r="D12" s="475">
        <f t="shared" si="0"/>
        <v>111.26</v>
      </c>
      <c r="E12" s="475">
        <f t="shared" si="0"/>
        <v>142.68</v>
      </c>
      <c r="F12" s="475">
        <f t="shared" si="0"/>
        <v>174.1</v>
      </c>
      <c r="G12" s="475">
        <f t="shared" si="0"/>
        <v>203.83</v>
      </c>
      <c r="H12" s="475">
        <f t="shared" si="0"/>
        <v>268.83999999999997</v>
      </c>
      <c r="I12" s="475">
        <f t="shared" si="0"/>
        <v>287.95</v>
      </c>
      <c r="J12" s="475">
        <f t="shared" si="0"/>
        <v>292.98</v>
      </c>
      <c r="K12" s="475">
        <f t="shared" si="0"/>
        <v>315.58999999999997</v>
      </c>
      <c r="L12" s="475">
        <f t="shared" si="0"/>
        <v>310.33999999999997</v>
      </c>
      <c r="M12" s="475">
        <f t="shared" si="0"/>
        <v>311.52999999999997</v>
      </c>
      <c r="N12" s="475">
        <f t="shared" si="0"/>
        <v>287.05</v>
      </c>
      <c r="O12" s="1154">
        <f t="shared" si="0"/>
        <v>283.47000000000003</v>
      </c>
      <c r="R12" s="1559"/>
      <c r="S12" s="1559"/>
    </row>
    <row r="13" spans="2:19" ht="6" hidden="1" customHeight="1">
      <c r="C13" s="566"/>
      <c r="D13" s="1155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6"/>
      <c r="R13" s="1559"/>
      <c r="S13" s="1559"/>
    </row>
    <row r="14" spans="2:19" ht="3" hidden="1" customHeight="1" thickBot="1">
      <c r="C14" s="817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1152"/>
      <c r="R14" s="1559"/>
      <c r="S14" s="1559"/>
    </row>
    <row r="15" spans="2:19" ht="16.5" hidden="1" thickBot="1">
      <c r="B15" s="269" t="s">
        <v>641</v>
      </c>
      <c r="C15" s="135">
        <f t="shared" ref="C15:O15" si="1">+C12</f>
        <v>100</v>
      </c>
      <c r="D15" s="337">
        <f t="shared" si="1"/>
        <v>111.26</v>
      </c>
      <c r="E15" s="337">
        <f t="shared" si="1"/>
        <v>142.68</v>
      </c>
      <c r="F15" s="337">
        <f t="shared" si="1"/>
        <v>174.1</v>
      </c>
      <c r="G15" s="337">
        <f t="shared" si="1"/>
        <v>203.83</v>
      </c>
      <c r="H15" s="337">
        <f t="shared" si="1"/>
        <v>268.83999999999997</v>
      </c>
      <c r="I15" s="337">
        <f t="shared" si="1"/>
        <v>287.95</v>
      </c>
      <c r="J15" s="337">
        <f t="shared" si="1"/>
        <v>292.98</v>
      </c>
      <c r="K15" s="337">
        <f t="shared" si="1"/>
        <v>315.58999999999997</v>
      </c>
      <c r="L15" s="337">
        <f t="shared" si="1"/>
        <v>310.33999999999997</v>
      </c>
      <c r="M15" s="337">
        <f t="shared" si="1"/>
        <v>311.52999999999997</v>
      </c>
      <c r="N15" s="337">
        <f t="shared" si="1"/>
        <v>287.05</v>
      </c>
      <c r="O15" s="338">
        <f t="shared" si="1"/>
        <v>283.47000000000003</v>
      </c>
      <c r="R15" s="1559"/>
      <c r="S15" s="1559"/>
    </row>
    <row r="16" spans="2:19" ht="9" hidden="1" customHeight="1" thickBot="1">
      <c r="B16" s="269"/>
      <c r="C16" s="269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1"/>
      <c r="R16" s="1559"/>
      <c r="S16" s="1559"/>
    </row>
    <row r="17" spans="2:19" ht="16.5" hidden="1" thickBot="1">
      <c r="B17" s="269"/>
      <c r="C17" s="269"/>
      <c r="D17" s="2682">
        <v>2003</v>
      </c>
      <c r="E17" s="2683"/>
      <c r="F17" s="2683"/>
      <c r="G17" s="2683"/>
      <c r="H17" s="2683"/>
      <c r="I17" s="2683"/>
      <c r="J17" s="2683"/>
      <c r="K17" s="2683"/>
      <c r="L17" s="2683"/>
      <c r="M17" s="2683"/>
      <c r="N17" s="2683"/>
      <c r="O17" s="2684"/>
      <c r="P17" s="138"/>
      <c r="Q17" s="11"/>
      <c r="R17" s="1559"/>
      <c r="S17" s="1559"/>
    </row>
    <row r="18" spans="2:19" ht="16.5" hidden="1" thickBot="1">
      <c r="B18" s="269"/>
      <c r="C18" s="269"/>
      <c r="D18" s="449" t="s">
        <v>578</v>
      </c>
      <c r="E18" s="412" t="s">
        <v>579</v>
      </c>
      <c r="F18" s="412" t="s">
        <v>580</v>
      </c>
      <c r="G18" s="454" t="s">
        <v>581</v>
      </c>
      <c r="H18" s="454" t="s">
        <v>582</v>
      </c>
      <c r="I18" s="455" t="s">
        <v>583</v>
      </c>
      <c r="J18" s="455" t="s">
        <v>587</v>
      </c>
      <c r="K18" s="455" t="s">
        <v>588</v>
      </c>
      <c r="L18" s="455" t="s">
        <v>589</v>
      </c>
      <c r="M18" s="456" t="s">
        <v>590</v>
      </c>
      <c r="N18" s="456" t="s">
        <v>586</v>
      </c>
      <c r="O18" s="457" t="s">
        <v>611</v>
      </c>
      <c r="P18" s="138"/>
      <c r="Q18" s="11"/>
      <c r="R18" s="1559"/>
      <c r="S18" s="1559"/>
    </row>
    <row r="19" spans="2:19" hidden="1">
      <c r="B19" s="132" t="s">
        <v>640</v>
      </c>
      <c r="D19" s="458">
        <v>235.25</v>
      </c>
      <c r="E19" s="403">
        <v>232.29</v>
      </c>
      <c r="F19" s="403">
        <v>219.12</v>
      </c>
      <c r="G19" s="459">
        <v>208.84</v>
      </c>
      <c r="H19" s="459">
        <v>201.61</v>
      </c>
      <c r="I19" s="459">
        <v>199.82</v>
      </c>
      <c r="J19" s="459">
        <v>195.1</v>
      </c>
      <c r="K19" s="459">
        <v>200.55</v>
      </c>
      <c r="L19" s="460">
        <v>200.67</v>
      </c>
      <c r="M19" s="460">
        <v>197.49</v>
      </c>
      <c r="N19" s="451">
        <v>198.58</v>
      </c>
      <c r="O19" s="453">
        <v>203.2</v>
      </c>
      <c r="P19" s="138"/>
      <c r="Q19" s="11"/>
      <c r="R19" s="1559"/>
      <c r="S19" s="1559"/>
    </row>
    <row r="20" spans="2:19" ht="16.5" hidden="1" thickBot="1">
      <c r="B20" s="132" t="s">
        <v>830</v>
      </c>
      <c r="D20" s="461">
        <f t="shared" ref="D20:O20" si="2">ROUND(100*D19/$C$11,2)</f>
        <v>270.45999999999998</v>
      </c>
      <c r="E20" s="370">
        <f t="shared" si="2"/>
        <v>267.06</v>
      </c>
      <c r="F20" s="370">
        <f t="shared" si="2"/>
        <v>251.92</v>
      </c>
      <c r="G20" s="370">
        <f t="shared" si="2"/>
        <v>240.1</v>
      </c>
      <c r="H20" s="370">
        <f t="shared" si="2"/>
        <v>231.79</v>
      </c>
      <c r="I20" s="370">
        <f t="shared" si="2"/>
        <v>229.73</v>
      </c>
      <c r="J20" s="370">
        <f t="shared" si="2"/>
        <v>224.3</v>
      </c>
      <c r="K20" s="370">
        <f t="shared" si="2"/>
        <v>230.57</v>
      </c>
      <c r="L20" s="370">
        <f t="shared" si="2"/>
        <v>230.71</v>
      </c>
      <c r="M20" s="370">
        <f t="shared" si="2"/>
        <v>227.05</v>
      </c>
      <c r="N20" s="282">
        <f t="shared" si="2"/>
        <v>228.31</v>
      </c>
      <c r="O20" s="282">
        <f t="shared" si="2"/>
        <v>233.62</v>
      </c>
      <c r="P20" s="138"/>
      <c r="Q20" s="11"/>
      <c r="R20" s="1559"/>
      <c r="S20" s="1559"/>
    </row>
    <row r="21" spans="2:19" ht="6" hidden="1" customHeight="1"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1"/>
      <c r="R21" s="1559"/>
      <c r="S21" s="1559"/>
    </row>
    <row r="22" spans="2:19" ht="6" hidden="1" customHeight="1" thickBot="1">
      <c r="G22" s="137"/>
      <c r="H22" s="137"/>
      <c r="I22" s="137"/>
      <c r="J22" s="137"/>
      <c r="K22" s="137"/>
      <c r="L22" s="137"/>
      <c r="M22" s="137"/>
      <c r="N22" s="137"/>
      <c r="R22" s="1559"/>
      <c r="S22" s="1559"/>
    </row>
    <row r="23" spans="2:19" ht="16.5" hidden="1" thickBot="1">
      <c r="B23" s="269" t="s">
        <v>641</v>
      </c>
      <c r="C23" s="269"/>
      <c r="D23" s="136">
        <f t="shared" ref="D23:O23" si="3">+D20</f>
        <v>270.45999999999998</v>
      </c>
      <c r="E23" s="136">
        <f t="shared" si="3"/>
        <v>267.06</v>
      </c>
      <c r="F23" s="136">
        <f t="shared" si="3"/>
        <v>251.92</v>
      </c>
      <c r="G23" s="136">
        <f t="shared" si="3"/>
        <v>240.1</v>
      </c>
      <c r="H23" s="136">
        <f t="shared" si="3"/>
        <v>231.79</v>
      </c>
      <c r="I23" s="136">
        <f t="shared" si="3"/>
        <v>229.73</v>
      </c>
      <c r="J23" s="136">
        <f t="shared" si="3"/>
        <v>224.3</v>
      </c>
      <c r="K23" s="136">
        <f t="shared" si="3"/>
        <v>230.57</v>
      </c>
      <c r="L23" s="136">
        <f t="shared" si="3"/>
        <v>230.71</v>
      </c>
      <c r="M23" s="136">
        <f t="shared" si="3"/>
        <v>227.05</v>
      </c>
      <c r="N23" s="136">
        <f t="shared" si="3"/>
        <v>228.31</v>
      </c>
      <c r="O23" s="136">
        <f t="shared" si="3"/>
        <v>233.62</v>
      </c>
      <c r="P23" s="462"/>
      <c r="Q23" s="20"/>
      <c r="R23" s="1559"/>
      <c r="S23" s="1559"/>
    </row>
    <row r="24" spans="2:19" ht="16.5" hidden="1" thickBot="1">
      <c r="R24" s="1559"/>
      <c r="S24" s="1559"/>
    </row>
    <row r="25" spans="2:19" ht="16.5" hidden="1" thickBot="1">
      <c r="B25" s="269"/>
      <c r="C25" s="269"/>
      <c r="D25" s="2682">
        <v>2004</v>
      </c>
      <c r="E25" s="2683"/>
      <c r="F25" s="2683"/>
      <c r="G25" s="2683"/>
      <c r="H25" s="2683"/>
      <c r="I25" s="2683"/>
      <c r="J25" s="2683"/>
      <c r="K25" s="2683"/>
      <c r="L25" s="2683"/>
      <c r="M25" s="2683"/>
      <c r="N25" s="2683"/>
      <c r="O25" s="2684"/>
      <c r="P25" s="138"/>
      <c r="Q25" s="11"/>
      <c r="R25" s="1559"/>
      <c r="S25" s="1559"/>
    </row>
    <row r="26" spans="2:19" ht="16.5" hidden="1" thickBot="1">
      <c r="B26" s="269"/>
      <c r="C26" s="269"/>
      <c r="D26" s="449" t="s">
        <v>578</v>
      </c>
      <c r="E26" s="412" t="s">
        <v>579</v>
      </c>
      <c r="F26" s="412" t="s">
        <v>580</v>
      </c>
      <c r="G26" s="454" t="s">
        <v>581</v>
      </c>
      <c r="H26" s="454" t="s">
        <v>582</v>
      </c>
      <c r="I26" s="455" t="s">
        <v>583</v>
      </c>
      <c r="J26" s="455" t="s">
        <v>587</v>
      </c>
      <c r="K26" s="455" t="s">
        <v>588</v>
      </c>
      <c r="L26" s="455" t="s">
        <v>589</v>
      </c>
      <c r="M26" s="456" t="s">
        <v>590</v>
      </c>
      <c r="N26" s="456" t="s">
        <v>586</v>
      </c>
      <c r="O26" s="457" t="s">
        <v>611</v>
      </c>
      <c r="P26" s="138"/>
      <c r="Q26" s="11"/>
      <c r="R26" s="1559"/>
      <c r="S26" s="1559"/>
    </row>
    <row r="27" spans="2:19" hidden="1">
      <c r="B27" s="132" t="s">
        <v>640</v>
      </c>
      <c r="D27" s="463">
        <v>201.71</v>
      </c>
      <c r="E27" s="464">
        <v>202.78</v>
      </c>
      <c r="F27" s="464">
        <v>201.87</v>
      </c>
      <c r="G27" s="451">
        <v>197.8</v>
      </c>
      <c r="H27" s="451">
        <v>201.36</v>
      </c>
      <c r="I27" s="451">
        <v>203.29</v>
      </c>
      <c r="J27" s="451">
        <v>202</v>
      </c>
      <c r="K27" s="451">
        <f>+'ANEXOA-AMORTIZACION'!AA17</f>
        <v>205.35</v>
      </c>
      <c r="L27" s="451">
        <v>201.39</v>
      </c>
      <c r="M27" s="451">
        <f>+'ANEXOA-AMORTIZACION'!AC17</f>
        <v>200.73</v>
      </c>
      <c r="N27" s="451">
        <f>+'ANEXOA-AMORTIZACION'!AD17</f>
        <v>200.83</v>
      </c>
      <c r="O27" s="453">
        <f>+'ANEXOA-AMORTIZACION'!AE17</f>
        <v>202.68</v>
      </c>
      <c r="P27" s="138"/>
      <c r="Q27" s="11"/>
      <c r="R27" s="1559"/>
      <c r="S27" s="1559"/>
    </row>
    <row r="28" spans="2:19" ht="16.5" hidden="1" thickBot="1">
      <c r="B28" s="132" t="s">
        <v>830</v>
      </c>
      <c r="D28" s="297">
        <f t="shared" ref="D28:O28" si="4">ROUND(100*D27/$C$11,2)</f>
        <v>231.9</v>
      </c>
      <c r="E28" s="282">
        <f t="shared" si="4"/>
        <v>233.13</v>
      </c>
      <c r="F28" s="282">
        <f t="shared" si="4"/>
        <v>232.09</v>
      </c>
      <c r="G28" s="282">
        <f t="shared" si="4"/>
        <v>227.41</v>
      </c>
      <c r="H28" s="282">
        <f t="shared" si="4"/>
        <v>231.5</v>
      </c>
      <c r="I28" s="282">
        <f t="shared" si="4"/>
        <v>233.72</v>
      </c>
      <c r="J28" s="282">
        <f t="shared" si="4"/>
        <v>232.24</v>
      </c>
      <c r="K28" s="282">
        <f t="shared" si="4"/>
        <v>236.09</v>
      </c>
      <c r="L28" s="282">
        <f t="shared" si="4"/>
        <v>231.54</v>
      </c>
      <c r="M28" s="282">
        <f t="shared" si="4"/>
        <v>230.78</v>
      </c>
      <c r="N28" s="282">
        <f t="shared" si="4"/>
        <v>230.89</v>
      </c>
      <c r="O28" s="320">
        <f t="shared" si="4"/>
        <v>233.02</v>
      </c>
      <c r="P28" s="138"/>
      <c r="Q28" s="11"/>
      <c r="R28" s="1559"/>
      <c r="S28" s="1559"/>
    </row>
    <row r="29" spans="2:19" ht="6" hidden="1" customHeight="1"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1"/>
      <c r="R29" s="1559"/>
      <c r="S29" s="1559"/>
    </row>
    <row r="30" spans="2:19" ht="6" hidden="1" customHeight="1" thickBot="1">
      <c r="G30" s="137"/>
      <c r="H30" s="137"/>
      <c r="I30" s="137"/>
      <c r="J30" s="137"/>
      <c r="K30" s="137"/>
      <c r="L30" s="137"/>
      <c r="M30" s="137"/>
      <c r="N30" s="137"/>
      <c r="R30" s="1559"/>
      <c r="S30" s="1559"/>
    </row>
    <row r="31" spans="2:19" ht="16.5" hidden="1" thickBot="1">
      <c r="B31" s="269" t="s">
        <v>641</v>
      </c>
      <c r="C31" s="269"/>
      <c r="D31" s="136">
        <f t="shared" ref="D31:O31" si="5">+D28</f>
        <v>231.9</v>
      </c>
      <c r="E31" s="136">
        <f t="shared" si="5"/>
        <v>233.13</v>
      </c>
      <c r="F31" s="136">
        <f t="shared" si="5"/>
        <v>232.09</v>
      </c>
      <c r="G31" s="136">
        <f t="shared" si="5"/>
        <v>227.41</v>
      </c>
      <c r="H31" s="136">
        <f t="shared" si="5"/>
        <v>231.5</v>
      </c>
      <c r="I31" s="136">
        <f t="shared" si="5"/>
        <v>233.72</v>
      </c>
      <c r="J31" s="136">
        <f t="shared" si="5"/>
        <v>232.24</v>
      </c>
      <c r="K31" s="136">
        <f t="shared" si="5"/>
        <v>236.09</v>
      </c>
      <c r="L31" s="136">
        <f t="shared" si="5"/>
        <v>231.54</v>
      </c>
      <c r="M31" s="136">
        <f t="shared" si="5"/>
        <v>230.78</v>
      </c>
      <c r="N31" s="136">
        <f t="shared" si="5"/>
        <v>230.89</v>
      </c>
      <c r="O31" s="136">
        <f t="shared" si="5"/>
        <v>233.02</v>
      </c>
      <c r="P31" s="462"/>
      <c r="Q31" s="20"/>
      <c r="R31" s="1559"/>
      <c r="S31" s="1559"/>
    </row>
    <row r="32" spans="2:19" ht="16.5" hidden="1" thickBot="1">
      <c r="B32" s="269"/>
      <c r="C32" s="269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462"/>
      <c r="Q32" s="20"/>
      <c r="R32" s="1559"/>
      <c r="S32" s="1559"/>
    </row>
    <row r="33" spans="2:19" ht="16.5" hidden="1" thickBot="1">
      <c r="B33" s="269"/>
      <c r="C33" s="269"/>
      <c r="D33" s="2682">
        <v>2005</v>
      </c>
      <c r="E33" s="2683"/>
      <c r="F33" s="2683"/>
      <c r="G33" s="2683"/>
      <c r="H33" s="2683"/>
      <c r="I33" s="2683"/>
      <c r="J33" s="2683"/>
      <c r="K33" s="2683"/>
      <c r="L33" s="2683"/>
      <c r="M33" s="2683"/>
      <c r="N33" s="2683"/>
      <c r="O33" s="2684"/>
      <c r="P33" s="138"/>
      <c r="Q33" s="11"/>
      <c r="R33" s="1559"/>
      <c r="S33" s="1559"/>
    </row>
    <row r="34" spans="2:19" ht="16.5" hidden="1" thickBot="1">
      <c r="B34" s="269"/>
      <c r="C34" s="269"/>
      <c r="D34" s="449" t="s">
        <v>578</v>
      </c>
      <c r="E34" s="412" t="s">
        <v>579</v>
      </c>
      <c r="F34" s="412" t="s">
        <v>580</v>
      </c>
      <c r="G34" s="454" t="s">
        <v>581</v>
      </c>
      <c r="H34" s="454" t="s">
        <v>582</v>
      </c>
      <c r="I34" s="465" t="s">
        <v>583</v>
      </c>
      <c r="J34" s="466" t="s">
        <v>587</v>
      </c>
      <c r="K34" s="466" t="s">
        <v>588</v>
      </c>
      <c r="L34" s="466" t="s">
        <v>589</v>
      </c>
      <c r="M34" s="466" t="s">
        <v>590</v>
      </c>
      <c r="N34" s="466" t="s">
        <v>586</v>
      </c>
      <c r="O34" s="467" t="s">
        <v>577</v>
      </c>
      <c r="P34" s="138"/>
      <c r="Q34" s="11"/>
      <c r="R34" s="1559"/>
      <c r="S34" s="1559"/>
    </row>
    <row r="35" spans="2:19" hidden="1">
      <c r="B35" s="132" t="s">
        <v>143</v>
      </c>
      <c r="D35" s="463">
        <v>201.91</v>
      </c>
      <c r="E35" s="464">
        <v>200.03</v>
      </c>
      <c r="F35" s="464">
        <v>201.18</v>
      </c>
      <c r="G35" s="451">
        <v>201.25</v>
      </c>
      <c r="H35" s="451">
        <v>201.16</v>
      </c>
      <c r="I35" s="451">
        <v>199.75</v>
      </c>
      <c r="J35" s="451">
        <v>199.21</v>
      </c>
      <c r="K35" s="451">
        <v>200.06</v>
      </c>
      <c r="L35" s="451">
        <v>200.96</v>
      </c>
      <c r="M35" s="451">
        <f>+'TABLA FINAL '!BE107</f>
        <v>202.99</v>
      </c>
      <c r="N35" s="451">
        <f>+'TABLA FINAL '!BF107</f>
        <v>203.01</v>
      </c>
      <c r="O35" s="453">
        <f>+'TABLA FINAL '!BG107</f>
        <v>205.3</v>
      </c>
      <c r="P35" s="138"/>
      <c r="Q35" s="11"/>
      <c r="R35" s="1559"/>
      <c r="S35" s="1559"/>
    </row>
    <row r="36" spans="2:19" ht="16.5" hidden="1" thickBot="1">
      <c r="B36" s="132" t="s">
        <v>830</v>
      </c>
      <c r="D36" s="297">
        <f t="shared" ref="D36:O36" si="6">ROUND(100*D35/$C$11,2)</f>
        <v>232.13</v>
      </c>
      <c r="E36" s="282">
        <f t="shared" si="6"/>
        <v>229.97</v>
      </c>
      <c r="F36" s="282">
        <f t="shared" si="6"/>
        <v>231.29</v>
      </c>
      <c r="G36" s="282">
        <f t="shared" si="6"/>
        <v>231.38</v>
      </c>
      <c r="H36" s="282">
        <f t="shared" si="6"/>
        <v>231.27</v>
      </c>
      <c r="I36" s="282">
        <f t="shared" si="6"/>
        <v>229.65</v>
      </c>
      <c r="J36" s="282">
        <f t="shared" si="6"/>
        <v>229.03</v>
      </c>
      <c r="K36" s="282">
        <f t="shared" si="6"/>
        <v>230.01</v>
      </c>
      <c r="L36" s="282">
        <f t="shared" si="6"/>
        <v>231.04</v>
      </c>
      <c r="M36" s="282">
        <f t="shared" si="6"/>
        <v>233.38</v>
      </c>
      <c r="N36" s="282">
        <f t="shared" si="6"/>
        <v>233.4</v>
      </c>
      <c r="O36" s="320">
        <f t="shared" si="6"/>
        <v>236.03</v>
      </c>
      <c r="P36" s="138"/>
      <c r="Q36" s="11"/>
      <c r="R36" s="1559"/>
      <c r="S36" s="1559"/>
    </row>
    <row r="37" spans="2:19" ht="9.75" hidden="1" customHeight="1"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1"/>
      <c r="R37" s="1559"/>
      <c r="S37" s="1559"/>
    </row>
    <row r="38" spans="2:19" ht="20.25" hidden="1" customHeight="1" thickBot="1">
      <c r="G38" s="137"/>
      <c r="H38" s="137"/>
      <c r="I38" s="137"/>
      <c r="J38" s="137"/>
      <c r="K38" s="137"/>
      <c r="L38" s="137"/>
      <c r="M38" s="137"/>
      <c r="N38" s="137"/>
      <c r="R38" s="1559"/>
      <c r="S38" s="1559"/>
    </row>
    <row r="39" spans="2:19" ht="20.25" hidden="1" customHeight="1" thickBot="1">
      <c r="B39" s="269" t="s">
        <v>641</v>
      </c>
      <c r="C39" s="269"/>
      <c r="D39" s="136">
        <f t="shared" ref="D39:O39" si="7">+D36</f>
        <v>232.13</v>
      </c>
      <c r="E39" s="136">
        <f t="shared" si="7"/>
        <v>229.97</v>
      </c>
      <c r="F39" s="136">
        <f t="shared" si="7"/>
        <v>231.29</v>
      </c>
      <c r="G39" s="136">
        <f t="shared" si="7"/>
        <v>231.38</v>
      </c>
      <c r="H39" s="136">
        <f t="shared" si="7"/>
        <v>231.27</v>
      </c>
      <c r="I39" s="136">
        <f t="shared" si="7"/>
        <v>229.65</v>
      </c>
      <c r="J39" s="136">
        <f t="shared" si="7"/>
        <v>229.03</v>
      </c>
      <c r="K39" s="136">
        <f t="shared" si="7"/>
        <v>230.01</v>
      </c>
      <c r="L39" s="136">
        <f t="shared" si="7"/>
        <v>231.04</v>
      </c>
      <c r="M39" s="136">
        <f t="shared" si="7"/>
        <v>233.38</v>
      </c>
      <c r="N39" s="136">
        <f t="shared" si="7"/>
        <v>233.4</v>
      </c>
      <c r="O39" s="136">
        <f t="shared" si="7"/>
        <v>236.03</v>
      </c>
      <c r="P39" s="462"/>
      <c r="Q39" s="20"/>
      <c r="R39" s="1559"/>
      <c r="S39" s="1559"/>
    </row>
    <row r="40" spans="2:19" ht="16.5" hidden="1" thickBot="1">
      <c r="B40" s="269"/>
      <c r="C40" s="269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462"/>
      <c r="Q40" s="20"/>
      <c r="R40" s="1559"/>
      <c r="S40" s="1559"/>
    </row>
    <row r="41" spans="2:19" ht="16.5" hidden="1" thickBot="1">
      <c r="B41" s="269"/>
      <c r="C41" s="269"/>
      <c r="D41" s="2682">
        <v>2006</v>
      </c>
      <c r="E41" s="2683"/>
      <c r="F41" s="2683"/>
      <c r="G41" s="2683"/>
      <c r="H41" s="2683"/>
      <c r="I41" s="2683"/>
      <c r="J41" s="2683"/>
      <c r="K41" s="2683"/>
      <c r="L41" s="2683"/>
      <c r="M41" s="2683"/>
      <c r="N41" s="2683"/>
      <c r="O41" s="2684"/>
      <c r="P41" s="138"/>
      <c r="Q41" s="11"/>
      <c r="R41" s="1559"/>
      <c r="S41" s="1559"/>
    </row>
    <row r="42" spans="2:19" ht="16.5" hidden="1" thickBot="1">
      <c r="B42" s="269"/>
      <c r="C42" s="269"/>
      <c r="D42" s="449" t="s">
        <v>578</v>
      </c>
      <c r="E42" s="412" t="s">
        <v>579</v>
      </c>
      <c r="F42" s="412" t="s">
        <v>580</v>
      </c>
      <c r="G42" s="454" t="s">
        <v>581</v>
      </c>
      <c r="H42" s="454" t="s">
        <v>582</v>
      </c>
      <c r="I42" s="465" t="s">
        <v>583</v>
      </c>
      <c r="J42" s="466" t="s">
        <v>587</v>
      </c>
      <c r="K42" s="466" t="s">
        <v>588</v>
      </c>
      <c r="L42" s="466" t="s">
        <v>589</v>
      </c>
      <c r="M42" s="466" t="s">
        <v>590</v>
      </c>
      <c r="N42" s="466" t="s">
        <v>586</v>
      </c>
      <c r="O42" s="467" t="s">
        <v>577</v>
      </c>
      <c r="P42" s="138"/>
      <c r="Q42" s="11"/>
      <c r="R42" s="1559"/>
      <c r="S42" s="1559"/>
    </row>
    <row r="43" spans="2:19" hidden="1">
      <c r="B43" s="132" t="s">
        <v>143</v>
      </c>
      <c r="D43" s="463">
        <v>207.32</v>
      </c>
      <c r="E43" s="464">
        <v>208.67</v>
      </c>
      <c r="F43" s="464">
        <v>210.06</v>
      </c>
      <c r="G43" s="451">
        <v>205.17</v>
      </c>
      <c r="H43" s="451">
        <v>205.6</v>
      </c>
      <c r="I43" s="451">
        <v>205.98</v>
      </c>
      <c r="J43" s="451">
        <v>207.15</v>
      </c>
      <c r="K43" s="451">
        <f>+'TABLA FINAL '!BO107</f>
        <v>210.4</v>
      </c>
      <c r="L43" s="451">
        <f>+'TABLA FINAL '!BP107</f>
        <v>211.75</v>
      </c>
      <c r="M43" s="451">
        <f>+'TABLA FINAL '!BQ107</f>
        <v>209.37</v>
      </c>
      <c r="N43" s="451">
        <f>+'TABLA FINAL '!BR107</f>
        <v>205.57</v>
      </c>
      <c r="O43" s="453">
        <f>+'TABLA FINAL '!BS107</f>
        <v>205.82</v>
      </c>
      <c r="P43" s="138"/>
      <c r="Q43" s="11"/>
      <c r="R43" s="1559"/>
      <c r="S43" s="1559"/>
    </row>
    <row r="44" spans="2:19" ht="16.5" hidden="1" thickBot="1">
      <c r="B44" s="132" t="s">
        <v>830</v>
      </c>
      <c r="D44" s="297">
        <f t="shared" ref="D44:O44" si="8">ROUND(100*D43/$C$11,2)</f>
        <v>238.35</v>
      </c>
      <c r="E44" s="282">
        <f t="shared" si="8"/>
        <v>239.91</v>
      </c>
      <c r="F44" s="282">
        <f t="shared" si="8"/>
        <v>241.5</v>
      </c>
      <c r="G44" s="282">
        <f t="shared" si="8"/>
        <v>235.88</v>
      </c>
      <c r="H44" s="282">
        <f t="shared" si="8"/>
        <v>236.38</v>
      </c>
      <c r="I44" s="282">
        <f t="shared" si="8"/>
        <v>236.81</v>
      </c>
      <c r="J44" s="282">
        <f t="shared" si="8"/>
        <v>238.16</v>
      </c>
      <c r="K44" s="282">
        <f t="shared" si="8"/>
        <v>241.89</v>
      </c>
      <c r="L44" s="282">
        <f t="shared" si="8"/>
        <v>243.45</v>
      </c>
      <c r="M44" s="282">
        <f t="shared" si="8"/>
        <v>240.71</v>
      </c>
      <c r="N44" s="282">
        <f t="shared" si="8"/>
        <v>236.34</v>
      </c>
      <c r="O44" s="320">
        <f t="shared" si="8"/>
        <v>236.63</v>
      </c>
      <c r="P44" s="138"/>
      <c r="Q44" s="11"/>
      <c r="R44" s="1559"/>
      <c r="S44" s="1559"/>
    </row>
    <row r="45" spans="2:19" ht="6.75" hidden="1" customHeight="1"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1"/>
      <c r="R45" s="1559"/>
      <c r="S45" s="1559"/>
    </row>
    <row r="46" spans="2:19" ht="6" hidden="1" customHeight="1" thickBot="1">
      <c r="G46" s="137"/>
      <c r="H46" s="137"/>
      <c r="I46" s="137"/>
      <c r="J46" s="137"/>
      <c r="K46" s="137"/>
      <c r="L46" s="137"/>
      <c r="M46" s="137"/>
      <c r="N46" s="137"/>
      <c r="O46" s="137"/>
      <c r="R46" s="1559"/>
      <c r="S46" s="1559"/>
    </row>
    <row r="47" spans="2:19" ht="15" hidden="1" customHeight="1" thickBot="1">
      <c r="B47" s="269" t="s">
        <v>641</v>
      </c>
      <c r="C47" s="269"/>
      <c r="D47" s="136">
        <f t="shared" ref="D47:M47" si="9">+D44</f>
        <v>238.35</v>
      </c>
      <c r="E47" s="136">
        <f t="shared" si="9"/>
        <v>239.91</v>
      </c>
      <c r="F47" s="136">
        <f t="shared" si="9"/>
        <v>241.5</v>
      </c>
      <c r="G47" s="136">
        <f t="shared" si="9"/>
        <v>235.88</v>
      </c>
      <c r="H47" s="136">
        <f t="shared" si="9"/>
        <v>236.38</v>
      </c>
      <c r="I47" s="136">
        <f t="shared" si="9"/>
        <v>236.81</v>
      </c>
      <c r="J47" s="136">
        <f t="shared" si="9"/>
        <v>238.16</v>
      </c>
      <c r="K47" s="136">
        <f t="shared" si="9"/>
        <v>241.89</v>
      </c>
      <c r="L47" s="136">
        <f t="shared" si="9"/>
        <v>243.45</v>
      </c>
      <c r="M47" s="136">
        <f t="shared" si="9"/>
        <v>240.71</v>
      </c>
      <c r="N47" s="136">
        <f>+N44</f>
        <v>236.34</v>
      </c>
      <c r="O47" s="136">
        <f>+O44</f>
        <v>236.63</v>
      </c>
      <c r="P47" s="462"/>
      <c r="Q47" s="20"/>
      <c r="R47" s="1559"/>
      <c r="S47" s="1559"/>
    </row>
    <row r="48" spans="2:19" ht="4.5" hidden="1" customHeight="1" thickBot="1">
      <c r="B48" s="269"/>
      <c r="C48" s="269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462"/>
      <c r="Q48" s="20"/>
      <c r="R48" s="1559"/>
      <c r="S48" s="1559"/>
    </row>
    <row r="49" spans="2:19" ht="16.5" hidden="1" thickBot="1">
      <c r="B49" s="269"/>
      <c r="C49" s="269"/>
      <c r="D49" s="2682">
        <v>2007</v>
      </c>
      <c r="E49" s="2683"/>
      <c r="F49" s="2683"/>
      <c r="G49" s="2683"/>
      <c r="H49" s="2683"/>
      <c r="I49" s="2683"/>
      <c r="J49" s="2683"/>
      <c r="K49" s="2683"/>
      <c r="L49" s="2683"/>
      <c r="M49" s="2683"/>
      <c r="N49" s="2683"/>
      <c r="O49" s="2684"/>
      <c r="P49" s="138"/>
      <c r="Q49" s="11"/>
      <c r="R49" s="1559"/>
      <c r="S49" s="1559"/>
    </row>
    <row r="50" spans="2:19" ht="16.5" hidden="1" thickBot="1">
      <c r="B50" s="269"/>
      <c r="C50" s="269"/>
      <c r="D50" s="449" t="s">
        <v>578</v>
      </c>
      <c r="E50" s="412" t="s">
        <v>579</v>
      </c>
      <c r="F50" s="412" t="s">
        <v>580</v>
      </c>
      <c r="G50" s="454" t="s">
        <v>581</v>
      </c>
      <c r="H50" s="454" t="s">
        <v>582</v>
      </c>
      <c r="I50" s="465" t="s">
        <v>583</v>
      </c>
      <c r="J50" s="466" t="s">
        <v>587</v>
      </c>
      <c r="K50" s="466" t="s">
        <v>588</v>
      </c>
      <c r="L50" s="466" t="s">
        <v>589</v>
      </c>
      <c r="M50" s="466" t="s">
        <v>590</v>
      </c>
      <c r="N50" s="466" t="s">
        <v>586</v>
      </c>
      <c r="O50" s="467" t="s">
        <v>577</v>
      </c>
      <c r="P50" s="138"/>
      <c r="Q50" s="11"/>
      <c r="R50" s="1559"/>
      <c r="S50" s="1559"/>
    </row>
    <row r="51" spans="2:19" hidden="1">
      <c r="B51" s="132" t="s">
        <v>143</v>
      </c>
      <c r="D51" s="463">
        <f>+'TABLA FINAL '!BT107</f>
        <v>206.59</v>
      </c>
      <c r="E51" s="464">
        <f>+'TABLA FINAL '!BU107</f>
        <v>209</v>
      </c>
      <c r="F51" s="464">
        <f>+'TABLA FINAL '!BV107</f>
        <v>207.55</v>
      </c>
      <c r="G51" s="464">
        <f>+'TABLA FINAL '!BW107</f>
        <v>208.09</v>
      </c>
      <c r="H51" s="464">
        <f>+'TABLA FINAL '!BX107</f>
        <v>210.07</v>
      </c>
      <c r="I51" s="464">
        <f>+'TABLA FINAL '!BY107</f>
        <v>210.61</v>
      </c>
      <c r="J51" s="464">
        <f>+'TABLA FINAL '!BZ107</f>
        <v>211.83</v>
      </c>
      <c r="K51" s="464">
        <f>+'TABLA FINAL '!CA107</f>
        <v>214.05</v>
      </c>
      <c r="L51" s="464">
        <f>+'TABLA FINAL '!CB107</f>
        <v>213.93</v>
      </c>
      <c r="M51" s="464">
        <f>+'TABLA FINAL '!CC107</f>
        <v>215.54</v>
      </c>
      <c r="N51" s="464">
        <f>+'TABLA FINAL '!CD107</f>
        <v>215.07</v>
      </c>
      <c r="O51" s="468">
        <f>+'TABLA FINAL '!CE107</f>
        <v>217.04</v>
      </c>
      <c r="P51" s="138"/>
      <c r="Q51" s="11"/>
      <c r="R51" s="1559"/>
      <c r="S51" s="1559"/>
    </row>
    <row r="52" spans="2:19" ht="16.5" hidden="1" thickBot="1">
      <c r="B52" s="132" t="s">
        <v>830</v>
      </c>
      <c r="D52" s="297">
        <f t="shared" ref="D52:O52" si="10">ROUND(100*D51/$C$11,2)</f>
        <v>237.51</v>
      </c>
      <c r="E52" s="282">
        <f t="shared" si="10"/>
        <v>240.29</v>
      </c>
      <c r="F52" s="282">
        <f t="shared" si="10"/>
        <v>238.62</v>
      </c>
      <c r="G52" s="282">
        <f t="shared" si="10"/>
        <v>239.24</v>
      </c>
      <c r="H52" s="282">
        <f t="shared" si="10"/>
        <v>241.52</v>
      </c>
      <c r="I52" s="282">
        <f t="shared" si="10"/>
        <v>242.14</v>
      </c>
      <c r="J52" s="282">
        <f t="shared" si="10"/>
        <v>243.54</v>
      </c>
      <c r="K52" s="282">
        <f t="shared" si="10"/>
        <v>246.09</v>
      </c>
      <c r="L52" s="282">
        <f t="shared" si="10"/>
        <v>245.95</v>
      </c>
      <c r="M52" s="282">
        <f t="shared" si="10"/>
        <v>247.8</v>
      </c>
      <c r="N52" s="282">
        <f t="shared" si="10"/>
        <v>247.26</v>
      </c>
      <c r="O52" s="320">
        <f t="shared" si="10"/>
        <v>249.53</v>
      </c>
      <c r="P52" s="138"/>
      <c r="Q52" s="11"/>
      <c r="R52" s="1559"/>
      <c r="S52" s="1559"/>
    </row>
    <row r="53" spans="2:19" ht="10.5" hidden="1" customHeight="1"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1"/>
      <c r="R53" s="1559"/>
      <c r="S53" s="1559"/>
    </row>
    <row r="54" spans="2:19" ht="9.75" hidden="1" customHeight="1" thickBot="1">
      <c r="G54" s="137"/>
      <c r="H54" s="137"/>
      <c r="I54" s="137"/>
      <c r="J54" s="137"/>
      <c r="K54" s="137"/>
      <c r="L54" s="137"/>
      <c r="M54" s="137"/>
      <c r="N54" s="137"/>
      <c r="O54" s="137"/>
      <c r="R54" s="1559"/>
      <c r="S54" s="1559"/>
    </row>
    <row r="55" spans="2:19" ht="16.5" hidden="1" thickBot="1">
      <c r="B55" s="269" t="s">
        <v>641</v>
      </c>
      <c r="C55" s="269"/>
      <c r="D55" s="136">
        <f>+D52</f>
        <v>237.51</v>
      </c>
      <c r="E55" s="136">
        <f>+E52</f>
        <v>240.29</v>
      </c>
      <c r="F55" s="136">
        <f>+F52</f>
        <v>238.62</v>
      </c>
      <c r="G55" s="136">
        <f>+G52</f>
        <v>239.24</v>
      </c>
      <c r="H55" s="136">
        <f>+H52</f>
        <v>241.52</v>
      </c>
      <c r="I55" s="136">
        <f t="shared" ref="I55:O55" si="11">+I52</f>
        <v>242.14</v>
      </c>
      <c r="J55" s="136">
        <f t="shared" si="11"/>
        <v>243.54</v>
      </c>
      <c r="K55" s="136">
        <f t="shared" si="11"/>
        <v>246.09</v>
      </c>
      <c r="L55" s="136">
        <f t="shared" si="11"/>
        <v>245.95</v>
      </c>
      <c r="M55" s="136">
        <f t="shared" si="11"/>
        <v>247.8</v>
      </c>
      <c r="N55" s="136">
        <f>+N52</f>
        <v>247.26</v>
      </c>
      <c r="O55" s="136">
        <f t="shared" si="11"/>
        <v>249.53</v>
      </c>
      <c r="P55" s="462"/>
      <c r="Q55" s="20"/>
      <c r="R55" s="1559"/>
      <c r="S55" s="1559"/>
    </row>
    <row r="56" spans="2:19" ht="18.75" hidden="1" customHeight="1">
      <c r="B56" s="269"/>
      <c r="C56" s="269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462"/>
      <c r="Q56" s="20"/>
      <c r="R56" s="1559"/>
      <c r="S56" s="1559"/>
    </row>
    <row r="57" spans="2:19" ht="9.75" hidden="1" customHeight="1" thickBot="1">
      <c r="B57" s="269"/>
      <c r="C57" s="269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462"/>
      <c r="Q57" s="20"/>
      <c r="R57" s="1559"/>
      <c r="S57" s="1559"/>
    </row>
    <row r="58" spans="2:19" ht="16.5" hidden="1" thickBot="1">
      <c r="B58" s="269"/>
      <c r="C58" s="269"/>
      <c r="D58" s="2682">
        <v>2008</v>
      </c>
      <c r="E58" s="2683"/>
      <c r="F58" s="2683"/>
      <c r="G58" s="2683"/>
      <c r="H58" s="2683"/>
      <c r="I58" s="2683"/>
      <c r="J58" s="2683"/>
      <c r="K58" s="2683"/>
      <c r="L58" s="2683"/>
      <c r="M58" s="2683"/>
      <c r="N58" s="2683"/>
      <c r="O58" s="2684"/>
      <c r="P58" s="462"/>
      <c r="Q58" s="20"/>
      <c r="R58" s="1559"/>
      <c r="S58" s="1559"/>
    </row>
    <row r="59" spans="2:19" ht="16.5" hidden="1" thickBot="1">
      <c r="B59" s="269"/>
      <c r="C59" s="269"/>
      <c r="D59" s="449" t="s">
        <v>578</v>
      </c>
      <c r="E59" s="412" t="s">
        <v>579</v>
      </c>
      <c r="F59" s="412" t="s">
        <v>580</v>
      </c>
      <c r="G59" s="454" t="s">
        <v>581</v>
      </c>
      <c r="H59" s="454" t="s">
        <v>582</v>
      </c>
      <c r="I59" s="465" t="s">
        <v>583</v>
      </c>
      <c r="J59" s="466" t="s">
        <v>587</v>
      </c>
      <c r="K59" s="466" t="s">
        <v>588</v>
      </c>
      <c r="L59" s="466" t="s">
        <v>589</v>
      </c>
      <c r="M59" s="466" t="s">
        <v>590</v>
      </c>
      <c r="N59" s="466" t="s">
        <v>586</v>
      </c>
      <c r="O59" s="467" t="s">
        <v>577</v>
      </c>
      <c r="P59" s="462"/>
      <c r="Q59" s="20"/>
      <c r="R59" s="1559"/>
      <c r="S59" s="1559"/>
    </row>
    <row r="60" spans="2:19" hidden="1">
      <c r="B60" s="132" t="s">
        <v>143</v>
      </c>
      <c r="D60" s="463">
        <f>+'TABLA FINAL '!CF107</f>
        <v>215.69</v>
      </c>
      <c r="E60" s="469">
        <v>218.1</v>
      </c>
      <c r="F60" s="464">
        <f>+'TABLA FINAL '!CH107</f>
        <v>221.77</v>
      </c>
      <c r="G60" s="464">
        <f>+'TABLA FINAL '!CI107</f>
        <v>225.23</v>
      </c>
      <c r="H60" s="464">
        <f>+'TABLA FINAL '!CJ107</f>
        <v>226.13</v>
      </c>
      <c r="I60" s="464">
        <f>+'TABLA FINAL '!CK107</f>
        <v>224.52</v>
      </c>
      <c r="J60" s="464">
        <f>+'TABLA FINAL '!CL107</f>
        <v>224.32</v>
      </c>
      <c r="K60" s="464">
        <f>+'TABLA FINAL '!CM107</f>
        <v>225.54</v>
      </c>
      <c r="L60" s="464">
        <f>+'TABLA FINAL '!CN107</f>
        <v>225.71</v>
      </c>
      <c r="M60" s="464">
        <f>+'TABLA FINAL '!CO107</f>
        <v>230.59</v>
      </c>
      <c r="N60" s="464">
        <f>+'TABLA FINAL '!CP107</f>
        <v>231.96</v>
      </c>
      <c r="O60" s="468">
        <f>'TABLA FINAL '!CQ107</f>
        <v>235.11</v>
      </c>
      <c r="P60" s="462"/>
      <c r="Q60" s="20"/>
      <c r="R60" s="1559"/>
      <c r="S60" s="1559"/>
    </row>
    <row r="61" spans="2:19" ht="16.5" hidden="1" thickBot="1">
      <c r="B61" s="132" t="s">
        <v>830</v>
      </c>
      <c r="D61" s="297">
        <f t="shared" ref="D61:O61" si="12">ROUND(100*D60/$C$11,2)</f>
        <v>247.98</v>
      </c>
      <c r="E61" s="402">
        <f t="shared" si="12"/>
        <v>250.75</v>
      </c>
      <c r="F61" s="282">
        <f t="shared" si="12"/>
        <v>254.97</v>
      </c>
      <c r="G61" s="282">
        <f t="shared" si="12"/>
        <v>258.94</v>
      </c>
      <c r="H61" s="282">
        <f t="shared" si="12"/>
        <v>259.98</v>
      </c>
      <c r="I61" s="282">
        <f t="shared" si="12"/>
        <v>258.13</v>
      </c>
      <c r="J61" s="470">
        <f t="shared" si="12"/>
        <v>257.89999999999998</v>
      </c>
      <c r="K61" s="470">
        <f t="shared" si="12"/>
        <v>259.3</v>
      </c>
      <c r="L61" s="470">
        <f t="shared" si="12"/>
        <v>259.5</v>
      </c>
      <c r="M61" s="470">
        <f t="shared" si="12"/>
        <v>265.11</v>
      </c>
      <c r="N61" s="470">
        <f t="shared" si="12"/>
        <v>266.68</v>
      </c>
      <c r="O61" s="478">
        <f t="shared" si="12"/>
        <v>270.3</v>
      </c>
      <c r="P61" s="462"/>
      <c r="Q61" s="20"/>
      <c r="R61" s="1559"/>
      <c r="S61" s="1559"/>
    </row>
    <row r="62" spans="2:19" ht="4.5" hidden="1" customHeight="1">
      <c r="O62" s="138"/>
      <c r="P62" s="462"/>
      <c r="Q62" s="20"/>
      <c r="R62" s="1559"/>
      <c r="S62" s="1559"/>
    </row>
    <row r="63" spans="2:19" ht="5.25" hidden="1" customHeight="1" thickBot="1">
      <c r="O63" s="137"/>
      <c r="P63" s="462"/>
      <c r="Q63" s="20"/>
      <c r="R63" s="1559"/>
      <c r="S63" s="1559"/>
    </row>
    <row r="64" spans="2:19" ht="16.5" hidden="1" thickBot="1">
      <c r="B64" s="269" t="s">
        <v>641</v>
      </c>
      <c r="C64" s="269"/>
      <c r="D64" s="136">
        <f>+D61</f>
        <v>247.98</v>
      </c>
      <c r="E64" s="136">
        <f>+E61</f>
        <v>250.75</v>
      </c>
      <c r="F64" s="136">
        <f t="shared" ref="F64:K64" si="13">+F61</f>
        <v>254.97</v>
      </c>
      <c r="G64" s="136">
        <f t="shared" si="13"/>
        <v>258.94</v>
      </c>
      <c r="H64" s="136">
        <f t="shared" si="13"/>
        <v>259.98</v>
      </c>
      <c r="I64" s="136">
        <f t="shared" si="13"/>
        <v>258.13</v>
      </c>
      <c r="J64" s="136">
        <f t="shared" si="13"/>
        <v>257.89999999999998</v>
      </c>
      <c r="K64" s="136">
        <f t="shared" si="13"/>
        <v>259.3</v>
      </c>
      <c r="L64" s="136">
        <f>+L61</f>
        <v>259.5</v>
      </c>
      <c r="M64" s="136">
        <f>+M61</f>
        <v>265.11</v>
      </c>
      <c r="N64" s="136">
        <f>+N61</f>
        <v>266.68</v>
      </c>
      <c r="O64" s="136">
        <f>+O61</f>
        <v>270.3</v>
      </c>
      <c r="P64" s="462"/>
      <c r="Q64" s="20"/>
      <c r="R64" s="1559"/>
      <c r="S64" s="1559"/>
    </row>
    <row r="65" spans="2:19" ht="16.5" hidden="1" thickBot="1">
      <c r="B65" s="269"/>
      <c r="C65" s="269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462"/>
      <c r="Q65" s="20"/>
      <c r="R65" s="1559"/>
      <c r="S65" s="1559"/>
    </row>
    <row r="66" spans="2:19" ht="16.5" hidden="1" thickBot="1">
      <c r="B66" s="269"/>
      <c r="C66" s="269"/>
      <c r="D66" s="2682">
        <v>2009</v>
      </c>
      <c r="E66" s="2683"/>
      <c r="F66" s="2683"/>
      <c r="G66" s="2683"/>
      <c r="H66" s="2683"/>
      <c r="I66" s="2683"/>
      <c r="J66" s="2683"/>
      <c r="K66" s="2683"/>
      <c r="L66" s="2683"/>
      <c r="M66" s="2683"/>
      <c r="N66" s="2683"/>
      <c r="O66" s="2684"/>
      <c r="P66" s="462"/>
      <c r="Q66" s="20"/>
      <c r="R66" s="1559"/>
      <c r="S66" s="1559"/>
    </row>
    <row r="67" spans="2:19" ht="16.5" hidden="1" thickBot="1">
      <c r="B67" s="269"/>
      <c r="C67" s="269"/>
      <c r="D67" s="449" t="s">
        <v>578</v>
      </c>
      <c r="E67" s="412" t="s">
        <v>579</v>
      </c>
      <c r="F67" s="412" t="s">
        <v>580</v>
      </c>
      <c r="G67" s="454" t="s">
        <v>581</v>
      </c>
      <c r="H67" s="454" t="s">
        <v>582</v>
      </c>
      <c r="I67" s="465" t="s">
        <v>583</v>
      </c>
      <c r="J67" s="466" t="s">
        <v>587</v>
      </c>
      <c r="K67" s="466" t="s">
        <v>588</v>
      </c>
      <c r="L67" s="466" t="s">
        <v>589</v>
      </c>
      <c r="M67" s="466" t="s">
        <v>590</v>
      </c>
      <c r="N67" s="466" t="s">
        <v>586</v>
      </c>
      <c r="O67" s="467" t="s">
        <v>577</v>
      </c>
      <c r="P67" s="462"/>
      <c r="Q67" s="20"/>
      <c r="R67" s="1559"/>
      <c r="S67" s="1559"/>
    </row>
    <row r="68" spans="2:19" hidden="1">
      <c r="B68" s="132" t="s">
        <v>143</v>
      </c>
      <c r="D68" s="463">
        <f>'TABLA FINAL '!CR107</f>
        <v>236.1</v>
      </c>
      <c r="E68" s="464">
        <f>'TABLA FINAL '!CS107</f>
        <v>239.19</v>
      </c>
      <c r="F68" s="464">
        <f>'TABLA FINAL '!CT107</f>
        <v>243.08</v>
      </c>
      <c r="G68" s="464">
        <f>'TABLA FINAL '!CU107</f>
        <v>246.93</v>
      </c>
      <c r="H68" s="464">
        <f>'TABLA FINAL '!CV107</f>
        <v>248.53</v>
      </c>
      <c r="I68" s="464">
        <f>'TABLA FINAL '!CW107</f>
        <v>248.84</v>
      </c>
      <c r="J68" s="464">
        <f>'TABLA FINAL '!CX107</f>
        <v>250.02</v>
      </c>
      <c r="K68" s="464">
        <f>'TABLA FINAL '!CY107</f>
        <v>253.12</v>
      </c>
      <c r="L68" s="464">
        <f>'TABLA FINAL '!CZ107</f>
        <v>254.32</v>
      </c>
      <c r="M68" s="464">
        <f>'TABLA FINAL '!DA107</f>
        <v>255.29</v>
      </c>
      <c r="N68" s="464">
        <f>'TABLA FINAL '!DB107</f>
        <v>255.08</v>
      </c>
      <c r="O68" s="468">
        <f>'TABLA FINAL '!DC107</f>
        <v>255.21</v>
      </c>
      <c r="P68" s="462"/>
      <c r="Q68" s="20"/>
      <c r="R68" s="1559"/>
      <c r="S68" s="1559"/>
    </row>
    <row r="69" spans="2:19" ht="16.5" hidden="1" thickBot="1">
      <c r="B69" s="132" t="s">
        <v>830</v>
      </c>
      <c r="D69" s="297">
        <f t="shared" ref="D69:O69" si="14">ROUND(100*D68/$C$11,2)</f>
        <v>271.44</v>
      </c>
      <c r="E69" s="282">
        <f t="shared" si="14"/>
        <v>274.99</v>
      </c>
      <c r="F69" s="282">
        <f t="shared" si="14"/>
        <v>279.47000000000003</v>
      </c>
      <c r="G69" s="282">
        <f t="shared" si="14"/>
        <v>283.89</v>
      </c>
      <c r="H69" s="282">
        <f t="shared" si="14"/>
        <v>285.73</v>
      </c>
      <c r="I69" s="282">
        <f t="shared" si="14"/>
        <v>286.08999999999997</v>
      </c>
      <c r="J69" s="282">
        <f t="shared" si="14"/>
        <v>287.45</v>
      </c>
      <c r="K69" s="282">
        <f t="shared" si="14"/>
        <v>291.01</v>
      </c>
      <c r="L69" s="282">
        <f t="shared" si="14"/>
        <v>292.39</v>
      </c>
      <c r="M69" s="282">
        <f t="shared" si="14"/>
        <v>293.5</v>
      </c>
      <c r="N69" s="282">
        <f t="shared" si="14"/>
        <v>293.26</v>
      </c>
      <c r="O69" s="320">
        <f t="shared" si="14"/>
        <v>293.41000000000003</v>
      </c>
      <c r="P69" s="462"/>
      <c r="Q69" s="20"/>
      <c r="R69" s="1559"/>
      <c r="S69" s="1559"/>
    </row>
    <row r="70" spans="2:19" ht="16.5" hidden="1" thickBot="1">
      <c r="P70" s="462"/>
      <c r="Q70" s="20"/>
      <c r="R70" s="1559"/>
      <c r="S70" s="1559"/>
    </row>
    <row r="71" spans="2:19" ht="16.5" hidden="1" thickBot="1">
      <c r="B71" s="269" t="s">
        <v>641</v>
      </c>
      <c r="C71" s="269"/>
      <c r="D71" s="136">
        <f t="shared" ref="D71:M71" si="15">+D69</f>
        <v>271.44</v>
      </c>
      <c r="E71" s="136">
        <f t="shared" si="15"/>
        <v>274.99</v>
      </c>
      <c r="F71" s="136">
        <f t="shared" si="15"/>
        <v>279.47000000000003</v>
      </c>
      <c r="G71" s="136">
        <f>+G69</f>
        <v>283.89</v>
      </c>
      <c r="H71" s="136">
        <f t="shared" si="15"/>
        <v>285.73</v>
      </c>
      <c r="I71" s="136">
        <f>+I69</f>
        <v>286.08999999999997</v>
      </c>
      <c r="J71" s="136">
        <f>+J69</f>
        <v>287.45</v>
      </c>
      <c r="K71" s="136">
        <f>+K69</f>
        <v>291.01</v>
      </c>
      <c r="L71" s="136">
        <f t="shared" si="15"/>
        <v>292.39</v>
      </c>
      <c r="M71" s="136">
        <f t="shared" si="15"/>
        <v>293.5</v>
      </c>
      <c r="N71" s="136">
        <f>+N69</f>
        <v>293.26</v>
      </c>
      <c r="O71" s="136">
        <f>+O69</f>
        <v>293.41000000000003</v>
      </c>
      <c r="P71" s="462"/>
      <c r="Q71" s="20"/>
      <c r="R71" s="1559"/>
      <c r="S71" s="1559"/>
    </row>
    <row r="72" spans="2:19" ht="7.5" hidden="1" customHeight="1" thickBot="1">
      <c r="B72" s="269"/>
      <c r="C72" s="269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462"/>
      <c r="Q72" s="20"/>
      <c r="R72" s="1559"/>
      <c r="S72" s="1559"/>
    </row>
    <row r="73" spans="2:19" ht="16.5" hidden="1" thickBot="1">
      <c r="B73" s="269"/>
      <c r="C73" s="269"/>
      <c r="D73" s="2682">
        <v>2010</v>
      </c>
      <c r="E73" s="2683"/>
      <c r="F73" s="2683"/>
      <c r="G73" s="2683"/>
      <c r="H73" s="2683"/>
      <c r="I73" s="2683"/>
      <c r="J73" s="2683"/>
      <c r="K73" s="2683"/>
      <c r="L73" s="2683"/>
      <c r="M73" s="2683"/>
      <c r="N73" s="2683"/>
      <c r="O73" s="2684"/>
      <c r="P73" s="462"/>
      <c r="Q73" s="20"/>
      <c r="R73" s="1559"/>
      <c r="S73" s="1559"/>
    </row>
    <row r="74" spans="2:19" ht="16.5" hidden="1" thickBot="1">
      <c r="B74" s="269"/>
      <c r="C74" s="269"/>
      <c r="D74" s="449" t="s">
        <v>578</v>
      </c>
      <c r="E74" s="412" t="s">
        <v>579</v>
      </c>
      <c r="F74" s="412" t="s">
        <v>580</v>
      </c>
      <c r="G74" s="454" t="s">
        <v>581</v>
      </c>
      <c r="H74" s="454" t="s">
        <v>582</v>
      </c>
      <c r="I74" s="465" t="s">
        <v>583</v>
      </c>
      <c r="J74" s="466" t="s">
        <v>587</v>
      </c>
      <c r="K74" s="466" t="s">
        <v>588</v>
      </c>
      <c r="L74" s="466" t="s">
        <v>589</v>
      </c>
      <c r="M74" s="466" t="s">
        <v>590</v>
      </c>
      <c r="N74" s="466" t="s">
        <v>586</v>
      </c>
      <c r="O74" s="467" t="s">
        <v>577</v>
      </c>
      <c r="P74" s="462"/>
      <c r="Q74" s="20"/>
      <c r="R74" s="1559"/>
      <c r="S74" s="1559"/>
    </row>
    <row r="75" spans="2:19" hidden="1">
      <c r="B75" s="132" t="s">
        <v>143</v>
      </c>
      <c r="D75" s="463">
        <f>'TABLA FINAL '!DD107</f>
        <v>256.14</v>
      </c>
      <c r="E75" s="464">
        <f>'TABLA FINAL '!DE107</f>
        <v>258.68</v>
      </c>
      <c r="F75" s="464">
        <f>'TABLA FINAL '!DF107</f>
        <v>259.64</v>
      </c>
      <c r="G75" s="464">
        <f>'TABLA FINAL '!DG107</f>
        <v>260.64</v>
      </c>
      <c r="H75" s="464">
        <f>'TABLA FINAL '!DH107</f>
        <v>263.70999999999998</v>
      </c>
      <c r="I75" s="464">
        <f>'TABLA FINAL '!DI107</f>
        <v>263.48</v>
      </c>
      <c r="J75" s="464">
        <f>'TABLA FINAL '!DJ107</f>
        <v>265.2</v>
      </c>
      <c r="K75" s="464">
        <f>'TABLA FINAL '!DK107</f>
        <v>265.69</v>
      </c>
      <c r="L75" s="464">
        <f>'TABLA FINAL '!DL107</f>
        <v>267.23</v>
      </c>
      <c r="M75" s="464">
        <f>+'TABLA FINAL  NO'!DM112</f>
        <v>271.48</v>
      </c>
      <c r="N75" s="464">
        <f>+'TABLA FINAL  NO'!DN112</f>
        <v>271.63</v>
      </c>
      <c r="O75" s="464">
        <f>+'TABLA FINAL  NO'!DO112</f>
        <v>272.07</v>
      </c>
      <c r="P75" s="462"/>
      <c r="Q75" s="20"/>
      <c r="R75" s="1559"/>
      <c r="S75" s="1559"/>
    </row>
    <row r="76" spans="2:19" ht="16.5" hidden="1" thickBot="1">
      <c r="B76" s="132" t="s">
        <v>830</v>
      </c>
      <c r="D76" s="297">
        <f>ROUND(100*D75/$C$11,2)</f>
        <v>294.48</v>
      </c>
      <c r="E76" s="282">
        <f t="shared" ref="E76:O76" si="16">ROUND(100*E75/$C$11,2)</f>
        <v>297.39999999999998</v>
      </c>
      <c r="F76" s="282">
        <f t="shared" si="16"/>
        <v>298.51</v>
      </c>
      <c r="G76" s="282">
        <f t="shared" si="16"/>
        <v>299.66000000000003</v>
      </c>
      <c r="H76" s="282">
        <f t="shared" si="16"/>
        <v>303.18</v>
      </c>
      <c r="I76" s="282">
        <f t="shared" si="16"/>
        <v>302.92</v>
      </c>
      <c r="J76" s="282">
        <f t="shared" si="16"/>
        <v>304.89999999999998</v>
      </c>
      <c r="K76" s="282">
        <f t="shared" si="16"/>
        <v>305.45999999999998</v>
      </c>
      <c r="L76" s="282">
        <f t="shared" si="16"/>
        <v>307.23</v>
      </c>
      <c r="M76" s="282">
        <f t="shared" si="16"/>
        <v>312.12</v>
      </c>
      <c r="N76" s="282">
        <f t="shared" si="16"/>
        <v>312.29000000000002</v>
      </c>
      <c r="O76" s="282">
        <f t="shared" si="16"/>
        <v>312.8</v>
      </c>
      <c r="P76" s="462"/>
      <c r="Q76" s="20"/>
      <c r="R76" s="1559"/>
      <c r="S76" s="1559"/>
    </row>
    <row r="77" spans="2:19" ht="16.5" hidden="1" thickBot="1">
      <c r="P77" s="462"/>
      <c r="Q77" s="20"/>
      <c r="R77" s="1559"/>
      <c r="S77" s="1559"/>
    </row>
    <row r="78" spans="2:19" ht="16.5" hidden="1" thickBot="1">
      <c r="B78" s="269" t="s">
        <v>641</v>
      </c>
      <c r="C78" s="269"/>
      <c r="D78" s="136">
        <f t="shared" ref="D78:O78" si="17">+D76</f>
        <v>294.48</v>
      </c>
      <c r="E78" s="136">
        <f>+E76</f>
        <v>297.39999999999998</v>
      </c>
      <c r="F78" s="136">
        <f>+F76</f>
        <v>298.51</v>
      </c>
      <c r="G78" s="136">
        <f t="shared" si="17"/>
        <v>299.66000000000003</v>
      </c>
      <c r="H78" s="136">
        <f t="shared" si="17"/>
        <v>303.18</v>
      </c>
      <c r="I78" s="136">
        <f>+I76</f>
        <v>302.92</v>
      </c>
      <c r="J78" s="136">
        <f>+J76</f>
        <v>304.89999999999998</v>
      </c>
      <c r="K78" s="136">
        <f t="shared" si="17"/>
        <v>305.45999999999998</v>
      </c>
      <c r="L78" s="136">
        <f t="shared" si="17"/>
        <v>307.23</v>
      </c>
      <c r="M78" s="136">
        <f>+M76</f>
        <v>312.12</v>
      </c>
      <c r="N78" s="136">
        <f t="shared" si="17"/>
        <v>312.29000000000002</v>
      </c>
      <c r="O78" s="136">
        <f t="shared" si="17"/>
        <v>312.8</v>
      </c>
      <c r="P78" s="462"/>
      <c r="Q78" s="20"/>
      <c r="R78" s="1559"/>
      <c r="S78" s="1559"/>
    </row>
    <row r="79" spans="2:19" ht="16.5" hidden="1" thickBot="1">
      <c r="B79" s="269"/>
      <c r="C79" s="269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462"/>
      <c r="Q79" s="20"/>
      <c r="R79" s="1559"/>
      <c r="S79" s="1559"/>
    </row>
    <row r="80" spans="2:19" ht="16.5" hidden="1" thickBot="1">
      <c r="B80" s="269"/>
      <c r="C80" s="269"/>
      <c r="D80" s="2682">
        <v>2011</v>
      </c>
      <c r="E80" s="2683"/>
      <c r="F80" s="2683"/>
      <c r="G80" s="2683"/>
      <c r="H80" s="2683"/>
      <c r="I80" s="2683"/>
      <c r="J80" s="2683"/>
      <c r="K80" s="2683"/>
      <c r="L80" s="2683"/>
      <c r="M80" s="2683"/>
      <c r="N80" s="2683"/>
      <c r="O80" s="2684"/>
      <c r="P80" s="462"/>
      <c r="Q80" s="20"/>
      <c r="R80" s="1559"/>
      <c r="S80" s="1559"/>
    </row>
    <row r="81" spans="2:19" ht="16.5" hidden="1" thickBot="1">
      <c r="B81" s="269"/>
      <c r="C81" s="269"/>
      <c r="D81" s="449" t="s">
        <v>578</v>
      </c>
      <c r="E81" s="412" t="s">
        <v>579</v>
      </c>
      <c r="F81" s="412" t="s">
        <v>580</v>
      </c>
      <c r="G81" s="454" t="s">
        <v>581</v>
      </c>
      <c r="H81" s="454" t="s">
        <v>582</v>
      </c>
      <c r="I81" s="465" t="s">
        <v>583</v>
      </c>
      <c r="J81" s="466" t="s">
        <v>587</v>
      </c>
      <c r="K81" s="466" t="s">
        <v>588</v>
      </c>
      <c r="L81" s="466" t="s">
        <v>589</v>
      </c>
      <c r="M81" s="466" t="s">
        <v>590</v>
      </c>
      <c r="N81" s="466" t="s">
        <v>586</v>
      </c>
      <c r="O81" s="467" t="s">
        <v>577</v>
      </c>
      <c r="P81" s="462"/>
      <c r="Q81" s="20"/>
      <c r="R81" s="1559"/>
      <c r="S81" s="1559"/>
    </row>
    <row r="82" spans="2:19" hidden="1">
      <c r="B82" s="132" t="s">
        <v>143</v>
      </c>
      <c r="D82" s="463">
        <f>+'TABLA FINAL  NO'!DP112</f>
        <v>273.76</v>
      </c>
      <c r="E82" s="464">
        <f>+'TABLA FINAL  NO'!DQ112</f>
        <v>275.47000000000003</v>
      </c>
      <c r="F82" s="464">
        <f>+'TABLA FINAL  NO'!DR112</f>
        <v>274.87</v>
      </c>
      <c r="G82" s="464">
        <f>+'TABLA FINAL  NO'!DS112</f>
        <v>277.68</v>
      </c>
      <c r="H82" s="464">
        <f>+'TABLA FINAL  NO'!DT112</f>
        <v>278.39999999999998</v>
      </c>
      <c r="I82" s="464">
        <f>+'TABLA FINAL  NO'!DU112</f>
        <v>280.92</v>
      </c>
      <c r="J82" s="464">
        <f>+'TABLA FINAL  NO'!DV112</f>
        <v>283.97000000000003</v>
      </c>
      <c r="K82" s="464">
        <f>+'TABLA FINAL  NO'!DW112</f>
        <v>285.57</v>
      </c>
      <c r="L82" s="464">
        <f>+'TABLA FINAL  NO'!DX112</f>
        <v>286.70999999999998</v>
      </c>
      <c r="M82" s="464">
        <f>+'TABLA FINAL  NO'!DY112</f>
        <v>287.63</v>
      </c>
      <c r="N82" s="464">
        <f>+'TABLA FINAL  NO'!DZ112</f>
        <v>287.57</v>
      </c>
      <c r="O82" s="468">
        <f>+'TABLA FINAL  NO'!EA112</f>
        <v>290.86</v>
      </c>
      <c r="P82" s="462"/>
      <c r="Q82" s="20"/>
      <c r="R82" s="1559"/>
      <c r="S82" s="1559"/>
    </row>
    <row r="83" spans="2:19" hidden="1">
      <c r="B83" s="132" t="s">
        <v>830</v>
      </c>
      <c r="D83" s="1153">
        <f t="shared" ref="D83:O83" si="18">ROUND(100*D82/$C$11,2)</f>
        <v>314.74</v>
      </c>
      <c r="E83" s="475">
        <f t="shared" si="18"/>
        <v>316.7</v>
      </c>
      <c r="F83" s="475">
        <f t="shared" si="18"/>
        <v>316.02</v>
      </c>
      <c r="G83" s="475">
        <f t="shared" si="18"/>
        <v>319.25</v>
      </c>
      <c r="H83" s="475">
        <f t="shared" si="18"/>
        <v>320.07</v>
      </c>
      <c r="I83" s="475">
        <f t="shared" si="18"/>
        <v>322.97000000000003</v>
      </c>
      <c r="J83" s="475">
        <f t="shared" si="18"/>
        <v>326.48</v>
      </c>
      <c r="K83" s="475">
        <f t="shared" si="18"/>
        <v>328.32</v>
      </c>
      <c r="L83" s="475">
        <f t="shared" si="18"/>
        <v>329.63</v>
      </c>
      <c r="M83" s="475">
        <f t="shared" si="18"/>
        <v>330.69</v>
      </c>
      <c r="N83" s="475">
        <f t="shared" si="18"/>
        <v>330.62</v>
      </c>
      <c r="O83" s="1154">
        <f t="shared" si="18"/>
        <v>334.4</v>
      </c>
      <c r="P83" s="462"/>
      <c r="Q83" s="20"/>
      <c r="R83" s="1559"/>
      <c r="S83" s="1559"/>
    </row>
    <row r="84" spans="2:19" ht="8.25" hidden="1" customHeight="1" thickBot="1">
      <c r="D84" s="373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539"/>
      <c r="P84" s="462"/>
      <c r="Q84" s="20"/>
      <c r="R84" s="1559"/>
      <c r="S84" s="1559"/>
    </row>
    <row r="85" spans="2:19" ht="16.5" hidden="1" thickBot="1">
      <c r="B85" s="269" t="s">
        <v>641</v>
      </c>
      <c r="C85" s="269"/>
      <c r="D85" s="136">
        <f t="shared" ref="D85:N85" si="19">+D83</f>
        <v>314.74</v>
      </c>
      <c r="E85" s="136">
        <f t="shared" si="19"/>
        <v>316.7</v>
      </c>
      <c r="F85" s="136">
        <f t="shared" si="19"/>
        <v>316.02</v>
      </c>
      <c r="G85" s="136">
        <f t="shared" si="19"/>
        <v>319.25</v>
      </c>
      <c r="H85" s="136">
        <f t="shared" si="19"/>
        <v>320.07</v>
      </c>
      <c r="I85" s="136">
        <f t="shared" si="19"/>
        <v>322.97000000000003</v>
      </c>
      <c r="J85" s="136">
        <f t="shared" si="19"/>
        <v>326.48</v>
      </c>
      <c r="K85" s="136">
        <f t="shared" si="19"/>
        <v>328.32</v>
      </c>
      <c r="L85" s="136">
        <f t="shared" si="19"/>
        <v>329.63</v>
      </c>
      <c r="M85" s="136">
        <f t="shared" si="19"/>
        <v>330.69</v>
      </c>
      <c r="N85" s="136">
        <f t="shared" si="19"/>
        <v>330.62</v>
      </c>
      <c r="O85" s="136">
        <f>+O83</f>
        <v>334.4</v>
      </c>
      <c r="P85" s="462"/>
      <c r="Q85" s="20"/>
      <c r="R85" s="1559"/>
      <c r="S85" s="1559"/>
    </row>
    <row r="86" spans="2:19" ht="16.5" hidden="1" thickBot="1">
      <c r="B86" s="269"/>
      <c r="C86" s="269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462"/>
      <c r="Q86" s="20"/>
      <c r="R86" s="1559"/>
      <c r="S86" s="1559"/>
    </row>
    <row r="87" spans="2:19" ht="16.5" hidden="1" thickBot="1">
      <c r="B87" s="269"/>
      <c r="C87" s="269"/>
      <c r="D87" s="2682">
        <v>2012</v>
      </c>
      <c r="E87" s="2683"/>
      <c r="F87" s="2683"/>
      <c r="G87" s="2683"/>
      <c r="H87" s="2683"/>
      <c r="I87" s="2683"/>
      <c r="J87" s="2683"/>
      <c r="K87" s="2683"/>
      <c r="L87" s="2683"/>
      <c r="M87" s="2683"/>
      <c r="N87" s="2683"/>
      <c r="O87" s="2684"/>
      <c r="P87" s="462"/>
      <c r="Q87" s="20"/>
      <c r="R87" s="1559"/>
      <c r="S87" s="1559"/>
    </row>
    <row r="88" spans="2:19" ht="16.5" hidden="1" thickBot="1">
      <c r="B88" s="269"/>
      <c r="C88" s="269"/>
      <c r="D88" s="449" t="s">
        <v>578</v>
      </c>
      <c r="E88" s="412" t="s">
        <v>579</v>
      </c>
      <c r="F88" s="412" t="s">
        <v>580</v>
      </c>
      <c r="G88" s="454" t="s">
        <v>581</v>
      </c>
      <c r="H88" s="454" t="s">
        <v>582</v>
      </c>
      <c r="I88" s="465" t="s">
        <v>583</v>
      </c>
      <c r="J88" s="466" t="s">
        <v>587</v>
      </c>
      <c r="K88" s="466" t="s">
        <v>588</v>
      </c>
      <c r="L88" s="466" t="s">
        <v>589</v>
      </c>
      <c r="M88" s="466" t="s">
        <v>590</v>
      </c>
      <c r="N88" s="466" t="s">
        <v>586</v>
      </c>
      <c r="O88" s="467" t="s">
        <v>577</v>
      </c>
      <c r="P88" s="462"/>
      <c r="Q88" s="20"/>
      <c r="R88" s="1559"/>
      <c r="S88" s="1559"/>
    </row>
    <row r="89" spans="2:19" hidden="1">
      <c r="B89" s="132" t="s">
        <v>143</v>
      </c>
      <c r="D89" s="463">
        <f>+'TABLA FINAL  NO'!EB112</f>
        <v>292.23</v>
      </c>
      <c r="E89" s="464">
        <f>+'TABLA FINAL  NO'!EC112</f>
        <v>292.87</v>
      </c>
      <c r="F89" s="464">
        <f>+'TABLA FINAL  NO'!ED112</f>
        <v>298.32</v>
      </c>
      <c r="G89" s="464">
        <f>+'TABLA FINAL  NO'!EE112</f>
        <v>301.19</v>
      </c>
      <c r="H89" s="464">
        <f>+'TABLA FINAL  NO'!EF112</f>
        <v>302.73</v>
      </c>
      <c r="I89" s="464">
        <f>+'TABLA FINAL  NO'!EG112</f>
        <v>304.72000000000003</v>
      </c>
      <c r="J89" s="464">
        <f>+'TABLA FINAL  NO'!EH112</f>
        <v>310.02999999999997</v>
      </c>
      <c r="K89" s="464">
        <f>+'TABLA FINAL  NO'!EI112</f>
        <v>312.56</v>
      </c>
      <c r="L89" s="464">
        <f>+'TABLA FINAL  NO'!EJ112</f>
        <v>315.41000000000003</v>
      </c>
      <c r="M89" s="464">
        <f>+'TABLA FINAL  NO'!EK112</f>
        <v>317.06</v>
      </c>
      <c r="N89" s="464">
        <f>+'TABLA FINAL  NO'!EL112</f>
        <v>319.25</v>
      </c>
      <c r="O89" s="468">
        <f>+'TABLA FINAL  NO'!EM112</f>
        <v>321.04000000000002</v>
      </c>
      <c r="P89" s="462"/>
      <c r="Q89" s="20"/>
      <c r="R89" s="1559"/>
      <c r="S89" s="1559"/>
    </row>
    <row r="90" spans="2:19" hidden="1">
      <c r="B90" s="132" t="s">
        <v>830</v>
      </c>
      <c r="D90" s="328">
        <f t="shared" ref="D90:O90" si="20">ROUND(100*D89/$C$11,2)</f>
        <v>335.97</v>
      </c>
      <c r="E90" s="283">
        <f t="shared" si="20"/>
        <v>336.71</v>
      </c>
      <c r="F90" s="283">
        <f t="shared" si="20"/>
        <v>342.98</v>
      </c>
      <c r="G90" s="283">
        <f t="shared" si="20"/>
        <v>346.28</v>
      </c>
      <c r="H90" s="283">
        <f t="shared" si="20"/>
        <v>348.05</v>
      </c>
      <c r="I90" s="283">
        <f t="shared" si="20"/>
        <v>350.33</v>
      </c>
      <c r="J90" s="283">
        <f t="shared" si="20"/>
        <v>356.44</v>
      </c>
      <c r="K90" s="283">
        <f t="shared" si="20"/>
        <v>359.35</v>
      </c>
      <c r="L90" s="283">
        <f t="shared" si="20"/>
        <v>362.62</v>
      </c>
      <c r="M90" s="283">
        <f t="shared" si="20"/>
        <v>364.52</v>
      </c>
      <c r="N90" s="283">
        <f t="shared" si="20"/>
        <v>367.04</v>
      </c>
      <c r="O90" s="329">
        <f t="shared" si="20"/>
        <v>369.1</v>
      </c>
      <c r="P90" s="462"/>
      <c r="Q90" s="20"/>
      <c r="R90" s="1559"/>
      <c r="S90" s="1559"/>
    </row>
    <row r="91" spans="2:19" ht="9.75" hidden="1" customHeight="1" thickBot="1">
      <c r="D91" s="373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539"/>
      <c r="P91" s="462"/>
      <c r="Q91" s="20"/>
      <c r="R91" s="1559"/>
      <c r="S91" s="1559"/>
    </row>
    <row r="92" spans="2:19" ht="16.5" hidden="1" thickBot="1">
      <c r="B92" s="269" t="s">
        <v>641</v>
      </c>
      <c r="C92" s="269"/>
      <c r="D92" s="135">
        <f t="shared" ref="D92:M92" si="21">+D90</f>
        <v>335.97</v>
      </c>
      <c r="E92" s="337">
        <f t="shared" si="21"/>
        <v>336.71</v>
      </c>
      <c r="F92" s="337">
        <f t="shared" si="21"/>
        <v>342.98</v>
      </c>
      <c r="G92" s="337">
        <f t="shared" si="21"/>
        <v>346.28</v>
      </c>
      <c r="H92" s="337">
        <f>+H90</f>
        <v>348.05</v>
      </c>
      <c r="I92" s="337">
        <f>+I90</f>
        <v>350.33</v>
      </c>
      <c r="J92" s="337">
        <f t="shared" si="21"/>
        <v>356.44</v>
      </c>
      <c r="K92" s="337">
        <f t="shared" si="21"/>
        <v>359.35</v>
      </c>
      <c r="L92" s="337">
        <f t="shared" si="21"/>
        <v>362.62</v>
      </c>
      <c r="M92" s="337">
        <f t="shared" si="21"/>
        <v>364.52</v>
      </c>
      <c r="N92" s="337">
        <f>+N90</f>
        <v>367.04</v>
      </c>
      <c r="O92" s="338">
        <f>+O90</f>
        <v>369.1</v>
      </c>
      <c r="P92" s="462"/>
      <c r="Q92" s="20"/>
      <c r="R92" s="1559"/>
      <c r="S92" s="1559"/>
    </row>
    <row r="93" spans="2:19" ht="16.5" hidden="1" thickBot="1">
      <c r="B93" s="269"/>
      <c r="C93" s="269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462"/>
      <c r="Q93" s="20"/>
      <c r="R93" s="1559"/>
      <c r="S93" s="1559"/>
    </row>
    <row r="94" spans="2:19" ht="16.5" hidden="1" thickBot="1">
      <c r="B94" s="269"/>
      <c r="C94" s="269"/>
      <c r="D94" s="2682">
        <v>2013</v>
      </c>
      <c r="E94" s="2683"/>
      <c r="F94" s="2683"/>
      <c r="G94" s="2683"/>
      <c r="H94" s="2683"/>
      <c r="I94" s="2683"/>
      <c r="J94" s="2683"/>
      <c r="K94" s="2683"/>
      <c r="L94" s="2683"/>
      <c r="M94" s="2683"/>
      <c r="N94" s="2683"/>
      <c r="O94" s="2684"/>
      <c r="P94" s="462"/>
      <c r="Q94" s="20"/>
      <c r="R94" s="1559"/>
      <c r="S94" s="1559"/>
    </row>
    <row r="95" spans="2:19" ht="16.5" hidden="1" thickBot="1">
      <c r="B95" s="269"/>
      <c r="C95" s="269"/>
      <c r="D95" s="449" t="s">
        <v>578</v>
      </c>
      <c r="E95" s="412" t="s">
        <v>579</v>
      </c>
      <c r="F95" s="412" t="s">
        <v>580</v>
      </c>
      <c r="G95" s="454" t="s">
        <v>581</v>
      </c>
      <c r="H95" s="454" t="s">
        <v>582</v>
      </c>
      <c r="I95" s="465" t="s">
        <v>583</v>
      </c>
      <c r="J95" s="466" t="s">
        <v>587</v>
      </c>
      <c r="K95" s="466" t="s">
        <v>588</v>
      </c>
      <c r="L95" s="466" t="s">
        <v>589</v>
      </c>
      <c r="M95" s="466" t="s">
        <v>590</v>
      </c>
      <c r="N95" s="466" t="s">
        <v>586</v>
      </c>
      <c r="O95" s="467" t="s">
        <v>577</v>
      </c>
      <c r="P95" s="462"/>
      <c r="Q95" s="20"/>
      <c r="R95" s="1559"/>
      <c r="S95" s="1559"/>
    </row>
    <row r="96" spans="2:19" hidden="1">
      <c r="B96" s="132" t="s">
        <v>143</v>
      </c>
      <c r="D96" s="463">
        <f>+'TABLA FINAL  NO'!EN112</f>
        <v>325.05</v>
      </c>
      <c r="E96" s="464">
        <f>+'TABLA FINAL  NO'!EO112</f>
        <v>328.3</v>
      </c>
      <c r="F96" s="464">
        <f>+'TABLA FINAL  NO'!EP112</f>
        <v>331.02</v>
      </c>
      <c r="G96" s="464">
        <f>+'TABLA FINAL  NO'!EQ112</f>
        <v>335.58</v>
      </c>
      <c r="H96" s="464">
        <f>+'TABLA FINAL  NO'!ER112</f>
        <v>339.63</v>
      </c>
      <c r="I96" s="464">
        <f>+'TABLA FINAL  NO'!ES112</f>
        <v>342.3</v>
      </c>
      <c r="J96" s="464">
        <f>+'TABLA FINAL  NO'!ET112</f>
        <v>344.58</v>
      </c>
      <c r="K96" s="464">
        <f>+'TABLA FINAL  NO'!EU112</f>
        <v>347.78</v>
      </c>
      <c r="L96" s="464">
        <f>+'TABLA FINAL  NO'!EV112</f>
        <v>351.2</v>
      </c>
      <c r="M96" s="464">
        <f>+'TABLA FINAL  NO'!EW112</f>
        <v>352.67</v>
      </c>
      <c r="N96" s="464">
        <f>+'TABLA FINAL  NO'!EX112</f>
        <v>355.11</v>
      </c>
      <c r="O96" s="468">
        <f>+'TABLA FINAL  NO'!EY112</f>
        <v>363.37</v>
      </c>
      <c r="P96" s="462"/>
      <c r="Q96" s="20"/>
      <c r="R96" s="1559"/>
      <c r="S96" s="1559"/>
    </row>
    <row r="97" spans="2:19" hidden="1">
      <c r="B97" s="132" t="s">
        <v>830</v>
      </c>
      <c r="D97" s="1153">
        <f t="shared" ref="D97:O97" si="22">ROUND(100*D96/$C$11,2)</f>
        <v>373.71</v>
      </c>
      <c r="E97" s="475">
        <f t="shared" si="22"/>
        <v>377.44</v>
      </c>
      <c r="F97" s="475">
        <f t="shared" si="22"/>
        <v>380.57</v>
      </c>
      <c r="G97" s="475">
        <f t="shared" si="22"/>
        <v>385.81</v>
      </c>
      <c r="H97" s="475">
        <f t="shared" si="22"/>
        <v>390.47</v>
      </c>
      <c r="I97" s="475">
        <f t="shared" si="22"/>
        <v>393.54</v>
      </c>
      <c r="J97" s="475">
        <f t="shared" si="22"/>
        <v>396.16</v>
      </c>
      <c r="K97" s="475">
        <f t="shared" si="22"/>
        <v>399.84</v>
      </c>
      <c r="L97" s="475">
        <f t="shared" si="22"/>
        <v>403.77</v>
      </c>
      <c r="M97" s="475">
        <f t="shared" si="22"/>
        <v>405.46</v>
      </c>
      <c r="N97" s="475">
        <f t="shared" si="22"/>
        <v>408.27</v>
      </c>
      <c r="O97" s="1154">
        <f t="shared" si="22"/>
        <v>417.76</v>
      </c>
      <c r="P97" s="462"/>
      <c r="Q97" s="20"/>
      <c r="R97" s="1559"/>
      <c r="S97" s="1559"/>
    </row>
    <row r="98" spans="2:19" ht="7.5" hidden="1" customHeight="1" thickBot="1">
      <c r="D98" s="373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539"/>
      <c r="P98" s="462"/>
      <c r="Q98" s="20"/>
      <c r="R98" s="1559"/>
      <c r="S98" s="1559"/>
    </row>
    <row r="99" spans="2:19" ht="16.5" hidden="1" thickBot="1">
      <c r="B99" s="269" t="s">
        <v>641</v>
      </c>
      <c r="C99" s="269"/>
      <c r="D99" s="135">
        <f t="shared" ref="D99:N99" si="23">+D97</f>
        <v>373.71</v>
      </c>
      <c r="E99" s="337">
        <f t="shared" si="23"/>
        <v>377.44</v>
      </c>
      <c r="F99" s="337">
        <f t="shared" si="23"/>
        <v>380.57</v>
      </c>
      <c r="G99" s="337">
        <f t="shared" si="23"/>
        <v>385.81</v>
      </c>
      <c r="H99" s="337">
        <f t="shared" si="23"/>
        <v>390.47</v>
      </c>
      <c r="I99" s="337">
        <f t="shared" si="23"/>
        <v>393.54</v>
      </c>
      <c r="J99" s="337">
        <f t="shared" si="23"/>
        <v>396.16</v>
      </c>
      <c r="K99" s="337">
        <f t="shared" si="23"/>
        <v>399.84</v>
      </c>
      <c r="L99" s="337">
        <f t="shared" si="23"/>
        <v>403.77</v>
      </c>
      <c r="M99" s="337">
        <f t="shared" si="23"/>
        <v>405.46</v>
      </c>
      <c r="N99" s="337">
        <f t="shared" si="23"/>
        <v>408.27</v>
      </c>
      <c r="O99" s="338">
        <f>+O97</f>
        <v>417.76</v>
      </c>
      <c r="P99" s="462"/>
      <c r="Q99" s="20"/>
      <c r="R99" s="1559"/>
      <c r="S99" s="1559"/>
    </row>
    <row r="100" spans="2:19" ht="16.5" hidden="1" thickBot="1">
      <c r="B100" s="269"/>
      <c r="C100" s="269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462"/>
      <c r="Q100" s="20"/>
      <c r="R100" s="1559"/>
      <c r="S100" s="1559"/>
    </row>
    <row r="101" spans="2:19" ht="16.5" hidden="1" thickBot="1">
      <c r="B101" s="269"/>
      <c r="C101" s="269"/>
      <c r="D101" s="2682">
        <v>2014</v>
      </c>
      <c r="E101" s="2683"/>
      <c r="F101" s="2683"/>
      <c r="G101" s="2683"/>
      <c r="H101" s="2683"/>
      <c r="I101" s="2683"/>
      <c r="J101" s="2683"/>
      <c r="K101" s="2683"/>
      <c r="L101" s="2683"/>
      <c r="M101" s="2683"/>
      <c r="N101" s="2683"/>
      <c r="O101" s="2684"/>
      <c r="P101" s="462"/>
      <c r="Q101" s="20"/>
      <c r="R101" s="1559"/>
      <c r="S101" s="1559"/>
    </row>
    <row r="102" spans="2:19" ht="16.5" hidden="1" thickBot="1">
      <c r="B102" s="269"/>
      <c r="C102" s="269"/>
      <c r="D102" s="449" t="s">
        <v>578</v>
      </c>
      <c r="E102" s="412" t="s">
        <v>579</v>
      </c>
      <c r="F102" s="412" t="s">
        <v>580</v>
      </c>
      <c r="G102" s="454" t="s">
        <v>581</v>
      </c>
      <c r="H102" s="454" t="s">
        <v>582</v>
      </c>
      <c r="I102" s="465" t="s">
        <v>583</v>
      </c>
      <c r="J102" s="466" t="s">
        <v>587</v>
      </c>
      <c r="K102" s="466" t="s">
        <v>588</v>
      </c>
      <c r="L102" s="466" t="s">
        <v>589</v>
      </c>
      <c r="M102" s="466" t="s">
        <v>590</v>
      </c>
      <c r="N102" s="466" t="s">
        <v>586</v>
      </c>
      <c r="O102" s="467" t="s">
        <v>577</v>
      </c>
      <c r="P102" s="462"/>
      <c r="Q102" s="20"/>
      <c r="R102" s="1559"/>
      <c r="S102" s="1559"/>
    </row>
    <row r="103" spans="2:19" hidden="1">
      <c r="B103" s="132" t="s">
        <v>143</v>
      </c>
      <c r="D103" s="795">
        <f>'TABLA FINAL  NO'!EZ112</f>
        <v>373.45</v>
      </c>
      <c r="E103" s="464">
        <f>'TABLA FINAL  NO'!FA112</f>
        <v>401.96</v>
      </c>
      <c r="F103" s="464">
        <f>'TABLA FINAL  NO'!FB112</f>
        <v>410.44</v>
      </c>
      <c r="G103" s="464">
        <f>'TABLA FINAL  NO'!FC112</f>
        <v>413.52</v>
      </c>
      <c r="H103" s="464">
        <f>'TABLA FINAL  NO'!FD112</f>
        <v>415.78</v>
      </c>
      <c r="I103" s="464">
        <f>'TABLA FINAL  NO'!FE112</f>
        <v>418.81</v>
      </c>
      <c r="J103" s="464">
        <f>'TABLA FINAL  NO'!FF112</f>
        <v>417.62</v>
      </c>
      <c r="K103" s="464">
        <f>'TABLA FINAL  NO'!FG112</f>
        <v>432.32</v>
      </c>
      <c r="L103" s="464">
        <f>'TABLA FINAL  NO'!FH112</f>
        <v>437.15</v>
      </c>
      <c r="M103" s="464">
        <f>'TABLA FINAL  NO'!FI112</f>
        <v>441.84</v>
      </c>
      <c r="N103" s="464">
        <f>'TABLA FINAL  NO'!FJ112</f>
        <v>447.45</v>
      </c>
      <c r="O103" s="468">
        <f>'TABLA FINAL  NO'!FK112</f>
        <v>448.27</v>
      </c>
      <c r="P103" s="462"/>
      <c r="Q103" s="20"/>
      <c r="R103" s="1559"/>
      <c r="S103" s="1559"/>
    </row>
    <row r="104" spans="2:19" hidden="1">
      <c r="B104" s="132" t="s">
        <v>830</v>
      </c>
      <c r="D104" s="1500">
        <f t="shared" ref="D104:K104" si="24">ROUND(100*D103/$C$11,2)</f>
        <v>429.35</v>
      </c>
      <c r="E104" s="475">
        <f t="shared" si="24"/>
        <v>462.13</v>
      </c>
      <c r="F104" s="475">
        <f t="shared" si="24"/>
        <v>471.88</v>
      </c>
      <c r="G104" s="475">
        <f t="shared" si="24"/>
        <v>475.42</v>
      </c>
      <c r="H104" s="475">
        <f t="shared" si="24"/>
        <v>478.02</v>
      </c>
      <c r="I104" s="475">
        <f t="shared" si="24"/>
        <v>481.5</v>
      </c>
      <c r="J104" s="475">
        <f t="shared" si="24"/>
        <v>480.13</v>
      </c>
      <c r="K104" s="475">
        <f t="shared" si="24"/>
        <v>497.03</v>
      </c>
      <c r="L104" s="475">
        <f>ROUND(100*L103/$C$11,2)</f>
        <v>502.59</v>
      </c>
      <c r="M104" s="475">
        <f>ROUND(100*M103/$C$11,2)</f>
        <v>507.98</v>
      </c>
      <c r="N104" s="475">
        <f>ROUND(100*N103/$C$11,2)</f>
        <v>514.42999999999995</v>
      </c>
      <c r="O104" s="1154">
        <f>ROUND(100*O103/$C$11,2)</f>
        <v>515.37</v>
      </c>
      <c r="P104" s="462"/>
      <c r="Q104" s="20"/>
      <c r="R104" s="1559"/>
      <c r="S104" s="1559"/>
    </row>
    <row r="105" spans="2:19" ht="7.5" hidden="1" customHeight="1" thickBot="1">
      <c r="D105" s="1241"/>
      <c r="E105" s="1155"/>
      <c r="F105" s="380"/>
      <c r="G105" s="380"/>
      <c r="H105" s="380"/>
      <c r="I105" s="380"/>
      <c r="J105" s="380"/>
      <c r="K105" s="380"/>
      <c r="L105" s="380"/>
      <c r="M105" s="380"/>
      <c r="N105" s="380"/>
      <c r="O105" s="539"/>
      <c r="P105" s="462"/>
      <c r="Q105" s="20"/>
      <c r="R105" s="1559"/>
      <c r="S105" s="1559"/>
    </row>
    <row r="106" spans="2:19" ht="16.5" hidden="1" thickBot="1">
      <c r="B106" s="269" t="s">
        <v>641</v>
      </c>
      <c r="C106" s="269"/>
      <c r="D106" s="404">
        <f t="shared" ref="D106:I106" si="25">+D104</f>
        <v>429.35</v>
      </c>
      <c r="E106" s="1289">
        <f t="shared" si="25"/>
        <v>462.13</v>
      </c>
      <c r="F106" s="1289">
        <f t="shared" si="25"/>
        <v>471.88</v>
      </c>
      <c r="G106" s="1289">
        <f t="shared" si="25"/>
        <v>475.42</v>
      </c>
      <c r="H106" s="1289">
        <f t="shared" si="25"/>
        <v>478.02</v>
      </c>
      <c r="I106" s="1289">
        <f t="shared" si="25"/>
        <v>481.5</v>
      </c>
      <c r="J106" s="1289">
        <f t="shared" ref="J106:O106" si="26">+J104</f>
        <v>480.13</v>
      </c>
      <c r="K106" s="1289">
        <f t="shared" si="26"/>
        <v>497.03</v>
      </c>
      <c r="L106" s="1289">
        <f t="shared" si="26"/>
        <v>502.59</v>
      </c>
      <c r="M106" s="1289">
        <f t="shared" si="26"/>
        <v>507.98</v>
      </c>
      <c r="N106" s="1289">
        <f t="shared" si="26"/>
        <v>514.42999999999995</v>
      </c>
      <c r="O106" s="1290">
        <f t="shared" si="26"/>
        <v>515.37</v>
      </c>
      <c r="P106" s="462"/>
      <c r="Q106" s="20"/>
      <c r="R106" s="1559"/>
      <c r="S106" s="1559"/>
    </row>
    <row r="107" spans="2:19" ht="16.5" hidden="1" thickBot="1">
      <c r="B107" s="269"/>
      <c r="C107" s="269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462"/>
      <c r="Q107" s="20"/>
      <c r="R107" s="1559"/>
      <c r="S107" s="1559"/>
    </row>
    <row r="108" spans="2:19" ht="16.5" hidden="1" thickBot="1">
      <c r="B108" s="269"/>
      <c r="C108" s="269"/>
      <c r="D108" s="2682">
        <v>2015</v>
      </c>
      <c r="E108" s="2683"/>
      <c r="F108" s="2683"/>
      <c r="G108" s="2683"/>
      <c r="H108" s="2683"/>
      <c r="I108" s="2683"/>
      <c r="J108" s="2683"/>
      <c r="K108" s="2683"/>
      <c r="L108" s="2683"/>
      <c r="M108" s="2683"/>
      <c r="N108" s="2683"/>
      <c r="O108" s="2684"/>
      <c r="P108" s="462"/>
      <c r="Q108" s="20"/>
      <c r="R108" s="1559"/>
      <c r="S108" s="1559"/>
    </row>
    <row r="109" spans="2:19" ht="16.5" hidden="1" thickBot="1">
      <c r="B109" s="269"/>
      <c r="C109" s="269"/>
      <c r="D109" s="449" t="s">
        <v>578</v>
      </c>
      <c r="E109" s="412" t="s">
        <v>579</v>
      </c>
      <c r="F109" s="412" t="s">
        <v>580</v>
      </c>
      <c r="G109" s="454" t="s">
        <v>581</v>
      </c>
      <c r="H109" s="454" t="s">
        <v>582</v>
      </c>
      <c r="I109" s="465" t="s">
        <v>583</v>
      </c>
      <c r="J109" s="466" t="s">
        <v>587</v>
      </c>
      <c r="K109" s="466" t="s">
        <v>588</v>
      </c>
      <c r="L109" s="466" t="s">
        <v>589</v>
      </c>
      <c r="M109" s="466" t="s">
        <v>590</v>
      </c>
      <c r="N109" s="466" t="s">
        <v>586</v>
      </c>
      <c r="O109" s="467" t="s">
        <v>577</v>
      </c>
      <c r="P109" s="462"/>
      <c r="Q109" s="20"/>
      <c r="R109" s="1559"/>
      <c r="S109" s="1559"/>
    </row>
    <row r="110" spans="2:19" hidden="1">
      <c r="B110" s="132" t="s">
        <v>143</v>
      </c>
      <c r="D110" s="795">
        <f>+'TABLA FINAL  NO'!FL112</f>
        <v>451.33</v>
      </c>
      <c r="E110" s="464">
        <f>+'TABLA FINAL  NO'!FM112</f>
        <v>453.1</v>
      </c>
      <c r="F110" s="464">
        <f>+'TABLA FINAL  NO'!FN112</f>
        <v>464.05</v>
      </c>
      <c r="G110" s="464">
        <f>+'TABLA FINAL  NO'!FO112</f>
        <v>479.19</v>
      </c>
      <c r="H110" s="464">
        <f>+'TABLA FINAL  NO'!FP112</f>
        <v>488.94</v>
      </c>
      <c r="I110" s="464">
        <f>+'TABLA FINAL  NO'!FQ112</f>
        <v>499.36</v>
      </c>
      <c r="J110" s="464">
        <f>+'TABLA FINAL  NO'!FR112</f>
        <v>508.36</v>
      </c>
      <c r="K110" s="464">
        <f>+'TABLA FINAL  NO'!FS112</f>
        <v>517.79</v>
      </c>
      <c r="L110" s="464">
        <f>+'TABLA FINAL  NO'!FT112</f>
        <v>519.94000000000005</v>
      </c>
      <c r="M110" s="464">
        <f>+'TABLA FINAL  NO'!FU112</f>
        <v>526.96</v>
      </c>
      <c r="N110" s="464" t="e">
        <f>+#REF!</f>
        <v>#REF!</v>
      </c>
      <c r="O110" s="468" t="e">
        <f>+#REF!</f>
        <v>#REF!</v>
      </c>
      <c r="P110" s="462"/>
      <c r="Q110" s="20"/>
      <c r="R110" s="1559"/>
      <c r="S110" s="1559"/>
    </row>
    <row r="111" spans="2:19" hidden="1">
      <c r="B111" s="132" t="s">
        <v>830</v>
      </c>
      <c r="D111" s="1500">
        <f t="shared" ref="D111:I111" si="27">ROUND(100*D110/$C$11,2)</f>
        <v>518.89</v>
      </c>
      <c r="E111" s="283">
        <f t="shared" si="27"/>
        <v>520.91999999999996</v>
      </c>
      <c r="F111" s="283">
        <f t="shared" si="27"/>
        <v>533.51</v>
      </c>
      <c r="G111" s="283">
        <f t="shared" si="27"/>
        <v>550.91999999999996</v>
      </c>
      <c r="H111" s="283">
        <f t="shared" si="27"/>
        <v>562.13</v>
      </c>
      <c r="I111" s="283">
        <f t="shared" si="27"/>
        <v>574.11</v>
      </c>
      <c r="J111" s="283">
        <f t="shared" ref="J111:O111" si="28">ROUND(100*J110/$C$11,2)</f>
        <v>584.46</v>
      </c>
      <c r="K111" s="283">
        <f t="shared" si="28"/>
        <v>595.29999999999995</v>
      </c>
      <c r="L111" s="283">
        <f t="shared" si="28"/>
        <v>597.77</v>
      </c>
      <c r="M111" s="283">
        <f t="shared" si="28"/>
        <v>605.84</v>
      </c>
      <c r="N111" s="283" t="e">
        <f t="shared" si="28"/>
        <v>#REF!</v>
      </c>
      <c r="O111" s="329" t="e">
        <f t="shared" si="28"/>
        <v>#REF!</v>
      </c>
      <c r="P111" s="462"/>
      <c r="Q111" s="20"/>
      <c r="R111" s="1559"/>
      <c r="S111" s="1559"/>
    </row>
    <row r="112" spans="2:19" ht="7.5" hidden="1" customHeight="1" thickBot="1">
      <c r="D112" s="1241"/>
      <c r="E112" s="1155"/>
      <c r="F112" s="1155"/>
      <c r="G112" s="1155"/>
      <c r="H112" s="1155"/>
      <c r="I112" s="1155"/>
      <c r="J112" s="1155"/>
      <c r="K112" s="1155"/>
      <c r="L112" s="1155"/>
      <c r="M112" s="1155"/>
      <c r="N112" s="380"/>
      <c r="O112" s="539"/>
      <c r="P112" s="462"/>
      <c r="Q112" s="20"/>
      <c r="R112" s="1559"/>
      <c r="S112" s="1559"/>
    </row>
    <row r="113" spans="2:24" ht="16.5" hidden="1" thickBot="1">
      <c r="B113" s="269" t="s">
        <v>641</v>
      </c>
      <c r="C113" s="269"/>
      <c r="D113" s="404">
        <f>+D111</f>
        <v>518.89</v>
      </c>
      <c r="E113" s="1289">
        <f t="shared" ref="E113:J113" si="29">+E111</f>
        <v>520.91999999999996</v>
      </c>
      <c r="F113" s="1289">
        <f t="shared" si="29"/>
        <v>533.51</v>
      </c>
      <c r="G113" s="1289">
        <f t="shared" si="29"/>
        <v>550.91999999999996</v>
      </c>
      <c r="H113" s="1289">
        <f t="shared" si="29"/>
        <v>562.13</v>
      </c>
      <c r="I113" s="1289">
        <f t="shared" si="29"/>
        <v>574.11</v>
      </c>
      <c r="J113" s="1289">
        <f t="shared" si="29"/>
        <v>584.46</v>
      </c>
      <c r="K113" s="1289">
        <f>+K111</f>
        <v>595.29999999999995</v>
      </c>
      <c r="L113" s="1289">
        <f>+L111</f>
        <v>597.77</v>
      </c>
      <c r="M113" s="1289">
        <f>+M111</f>
        <v>605.84</v>
      </c>
      <c r="N113" s="1289" t="e">
        <f>+N111</f>
        <v>#REF!</v>
      </c>
      <c r="O113" s="1290" t="e">
        <f>+O111</f>
        <v>#REF!</v>
      </c>
      <c r="P113" s="462"/>
      <c r="Q113" s="20"/>
      <c r="R113" s="1559"/>
      <c r="S113" s="1559"/>
    </row>
    <row r="114" spans="2:24" ht="16.5" hidden="1" thickBot="1">
      <c r="B114" s="269"/>
      <c r="C114" s="269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462"/>
      <c r="Q114" s="20"/>
      <c r="R114" s="1559"/>
      <c r="S114" s="1642">
        <v>605.84</v>
      </c>
      <c r="T114" s="50">
        <v>620.59</v>
      </c>
      <c r="U114" s="50">
        <v>623.15</v>
      </c>
      <c r="V114" s="50">
        <v>865.49</v>
      </c>
      <c r="W114" s="50">
        <v>977.68</v>
      </c>
      <c r="X114" s="50">
        <v>930.88</v>
      </c>
    </row>
    <row r="115" spans="2:24" ht="16.5" thickBot="1">
      <c r="B115" s="269"/>
      <c r="C115" s="269"/>
      <c r="D115" s="2682">
        <v>2016</v>
      </c>
      <c r="E115" s="2683"/>
      <c r="F115" s="2683"/>
      <c r="G115" s="2683"/>
      <c r="H115" s="2683"/>
      <c r="I115" s="2683"/>
      <c r="J115" s="2683"/>
      <c r="K115" s="2683"/>
      <c r="L115" s="2683"/>
      <c r="M115" s="2683"/>
      <c r="N115" s="2683"/>
      <c r="O115" s="2684"/>
      <c r="P115" s="462"/>
      <c r="Q115" s="20"/>
      <c r="R115" s="1559"/>
      <c r="S115" s="1559"/>
    </row>
    <row r="116" spans="2:24" ht="16.5" thickBot="1">
      <c r="B116" s="269"/>
      <c r="C116" s="269"/>
      <c r="D116" s="449" t="s">
        <v>578</v>
      </c>
      <c r="E116" s="412" t="s">
        <v>579</v>
      </c>
      <c r="F116" s="412" t="s">
        <v>580</v>
      </c>
      <c r="G116" s="454" t="s">
        <v>581</v>
      </c>
      <c r="H116" s="454" t="s">
        <v>582</v>
      </c>
      <c r="I116" s="465" t="s">
        <v>583</v>
      </c>
      <c r="J116" s="466" t="s">
        <v>587</v>
      </c>
      <c r="K116" s="466" t="s">
        <v>588</v>
      </c>
      <c r="L116" s="466" t="s">
        <v>589</v>
      </c>
      <c r="M116" s="466" t="s">
        <v>590</v>
      </c>
      <c r="N116" s="466" t="s">
        <v>586</v>
      </c>
      <c r="O116" s="467" t="s">
        <v>577</v>
      </c>
      <c r="P116" s="462"/>
      <c r="Q116" s="20"/>
      <c r="R116" s="1559"/>
      <c r="S116" s="1559"/>
    </row>
    <row r="117" spans="2:24">
      <c r="B117" s="132" t="s">
        <v>143</v>
      </c>
      <c r="D117" s="2436">
        <f>+'Insumos testigos '!FY109</f>
        <v>100</v>
      </c>
      <c r="E117" s="451">
        <f>+'Insumos testigos '!FZ109</f>
        <v>112.96296355597192</v>
      </c>
      <c r="F117" s="451">
        <f>+'Insumos testigos '!GA109</f>
        <v>107.55555555555556</v>
      </c>
      <c r="G117" s="451">
        <f>+'Insumos testigos '!GB109</f>
        <v>106.14693454185816</v>
      </c>
      <c r="H117" s="451">
        <f>+'Insumos testigos '!GC109</f>
        <v>103.92592662439098</v>
      </c>
      <c r="I117" s="451">
        <f>+'Insumos testigos '!GD109</f>
        <v>111.85210733814885</v>
      </c>
      <c r="J117" s="451">
        <f>+'Insumos testigos '!GE109</f>
        <v>111.85210733814884</v>
      </c>
      <c r="K117" s="451">
        <f>+'Insumos testigos '!GF109</f>
        <v>111.85210733814883</v>
      </c>
      <c r="L117" s="451">
        <f>+'Insumos testigos '!GG109</f>
        <v>112.59274056290313</v>
      </c>
      <c r="M117" s="451">
        <f>+'Insumos testigos '!GH109</f>
        <v>114.59250213884906</v>
      </c>
      <c r="N117" s="451">
        <f>+'Insumos testigos '!GI109</f>
        <v>116.66666738408999</v>
      </c>
      <c r="O117" s="451">
        <f>+'Insumos testigos '!GJ109</f>
        <v>118.88888963978891</v>
      </c>
      <c r="P117" s="462"/>
      <c r="Q117" s="20"/>
      <c r="R117" s="1559"/>
      <c r="S117" s="1559"/>
    </row>
    <row r="118" spans="2:24">
      <c r="B118" s="132" t="s">
        <v>830</v>
      </c>
      <c r="D118" s="1500">
        <v>100</v>
      </c>
      <c r="E118" s="283">
        <f>ROUND(100*E117/$D$120,2)</f>
        <v>112.96</v>
      </c>
      <c r="F118" s="2435">
        <f t="shared" ref="F118:O118" si="30">ROUND(100*F117/$D$120,2)</f>
        <v>107.56</v>
      </c>
      <c r="G118" s="2435">
        <f t="shared" si="30"/>
        <v>106.15</v>
      </c>
      <c r="H118" s="2435">
        <f t="shared" si="30"/>
        <v>103.93</v>
      </c>
      <c r="I118" s="2435">
        <f t="shared" si="30"/>
        <v>111.85</v>
      </c>
      <c r="J118" s="2435">
        <f t="shared" si="30"/>
        <v>111.85</v>
      </c>
      <c r="K118" s="2435">
        <f t="shared" si="30"/>
        <v>111.85</v>
      </c>
      <c r="L118" s="2435">
        <f t="shared" si="30"/>
        <v>112.59</v>
      </c>
      <c r="M118" s="2435">
        <f t="shared" si="30"/>
        <v>114.59</v>
      </c>
      <c r="N118" s="2435">
        <f t="shared" si="30"/>
        <v>116.67</v>
      </c>
      <c r="O118" s="2435">
        <f t="shared" si="30"/>
        <v>118.89</v>
      </c>
      <c r="P118" s="462"/>
      <c r="Q118" s="20"/>
      <c r="R118" s="1559"/>
      <c r="S118" s="1559"/>
    </row>
    <row r="119" spans="2:24" ht="7.5" customHeight="1" thickBot="1">
      <c r="D119" s="1241"/>
      <c r="E119" s="1155"/>
      <c r="F119" s="1155"/>
      <c r="G119" s="1155"/>
      <c r="H119" s="1155"/>
      <c r="I119" s="1155"/>
      <c r="J119" s="1155"/>
      <c r="K119" s="1155"/>
      <c r="L119" s="1155"/>
      <c r="M119" s="1155"/>
      <c r="N119" s="380"/>
      <c r="O119" s="539"/>
      <c r="P119" s="462"/>
      <c r="Q119" s="20"/>
      <c r="R119" s="1559"/>
      <c r="S119" s="1559"/>
    </row>
    <row r="120" spans="2:24" ht="16.5" thickBot="1">
      <c r="B120" s="269" t="s">
        <v>641</v>
      </c>
      <c r="C120" s="269"/>
      <c r="D120" s="404">
        <v>100</v>
      </c>
      <c r="E120" s="1289">
        <f t="shared" ref="E120:L120" si="31">+E118</f>
        <v>112.96</v>
      </c>
      <c r="F120" s="1289">
        <f t="shared" si="31"/>
        <v>107.56</v>
      </c>
      <c r="G120" s="1289">
        <f>+G118</f>
        <v>106.15</v>
      </c>
      <c r="H120" s="1289">
        <f t="shared" si="31"/>
        <v>103.93</v>
      </c>
      <c r="I120" s="1289">
        <f>+I118</f>
        <v>111.85</v>
      </c>
      <c r="J120" s="1289">
        <f t="shared" si="31"/>
        <v>111.85</v>
      </c>
      <c r="K120" s="1289">
        <f t="shared" si="31"/>
        <v>111.85</v>
      </c>
      <c r="L120" s="1289">
        <f t="shared" si="31"/>
        <v>112.59</v>
      </c>
      <c r="M120" s="1289">
        <f>+M118</f>
        <v>114.59</v>
      </c>
      <c r="N120" s="1289">
        <f>+N118</f>
        <v>116.67</v>
      </c>
      <c r="O120" s="1290">
        <f>+O118</f>
        <v>118.89</v>
      </c>
      <c r="P120" s="462"/>
      <c r="Q120" s="20"/>
      <c r="R120" s="1559"/>
      <c r="S120" s="1559"/>
    </row>
    <row r="121" spans="2:24" ht="16.5" hidden="1" thickBot="1">
      <c r="B121" s="269"/>
      <c r="C121" s="269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462"/>
      <c r="Q121" s="20"/>
      <c r="R121" s="1559"/>
      <c r="S121" s="1559"/>
    </row>
    <row r="122" spans="2:24" ht="16.5" hidden="1" thickBot="1">
      <c r="B122" s="269"/>
      <c r="C122" s="269"/>
      <c r="D122" s="2682">
        <v>2017</v>
      </c>
      <c r="E122" s="2683"/>
      <c r="F122" s="2683"/>
      <c r="G122" s="2683"/>
      <c r="H122" s="2683"/>
      <c r="I122" s="2683"/>
      <c r="J122" s="2683"/>
      <c r="K122" s="2683"/>
      <c r="L122" s="2683"/>
      <c r="M122" s="2683"/>
      <c r="N122" s="2683"/>
      <c r="O122" s="2684"/>
      <c r="P122" s="462"/>
      <c r="Q122" s="20"/>
      <c r="R122" s="1559"/>
      <c r="S122" s="1559"/>
    </row>
    <row r="123" spans="2:24" ht="16.5" hidden="1" thickBot="1">
      <c r="B123" s="269"/>
      <c r="C123" s="269"/>
      <c r="D123" s="449" t="s">
        <v>578</v>
      </c>
      <c r="E123" s="412" t="s">
        <v>579</v>
      </c>
      <c r="F123" s="412" t="s">
        <v>580</v>
      </c>
      <c r="G123" s="454" t="s">
        <v>581</v>
      </c>
      <c r="H123" s="454" t="s">
        <v>582</v>
      </c>
      <c r="I123" s="465" t="s">
        <v>583</v>
      </c>
      <c r="J123" s="466" t="s">
        <v>587</v>
      </c>
      <c r="K123" s="466" t="s">
        <v>588</v>
      </c>
      <c r="L123" s="466" t="s">
        <v>589</v>
      </c>
      <c r="M123" s="466" t="s">
        <v>590</v>
      </c>
      <c r="N123" s="466" t="s">
        <v>586</v>
      </c>
      <c r="O123" s="467" t="s">
        <v>577</v>
      </c>
      <c r="P123" s="462"/>
      <c r="Q123" s="20"/>
      <c r="R123" s="1559"/>
      <c r="S123" s="1559"/>
    </row>
    <row r="124" spans="2:24" hidden="1">
      <c r="B124" s="132" t="s">
        <v>143</v>
      </c>
      <c r="D124" s="451">
        <f>+'Insumos testigos '!GK109</f>
        <v>119.25925938643842</v>
      </c>
      <c r="E124" s="451">
        <f>+'Insumos testigos '!GL109</f>
        <v>115.55555567878507</v>
      </c>
      <c r="F124" s="451">
        <f>+'Insumos testigos '!GM109</f>
        <v>115.92592664255936</v>
      </c>
      <c r="G124" s="451">
        <f>+'Insumos testigos '!GN109</f>
        <v>116.29635059245906</v>
      </c>
      <c r="H124" s="451">
        <f>+'Insumos testigos '!GO109</f>
        <v>120.00000012918365</v>
      </c>
      <c r="I124" s="451">
        <f>+'Insumos testigos '!GP109</f>
        <v>121.85185257603806</v>
      </c>
      <c r="J124" s="451">
        <f>+'Insumos testigos '!GQ109</f>
        <v>137.97665999501336</v>
      </c>
      <c r="K124" s="451">
        <f>+'Insumos testigos '!GR109</f>
        <v>140.15610283274032</v>
      </c>
      <c r="L124" s="451">
        <f>+'Insumos testigos '!GS109</f>
        <v>137.74324706062418</v>
      </c>
      <c r="M124" s="451">
        <f>+'Insumos testigos '!GT109</f>
        <v>139.60480665816416</v>
      </c>
      <c r="N124" s="451">
        <f>+'Insumos testigos '!GU109</f>
        <v>142.39689536835186</v>
      </c>
      <c r="O124" s="451">
        <f>+'Insumos testigos '!GV109</f>
        <v>146.66871971568375</v>
      </c>
      <c r="P124" s="462"/>
      <c r="Q124" s="20"/>
      <c r="R124" s="1559"/>
      <c r="S124" s="1559"/>
    </row>
    <row r="125" spans="2:24" hidden="1">
      <c r="B125" s="132" t="s">
        <v>830</v>
      </c>
      <c r="D125" s="2435">
        <f t="shared" ref="D125" si="32">ROUND(100*D124/$D$120,2)</f>
        <v>119.26</v>
      </c>
      <c r="E125" s="2435">
        <f t="shared" ref="E125" si="33">ROUND(100*E124/$D$120,2)</f>
        <v>115.56</v>
      </c>
      <c r="F125" s="2435">
        <f t="shared" ref="F125" si="34">ROUND(100*F124/$D$120,2)</f>
        <v>115.93</v>
      </c>
      <c r="G125" s="2435">
        <f t="shared" ref="G125" si="35">ROUND(100*G124/$D$120,2)</f>
        <v>116.3</v>
      </c>
      <c r="H125" s="2435">
        <f t="shared" ref="H125" si="36">ROUND(100*H124/$D$120,2)</f>
        <v>120</v>
      </c>
      <c r="I125" s="2435">
        <f t="shared" ref="I125" si="37">ROUND(100*I124/$D$120,2)</f>
        <v>121.85</v>
      </c>
      <c r="J125" s="2435">
        <f t="shared" ref="J125" si="38">ROUND(100*J124/$D$120,2)</f>
        <v>137.97999999999999</v>
      </c>
      <c r="K125" s="2435">
        <f t="shared" ref="K125" si="39">ROUND(100*K124/$D$120,2)</f>
        <v>140.16</v>
      </c>
      <c r="L125" s="2435">
        <f t="shared" ref="L125" si="40">ROUND(100*L124/$D$120,2)</f>
        <v>137.74</v>
      </c>
      <c r="M125" s="2435">
        <f t="shared" ref="M125" si="41">ROUND(100*M124/$D$120,2)</f>
        <v>139.6</v>
      </c>
      <c r="N125" s="2435">
        <f t="shared" ref="N125" si="42">ROUND(100*N124/$D$120,2)</f>
        <v>142.4</v>
      </c>
      <c r="O125" s="2435">
        <f t="shared" ref="O125" si="43">ROUND(100*O124/$D$120,2)</f>
        <v>146.66999999999999</v>
      </c>
      <c r="P125" s="462"/>
      <c r="Q125" s="20"/>
      <c r="R125" s="1559"/>
      <c r="S125" s="1559"/>
    </row>
    <row r="126" spans="2:24" ht="7.5" hidden="1" customHeight="1" thickBot="1">
      <c r="D126" s="1241"/>
      <c r="E126" s="1155"/>
      <c r="F126" s="1155"/>
      <c r="G126" s="1155"/>
      <c r="H126" s="1155"/>
      <c r="I126" s="1155"/>
      <c r="J126" s="1155"/>
      <c r="K126" s="1155"/>
      <c r="L126" s="1155"/>
      <c r="M126" s="1155"/>
      <c r="N126" s="380"/>
      <c r="O126" s="539"/>
      <c r="P126" s="462"/>
      <c r="Q126" s="20"/>
      <c r="R126" s="1559"/>
      <c r="S126" s="1559"/>
    </row>
    <row r="127" spans="2:24" ht="16.5" hidden="1" thickBot="1">
      <c r="B127" s="269" t="s">
        <v>641</v>
      </c>
      <c r="C127" s="269"/>
      <c r="D127" s="404">
        <f t="shared" ref="D127:O127" si="44">+D125</f>
        <v>119.26</v>
      </c>
      <c r="E127" s="1289">
        <f t="shared" si="44"/>
        <v>115.56</v>
      </c>
      <c r="F127" s="1289">
        <f t="shared" si="44"/>
        <v>115.93</v>
      </c>
      <c r="G127" s="1289">
        <f t="shared" si="44"/>
        <v>116.3</v>
      </c>
      <c r="H127" s="1289">
        <f t="shared" si="44"/>
        <v>120</v>
      </c>
      <c r="I127" s="1289">
        <f t="shared" si="44"/>
        <v>121.85</v>
      </c>
      <c r="J127" s="1289">
        <f t="shared" si="44"/>
        <v>137.97999999999999</v>
      </c>
      <c r="K127" s="1289">
        <f t="shared" si="44"/>
        <v>140.16</v>
      </c>
      <c r="L127" s="1289">
        <f t="shared" si="44"/>
        <v>137.74</v>
      </c>
      <c r="M127" s="1289">
        <f t="shared" si="44"/>
        <v>139.6</v>
      </c>
      <c r="N127" s="1289">
        <f t="shared" si="44"/>
        <v>142.4</v>
      </c>
      <c r="O127" s="1290">
        <f t="shared" si="44"/>
        <v>146.66999999999999</v>
      </c>
      <c r="P127" s="462"/>
      <c r="Q127" s="20"/>
      <c r="R127" s="1559"/>
      <c r="S127" s="1559"/>
    </row>
    <row r="128" spans="2:24" ht="16.5" hidden="1" thickBot="1">
      <c r="B128" s="269"/>
      <c r="C128" s="269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462"/>
      <c r="Q128" s="20"/>
      <c r="R128" s="1559"/>
      <c r="S128" s="1559"/>
    </row>
    <row r="129" spans="2:19" ht="16.5" hidden="1" thickBot="1">
      <c r="B129" s="269"/>
      <c r="C129" s="269"/>
      <c r="D129" s="2682">
        <v>2018</v>
      </c>
      <c r="E129" s="2683"/>
      <c r="F129" s="2683"/>
      <c r="G129" s="2683"/>
      <c r="H129" s="2683"/>
      <c r="I129" s="2683"/>
      <c r="J129" s="2683"/>
      <c r="K129" s="2683"/>
      <c r="L129" s="2683"/>
      <c r="M129" s="2683"/>
      <c r="N129" s="2683"/>
      <c r="O129" s="2684"/>
      <c r="P129" s="462"/>
      <c r="Q129" s="20"/>
      <c r="R129" s="1559"/>
      <c r="S129" s="1559"/>
    </row>
    <row r="130" spans="2:19" ht="16.5" hidden="1" thickBot="1">
      <c r="B130" s="269"/>
      <c r="C130" s="269"/>
      <c r="D130" s="449" t="s">
        <v>578</v>
      </c>
      <c r="E130" s="412" t="s">
        <v>579</v>
      </c>
      <c r="F130" s="412" t="s">
        <v>580</v>
      </c>
      <c r="G130" s="454" t="s">
        <v>581</v>
      </c>
      <c r="H130" s="454" t="s">
        <v>582</v>
      </c>
      <c r="I130" s="465" t="s">
        <v>583</v>
      </c>
      <c r="J130" s="466" t="s">
        <v>587</v>
      </c>
      <c r="K130" s="466" t="s">
        <v>588</v>
      </c>
      <c r="L130" s="466" t="s">
        <v>589</v>
      </c>
      <c r="M130" s="466" t="s">
        <v>590</v>
      </c>
      <c r="N130" s="466" t="s">
        <v>586</v>
      </c>
      <c r="O130" s="467" t="s">
        <v>577</v>
      </c>
      <c r="P130" s="462"/>
      <c r="Q130" s="20"/>
      <c r="R130" s="1559"/>
      <c r="S130" s="1559"/>
    </row>
    <row r="131" spans="2:19" hidden="1">
      <c r="B131" s="132" t="s">
        <v>143</v>
      </c>
      <c r="D131" s="451">
        <f>+'Insumos testigos '!GW109</f>
        <v>154.00221106352456</v>
      </c>
      <c r="E131" s="451">
        <f>+'Insumos testigos '!GX109</f>
        <v>158.62225595332947</v>
      </c>
      <c r="F131" s="451">
        <f>+'Insumos testigos '!GY109</f>
        <v>163.38090652789552</v>
      </c>
      <c r="G131" s="451">
        <f>+'Insumos testigos '!GZ109</f>
        <v>163.38090652789549</v>
      </c>
      <c r="H131" s="451">
        <f>+'Insumos testigos '!HA109</f>
        <v>199.94471230418065</v>
      </c>
      <c r="I131" s="451">
        <f>+'Insumos testigos '!HB109</f>
        <v>226.22628552973558</v>
      </c>
      <c r="J131" s="451">
        <f>+'Insumos testigos '!HC109</f>
        <v>223.84248859602076</v>
      </c>
      <c r="K131" s="451">
        <f>+'Insumos testigos '!HD109</f>
        <v>234.99359884670596</v>
      </c>
      <c r="L131" s="451">
        <f>+'Insumos testigos '!HE109</f>
        <v>316.48619477314281</v>
      </c>
      <c r="M131" s="451">
        <f>+'Insumos testigos '!HF109</f>
        <v>300.87260674479398</v>
      </c>
      <c r="N131" s="451">
        <f>+'Insumos testigos '!HG109</f>
        <v>283.42850974739122</v>
      </c>
      <c r="O131" s="451">
        <f>+'Insumos testigos '!HH109</f>
        <v>306.31319598716982</v>
      </c>
      <c r="P131" s="462"/>
      <c r="Q131" s="20"/>
      <c r="R131" s="1559"/>
      <c r="S131" s="1559"/>
    </row>
    <row r="132" spans="2:19" hidden="1">
      <c r="B132" s="132" t="s">
        <v>830</v>
      </c>
      <c r="D132" s="2435">
        <f t="shared" ref="D132" si="45">ROUND(100*D131/$D$120,2)</f>
        <v>154</v>
      </c>
      <c r="E132" s="2435">
        <f t="shared" ref="E132" si="46">ROUND(100*E131/$D$120,2)</f>
        <v>158.62</v>
      </c>
      <c r="F132" s="2435">
        <f t="shared" ref="F132" si="47">ROUND(100*F131/$D$120,2)</f>
        <v>163.38</v>
      </c>
      <c r="G132" s="2435">
        <f t="shared" ref="G132" si="48">ROUND(100*G131/$D$120,2)</f>
        <v>163.38</v>
      </c>
      <c r="H132" s="2435">
        <f t="shared" ref="H132" si="49">ROUND(100*H131/$D$120,2)</f>
        <v>199.94</v>
      </c>
      <c r="I132" s="2435">
        <f t="shared" ref="I132" si="50">ROUND(100*I131/$D$120,2)</f>
        <v>226.23</v>
      </c>
      <c r="J132" s="2435">
        <f t="shared" ref="J132" si="51">ROUND(100*J131/$D$120,2)</f>
        <v>223.84</v>
      </c>
      <c r="K132" s="2435">
        <f t="shared" ref="K132" si="52">ROUND(100*K131/$D$120,2)</f>
        <v>234.99</v>
      </c>
      <c r="L132" s="2435">
        <f t="shared" ref="L132" si="53">ROUND(100*L131/$D$120,2)</f>
        <v>316.49</v>
      </c>
      <c r="M132" s="2435">
        <f t="shared" ref="M132" si="54">ROUND(100*M131/$D$120,2)</f>
        <v>300.87</v>
      </c>
      <c r="N132" s="2435">
        <f t="shared" ref="N132" si="55">ROUND(100*N131/$D$120,2)</f>
        <v>283.43</v>
      </c>
      <c r="O132" s="2435">
        <f t="shared" ref="O132" si="56">ROUND(100*O131/$D$120,2)</f>
        <v>306.31</v>
      </c>
      <c r="P132" s="462"/>
      <c r="Q132" s="20"/>
      <c r="R132" s="1559"/>
      <c r="S132" s="1559"/>
    </row>
    <row r="133" spans="2:19" ht="8.4499999999999993" hidden="1" customHeight="1" thickBot="1">
      <c r="D133" s="1241"/>
      <c r="E133" s="1155"/>
      <c r="F133" s="1155"/>
      <c r="G133" s="1155"/>
      <c r="H133" s="1155"/>
      <c r="I133" s="1155"/>
      <c r="J133" s="1155"/>
      <c r="K133" s="1155"/>
      <c r="L133" s="1155"/>
      <c r="M133" s="1155"/>
      <c r="N133" s="380"/>
      <c r="O133" s="539"/>
      <c r="P133" s="462"/>
      <c r="Q133" s="20"/>
      <c r="R133" s="1559"/>
      <c r="S133" s="1559"/>
    </row>
    <row r="134" spans="2:19" ht="16.899999999999999" hidden="1" customHeight="1" thickBot="1">
      <c r="B134" s="269"/>
      <c r="C134" s="269"/>
      <c r="D134" s="404">
        <f t="shared" ref="D134:O134" si="57">+D132</f>
        <v>154</v>
      </c>
      <c r="E134" s="1289">
        <f t="shared" si="57"/>
        <v>158.62</v>
      </c>
      <c r="F134" s="1289">
        <f t="shared" si="57"/>
        <v>163.38</v>
      </c>
      <c r="G134" s="1289">
        <f t="shared" si="57"/>
        <v>163.38</v>
      </c>
      <c r="H134" s="1289">
        <f t="shared" si="57"/>
        <v>199.94</v>
      </c>
      <c r="I134" s="1289">
        <f t="shared" si="57"/>
        <v>226.23</v>
      </c>
      <c r="J134" s="1289">
        <f t="shared" si="57"/>
        <v>223.84</v>
      </c>
      <c r="K134" s="1289">
        <f t="shared" si="57"/>
        <v>234.99</v>
      </c>
      <c r="L134" s="1289">
        <f t="shared" si="57"/>
        <v>316.49</v>
      </c>
      <c r="M134" s="1289">
        <f t="shared" si="57"/>
        <v>300.87</v>
      </c>
      <c r="N134" s="1289">
        <f t="shared" si="57"/>
        <v>283.43</v>
      </c>
      <c r="O134" s="1290">
        <f t="shared" si="57"/>
        <v>306.31</v>
      </c>
      <c r="P134" s="462"/>
      <c r="Q134" s="20"/>
      <c r="R134" s="1559"/>
      <c r="S134" s="1559"/>
    </row>
    <row r="135" spans="2:19" ht="16.5" hidden="1" thickBot="1">
      <c r="B135" s="269"/>
      <c r="C135" s="269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462"/>
      <c r="Q135" s="20"/>
      <c r="R135" s="1559"/>
      <c r="S135" s="1559"/>
    </row>
    <row r="136" spans="2:19" ht="16.5" hidden="1" thickBot="1">
      <c r="B136" s="269"/>
      <c r="C136" s="269"/>
      <c r="D136" s="2682">
        <v>2019</v>
      </c>
      <c r="E136" s="2683"/>
      <c r="F136" s="2683"/>
      <c r="G136" s="2683"/>
      <c r="H136" s="2683"/>
      <c r="I136" s="2683"/>
      <c r="J136" s="2683"/>
      <c r="K136" s="2683"/>
      <c r="L136" s="2683"/>
      <c r="M136" s="2683"/>
      <c r="N136" s="2683"/>
      <c r="O136" s="2684"/>
      <c r="P136" s="462"/>
      <c r="Q136" s="20"/>
      <c r="R136" s="1559"/>
      <c r="S136" s="1559"/>
    </row>
    <row r="137" spans="2:19" ht="16.5" hidden="1" thickBot="1">
      <c r="B137" s="269"/>
      <c r="C137" s="269"/>
      <c r="D137" s="449" t="s">
        <v>578</v>
      </c>
      <c r="E137" s="412" t="s">
        <v>579</v>
      </c>
      <c r="F137" s="412" t="s">
        <v>580</v>
      </c>
      <c r="G137" s="454" t="s">
        <v>581</v>
      </c>
      <c r="H137" s="454" t="s">
        <v>582</v>
      </c>
      <c r="I137" s="465" t="s">
        <v>583</v>
      </c>
      <c r="J137" s="466" t="s">
        <v>587</v>
      </c>
      <c r="K137" s="466" t="s">
        <v>588</v>
      </c>
      <c r="L137" s="466" t="s">
        <v>589</v>
      </c>
      <c r="M137" s="466" t="s">
        <v>590</v>
      </c>
      <c r="N137" s="466" t="s">
        <v>586</v>
      </c>
      <c r="O137" s="467" t="s">
        <v>577</v>
      </c>
      <c r="P137" s="462"/>
      <c r="Q137" s="20"/>
      <c r="R137" s="1559"/>
      <c r="S137" s="1559"/>
    </row>
    <row r="138" spans="2:19" hidden="1">
      <c r="B138" s="132" t="s">
        <v>143</v>
      </c>
      <c r="D138" s="451">
        <f>+'Insumos testigos '!HI109</f>
        <v>294.78007090422949</v>
      </c>
      <c r="E138" s="451">
        <f>+'Insumos testigos '!HJ109</f>
        <v>316.84090846199933</v>
      </c>
      <c r="F138" s="451">
        <f>+'Insumos testigos '!HK109</f>
        <v>326.26538832840259</v>
      </c>
      <c r="G138" s="451">
        <f>+'Insumos testigos '!HL109</f>
        <v>347.7588041859525</v>
      </c>
      <c r="H138" s="451">
        <f>+'Insumos testigos '!HM109</f>
        <v>376.02136956602146</v>
      </c>
      <c r="I138" s="451">
        <f>+'Insumos testigos '!HN109</f>
        <v>357.55454230511242</v>
      </c>
      <c r="J138" s="451">
        <f>+'Insumos testigos '!HO109</f>
        <v>356.54971683495165</v>
      </c>
      <c r="K138" s="451">
        <f>+'Insumos testigos '!HP109</f>
        <v>459.74879457404256</v>
      </c>
      <c r="L138" s="451">
        <f>+'Insumos testigos '!HQ109</f>
        <v>481.20270849314704</v>
      </c>
      <c r="M138" s="451">
        <f>+'Insumos testigos '!HR109</f>
        <v>501.3618290224378</v>
      </c>
      <c r="N138" s="451">
        <f>+'Insumos testigos '!HS109</f>
        <v>484.59033037853493</v>
      </c>
      <c r="O138" s="451">
        <f>+'Insumos testigos '!HT109</f>
        <v>484.59033037853487</v>
      </c>
      <c r="P138" s="462"/>
      <c r="Q138" s="20"/>
      <c r="R138" s="1559"/>
      <c r="S138" s="1559"/>
    </row>
    <row r="139" spans="2:19" hidden="1">
      <c r="B139" s="132" t="s">
        <v>830</v>
      </c>
      <c r="D139" s="2435">
        <f t="shared" ref="D139" si="58">ROUND(100*D138/$D$120,2)</f>
        <v>294.77999999999997</v>
      </c>
      <c r="E139" s="2435">
        <f t="shared" ref="E139" si="59">ROUND(100*E138/$D$120,2)</f>
        <v>316.83999999999997</v>
      </c>
      <c r="F139" s="2435">
        <f t="shared" ref="F139" si="60">ROUND(100*F138/$D$120,2)</f>
        <v>326.27</v>
      </c>
      <c r="G139" s="2435">
        <f t="shared" ref="G139" si="61">ROUND(100*G138/$D$120,2)</f>
        <v>347.76</v>
      </c>
      <c r="H139" s="2435">
        <f t="shared" ref="H139" si="62">ROUND(100*H138/$D$120,2)</f>
        <v>376.02</v>
      </c>
      <c r="I139" s="2435">
        <f t="shared" ref="I139" si="63">ROUND(100*I138/$D$120,2)</f>
        <v>357.55</v>
      </c>
      <c r="J139" s="2435">
        <f t="shared" ref="J139" si="64">ROUND(100*J138/$D$120,2)</f>
        <v>356.55</v>
      </c>
      <c r="K139" s="2435">
        <f t="shared" ref="K139" si="65">ROUND(100*K138/$D$120,2)</f>
        <v>459.75</v>
      </c>
      <c r="L139" s="2435">
        <f t="shared" ref="L139" si="66">ROUND(100*L138/$D$120,2)</f>
        <v>481.2</v>
      </c>
      <c r="M139" s="2435">
        <f t="shared" ref="M139" si="67">ROUND(100*M138/$D$120,2)</f>
        <v>501.36</v>
      </c>
      <c r="N139" s="2435">
        <f t="shared" ref="N139" si="68">ROUND(100*N138/$D$120,2)</f>
        <v>484.59</v>
      </c>
      <c r="O139" s="2435">
        <f t="shared" ref="O139" si="69">ROUND(100*O138/$D$120,2)</f>
        <v>484.59</v>
      </c>
      <c r="P139" s="462"/>
      <c r="Q139" s="20"/>
      <c r="R139" s="1559"/>
      <c r="S139" s="1559"/>
    </row>
    <row r="140" spans="2:19" ht="16.5" hidden="1" thickBot="1">
      <c r="D140" s="1779"/>
      <c r="E140" s="1780"/>
      <c r="F140" s="1780"/>
      <c r="G140" s="1780"/>
      <c r="H140" s="1780"/>
      <c r="I140" s="1780"/>
      <c r="J140" s="1780"/>
      <c r="K140" s="1780"/>
      <c r="L140" s="1780"/>
      <c r="M140" s="1780"/>
      <c r="N140" s="1780"/>
      <c r="O140" s="1781"/>
      <c r="P140" s="462"/>
      <c r="Q140" s="20"/>
      <c r="R140" s="1559"/>
      <c r="S140" s="1559"/>
    </row>
    <row r="141" spans="2:19" ht="16.5" hidden="1" thickBot="1">
      <c r="B141" s="269" t="s">
        <v>641</v>
      </c>
      <c r="C141" s="269"/>
      <c r="D141" s="1782">
        <f t="shared" ref="D141:I141" si="70">+D139</f>
        <v>294.77999999999997</v>
      </c>
      <c r="E141" s="1783">
        <f t="shared" si="70"/>
        <v>316.83999999999997</v>
      </c>
      <c r="F141" s="1783">
        <f t="shared" si="70"/>
        <v>326.27</v>
      </c>
      <c r="G141" s="1783">
        <f t="shared" si="70"/>
        <v>347.76</v>
      </c>
      <c r="H141" s="1783">
        <f t="shared" si="70"/>
        <v>376.02</v>
      </c>
      <c r="I141" s="1783">
        <f t="shared" si="70"/>
        <v>357.55</v>
      </c>
      <c r="J141" s="1783">
        <f t="shared" ref="J141:O141" si="71">+J139</f>
        <v>356.55</v>
      </c>
      <c r="K141" s="1783">
        <f t="shared" si="71"/>
        <v>459.75</v>
      </c>
      <c r="L141" s="1783">
        <f t="shared" si="71"/>
        <v>481.2</v>
      </c>
      <c r="M141" s="1783">
        <f t="shared" si="71"/>
        <v>501.36</v>
      </c>
      <c r="N141" s="1783">
        <f t="shared" si="71"/>
        <v>484.59</v>
      </c>
      <c r="O141" s="1784">
        <f t="shared" si="71"/>
        <v>484.59</v>
      </c>
      <c r="P141" s="462"/>
      <c r="Q141" s="20"/>
      <c r="R141" s="1559"/>
      <c r="S141" s="1559"/>
    </row>
    <row r="142" spans="2:19" ht="16.5" hidden="1" thickBot="1">
      <c r="B142" s="269"/>
      <c r="C142" s="269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462"/>
      <c r="Q142" s="20"/>
      <c r="R142" s="1559"/>
      <c r="S142" s="1559"/>
    </row>
    <row r="143" spans="2:19" ht="16.5" hidden="1" thickBot="1">
      <c r="B143" s="269"/>
      <c r="C143" s="269"/>
      <c r="D143" s="2682">
        <v>2020</v>
      </c>
      <c r="E143" s="2683"/>
      <c r="F143" s="2683"/>
      <c r="G143" s="2683"/>
      <c r="H143" s="2683"/>
      <c r="I143" s="2683"/>
      <c r="J143" s="2683"/>
      <c r="K143" s="2683"/>
      <c r="L143" s="2683"/>
      <c r="M143" s="2683"/>
      <c r="N143" s="2683"/>
      <c r="O143" s="2684"/>
      <c r="P143" s="462"/>
      <c r="Q143" s="20"/>
      <c r="R143" s="1559"/>
      <c r="S143" s="1559"/>
    </row>
    <row r="144" spans="2:19" ht="16.5" hidden="1" thickBot="1">
      <c r="B144" s="269"/>
      <c r="C144" s="269"/>
      <c r="D144" s="449" t="s">
        <v>578</v>
      </c>
      <c r="E144" s="412" t="s">
        <v>579</v>
      </c>
      <c r="F144" s="412" t="s">
        <v>580</v>
      </c>
      <c r="G144" s="454" t="s">
        <v>581</v>
      </c>
      <c r="H144" s="454" t="s">
        <v>582</v>
      </c>
      <c r="I144" s="465" t="s">
        <v>583</v>
      </c>
      <c r="J144" s="466" t="s">
        <v>587</v>
      </c>
      <c r="K144" s="466" t="s">
        <v>588</v>
      </c>
      <c r="L144" s="466" t="s">
        <v>589</v>
      </c>
      <c r="M144" s="466" t="s">
        <v>590</v>
      </c>
      <c r="N144" s="466" t="s">
        <v>586</v>
      </c>
      <c r="O144" s="467" t="s">
        <v>577</v>
      </c>
      <c r="P144" s="462"/>
      <c r="Q144" s="20"/>
      <c r="R144" s="1559"/>
      <c r="S144" s="1559"/>
    </row>
    <row r="145" spans="2:19" hidden="1">
      <c r="B145" s="132" t="s">
        <v>143</v>
      </c>
      <c r="D145" s="451">
        <f>+'Insumos testigos '!HU109</f>
        <v>508.78384422089567</v>
      </c>
      <c r="E145" s="451">
        <f>+'Insumos testigos '!HV109</f>
        <v>515.9865394971456</v>
      </c>
      <c r="F145" s="451">
        <f>+'Insumos testigos '!HW109</f>
        <v>530.09554643652064</v>
      </c>
      <c r="G145" s="451">
        <f>+'Insumos testigos '!HX109</f>
        <v>554.28241547544928</v>
      </c>
      <c r="H145" s="451">
        <f>+'Insumos testigos '!HY109</f>
        <v>568.39142241482432</v>
      </c>
      <c r="I145" s="451">
        <f>+'Insumos testigos '!HZ109</f>
        <v>592.57829145375308</v>
      </c>
      <c r="J145" s="451">
        <f>+'Insumos testigos '!IA109</f>
        <v>614.74958807277096</v>
      </c>
      <c r="K145" s="451">
        <f>+'Insumos testigos '!IB109</f>
        <v>628.858595012146</v>
      </c>
      <c r="L145" s="451">
        <f>+'Insumos testigos '!IC109</f>
        <v>644.98317437143169</v>
      </c>
      <c r="M145" s="451">
        <f>+'Insumos testigos '!ID109</f>
        <v>673.20118825018176</v>
      </c>
      <c r="N145" s="451">
        <f>+'Insumos testigos '!IE109</f>
        <v>697.38805728911052</v>
      </c>
      <c r="O145" s="451">
        <f>+'Insumos testigos '!IF109</f>
        <v>719.5593539081284</v>
      </c>
      <c r="P145" s="462"/>
      <c r="Q145" s="20"/>
      <c r="R145" s="1559"/>
      <c r="S145" s="1559"/>
    </row>
    <row r="146" spans="2:19" hidden="1">
      <c r="B146" s="132" t="s">
        <v>830</v>
      </c>
      <c r="D146" s="2435">
        <f t="shared" ref="D146" si="72">ROUND(100*D145/$D$120,2)</f>
        <v>508.78</v>
      </c>
      <c r="E146" s="2435">
        <f t="shared" ref="E146" si="73">ROUND(100*E145/$D$120,2)</f>
        <v>515.99</v>
      </c>
      <c r="F146" s="2435">
        <f t="shared" ref="F146" si="74">ROUND(100*F145/$D$120,2)</f>
        <v>530.1</v>
      </c>
      <c r="G146" s="2435">
        <f t="shared" ref="G146" si="75">ROUND(100*G145/$D$120,2)</f>
        <v>554.28</v>
      </c>
      <c r="H146" s="2435">
        <f t="shared" ref="H146" si="76">ROUND(100*H145/$D$120,2)</f>
        <v>568.39</v>
      </c>
      <c r="I146" s="2435">
        <f t="shared" ref="I146" si="77">ROUND(100*I145/$D$120,2)</f>
        <v>592.58000000000004</v>
      </c>
      <c r="J146" s="2435">
        <f t="shared" ref="J146" si="78">ROUND(100*J145/$D$120,2)</f>
        <v>614.75</v>
      </c>
      <c r="K146" s="2435">
        <f t="shared" ref="K146" si="79">ROUND(100*K145/$D$120,2)</f>
        <v>628.86</v>
      </c>
      <c r="L146" s="2435">
        <f t="shared" ref="L146" si="80">ROUND(100*L145/$D$120,2)</f>
        <v>644.98</v>
      </c>
      <c r="M146" s="2435">
        <f t="shared" ref="M146" si="81">ROUND(100*M145/$D$120,2)</f>
        <v>673.2</v>
      </c>
      <c r="N146" s="2435">
        <f t="shared" ref="N146" si="82">ROUND(100*N145/$D$120,2)</f>
        <v>697.39</v>
      </c>
      <c r="O146" s="2435">
        <f t="shared" ref="O146" si="83">ROUND(100*O145/$D$120,2)</f>
        <v>719.56</v>
      </c>
      <c r="P146" s="462"/>
      <c r="Q146" s="20"/>
      <c r="R146" s="1559"/>
      <c r="S146" s="1559"/>
    </row>
    <row r="147" spans="2:19" ht="16.5" hidden="1" thickBot="1">
      <c r="D147" s="1779"/>
      <c r="E147" s="1780"/>
      <c r="F147" s="1780"/>
      <c r="G147" s="1780"/>
      <c r="H147" s="1780"/>
      <c r="I147" s="1780"/>
      <c r="J147" s="1780"/>
      <c r="K147" s="1780"/>
      <c r="L147" s="1780"/>
      <c r="M147" s="1780"/>
      <c r="N147" s="1780"/>
      <c r="O147" s="1781"/>
      <c r="P147" s="462"/>
      <c r="Q147" s="20"/>
      <c r="R147" s="1559"/>
      <c r="S147" s="1559"/>
    </row>
    <row r="148" spans="2:19" ht="16.5" hidden="1" thickBot="1">
      <c r="B148" s="269" t="s">
        <v>641</v>
      </c>
      <c r="C148" s="269"/>
      <c r="D148" s="1782">
        <f t="shared" ref="D148:F148" si="84">+D146</f>
        <v>508.78</v>
      </c>
      <c r="E148" s="1783">
        <f t="shared" si="84"/>
        <v>515.99</v>
      </c>
      <c r="F148" s="1783">
        <f t="shared" si="84"/>
        <v>530.1</v>
      </c>
      <c r="G148" s="1783">
        <f t="shared" ref="G148:H148" si="85">+G146</f>
        <v>554.28</v>
      </c>
      <c r="H148" s="1783">
        <f t="shared" si="85"/>
        <v>568.39</v>
      </c>
      <c r="I148" s="1783">
        <f t="shared" ref="I148:J148" si="86">+I146</f>
        <v>592.58000000000004</v>
      </c>
      <c r="J148" s="1783">
        <f t="shared" si="86"/>
        <v>614.75</v>
      </c>
      <c r="K148" s="1783">
        <f t="shared" ref="K148:L148" si="87">+K146</f>
        <v>628.86</v>
      </c>
      <c r="L148" s="1783">
        <f t="shared" si="87"/>
        <v>644.98</v>
      </c>
      <c r="M148" s="1783">
        <f t="shared" ref="M148:N148" si="88">+M146</f>
        <v>673.2</v>
      </c>
      <c r="N148" s="1783">
        <f t="shared" si="88"/>
        <v>697.39</v>
      </c>
      <c r="O148" s="1784">
        <f t="shared" ref="O148" si="89">+O146</f>
        <v>719.56</v>
      </c>
      <c r="P148" s="462"/>
      <c r="Q148" s="20"/>
      <c r="R148" s="1559"/>
      <c r="S148" s="1559"/>
    </row>
    <row r="149" spans="2:19" ht="16.5" hidden="1" thickBot="1">
      <c r="B149" s="269"/>
      <c r="C149" s="269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462"/>
      <c r="Q149" s="20"/>
      <c r="R149" s="1559"/>
      <c r="S149" s="1559"/>
    </row>
    <row r="150" spans="2:19" ht="16.5" hidden="1" thickBot="1">
      <c r="B150" s="269"/>
      <c r="C150" s="269"/>
      <c r="D150" s="2682">
        <v>2021</v>
      </c>
      <c r="E150" s="2683"/>
      <c r="F150" s="2683"/>
      <c r="G150" s="2683"/>
      <c r="H150" s="2683"/>
      <c r="I150" s="2683"/>
      <c r="J150" s="2683"/>
      <c r="K150" s="2683"/>
      <c r="L150" s="2683"/>
      <c r="M150" s="2683"/>
      <c r="N150" s="2683"/>
      <c r="O150" s="2684"/>
      <c r="P150" s="462"/>
      <c r="Q150" s="20"/>
      <c r="R150" s="1559"/>
      <c r="S150" s="1559"/>
    </row>
    <row r="151" spans="2:19" ht="16.5" hidden="1" thickBot="1">
      <c r="B151" s="269"/>
      <c r="C151" s="269"/>
      <c r="D151" s="449" t="s">
        <v>578</v>
      </c>
      <c r="E151" s="412" t="s">
        <v>579</v>
      </c>
      <c r="F151" s="412" t="s">
        <v>580</v>
      </c>
      <c r="G151" s="454" t="s">
        <v>581</v>
      </c>
      <c r="H151" s="454" t="s">
        <v>582</v>
      </c>
      <c r="I151" s="465" t="s">
        <v>583</v>
      </c>
      <c r="J151" s="466" t="s">
        <v>587</v>
      </c>
      <c r="K151" s="466" t="s">
        <v>588</v>
      </c>
      <c r="L151" s="466" t="s">
        <v>589</v>
      </c>
      <c r="M151" s="466" t="s">
        <v>590</v>
      </c>
      <c r="N151" s="466" t="s">
        <v>586</v>
      </c>
      <c r="O151" s="467" t="s">
        <v>577</v>
      </c>
      <c r="P151" s="462"/>
      <c r="Q151" s="20"/>
      <c r="R151" s="1559"/>
      <c r="S151" s="1559"/>
    </row>
    <row r="152" spans="2:19" hidden="1">
      <c r="B152" s="132" t="s">
        <v>143</v>
      </c>
      <c r="D152" s="451">
        <f>+'Insumos testigos '!IG109</f>
        <v>741.73065052714628</v>
      </c>
      <c r="E152" s="451">
        <f>+'Insumos testigos '!IH109</f>
        <v>761.88637472625351</v>
      </c>
      <c r="F152" s="451">
        <f>+'Insumos testigos '!II109</f>
        <v>784.05767134527139</v>
      </c>
      <c r="G152" s="451">
        <f>+'Insumos testigos '!IJ109</f>
        <v>794.135533444825</v>
      </c>
      <c r="H152" s="451">
        <f>+'Insumos testigos '!IK109</f>
        <v>806.22896796428927</v>
      </c>
      <c r="I152" s="451">
        <f>+'Insumos testigos '!IL109</f>
        <v>812.27568522402146</v>
      </c>
      <c r="J152" s="451">
        <f>+'Insumos testigos '!IM109</f>
        <v>820.33797490366442</v>
      </c>
      <c r="K152" s="451">
        <f>+'Insumos testigos '!IN109</f>
        <v>828.40026458330715</v>
      </c>
      <c r="L152" s="451">
        <f>+'Insumos testigos '!IO109</f>
        <v>836.46255426294999</v>
      </c>
      <c r="M152" s="451">
        <f>+'Insumos testigos '!IP109</f>
        <v>846.54041636250349</v>
      </c>
      <c r="N152" s="451">
        <f>+'Insumos testigos '!IQ109</f>
        <v>852.58713362223568</v>
      </c>
      <c r="O152" s="451">
        <f>+'Insumos testigos '!IR109</f>
        <v>868.71171298152149</v>
      </c>
      <c r="P152" s="462"/>
      <c r="Q152" s="20"/>
      <c r="R152" s="1559"/>
      <c r="S152" s="1559"/>
    </row>
    <row r="153" spans="2:19" hidden="1">
      <c r="B153" s="132" t="s">
        <v>830</v>
      </c>
      <c r="D153" s="2435">
        <f t="shared" ref="D153" si="90">ROUND(100*D152/$D$120,2)</f>
        <v>741.73</v>
      </c>
      <c r="E153" s="2435">
        <f t="shared" ref="E153" si="91">ROUND(100*E152/$D$120,2)</f>
        <v>761.89</v>
      </c>
      <c r="F153" s="2435">
        <f t="shared" ref="F153" si="92">ROUND(100*F152/$D$120,2)</f>
        <v>784.06</v>
      </c>
      <c r="G153" s="2435">
        <f t="shared" ref="G153" si="93">ROUND(100*G152/$D$120,2)</f>
        <v>794.14</v>
      </c>
      <c r="H153" s="2435">
        <f t="shared" ref="H153" si="94">ROUND(100*H152/$D$120,2)</f>
        <v>806.23</v>
      </c>
      <c r="I153" s="2435">
        <f t="shared" ref="I153" si="95">ROUND(100*I152/$D$120,2)</f>
        <v>812.28</v>
      </c>
      <c r="J153" s="2435">
        <f t="shared" ref="J153" si="96">ROUND(100*J152/$D$120,2)</f>
        <v>820.34</v>
      </c>
      <c r="K153" s="2435">
        <f t="shared" ref="K153" si="97">ROUND(100*K152/$D$120,2)</f>
        <v>828.4</v>
      </c>
      <c r="L153" s="2435">
        <f t="shared" ref="L153" si="98">ROUND(100*L152/$D$120,2)</f>
        <v>836.46</v>
      </c>
      <c r="M153" s="2435">
        <f t="shared" ref="M153" si="99">ROUND(100*M152/$D$120,2)</f>
        <v>846.54</v>
      </c>
      <c r="N153" s="2435">
        <f t="shared" ref="N153" si="100">ROUND(100*N152/$D$120,2)</f>
        <v>852.59</v>
      </c>
      <c r="O153" s="2435">
        <f t="shared" ref="O153" si="101">ROUND(100*O152/$D$120,2)</f>
        <v>868.71</v>
      </c>
      <c r="P153" s="462"/>
      <c r="Q153" s="20"/>
      <c r="R153" s="1559"/>
      <c r="S153" s="1559"/>
    </row>
    <row r="154" spans="2:19" ht="16.5" hidden="1" thickBot="1">
      <c r="D154" s="1779"/>
      <c r="E154" s="1780"/>
      <c r="F154" s="1780"/>
      <c r="G154" s="1780"/>
      <c r="H154" s="1780"/>
      <c r="I154" s="1780"/>
      <c r="J154" s="1780"/>
      <c r="K154" s="1780"/>
      <c r="L154" s="1780"/>
      <c r="M154" s="1780"/>
      <c r="N154" s="1780"/>
      <c r="O154" s="1781"/>
      <c r="P154" s="462"/>
      <c r="Q154" s="20"/>
      <c r="R154" s="1559"/>
      <c r="S154" s="1559"/>
    </row>
    <row r="155" spans="2:19" ht="16.5" hidden="1" thickBot="1">
      <c r="B155" s="269" t="s">
        <v>641</v>
      </c>
      <c r="C155" s="269"/>
      <c r="D155" s="1782">
        <f t="shared" ref="D155" si="102">+D153</f>
        <v>741.73</v>
      </c>
      <c r="E155" s="1783">
        <f t="shared" ref="E155:F155" si="103">+E153</f>
        <v>761.89</v>
      </c>
      <c r="F155" s="1783">
        <f t="shared" si="103"/>
        <v>784.06</v>
      </c>
      <c r="G155" s="1783">
        <f t="shared" ref="G155:H155" si="104">+G153</f>
        <v>794.14</v>
      </c>
      <c r="H155" s="1783">
        <f t="shared" si="104"/>
        <v>806.23</v>
      </c>
      <c r="I155" s="1783">
        <f t="shared" ref="I155:J155" si="105">+I153</f>
        <v>812.28</v>
      </c>
      <c r="J155" s="1783">
        <f t="shared" si="105"/>
        <v>820.34</v>
      </c>
      <c r="K155" s="1783">
        <f t="shared" ref="K155:L155" si="106">+K153</f>
        <v>828.4</v>
      </c>
      <c r="L155" s="1783">
        <f t="shared" si="106"/>
        <v>836.46</v>
      </c>
      <c r="M155" s="1783">
        <f t="shared" ref="M155:N155" si="107">+M153</f>
        <v>846.54</v>
      </c>
      <c r="N155" s="1783">
        <f t="shared" si="107"/>
        <v>852.59</v>
      </c>
      <c r="O155" s="1784">
        <f t="shared" ref="O155" si="108">+O153</f>
        <v>868.71</v>
      </c>
      <c r="P155" s="462"/>
      <c r="Q155" s="20"/>
      <c r="R155" s="1559"/>
      <c r="S155" s="1559"/>
    </row>
    <row r="156" spans="2:19" ht="16.5" customHeight="1" thickBot="1">
      <c r="B156" s="269"/>
      <c r="C156" s="269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462"/>
      <c r="Q156" s="20"/>
      <c r="R156" s="1559"/>
      <c r="S156" s="1559"/>
    </row>
    <row r="157" spans="2:19" ht="16.5" thickBot="1">
      <c r="B157" s="269"/>
      <c r="C157" s="269"/>
      <c r="D157" s="2682">
        <v>2022</v>
      </c>
      <c r="E157" s="2683"/>
      <c r="F157" s="2683"/>
      <c r="G157" s="2683"/>
      <c r="H157" s="2683"/>
      <c r="I157" s="2683"/>
      <c r="J157" s="2683"/>
      <c r="K157" s="2683"/>
      <c r="L157" s="2683"/>
      <c r="M157" s="2683"/>
      <c r="N157" s="2683"/>
      <c r="O157" s="2684"/>
      <c r="P157" s="462"/>
      <c r="Q157" s="20"/>
      <c r="R157" s="1559"/>
      <c r="S157" s="1559"/>
    </row>
    <row r="158" spans="2:19" ht="16.5" thickBot="1">
      <c r="B158" s="269"/>
      <c r="C158" s="269"/>
      <c r="D158" s="449" t="s">
        <v>578</v>
      </c>
      <c r="E158" s="412" t="s">
        <v>579</v>
      </c>
      <c r="F158" s="412" t="s">
        <v>580</v>
      </c>
      <c r="G158" s="454" t="s">
        <v>581</v>
      </c>
      <c r="H158" s="454" t="s">
        <v>582</v>
      </c>
      <c r="I158" s="465" t="s">
        <v>583</v>
      </c>
      <c r="J158" s="466" t="s">
        <v>587</v>
      </c>
      <c r="K158" s="466" t="s">
        <v>588</v>
      </c>
      <c r="L158" s="466" t="s">
        <v>589</v>
      </c>
      <c r="M158" s="466" t="s">
        <v>590</v>
      </c>
      <c r="N158" s="466" t="s">
        <v>586</v>
      </c>
      <c r="O158" s="467" t="s">
        <v>577</v>
      </c>
      <c r="P158" s="462"/>
      <c r="Q158" s="20"/>
      <c r="R158" s="1559"/>
      <c r="S158" s="1559"/>
    </row>
    <row r="159" spans="2:19">
      <c r="B159" s="132" t="s">
        <v>143</v>
      </c>
      <c r="D159" s="451">
        <f>+'Insumos testigos '!IS109</f>
        <v>888.86743718062871</v>
      </c>
      <c r="E159" s="451">
        <f>+'Insumos testigos '!IT109</f>
        <v>907.00758895982528</v>
      </c>
      <c r="F159" s="451">
        <f>+'Insumos testigos '!IU109</f>
        <v>935.22560283857536</v>
      </c>
      <c r="G159" s="451">
        <f>+'Insumos testigos '!IV109</f>
        <v>969.4903339770575</v>
      </c>
      <c r="H159" s="451">
        <f>+'Insumos testigos '!IW109</f>
        <v>1009.801782375272</v>
      </c>
      <c r="I159" s="451">
        <f>+'Insumos testigos '!IX109</f>
        <v>1046.082085933665</v>
      </c>
      <c r="J159" s="451">
        <f>+'Insumos testigos '!IY109</f>
        <v>1106.5492585309867</v>
      </c>
      <c r="K159" s="451">
        <f>+'Insumos testigos '!IZ109</f>
        <v>1142.8295620893798</v>
      </c>
      <c r="L159" s="451">
        <f>+'Insumos testigos '!JA109</f>
        <v>1233.5303209853626</v>
      </c>
      <c r="M159" s="451">
        <f>+'Insumos testigos '!JB109</f>
        <v>1310.1220729419699</v>
      </c>
      <c r="N159" s="451">
        <f>+'Insumos testigos '!JC109</f>
        <v>1404.853976677774</v>
      </c>
      <c r="O159" s="451">
        <f>+'Insumos testigos '!JD109</f>
        <v>1477.41458379456</v>
      </c>
      <c r="P159" s="462"/>
      <c r="Q159" s="20"/>
      <c r="R159" s="1559"/>
      <c r="S159" s="1559"/>
    </row>
    <row r="160" spans="2:19">
      <c r="B160" s="132" t="s">
        <v>830</v>
      </c>
      <c r="D160" s="2435">
        <f t="shared" ref="D160" si="109">ROUND(100*D159/$D$120,2)</f>
        <v>888.87</v>
      </c>
      <c r="E160" s="2435">
        <f t="shared" ref="E160" si="110">ROUND(100*E159/$D$120,2)</f>
        <v>907.01</v>
      </c>
      <c r="F160" s="2435">
        <f t="shared" ref="F160" si="111">ROUND(100*F159/$D$120,2)</f>
        <v>935.23</v>
      </c>
      <c r="G160" s="2435">
        <f t="shared" ref="G160" si="112">ROUND(100*G159/$D$120,2)</f>
        <v>969.49</v>
      </c>
      <c r="H160" s="2435">
        <f t="shared" ref="H160" si="113">ROUND(100*H159/$D$120,2)</f>
        <v>1009.8</v>
      </c>
      <c r="I160" s="2435">
        <f t="shared" ref="I160" si="114">ROUND(100*I159/$D$120,2)</f>
        <v>1046.08</v>
      </c>
      <c r="J160" s="2435">
        <f t="shared" ref="J160" si="115">ROUND(100*J159/$D$120,2)</f>
        <v>1106.55</v>
      </c>
      <c r="K160" s="2435">
        <f t="shared" ref="K160" si="116">ROUND(100*K159/$D$120,2)</f>
        <v>1142.83</v>
      </c>
      <c r="L160" s="2435">
        <f t="shared" ref="L160" si="117">ROUND(100*L159/$D$120,2)</f>
        <v>1233.53</v>
      </c>
      <c r="M160" s="2435">
        <f t="shared" ref="M160" si="118">ROUND(100*M159/$D$120,2)</f>
        <v>1310.1199999999999</v>
      </c>
      <c r="N160" s="2435">
        <f t="shared" ref="N160" si="119">ROUND(100*N159/$D$120,2)</f>
        <v>1404.85</v>
      </c>
      <c r="O160" s="2435">
        <f t="shared" ref="O160" si="120">ROUND(100*O159/$D$120,2)</f>
        <v>1477.41</v>
      </c>
      <c r="P160" s="462"/>
      <c r="Q160" s="20"/>
      <c r="R160" s="1559"/>
      <c r="S160" s="1559"/>
    </row>
    <row r="161" spans="2:19" ht="16.5" thickBot="1">
      <c r="D161" s="1779"/>
      <c r="E161" s="1780"/>
      <c r="F161" s="1780"/>
      <c r="G161" s="1780"/>
      <c r="H161" s="1780"/>
      <c r="I161" s="1780"/>
      <c r="J161" s="1780"/>
      <c r="K161" s="1780"/>
      <c r="L161" s="1780"/>
      <c r="M161" s="1780"/>
      <c r="N161" s="1780"/>
      <c r="O161" s="1780"/>
      <c r="P161" s="462"/>
      <c r="Q161" s="20"/>
      <c r="R161" s="1559"/>
      <c r="S161" s="1559"/>
    </row>
    <row r="162" spans="2:19" ht="16.5" thickBot="1">
      <c r="B162" s="269" t="s">
        <v>641</v>
      </c>
      <c r="C162" s="269"/>
      <c r="D162" s="1782">
        <f t="shared" ref="D162:E162" si="121">+D160</f>
        <v>888.87</v>
      </c>
      <c r="E162" s="1783">
        <f t="shared" si="121"/>
        <v>907.01</v>
      </c>
      <c r="F162" s="1783">
        <f t="shared" ref="F162:G162" si="122">+F160</f>
        <v>935.23</v>
      </c>
      <c r="G162" s="1783">
        <f t="shared" si="122"/>
        <v>969.49</v>
      </c>
      <c r="H162" s="1783">
        <f t="shared" ref="H162:I162" si="123">+H160</f>
        <v>1009.8</v>
      </c>
      <c r="I162" s="1783">
        <f t="shared" si="123"/>
        <v>1046.08</v>
      </c>
      <c r="J162" s="1783">
        <f t="shared" ref="J162:K162" si="124">+J160</f>
        <v>1106.55</v>
      </c>
      <c r="K162" s="1783">
        <f t="shared" si="124"/>
        <v>1142.83</v>
      </c>
      <c r="L162" s="1783">
        <f t="shared" ref="L162:M162" si="125">+L160</f>
        <v>1233.53</v>
      </c>
      <c r="M162" s="1783">
        <f t="shared" si="125"/>
        <v>1310.1199999999999</v>
      </c>
      <c r="N162" s="1783">
        <f t="shared" ref="N162:O162" si="126">+N160</f>
        <v>1404.85</v>
      </c>
      <c r="O162" s="1783">
        <f t="shared" si="126"/>
        <v>1477.41</v>
      </c>
      <c r="P162" s="462"/>
      <c r="Q162" s="20"/>
      <c r="R162" s="1559"/>
      <c r="S162" s="1559"/>
    </row>
    <row r="163" spans="2:19" ht="16.5" thickBot="1">
      <c r="B163" s="269"/>
      <c r="C163" s="269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462"/>
      <c r="Q163" s="20"/>
      <c r="R163" s="1559"/>
      <c r="S163" s="1559"/>
    </row>
    <row r="164" spans="2:19" ht="16.5" thickBot="1">
      <c r="B164" s="269"/>
      <c r="C164" s="269"/>
      <c r="D164" s="2682">
        <v>2023</v>
      </c>
      <c r="E164" s="2683"/>
      <c r="F164" s="2683"/>
      <c r="G164" s="2683"/>
      <c r="H164" s="2683"/>
      <c r="I164" s="2683"/>
      <c r="J164" s="2683"/>
      <c r="K164" s="2683"/>
      <c r="L164" s="2683"/>
      <c r="M164" s="2683"/>
      <c r="N164" s="2683"/>
      <c r="O164" s="2684"/>
      <c r="P164" s="462"/>
      <c r="Q164" s="20"/>
      <c r="R164" s="1559"/>
      <c r="S164" s="1559"/>
    </row>
    <row r="165" spans="2:19" ht="16.5" thickBot="1">
      <c r="B165" s="269"/>
      <c r="C165" s="269"/>
      <c r="D165" s="449" t="s">
        <v>578</v>
      </c>
      <c r="E165" s="412" t="s">
        <v>579</v>
      </c>
      <c r="F165" s="412" t="s">
        <v>580</v>
      </c>
      <c r="G165" s="454" t="s">
        <v>581</v>
      </c>
      <c r="H165" s="454" t="s">
        <v>582</v>
      </c>
      <c r="I165" s="465" t="s">
        <v>583</v>
      </c>
      <c r="J165" s="466" t="s">
        <v>587</v>
      </c>
      <c r="K165" s="466" t="s">
        <v>588</v>
      </c>
      <c r="L165" s="466" t="s">
        <v>589</v>
      </c>
      <c r="M165" s="466" t="s">
        <v>590</v>
      </c>
      <c r="N165" s="466" t="s">
        <v>586</v>
      </c>
      <c r="O165" s="467" t="s">
        <v>577</v>
      </c>
      <c r="P165" s="462"/>
      <c r="Q165" s="20"/>
      <c r="R165" s="1559"/>
      <c r="S165" s="1559"/>
    </row>
    <row r="166" spans="2:19">
      <c r="B166" s="132" t="s">
        <v>143</v>
      </c>
      <c r="D166" s="451">
        <f>+'Insumos testigos '!JE109</f>
        <v>1558.0374805909889</v>
      </c>
      <c r="E166" s="451">
        <f>+'Insumos testigos '!JF109</f>
        <v>1644.7070946471501</v>
      </c>
      <c r="F166" s="451"/>
      <c r="G166" s="451"/>
      <c r="H166" s="451"/>
      <c r="I166" s="451"/>
      <c r="J166" s="451"/>
      <c r="K166" s="451"/>
      <c r="L166" s="451"/>
      <c r="M166" s="451"/>
      <c r="N166" s="451"/>
      <c r="O166" s="451"/>
      <c r="P166" s="462"/>
      <c r="Q166" s="20"/>
      <c r="R166" s="1559"/>
      <c r="S166" s="1559"/>
    </row>
    <row r="167" spans="2:19">
      <c r="B167" s="132" t="s">
        <v>830</v>
      </c>
      <c r="D167" s="2441">
        <f t="shared" ref="D167:O167" si="127">ROUND(100*D166/$D$120,2)</f>
        <v>1558.04</v>
      </c>
      <c r="E167" s="2500">
        <f t="shared" si="127"/>
        <v>1644.71</v>
      </c>
      <c r="F167" s="2441">
        <f t="shared" si="127"/>
        <v>0</v>
      </c>
      <c r="G167" s="2441">
        <f t="shared" si="127"/>
        <v>0</v>
      </c>
      <c r="H167" s="2441">
        <f t="shared" si="127"/>
        <v>0</v>
      </c>
      <c r="I167" s="2441">
        <f t="shared" si="127"/>
        <v>0</v>
      </c>
      <c r="J167" s="2441">
        <f t="shared" si="127"/>
        <v>0</v>
      </c>
      <c r="K167" s="2441">
        <f t="shared" si="127"/>
        <v>0</v>
      </c>
      <c r="L167" s="2441">
        <f t="shared" si="127"/>
        <v>0</v>
      </c>
      <c r="M167" s="2441">
        <f t="shared" si="127"/>
        <v>0</v>
      </c>
      <c r="N167" s="2441">
        <f t="shared" si="127"/>
        <v>0</v>
      </c>
      <c r="O167" s="2441">
        <f t="shared" si="127"/>
        <v>0</v>
      </c>
      <c r="P167" s="462"/>
      <c r="Q167" s="20"/>
      <c r="R167" s="1559"/>
      <c r="S167" s="1559"/>
    </row>
    <row r="168" spans="2:19" ht="16.5" thickBot="1">
      <c r="D168" s="1779"/>
      <c r="E168" s="1780"/>
      <c r="F168" s="1780"/>
      <c r="G168" s="1780"/>
      <c r="H168" s="1780"/>
      <c r="I168" s="1780"/>
      <c r="J168" s="1780"/>
      <c r="K168" s="1780"/>
      <c r="L168" s="1780"/>
      <c r="M168" s="1780"/>
      <c r="N168" s="1780"/>
      <c r="O168" s="1780"/>
      <c r="P168" s="462"/>
      <c r="Q168" s="20"/>
      <c r="R168" s="1559"/>
      <c r="S168" s="1559"/>
    </row>
    <row r="169" spans="2:19" ht="16.5" thickBot="1">
      <c r="B169" s="269" t="s">
        <v>641</v>
      </c>
      <c r="C169" s="269"/>
      <c r="D169" s="1782">
        <f t="shared" ref="D169:O169" si="128">+D167</f>
        <v>1558.04</v>
      </c>
      <c r="E169" s="1783">
        <f t="shared" si="128"/>
        <v>1644.71</v>
      </c>
      <c r="F169" s="1783">
        <f t="shared" si="128"/>
        <v>0</v>
      </c>
      <c r="G169" s="1783">
        <f t="shared" si="128"/>
        <v>0</v>
      </c>
      <c r="H169" s="1783">
        <f t="shared" si="128"/>
        <v>0</v>
      </c>
      <c r="I169" s="1783">
        <f t="shared" si="128"/>
        <v>0</v>
      </c>
      <c r="J169" s="1783">
        <f t="shared" si="128"/>
        <v>0</v>
      </c>
      <c r="K169" s="1783">
        <f t="shared" si="128"/>
        <v>0</v>
      </c>
      <c r="L169" s="1783">
        <f t="shared" si="128"/>
        <v>0</v>
      </c>
      <c r="M169" s="1783">
        <f t="shared" si="128"/>
        <v>0</v>
      </c>
      <c r="N169" s="1783">
        <f t="shared" si="128"/>
        <v>0</v>
      </c>
      <c r="O169" s="1783">
        <f t="shared" si="128"/>
        <v>0</v>
      </c>
      <c r="P169" s="462"/>
      <c r="Q169" s="20"/>
      <c r="R169" s="1559"/>
      <c r="S169" s="1559"/>
    </row>
    <row r="170" spans="2:19">
      <c r="B170" s="269"/>
      <c r="C170" s="269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462"/>
      <c r="Q170" s="20"/>
      <c r="R170" s="1559"/>
      <c r="S170" s="1559"/>
    </row>
    <row r="171" spans="2:19">
      <c r="B171" s="269"/>
      <c r="C171" s="269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462"/>
      <c r="Q171" s="20"/>
      <c r="R171" s="1559"/>
      <c r="S171" s="1559"/>
    </row>
    <row r="172" spans="2:19">
      <c r="B172" s="2690" t="s">
        <v>633</v>
      </c>
      <c r="C172" s="2690"/>
      <c r="D172" s="2690"/>
      <c r="E172" s="2690"/>
      <c r="F172" s="2690"/>
      <c r="G172" s="2690"/>
      <c r="H172" s="2690"/>
      <c r="I172" s="2690"/>
      <c r="J172" s="2690"/>
      <c r="K172" s="2690"/>
      <c r="L172" s="2690"/>
      <c r="M172" s="137"/>
      <c r="N172" s="137"/>
      <c r="O172" s="137"/>
      <c r="P172" s="462"/>
      <c r="Q172" s="20"/>
      <c r="R172" s="1559"/>
      <c r="S172" s="1559"/>
    </row>
    <row r="173" spans="2:19">
      <c r="B173" s="269"/>
      <c r="C173" s="269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462"/>
      <c r="Q173" s="20"/>
      <c r="R173" s="1559"/>
      <c r="S173" s="1559"/>
    </row>
    <row r="174" spans="2:19" ht="16.5" thickBot="1">
      <c r="B174" s="3" t="s">
        <v>642</v>
      </c>
      <c r="C174" s="3"/>
      <c r="R174" s="1559"/>
      <c r="S174" s="1559"/>
    </row>
    <row r="175" spans="2:19">
      <c r="B175" s="2692" t="s">
        <v>644</v>
      </c>
      <c r="C175" s="2689"/>
      <c r="D175" s="2689"/>
      <c r="E175" s="2689"/>
      <c r="F175" s="2689"/>
      <c r="G175" s="2689"/>
      <c r="H175" s="2689"/>
      <c r="I175" s="471">
        <v>0.7</v>
      </c>
      <c r="R175" s="1559"/>
      <c r="S175" s="1559"/>
    </row>
    <row r="176" spans="2:19" ht="16.5" thickBot="1">
      <c r="B176" s="472" t="s">
        <v>608</v>
      </c>
      <c r="C176" s="275"/>
      <c r="D176" s="275"/>
      <c r="E176" s="275"/>
      <c r="F176" s="275"/>
      <c r="G176" s="275"/>
      <c r="H176" s="275"/>
      <c r="I176" s="473">
        <v>0.3</v>
      </c>
      <c r="R176" s="1559"/>
      <c r="S176" s="1559"/>
    </row>
    <row r="177" spans="2:19" ht="6" customHeight="1">
      <c r="R177" s="1559"/>
      <c r="S177" s="1559"/>
    </row>
    <row r="178" spans="2:19" ht="16.5" hidden="1" thickBot="1">
      <c r="C178" s="415">
        <v>2001</v>
      </c>
      <c r="D178" s="2682">
        <v>2002</v>
      </c>
      <c r="E178" s="2683"/>
      <c r="F178" s="2683"/>
      <c r="G178" s="2683"/>
      <c r="H178" s="2683"/>
      <c r="I178" s="2683"/>
      <c r="J178" s="2683"/>
      <c r="K178" s="2683"/>
      <c r="L178" s="2683"/>
      <c r="M178" s="2683"/>
      <c r="N178" s="2683"/>
      <c r="O178" s="2684"/>
      <c r="R178" s="1559"/>
      <c r="S178" s="1559"/>
    </row>
    <row r="179" spans="2:19" ht="16.5" hidden="1" thickBot="1">
      <c r="C179" s="414" t="s">
        <v>577</v>
      </c>
      <c r="D179" s="474" t="s">
        <v>578</v>
      </c>
      <c r="E179" s="412" t="s">
        <v>579</v>
      </c>
      <c r="F179" s="412" t="s">
        <v>580</v>
      </c>
      <c r="G179" s="412" t="s">
        <v>581</v>
      </c>
      <c r="H179" s="412" t="s">
        <v>582</v>
      </c>
      <c r="I179" s="412" t="s">
        <v>583</v>
      </c>
      <c r="J179" s="412" t="s">
        <v>636</v>
      </c>
      <c r="K179" s="412" t="s">
        <v>637</v>
      </c>
      <c r="L179" s="412" t="s">
        <v>638</v>
      </c>
      <c r="M179" s="412" t="s">
        <v>639</v>
      </c>
      <c r="N179" s="412" t="s">
        <v>586</v>
      </c>
      <c r="O179" s="413" t="s">
        <v>577</v>
      </c>
      <c r="R179" s="1559"/>
      <c r="S179" s="1559"/>
    </row>
    <row r="180" spans="2:19" ht="6" hidden="1" customHeight="1">
      <c r="C180" s="366"/>
      <c r="D180" s="430"/>
      <c r="E180" s="430"/>
      <c r="F180" s="430"/>
      <c r="G180" s="430"/>
      <c r="H180" s="430"/>
      <c r="I180" s="430"/>
      <c r="J180" s="430"/>
      <c r="K180" s="430"/>
      <c r="L180" s="430"/>
      <c r="M180" s="430"/>
      <c r="N180" s="430"/>
      <c r="O180" s="1481"/>
      <c r="R180" s="1559"/>
      <c r="S180" s="1559"/>
    </row>
    <row r="181" spans="2:19" hidden="1">
      <c r="B181" s="121" t="s">
        <v>645</v>
      </c>
      <c r="C181" s="1151">
        <f t="shared" ref="C181:O181" si="129">+C15</f>
        <v>100</v>
      </c>
      <c r="D181" s="321">
        <f t="shared" si="129"/>
        <v>111.26</v>
      </c>
      <c r="E181" s="321">
        <f t="shared" si="129"/>
        <v>142.68</v>
      </c>
      <c r="F181" s="321">
        <f t="shared" si="129"/>
        <v>174.1</v>
      </c>
      <c r="G181" s="321">
        <f t="shared" si="129"/>
        <v>203.83</v>
      </c>
      <c r="H181" s="321">
        <f t="shared" si="129"/>
        <v>268.83999999999997</v>
      </c>
      <c r="I181" s="321">
        <f t="shared" si="129"/>
        <v>287.95</v>
      </c>
      <c r="J181" s="321">
        <f t="shared" si="129"/>
        <v>292.98</v>
      </c>
      <c r="K181" s="321">
        <f t="shared" si="129"/>
        <v>315.58999999999997</v>
      </c>
      <c r="L181" s="321">
        <f t="shared" si="129"/>
        <v>310.33999999999997</v>
      </c>
      <c r="M181" s="321">
        <f t="shared" si="129"/>
        <v>311.52999999999997</v>
      </c>
      <c r="N181" s="321">
        <f t="shared" si="129"/>
        <v>287.05</v>
      </c>
      <c r="O181" s="982">
        <f t="shared" si="129"/>
        <v>283.47000000000003</v>
      </c>
      <c r="R181" s="1559"/>
      <c r="S181" s="1559"/>
    </row>
    <row r="182" spans="2:19" hidden="1">
      <c r="B182" s="122" t="s">
        <v>613</v>
      </c>
      <c r="C182" s="328">
        <v>93.2</v>
      </c>
      <c r="D182" s="283">
        <v>93.1</v>
      </c>
      <c r="E182" s="283">
        <v>93.2</v>
      </c>
      <c r="F182" s="283">
        <v>93.5</v>
      </c>
      <c r="G182" s="283">
        <v>94.1</v>
      </c>
      <c r="H182" s="283">
        <v>95.1</v>
      </c>
      <c r="I182" s="283">
        <v>97.2</v>
      </c>
      <c r="J182" s="283">
        <v>99.6</v>
      </c>
      <c r="K182" s="283">
        <v>103.1</v>
      </c>
      <c r="L182" s="283">
        <v>103.6</v>
      </c>
      <c r="M182" s="283">
        <v>102.9</v>
      </c>
      <c r="N182" s="283">
        <v>101.5</v>
      </c>
      <c r="O182" s="329">
        <v>101.6</v>
      </c>
      <c r="R182" s="1559"/>
      <c r="S182" s="1559"/>
    </row>
    <row r="183" spans="2:19" ht="16.5" hidden="1" thickBot="1">
      <c r="B183" s="132" t="s">
        <v>614</v>
      </c>
      <c r="C183" s="297">
        <f t="shared" ref="C183:O183" si="130">ROUND(100*C182/$C$182,2)</f>
        <v>100</v>
      </c>
      <c r="D183" s="470">
        <f t="shared" si="130"/>
        <v>99.89</v>
      </c>
      <c r="E183" s="470">
        <f t="shared" si="130"/>
        <v>100</v>
      </c>
      <c r="F183" s="470">
        <f t="shared" si="130"/>
        <v>100.32</v>
      </c>
      <c r="G183" s="470">
        <f t="shared" si="130"/>
        <v>100.97</v>
      </c>
      <c r="H183" s="470">
        <f t="shared" si="130"/>
        <v>102.04</v>
      </c>
      <c r="I183" s="470">
        <f t="shared" si="130"/>
        <v>104.29</v>
      </c>
      <c r="J183" s="470">
        <f t="shared" si="130"/>
        <v>106.87</v>
      </c>
      <c r="K183" s="470">
        <f t="shared" si="130"/>
        <v>110.62</v>
      </c>
      <c r="L183" s="470">
        <f t="shared" si="130"/>
        <v>111.16</v>
      </c>
      <c r="M183" s="470">
        <f t="shared" si="130"/>
        <v>110.41</v>
      </c>
      <c r="N183" s="470">
        <f t="shared" si="130"/>
        <v>108.91</v>
      </c>
      <c r="O183" s="478">
        <f t="shared" si="130"/>
        <v>109.01</v>
      </c>
      <c r="R183" s="1559"/>
      <c r="S183" s="1559"/>
    </row>
    <row r="184" spans="2:19" ht="16.5" hidden="1" thickBot="1">
      <c r="B184" s="132" t="s">
        <v>144</v>
      </c>
      <c r="C184" s="136">
        <f t="shared" ref="C184:O184" si="131">ROUND(+$I$175*C181+$I$176*C183,2)</f>
        <v>100</v>
      </c>
      <c r="D184" s="136">
        <f t="shared" si="131"/>
        <v>107.85</v>
      </c>
      <c r="E184" s="136">
        <f t="shared" si="131"/>
        <v>129.88</v>
      </c>
      <c r="F184" s="136">
        <f t="shared" si="131"/>
        <v>151.97</v>
      </c>
      <c r="G184" s="136">
        <f t="shared" si="131"/>
        <v>172.97</v>
      </c>
      <c r="H184" s="136">
        <f t="shared" si="131"/>
        <v>218.8</v>
      </c>
      <c r="I184" s="136">
        <f t="shared" si="131"/>
        <v>232.85</v>
      </c>
      <c r="J184" s="136">
        <f t="shared" si="131"/>
        <v>237.15</v>
      </c>
      <c r="K184" s="136">
        <f t="shared" si="131"/>
        <v>254.1</v>
      </c>
      <c r="L184" s="136">
        <f t="shared" si="131"/>
        <v>250.59</v>
      </c>
      <c r="M184" s="136">
        <f t="shared" si="131"/>
        <v>251.19</v>
      </c>
      <c r="N184" s="136">
        <f t="shared" si="131"/>
        <v>233.61</v>
      </c>
      <c r="O184" s="136">
        <f t="shared" si="131"/>
        <v>231.13</v>
      </c>
      <c r="R184" s="1559"/>
      <c r="S184" s="1559"/>
    </row>
    <row r="185" spans="2:19" ht="16.5" hidden="1" thickBot="1">
      <c r="D185" s="2682">
        <v>2003</v>
      </c>
      <c r="E185" s="2683"/>
      <c r="F185" s="2683"/>
      <c r="G185" s="2683"/>
      <c r="H185" s="2683"/>
      <c r="I185" s="2683"/>
      <c r="J185" s="2683"/>
      <c r="K185" s="2683"/>
      <c r="L185" s="2683"/>
      <c r="M185" s="2683"/>
      <c r="N185" s="2687"/>
      <c r="O185" s="2688"/>
      <c r="R185" s="1559"/>
      <c r="S185" s="1559"/>
    </row>
    <row r="186" spans="2:19" ht="16.5" hidden="1" thickBot="1">
      <c r="D186" s="449" t="s">
        <v>578</v>
      </c>
      <c r="E186" s="412" t="s">
        <v>579</v>
      </c>
      <c r="F186" s="412" t="s">
        <v>580</v>
      </c>
      <c r="G186" s="454" t="s">
        <v>581</v>
      </c>
      <c r="H186" s="454" t="s">
        <v>582</v>
      </c>
      <c r="I186" s="454" t="s">
        <v>583</v>
      </c>
      <c r="J186" s="454" t="s">
        <v>587</v>
      </c>
      <c r="K186" s="455" t="s">
        <v>588</v>
      </c>
      <c r="L186" s="298" t="s">
        <v>646</v>
      </c>
      <c r="M186" s="414" t="s">
        <v>590</v>
      </c>
      <c r="N186" s="414" t="s">
        <v>610</v>
      </c>
      <c r="O186" s="414" t="s">
        <v>611</v>
      </c>
      <c r="R186" s="1559"/>
      <c r="S186" s="1559"/>
    </row>
    <row r="187" spans="2:19" ht="6" hidden="1" customHeight="1">
      <c r="R187" s="1559"/>
      <c r="S187" s="1559"/>
    </row>
    <row r="188" spans="2:19" hidden="1">
      <c r="B188" s="121" t="s">
        <v>645</v>
      </c>
      <c r="C188" s="121"/>
      <c r="D188" s="321">
        <v>270.45999999999998</v>
      </c>
      <c r="E188" s="321">
        <f t="shared" ref="E188:O188" si="132">+E23</f>
        <v>267.06</v>
      </c>
      <c r="F188" s="321">
        <f t="shared" si="132"/>
        <v>251.92</v>
      </c>
      <c r="G188" s="321">
        <f t="shared" si="132"/>
        <v>240.1</v>
      </c>
      <c r="H188" s="321">
        <f t="shared" si="132"/>
        <v>231.79</v>
      </c>
      <c r="I188" s="321">
        <f t="shared" si="132"/>
        <v>229.73</v>
      </c>
      <c r="J188" s="321">
        <f t="shared" si="132"/>
        <v>224.3</v>
      </c>
      <c r="K188" s="321">
        <f t="shared" si="132"/>
        <v>230.57</v>
      </c>
      <c r="L188" s="321">
        <f t="shared" si="132"/>
        <v>230.71</v>
      </c>
      <c r="M188" s="321">
        <f t="shared" si="132"/>
        <v>227.05</v>
      </c>
      <c r="N188" s="321">
        <f t="shared" si="132"/>
        <v>228.31</v>
      </c>
      <c r="O188" s="321">
        <f t="shared" si="132"/>
        <v>233.62</v>
      </c>
      <c r="R188" s="1559"/>
      <c r="S188" s="1559"/>
    </row>
    <row r="189" spans="2:19" hidden="1">
      <c r="B189" s="122" t="s">
        <v>613</v>
      </c>
      <c r="C189" s="122"/>
      <c r="D189" s="283">
        <v>104.1</v>
      </c>
      <c r="E189" s="283">
        <v>105.5</v>
      </c>
      <c r="F189" s="321">
        <v>106.6</v>
      </c>
      <c r="G189" s="283">
        <v>105.4</v>
      </c>
      <c r="H189" s="283">
        <v>108.7</v>
      </c>
      <c r="I189" s="321">
        <v>108.7</v>
      </c>
      <c r="J189" s="321">
        <v>110.8</v>
      </c>
      <c r="K189" s="321">
        <v>114.2</v>
      </c>
      <c r="L189" s="283">
        <v>116.2</v>
      </c>
      <c r="M189" s="283">
        <v>119</v>
      </c>
      <c r="N189" s="307">
        <v>120.5</v>
      </c>
      <c r="O189" s="439">
        <v>122.2</v>
      </c>
      <c r="R189" s="1559"/>
      <c r="S189" s="1559"/>
    </row>
    <row r="190" spans="2:19" ht="16.5" hidden="1" thickBot="1">
      <c r="B190" s="132" t="s">
        <v>614</v>
      </c>
      <c r="D190" s="307">
        <f t="shared" ref="D190:O190" si="133">ROUND(100*D189/$C$182,2)</f>
        <v>111.7</v>
      </c>
      <c r="E190" s="307">
        <f t="shared" si="133"/>
        <v>113.2</v>
      </c>
      <c r="F190" s="307">
        <f t="shared" si="133"/>
        <v>114.38</v>
      </c>
      <c r="G190" s="307">
        <f t="shared" si="133"/>
        <v>113.09</v>
      </c>
      <c r="H190" s="307">
        <f t="shared" si="133"/>
        <v>116.63</v>
      </c>
      <c r="I190" s="307">
        <f t="shared" si="133"/>
        <v>116.63</v>
      </c>
      <c r="J190" s="307">
        <f t="shared" si="133"/>
        <v>118.88</v>
      </c>
      <c r="K190" s="307">
        <f t="shared" si="133"/>
        <v>122.53</v>
      </c>
      <c r="L190" s="307">
        <f t="shared" si="133"/>
        <v>124.68</v>
      </c>
      <c r="M190" s="307">
        <f t="shared" si="133"/>
        <v>127.68</v>
      </c>
      <c r="N190" s="307">
        <f t="shared" si="133"/>
        <v>129.29</v>
      </c>
      <c r="O190" s="307">
        <f t="shared" si="133"/>
        <v>131.12</v>
      </c>
      <c r="R190" s="1559"/>
      <c r="S190" s="1559"/>
    </row>
    <row r="191" spans="2:19" ht="16.5" hidden="1" thickBot="1">
      <c r="B191" s="132" t="s">
        <v>615</v>
      </c>
      <c r="D191" s="136">
        <f t="shared" ref="D191:O191" si="134">ROUND(+$I$175*D188+$I$176*D190,2)</f>
        <v>222.83</v>
      </c>
      <c r="E191" s="136">
        <f t="shared" si="134"/>
        <v>220.9</v>
      </c>
      <c r="F191" s="136">
        <f t="shared" si="134"/>
        <v>210.66</v>
      </c>
      <c r="G191" s="136">
        <f t="shared" si="134"/>
        <v>202</v>
      </c>
      <c r="H191" s="136">
        <f t="shared" si="134"/>
        <v>197.24</v>
      </c>
      <c r="I191" s="136">
        <f t="shared" si="134"/>
        <v>195.8</v>
      </c>
      <c r="J191" s="136">
        <f t="shared" si="134"/>
        <v>192.67</v>
      </c>
      <c r="K191" s="136">
        <f t="shared" si="134"/>
        <v>198.16</v>
      </c>
      <c r="L191" s="136">
        <f t="shared" si="134"/>
        <v>198.9</v>
      </c>
      <c r="M191" s="136">
        <f t="shared" si="134"/>
        <v>197.24</v>
      </c>
      <c r="N191" s="136">
        <f t="shared" si="134"/>
        <v>198.6</v>
      </c>
      <c r="O191" s="136">
        <f t="shared" si="134"/>
        <v>202.87</v>
      </c>
      <c r="R191" s="1559"/>
      <c r="S191" s="1559"/>
    </row>
    <row r="192" spans="2:19" ht="16.5" hidden="1" thickBot="1">
      <c r="R192" s="1559"/>
      <c r="S192" s="1559"/>
    </row>
    <row r="193" spans="2:19" ht="16.5" hidden="1" thickBot="1">
      <c r="D193" s="2682">
        <v>2004</v>
      </c>
      <c r="E193" s="2683"/>
      <c r="F193" s="2683"/>
      <c r="G193" s="2683"/>
      <c r="H193" s="2683"/>
      <c r="I193" s="2683"/>
      <c r="J193" s="2683"/>
      <c r="K193" s="2683"/>
      <c r="L193" s="2683"/>
      <c r="M193" s="2683"/>
      <c r="N193" s="2687"/>
      <c r="O193" s="2688"/>
      <c r="R193" s="1559"/>
      <c r="S193" s="1559"/>
    </row>
    <row r="194" spans="2:19" ht="16.5" hidden="1" thickBot="1">
      <c r="D194" s="449" t="s">
        <v>578</v>
      </c>
      <c r="E194" s="412" t="s">
        <v>579</v>
      </c>
      <c r="F194" s="412" t="s">
        <v>580</v>
      </c>
      <c r="G194" s="454" t="s">
        <v>581</v>
      </c>
      <c r="H194" s="454" t="s">
        <v>582</v>
      </c>
      <c r="I194" s="454" t="s">
        <v>583</v>
      </c>
      <c r="J194" s="454" t="s">
        <v>587</v>
      </c>
      <c r="K194" s="455" t="s">
        <v>588</v>
      </c>
      <c r="L194" s="298" t="s">
        <v>646</v>
      </c>
      <c r="M194" s="414" t="s">
        <v>590</v>
      </c>
      <c r="N194" s="414" t="s">
        <v>610</v>
      </c>
      <c r="O194" s="414" t="s">
        <v>611</v>
      </c>
      <c r="R194" s="1559"/>
      <c r="S194" s="1559"/>
    </row>
    <row r="195" spans="2:19" ht="6" hidden="1" customHeight="1">
      <c r="R195" s="1559"/>
      <c r="S195" s="1559"/>
    </row>
    <row r="196" spans="2:19" hidden="1">
      <c r="B196" s="121" t="s">
        <v>645</v>
      </c>
      <c r="C196" s="121"/>
      <c r="D196" s="321">
        <f t="shared" ref="D196:O196" si="135">+D31</f>
        <v>231.9</v>
      </c>
      <c r="E196" s="321">
        <f t="shared" si="135"/>
        <v>233.13</v>
      </c>
      <c r="F196" s="321">
        <f t="shared" si="135"/>
        <v>232.09</v>
      </c>
      <c r="G196" s="321">
        <f t="shared" si="135"/>
        <v>227.41</v>
      </c>
      <c r="H196" s="321">
        <f t="shared" si="135"/>
        <v>231.5</v>
      </c>
      <c r="I196" s="321">
        <f t="shared" si="135"/>
        <v>233.72</v>
      </c>
      <c r="J196" s="321">
        <f t="shared" si="135"/>
        <v>232.24</v>
      </c>
      <c r="K196" s="321">
        <f t="shared" si="135"/>
        <v>236.09</v>
      </c>
      <c r="L196" s="321">
        <f t="shared" si="135"/>
        <v>231.54</v>
      </c>
      <c r="M196" s="321">
        <f t="shared" si="135"/>
        <v>230.78</v>
      </c>
      <c r="N196" s="321">
        <f t="shared" si="135"/>
        <v>230.89</v>
      </c>
      <c r="O196" s="321">
        <f t="shared" si="135"/>
        <v>233.02</v>
      </c>
      <c r="R196" s="1559"/>
      <c r="S196" s="1559"/>
    </row>
    <row r="197" spans="2:19" hidden="1">
      <c r="B197" s="122" t="s">
        <v>613</v>
      </c>
      <c r="C197" s="122"/>
      <c r="D197" s="283">
        <v>127.4</v>
      </c>
      <c r="E197" s="283">
        <v>130.30000000000001</v>
      </c>
      <c r="F197" s="321">
        <v>130.5</v>
      </c>
      <c r="G197" s="283">
        <v>130.80000000000001</v>
      </c>
      <c r="H197" s="283">
        <v>130.5</v>
      </c>
      <c r="I197" s="321">
        <v>130</v>
      </c>
      <c r="J197" s="321">
        <v>133.5</v>
      </c>
      <c r="K197" s="321">
        <f>+'ANEXOA-AMORTIZACION'!AA34</f>
        <v>132.4</v>
      </c>
      <c r="L197" s="283">
        <v>132</v>
      </c>
      <c r="M197" s="321">
        <f>+'ANEXOA-AMORTIZACION'!AC34</f>
        <v>133</v>
      </c>
      <c r="N197" s="321">
        <f>+'ANEXOA-AMORTIZACION'!AD34</f>
        <v>132.80000000000001</v>
      </c>
      <c r="O197" s="321">
        <f>+'ANEXOA-AMORTIZACION'!AE34</f>
        <v>133</v>
      </c>
      <c r="R197" s="1559"/>
      <c r="S197" s="1559"/>
    </row>
    <row r="198" spans="2:19" ht="16.5" hidden="1" thickBot="1">
      <c r="B198" s="132" t="s">
        <v>614</v>
      </c>
      <c r="D198" s="307">
        <f t="shared" ref="D198:O198" si="136">ROUND(100*D197/$C$182,2)</f>
        <v>136.69999999999999</v>
      </c>
      <c r="E198" s="307">
        <f t="shared" si="136"/>
        <v>139.81</v>
      </c>
      <c r="F198" s="307">
        <f t="shared" si="136"/>
        <v>140.02000000000001</v>
      </c>
      <c r="G198" s="307">
        <f t="shared" si="136"/>
        <v>140.34</v>
      </c>
      <c r="H198" s="307">
        <f t="shared" si="136"/>
        <v>140.02000000000001</v>
      </c>
      <c r="I198" s="307">
        <f t="shared" si="136"/>
        <v>139.47999999999999</v>
      </c>
      <c r="J198" s="307">
        <f t="shared" si="136"/>
        <v>143.24</v>
      </c>
      <c r="K198" s="307">
        <f t="shared" si="136"/>
        <v>142.06</v>
      </c>
      <c r="L198" s="307">
        <f t="shared" si="136"/>
        <v>141.63</v>
      </c>
      <c r="M198" s="307">
        <f t="shared" si="136"/>
        <v>142.69999999999999</v>
      </c>
      <c r="N198" s="307">
        <f t="shared" si="136"/>
        <v>142.49</v>
      </c>
      <c r="O198" s="307">
        <f t="shared" si="136"/>
        <v>142.69999999999999</v>
      </c>
      <c r="R198" s="1559"/>
      <c r="S198" s="1559"/>
    </row>
    <row r="199" spans="2:19" ht="16.5" hidden="1" thickBot="1">
      <c r="B199" s="132" t="s">
        <v>615</v>
      </c>
      <c r="D199" s="136">
        <f t="shared" ref="D199:O199" si="137">ROUND(+$I$175*D196+$I$176*D198,2)</f>
        <v>203.34</v>
      </c>
      <c r="E199" s="136">
        <f t="shared" si="137"/>
        <v>205.13</v>
      </c>
      <c r="F199" s="136">
        <f t="shared" si="137"/>
        <v>204.47</v>
      </c>
      <c r="G199" s="136">
        <f t="shared" si="137"/>
        <v>201.29</v>
      </c>
      <c r="H199" s="136">
        <f t="shared" si="137"/>
        <v>204.06</v>
      </c>
      <c r="I199" s="136">
        <f t="shared" si="137"/>
        <v>205.45</v>
      </c>
      <c r="J199" s="136">
        <f t="shared" si="137"/>
        <v>205.54</v>
      </c>
      <c r="K199" s="136">
        <f t="shared" si="137"/>
        <v>207.88</v>
      </c>
      <c r="L199" s="136">
        <f t="shared" si="137"/>
        <v>204.57</v>
      </c>
      <c r="M199" s="136">
        <f t="shared" si="137"/>
        <v>204.36</v>
      </c>
      <c r="N199" s="136">
        <f t="shared" si="137"/>
        <v>204.37</v>
      </c>
      <c r="O199" s="136">
        <f t="shared" si="137"/>
        <v>205.92</v>
      </c>
      <c r="R199" s="1559"/>
      <c r="S199" s="1559"/>
    </row>
    <row r="200" spans="2:19" ht="16.5" hidden="1" thickBot="1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R200" s="1559"/>
      <c r="S200" s="1559"/>
    </row>
    <row r="201" spans="2:19" ht="16.5" hidden="1" thickBot="1">
      <c r="D201" s="2682">
        <v>2005</v>
      </c>
      <c r="E201" s="2683"/>
      <c r="F201" s="2683"/>
      <c r="G201" s="2683"/>
      <c r="H201" s="2683"/>
      <c r="I201" s="2683"/>
      <c r="J201" s="2683"/>
      <c r="K201" s="2683"/>
      <c r="L201" s="2683"/>
      <c r="M201" s="2683"/>
      <c r="N201" s="2687"/>
      <c r="O201" s="2688"/>
      <c r="R201" s="1559"/>
      <c r="S201" s="1559"/>
    </row>
    <row r="202" spans="2:19" ht="16.5" hidden="1" thickBot="1">
      <c r="D202" s="449" t="s">
        <v>578</v>
      </c>
      <c r="E202" s="412" t="s">
        <v>579</v>
      </c>
      <c r="F202" s="412" t="s">
        <v>580</v>
      </c>
      <c r="G202" s="454" t="s">
        <v>581</v>
      </c>
      <c r="H202" s="454" t="s">
        <v>582</v>
      </c>
      <c r="I202" s="454" t="s">
        <v>583</v>
      </c>
      <c r="J202" s="454" t="s">
        <v>587</v>
      </c>
      <c r="K202" s="465" t="s">
        <v>588</v>
      </c>
      <c r="L202" s="419" t="s">
        <v>646</v>
      </c>
      <c r="M202" s="419" t="s">
        <v>590</v>
      </c>
      <c r="N202" s="419" t="s">
        <v>586</v>
      </c>
      <c r="O202" s="417" t="s">
        <v>577</v>
      </c>
      <c r="R202" s="1559"/>
      <c r="S202" s="1559"/>
    </row>
    <row r="203" spans="2:19" ht="6" hidden="1" customHeight="1">
      <c r="R203" s="1559"/>
      <c r="S203" s="1559"/>
    </row>
    <row r="204" spans="2:19" hidden="1">
      <c r="B204" s="121" t="s">
        <v>645</v>
      </c>
      <c r="C204" s="121"/>
      <c r="D204" s="321">
        <f t="shared" ref="D204:O204" si="138">+D39</f>
        <v>232.13</v>
      </c>
      <c r="E204" s="321">
        <f t="shared" si="138"/>
        <v>229.97</v>
      </c>
      <c r="F204" s="321">
        <f t="shared" si="138"/>
        <v>231.29</v>
      </c>
      <c r="G204" s="321">
        <f t="shared" si="138"/>
        <v>231.38</v>
      </c>
      <c r="H204" s="321">
        <f t="shared" si="138"/>
        <v>231.27</v>
      </c>
      <c r="I204" s="321">
        <f t="shared" si="138"/>
        <v>229.65</v>
      </c>
      <c r="J204" s="321">
        <f t="shared" si="138"/>
        <v>229.03</v>
      </c>
      <c r="K204" s="321">
        <f t="shared" si="138"/>
        <v>230.01</v>
      </c>
      <c r="L204" s="321">
        <f t="shared" si="138"/>
        <v>231.04</v>
      </c>
      <c r="M204" s="321">
        <f t="shared" si="138"/>
        <v>233.38</v>
      </c>
      <c r="N204" s="321">
        <f t="shared" si="138"/>
        <v>233.4</v>
      </c>
      <c r="O204" s="321">
        <f t="shared" si="138"/>
        <v>236.03</v>
      </c>
      <c r="R204" s="1559"/>
      <c r="S204" s="1559"/>
    </row>
    <row r="205" spans="2:19" hidden="1">
      <c r="B205" s="122" t="s">
        <v>613</v>
      </c>
      <c r="C205" s="122"/>
      <c r="D205" s="283">
        <f>+'TABLA FINAL '!AV195</f>
        <v>140.30000000000001</v>
      </c>
      <c r="E205" s="283">
        <f>+'TABLA FINAL '!AW195</f>
        <v>140.6</v>
      </c>
      <c r="F205" s="283">
        <f>+'TABLA FINAL '!AX195</f>
        <v>141.19999999999999</v>
      </c>
      <c r="G205" s="283">
        <f>+'TABLA FINAL '!AY195</f>
        <v>152.6</v>
      </c>
      <c r="H205" s="283">
        <f>+'TABLA FINAL '!AZ195</f>
        <v>154.80000000000001</v>
      </c>
      <c r="I205" s="283">
        <f>+'TABLA FINAL '!BA195</f>
        <v>156.1</v>
      </c>
      <c r="J205" s="283">
        <f>+'TABLA FINAL '!BB195</f>
        <v>156.9</v>
      </c>
      <c r="K205" s="283">
        <f>+'TABLA FINAL '!BC195</f>
        <v>158.30000000000001</v>
      </c>
      <c r="L205" s="283">
        <f>+'TABLA FINAL '!BD195</f>
        <v>158.9</v>
      </c>
      <c r="M205" s="283">
        <f>+'TABLA FINAL '!BE195</f>
        <v>161.80000000000001</v>
      </c>
      <c r="N205" s="283">
        <f>+'TABLA FINAL '!BF195</f>
        <v>170.6</v>
      </c>
      <c r="O205" s="283">
        <f>+'TABLA FINAL '!BG195</f>
        <v>171.7</v>
      </c>
      <c r="R205" s="1559"/>
      <c r="S205" s="1559"/>
    </row>
    <row r="206" spans="2:19" ht="16.5" hidden="1" thickBot="1">
      <c r="B206" s="132" t="s">
        <v>614</v>
      </c>
      <c r="D206" s="307">
        <f t="shared" ref="D206:O206" si="139">ROUND(100*D205/$C$182,2)</f>
        <v>150.54</v>
      </c>
      <c r="E206" s="307">
        <f t="shared" si="139"/>
        <v>150.86000000000001</v>
      </c>
      <c r="F206" s="307">
        <f t="shared" si="139"/>
        <v>151.5</v>
      </c>
      <c r="G206" s="307">
        <f t="shared" si="139"/>
        <v>163.72999999999999</v>
      </c>
      <c r="H206" s="307">
        <f t="shared" si="139"/>
        <v>166.09</v>
      </c>
      <c r="I206" s="307">
        <f t="shared" si="139"/>
        <v>167.49</v>
      </c>
      <c r="J206" s="307">
        <f t="shared" si="139"/>
        <v>168.35</v>
      </c>
      <c r="K206" s="307">
        <f t="shared" si="139"/>
        <v>169.85</v>
      </c>
      <c r="L206" s="307">
        <f t="shared" si="139"/>
        <v>170.49</v>
      </c>
      <c r="M206" s="307">
        <f t="shared" si="139"/>
        <v>173.61</v>
      </c>
      <c r="N206" s="307">
        <f t="shared" si="139"/>
        <v>183.05</v>
      </c>
      <c r="O206" s="307">
        <f t="shared" si="139"/>
        <v>184.23</v>
      </c>
      <c r="R206" s="1559"/>
      <c r="S206" s="1559"/>
    </row>
    <row r="207" spans="2:19" ht="16.5" hidden="1" thickBot="1">
      <c r="B207" s="132" t="s">
        <v>615</v>
      </c>
      <c r="D207" s="136">
        <f t="shared" ref="D207:O207" si="140">ROUND(+$I$175*D204+$I$176*D206,2)</f>
        <v>207.65</v>
      </c>
      <c r="E207" s="136">
        <f t="shared" si="140"/>
        <v>206.24</v>
      </c>
      <c r="F207" s="136">
        <f t="shared" si="140"/>
        <v>207.35</v>
      </c>
      <c r="G207" s="136">
        <f t="shared" si="140"/>
        <v>211.09</v>
      </c>
      <c r="H207" s="136">
        <f t="shared" si="140"/>
        <v>211.72</v>
      </c>
      <c r="I207" s="136">
        <f t="shared" si="140"/>
        <v>211</v>
      </c>
      <c r="J207" s="136">
        <f t="shared" si="140"/>
        <v>210.83</v>
      </c>
      <c r="K207" s="136">
        <f t="shared" si="140"/>
        <v>211.96</v>
      </c>
      <c r="L207" s="136">
        <f t="shared" si="140"/>
        <v>212.88</v>
      </c>
      <c r="M207" s="136">
        <f t="shared" si="140"/>
        <v>215.45</v>
      </c>
      <c r="N207" s="136">
        <f t="shared" si="140"/>
        <v>218.3</v>
      </c>
      <c r="O207" s="136">
        <f t="shared" si="140"/>
        <v>220.49</v>
      </c>
      <c r="R207" s="1559"/>
      <c r="S207" s="1559"/>
    </row>
    <row r="208" spans="2:19" ht="16.5" hidden="1" thickBot="1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R208" s="1559"/>
      <c r="S208" s="1559"/>
    </row>
    <row r="209" spans="2:19" ht="16.5" hidden="1" thickBot="1">
      <c r="D209" s="2682">
        <v>2006</v>
      </c>
      <c r="E209" s="2683"/>
      <c r="F209" s="2683"/>
      <c r="G209" s="2683"/>
      <c r="H209" s="2683"/>
      <c r="I209" s="2683"/>
      <c r="J209" s="2683"/>
      <c r="K209" s="2683"/>
      <c r="L209" s="2683"/>
      <c r="M209" s="2683"/>
      <c r="N209" s="2687"/>
      <c r="O209" s="2688"/>
      <c r="R209" s="1559"/>
      <c r="S209" s="1559"/>
    </row>
    <row r="210" spans="2:19" ht="16.5" hidden="1" thickBot="1">
      <c r="D210" s="449" t="s">
        <v>578</v>
      </c>
      <c r="E210" s="412" t="s">
        <v>579</v>
      </c>
      <c r="F210" s="412" t="s">
        <v>580</v>
      </c>
      <c r="G210" s="454" t="s">
        <v>581</v>
      </c>
      <c r="H210" s="454" t="s">
        <v>582</v>
      </c>
      <c r="I210" s="454" t="s">
        <v>583</v>
      </c>
      <c r="J210" s="454" t="s">
        <v>587</v>
      </c>
      <c r="K210" s="465" t="s">
        <v>588</v>
      </c>
      <c r="L210" s="419" t="s">
        <v>646</v>
      </c>
      <c r="M210" s="419" t="s">
        <v>590</v>
      </c>
      <c r="N210" s="419" t="s">
        <v>586</v>
      </c>
      <c r="O210" s="417" t="s">
        <v>577</v>
      </c>
      <c r="R210" s="1559"/>
      <c r="S210" s="1559"/>
    </row>
    <row r="211" spans="2:19" ht="6" hidden="1" customHeight="1">
      <c r="R211" s="1559"/>
      <c r="S211" s="1559"/>
    </row>
    <row r="212" spans="2:19" hidden="1">
      <c r="B212" s="121" t="s">
        <v>645</v>
      </c>
      <c r="C212" s="121"/>
      <c r="D212" s="321">
        <f t="shared" ref="D212:O212" si="141">+D47</f>
        <v>238.35</v>
      </c>
      <c r="E212" s="321">
        <f t="shared" si="141"/>
        <v>239.91</v>
      </c>
      <c r="F212" s="321">
        <f t="shared" si="141"/>
        <v>241.5</v>
      </c>
      <c r="G212" s="321">
        <f t="shared" si="141"/>
        <v>235.88</v>
      </c>
      <c r="H212" s="321">
        <f t="shared" si="141"/>
        <v>236.38</v>
      </c>
      <c r="I212" s="321">
        <f t="shared" si="141"/>
        <v>236.81</v>
      </c>
      <c r="J212" s="321">
        <f t="shared" si="141"/>
        <v>238.16</v>
      </c>
      <c r="K212" s="321">
        <f t="shared" si="141"/>
        <v>241.89</v>
      </c>
      <c r="L212" s="321">
        <f t="shared" si="141"/>
        <v>243.45</v>
      </c>
      <c r="M212" s="321">
        <f t="shared" si="141"/>
        <v>240.71</v>
      </c>
      <c r="N212" s="321">
        <f t="shared" si="141"/>
        <v>236.34</v>
      </c>
      <c r="O212" s="321">
        <f t="shared" si="141"/>
        <v>236.63</v>
      </c>
      <c r="R212" s="1559"/>
      <c r="S212" s="1559"/>
    </row>
    <row r="213" spans="2:19" hidden="1">
      <c r="B213" s="122" t="s">
        <v>613</v>
      </c>
      <c r="C213" s="122"/>
      <c r="D213" s="283">
        <f>+'TABLA FINAL '!BH195</f>
        <v>177.7</v>
      </c>
      <c r="E213" s="283">
        <f>+'TABLA FINAL '!BI195</f>
        <v>184.1</v>
      </c>
      <c r="F213" s="283">
        <f>+'TABLA FINAL '!BJ195</f>
        <v>185.5</v>
      </c>
      <c r="G213" s="283">
        <f>+'TABLA FINAL '!BK195</f>
        <v>189.8</v>
      </c>
      <c r="H213" s="283">
        <f>+'TABLA FINAL '!BL195</f>
        <v>191.6</v>
      </c>
      <c r="I213" s="283">
        <f>+'TABLA FINAL '!BM195</f>
        <v>204.5</v>
      </c>
      <c r="J213" s="283">
        <f>+'TABLA FINAL '!BN195</f>
        <v>206.3</v>
      </c>
      <c r="K213" s="283">
        <f>+'TABLA FINAL '!BO195</f>
        <v>207.1</v>
      </c>
      <c r="L213" s="283">
        <f>+'TABLA FINAL '!BP195</f>
        <v>216.5</v>
      </c>
      <c r="M213" s="283">
        <f>+'TABLA FINAL '!BQ195</f>
        <v>219.4</v>
      </c>
      <c r="N213" s="283">
        <f>+'TABLA FINAL '!BR195</f>
        <v>220.8</v>
      </c>
      <c r="O213" s="283">
        <f>+'TABLA FINAL '!BS195</f>
        <v>223.6</v>
      </c>
      <c r="R213" s="1559"/>
      <c r="S213" s="1559"/>
    </row>
    <row r="214" spans="2:19" ht="16.5" hidden="1" thickBot="1">
      <c r="B214" s="132" t="s">
        <v>614</v>
      </c>
      <c r="D214" s="307">
        <f t="shared" ref="D214:O214" si="142">ROUND(100*D213/$C$182,2)</f>
        <v>190.67</v>
      </c>
      <c r="E214" s="307">
        <f t="shared" si="142"/>
        <v>197.53</v>
      </c>
      <c r="F214" s="307">
        <f t="shared" si="142"/>
        <v>199.03</v>
      </c>
      <c r="G214" s="307">
        <f t="shared" si="142"/>
        <v>203.65</v>
      </c>
      <c r="H214" s="307">
        <f t="shared" si="142"/>
        <v>205.58</v>
      </c>
      <c r="I214" s="307">
        <f t="shared" si="142"/>
        <v>219.42</v>
      </c>
      <c r="J214" s="307">
        <f t="shared" si="142"/>
        <v>221.35</v>
      </c>
      <c r="K214" s="307">
        <f t="shared" si="142"/>
        <v>222.21</v>
      </c>
      <c r="L214" s="307">
        <f t="shared" si="142"/>
        <v>232.3</v>
      </c>
      <c r="M214" s="307">
        <f t="shared" si="142"/>
        <v>235.41</v>
      </c>
      <c r="N214" s="307">
        <f t="shared" si="142"/>
        <v>236.91</v>
      </c>
      <c r="O214" s="307">
        <f t="shared" si="142"/>
        <v>239.91</v>
      </c>
      <c r="R214" s="1559"/>
      <c r="S214" s="1559"/>
    </row>
    <row r="215" spans="2:19" ht="16.5" hidden="1" thickBot="1">
      <c r="B215" s="132" t="s">
        <v>144</v>
      </c>
      <c r="D215" s="136">
        <f t="shared" ref="D215:O215" si="143">ROUND(+$I$175*D212+$I$176*D214,2)</f>
        <v>224.05</v>
      </c>
      <c r="E215" s="136">
        <f t="shared" si="143"/>
        <v>227.2</v>
      </c>
      <c r="F215" s="136">
        <f t="shared" si="143"/>
        <v>228.76</v>
      </c>
      <c r="G215" s="136">
        <f t="shared" si="143"/>
        <v>226.21</v>
      </c>
      <c r="H215" s="136">
        <f t="shared" si="143"/>
        <v>227.14</v>
      </c>
      <c r="I215" s="136">
        <f t="shared" si="143"/>
        <v>231.59</v>
      </c>
      <c r="J215" s="136">
        <f t="shared" si="143"/>
        <v>233.12</v>
      </c>
      <c r="K215" s="136">
        <f t="shared" si="143"/>
        <v>235.99</v>
      </c>
      <c r="L215" s="136">
        <f t="shared" si="143"/>
        <v>240.11</v>
      </c>
      <c r="M215" s="136">
        <f t="shared" si="143"/>
        <v>239.12</v>
      </c>
      <c r="N215" s="136">
        <f t="shared" si="143"/>
        <v>236.51</v>
      </c>
      <c r="O215" s="136">
        <f t="shared" si="143"/>
        <v>237.61</v>
      </c>
      <c r="R215" s="1559"/>
      <c r="S215" s="1559"/>
    </row>
    <row r="216" spans="2:19" ht="16.5" hidden="1" thickBot="1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R216" s="1559"/>
      <c r="S216" s="1559"/>
    </row>
    <row r="217" spans="2:19" ht="16.5" hidden="1" thickBot="1">
      <c r="D217" s="2682">
        <v>2007</v>
      </c>
      <c r="E217" s="2683"/>
      <c r="F217" s="2683"/>
      <c r="G217" s="2683"/>
      <c r="H217" s="2683"/>
      <c r="I217" s="2683"/>
      <c r="J217" s="2683"/>
      <c r="K217" s="2683"/>
      <c r="L217" s="2683"/>
      <c r="M217" s="2683"/>
      <c r="N217" s="2687"/>
      <c r="O217" s="2688"/>
      <c r="R217" s="1559"/>
      <c r="S217" s="1559"/>
    </row>
    <row r="218" spans="2:19" ht="16.5" hidden="1" thickBot="1">
      <c r="D218" s="449" t="s">
        <v>578</v>
      </c>
      <c r="E218" s="412" t="s">
        <v>579</v>
      </c>
      <c r="F218" s="412" t="s">
        <v>580</v>
      </c>
      <c r="G218" s="454" t="s">
        <v>581</v>
      </c>
      <c r="H218" s="454" t="s">
        <v>582</v>
      </c>
      <c r="I218" s="454" t="s">
        <v>583</v>
      </c>
      <c r="J218" s="454" t="s">
        <v>587</v>
      </c>
      <c r="K218" s="465" t="s">
        <v>588</v>
      </c>
      <c r="L218" s="419" t="s">
        <v>646</v>
      </c>
      <c r="M218" s="419" t="s">
        <v>590</v>
      </c>
      <c r="N218" s="419" t="s">
        <v>586</v>
      </c>
      <c r="O218" s="417" t="s">
        <v>577</v>
      </c>
      <c r="R218" s="1559"/>
      <c r="S218" s="1559"/>
    </row>
    <row r="219" spans="2:19" ht="6" hidden="1" customHeight="1">
      <c r="R219" s="1559"/>
      <c r="S219" s="1559"/>
    </row>
    <row r="220" spans="2:19" hidden="1">
      <c r="B220" s="121" t="s">
        <v>645</v>
      </c>
      <c r="C220" s="121"/>
      <c r="D220" s="321">
        <f t="shared" ref="D220:O220" si="144">+D55</f>
        <v>237.51</v>
      </c>
      <c r="E220" s="321">
        <f t="shared" si="144"/>
        <v>240.29</v>
      </c>
      <c r="F220" s="321">
        <f t="shared" si="144"/>
        <v>238.62</v>
      </c>
      <c r="G220" s="321">
        <f t="shared" si="144"/>
        <v>239.24</v>
      </c>
      <c r="H220" s="321">
        <f t="shared" si="144"/>
        <v>241.52</v>
      </c>
      <c r="I220" s="321">
        <f t="shared" si="144"/>
        <v>242.14</v>
      </c>
      <c r="J220" s="321">
        <f t="shared" si="144"/>
        <v>243.54</v>
      </c>
      <c r="K220" s="321">
        <f t="shared" si="144"/>
        <v>246.09</v>
      </c>
      <c r="L220" s="321">
        <f t="shared" si="144"/>
        <v>245.95</v>
      </c>
      <c r="M220" s="321">
        <f t="shared" si="144"/>
        <v>247.8</v>
      </c>
      <c r="N220" s="321">
        <f t="shared" si="144"/>
        <v>247.26</v>
      </c>
      <c r="O220" s="321">
        <f t="shared" si="144"/>
        <v>249.53</v>
      </c>
      <c r="R220" s="1559"/>
      <c r="S220" s="1559"/>
    </row>
    <row r="221" spans="2:19" hidden="1">
      <c r="B221" s="122" t="s">
        <v>613</v>
      </c>
      <c r="C221" s="122"/>
      <c r="D221" s="283">
        <f>+'TABLA FINAL '!BT195</f>
        <v>232.5</v>
      </c>
      <c r="E221" s="283">
        <f>+'TABLA FINAL '!BU195</f>
        <v>233.1</v>
      </c>
      <c r="F221" s="283">
        <f>+'TABLA FINAL '!BV195</f>
        <v>232.7</v>
      </c>
      <c r="G221" s="283">
        <f>+'TABLA FINAL '!BW195</f>
        <v>236.3</v>
      </c>
      <c r="H221" s="283">
        <f>+'TABLA FINAL '!BX195</f>
        <v>248.7</v>
      </c>
      <c r="I221" s="283">
        <f>+'TABLA FINAL '!BY195</f>
        <v>251.9</v>
      </c>
      <c r="J221" s="283">
        <f>+'TABLA FINAL '!BZ195</f>
        <v>262</v>
      </c>
      <c r="K221" s="283">
        <f>+'TABLA FINAL '!CA195</f>
        <v>263.3</v>
      </c>
      <c r="L221" s="283">
        <f>+'TABLA FINAL '!CB195</f>
        <v>265.60000000000002</v>
      </c>
      <c r="M221" s="283">
        <f>+'TABLA FINAL '!CC195</f>
        <v>277.7</v>
      </c>
      <c r="N221" s="283">
        <f>+'TABLA FINAL '!CD195</f>
        <v>272.60000000000002</v>
      </c>
      <c r="O221" s="283">
        <f>+'TABLA FINAL '!CE195</f>
        <v>275</v>
      </c>
      <c r="R221" s="1559"/>
      <c r="S221" s="1559"/>
    </row>
    <row r="222" spans="2:19" ht="16.5" hidden="1" thickBot="1">
      <c r="B222" s="132" t="s">
        <v>614</v>
      </c>
      <c r="D222" s="307">
        <f t="shared" ref="D222:O222" si="145">ROUND(100*D221/$C$182,2)</f>
        <v>249.46</v>
      </c>
      <c r="E222" s="307">
        <f t="shared" si="145"/>
        <v>250.11</v>
      </c>
      <c r="F222" s="307">
        <f t="shared" si="145"/>
        <v>249.68</v>
      </c>
      <c r="G222" s="307">
        <f t="shared" si="145"/>
        <v>253.54</v>
      </c>
      <c r="H222" s="307">
        <f t="shared" si="145"/>
        <v>266.85000000000002</v>
      </c>
      <c r="I222" s="307">
        <f t="shared" si="145"/>
        <v>270.27999999999997</v>
      </c>
      <c r="J222" s="307">
        <f t="shared" si="145"/>
        <v>281.12</v>
      </c>
      <c r="K222" s="307">
        <f t="shared" si="145"/>
        <v>282.51</v>
      </c>
      <c r="L222" s="307">
        <f t="shared" si="145"/>
        <v>284.98</v>
      </c>
      <c r="M222" s="307">
        <f t="shared" si="145"/>
        <v>297.95999999999998</v>
      </c>
      <c r="N222" s="307">
        <f t="shared" si="145"/>
        <v>292.49</v>
      </c>
      <c r="O222" s="307">
        <f t="shared" si="145"/>
        <v>295.06</v>
      </c>
      <c r="R222" s="1559"/>
      <c r="S222" s="1559"/>
    </row>
    <row r="223" spans="2:19" ht="16.5" hidden="1" thickBot="1">
      <c r="B223" s="132" t="s">
        <v>144</v>
      </c>
      <c r="D223" s="136">
        <f t="shared" ref="D223:O223" si="146">ROUND(+$I$175*D220+$I$176*D222,2)</f>
        <v>241.1</v>
      </c>
      <c r="E223" s="136">
        <f t="shared" si="146"/>
        <v>243.24</v>
      </c>
      <c r="F223" s="136">
        <f t="shared" si="146"/>
        <v>241.94</v>
      </c>
      <c r="G223" s="136">
        <f t="shared" si="146"/>
        <v>243.53</v>
      </c>
      <c r="H223" s="136">
        <f t="shared" si="146"/>
        <v>249.12</v>
      </c>
      <c r="I223" s="136">
        <f t="shared" si="146"/>
        <v>250.58</v>
      </c>
      <c r="J223" s="136">
        <f t="shared" si="146"/>
        <v>254.81</v>
      </c>
      <c r="K223" s="136">
        <f t="shared" si="146"/>
        <v>257.02</v>
      </c>
      <c r="L223" s="136">
        <f t="shared" si="146"/>
        <v>257.66000000000003</v>
      </c>
      <c r="M223" s="136">
        <f t="shared" si="146"/>
        <v>262.85000000000002</v>
      </c>
      <c r="N223" s="136">
        <f t="shared" si="146"/>
        <v>260.83</v>
      </c>
      <c r="O223" s="136">
        <f t="shared" si="146"/>
        <v>263.19</v>
      </c>
      <c r="R223" s="1559"/>
      <c r="S223" s="1559"/>
    </row>
    <row r="224" spans="2:19" ht="16.5" hidden="1" thickBot="1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R224" s="1559"/>
      <c r="S224" s="1559"/>
    </row>
    <row r="225" spans="2:19" ht="16.5" hidden="1" thickBot="1">
      <c r="D225" s="2682">
        <v>2008</v>
      </c>
      <c r="E225" s="2683"/>
      <c r="F225" s="2683"/>
      <c r="G225" s="2683"/>
      <c r="H225" s="2683"/>
      <c r="I225" s="2683"/>
      <c r="J225" s="2683"/>
      <c r="K225" s="2683"/>
      <c r="L225" s="2683"/>
      <c r="M225" s="2683"/>
      <c r="N225" s="2687"/>
      <c r="O225" s="2688"/>
      <c r="R225" s="1559"/>
      <c r="S225" s="1559"/>
    </row>
    <row r="226" spans="2:19" ht="16.5" hidden="1" thickBot="1">
      <c r="D226" s="449" t="s">
        <v>578</v>
      </c>
      <c r="E226" s="412" t="s">
        <v>579</v>
      </c>
      <c r="F226" s="412" t="s">
        <v>580</v>
      </c>
      <c r="G226" s="454" t="s">
        <v>581</v>
      </c>
      <c r="H226" s="454" t="s">
        <v>582</v>
      </c>
      <c r="I226" s="454" t="s">
        <v>583</v>
      </c>
      <c r="J226" s="454" t="s">
        <v>587</v>
      </c>
      <c r="K226" s="465" t="s">
        <v>588</v>
      </c>
      <c r="L226" s="419" t="s">
        <v>646</v>
      </c>
      <c r="M226" s="419" t="s">
        <v>590</v>
      </c>
      <c r="N226" s="419" t="s">
        <v>586</v>
      </c>
      <c r="O226" s="417" t="s">
        <v>577</v>
      </c>
      <c r="R226" s="1559"/>
      <c r="S226" s="1559"/>
    </row>
    <row r="227" spans="2:19" ht="6.75" hidden="1" customHeight="1">
      <c r="R227" s="1559"/>
      <c r="S227" s="1559"/>
    </row>
    <row r="228" spans="2:19" hidden="1">
      <c r="B228" s="121" t="s">
        <v>645</v>
      </c>
      <c r="C228" s="121"/>
      <c r="D228" s="321">
        <f t="shared" ref="D228:N228" si="147">+D64</f>
        <v>247.98</v>
      </c>
      <c r="E228" s="321">
        <f t="shared" si="147"/>
        <v>250.75</v>
      </c>
      <c r="F228" s="321">
        <f t="shared" si="147"/>
        <v>254.97</v>
      </c>
      <c r="G228" s="321">
        <f t="shared" si="147"/>
        <v>258.94</v>
      </c>
      <c r="H228" s="321">
        <f t="shared" si="147"/>
        <v>259.98</v>
      </c>
      <c r="I228" s="321">
        <f t="shared" si="147"/>
        <v>258.13</v>
      </c>
      <c r="J228" s="321">
        <f t="shared" si="147"/>
        <v>257.89999999999998</v>
      </c>
      <c r="K228" s="321">
        <f t="shared" si="147"/>
        <v>259.3</v>
      </c>
      <c r="L228" s="321">
        <f t="shared" si="147"/>
        <v>259.5</v>
      </c>
      <c r="M228" s="321">
        <f t="shared" si="147"/>
        <v>265.11</v>
      </c>
      <c r="N228" s="321">
        <f t="shared" si="147"/>
        <v>266.68</v>
      </c>
      <c r="O228" s="321">
        <f>O64</f>
        <v>270.3</v>
      </c>
      <c r="R228" s="1559"/>
      <c r="S228" s="1559"/>
    </row>
    <row r="229" spans="2:19" hidden="1">
      <c r="B229" s="122" t="s">
        <v>613</v>
      </c>
      <c r="C229" s="122"/>
      <c r="D229" s="321">
        <f>+'TABLA FINAL '!CF195</f>
        <v>275</v>
      </c>
      <c r="E229" s="321">
        <f>+'TABLA FINAL '!CG195</f>
        <v>275.89999999999998</v>
      </c>
      <c r="F229" s="321">
        <f>+'TABLA FINAL '!CH195</f>
        <v>276.60000000000002</v>
      </c>
      <c r="G229" s="321">
        <f>+'TABLA FINAL '!CI195</f>
        <v>277.5</v>
      </c>
      <c r="H229" s="321">
        <f>+'TABLA FINAL '!CJ195</f>
        <v>302.3</v>
      </c>
      <c r="I229" s="321">
        <f>+'TABLA FINAL '!CK195</f>
        <v>297.39999999999998</v>
      </c>
      <c r="J229" s="321">
        <f>+'TABLA FINAL '!CL195</f>
        <v>312.39999999999998</v>
      </c>
      <c r="K229" s="321">
        <f>+'TABLA FINAL '!CM195</f>
        <v>310.39999999999998</v>
      </c>
      <c r="L229" s="321">
        <f>+'TABLA FINAL '!CN195</f>
        <v>318.7</v>
      </c>
      <c r="M229" s="321">
        <f>+'TABLA FINAL '!CO195</f>
        <v>319.7</v>
      </c>
      <c r="N229" s="321">
        <f>+'TABLA FINAL '!CP195</f>
        <v>320.10000000000002</v>
      </c>
      <c r="O229" s="321">
        <f>+'TABLA FINAL '!CQ195</f>
        <v>320.2</v>
      </c>
      <c r="R229" s="1559"/>
      <c r="S229" s="1559"/>
    </row>
    <row r="230" spans="2:19" ht="16.5" hidden="1" thickBot="1">
      <c r="B230" s="132" t="s">
        <v>614</v>
      </c>
      <c r="D230" s="307">
        <f t="shared" ref="D230:O230" si="148">ROUND(100*D229/$C$182,2)</f>
        <v>295.06</v>
      </c>
      <c r="E230" s="307">
        <f t="shared" si="148"/>
        <v>296.02999999999997</v>
      </c>
      <c r="F230" s="307">
        <f t="shared" si="148"/>
        <v>296.77999999999997</v>
      </c>
      <c r="G230" s="307">
        <f t="shared" si="148"/>
        <v>297.75</v>
      </c>
      <c r="H230" s="307">
        <f t="shared" si="148"/>
        <v>324.36</v>
      </c>
      <c r="I230" s="307">
        <f t="shared" si="148"/>
        <v>319.10000000000002</v>
      </c>
      <c r="J230" s="307">
        <f t="shared" si="148"/>
        <v>335.19</v>
      </c>
      <c r="K230" s="307">
        <f t="shared" si="148"/>
        <v>333.05</v>
      </c>
      <c r="L230" s="307">
        <f t="shared" si="148"/>
        <v>341.95</v>
      </c>
      <c r="M230" s="307">
        <f t="shared" si="148"/>
        <v>343.03</v>
      </c>
      <c r="N230" s="307">
        <f t="shared" si="148"/>
        <v>343.45</v>
      </c>
      <c r="O230" s="307">
        <f t="shared" si="148"/>
        <v>343.56</v>
      </c>
      <c r="R230" s="1559"/>
      <c r="S230" s="1559"/>
    </row>
    <row r="231" spans="2:19" ht="16.5" hidden="1" thickBot="1">
      <c r="B231" s="132" t="s">
        <v>144</v>
      </c>
      <c r="D231" s="136">
        <f t="shared" ref="D231:O231" si="149">ROUND(+$I$175*D228+$I$176*D230,2)</f>
        <v>262.10000000000002</v>
      </c>
      <c r="E231" s="136">
        <f t="shared" si="149"/>
        <v>264.33</v>
      </c>
      <c r="F231" s="136">
        <f t="shared" si="149"/>
        <v>267.51</v>
      </c>
      <c r="G231" s="136">
        <f t="shared" si="149"/>
        <v>270.58</v>
      </c>
      <c r="H231" s="136">
        <f t="shared" si="149"/>
        <v>279.29000000000002</v>
      </c>
      <c r="I231" s="136">
        <f t="shared" si="149"/>
        <v>276.42</v>
      </c>
      <c r="J231" s="136">
        <f t="shared" si="149"/>
        <v>281.08999999999997</v>
      </c>
      <c r="K231" s="136">
        <f t="shared" si="149"/>
        <v>281.43</v>
      </c>
      <c r="L231" s="136">
        <f t="shared" si="149"/>
        <v>284.24</v>
      </c>
      <c r="M231" s="136">
        <f t="shared" si="149"/>
        <v>288.49</v>
      </c>
      <c r="N231" s="136">
        <f t="shared" si="149"/>
        <v>289.70999999999998</v>
      </c>
      <c r="O231" s="136">
        <f t="shared" si="149"/>
        <v>292.27999999999997</v>
      </c>
      <c r="R231" s="1559"/>
      <c r="S231" s="1559"/>
    </row>
    <row r="232" spans="2:19" ht="16.5" hidden="1" thickBot="1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R232" s="1559"/>
      <c r="S232" s="1559"/>
    </row>
    <row r="233" spans="2:19" ht="16.5" hidden="1" thickBot="1">
      <c r="D233" s="2682">
        <v>2009</v>
      </c>
      <c r="E233" s="2683"/>
      <c r="F233" s="2683"/>
      <c r="G233" s="2683"/>
      <c r="H233" s="2683"/>
      <c r="I233" s="2683"/>
      <c r="J233" s="2683"/>
      <c r="K233" s="2683"/>
      <c r="L233" s="2683"/>
      <c r="M233" s="2683"/>
      <c r="N233" s="2687"/>
      <c r="O233" s="2688"/>
      <c r="R233" s="1559"/>
      <c r="S233" s="1559"/>
    </row>
    <row r="234" spans="2:19" ht="16.5" hidden="1" thickBot="1">
      <c r="D234" s="449" t="s">
        <v>578</v>
      </c>
      <c r="E234" s="412" t="s">
        <v>579</v>
      </c>
      <c r="F234" s="412" t="s">
        <v>580</v>
      </c>
      <c r="G234" s="454" t="s">
        <v>581</v>
      </c>
      <c r="H234" s="454" t="s">
        <v>582</v>
      </c>
      <c r="I234" s="454" t="s">
        <v>583</v>
      </c>
      <c r="J234" s="454" t="s">
        <v>587</v>
      </c>
      <c r="K234" s="465" t="s">
        <v>588</v>
      </c>
      <c r="L234" s="419" t="s">
        <v>646</v>
      </c>
      <c r="M234" s="419" t="s">
        <v>590</v>
      </c>
      <c r="N234" s="419" t="s">
        <v>586</v>
      </c>
      <c r="O234" s="417" t="s">
        <v>577</v>
      </c>
      <c r="R234" s="1559"/>
      <c r="S234" s="1559"/>
    </row>
    <row r="235" spans="2:19" ht="6" hidden="1" customHeight="1">
      <c r="R235" s="1559"/>
      <c r="S235" s="1559"/>
    </row>
    <row r="236" spans="2:19" hidden="1">
      <c r="B236" s="121" t="s">
        <v>645</v>
      </c>
      <c r="C236" s="121"/>
      <c r="D236" s="321">
        <f t="shared" ref="D236:O236" si="150">+D71</f>
        <v>271.44</v>
      </c>
      <c r="E236" s="321">
        <f t="shared" si="150"/>
        <v>274.99</v>
      </c>
      <c r="F236" s="321">
        <f t="shared" si="150"/>
        <v>279.47000000000003</v>
      </c>
      <c r="G236" s="321">
        <f t="shared" si="150"/>
        <v>283.89</v>
      </c>
      <c r="H236" s="321">
        <f t="shared" si="150"/>
        <v>285.73</v>
      </c>
      <c r="I236" s="321">
        <f t="shared" si="150"/>
        <v>286.08999999999997</v>
      </c>
      <c r="J236" s="321">
        <f t="shared" si="150"/>
        <v>287.45</v>
      </c>
      <c r="K236" s="321">
        <f t="shared" si="150"/>
        <v>291.01</v>
      </c>
      <c r="L236" s="321">
        <f t="shared" si="150"/>
        <v>292.39</v>
      </c>
      <c r="M236" s="321">
        <f t="shared" si="150"/>
        <v>293.5</v>
      </c>
      <c r="N236" s="321">
        <f t="shared" si="150"/>
        <v>293.26</v>
      </c>
      <c r="O236" s="321">
        <f t="shared" si="150"/>
        <v>293.41000000000003</v>
      </c>
      <c r="R236" s="1559"/>
      <c r="S236" s="1559"/>
    </row>
    <row r="237" spans="2:19" hidden="1">
      <c r="B237" s="122" t="s">
        <v>613</v>
      </c>
      <c r="C237" s="122"/>
      <c r="D237" s="321">
        <f>'TABLA FINAL '!CR195</f>
        <v>322.5</v>
      </c>
      <c r="E237" s="321">
        <f>'TABLA FINAL '!CS195</f>
        <v>324.39999999999998</v>
      </c>
      <c r="F237" s="321">
        <f>'TABLA FINAL '!CT195</f>
        <v>324.2</v>
      </c>
      <c r="G237" s="321">
        <f>'TABLA FINAL '!CU195</f>
        <v>327.2</v>
      </c>
      <c r="H237" s="321">
        <f>'TABLA FINAL '!CV195</f>
        <v>329.9</v>
      </c>
      <c r="I237" s="321">
        <f>'TABLA FINAL '!CW195</f>
        <v>347.3</v>
      </c>
      <c r="J237" s="321">
        <f>'TABLA FINAL '!CX195</f>
        <v>351.2</v>
      </c>
      <c r="K237" s="321">
        <f>'TABLA FINAL '!CY195</f>
        <v>352</v>
      </c>
      <c r="L237" s="321">
        <f>'TABLA FINAL '!CZ195</f>
        <v>351.2</v>
      </c>
      <c r="M237" s="321">
        <f>'TABLA FINAL '!DA195</f>
        <v>367.5</v>
      </c>
      <c r="N237" s="321">
        <f>'TABLA FINAL '!DB195</f>
        <v>373.2</v>
      </c>
      <c r="O237" s="321">
        <f>'TABLA FINAL '!DC195</f>
        <v>374.6</v>
      </c>
      <c r="R237" s="1559"/>
      <c r="S237" s="1559"/>
    </row>
    <row r="238" spans="2:19" ht="16.5" hidden="1" thickBot="1">
      <c r="B238" s="132" t="s">
        <v>614</v>
      </c>
      <c r="D238" s="307">
        <f t="shared" ref="D238:O238" si="151">ROUND(100*D237/$C$182,2)</f>
        <v>346.03</v>
      </c>
      <c r="E238" s="307">
        <f t="shared" si="151"/>
        <v>348.07</v>
      </c>
      <c r="F238" s="307">
        <f t="shared" si="151"/>
        <v>347.85</v>
      </c>
      <c r="G238" s="307">
        <f t="shared" si="151"/>
        <v>351.07</v>
      </c>
      <c r="H238" s="307">
        <f t="shared" si="151"/>
        <v>353.97</v>
      </c>
      <c r="I238" s="307">
        <f t="shared" si="151"/>
        <v>372.64</v>
      </c>
      <c r="J238" s="307">
        <f t="shared" si="151"/>
        <v>376.82</v>
      </c>
      <c r="K238" s="307">
        <f t="shared" si="151"/>
        <v>377.68</v>
      </c>
      <c r="L238" s="307">
        <f t="shared" si="151"/>
        <v>376.82</v>
      </c>
      <c r="M238" s="307">
        <f t="shared" si="151"/>
        <v>394.31</v>
      </c>
      <c r="N238" s="307">
        <f t="shared" si="151"/>
        <v>400.43</v>
      </c>
      <c r="O238" s="307">
        <f t="shared" si="151"/>
        <v>401.93</v>
      </c>
      <c r="R238" s="1559"/>
      <c r="S238" s="1559"/>
    </row>
    <row r="239" spans="2:19" ht="16.5" hidden="1" thickBot="1">
      <c r="B239" s="132" t="s">
        <v>144</v>
      </c>
      <c r="D239" s="136">
        <f>ROUND(+$I$175*D236+$I$176*D238,2)</f>
        <v>293.82</v>
      </c>
      <c r="E239" s="136">
        <f>ROUND(+$I$175*E236+$I$176*E238,2)</f>
        <v>296.91000000000003</v>
      </c>
      <c r="F239" s="136">
        <f>ROUND(+$I$175*F236+$I$176*F238,2)</f>
        <v>299.98</v>
      </c>
      <c r="G239" s="136">
        <f>ROUND(+$I$175*G236+$I$176*G238,2)</f>
        <v>304.04000000000002</v>
      </c>
      <c r="H239" s="136">
        <f t="shared" ref="H239:O239" si="152">ROUND(+$I$175*H236+$I$176*H238,2)</f>
        <v>306.2</v>
      </c>
      <c r="I239" s="136">
        <f t="shared" si="152"/>
        <v>312.06</v>
      </c>
      <c r="J239" s="136">
        <f t="shared" si="152"/>
        <v>314.26</v>
      </c>
      <c r="K239" s="136">
        <f t="shared" si="152"/>
        <v>317.01</v>
      </c>
      <c r="L239" s="136">
        <f t="shared" si="152"/>
        <v>317.72000000000003</v>
      </c>
      <c r="M239" s="136">
        <f t="shared" si="152"/>
        <v>323.74</v>
      </c>
      <c r="N239" s="136">
        <f t="shared" si="152"/>
        <v>325.41000000000003</v>
      </c>
      <c r="O239" s="136">
        <f t="shared" si="152"/>
        <v>325.97000000000003</v>
      </c>
      <c r="R239" s="1559"/>
      <c r="S239" s="1559"/>
    </row>
    <row r="240" spans="2:19" ht="16.5" hidden="1" thickBot="1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R240" s="1559"/>
      <c r="S240" s="1559"/>
    </row>
    <row r="241" spans="2:19" ht="16.5" hidden="1" thickBot="1">
      <c r="D241" s="2682">
        <v>2010</v>
      </c>
      <c r="E241" s="2683"/>
      <c r="F241" s="2683"/>
      <c r="G241" s="2683"/>
      <c r="H241" s="2683"/>
      <c r="I241" s="2683"/>
      <c r="J241" s="2683"/>
      <c r="K241" s="2683"/>
      <c r="L241" s="2683"/>
      <c r="M241" s="2683"/>
      <c r="N241" s="2687"/>
      <c r="O241" s="2688"/>
      <c r="R241" s="1559"/>
      <c r="S241" s="1559"/>
    </row>
    <row r="242" spans="2:19" ht="16.5" hidden="1" thickBot="1">
      <c r="D242" s="449" t="s">
        <v>578</v>
      </c>
      <c r="E242" s="412" t="s">
        <v>579</v>
      </c>
      <c r="F242" s="412" t="s">
        <v>580</v>
      </c>
      <c r="G242" s="454" t="s">
        <v>581</v>
      </c>
      <c r="H242" s="454" t="s">
        <v>582</v>
      </c>
      <c r="I242" s="454" t="s">
        <v>583</v>
      </c>
      <c r="J242" s="454" t="s">
        <v>587</v>
      </c>
      <c r="K242" s="465" t="s">
        <v>588</v>
      </c>
      <c r="L242" s="419" t="s">
        <v>646</v>
      </c>
      <c r="M242" s="419" t="s">
        <v>590</v>
      </c>
      <c r="N242" s="419" t="s">
        <v>586</v>
      </c>
      <c r="O242" s="417" t="s">
        <v>577</v>
      </c>
      <c r="R242" s="1559"/>
      <c r="S242" s="1559"/>
    </row>
    <row r="243" spans="2:19" ht="6" hidden="1" customHeight="1">
      <c r="R243" s="1559"/>
      <c r="S243" s="1559"/>
    </row>
    <row r="244" spans="2:19" hidden="1">
      <c r="B244" s="121" t="s">
        <v>645</v>
      </c>
      <c r="C244" s="121"/>
      <c r="D244" s="321">
        <f t="shared" ref="D244:O244" si="153">+D78</f>
        <v>294.48</v>
      </c>
      <c r="E244" s="321">
        <f t="shared" si="153"/>
        <v>297.39999999999998</v>
      </c>
      <c r="F244" s="321">
        <f t="shared" si="153"/>
        <v>298.51</v>
      </c>
      <c r="G244" s="321">
        <f t="shared" si="153"/>
        <v>299.66000000000003</v>
      </c>
      <c r="H244" s="321">
        <f t="shared" si="153"/>
        <v>303.18</v>
      </c>
      <c r="I244" s="321">
        <f t="shared" si="153"/>
        <v>302.92</v>
      </c>
      <c r="J244" s="321">
        <f t="shared" si="153"/>
        <v>304.89999999999998</v>
      </c>
      <c r="K244" s="321">
        <f t="shared" si="153"/>
        <v>305.45999999999998</v>
      </c>
      <c r="L244" s="321">
        <f t="shared" si="153"/>
        <v>307.23</v>
      </c>
      <c r="M244" s="321">
        <f t="shared" si="153"/>
        <v>312.12</v>
      </c>
      <c r="N244" s="321">
        <f t="shared" si="153"/>
        <v>312.29000000000002</v>
      </c>
      <c r="O244" s="321">
        <f t="shared" si="153"/>
        <v>312.8</v>
      </c>
      <c r="R244" s="1559"/>
      <c r="S244" s="1559"/>
    </row>
    <row r="245" spans="2:19" hidden="1">
      <c r="B245" s="122" t="s">
        <v>613</v>
      </c>
      <c r="C245" s="122"/>
      <c r="D245" s="321">
        <f>+'TABLA FINAL '!DD195</f>
        <v>375.2</v>
      </c>
      <c r="E245" s="321">
        <f>+'TABLA FINAL '!DE195</f>
        <v>385.6</v>
      </c>
      <c r="F245" s="321">
        <f>+'TABLA FINAL '!DF195</f>
        <v>407.9</v>
      </c>
      <c r="G245" s="321">
        <f>+'TABLA FINAL '!DG195</f>
        <v>384.3</v>
      </c>
      <c r="H245" s="321">
        <f>+'TABLA FINAL '!DH195</f>
        <v>416.4</v>
      </c>
      <c r="I245" s="321">
        <f>+'TABLA FINAL '!DI195</f>
        <v>420.2</v>
      </c>
      <c r="J245" s="321">
        <f>+'TABLA FINAL '!DJ195</f>
        <v>428.4</v>
      </c>
      <c r="K245" s="321">
        <f>+'TABLA FINAL '!DK195</f>
        <v>440.5</v>
      </c>
      <c r="L245" s="321">
        <f>+'TABLA FINAL '!DL195</f>
        <v>445.4</v>
      </c>
      <c r="M245" s="321">
        <f>+'TABLA FINAL  NO'!DM200</f>
        <v>450.6</v>
      </c>
      <c r="N245" s="321">
        <f>+'TABLA FINAL  NO'!DN200</f>
        <v>453.1</v>
      </c>
      <c r="O245" s="321">
        <f>+'TABLA FINAL  NO'!DO200</f>
        <v>472.5</v>
      </c>
      <c r="R245" s="1559"/>
      <c r="S245" s="1559"/>
    </row>
    <row r="246" spans="2:19" ht="16.5" hidden="1" thickBot="1">
      <c r="B246" s="132" t="s">
        <v>614</v>
      </c>
      <c r="D246" s="307">
        <f t="shared" ref="D246:O246" si="154">ROUND(100*D245/$C$182,2)</f>
        <v>402.58</v>
      </c>
      <c r="E246" s="307">
        <f t="shared" si="154"/>
        <v>413.73</v>
      </c>
      <c r="F246" s="307">
        <f t="shared" si="154"/>
        <v>437.66</v>
      </c>
      <c r="G246" s="307">
        <f t="shared" si="154"/>
        <v>412.34</v>
      </c>
      <c r="H246" s="307">
        <f t="shared" si="154"/>
        <v>446.78</v>
      </c>
      <c r="I246" s="307">
        <f t="shared" si="154"/>
        <v>450.86</v>
      </c>
      <c r="J246" s="307">
        <f t="shared" si="154"/>
        <v>459.66</v>
      </c>
      <c r="K246" s="307">
        <f t="shared" si="154"/>
        <v>472.64</v>
      </c>
      <c r="L246" s="307">
        <f t="shared" si="154"/>
        <v>477.9</v>
      </c>
      <c r="M246" s="307">
        <f t="shared" si="154"/>
        <v>483.48</v>
      </c>
      <c r="N246" s="307">
        <f t="shared" si="154"/>
        <v>486.16</v>
      </c>
      <c r="O246" s="307">
        <f t="shared" si="154"/>
        <v>506.97</v>
      </c>
      <c r="R246" s="1559"/>
      <c r="S246" s="1559"/>
    </row>
    <row r="247" spans="2:19" ht="16.5" hidden="1" thickBot="1">
      <c r="B247" s="132" t="s">
        <v>144</v>
      </c>
      <c r="D247" s="136">
        <f t="shared" ref="D247:O247" si="155">ROUND(+$I$175*D244+$I$176*D246,2)</f>
        <v>326.91000000000003</v>
      </c>
      <c r="E247" s="136">
        <f t="shared" si="155"/>
        <v>332.3</v>
      </c>
      <c r="F247" s="136">
        <f t="shared" si="155"/>
        <v>340.26</v>
      </c>
      <c r="G247" s="136">
        <f t="shared" si="155"/>
        <v>333.46</v>
      </c>
      <c r="H247" s="136">
        <f t="shared" si="155"/>
        <v>346.26</v>
      </c>
      <c r="I247" s="136">
        <f t="shared" si="155"/>
        <v>347.3</v>
      </c>
      <c r="J247" s="136">
        <f t="shared" si="155"/>
        <v>351.33</v>
      </c>
      <c r="K247" s="136">
        <f t="shared" si="155"/>
        <v>355.61</v>
      </c>
      <c r="L247" s="136">
        <f t="shared" si="155"/>
        <v>358.43</v>
      </c>
      <c r="M247" s="136">
        <f t="shared" si="155"/>
        <v>363.53</v>
      </c>
      <c r="N247" s="136">
        <f t="shared" si="155"/>
        <v>364.45</v>
      </c>
      <c r="O247" s="136">
        <f t="shared" si="155"/>
        <v>371.05</v>
      </c>
      <c r="R247" s="1559"/>
      <c r="S247" s="1559"/>
    </row>
    <row r="248" spans="2:19" ht="16.5" hidden="1" thickBot="1">
      <c r="D248" s="2682">
        <v>2011</v>
      </c>
      <c r="E248" s="2683"/>
      <c r="F248" s="2683"/>
      <c r="G248" s="2683"/>
      <c r="H248" s="2683"/>
      <c r="I248" s="2683"/>
      <c r="J248" s="2683"/>
      <c r="K248" s="2683"/>
      <c r="L248" s="2683"/>
      <c r="M248" s="2683"/>
      <c r="N248" s="2687"/>
      <c r="O248" s="2688"/>
      <c r="R248" s="1559"/>
      <c r="S248" s="1559"/>
    </row>
    <row r="249" spans="2:19" ht="16.5" hidden="1" thickBot="1">
      <c r="D249" s="449" t="s">
        <v>578</v>
      </c>
      <c r="E249" s="412" t="s">
        <v>579</v>
      </c>
      <c r="F249" s="412" t="s">
        <v>580</v>
      </c>
      <c r="G249" s="454" t="s">
        <v>581</v>
      </c>
      <c r="H249" s="454" t="s">
        <v>582</v>
      </c>
      <c r="I249" s="454" t="s">
        <v>583</v>
      </c>
      <c r="J249" s="454" t="s">
        <v>587</v>
      </c>
      <c r="K249" s="465" t="s">
        <v>588</v>
      </c>
      <c r="L249" s="419" t="s">
        <v>646</v>
      </c>
      <c r="M249" s="419" t="s">
        <v>590</v>
      </c>
      <c r="N249" s="419" t="s">
        <v>586</v>
      </c>
      <c r="O249" s="417" t="s">
        <v>577</v>
      </c>
      <c r="R249" s="1559"/>
      <c r="S249" s="1559"/>
    </row>
    <row r="250" spans="2:19" ht="6" hidden="1" customHeight="1">
      <c r="R250" s="1559"/>
      <c r="S250" s="1559"/>
    </row>
    <row r="251" spans="2:19" hidden="1">
      <c r="B251" s="121" t="s">
        <v>645</v>
      </c>
      <c r="C251" s="121"/>
      <c r="D251" s="321">
        <f t="shared" ref="D251:O251" si="156">+D85</f>
        <v>314.74</v>
      </c>
      <c r="E251" s="321">
        <f t="shared" si="156"/>
        <v>316.7</v>
      </c>
      <c r="F251" s="321">
        <f t="shared" si="156"/>
        <v>316.02</v>
      </c>
      <c r="G251" s="321">
        <f t="shared" si="156"/>
        <v>319.25</v>
      </c>
      <c r="H251" s="321">
        <f t="shared" si="156"/>
        <v>320.07</v>
      </c>
      <c r="I251" s="321">
        <f t="shared" si="156"/>
        <v>322.97000000000003</v>
      </c>
      <c r="J251" s="321">
        <f t="shared" si="156"/>
        <v>326.48</v>
      </c>
      <c r="K251" s="321">
        <f t="shared" si="156"/>
        <v>328.32</v>
      </c>
      <c r="L251" s="321">
        <f t="shared" si="156"/>
        <v>329.63</v>
      </c>
      <c r="M251" s="321">
        <f t="shared" si="156"/>
        <v>330.69</v>
      </c>
      <c r="N251" s="321">
        <f t="shared" si="156"/>
        <v>330.62</v>
      </c>
      <c r="O251" s="982">
        <f t="shared" si="156"/>
        <v>334.4</v>
      </c>
      <c r="R251" s="1559"/>
      <c r="S251" s="1559"/>
    </row>
    <row r="252" spans="2:19" hidden="1">
      <c r="B252" s="122" t="s">
        <v>613</v>
      </c>
      <c r="C252" s="122"/>
      <c r="D252" s="321">
        <f>+'TABLA FINAL  NO'!DP200</f>
        <v>503.1</v>
      </c>
      <c r="E252" s="321">
        <f>+'TABLA FINAL  NO'!DQ200</f>
        <v>512.9</v>
      </c>
      <c r="F252" s="321">
        <f>+'TABLA FINAL  NO'!DR200</f>
        <v>518.6</v>
      </c>
      <c r="G252" s="321">
        <f>+'TABLA FINAL  NO'!DS200</f>
        <v>526.4</v>
      </c>
      <c r="H252" s="321">
        <f>+'TABLA FINAL  NO'!DT200</f>
        <v>528.20000000000005</v>
      </c>
      <c r="I252" s="321">
        <f>+'TABLA FINAL  NO'!DU200</f>
        <v>521.79999999999995</v>
      </c>
      <c r="J252" s="321">
        <f>+'TABLA FINAL  NO'!DV200</f>
        <v>532.29999999999995</v>
      </c>
      <c r="K252" s="321">
        <f>+'TABLA FINAL  NO'!DW200</f>
        <v>547.29999999999995</v>
      </c>
      <c r="L252" s="321">
        <f>+'TABLA FINAL  NO'!DX200</f>
        <v>555.29999999999995</v>
      </c>
      <c r="M252" s="321">
        <f>+'TABLA FINAL  NO'!DY200</f>
        <v>567.4</v>
      </c>
      <c r="N252" s="321">
        <f>+'TABLA FINAL  NO'!DZ200</f>
        <v>585.29999999999995</v>
      </c>
      <c r="O252" s="982">
        <f>+'TABLA FINAL  NO'!EA200</f>
        <v>589.6</v>
      </c>
      <c r="R252" s="1559"/>
      <c r="S252" s="1559"/>
    </row>
    <row r="253" spans="2:19" ht="16.5" hidden="1" thickBot="1">
      <c r="B253" s="132" t="s">
        <v>614</v>
      </c>
      <c r="D253" s="307">
        <f t="shared" ref="D253:O253" si="157">ROUND(100*D252/$C$182,2)</f>
        <v>539.80999999999995</v>
      </c>
      <c r="E253" s="307">
        <f t="shared" si="157"/>
        <v>550.32000000000005</v>
      </c>
      <c r="F253" s="307">
        <f t="shared" si="157"/>
        <v>556.44000000000005</v>
      </c>
      <c r="G253" s="307">
        <f t="shared" si="157"/>
        <v>564.80999999999995</v>
      </c>
      <c r="H253" s="307">
        <f t="shared" si="157"/>
        <v>566.74</v>
      </c>
      <c r="I253" s="307">
        <f t="shared" si="157"/>
        <v>559.87</v>
      </c>
      <c r="J253" s="307">
        <f t="shared" si="157"/>
        <v>571.14</v>
      </c>
      <c r="K253" s="307">
        <f t="shared" si="157"/>
        <v>587.23</v>
      </c>
      <c r="L253" s="307">
        <f t="shared" si="157"/>
        <v>595.82000000000005</v>
      </c>
      <c r="M253" s="307">
        <f t="shared" si="157"/>
        <v>608.79999999999995</v>
      </c>
      <c r="N253" s="307">
        <f t="shared" si="157"/>
        <v>628</v>
      </c>
      <c r="O253" s="332">
        <f t="shared" si="157"/>
        <v>632.62</v>
      </c>
      <c r="R253" s="1559"/>
      <c r="S253" s="1559"/>
    </row>
    <row r="254" spans="2:19" ht="5.25" hidden="1" customHeight="1" thickBot="1">
      <c r="B254" s="132" t="s">
        <v>144</v>
      </c>
      <c r="D254" s="136">
        <f t="shared" ref="D254:O254" si="158">ROUND(+$I$175*D251+$I$176*D253,2)</f>
        <v>382.26</v>
      </c>
      <c r="E254" s="136">
        <f t="shared" si="158"/>
        <v>386.79</v>
      </c>
      <c r="F254" s="136">
        <f t="shared" si="158"/>
        <v>388.15</v>
      </c>
      <c r="G254" s="136">
        <f t="shared" si="158"/>
        <v>392.92</v>
      </c>
      <c r="H254" s="136">
        <f t="shared" si="158"/>
        <v>394.07</v>
      </c>
      <c r="I254" s="136">
        <f t="shared" si="158"/>
        <v>394.04</v>
      </c>
      <c r="J254" s="136">
        <f t="shared" si="158"/>
        <v>399.88</v>
      </c>
      <c r="K254" s="136">
        <f t="shared" si="158"/>
        <v>405.99</v>
      </c>
      <c r="L254" s="136">
        <f t="shared" si="158"/>
        <v>409.49</v>
      </c>
      <c r="M254" s="136">
        <f t="shared" si="158"/>
        <v>414.12</v>
      </c>
      <c r="N254" s="136">
        <f t="shared" si="158"/>
        <v>419.83</v>
      </c>
      <c r="O254" s="136">
        <f t="shared" si="158"/>
        <v>423.87</v>
      </c>
      <c r="R254" s="1559"/>
      <c r="S254" s="1559"/>
    </row>
    <row r="255" spans="2:19" ht="9.75" hidden="1" customHeight="1" thickBot="1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R255" s="1559"/>
      <c r="S255" s="1559"/>
    </row>
    <row r="256" spans="2:19" ht="16.5" hidden="1" thickBot="1">
      <c r="D256" s="2682">
        <v>2012</v>
      </c>
      <c r="E256" s="2683"/>
      <c r="F256" s="2683"/>
      <c r="G256" s="2683"/>
      <c r="H256" s="2683"/>
      <c r="I256" s="2683"/>
      <c r="J256" s="2683"/>
      <c r="K256" s="2683"/>
      <c r="L256" s="2683"/>
      <c r="M256" s="2683"/>
      <c r="N256" s="2687"/>
      <c r="O256" s="2688"/>
      <c r="R256" s="1559"/>
      <c r="S256" s="1559"/>
    </row>
    <row r="257" spans="2:19" ht="16.5" hidden="1" thickBot="1">
      <c r="D257" s="449" t="s">
        <v>578</v>
      </c>
      <c r="E257" s="412" t="s">
        <v>579</v>
      </c>
      <c r="F257" s="412" t="s">
        <v>580</v>
      </c>
      <c r="G257" s="454" t="s">
        <v>581</v>
      </c>
      <c r="H257" s="454" t="s">
        <v>582</v>
      </c>
      <c r="I257" s="454" t="s">
        <v>583</v>
      </c>
      <c r="J257" s="454" t="s">
        <v>587</v>
      </c>
      <c r="K257" s="465" t="s">
        <v>588</v>
      </c>
      <c r="L257" s="419" t="s">
        <v>646</v>
      </c>
      <c r="M257" s="419" t="s">
        <v>590</v>
      </c>
      <c r="N257" s="419" t="s">
        <v>586</v>
      </c>
      <c r="O257" s="417" t="s">
        <v>577</v>
      </c>
      <c r="R257" s="1559"/>
      <c r="S257" s="1559"/>
    </row>
    <row r="258" spans="2:19" ht="6" hidden="1" customHeight="1">
      <c r="D258" s="366"/>
      <c r="E258" s="430"/>
      <c r="F258" s="430"/>
      <c r="G258" s="430"/>
      <c r="H258" s="430"/>
      <c r="I258" s="430"/>
      <c r="J258" s="430"/>
      <c r="K258" s="430"/>
      <c r="L258" s="430"/>
      <c r="M258" s="430"/>
      <c r="N258" s="430"/>
      <c r="O258" s="1481"/>
      <c r="R258" s="1559"/>
      <c r="S258" s="1559"/>
    </row>
    <row r="259" spans="2:19" hidden="1">
      <c r="B259" s="121" t="s">
        <v>645</v>
      </c>
      <c r="C259" s="121"/>
      <c r="D259" s="321">
        <f t="shared" ref="D259:O259" si="159">D92</f>
        <v>335.97</v>
      </c>
      <c r="E259" s="321">
        <f t="shared" si="159"/>
        <v>336.71</v>
      </c>
      <c r="F259" s="321">
        <f t="shared" si="159"/>
        <v>342.98</v>
      </c>
      <c r="G259" s="321">
        <f t="shared" si="159"/>
        <v>346.28</v>
      </c>
      <c r="H259" s="321">
        <f t="shared" si="159"/>
        <v>348.05</v>
      </c>
      <c r="I259" s="321">
        <f t="shared" si="159"/>
        <v>350.33</v>
      </c>
      <c r="J259" s="321">
        <f t="shared" si="159"/>
        <v>356.44</v>
      </c>
      <c r="K259" s="321">
        <f t="shared" si="159"/>
        <v>359.35</v>
      </c>
      <c r="L259" s="321">
        <f t="shared" si="159"/>
        <v>362.62</v>
      </c>
      <c r="M259" s="321">
        <f t="shared" si="159"/>
        <v>364.52</v>
      </c>
      <c r="N259" s="321">
        <f t="shared" si="159"/>
        <v>367.04</v>
      </c>
      <c r="O259" s="982">
        <f t="shared" si="159"/>
        <v>369.1</v>
      </c>
      <c r="R259" s="1559"/>
      <c r="S259" s="1559"/>
    </row>
    <row r="260" spans="2:19" hidden="1">
      <c r="B260" s="122" t="s">
        <v>613</v>
      </c>
      <c r="C260" s="122"/>
      <c r="D260" s="321">
        <f>'TABLA FINAL  NO'!EB200</f>
        <v>631</v>
      </c>
      <c r="E260" s="321">
        <f>'TABLA FINAL  NO'!EC200</f>
        <v>635.4</v>
      </c>
      <c r="F260" s="321">
        <f>'TABLA FINAL  NO'!ED200</f>
        <v>639.9</v>
      </c>
      <c r="G260" s="321">
        <f>'TABLA FINAL  NO'!EE200</f>
        <v>643.20000000000005</v>
      </c>
      <c r="H260" s="321">
        <f>'TABLA FINAL  NO'!EF200</f>
        <v>595</v>
      </c>
      <c r="I260" s="321">
        <f>'TABLA FINAL  NO'!EG200</f>
        <v>595</v>
      </c>
      <c r="J260" s="321">
        <f>'TABLA FINAL  NO'!EH200</f>
        <v>748.4</v>
      </c>
      <c r="K260" s="321">
        <f>'TABLA FINAL  NO'!EI200</f>
        <v>759.7</v>
      </c>
      <c r="L260" s="321">
        <f>'TABLA FINAL  NO'!EJ200</f>
        <v>760.3</v>
      </c>
      <c r="M260" s="321">
        <f>'TABLA FINAL  NO'!EK200</f>
        <v>760.2</v>
      </c>
      <c r="N260" s="321">
        <f>'TABLA FINAL  NO'!EL200</f>
        <v>782.4</v>
      </c>
      <c r="O260" s="982">
        <f>'TABLA FINAL  NO'!EM200</f>
        <v>779.5</v>
      </c>
      <c r="R260" s="1559"/>
      <c r="S260" s="1559"/>
    </row>
    <row r="261" spans="2:19" ht="16.5" hidden="1" thickBot="1">
      <c r="B261" s="132" t="s">
        <v>614</v>
      </c>
      <c r="D261" s="307">
        <f t="shared" ref="D261:O261" si="160">ROUND(100*D260/$C$182,2)</f>
        <v>677.04</v>
      </c>
      <c r="E261" s="307">
        <f t="shared" si="160"/>
        <v>681.76</v>
      </c>
      <c r="F261" s="307">
        <f t="shared" si="160"/>
        <v>686.59</v>
      </c>
      <c r="G261" s="307">
        <f t="shared" si="160"/>
        <v>690.13</v>
      </c>
      <c r="H261" s="307">
        <f t="shared" si="160"/>
        <v>638.41</v>
      </c>
      <c r="I261" s="307">
        <f t="shared" si="160"/>
        <v>638.41</v>
      </c>
      <c r="J261" s="307">
        <f t="shared" si="160"/>
        <v>803</v>
      </c>
      <c r="K261" s="307">
        <f t="shared" si="160"/>
        <v>815.13</v>
      </c>
      <c r="L261" s="307">
        <f t="shared" si="160"/>
        <v>815.77</v>
      </c>
      <c r="M261" s="307">
        <f t="shared" si="160"/>
        <v>815.67</v>
      </c>
      <c r="N261" s="307">
        <f t="shared" si="160"/>
        <v>839.48</v>
      </c>
      <c r="O261" s="332">
        <f t="shared" si="160"/>
        <v>836.37</v>
      </c>
      <c r="R261" s="1559"/>
      <c r="S261" s="1559"/>
    </row>
    <row r="262" spans="2:19" ht="16.5" hidden="1" thickBot="1">
      <c r="B262" s="132" t="s">
        <v>144</v>
      </c>
      <c r="D262" s="136">
        <f t="shared" ref="D262:O262" si="161">ROUND(+$I$175*D259+$I$176*D261,2)</f>
        <v>438.29</v>
      </c>
      <c r="E262" s="136">
        <f t="shared" si="161"/>
        <v>440.23</v>
      </c>
      <c r="F262" s="136">
        <f t="shared" si="161"/>
        <v>446.06</v>
      </c>
      <c r="G262" s="136">
        <f t="shared" si="161"/>
        <v>449.44</v>
      </c>
      <c r="H262" s="136">
        <f t="shared" si="161"/>
        <v>435.16</v>
      </c>
      <c r="I262" s="136">
        <f t="shared" si="161"/>
        <v>436.75</v>
      </c>
      <c r="J262" s="136">
        <f t="shared" si="161"/>
        <v>490.41</v>
      </c>
      <c r="K262" s="136">
        <f t="shared" si="161"/>
        <v>496.08</v>
      </c>
      <c r="L262" s="136">
        <f t="shared" si="161"/>
        <v>498.57</v>
      </c>
      <c r="M262" s="136">
        <f t="shared" si="161"/>
        <v>499.87</v>
      </c>
      <c r="N262" s="136">
        <f t="shared" si="161"/>
        <v>508.77</v>
      </c>
      <c r="O262" s="136">
        <f t="shared" si="161"/>
        <v>509.28</v>
      </c>
      <c r="R262" s="1559"/>
      <c r="S262" s="1559"/>
    </row>
    <row r="263" spans="2:19" ht="9.9499999999999993" hidden="1" customHeight="1" thickBot="1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R263" s="1559"/>
      <c r="S263" s="1559"/>
    </row>
    <row r="264" spans="2:19" ht="16.5" hidden="1" thickBot="1">
      <c r="D264" s="2682">
        <v>2013</v>
      </c>
      <c r="E264" s="2683"/>
      <c r="F264" s="2683"/>
      <c r="G264" s="2683"/>
      <c r="H264" s="2683"/>
      <c r="I264" s="2683"/>
      <c r="J264" s="2683"/>
      <c r="K264" s="2683"/>
      <c r="L264" s="2683"/>
      <c r="M264" s="2683"/>
      <c r="N264" s="2687"/>
      <c r="O264" s="2688"/>
      <c r="R264" s="1559"/>
      <c r="S264" s="1559"/>
    </row>
    <row r="265" spans="2:19" ht="16.5" hidden="1" thickBot="1">
      <c r="D265" s="449" t="s">
        <v>578</v>
      </c>
      <c r="E265" s="412" t="s">
        <v>579</v>
      </c>
      <c r="F265" s="412" t="s">
        <v>580</v>
      </c>
      <c r="G265" s="454" t="s">
        <v>581</v>
      </c>
      <c r="H265" s="454" t="s">
        <v>582</v>
      </c>
      <c r="I265" s="454" t="s">
        <v>583</v>
      </c>
      <c r="J265" s="454" t="s">
        <v>587</v>
      </c>
      <c r="K265" s="465" t="s">
        <v>588</v>
      </c>
      <c r="L265" s="419" t="s">
        <v>646</v>
      </c>
      <c r="M265" s="419" t="s">
        <v>590</v>
      </c>
      <c r="N265" s="419" t="s">
        <v>586</v>
      </c>
      <c r="O265" s="417" t="s">
        <v>577</v>
      </c>
      <c r="R265" s="1559"/>
      <c r="S265" s="1559"/>
    </row>
    <row r="266" spans="2:19" ht="6" hidden="1" customHeight="1">
      <c r="D266" s="366"/>
      <c r="E266" s="430"/>
      <c r="F266" s="430"/>
      <c r="G266" s="430"/>
      <c r="H266" s="430"/>
      <c r="I266" s="430"/>
      <c r="J266" s="430"/>
      <c r="K266" s="430"/>
      <c r="L266" s="430"/>
      <c r="M266" s="430"/>
      <c r="N266" s="430"/>
      <c r="O266" s="1481"/>
      <c r="R266" s="1559"/>
      <c r="S266" s="1559"/>
    </row>
    <row r="267" spans="2:19" hidden="1">
      <c r="B267" s="121" t="s">
        <v>645</v>
      </c>
      <c r="C267" s="121"/>
      <c r="D267" s="1151">
        <f t="shared" ref="D267:O267" si="162">+D99</f>
        <v>373.71</v>
      </c>
      <c r="E267" s="321">
        <f t="shared" si="162"/>
        <v>377.44</v>
      </c>
      <c r="F267" s="321">
        <f t="shared" si="162"/>
        <v>380.57</v>
      </c>
      <c r="G267" s="321">
        <f t="shared" si="162"/>
        <v>385.81</v>
      </c>
      <c r="H267" s="321">
        <f t="shared" si="162"/>
        <v>390.47</v>
      </c>
      <c r="I267" s="321">
        <f t="shared" si="162"/>
        <v>393.54</v>
      </c>
      <c r="J267" s="321">
        <f t="shared" si="162"/>
        <v>396.16</v>
      </c>
      <c r="K267" s="321">
        <f t="shared" si="162"/>
        <v>399.84</v>
      </c>
      <c r="L267" s="321">
        <f t="shared" si="162"/>
        <v>403.77</v>
      </c>
      <c r="M267" s="321">
        <f t="shared" si="162"/>
        <v>405.46</v>
      </c>
      <c r="N267" s="321">
        <f t="shared" si="162"/>
        <v>408.27</v>
      </c>
      <c r="O267" s="982">
        <f t="shared" si="162"/>
        <v>417.76</v>
      </c>
      <c r="R267" s="1559"/>
      <c r="S267" s="1559"/>
    </row>
    <row r="268" spans="2:19" hidden="1">
      <c r="B268" s="122" t="s">
        <v>613</v>
      </c>
      <c r="C268" s="122"/>
      <c r="D268" s="1151">
        <f>+'TABLA FINAL  NO'!EN200</f>
        <v>780.4</v>
      </c>
      <c r="E268" s="321">
        <f>+'TABLA FINAL  NO'!EO200</f>
        <v>782</v>
      </c>
      <c r="F268" s="321">
        <f>+'TABLA FINAL  NO'!EP200</f>
        <v>793.2</v>
      </c>
      <c r="G268" s="321">
        <f>+'TABLA FINAL  NO'!EQ200</f>
        <v>822.5</v>
      </c>
      <c r="H268" s="321">
        <f>+'TABLA FINAL  NO'!ER200</f>
        <v>820.2</v>
      </c>
      <c r="I268" s="321">
        <f>+'TABLA FINAL  NO'!ES200</f>
        <v>914.7</v>
      </c>
      <c r="J268" s="321">
        <f>+'TABLA FINAL  NO'!ET200</f>
        <v>909.7</v>
      </c>
      <c r="K268" s="321">
        <f>+'TABLA FINAL  NO'!EU200</f>
        <v>915</v>
      </c>
      <c r="L268" s="321">
        <f>+'TABLA FINAL  NO'!EV200</f>
        <v>960</v>
      </c>
      <c r="M268" s="321">
        <f>+'TABLA FINAL  NO'!EW200</f>
        <v>961.2</v>
      </c>
      <c r="N268" s="321">
        <f>+'TABLA FINAL  NO'!EX200</f>
        <v>960.9</v>
      </c>
      <c r="O268" s="982">
        <f>+'TABLA FINAL  NO'!EY200</f>
        <v>963.7</v>
      </c>
      <c r="R268" s="1559"/>
      <c r="S268" s="1559"/>
    </row>
    <row r="269" spans="2:19" ht="16.5" hidden="1" thickBot="1">
      <c r="B269" s="132" t="s">
        <v>614</v>
      </c>
      <c r="D269" s="687">
        <f>ROUND(100*D268/$C$182,2)</f>
        <v>837.34</v>
      </c>
      <c r="E269" s="470">
        <f t="shared" ref="E269:O269" si="163">ROUND(100*E268/$C$182,2)</f>
        <v>839.06</v>
      </c>
      <c r="F269" s="470">
        <f t="shared" si="163"/>
        <v>851.07</v>
      </c>
      <c r="G269" s="470">
        <f t="shared" si="163"/>
        <v>882.51</v>
      </c>
      <c r="H269" s="470">
        <f t="shared" si="163"/>
        <v>880.04</v>
      </c>
      <c r="I269" s="470">
        <f t="shared" si="163"/>
        <v>981.44</v>
      </c>
      <c r="J269" s="470">
        <f t="shared" si="163"/>
        <v>976.07</v>
      </c>
      <c r="K269" s="470">
        <f t="shared" si="163"/>
        <v>981.76</v>
      </c>
      <c r="L269" s="470">
        <f t="shared" si="163"/>
        <v>1030.04</v>
      </c>
      <c r="M269" s="470">
        <f t="shared" si="163"/>
        <v>1031.33</v>
      </c>
      <c r="N269" s="470">
        <f t="shared" si="163"/>
        <v>1031.01</v>
      </c>
      <c r="O269" s="478">
        <f t="shared" si="163"/>
        <v>1034.01</v>
      </c>
      <c r="R269" s="1559"/>
      <c r="S269" s="1559"/>
    </row>
    <row r="270" spans="2:19" ht="16.5" hidden="1" thickBot="1">
      <c r="B270" s="132" t="s">
        <v>144</v>
      </c>
      <c r="D270" s="136">
        <f t="shared" ref="D270:O270" si="164">ROUND(+$I$175*D267+$I$176*D269,2)</f>
        <v>512.79999999999995</v>
      </c>
      <c r="E270" s="136">
        <f t="shared" si="164"/>
        <v>515.92999999999995</v>
      </c>
      <c r="F270" s="136">
        <f t="shared" si="164"/>
        <v>521.72</v>
      </c>
      <c r="G270" s="136">
        <f t="shared" si="164"/>
        <v>534.82000000000005</v>
      </c>
      <c r="H270" s="136">
        <f t="shared" si="164"/>
        <v>537.34</v>
      </c>
      <c r="I270" s="136">
        <f t="shared" si="164"/>
        <v>569.91</v>
      </c>
      <c r="J270" s="136">
        <f t="shared" si="164"/>
        <v>570.13</v>
      </c>
      <c r="K270" s="136">
        <f t="shared" si="164"/>
        <v>574.41999999999996</v>
      </c>
      <c r="L270" s="136">
        <f t="shared" si="164"/>
        <v>591.65</v>
      </c>
      <c r="M270" s="136">
        <f t="shared" si="164"/>
        <v>593.22</v>
      </c>
      <c r="N270" s="136">
        <f t="shared" si="164"/>
        <v>595.09</v>
      </c>
      <c r="O270" s="136">
        <f t="shared" si="164"/>
        <v>602.64</v>
      </c>
      <c r="R270" s="1559"/>
      <c r="S270" s="1559"/>
    </row>
    <row r="271" spans="2:19" ht="9" hidden="1" customHeight="1" thickBot="1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R271" s="1559"/>
      <c r="S271" s="1559"/>
    </row>
    <row r="272" spans="2:19" ht="16.5" hidden="1" thickBot="1">
      <c r="D272" s="2682">
        <v>2014</v>
      </c>
      <c r="E272" s="2683"/>
      <c r="F272" s="2683"/>
      <c r="G272" s="2683"/>
      <c r="H272" s="2683"/>
      <c r="I272" s="2683"/>
      <c r="J272" s="2683"/>
      <c r="K272" s="2683"/>
      <c r="L272" s="2683"/>
      <c r="M272" s="2683"/>
      <c r="N272" s="2687"/>
      <c r="O272" s="2688"/>
      <c r="R272" s="1559"/>
      <c r="S272" s="1559"/>
    </row>
    <row r="273" spans="2:24" ht="16.5" hidden="1" thickBot="1">
      <c r="D273" s="449" t="s">
        <v>578</v>
      </c>
      <c r="E273" s="412" t="s">
        <v>579</v>
      </c>
      <c r="F273" s="412" t="s">
        <v>580</v>
      </c>
      <c r="G273" s="454" t="s">
        <v>581</v>
      </c>
      <c r="H273" s="454" t="s">
        <v>582</v>
      </c>
      <c r="I273" s="454" t="s">
        <v>583</v>
      </c>
      <c r="J273" s="454" t="s">
        <v>587</v>
      </c>
      <c r="K273" s="465" t="s">
        <v>588</v>
      </c>
      <c r="L273" s="419" t="s">
        <v>646</v>
      </c>
      <c r="M273" s="419" t="s">
        <v>590</v>
      </c>
      <c r="N273" s="419" t="s">
        <v>586</v>
      </c>
      <c r="O273" s="417" t="s">
        <v>577</v>
      </c>
      <c r="R273" s="1559"/>
      <c r="S273" s="1559"/>
    </row>
    <row r="274" spans="2:24" ht="6" hidden="1" customHeight="1">
      <c r="D274" s="435"/>
      <c r="O274" s="1356"/>
      <c r="R274" s="1559"/>
      <c r="S274" s="1559"/>
    </row>
    <row r="275" spans="2:24" hidden="1">
      <c r="B275" s="121" t="s">
        <v>645</v>
      </c>
      <c r="D275" s="826">
        <f t="shared" ref="D275:O275" si="165">+D106</f>
        <v>429.35</v>
      </c>
      <c r="E275" s="283">
        <f t="shared" si="165"/>
        <v>462.13</v>
      </c>
      <c r="F275" s="283">
        <f t="shared" si="165"/>
        <v>471.88</v>
      </c>
      <c r="G275" s="283">
        <f t="shared" si="165"/>
        <v>475.42</v>
      </c>
      <c r="H275" s="283">
        <f t="shared" si="165"/>
        <v>478.02</v>
      </c>
      <c r="I275" s="283">
        <f t="shared" si="165"/>
        <v>481.5</v>
      </c>
      <c r="J275" s="283">
        <f t="shared" si="165"/>
        <v>480.13</v>
      </c>
      <c r="K275" s="283">
        <f t="shared" si="165"/>
        <v>497.03</v>
      </c>
      <c r="L275" s="283">
        <f t="shared" si="165"/>
        <v>502.59</v>
      </c>
      <c r="M275" s="283">
        <f t="shared" si="165"/>
        <v>507.98</v>
      </c>
      <c r="N275" s="283">
        <f t="shared" si="165"/>
        <v>514.42999999999995</v>
      </c>
      <c r="O275" s="329">
        <f t="shared" si="165"/>
        <v>515.37</v>
      </c>
      <c r="R275" s="1559"/>
      <c r="S275" s="1559"/>
    </row>
    <row r="276" spans="2:24" hidden="1">
      <c r="B276" s="122" t="s">
        <v>613</v>
      </c>
      <c r="D276" s="992">
        <f>'TABLA FINAL  NO'!EZ200</f>
        <v>965.5</v>
      </c>
      <c r="E276" s="321">
        <f>'TABLA FINAL  NO'!FA200</f>
        <v>970.1</v>
      </c>
      <c r="F276" s="321">
        <f>'TABLA FINAL  NO'!FB200</f>
        <v>970.6</v>
      </c>
      <c r="G276" s="321">
        <f>'TABLA FINAL  NO'!FC200</f>
        <v>1084.7</v>
      </c>
      <c r="H276" s="321">
        <f>'TABLA FINAL  NO'!FD200</f>
        <v>1112.2</v>
      </c>
      <c r="I276" s="321">
        <f>'TABLA FINAL  NO'!FE200</f>
        <v>1111.8</v>
      </c>
      <c r="J276" s="321">
        <f>'TABLA FINAL  NO'!FF200</f>
        <v>1192.4000000000001</v>
      </c>
      <c r="K276" s="321">
        <f>'TABLA FINAL  NO'!FG200</f>
        <v>1224.8</v>
      </c>
      <c r="L276" s="321">
        <f>'TABLA FINAL  NO'!FH200</f>
        <v>1231.9000000000001</v>
      </c>
      <c r="M276" s="321">
        <f>'TABLA FINAL  NO'!FI200</f>
        <v>1238.4000000000001</v>
      </c>
      <c r="N276" s="321">
        <f>'TABLA FINAL  NO'!FJ200</f>
        <v>1237.0999999999999</v>
      </c>
      <c r="O276" s="982">
        <f>'TABLA FINAL  NO'!FK200</f>
        <v>1252.2</v>
      </c>
      <c r="R276" s="1559"/>
      <c r="S276" s="1559"/>
    </row>
    <row r="277" spans="2:24" ht="16.5" hidden="1" thickBot="1">
      <c r="B277" s="132" t="s">
        <v>614</v>
      </c>
      <c r="D277" s="514">
        <f t="shared" ref="D277:K277" si="166">ROUND(100*D276/$C$182,2)</f>
        <v>1035.94</v>
      </c>
      <c r="E277" s="470">
        <f t="shared" si="166"/>
        <v>1040.8800000000001</v>
      </c>
      <c r="F277" s="470">
        <f t="shared" si="166"/>
        <v>1041.42</v>
      </c>
      <c r="G277" s="470">
        <f t="shared" si="166"/>
        <v>1163.8399999999999</v>
      </c>
      <c r="H277" s="470">
        <f t="shared" si="166"/>
        <v>1193.3499999999999</v>
      </c>
      <c r="I277" s="470">
        <f t="shared" si="166"/>
        <v>1192.92</v>
      </c>
      <c r="J277" s="470">
        <f t="shared" si="166"/>
        <v>1279.4000000000001</v>
      </c>
      <c r="K277" s="470">
        <f t="shared" si="166"/>
        <v>1314.16</v>
      </c>
      <c r="L277" s="470">
        <f>ROUND(100*L276/$C$182,2)</f>
        <v>1321.78</v>
      </c>
      <c r="M277" s="470">
        <f>ROUND(100*M276/$C$182,2)</f>
        <v>1328.76</v>
      </c>
      <c r="N277" s="470">
        <f>ROUND(100*N276/$C$182,2)</f>
        <v>1327.36</v>
      </c>
      <c r="O277" s="478">
        <f>ROUND(100*O276/$C$182,2)</f>
        <v>1343.56</v>
      </c>
      <c r="R277" s="1559"/>
      <c r="S277" s="1559"/>
    </row>
    <row r="278" spans="2:24" ht="16.5" hidden="1" thickBot="1">
      <c r="B278" s="132" t="s">
        <v>144</v>
      </c>
      <c r="D278" s="813">
        <f t="shared" ref="D278:K278" si="167">ROUND(+$I$175*D275+$I$176*D277,2)</f>
        <v>611.33000000000004</v>
      </c>
      <c r="E278" s="338">
        <f t="shared" si="167"/>
        <v>635.76</v>
      </c>
      <c r="F278" s="338">
        <f t="shared" si="167"/>
        <v>642.74</v>
      </c>
      <c r="G278" s="338">
        <f t="shared" si="167"/>
        <v>681.95</v>
      </c>
      <c r="H278" s="338">
        <f t="shared" si="167"/>
        <v>692.62</v>
      </c>
      <c r="I278" s="338">
        <f t="shared" si="167"/>
        <v>694.93</v>
      </c>
      <c r="J278" s="338">
        <f t="shared" si="167"/>
        <v>719.91</v>
      </c>
      <c r="K278" s="338">
        <f t="shared" si="167"/>
        <v>742.17</v>
      </c>
      <c r="L278" s="338">
        <f>ROUND(+$I$175*L275+$I$176*L277,2)</f>
        <v>748.35</v>
      </c>
      <c r="M278" s="338">
        <f>ROUND(+$I$175*M275+$I$176*M277,2)</f>
        <v>754.21</v>
      </c>
      <c r="N278" s="338">
        <f>ROUND(+$I$175*N275+$I$176*N277,2)</f>
        <v>758.31</v>
      </c>
      <c r="O278" s="338">
        <f>ROUND(+$I$175*O275+$I$176*O277,2)</f>
        <v>763.83</v>
      </c>
      <c r="R278" s="1559"/>
      <c r="S278" s="1559"/>
    </row>
    <row r="279" spans="2:24" ht="9" hidden="1" customHeight="1" thickBot="1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R279" s="1559"/>
      <c r="S279" s="1559"/>
    </row>
    <row r="280" spans="2:24" ht="16.5" hidden="1" thickBot="1">
      <c r="D280" s="2682">
        <v>2015</v>
      </c>
      <c r="E280" s="2683"/>
      <c r="F280" s="2683"/>
      <c r="G280" s="2683"/>
      <c r="H280" s="2683"/>
      <c r="I280" s="2683"/>
      <c r="J280" s="2683"/>
      <c r="K280" s="2683"/>
      <c r="L280" s="2683"/>
      <c r="M280" s="2683"/>
      <c r="N280" s="2687"/>
      <c r="O280" s="2688"/>
      <c r="R280" s="1559"/>
      <c r="S280" s="1559"/>
    </row>
    <row r="281" spans="2:24" ht="16.5" hidden="1" thickBot="1">
      <c r="D281" s="449" t="s">
        <v>578</v>
      </c>
      <c r="E281" s="412" t="s">
        <v>579</v>
      </c>
      <c r="F281" s="412" t="s">
        <v>580</v>
      </c>
      <c r="G281" s="454" t="s">
        <v>581</v>
      </c>
      <c r="H281" s="454" t="s">
        <v>582</v>
      </c>
      <c r="I281" s="454" t="s">
        <v>583</v>
      </c>
      <c r="J281" s="454" t="s">
        <v>587</v>
      </c>
      <c r="K281" s="465" t="s">
        <v>588</v>
      </c>
      <c r="L281" s="419" t="s">
        <v>646</v>
      </c>
      <c r="M281" s="419" t="s">
        <v>590</v>
      </c>
      <c r="N281" s="419" t="s">
        <v>586</v>
      </c>
      <c r="O281" s="417" t="s">
        <v>577</v>
      </c>
      <c r="R281" s="1559"/>
      <c r="S281" s="1559"/>
    </row>
    <row r="282" spans="2:24" ht="6" hidden="1" customHeight="1">
      <c r="D282" s="435"/>
      <c r="O282" s="1356"/>
      <c r="R282" s="1559"/>
      <c r="S282" s="1559"/>
    </row>
    <row r="283" spans="2:24" hidden="1">
      <c r="B283" s="121" t="s">
        <v>645</v>
      </c>
      <c r="D283" s="826">
        <f t="shared" ref="D283:O283" si="168">+D113</f>
        <v>518.89</v>
      </c>
      <c r="E283" s="283">
        <f t="shared" si="168"/>
        <v>520.91999999999996</v>
      </c>
      <c r="F283" s="283">
        <f t="shared" si="168"/>
        <v>533.51</v>
      </c>
      <c r="G283" s="283">
        <f t="shared" si="168"/>
        <v>550.91999999999996</v>
      </c>
      <c r="H283" s="283">
        <f t="shared" si="168"/>
        <v>562.13</v>
      </c>
      <c r="I283" s="283">
        <f t="shared" si="168"/>
        <v>574.11</v>
      </c>
      <c r="J283" s="283">
        <f t="shared" si="168"/>
        <v>584.46</v>
      </c>
      <c r="K283" s="283">
        <f t="shared" si="168"/>
        <v>595.29999999999995</v>
      </c>
      <c r="L283" s="283">
        <f t="shared" si="168"/>
        <v>597.77</v>
      </c>
      <c r="M283" s="283">
        <f t="shared" si="168"/>
        <v>605.84</v>
      </c>
      <c r="N283" s="283" t="e">
        <f t="shared" si="168"/>
        <v>#REF!</v>
      </c>
      <c r="O283" s="283" t="e">
        <f t="shared" si="168"/>
        <v>#REF!</v>
      </c>
      <c r="R283" s="1559"/>
      <c r="S283" s="1559"/>
    </row>
    <row r="284" spans="2:24" hidden="1">
      <c r="B284" s="122" t="s">
        <v>613</v>
      </c>
      <c r="D284" s="992">
        <f>'TABLA FINAL  NO'!FL200</f>
        <v>1255.7</v>
      </c>
      <c r="E284" s="321">
        <f>'TABLA FINAL  NO'!FM200</f>
        <v>1257.0999999999999</v>
      </c>
      <c r="F284" s="321">
        <f>'TABLA FINAL  NO'!FN200</f>
        <v>1267.5999999999999</v>
      </c>
      <c r="G284" s="321">
        <f>'TABLA FINAL  NO'!FO200</f>
        <v>1270.9000000000001</v>
      </c>
      <c r="H284" s="321">
        <f>'TABLA FINAL  NO'!FP200</f>
        <v>1410.1</v>
      </c>
      <c r="I284" s="321">
        <f>'TABLA FINAL  NO'!FQ200</f>
        <v>1427.5</v>
      </c>
      <c r="J284" s="321">
        <f>'TABLA FINAL  NO'!FR200</f>
        <v>1448</v>
      </c>
      <c r="K284" s="321">
        <f>'TABLA FINAL  NO'!FS200</f>
        <v>1542.3</v>
      </c>
      <c r="L284" s="321">
        <f>'TABLA FINAL  NO'!FT200</f>
        <v>1579.2</v>
      </c>
      <c r="M284" s="321">
        <f>'TABLA FINAL  NO'!FU200</f>
        <v>1582.7</v>
      </c>
      <c r="N284" s="321" t="e">
        <f>+#REF!</f>
        <v>#REF!</v>
      </c>
      <c r="O284" s="321" t="e">
        <f>+#REF!</f>
        <v>#REF!</v>
      </c>
      <c r="R284" s="1559"/>
      <c r="S284" s="1559"/>
    </row>
    <row r="285" spans="2:24" ht="16.5" hidden="1" thickBot="1">
      <c r="B285" s="132" t="s">
        <v>614</v>
      </c>
      <c r="D285" s="514">
        <f t="shared" ref="D285:I285" si="169">ROUND(100*D284/$C$182,2)</f>
        <v>1347.32</v>
      </c>
      <c r="E285" s="470">
        <f t="shared" si="169"/>
        <v>1348.82</v>
      </c>
      <c r="F285" s="470">
        <f t="shared" si="169"/>
        <v>1360.09</v>
      </c>
      <c r="G285" s="470">
        <f t="shared" si="169"/>
        <v>1363.63</v>
      </c>
      <c r="H285" s="470">
        <f t="shared" si="169"/>
        <v>1512.98</v>
      </c>
      <c r="I285" s="470">
        <f t="shared" si="169"/>
        <v>1531.65</v>
      </c>
      <c r="J285" s="470">
        <f t="shared" ref="J285:O285" si="170">ROUND(100*J284/$C$182,2)</f>
        <v>1553.65</v>
      </c>
      <c r="K285" s="470">
        <f t="shared" si="170"/>
        <v>1654.83</v>
      </c>
      <c r="L285" s="470">
        <f t="shared" si="170"/>
        <v>1694.42</v>
      </c>
      <c r="M285" s="470">
        <f t="shared" si="170"/>
        <v>1698.18</v>
      </c>
      <c r="N285" s="470" t="e">
        <f t="shared" si="170"/>
        <v>#REF!</v>
      </c>
      <c r="O285" s="470" t="e">
        <f t="shared" si="170"/>
        <v>#REF!</v>
      </c>
      <c r="R285" s="1559"/>
      <c r="S285" s="1559"/>
    </row>
    <row r="286" spans="2:24" ht="16.5" hidden="1" thickBot="1">
      <c r="B286" s="132" t="s">
        <v>144</v>
      </c>
      <c r="D286" s="813">
        <f>ROUND(+$I$175*D283+$I$176*D285,2)</f>
        <v>767.42</v>
      </c>
      <c r="E286" s="338">
        <f>ROUND(+$I$175*E283+$I$176*E285,2)</f>
        <v>769.29</v>
      </c>
      <c r="F286" s="338">
        <f t="shared" ref="F286:K286" si="171">ROUND(+$I$175*F283+$I$176*F285,2)</f>
        <v>781.48</v>
      </c>
      <c r="G286" s="338">
        <f t="shared" si="171"/>
        <v>794.73</v>
      </c>
      <c r="H286" s="338">
        <f t="shared" si="171"/>
        <v>847.39</v>
      </c>
      <c r="I286" s="338">
        <f t="shared" si="171"/>
        <v>861.37</v>
      </c>
      <c r="J286" s="338">
        <f t="shared" si="171"/>
        <v>875.22</v>
      </c>
      <c r="K286" s="338">
        <f t="shared" si="171"/>
        <v>913.16</v>
      </c>
      <c r="L286" s="338">
        <f>ROUND(+$I$175*L283+$I$176*L285,2)</f>
        <v>926.77</v>
      </c>
      <c r="M286" s="338">
        <f>ROUND(+$I$175*M283+$I$176*M285,2)</f>
        <v>933.54</v>
      </c>
      <c r="N286" s="338" t="e">
        <f>ROUND(+$I$175*N283+$I$176*N285,2)</f>
        <v>#REF!</v>
      </c>
      <c r="O286" s="338" t="e">
        <f>ROUND(+$I$175*O283+$I$176*O285,2)</f>
        <v>#REF!</v>
      </c>
      <c r="R286" s="1559"/>
      <c r="S286" s="1642">
        <v>933.54</v>
      </c>
      <c r="T286" s="50">
        <v>943.87</v>
      </c>
      <c r="U286" s="50">
        <v>949.22</v>
      </c>
      <c r="V286" s="50">
        <v>1127.17</v>
      </c>
      <c r="W286" s="50">
        <v>1216.3900000000001</v>
      </c>
      <c r="X286" s="50">
        <v>1183.6300000000001</v>
      </c>
    </row>
    <row r="287" spans="2:24" ht="16.5" thickBot="1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R287" s="1559"/>
      <c r="S287" s="1559"/>
    </row>
    <row r="288" spans="2:24" ht="16.5" thickBot="1">
      <c r="D288" s="2682">
        <v>2016</v>
      </c>
      <c r="E288" s="2683"/>
      <c r="F288" s="2683"/>
      <c r="G288" s="2683"/>
      <c r="H288" s="2683"/>
      <c r="I288" s="2683"/>
      <c r="J288" s="2683"/>
      <c r="K288" s="2683"/>
      <c r="L288" s="2683"/>
      <c r="M288" s="2683"/>
      <c r="N288" s="2687"/>
      <c r="O288" s="2688"/>
      <c r="R288" s="1559"/>
      <c r="S288" s="1559"/>
    </row>
    <row r="289" spans="2:19" ht="16.5" thickBot="1">
      <c r="D289" s="449" t="s">
        <v>578</v>
      </c>
      <c r="E289" s="412" t="s">
        <v>579</v>
      </c>
      <c r="F289" s="412" t="s">
        <v>580</v>
      </c>
      <c r="G289" s="454" t="s">
        <v>581</v>
      </c>
      <c r="H289" s="454" t="s">
        <v>582</v>
      </c>
      <c r="I289" s="454" t="s">
        <v>583</v>
      </c>
      <c r="J289" s="454" t="s">
        <v>587</v>
      </c>
      <c r="K289" s="465" t="s">
        <v>588</v>
      </c>
      <c r="L289" s="419" t="s">
        <v>646</v>
      </c>
      <c r="M289" s="419" t="s">
        <v>590</v>
      </c>
      <c r="N289" s="419" t="s">
        <v>586</v>
      </c>
      <c r="O289" s="417" t="s">
        <v>577</v>
      </c>
      <c r="R289" s="1559"/>
      <c r="S289" s="1559"/>
    </row>
    <row r="290" spans="2:19" ht="6" customHeight="1">
      <c r="D290" s="435"/>
      <c r="O290" s="1356"/>
      <c r="R290" s="1559"/>
      <c r="S290" s="1559"/>
    </row>
    <row r="291" spans="2:19">
      <c r="B291" s="121" t="s">
        <v>645</v>
      </c>
      <c r="D291" s="328">
        <f t="shared" ref="D291:O291" si="172">+D120</f>
        <v>100</v>
      </c>
      <c r="E291" s="283">
        <f t="shared" si="172"/>
        <v>112.96</v>
      </c>
      <c r="F291" s="283">
        <f t="shared" si="172"/>
        <v>107.56</v>
      </c>
      <c r="G291" s="283">
        <f t="shared" si="172"/>
        <v>106.15</v>
      </c>
      <c r="H291" s="283">
        <f t="shared" si="172"/>
        <v>103.93</v>
      </c>
      <c r="I291" s="283">
        <f t="shared" si="172"/>
        <v>111.85</v>
      </c>
      <c r="J291" s="283">
        <f t="shared" si="172"/>
        <v>111.85</v>
      </c>
      <c r="K291" s="283">
        <f t="shared" si="172"/>
        <v>111.85</v>
      </c>
      <c r="L291" s="283">
        <f t="shared" si="172"/>
        <v>112.59</v>
      </c>
      <c r="M291" s="283">
        <f t="shared" si="172"/>
        <v>114.59</v>
      </c>
      <c r="N291" s="283">
        <f t="shared" si="172"/>
        <v>116.67</v>
      </c>
      <c r="O291" s="283">
        <f t="shared" si="172"/>
        <v>118.89</v>
      </c>
      <c r="R291" s="1559"/>
      <c r="S291" s="1559"/>
    </row>
    <row r="292" spans="2:19">
      <c r="B292" s="122" t="s">
        <v>613</v>
      </c>
      <c r="D292" s="1151">
        <f>+'Insumos testigos '!FY191</f>
        <v>100</v>
      </c>
      <c r="E292" s="321">
        <f>+'Insumos testigos '!FZ191</f>
        <v>102.05011389521641</v>
      </c>
      <c r="F292" s="321">
        <f>+'Insumos testigos '!GA191</f>
        <v>102.05011389521641</v>
      </c>
      <c r="G292" s="321">
        <f>+'Insumos testigos '!GB191</f>
        <v>120.50113895216401</v>
      </c>
      <c r="H292" s="321">
        <f>+'Insumos testigos '!GC191</f>
        <v>120.72892938496584</v>
      </c>
      <c r="I292" s="321">
        <f>+'Insumos testigos '!GD191</f>
        <v>121.41230068337131</v>
      </c>
      <c r="J292" s="321">
        <f>+'Insumos testigos '!GE191</f>
        <v>122.39939255884588</v>
      </c>
      <c r="K292" s="321">
        <f>+'Insumos testigos '!GF191</f>
        <v>122.39939255884588</v>
      </c>
      <c r="L292" s="321">
        <f>+'Insumos testigos '!GG191</f>
        <v>122.39939255884588</v>
      </c>
      <c r="M292" s="321">
        <f>+'Insumos testigos '!GH191</f>
        <v>134.09263477600609</v>
      </c>
      <c r="N292" s="321">
        <f>+'Insumos testigos '!GI191</f>
        <v>134.09263477600609</v>
      </c>
      <c r="O292" s="321">
        <f>+'Insumos testigos '!GJ191</f>
        <v>138.64844343204254</v>
      </c>
      <c r="R292" s="1559"/>
      <c r="S292" s="1559"/>
    </row>
    <row r="293" spans="2:19" ht="16.5" thickBot="1">
      <c r="B293" s="132" t="s">
        <v>614</v>
      </c>
      <c r="D293" s="687">
        <v>100</v>
      </c>
      <c r="E293" s="470">
        <f>ROUND(100*E292/$D$292,2)</f>
        <v>102.05</v>
      </c>
      <c r="F293" s="470">
        <f t="shared" ref="F293:O293" si="173">ROUND(100*F292/$D$292,2)</f>
        <v>102.05</v>
      </c>
      <c r="G293" s="470">
        <f t="shared" si="173"/>
        <v>120.5</v>
      </c>
      <c r="H293" s="470">
        <f t="shared" si="173"/>
        <v>120.73</v>
      </c>
      <c r="I293" s="470">
        <f t="shared" si="173"/>
        <v>121.41</v>
      </c>
      <c r="J293" s="470">
        <f t="shared" si="173"/>
        <v>122.4</v>
      </c>
      <c r="K293" s="470">
        <f t="shared" si="173"/>
        <v>122.4</v>
      </c>
      <c r="L293" s="470">
        <f t="shared" si="173"/>
        <v>122.4</v>
      </c>
      <c r="M293" s="470">
        <f t="shared" si="173"/>
        <v>134.09</v>
      </c>
      <c r="N293" s="470">
        <f t="shared" si="173"/>
        <v>134.09</v>
      </c>
      <c r="O293" s="470">
        <f t="shared" si="173"/>
        <v>138.65</v>
      </c>
      <c r="R293" s="1559"/>
      <c r="S293" s="1559"/>
    </row>
    <row r="294" spans="2:19" ht="16.5" thickBot="1">
      <c r="B294" s="132" t="s">
        <v>144</v>
      </c>
      <c r="D294" s="813">
        <f t="shared" ref="D294:K294" si="174">ROUND(+$I$175*D291+$I$176*D293,2)</f>
        <v>100</v>
      </c>
      <c r="E294" s="338">
        <f t="shared" si="174"/>
        <v>109.69</v>
      </c>
      <c r="F294" s="338">
        <f t="shared" si="174"/>
        <v>105.91</v>
      </c>
      <c r="G294" s="338">
        <f t="shared" si="174"/>
        <v>110.46</v>
      </c>
      <c r="H294" s="338">
        <f t="shared" si="174"/>
        <v>108.97</v>
      </c>
      <c r="I294" s="338">
        <f t="shared" si="174"/>
        <v>114.72</v>
      </c>
      <c r="J294" s="338">
        <f t="shared" si="174"/>
        <v>115.02</v>
      </c>
      <c r="K294" s="338">
        <f t="shared" si="174"/>
        <v>115.02</v>
      </c>
      <c r="L294" s="338">
        <f>ROUND(+$I$175*L291+$I$176*L293,2)</f>
        <v>115.53</v>
      </c>
      <c r="M294" s="338">
        <f>ROUND(+$I$175*M291+$I$176*M293,2)</f>
        <v>120.44</v>
      </c>
      <c r="N294" s="338">
        <f>ROUND(+$I$175*N291+$I$176*N293,2)</f>
        <v>121.9</v>
      </c>
      <c r="O294" s="338">
        <f>ROUND(+$I$175*O291+$I$176*O293,2)</f>
        <v>124.82</v>
      </c>
      <c r="R294" s="1559"/>
      <c r="S294" s="1559"/>
    </row>
    <row r="295" spans="2:19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R295" s="1559"/>
      <c r="S295" s="1559"/>
    </row>
    <row r="296" spans="2:19" ht="16.5" hidden="1" thickBot="1">
      <c r="D296" s="2682">
        <v>2017</v>
      </c>
      <c r="E296" s="2683"/>
      <c r="F296" s="2683"/>
      <c r="G296" s="2683"/>
      <c r="H296" s="2683"/>
      <c r="I296" s="2683"/>
      <c r="J296" s="2683"/>
      <c r="K296" s="2683"/>
      <c r="L296" s="2683"/>
      <c r="M296" s="2683"/>
      <c r="N296" s="2687"/>
      <c r="O296" s="2688"/>
      <c r="R296" s="1559"/>
      <c r="S296" s="1559"/>
    </row>
    <row r="297" spans="2:19" ht="16.5" hidden="1" thickBot="1">
      <c r="D297" s="449" t="s">
        <v>578</v>
      </c>
      <c r="E297" s="412" t="s">
        <v>579</v>
      </c>
      <c r="F297" s="412" t="s">
        <v>580</v>
      </c>
      <c r="G297" s="454" t="s">
        <v>581</v>
      </c>
      <c r="H297" s="454" t="s">
        <v>582</v>
      </c>
      <c r="I297" s="454" t="s">
        <v>583</v>
      </c>
      <c r="J297" s="454" t="s">
        <v>587</v>
      </c>
      <c r="K297" s="465" t="s">
        <v>588</v>
      </c>
      <c r="L297" s="419" t="s">
        <v>646</v>
      </c>
      <c r="M297" s="419" t="s">
        <v>590</v>
      </c>
      <c r="N297" s="419" t="s">
        <v>586</v>
      </c>
      <c r="O297" s="417" t="s">
        <v>577</v>
      </c>
      <c r="R297" s="1559"/>
      <c r="S297" s="1559"/>
    </row>
    <row r="298" spans="2:19" ht="6" hidden="1" customHeight="1">
      <c r="D298" s="435"/>
      <c r="O298" s="1356"/>
      <c r="R298" s="1559"/>
      <c r="S298" s="1559"/>
    </row>
    <row r="299" spans="2:19" hidden="1">
      <c r="B299" s="121" t="s">
        <v>645</v>
      </c>
      <c r="D299" s="826">
        <f t="shared" ref="D299:O299" si="175">+D127</f>
        <v>119.26</v>
      </c>
      <c r="E299" s="283">
        <f t="shared" si="175"/>
        <v>115.56</v>
      </c>
      <c r="F299" s="283">
        <f t="shared" si="175"/>
        <v>115.93</v>
      </c>
      <c r="G299" s="283">
        <f t="shared" si="175"/>
        <v>116.3</v>
      </c>
      <c r="H299" s="283">
        <f t="shared" si="175"/>
        <v>120</v>
      </c>
      <c r="I299" s="283">
        <f t="shared" si="175"/>
        <v>121.85</v>
      </c>
      <c r="J299" s="283">
        <f t="shared" si="175"/>
        <v>137.97999999999999</v>
      </c>
      <c r="K299" s="283">
        <f t="shared" si="175"/>
        <v>140.16</v>
      </c>
      <c r="L299" s="283">
        <f t="shared" si="175"/>
        <v>137.74</v>
      </c>
      <c r="M299" s="283">
        <f t="shared" si="175"/>
        <v>139.6</v>
      </c>
      <c r="N299" s="283">
        <f t="shared" si="175"/>
        <v>142.4</v>
      </c>
      <c r="O299" s="283">
        <f t="shared" si="175"/>
        <v>146.66999999999999</v>
      </c>
      <c r="R299" s="1559"/>
      <c r="S299" s="1559"/>
    </row>
    <row r="300" spans="2:19" hidden="1">
      <c r="B300" s="122" t="s">
        <v>613</v>
      </c>
      <c r="D300" s="1151">
        <f>+'Insumos testigos '!GK191</f>
        <v>147.00075930144271</v>
      </c>
      <c r="E300" s="321">
        <f>+'Insumos testigos '!GL191</f>
        <v>147.00075930144271</v>
      </c>
      <c r="F300" s="321">
        <f>+'Insumos testigos '!GM191</f>
        <v>147.00075930144271</v>
      </c>
      <c r="G300" s="321">
        <f>+'Insumos testigos '!GN191</f>
        <v>157.85876993166292</v>
      </c>
      <c r="H300" s="321">
        <f>+'Insumos testigos '!GO191</f>
        <v>158.84586180713748</v>
      </c>
      <c r="I300" s="321">
        <f>+'Insumos testigos '!GP191</f>
        <v>158.84586180713748</v>
      </c>
      <c r="J300" s="321">
        <f>+'Insumos testigos '!GQ191</f>
        <v>173.19665907365231</v>
      </c>
      <c r="K300" s="321">
        <f>+'Insumos testigos '!GR191</f>
        <v>173.19665907365231</v>
      </c>
      <c r="L300" s="321">
        <f>+'Insumos testigos '!GS191</f>
        <v>173.19665907365231</v>
      </c>
      <c r="M300" s="321">
        <f>+'Insumos testigos '!GT191</f>
        <v>173.19665907365231</v>
      </c>
      <c r="N300" s="321">
        <f>+'Insumos testigos '!GU191</f>
        <v>173.19665907365231</v>
      </c>
      <c r="O300" s="321">
        <f>+'Insumos testigos '!GV191</f>
        <v>173.19665907365231</v>
      </c>
      <c r="R300" s="1559"/>
      <c r="S300" s="1559"/>
    </row>
    <row r="301" spans="2:19" ht="16.5" hidden="1" thickBot="1">
      <c r="B301" s="132" t="s">
        <v>614</v>
      </c>
      <c r="D301" s="470">
        <f>ROUND(100*D300/$D$292,2)</f>
        <v>147</v>
      </c>
      <c r="E301" s="470">
        <f t="shared" ref="E301:O301" si="176">ROUND(100*E300/$D$292,2)</f>
        <v>147</v>
      </c>
      <c r="F301" s="470">
        <f t="shared" si="176"/>
        <v>147</v>
      </c>
      <c r="G301" s="470">
        <f t="shared" si="176"/>
        <v>157.86000000000001</v>
      </c>
      <c r="H301" s="470">
        <f t="shared" si="176"/>
        <v>158.85</v>
      </c>
      <c r="I301" s="470">
        <f t="shared" si="176"/>
        <v>158.85</v>
      </c>
      <c r="J301" s="470">
        <f t="shared" si="176"/>
        <v>173.2</v>
      </c>
      <c r="K301" s="470">
        <f t="shared" si="176"/>
        <v>173.2</v>
      </c>
      <c r="L301" s="470">
        <f t="shared" si="176"/>
        <v>173.2</v>
      </c>
      <c r="M301" s="470">
        <f t="shared" si="176"/>
        <v>173.2</v>
      </c>
      <c r="N301" s="470">
        <f t="shared" si="176"/>
        <v>173.2</v>
      </c>
      <c r="O301" s="470">
        <f t="shared" si="176"/>
        <v>173.2</v>
      </c>
      <c r="R301" s="1559"/>
      <c r="S301" s="1559"/>
    </row>
    <row r="302" spans="2:19" ht="16.5" hidden="1" thickBot="1">
      <c r="B302" s="132" t="s">
        <v>144</v>
      </c>
      <c r="D302" s="813">
        <f t="shared" ref="D302:O302" si="177">ROUND(+$I$175*D299+$I$176*D301,2)</f>
        <v>127.58</v>
      </c>
      <c r="E302" s="337">
        <f t="shared" si="177"/>
        <v>124.99</v>
      </c>
      <c r="F302" s="337">
        <f t="shared" si="177"/>
        <v>125.25</v>
      </c>
      <c r="G302" s="337">
        <f t="shared" si="177"/>
        <v>128.77000000000001</v>
      </c>
      <c r="H302" s="337">
        <f t="shared" si="177"/>
        <v>131.66</v>
      </c>
      <c r="I302" s="337">
        <f t="shared" si="177"/>
        <v>132.94999999999999</v>
      </c>
      <c r="J302" s="337">
        <f t="shared" si="177"/>
        <v>148.55000000000001</v>
      </c>
      <c r="K302" s="337">
        <f t="shared" si="177"/>
        <v>150.07</v>
      </c>
      <c r="L302" s="337">
        <f t="shared" si="177"/>
        <v>148.38</v>
      </c>
      <c r="M302" s="337">
        <f t="shared" si="177"/>
        <v>149.68</v>
      </c>
      <c r="N302" s="337">
        <f t="shared" si="177"/>
        <v>151.63999999999999</v>
      </c>
      <c r="O302" s="337">
        <f t="shared" si="177"/>
        <v>154.63</v>
      </c>
      <c r="R302" s="1559"/>
      <c r="S302" s="1559"/>
    </row>
    <row r="303" spans="2:19" ht="16.5" hidden="1" thickBot="1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R303" s="1559"/>
      <c r="S303" s="1559"/>
    </row>
    <row r="304" spans="2:19" ht="16.5" hidden="1" thickBot="1">
      <c r="D304" s="2682">
        <v>2018</v>
      </c>
      <c r="E304" s="2683"/>
      <c r="F304" s="2683"/>
      <c r="G304" s="2683"/>
      <c r="H304" s="2683"/>
      <c r="I304" s="2683"/>
      <c r="J304" s="2683"/>
      <c r="K304" s="2683"/>
      <c r="L304" s="2683"/>
      <c r="M304" s="2683"/>
      <c r="N304" s="2687"/>
      <c r="O304" s="2688"/>
      <c r="R304" s="1559"/>
      <c r="S304" s="1559"/>
    </row>
    <row r="305" spans="2:19" ht="16.5" hidden="1" thickBot="1">
      <c r="D305" s="449" t="s">
        <v>578</v>
      </c>
      <c r="E305" s="412" t="s">
        <v>579</v>
      </c>
      <c r="F305" s="412" t="s">
        <v>580</v>
      </c>
      <c r="G305" s="454" t="s">
        <v>581</v>
      </c>
      <c r="H305" s="454" t="s">
        <v>582</v>
      </c>
      <c r="I305" s="454" t="s">
        <v>583</v>
      </c>
      <c r="J305" s="454" t="s">
        <v>587</v>
      </c>
      <c r="K305" s="465" t="s">
        <v>588</v>
      </c>
      <c r="L305" s="419" t="s">
        <v>646</v>
      </c>
      <c r="M305" s="419" t="s">
        <v>590</v>
      </c>
      <c r="N305" s="419" t="s">
        <v>586</v>
      </c>
      <c r="O305" s="417" t="s">
        <v>577</v>
      </c>
      <c r="R305" s="1559"/>
      <c r="S305" s="1559"/>
    </row>
    <row r="306" spans="2:19" ht="6" hidden="1" customHeight="1">
      <c r="D306" s="435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356"/>
      <c r="R306" s="1559"/>
      <c r="S306" s="1559"/>
    </row>
    <row r="307" spans="2:19" hidden="1">
      <c r="B307" s="121" t="s">
        <v>645</v>
      </c>
      <c r="D307" s="335">
        <f t="shared" ref="D307:O307" si="178">+D134</f>
        <v>154</v>
      </c>
      <c r="E307" s="307">
        <f t="shared" si="178"/>
        <v>158.62</v>
      </c>
      <c r="F307" s="307">
        <f t="shared" si="178"/>
        <v>163.38</v>
      </c>
      <c r="G307" s="307">
        <f t="shared" si="178"/>
        <v>163.38</v>
      </c>
      <c r="H307" s="307">
        <f t="shared" si="178"/>
        <v>199.94</v>
      </c>
      <c r="I307" s="307">
        <f t="shared" si="178"/>
        <v>226.23</v>
      </c>
      <c r="J307" s="307">
        <f t="shared" si="178"/>
        <v>223.84</v>
      </c>
      <c r="K307" s="307">
        <f t="shared" si="178"/>
        <v>234.99</v>
      </c>
      <c r="L307" s="307">
        <f t="shared" si="178"/>
        <v>316.49</v>
      </c>
      <c r="M307" s="307">
        <f t="shared" si="178"/>
        <v>300.87</v>
      </c>
      <c r="N307" s="307">
        <f t="shared" si="178"/>
        <v>283.43</v>
      </c>
      <c r="O307" s="332">
        <f t="shared" si="178"/>
        <v>306.31</v>
      </c>
      <c r="R307" s="1559"/>
      <c r="S307" s="1559"/>
    </row>
    <row r="308" spans="2:19" hidden="1">
      <c r="B308" s="122" t="s">
        <v>613</v>
      </c>
      <c r="D308" s="1151">
        <f>+'Insumos testigos '!GW191</f>
        <v>179.27107061503426</v>
      </c>
      <c r="E308" s="321">
        <f>+'Insumos testigos '!GX191</f>
        <v>179.4988610478361</v>
      </c>
      <c r="F308" s="321">
        <f>+'Insumos testigos '!GY191</f>
        <v>184.66211085801072</v>
      </c>
      <c r="G308" s="321">
        <f>+'Insumos testigos '!GZ191</f>
        <v>195.21640091116183</v>
      </c>
      <c r="H308" s="321">
        <f>+'Insumos testigos '!HA191</f>
        <v>195.21640091116183</v>
      </c>
      <c r="I308" s="321">
        <f>+'Insumos testigos '!HB191</f>
        <v>195.52012148823093</v>
      </c>
      <c r="J308" s="321">
        <f>+'Insumos testigos '!HC191</f>
        <v>196.27942293090365</v>
      </c>
      <c r="K308" s="321">
        <f>+'Insumos testigos '!HD191</f>
        <v>206.98557327258933</v>
      </c>
      <c r="L308" s="321">
        <f>+'Insumos testigos '!HE191</f>
        <v>215.7934700075931</v>
      </c>
      <c r="M308" s="321">
        <f>+'Insumos testigos '!HF191</f>
        <v>216.02126044039491</v>
      </c>
      <c r="N308" s="321">
        <f>+'Insumos testigos '!HG191</f>
        <v>229.08124525436602</v>
      </c>
      <c r="O308" s="321">
        <f>+'Insumos testigos '!HH191</f>
        <v>237.28170083523162</v>
      </c>
      <c r="R308" s="1559"/>
      <c r="S308" s="1559"/>
    </row>
    <row r="309" spans="2:19" ht="16.5" hidden="1" thickBot="1">
      <c r="B309" s="132" t="s">
        <v>614</v>
      </c>
      <c r="D309" s="470">
        <f>ROUND(100*D308/$D$292,2)</f>
        <v>179.27</v>
      </c>
      <c r="E309" s="470">
        <f t="shared" ref="E309" si="179">ROUND(100*E308/$D$292,2)</f>
        <v>179.5</v>
      </c>
      <c r="F309" s="470">
        <f t="shared" ref="F309" si="180">ROUND(100*F308/$D$292,2)</f>
        <v>184.66</v>
      </c>
      <c r="G309" s="470">
        <f t="shared" ref="G309" si="181">ROUND(100*G308/$D$292,2)</f>
        <v>195.22</v>
      </c>
      <c r="H309" s="470">
        <f t="shared" ref="H309" si="182">ROUND(100*H308/$D$292,2)</f>
        <v>195.22</v>
      </c>
      <c r="I309" s="470">
        <f t="shared" ref="I309" si="183">ROUND(100*I308/$D$292,2)</f>
        <v>195.52</v>
      </c>
      <c r="J309" s="470">
        <f t="shared" ref="J309" si="184">ROUND(100*J308/$D$292,2)</f>
        <v>196.28</v>
      </c>
      <c r="K309" s="470">
        <f t="shared" ref="K309" si="185">ROUND(100*K308/$D$292,2)</f>
        <v>206.99</v>
      </c>
      <c r="L309" s="470">
        <f t="shared" ref="L309" si="186">ROUND(100*L308/$D$292,2)</f>
        <v>215.79</v>
      </c>
      <c r="M309" s="470">
        <f t="shared" ref="M309" si="187">ROUND(100*M308/$D$292,2)</f>
        <v>216.02</v>
      </c>
      <c r="N309" s="470">
        <f t="shared" ref="N309" si="188">ROUND(100*N308/$D$292,2)</f>
        <v>229.08</v>
      </c>
      <c r="O309" s="470">
        <f t="shared" ref="O309" si="189">ROUND(100*O308/$D$292,2)</f>
        <v>237.28</v>
      </c>
      <c r="R309" s="1559"/>
      <c r="S309" s="1559"/>
    </row>
    <row r="310" spans="2:19" ht="16.5" hidden="1" thickBot="1">
      <c r="B310" s="132" t="s">
        <v>144</v>
      </c>
      <c r="D310" s="813">
        <f t="shared" ref="D310:O310" si="190">ROUND(+$I$175*D307+$I$176*D309,2)</f>
        <v>161.58000000000001</v>
      </c>
      <c r="E310" s="337">
        <f t="shared" si="190"/>
        <v>164.88</v>
      </c>
      <c r="F310" s="337">
        <f t="shared" si="190"/>
        <v>169.76</v>
      </c>
      <c r="G310" s="337">
        <f t="shared" si="190"/>
        <v>172.93</v>
      </c>
      <c r="H310" s="337">
        <f t="shared" si="190"/>
        <v>198.52</v>
      </c>
      <c r="I310" s="337">
        <f t="shared" si="190"/>
        <v>217.02</v>
      </c>
      <c r="J310" s="337">
        <f t="shared" si="190"/>
        <v>215.57</v>
      </c>
      <c r="K310" s="337">
        <f t="shared" si="190"/>
        <v>226.59</v>
      </c>
      <c r="L310" s="337">
        <f t="shared" si="190"/>
        <v>286.27999999999997</v>
      </c>
      <c r="M310" s="337">
        <f t="shared" si="190"/>
        <v>275.42</v>
      </c>
      <c r="N310" s="337">
        <f t="shared" si="190"/>
        <v>267.13</v>
      </c>
      <c r="O310" s="338">
        <f t="shared" si="190"/>
        <v>285.60000000000002</v>
      </c>
      <c r="R310" s="1559"/>
      <c r="S310" s="1559"/>
    </row>
    <row r="311" spans="2:19" ht="16.5" hidden="1" thickBot="1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R311" s="1559"/>
      <c r="S311" s="1559"/>
    </row>
    <row r="312" spans="2:19" ht="16.5" hidden="1" thickBot="1">
      <c r="D312" s="2682">
        <v>2019</v>
      </c>
      <c r="E312" s="2683"/>
      <c r="F312" s="2683"/>
      <c r="G312" s="2683"/>
      <c r="H312" s="2683"/>
      <c r="I312" s="2683"/>
      <c r="J312" s="2683"/>
      <c r="K312" s="2683"/>
      <c r="L312" s="2683"/>
      <c r="M312" s="2683"/>
      <c r="N312" s="2687"/>
      <c r="O312" s="2688"/>
      <c r="R312" s="1559"/>
      <c r="S312" s="1559"/>
    </row>
    <row r="313" spans="2:19" ht="16.5" hidden="1" thickBot="1">
      <c r="D313" s="449" t="s">
        <v>578</v>
      </c>
      <c r="E313" s="412" t="s">
        <v>579</v>
      </c>
      <c r="F313" s="412" t="s">
        <v>580</v>
      </c>
      <c r="G313" s="454" t="s">
        <v>581</v>
      </c>
      <c r="H313" s="454" t="s">
        <v>582</v>
      </c>
      <c r="I313" s="454" t="s">
        <v>583</v>
      </c>
      <c r="J313" s="454" t="s">
        <v>587</v>
      </c>
      <c r="K313" s="465" t="s">
        <v>588</v>
      </c>
      <c r="L313" s="419" t="s">
        <v>646</v>
      </c>
      <c r="M313" s="419" t="s">
        <v>590</v>
      </c>
      <c r="N313" s="419" t="s">
        <v>586</v>
      </c>
      <c r="O313" s="417" t="s">
        <v>577</v>
      </c>
      <c r="R313" s="1559"/>
      <c r="S313" s="1559"/>
    </row>
    <row r="314" spans="2:19" ht="5.25" hidden="1" customHeight="1" thickBot="1">
      <c r="D314" s="435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356"/>
      <c r="R314" s="1559"/>
      <c r="S314" s="1559"/>
    </row>
    <row r="315" spans="2:19" hidden="1">
      <c r="B315" s="121" t="s">
        <v>645</v>
      </c>
      <c r="D315" s="1785">
        <f t="shared" ref="D315:O315" si="191">+D141</f>
        <v>294.77999999999997</v>
      </c>
      <c r="E315" s="1786">
        <f t="shared" si="191"/>
        <v>316.83999999999997</v>
      </c>
      <c r="F315" s="1786">
        <f t="shared" si="191"/>
        <v>326.27</v>
      </c>
      <c r="G315" s="1786">
        <f t="shared" si="191"/>
        <v>347.76</v>
      </c>
      <c r="H315" s="1786">
        <f t="shared" si="191"/>
        <v>376.02</v>
      </c>
      <c r="I315" s="1786">
        <f t="shared" si="191"/>
        <v>357.55</v>
      </c>
      <c r="J315" s="1786">
        <f t="shared" si="191"/>
        <v>356.55</v>
      </c>
      <c r="K315" s="1786">
        <f t="shared" si="191"/>
        <v>459.75</v>
      </c>
      <c r="L315" s="1786">
        <f t="shared" si="191"/>
        <v>481.2</v>
      </c>
      <c r="M315" s="1786">
        <f t="shared" si="191"/>
        <v>501.36</v>
      </c>
      <c r="N315" s="1786">
        <f t="shared" si="191"/>
        <v>484.59</v>
      </c>
      <c r="O315" s="1787">
        <f t="shared" si="191"/>
        <v>484.59</v>
      </c>
      <c r="R315" s="1559"/>
      <c r="S315" s="1559"/>
    </row>
    <row r="316" spans="2:19" hidden="1">
      <c r="B316" s="122" t="s">
        <v>613</v>
      </c>
      <c r="D316" s="1151">
        <f>+'Insumos testigos '!HI191</f>
        <v>241.60971905846625</v>
      </c>
      <c r="E316" s="321">
        <f>+'Insumos testigos '!HJ191</f>
        <v>242.44495064540627</v>
      </c>
      <c r="F316" s="321">
        <f>+'Insumos testigos '!HK191</f>
        <v>250.64540622627186</v>
      </c>
      <c r="G316" s="321">
        <f>+'Insumos testigos '!HL191</f>
        <v>274.79119210326502</v>
      </c>
      <c r="H316" s="321">
        <f>+'Insumos testigos '!HM191</f>
        <v>290.28094153378896</v>
      </c>
      <c r="I316" s="321">
        <f>+'Insumos testigos '!HN191</f>
        <v>290.35687167805622</v>
      </c>
      <c r="J316" s="321">
        <f>+'Insumos testigos '!HO191</f>
        <v>302.88534548215642</v>
      </c>
      <c r="K316" s="321">
        <f>+'Insumos testigos '!HP191</f>
        <v>313.51556567957482</v>
      </c>
      <c r="L316" s="321">
        <f>+'Insumos testigos '!HQ191</f>
        <v>313.51556567957482</v>
      </c>
      <c r="M316" s="321">
        <f>+'Insumos testigos '!HR191</f>
        <v>337.28170083523162</v>
      </c>
      <c r="N316" s="321">
        <f>+'Insumos testigos '!HS191</f>
        <v>357.02353834472291</v>
      </c>
      <c r="O316" s="321">
        <f>+'Insumos testigos '!HT191</f>
        <v>357.02353834472291</v>
      </c>
      <c r="R316" s="1559"/>
      <c r="S316" s="1559"/>
    </row>
    <row r="317" spans="2:19" ht="16.5" hidden="1" thickBot="1">
      <c r="B317" s="132" t="s">
        <v>614</v>
      </c>
      <c r="D317" s="470">
        <f>ROUND(100*D316/$D$292,2)</f>
        <v>241.61</v>
      </c>
      <c r="E317" s="470">
        <f t="shared" ref="E317" si="192">ROUND(100*E316/$D$292,2)</f>
        <v>242.44</v>
      </c>
      <c r="F317" s="470">
        <f t="shared" ref="F317" si="193">ROUND(100*F316/$D$292,2)</f>
        <v>250.65</v>
      </c>
      <c r="G317" s="470">
        <f t="shared" ref="G317" si="194">ROUND(100*G316/$D$292,2)</f>
        <v>274.79000000000002</v>
      </c>
      <c r="H317" s="470">
        <f t="shared" ref="H317" si="195">ROUND(100*H316/$D$292,2)</f>
        <v>290.27999999999997</v>
      </c>
      <c r="I317" s="470">
        <f t="shared" ref="I317" si="196">ROUND(100*I316/$D$292,2)</f>
        <v>290.36</v>
      </c>
      <c r="J317" s="470">
        <f t="shared" ref="J317" si="197">ROUND(100*J316/$D$292,2)</f>
        <v>302.89</v>
      </c>
      <c r="K317" s="470">
        <f t="shared" ref="K317" si="198">ROUND(100*K316/$D$292,2)</f>
        <v>313.52</v>
      </c>
      <c r="L317" s="470">
        <f t="shared" ref="L317" si="199">ROUND(100*L316/$D$292,2)</f>
        <v>313.52</v>
      </c>
      <c r="M317" s="470">
        <f t="shared" ref="M317" si="200">ROUND(100*M316/$D$292,2)</f>
        <v>337.28</v>
      </c>
      <c r="N317" s="470">
        <f t="shared" ref="N317" si="201">ROUND(100*N316/$D$292,2)</f>
        <v>357.02</v>
      </c>
      <c r="O317" s="470">
        <f t="shared" ref="O317" si="202">ROUND(100*O316/$D$292,2)</f>
        <v>357.02</v>
      </c>
      <c r="R317" s="1559"/>
      <c r="S317" s="1559"/>
    </row>
    <row r="318" spans="2:19" ht="16.5" hidden="1" thickBot="1">
      <c r="B318" s="132" t="s">
        <v>144</v>
      </c>
      <c r="D318" s="385">
        <f t="shared" ref="D318:I318" si="203">ROUND(+$I$175*D315+$I$176*D317,2)</f>
        <v>278.83</v>
      </c>
      <c r="E318" s="388">
        <f t="shared" si="203"/>
        <v>294.52</v>
      </c>
      <c r="F318" s="388">
        <f t="shared" si="203"/>
        <v>303.58</v>
      </c>
      <c r="G318" s="388">
        <f t="shared" si="203"/>
        <v>325.87</v>
      </c>
      <c r="H318" s="388">
        <f t="shared" si="203"/>
        <v>350.3</v>
      </c>
      <c r="I318" s="388">
        <f t="shared" si="203"/>
        <v>337.39</v>
      </c>
      <c r="J318" s="388">
        <f t="shared" ref="J318:O318" si="204">ROUND(+$I$175*J315+$I$176*J317,2)</f>
        <v>340.45</v>
      </c>
      <c r="K318" s="388">
        <f t="shared" si="204"/>
        <v>415.88</v>
      </c>
      <c r="L318" s="388">
        <f t="shared" si="204"/>
        <v>430.9</v>
      </c>
      <c r="M318" s="388">
        <f t="shared" si="204"/>
        <v>452.14</v>
      </c>
      <c r="N318" s="388">
        <f t="shared" si="204"/>
        <v>446.32</v>
      </c>
      <c r="O318" s="782">
        <f t="shared" si="204"/>
        <v>446.32</v>
      </c>
      <c r="R318" s="1559"/>
      <c r="S318" s="1559"/>
    </row>
    <row r="319" spans="2:19" ht="16.5" hidden="1" thickBot="1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R319" s="1559"/>
      <c r="S319" s="1559"/>
    </row>
    <row r="320" spans="2:19" ht="16.5" hidden="1" thickBot="1">
      <c r="D320" s="2682">
        <v>2020</v>
      </c>
      <c r="E320" s="2683"/>
      <c r="F320" s="2683"/>
      <c r="G320" s="2683"/>
      <c r="H320" s="2683"/>
      <c r="I320" s="2683"/>
      <c r="J320" s="2683"/>
      <c r="K320" s="2683"/>
      <c r="L320" s="2683"/>
      <c r="M320" s="2683"/>
      <c r="N320" s="2687"/>
      <c r="O320" s="2688"/>
      <c r="R320" s="1559"/>
      <c r="S320" s="1559"/>
    </row>
    <row r="321" spans="2:19" ht="16.5" hidden="1" thickBot="1">
      <c r="D321" s="449" t="s">
        <v>578</v>
      </c>
      <c r="E321" s="412" t="s">
        <v>579</v>
      </c>
      <c r="F321" s="412" t="s">
        <v>580</v>
      </c>
      <c r="G321" s="454" t="s">
        <v>581</v>
      </c>
      <c r="H321" s="454" t="s">
        <v>582</v>
      </c>
      <c r="I321" s="454" t="s">
        <v>583</v>
      </c>
      <c r="J321" s="454" t="s">
        <v>587</v>
      </c>
      <c r="K321" s="465" t="s">
        <v>588</v>
      </c>
      <c r="L321" s="419" t="s">
        <v>646</v>
      </c>
      <c r="M321" s="419" t="s">
        <v>590</v>
      </c>
      <c r="N321" s="419" t="s">
        <v>586</v>
      </c>
      <c r="O321" s="417" t="s">
        <v>577</v>
      </c>
      <c r="R321" s="1559"/>
      <c r="S321" s="1559"/>
    </row>
    <row r="322" spans="2:19" ht="5.25" hidden="1" customHeight="1" thickBot="1">
      <c r="D322" s="435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356"/>
      <c r="R322" s="1559"/>
      <c r="S322" s="1559"/>
    </row>
    <row r="323" spans="2:19" hidden="1">
      <c r="B323" s="1853" t="s">
        <v>645</v>
      </c>
      <c r="D323" s="1171">
        <f t="shared" ref="D323:O323" si="205">+D148</f>
        <v>508.78</v>
      </c>
      <c r="E323" s="1786">
        <f t="shared" si="205"/>
        <v>515.99</v>
      </c>
      <c r="F323" s="1786">
        <f t="shared" si="205"/>
        <v>530.1</v>
      </c>
      <c r="G323" s="1786">
        <f t="shared" si="205"/>
        <v>554.28</v>
      </c>
      <c r="H323" s="1786">
        <f t="shared" si="205"/>
        <v>568.39</v>
      </c>
      <c r="I323" s="1786">
        <f t="shared" si="205"/>
        <v>592.58000000000004</v>
      </c>
      <c r="J323" s="1786">
        <f t="shared" si="205"/>
        <v>614.75</v>
      </c>
      <c r="K323" s="1786">
        <f t="shared" si="205"/>
        <v>628.86</v>
      </c>
      <c r="L323" s="1786">
        <f t="shared" si="205"/>
        <v>644.98</v>
      </c>
      <c r="M323" s="1786">
        <f t="shared" si="205"/>
        <v>673.2</v>
      </c>
      <c r="N323" s="1786">
        <f t="shared" si="205"/>
        <v>697.39</v>
      </c>
      <c r="O323" s="1787">
        <f t="shared" si="205"/>
        <v>719.56</v>
      </c>
      <c r="R323" s="1559"/>
      <c r="S323" s="1559"/>
    </row>
    <row r="324" spans="2:19" hidden="1">
      <c r="B324" s="122" t="s">
        <v>613</v>
      </c>
      <c r="D324" s="1151">
        <f>+'Insumos testigos '!HU191</f>
        <v>395.36826119969641</v>
      </c>
      <c r="E324" s="321">
        <f>+'Insumos testigos '!HV191</f>
        <v>420.42520880789687</v>
      </c>
      <c r="F324" s="321">
        <f>+'Insumos testigos '!HW191</f>
        <v>420.72892938496597</v>
      </c>
      <c r="G324" s="321">
        <f>+'Insumos testigos '!HX191</f>
        <v>422.17160212604415</v>
      </c>
      <c r="H324" s="321">
        <f>+'Insumos testigos '!HY191</f>
        <v>425.58845861807151</v>
      </c>
      <c r="I324" s="321">
        <f>+'Insumos testigos '!HZ191</f>
        <v>426.19589977220966</v>
      </c>
      <c r="J324" s="321">
        <f>+'Insumos testigos '!IA191</f>
        <v>426.42369020501155</v>
      </c>
      <c r="K324" s="321">
        <f>+'Insumos testigos '!IB191</f>
        <v>426.42369020501155</v>
      </c>
      <c r="L324" s="321">
        <f>+'Insumos testigos '!IC191</f>
        <v>429.1571753986334</v>
      </c>
      <c r="M324" s="321">
        <f>+'Insumos testigos '!ID191</f>
        <v>432.64996203492791</v>
      </c>
      <c r="N324" s="321">
        <f>+'Insumos testigos '!IE191</f>
        <v>502.20197418375102</v>
      </c>
      <c r="O324" s="321">
        <f>+'Insumos testigos '!IF191</f>
        <v>502.6575550493547</v>
      </c>
      <c r="R324" s="1559"/>
      <c r="S324" s="1559"/>
    </row>
    <row r="325" spans="2:19" ht="16.5" hidden="1" thickBot="1">
      <c r="B325" s="132" t="s">
        <v>614</v>
      </c>
      <c r="D325" s="470">
        <f>ROUND(100*D324/$D$292,2)</f>
        <v>395.37</v>
      </c>
      <c r="E325" s="470">
        <f t="shared" ref="E325" si="206">ROUND(100*E324/$D$292,2)</f>
        <v>420.43</v>
      </c>
      <c r="F325" s="470">
        <f t="shared" ref="F325" si="207">ROUND(100*F324/$D$292,2)</f>
        <v>420.73</v>
      </c>
      <c r="G325" s="470">
        <f t="shared" ref="G325" si="208">ROUND(100*G324/$D$292,2)</f>
        <v>422.17</v>
      </c>
      <c r="H325" s="470">
        <f t="shared" ref="H325" si="209">ROUND(100*H324/$D$292,2)</f>
        <v>425.59</v>
      </c>
      <c r="I325" s="470">
        <f t="shared" ref="I325" si="210">ROUND(100*I324/$D$292,2)</f>
        <v>426.2</v>
      </c>
      <c r="J325" s="470">
        <f t="shared" ref="J325" si="211">ROUND(100*J324/$D$292,2)</f>
        <v>426.42</v>
      </c>
      <c r="K325" s="470">
        <f t="shared" ref="K325" si="212">ROUND(100*K324/$D$292,2)</f>
        <v>426.42</v>
      </c>
      <c r="L325" s="470">
        <f t="shared" ref="L325" si="213">ROUND(100*L324/$D$292,2)</f>
        <v>429.16</v>
      </c>
      <c r="M325" s="470">
        <f t="shared" ref="M325" si="214">ROUND(100*M324/$D$292,2)</f>
        <v>432.65</v>
      </c>
      <c r="N325" s="470">
        <f t="shared" ref="N325" si="215">ROUND(100*N324/$D$292,2)</f>
        <v>502.2</v>
      </c>
      <c r="O325" s="470">
        <f t="shared" ref="O325" si="216">ROUND(100*O324/$D$292,2)</f>
        <v>502.66</v>
      </c>
      <c r="R325" s="1559"/>
      <c r="S325" s="1559"/>
    </row>
    <row r="326" spans="2:19" ht="16.5" hidden="1" thickBot="1">
      <c r="B326" s="132" t="s">
        <v>144</v>
      </c>
      <c r="D326" s="813">
        <f t="shared" ref="D326" si="217">ROUND(+$I$175*D323+$I$176*D325,2)</f>
        <v>474.76</v>
      </c>
      <c r="E326" s="388">
        <f t="shared" ref="E326:F326" si="218">ROUND(+$I$175*E323+$I$176*E325,2)</f>
        <v>487.32</v>
      </c>
      <c r="F326" s="388">
        <f t="shared" si="218"/>
        <v>497.29</v>
      </c>
      <c r="G326" s="388">
        <f t="shared" ref="G326:H326" si="219">ROUND(+$I$175*G323+$I$176*G325,2)</f>
        <v>514.65</v>
      </c>
      <c r="H326" s="388">
        <f t="shared" si="219"/>
        <v>525.54999999999995</v>
      </c>
      <c r="I326" s="388">
        <f t="shared" ref="I326:J326" si="220">ROUND(+$I$175*I323+$I$176*I325,2)</f>
        <v>542.66999999999996</v>
      </c>
      <c r="J326" s="388">
        <f t="shared" si="220"/>
        <v>558.25</v>
      </c>
      <c r="K326" s="388">
        <f t="shared" ref="K326:L326" si="221">ROUND(+$I$175*K323+$I$176*K325,2)</f>
        <v>568.13</v>
      </c>
      <c r="L326" s="388">
        <f t="shared" si="221"/>
        <v>580.23</v>
      </c>
      <c r="M326" s="388">
        <f t="shared" ref="M326:N326" si="222">ROUND(+$I$175*M323+$I$176*M325,2)</f>
        <v>601.04</v>
      </c>
      <c r="N326" s="388">
        <f t="shared" si="222"/>
        <v>638.83000000000004</v>
      </c>
      <c r="O326" s="782">
        <f t="shared" ref="O326" si="223">ROUND(+$I$175*O323+$I$176*O325,2)</f>
        <v>654.49</v>
      </c>
      <c r="R326" s="1559"/>
      <c r="S326" s="1559"/>
    </row>
    <row r="327" spans="2:19" ht="16.5" hidden="1" thickBot="1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R327" s="1559"/>
      <c r="S327" s="1559"/>
    </row>
    <row r="328" spans="2:19" ht="16.5" hidden="1" thickBot="1">
      <c r="D328" s="2682">
        <v>2021</v>
      </c>
      <c r="E328" s="2683"/>
      <c r="F328" s="2683"/>
      <c r="G328" s="2683"/>
      <c r="H328" s="2683"/>
      <c r="I328" s="2683"/>
      <c r="J328" s="2683"/>
      <c r="K328" s="2683"/>
      <c r="L328" s="2683"/>
      <c r="M328" s="2683"/>
      <c r="N328" s="2687"/>
      <c r="O328" s="2688"/>
      <c r="R328" s="1559"/>
      <c r="S328" s="1559"/>
    </row>
    <row r="329" spans="2:19" ht="16.5" hidden="1" thickBot="1">
      <c r="D329" s="449" t="s">
        <v>578</v>
      </c>
      <c r="E329" s="412" t="s">
        <v>579</v>
      </c>
      <c r="F329" s="412" t="s">
        <v>580</v>
      </c>
      <c r="G329" s="454" t="s">
        <v>581</v>
      </c>
      <c r="H329" s="454" t="s">
        <v>582</v>
      </c>
      <c r="I329" s="454" t="s">
        <v>583</v>
      </c>
      <c r="J329" s="454" t="s">
        <v>587</v>
      </c>
      <c r="K329" s="465" t="s">
        <v>588</v>
      </c>
      <c r="L329" s="419" t="s">
        <v>646</v>
      </c>
      <c r="M329" s="419" t="s">
        <v>590</v>
      </c>
      <c r="N329" s="419" t="s">
        <v>586</v>
      </c>
      <c r="O329" s="417" t="s">
        <v>577</v>
      </c>
      <c r="R329" s="1559"/>
      <c r="S329" s="1559"/>
    </row>
    <row r="330" spans="2:19" ht="5.25" hidden="1" customHeight="1" thickBot="1">
      <c r="D330" s="435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356"/>
      <c r="R330" s="1559"/>
      <c r="S330" s="1559"/>
    </row>
    <row r="331" spans="2:19" hidden="1">
      <c r="B331" s="1924" t="s">
        <v>645</v>
      </c>
      <c r="D331" s="1171">
        <f t="shared" ref="D331:O331" si="224">+D155</f>
        <v>741.73</v>
      </c>
      <c r="E331" s="1786">
        <f t="shared" si="224"/>
        <v>761.89</v>
      </c>
      <c r="F331" s="1786">
        <f t="shared" si="224"/>
        <v>784.06</v>
      </c>
      <c r="G331" s="1786">
        <f t="shared" si="224"/>
        <v>794.14</v>
      </c>
      <c r="H331" s="1786">
        <f t="shared" si="224"/>
        <v>806.23</v>
      </c>
      <c r="I331" s="1786">
        <f t="shared" si="224"/>
        <v>812.28</v>
      </c>
      <c r="J331" s="1786">
        <f t="shared" si="224"/>
        <v>820.34</v>
      </c>
      <c r="K331" s="1786">
        <f t="shared" si="224"/>
        <v>828.4</v>
      </c>
      <c r="L331" s="1786">
        <f t="shared" si="224"/>
        <v>836.46</v>
      </c>
      <c r="M331" s="1786">
        <f t="shared" si="224"/>
        <v>846.54</v>
      </c>
      <c r="N331" s="1786">
        <f t="shared" si="224"/>
        <v>852.59</v>
      </c>
      <c r="O331" s="1787">
        <f t="shared" si="224"/>
        <v>868.71</v>
      </c>
      <c r="R331" s="1559"/>
      <c r="S331" s="1559"/>
    </row>
    <row r="332" spans="2:19" hidden="1">
      <c r="B332" s="122" t="s">
        <v>613</v>
      </c>
      <c r="D332" s="1151">
        <f>+'Insumos testigos '!IG191</f>
        <v>502.6575550493547</v>
      </c>
      <c r="E332" s="321">
        <f>+'Insumos testigos '!IH191</f>
        <v>535.07972665148077</v>
      </c>
      <c r="F332" s="321">
        <f>+'Insumos testigos '!II191</f>
        <v>535.23158694001518</v>
      </c>
      <c r="G332" s="321">
        <f>+'Insumos testigos '!IJ191</f>
        <v>600.07593014426732</v>
      </c>
      <c r="H332" s="321">
        <f>+'Insumos testigos '!IK191</f>
        <v>601.51860288534556</v>
      </c>
      <c r="I332" s="321">
        <f>+'Insumos testigos '!IL191</f>
        <v>601.59453302961265</v>
      </c>
      <c r="J332" s="321">
        <f>+'Insumos testigos '!IM191</f>
        <v>654.06226271829905</v>
      </c>
      <c r="K332" s="321">
        <f>+'Insumos testigos '!IN191</f>
        <v>654.06226271829905</v>
      </c>
      <c r="L332" s="321">
        <f>+'Insumos testigos '!IO191</f>
        <v>680.25816249050854</v>
      </c>
      <c r="M332" s="321">
        <f>+'Insumos testigos '!IP191</f>
        <v>716.47684130599839</v>
      </c>
      <c r="N332" s="321">
        <f>+'Insumos testigos '!IQ191</f>
        <v>716.47684130599839</v>
      </c>
      <c r="O332" s="321">
        <f>+'Insumos testigos '!IR191</f>
        <v>717.46393318147284</v>
      </c>
      <c r="R332" s="1559"/>
      <c r="S332" s="1559"/>
    </row>
    <row r="333" spans="2:19" ht="16.5" hidden="1" thickBot="1">
      <c r="B333" s="132" t="s">
        <v>614</v>
      </c>
      <c r="D333" s="470">
        <f>ROUND(100*D332/$D$292,2)</f>
        <v>502.66</v>
      </c>
      <c r="E333" s="470">
        <f t="shared" ref="E333" si="225">ROUND(100*E332/$D$292,2)</f>
        <v>535.08000000000004</v>
      </c>
      <c r="F333" s="470">
        <f t="shared" ref="F333" si="226">ROUND(100*F332/$D$292,2)</f>
        <v>535.23</v>
      </c>
      <c r="G333" s="470">
        <f t="shared" ref="G333" si="227">ROUND(100*G332/$D$292,2)</f>
        <v>600.08000000000004</v>
      </c>
      <c r="H333" s="470">
        <f t="shared" ref="H333" si="228">ROUND(100*H332/$D$292,2)</f>
        <v>601.52</v>
      </c>
      <c r="I333" s="470">
        <f t="shared" ref="I333" si="229">ROUND(100*I332/$D$292,2)</f>
        <v>601.59</v>
      </c>
      <c r="J333" s="470">
        <f t="shared" ref="J333" si="230">ROUND(100*J332/$D$292,2)</f>
        <v>654.05999999999995</v>
      </c>
      <c r="K333" s="470">
        <f t="shared" ref="K333" si="231">ROUND(100*K332/$D$292,2)</f>
        <v>654.05999999999995</v>
      </c>
      <c r="L333" s="470">
        <f t="shared" ref="L333" si="232">ROUND(100*L332/$D$292,2)</f>
        <v>680.26</v>
      </c>
      <c r="M333" s="470">
        <f t="shared" ref="M333" si="233">ROUND(100*M332/$D$292,2)</f>
        <v>716.48</v>
      </c>
      <c r="N333" s="470">
        <f t="shared" ref="N333" si="234">ROUND(100*N332/$D$292,2)</f>
        <v>716.48</v>
      </c>
      <c r="O333" s="470">
        <f t="shared" ref="O333" si="235">ROUND(100*O332/$D$292,2)</f>
        <v>717.46</v>
      </c>
      <c r="R333" s="1559"/>
      <c r="S333" s="1559"/>
    </row>
    <row r="334" spans="2:19" ht="16.5" hidden="1" thickBot="1">
      <c r="B334" s="132" t="s">
        <v>144</v>
      </c>
      <c r="D334" s="813">
        <f t="shared" ref="D334" si="236">ROUND(+$I$175*D331+$I$176*D333,2)</f>
        <v>670.01</v>
      </c>
      <c r="E334" s="388">
        <f t="shared" ref="E334:F334" si="237">ROUND(+$I$175*E331+$I$176*E333,2)</f>
        <v>693.85</v>
      </c>
      <c r="F334" s="388">
        <f t="shared" si="237"/>
        <v>709.41</v>
      </c>
      <c r="G334" s="388">
        <f t="shared" ref="G334:H334" si="238">ROUND(+$I$175*G331+$I$176*G333,2)</f>
        <v>735.92</v>
      </c>
      <c r="H334" s="388">
        <f t="shared" si="238"/>
        <v>744.82</v>
      </c>
      <c r="I334" s="388">
        <f t="shared" ref="I334:J334" si="239">ROUND(+$I$175*I331+$I$176*I333,2)</f>
        <v>749.07</v>
      </c>
      <c r="J334" s="388">
        <f t="shared" si="239"/>
        <v>770.46</v>
      </c>
      <c r="K334" s="388">
        <f t="shared" ref="K334:L334" si="240">ROUND(+$I$175*K331+$I$176*K333,2)</f>
        <v>776.1</v>
      </c>
      <c r="L334" s="388">
        <f t="shared" si="240"/>
        <v>789.6</v>
      </c>
      <c r="M334" s="388">
        <f t="shared" ref="M334:N334" si="241">ROUND(+$I$175*M331+$I$176*M333,2)</f>
        <v>807.52</v>
      </c>
      <c r="N334" s="388">
        <f t="shared" si="241"/>
        <v>811.76</v>
      </c>
      <c r="O334" s="782">
        <f t="shared" ref="O334" si="242">ROUND(+$I$175*O331+$I$176*O333,2)</f>
        <v>823.34</v>
      </c>
      <c r="R334" s="1559"/>
      <c r="S334" s="1559"/>
    </row>
    <row r="335" spans="2:19" ht="16.5" thickBot="1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R335" s="1559"/>
      <c r="S335" s="1559"/>
    </row>
    <row r="336" spans="2:19" ht="16.5" thickBot="1">
      <c r="D336" s="2682">
        <v>2022</v>
      </c>
      <c r="E336" s="2683"/>
      <c r="F336" s="2683"/>
      <c r="G336" s="2683"/>
      <c r="H336" s="2683"/>
      <c r="I336" s="2683"/>
      <c r="J336" s="2683"/>
      <c r="K336" s="2683"/>
      <c r="L336" s="2683"/>
      <c r="M336" s="2683"/>
      <c r="N336" s="2687"/>
      <c r="O336" s="2688"/>
      <c r="R336" s="1559"/>
      <c r="S336" s="1559"/>
    </row>
    <row r="337" spans="2:19" ht="16.5" thickBot="1">
      <c r="D337" s="449" t="s">
        <v>578</v>
      </c>
      <c r="E337" s="412" t="s">
        <v>579</v>
      </c>
      <c r="F337" s="412" t="s">
        <v>580</v>
      </c>
      <c r="G337" s="454" t="s">
        <v>581</v>
      </c>
      <c r="H337" s="454" t="s">
        <v>582</v>
      </c>
      <c r="I337" s="454" t="s">
        <v>583</v>
      </c>
      <c r="J337" s="454" t="s">
        <v>587</v>
      </c>
      <c r="K337" s="465" t="s">
        <v>588</v>
      </c>
      <c r="L337" s="419" t="s">
        <v>646</v>
      </c>
      <c r="M337" s="419" t="s">
        <v>590</v>
      </c>
      <c r="N337" s="419" t="s">
        <v>586</v>
      </c>
      <c r="O337" s="417" t="s">
        <v>577</v>
      </c>
      <c r="R337" s="1559"/>
      <c r="S337" s="1559"/>
    </row>
    <row r="338" spans="2:19" ht="5.25" customHeight="1" thickBot="1">
      <c r="D338" s="435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356"/>
      <c r="R338" s="1559"/>
      <c r="S338" s="1559"/>
    </row>
    <row r="339" spans="2:19">
      <c r="B339" s="1984" t="s">
        <v>645</v>
      </c>
      <c r="D339" s="1171">
        <f t="shared" ref="D339:O339" si="243">+D162</f>
        <v>888.87</v>
      </c>
      <c r="E339" s="1786">
        <f t="shared" si="243"/>
        <v>907.01</v>
      </c>
      <c r="F339" s="1786">
        <f t="shared" si="243"/>
        <v>935.23</v>
      </c>
      <c r="G339" s="1786">
        <f t="shared" si="243"/>
        <v>969.49</v>
      </c>
      <c r="H339" s="1786">
        <f t="shared" si="243"/>
        <v>1009.8</v>
      </c>
      <c r="I339" s="1786">
        <f t="shared" si="243"/>
        <v>1046.08</v>
      </c>
      <c r="J339" s="1786">
        <f t="shared" si="243"/>
        <v>1106.55</v>
      </c>
      <c r="K339" s="1786">
        <f t="shared" si="243"/>
        <v>1142.83</v>
      </c>
      <c r="L339" s="1786">
        <f t="shared" si="243"/>
        <v>1233.53</v>
      </c>
      <c r="M339" s="1786">
        <f t="shared" si="243"/>
        <v>1310.1199999999999</v>
      </c>
      <c r="N339" s="1786">
        <f t="shared" si="243"/>
        <v>1404.85</v>
      </c>
      <c r="O339" s="1786">
        <f t="shared" si="243"/>
        <v>1477.41</v>
      </c>
      <c r="R339" s="1559"/>
      <c r="S339" s="1559"/>
    </row>
    <row r="340" spans="2:19">
      <c r="B340" s="122" t="s">
        <v>613</v>
      </c>
      <c r="D340" s="1151">
        <f>+'Insumos testigos '!IS191</f>
        <v>744.26727410782053</v>
      </c>
      <c r="E340" s="321">
        <f>+'Insumos testigos '!IT191</f>
        <v>796.81093394077413</v>
      </c>
      <c r="F340" s="321">
        <f>+'Insumos testigos '!IU191</f>
        <v>843.35611237661317</v>
      </c>
      <c r="G340" s="321">
        <f>+'Insumos testigos '!IV191</f>
        <v>843.96355353075126</v>
      </c>
      <c r="H340" s="321">
        <f>+'Insumos testigos '!IW191</f>
        <v>922.70311313591458</v>
      </c>
      <c r="I340" s="321">
        <f>+'Insumos testigos '!IX191</f>
        <v>1004.2520880789668</v>
      </c>
      <c r="J340" s="321">
        <f>+'Insumos testigos '!IY191</f>
        <v>1004.2520880789668</v>
      </c>
      <c r="K340" s="321">
        <f>+'Insumos testigos '!IZ191</f>
        <v>1069.0205011389519</v>
      </c>
      <c r="L340" s="321">
        <f>+'Insumos testigos '!JA191</f>
        <v>1170.7668944570992</v>
      </c>
      <c r="M340" s="321">
        <f>+'Insumos testigos '!JB191</f>
        <v>1277.6006074411534</v>
      </c>
      <c r="N340" s="321">
        <f>+'Insumos testigos '!JC191</f>
        <v>1378.6636294608954</v>
      </c>
      <c r="O340" s="321">
        <f>+'Insumos testigos '!JD191</f>
        <v>1513.5914958238416</v>
      </c>
      <c r="R340" s="1559"/>
      <c r="S340" s="1559"/>
    </row>
    <row r="341" spans="2:19" ht="16.5" thickBot="1">
      <c r="B341" s="132" t="s">
        <v>614</v>
      </c>
      <c r="D341" s="470">
        <f>ROUND(100*D340/$D$292,2)</f>
        <v>744.27</v>
      </c>
      <c r="E341" s="470">
        <f t="shared" ref="E341" si="244">ROUND(100*E340/$D$292,2)</f>
        <v>796.81</v>
      </c>
      <c r="F341" s="470">
        <f t="shared" ref="F341" si="245">ROUND(100*F340/$D$292,2)</f>
        <v>843.36</v>
      </c>
      <c r="G341" s="470">
        <f t="shared" ref="G341" si="246">ROUND(100*G340/$D$292,2)</f>
        <v>843.96</v>
      </c>
      <c r="H341" s="470">
        <f t="shared" ref="H341" si="247">ROUND(100*H340/$D$292,2)</f>
        <v>922.7</v>
      </c>
      <c r="I341" s="470">
        <f t="shared" ref="I341" si="248">ROUND(100*I340/$D$292,2)</f>
        <v>1004.25</v>
      </c>
      <c r="J341" s="470">
        <f t="shared" ref="J341" si="249">ROUND(100*J340/$D$292,2)</f>
        <v>1004.25</v>
      </c>
      <c r="K341" s="470">
        <f t="shared" ref="K341" si="250">ROUND(100*K340/$D$292,2)</f>
        <v>1069.02</v>
      </c>
      <c r="L341" s="470">
        <f t="shared" ref="L341" si="251">ROUND(100*L340/$D$292,2)</f>
        <v>1170.77</v>
      </c>
      <c r="M341" s="470">
        <f t="shared" ref="M341" si="252">ROUND(100*M340/$D$292,2)</f>
        <v>1277.5999999999999</v>
      </c>
      <c r="N341" s="470">
        <f t="shared" ref="N341" si="253">ROUND(100*N340/$D$292,2)</f>
        <v>1378.66</v>
      </c>
      <c r="O341" s="470">
        <f t="shared" ref="O341" si="254">ROUND(100*O340/$D$292,2)</f>
        <v>1513.59</v>
      </c>
      <c r="R341" s="1559"/>
      <c r="S341" s="1559"/>
    </row>
    <row r="342" spans="2:19" ht="16.5" thickBot="1">
      <c r="B342" s="132" t="s">
        <v>144</v>
      </c>
      <c r="D342" s="813">
        <f t="shared" ref="D342" si="255">ROUND(+$I$175*D339+$I$176*D341,2)</f>
        <v>845.49</v>
      </c>
      <c r="E342" s="388">
        <f t="shared" ref="E342:F342" si="256">ROUND(+$I$175*E339+$I$176*E341,2)</f>
        <v>873.95</v>
      </c>
      <c r="F342" s="388">
        <f t="shared" si="256"/>
        <v>907.67</v>
      </c>
      <c r="G342" s="388">
        <f t="shared" ref="G342:H342" si="257">ROUND(+$I$175*G339+$I$176*G341,2)</f>
        <v>931.83</v>
      </c>
      <c r="H342" s="388">
        <f t="shared" si="257"/>
        <v>983.67</v>
      </c>
      <c r="I342" s="388">
        <f t="shared" ref="I342:J342" si="258">ROUND(+$I$175*I339+$I$176*I341,2)</f>
        <v>1033.53</v>
      </c>
      <c r="J342" s="388">
        <f t="shared" si="258"/>
        <v>1075.8599999999999</v>
      </c>
      <c r="K342" s="388">
        <f t="shared" ref="K342:L342" si="259">ROUND(+$I$175*K339+$I$176*K341,2)</f>
        <v>1120.69</v>
      </c>
      <c r="L342" s="388">
        <f t="shared" si="259"/>
        <v>1214.7</v>
      </c>
      <c r="M342" s="388">
        <f t="shared" ref="M342" si="260">ROUND(+$I$175*M339+$I$176*M341,2)</f>
        <v>1300.3599999999999</v>
      </c>
      <c r="N342" s="388">
        <f t="shared" ref="N342:O342" si="261">ROUND(+$I$175*N339+$I$176*N341,2)</f>
        <v>1396.99</v>
      </c>
      <c r="O342" s="388">
        <f t="shared" si="261"/>
        <v>1488.26</v>
      </c>
      <c r="R342" s="1559"/>
      <c r="S342" s="1559"/>
    </row>
    <row r="343" spans="2:19" ht="16.5" thickBot="1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R343" s="1559"/>
      <c r="S343" s="1559"/>
    </row>
    <row r="344" spans="2:19" ht="16.5" thickBot="1">
      <c r="D344" s="2682">
        <v>2023</v>
      </c>
      <c r="E344" s="2683"/>
      <c r="F344" s="2683"/>
      <c r="G344" s="2683"/>
      <c r="H344" s="2683"/>
      <c r="I344" s="2683"/>
      <c r="J344" s="2683"/>
      <c r="K344" s="2683"/>
      <c r="L344" s="2683"/>
      <c r="M344" s="2683"/>
      <c r="N344" s="2687"/>
      <c r="O344" s="2688"/>
      <c r="R344" s="1559"/>
      <c r="S344" s="1559"/>
    </row>
    <row r="345" spans="2:19" ht="16.5" thickBot="1">
      <c r="D345" s="449" t="s">
        <v>578</v>
      </c>
      <c r="E345" s="412" t="s">
        <v>579</v>
      </c>
      <c r="F345" s="412" t="s">
        <v>580</v>
      </c>
      <c r="G345" s="454" t="s">
        <v>581</v>
      </c>
      <c r="H345" s="454" t="s">
        <v>582</v>
      </c>
      <c r="I345" s="454" t="s">
        <v>583</v>
      </c>
      <c r="J345" s="454" t="s">
        <v>587</v>
      </c>
      <c r="K345" s="465" t="s">
        <v>588</v>
      </c>
      <c r="L345" s="419" t="s">
        <v>646</v>
      </c>
      <c r="M345" s="419" t="s">
        <v>590</v>
      </c>
      <c r="N345" s="419" t="s">
        <v>586</v>
      </c>
      <c r="O345" s="417" t="s">
        <v>577</v>
      </c>
      <c r="R345" s="1559"/>
      <c r="S345" s="1559"/>
    </row>
    <row r="346" spans="2:19" ht="5.25" customHeight="1" thickBot="1">
      <c r="D346" s="435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356"/>
      <c r="R346" s="1559"/>
      <c r="S346" s="1559"/>
    </row>
    <row r="347" spans="2:19">
      <c r="B347" s="2440" t="s">
        <v>645</v>
      </c>
      <c r="D347" s="451">
        <f>+D169</f>
        <v>1558.04</v>
      </c>
      <c r="E347" s="1147">
        <f>+E169</f>
        <v>1644.71</v>
      </c>
      <c r="F347" s="1786">
        <f t="shared" ref="F347:O347" si="262">+F169</f>
        <v>0</v>
      </c>
      <c r="G347" s="1786">
        <f t="shared" si="262"/>
        <v>0</v>
      </c>
      <c r="H347" s="1786">
        <f t="shared" si="262"/>
        <v>0</v>
      </c>
      <c r="I347" s="1786">
        <f t="shared" si="262"/>
        <v>0</v>
      </c>
      <c r="J347" s="1786">
        <f t="shared" si="262"/>
        <v>0</v>
      </c>
      <c r="K347" s="1786">
        <f t="shared" si="262"/>
        <v>0</v>
      </c>
      <c r="L347" s="1786">
        <f t="shared" si="262"/>
        <v>0</v>
      </c>
      <c r="M347" s="1786">
        <f t="shared" si="262"/>
        <v>0</v>
      </c>
      <c r="N347" s="1786">
        <f t="shared" si="262"/>
        <v>0</v>
      </c>
      <c r="O347" s="1786">
        <f t="shared" si="262"/>
        <v>0</v>
      </c>
      <c r="R347" s="1559"/>
      <c r="S347" s="1559"/>
    </row>
    <row r="348" spans="2:19">
      <c r="B348" s="122" t="s">
        <v>613</v>
      </c>
      <c r="D348" s="321">
        <f>+'Insumos testigos '!JE191</f>
        <v>1613.9711465451778</v>
      </c>
      <c r="E348" s="2503">
        <f>+'Insumos testigos '!JF191</f>
        <v>1718.0713743356105</v>
      </c>
      <c r="F348" s="321"/>
      <c r="G348" s="321"/>
      <c r="H348" s="321"/>
      <c r="I348" s="321"/>
      <c r="J348" s="321"/>
      <c r="K348" s="321"/>
      <c r="L348" s="321"/>
      <c r="M348" s="321"/>
      <c r="N348" s="321"/>
      <c r="O348" s="321"/>
      <c r="R348" s="1559"/>
      <c r="S348" s="1559"/>
    </row>
    <row r="349" spans="2:19" ht="16.5" thickBot="1">
      <c r="B349" s="132" t="s">
        <v>614</v>
      </c>
      <c r="D349" s="470">
        <f>ROUND(100*D348/$D$292,2)</f>
        <v>1613.97</v>
      </c>
      <c r="E349" s="2504">
        <f>ROUND(100*E348/$D$292,2)</f>
        <v>1718.07</v>
      </c>
      <c r="F349" s="470">
        <f t="shared" ref="F349" si="263">ROUND(100*F348/$D$292,2)</f>
        <v>0</v>
      </c>
      <c r="G349" s="470">
        <f t="shared" ref="G349" si="264">ROUND(100*G348/$D$292,2)</f>
        <v>0</v>
      </c>
      <c r="H349" s="470">
        <f t="shared" ref="H349" si="265">ROUND(100*H348/$D$292,2)</f>
        <v>0</v>
      </c>
      <c r="I349" s="470">
        <f t="shared" ref="I349" si="266">ROUND(100*I348/$D$292,2)</f>
        <v>0</v>
      </c>
      <c r="J349" s="470">
        <f t="shared" ref="J349" si="267">ROUND(100*J348/$D$292,2)</f>
        <v>0</v>
      </c>
      <c r="K349" s="470">
        <f t="shared" ref="K349" si="268">ROUND(100*K348/$D$292,2)</f>
        <v>0</v>
      </c>
      <c r="L349" s="470">
        <f t="shared" ref="L349" si="269">ROUND(100*L348/$D$292,2)</f>
        <v>0</v>
      </c>
      <c r="M349" s="470">
        <f t="shared" ref="M349" si="270">ROUND(100*M348/$D$292,2)</f>
        <v>0</v>
      </c>
      <c r="N349" s="470">
        <f t="shared" ref="N349" si="271">ROUND(100*N348/$D$292,2)</f>
        <v>0</v>
      </c>
      <c r="O349" s="470">
        <f t="shared" ref="O349" si="272">ROUND(100*O348/$D$292,2)</f>
        <v>0</v>
      </c>
      <c r="R349" s="1559"/>
      <c r="S349" s="1559"/>
    </row>
    <row r="350" spans="2:19" ht="16.5" thickBot="1">
      <c r="B350" s="132" t="s">
        <v>144</v>
      </c>
      <c r="D350" s="813">
        <f t="shared" ref="D350:O350" si="273">ROUND(+$I$175*D347+$I$176*D349,2)</f>
        <v>1574.82</v>
      </c>
      <c r="E350" s="813">
        <f t="shared" ref="E350" si="274">ROUND(+$I$175*E347+$I$176*E349,2)</f>
        <v>1666.72</v>
      </c>
      <c r="F350" s="388">
        <f t="shared" si="273"/>
        <v>0</v>
      </c>
      <c r="G350" s="388">
        <f t="shared" si="273"/>
        <v>0</v>
      </c>
      <c r="H350" s="388">
        <f t="shared" si="273"/>
        <v>0</v>
      </c>
      <c r="I350" s="388">
        <f t="shared" si="273"/>
        <v>0</v>
      </c>
      <c r="J350" s="388">
        <f t="shared" si="273"/>
        <v>0</v>
      </c>
      <c r="K350" s="388">
        <f t="shared" si="273"/>
        <v>0</v>
      </c>
      <c r="L350" s="388">
        <f t="shared" si="273"/>
        <v>0</v>
      </c>
      <c r="M350" s="388">
        <f t="shared" si="273"/>
        <v>0</v>
      </c>
      <c r="N350" s="388">
        <f t="shared" si="273"/>
        <v>0</v>
      </c>
      <c r="O350" s="388">
        <f t="shared" si="273"/>
        <v>0</v>
      </c>
      <c r="R350" s="1559"/>
      <c r="S350" s="1559"/>
    </row>
    <row r="351" spans="2:19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R351" s="1559"/>
      <c r="S351" s="1559"/>
    </row>
    <row r="352" spans="2:19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R352" s="1559"/>
      <c r="S352" s="1559"/>
    </row>
    <row r="353" spans="2:19" hidden="1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R353" s="1559"/>
      <c r="S353" s="1559"/>
    </row>
    <row r="354" spans="2:19" hidden="1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R354" s="1559"/>
      <c r="S354" s="1559"/>
    </row>
    <row r="355" spans="2:19" hidden="1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R355" s="1559"/>
      <c r="S355" s="1559"/>
    </row>
    <row r="356" spans="2:19" ht="7.5" hidden="1" customHeight="1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R356" s="1559"/>
      <c r="S356" s="1559"/>
    </row>
    <row r="357" spans="2:19" hidden="1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R357" s="1559"/>
      <c r="S357" s="1559"/>
    </row>
    <row r="358" spans="2:19">
      <c r="B358" s="2690" t="s">
        <v>633</v>
      </c>
      <c r="C358" s="2690"/>
      <c r="D358" s="2690"/>
      <c r="E358" s="2690"/>
      <c r="F358" s="2690"/>
      <c r="G358" s="2690"/>
      <c r="H358" s="2690"/>
      <c r="I358" s="2690"/>
      <c r="J358" s="2690"/>
      <c r="K358" s="2690"/>
      <c r="L358" s="2690"/>
      <c r="M358" s="138"/>
      <c r="N358" s="138"/>
      <c r="O358" s="138"/>
      <c r="R358" s="1559"/>
      <c r="S358" s="1559"/>
    </row>
    <row r="359" spans="2:19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R359" s="1559"/>
      <c r="S359" s="1559"/>
    </row>
    <row r="360" spans="2:19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R360" s="1559"/>
      <c r="S360" s="1559"/>
    </row>
    <row r="361" spans="2:19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R361" s="1559"/>
      <c r="S361" s="1559"/>
    </row>
    <row r="362" spans="2:19">
      <c r="B362" s="3" t="s">
        <v>647</v>
      </c>
      <c r="C362" s="3"/>
      <c r="R362" s="1559"/>
      <c r="S362" s="1559"/>
    </row>
    <row r="363" spans="2:19" ht="7.5" customHeight="1">
      <c r="B363" s="3"/>
      <c r="C363" s="3"/>
      <c r="R363" s="1559"/>
      <c r="S363" s="1559"/>
    </row>
    <row r="364" spans="2:19" ht="17.25" customHeight="1">
      <c r="B364" s="132" t="s">
        <v>648</v>
      </c>
      <c r="R364" s="1559"/>
      <c r="S364" s="1559"/>
    </row>
    <row r="365" spans="2:19" ht="15" customHeight="1">
      <c r="B365" s="132" t="s">
        <v>649</v>
      </c>
      <c r="R365" s="1559"/>
      <c r="S365" s="1559"/>
    </row>
    <row r="366" spans="2:19" ht="17.25" hidden="1" customHeight="1" thickBot="1">
      <c r="B366" s="294"/>
      <c r="C366" s="294"/>
      <c r="D366" s="295"/>
      <c r="E366" s="295"/>
      <c r="F366" s="295"/>
      <c r="G366" s="295"/>
      <c r="H366" s="295"/>
      <c r="I366" s="296"/>
      <c r="R366" s="1559"/>
      <c r="S366" s="1559"/>
    </row>
    <row r="367" spans="2:19" ht="16.5" hidden="1" thickBot="1">
      <c r="C367" s="415">
        <v>2001</v>
      </c>
      <c r="D367" s="2682">
        <v>2002</v>
      </c>
      <c r="E367" s="2683"/>
      <c r="F367" s="2683"/>
      <c r="G367" s="2683"/>
      <c r="H367" s="2683"/>
      <c r="I367" s="2683"/>
      <c r="J367" s="2683"/>
      <c r="K367" s="2683"/>
      <c r="L367" s="2683"/>
      <c r="M367" s="2683"/>
      <c r="N367" s="2683"/>
      <c r="O367" s="2684"/>
      <c r="P367" s="122"/>
      <c r="Q367" s="400"/>
      <c r="R367" s="1559"/>
      <c r="S367" s="1559"/>
    </row>
    <row r="368" spans="2:19" ht="16.5" hidden="1" thickBot="1">
      <c r="C368" s="414" t="s">
        <v>577</v>
      </c>
      <c r="D368" s="449" t="s">
        <v>578</v>
      </c>
      <c r="E368" s="412" t="s">
        <v>579</v>
      </c>
      <c r="F368" s="412" t="s">
        <v>580</v>
      </c>
      <c r="G368" s="412" t="s">
        <v>581</v>
      </c>
      <c r="H368" s="412" t="s">
        <v>582</v>
      </c>
      <c r="I368" s="412" t="s">
        <v>583</v>
      </c>
      <c r="J368" s="412" t="s">
        <v>636</v>
      </c>
      <c r="K368" s="412" t="s">
        <v>637</v>
      </c>
      <c r="L368" s="412" t="s">
        <v>638</v>
      </c>
      <c r="M368" s="412" t="s">
        <v>639</v>
      </c>
      <c r="N368" s="412" t="s">
        <v>586</v>
      </c>
      <c r="O368" s="413" t="s">
        <v>577</v>
      </c>
      <c r="P368" s="122"/>
      <c r="Q368" s="7"/>
      <c r="R368" s="1559"/>
      <c r="S368" s="1559"/>
    </row>
    <row r="369" spans="2:24" ht="16.5" hidden="1" customHeight="1">
      <c r="B369" s="152" t="s">
        <v>145</v>
      </c>
      <c r="C369" s="463">
        <v>102.51</v>
      </c>
      <c r="D369" s="464">
        <v>109.63</v>
      </c>
      <c r="E369" s="451">
        <v>110.4</v>
      </c>
      <c r="F369" s="464">
        <v>111.17</v>
      </c>
      <c r="G369" s="464">
        <v>155.93</v>
      </c>
      <c r="H369" s="464">
        <v>181.87</v>
      </c>
      <c r="I369" s="464">
        <v>206.25</v>
      </c>
      <c r="J369" s="464">
        <v>211.74</v>
      </c>
      <c r="K369" s="464">
        <v>212</v>
      </c>
      <c r="L369" s="464">
        <v>211.41</v>
      </c>
      <c r="M369" s="464">
        <v>215.08</v>
      </c>
      <c r="N369" s="464">
        <v>215.2</v>
      </c>
      <c r="O369" s="468">
        <v>216.22</v>
      </c>
      <c r="P369" s="122"/>
      <c r="Q369" s="9"/>
      <c r="R369" s="1559"/>
      <c r="S369" s="1559"/>
    </row>
    <row r="370" spans="2:24" ht="6.75" hidden="1" customHeight="1" thickBot="1">
      <c r="C370" s="369"/>
      <c r="D370" s="436"/>
      <c r="E370" s="436"/>
      <c r="F370" s="436"/>
      <c r="G370" s="436"/>
      <c r="H370" s="436"/>
      <c r="I370" s="436"/>
      <c r="J370" s="436"/>
      <c r="K370" s="436"/>
      <c r="L370" s="436"/>
      <c r="M370" s="436"/>
      <c r="N370" s="436"/>
      <c r="O370" s="485"/>
      <c r="R370" s="1559"/>
      <c r="S370" s="1559"/>
    </row>
    <row r="371" spans="2:24" ht="16.5" hidden="1" thickBot="1">
      <c r="B371" s="3" t="s">
        <v>623</v>
      </c>
      <c r="C371" s="136">
        <f t="shared" ref="C371:O371" si="275">ROUND(100*C369/$C$369,2)</f>
        <v>100</v>
      </c>
      <c r="D371" s="136">
        <f t="shared" si="275"/>
        <v>106.95</v>
      </c>
      <c r="E371" s="136">
        <f t="shared" si="275"/>
        <v>107.7</v>
      </c>
      <c r="F371" s="136">
        <f t="shared" si="275"/>
        <v>108.45</v>
      </c>
      <c r="G371" s="136">
        <f t="shared" si="275"/>
        <v>152.11000000000001</v>
      </c>
      <c r="H371" s="136">
        <f t="shared" si="275"/>
        <v>177.42</v>
      </c>
      <c r="I371" s="136">
        <f t="shared" si="275"/>
        <v>201.2</v>
      </c>
      <c r="J371" s="136">
        <f t="shared" si="275"/>
        <v>206.56</v>
      </c>
      <c r="K371" s="136">
        <f t="shared" si="275"/>
        <v>206.81</v>
      </c>
      <c r="L371" s="136">
        <f t="shared" si="275"/>
        <v>206.23</v>
      </c>
      <c r="M371" s="136">
        <f t="shared" si="275"/>
        <v>209.81</v>
      </c>
      <c r="N371" s="136">
        <f t="shared" si="275"/>
        <v>209.93</v>
      </c>
      <c r="O371" s="136">
        <f t="shared" si="275"/>
        <v>210.93</v>
      </c>
      <c r="R371" s="1559"/>
      <c r="S371" s="1559"/>
    </row>
    <row r="372" spans="2:24" ht="16.5" hidden="1" thickBot="1">
      <c r="B372" s="269"/>
      <c r="C372" s="269"/>
      <c r="D372" s="138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R372" s="1559"/>
      <c r="S372" s="1642">
        <v>1262.28</v>
      </c>
      <c r="T372" s="50">
        <v>1295.95</v>
      </c>
      <c r="U372" s="50">
        <v>1427.92</v>
      </c>
      <c r="V372" s="50">
        <v>1630.31</v>
      </c>
      <c r="W372" s="50">
        <v>1758.74</v>
      </c>
      <c r="X372" s="50">
        <v>1874.84</v>
      </c>
    </row>
    <row r="373" spans="2:24" ht="16.5" hidden="1" thickBot="1">
      <c r="B373" s="269"/>
      <c r="C373" s="269"/>
      <c r="D373" s="2682">
        <v>2003</v>
      </c>
      <c r="E373" s="2683"/>
      <c r="F373" s="2683"/>
      <c r="G373" s="2683"/>
      <c r="H373" s="2683"/>
      <c r="I373" s="2683"/>
      <c r="J373" s="2683"/>
      <c r="K373" s="2683"/>
      <c r="L373" s="2683"/>
      <c r="M373" s="2683"/>
      <c r="N373" s="2683"/>
      <c r="O373" s="2688"/>
      <c r="R373" s="1559"/>
      <c r="S373" s="1559"/>
    </row>
    <row r="374" spans="2:24" hidden="1">
      <c r="B374" s="269"/>
      <c r="C374" s="269"/>
      <c r="D374" s="458" t="s">
        <v>578</v>
      </c>
      <c r="E374" s="403" t="s">
        <v>579</v>
      </c>
      <c r="F374" s="403" t="s">
        <v>580</v>
      </c>
      <c r="G374" s="459" t="s">
        <v>581</v>
      </c>
      <c r="H374" s="459" t="s">
        <v>582</v>
      </c>
      <c r="I374" s="459" t="s">
        <v>583</v>
      </c>
      <c r="J374" s="460" t="s">
        <v>587</v>
      </c>
      <c r="K374" s="459" t="s">
        <v>588</v>
      </c>
      <c r="L374" s="403" t="s">
        <v>646</v>
      </c>
      <c r="M374" s="403" t="s">
        <v>590</v>
      </c>
      <c r="N374" s="403" t="s">
        <v>610</v>
      </c>
      <c r="O374" s="403" t="s">
        <v>577</v>
      </c>
      <c r="R374" s="1559"/>
      <c r="S374" s="1559"/>
    </row>
    <row r="375" spans="2:24" hidden="1">
      <c r="B375" s="132" t="s">
        <v>650</v>
      </c>
      <c r="D375" s="328">
        <v>210.1</v>
      </c>
      <c r="E375" s="283">
        <v>208.35</v>
      </c>
      <c r="F375" s="283">
        <v>207.22</v>
      </c>
      <c r="G375" s="307">
        <v>205.53</v>
      </c>
      <c r="H375" s="307">
        <v>203.5</v>
      </c>
      <c r="I375" s="307">
        <v>204.6</v>
      </c>
      <c r="J375" s="330">
        <v>206.01</v>
      </c>
      <c r="K375" s="307">
        <v>208.85</v>
      </c>
      <c r="L375" s="283">
        <v>207.19</v>
      </c>
      <c r="M375" s="283">
        <v>206.79</v>
      </c>
      <c r="N375" s="283">
        <v>207.26</v>
      </c>
      <c r="O375" s="283">
        <v>211.61</v>
      </c>
      <c r="R375" s="1559"/>
      <c r="S375" s="1559"/>
    </row>
    <row r="376" spans="2:24" ht="6" hidden="1" customHeight="1" thickBot="1">
      <c r="G376" s="137"/>
      <c r="H376" s="137"/>
      <c r="I376" s="137"/>
      <c r="J376" s="137"/>
      <c r="K376" s="137"/>
      <c r="L376" s="137"/>
      <c r="M376" s="137"/>
      <c r="N376" s="137"/>
      <c r="R376" s="1559"/>
      <c r="S376" s="1559"/>
    </row>
    <row r="377" spans="2:24" ht="16.5" hidden="1" thickBot="1">
      <c r="B377" s="3" t="s">
        <v>623</v>
      </c>
      <c r="C377" s="3"/>
      <c r="D377" s="136">
        <f t="shared" ref="D377:O377" si="276">ROUND(100*D375/$C$369,2)</f>
        <v>204.96</v>
      </c>
      <c r="E377" s="136">
        <f t="shared" si="276"/>
        <v>203.25</v>
      </c>
      <c r="F377" s="136">
        <f t="shared" si="276"/>
        <v>202.15</v>
      </c>
      <c r="G377" s="136">
        <f t="shared" si="276"/>
        <v>200.5</v>
      </c>
      <c r="H377" s="136">
        <f t="shared" si="276"/>
        <v>198.52</v>
      </c>
      <c r="I377" s="136">
        <f t="shared" si="276"/>
        <v>199.59</v>
      </c>
      <c r="J377" s="136">
        <f t="shared" si="276"/>
        <v>200.97</v>
      </c>
      <c r="K377" s="136">
        <f t="shared" si="276"/>
        <v>203.74</v>
      </c>
      <c r="L377" s="136">
        <f t="shared" si="276"/>
        <v>202.12</v>
      </c>
      <c r="M377" s="136">
        <f t="shared" si="276"/>
        <v>201.73</v>
      </c>
      <c r="N377" s="136">
        <f t="shared" si="276"/>
        <v>202.19</v>
      </c>
      <c r="O377" s="136">
        <f t="shared" si="276"/>
        <v>206.43</v>
      </c>
      <c r="R377" s="1559"/>
      <c r="S377" s="1559"/>
    </row>
    <row r="378" spans="2:24" ht="16.5" hidden="1" thickBot="1">
      <c r="R378" s="1559"/>
      <c r="S378" s="1559"/>
    </row>
    <row r="379" spans="2:24" ht="16.5" hidden="1" thickBot="1">
      <c r="B379" s="269"/>
      <c r="C379" s="269"/>
      <c r="D379" s="2682">
        <v>2004</v>
      </c>
      <c r="E379" s="2683"/>
      <c r="F379" s="2683"/>
      <c r="G379" s="2683"/>
      <c r="H379" s="2683"/>
      <c r="I379" s="2683"/>
      <c r="J379" s="2683"/>
      <c r="K379" s="2683"/>
      <c r="L379" s="2683"/>
      <c r="M379" s="2683"/>
      <c r="N379" s="2683"/>
      <c r="O379" s="2688"/>
      <c r="R379" s="1559"/>
      <c r="S379" s="1559"/>
    </row>
    <row r="380" spans="2:24" hidden="1">
      <c r="B380" s="269"/>
      <c r="C380" s="269"/>
      <c r="D380" s="458" t="s">
        <v>578</v>
      </c>
      <c r="E380" s="403" t="s">
        <v>579</v>
      </c>
      <c r="F380" s="403" t="s">
        <v>580</v>
      </c>
      <c r="G380" s="459" t="s">
        <v>581</v>
      </c>
      <c r="H380" s="459" t="s">
        <v>582</v>
      </c>
      <c r="I380" s="459" t="s">
        <v>583</v>
      </c>
      <c r="J380" s="460" t="s">
        <v>587</v>
      </c>
      <c r="K380" s="459" t="s">
        <v>588</v>
      </c>
      <c r="L380" s="403" t="s">
        <v>646</v>
      </c>
      <c r="M380" s="403" t="s">
        <v>590</v>
      </c>
      <c r="N380" s="403" t="s">
        <v>610</v>
      </c>
      <c r="O380" s="403" t="s">
        <v>577</v>
      </c>
      <c r="R380" s="1559"/>
      <c r="S380" s="1559"/>
    </row>
    <row r="381" spans="2:24" hidden="1">
      <c r="B381" s="132" t="s">
        <v>650</v>
      </c>
      <c r="D381" s="328">
        <v>212.97</v>
      </c>
      <c r="E381" s="283">
        <v>217.55</v>
      </c>
      <c r="F381" s="283">
        <v>223.19</v>
      </c>
      <c r="G381" s="307">
        <v>224.48</v>
      </c>
      <c r="H381" s="307">
        <v>230.5</v>
      </c>
      <c r="I381" s="307">
        <v>232.9</v>
      </c>
      <c r="J381" s="330">
        <v>233.41</v>
      </c>
      <c r="K381" s="307">
        <v>236.4</v>
      </c>
      <c r="L381" s="283">
        <v>236.93</v>
      </c>
      <c r="M381" s="283">
        <v>237.47</v>
      </c>
      <c r="N381" s="283">
        <v>237.59</v>
      </c>
      <c r="O381" s="283">
        <v>240.15</v>
      </c>
      <c r="R381" s="1559"/>
      <c r="S381" s="1559"/>
    </row>
    <row r="382" spans="2:24" ht="6" hidden="1" customHeight="1" thickBot="1">
      <c r="G382" s="137"/>
      <c r="H382" s="137"/>
      <c r="I382" s="137"/>
      <c r="J382" s="137"/>
      <c r="K382" s="137"/>
      <c r="L382" s="137"/>
      <c r="M382" s="137"/>
      <c r="N382" s="137"/>
      <c r="R382" s="1559"/>
      <c r="S382" s="1559"/>
    </row>
    <row r="383" spans="2:24" ht="16.5" hidden="1" thickBot="1">
      <c r="B383" s="3" t="s">
        <v>623</v>
      </c>
      <c r="C383" s="3"/>
      <c r="D383" s="136">
        <f t="shared" ref="D383:O383" si="277">ROUND(100*D381/$C$369,2)</f>
        <v>207.76</v>
      </c>
      <c r="E383" s="136">
        <f t="shared" si="277"/>
        <v>212.22</v>
      </c>
      <c r="F383" s="136">
        <f t="shared" si="277"/>
        <v>217.73</v>
      </c>
      <c r="G383" s="136">
        <f t="shared" si="277"/>
        <v>218.98</v>
      </c>
      <c r="H383" s="136">
        <f t="shared" si="277"/>
        <v>224.86</v>
      </c>
      <c r="I383" s="136">
        <f t="shared" si="277"/>
        <v>227.2</v>
      </c>
      <c r="J383" s="136">
        <f t="shared" si="277"/>
        <v>227.69</v>
      </c>
      <c r="K383" s="136">
        <f t="shared" si="277"/>
        <v>230.61</v>
      </c>
      <c r="L383" s="136">
        <f t="shared" si="277"/>
        <v>231.13</v>
      </c>
      <c r="M383" s="136">
        <f t="shared" si="277"/>
        <v>231.66</v>
      </c>
      <c r="N383" s="136">
        <f t="shared" si="277"/>
        <v>231.77</v>
      </c>
      <c r="O383" s="136">
        <f t="shared" si="277"/>
        <v>234.27</v>
      </c>
      <c r="R383" s="1559"/>
      <c r="S383" s="1559"/>
    </row>
    <row r="384" spans="2:24" ht="16.5" hidden="1" thickBot="1">
      <c r="B384" s="3"/>
      <c r="C384" s="3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R384" s="1559"/>
      <c r="S384" s="1559"/>
    </row>
    <row r="385" spans="2:19" ht="16.5" hidden="1" thickBot="1">
      <c r="B385" s="269"/>
      <c r="C385" s="269"/>
      <c r="D385" s="2682">
        <v>2005</v>
      </c>
      <c r="E385" s="2683"/>
      <c r="F385" s="2683"/>
      <c r="G385" s="2683"/>
      <c r="H385" s="2683"/>
      <c r="I385" s="2683"/>
      <c r="J385" s="2683"/>
      <c r="K385" s="2683"/>
      <c r="L385" s="2683"/>
      <c r="M385" s="2683"/>
      <c r="N385" s="2683"/>
      <c r="O385" s="2688"/>
      <c r="R385" s="1559"/>
      <c r="S385" s="1559"/>
    </row>
    <row r="386" spans="2:19" hidden="1">
      <c r="B386" s="269"/>
      <c r="C386" s="269"/>
      <c r="D386" s="458" t="s">
        <v>578</v>
      </c>
      <c r="E386" s="403" t="s">
        <v>579</v>
      </c>
      <c r="F386" s="403" t="s">
        <v>580</v>
      </c>
      <c r="G386" s="459" t="s">
        <v>581</v>
      </c>
      <c r="H386" s="459" t="s">
        <v>582</v>
      </c>
      <c r="I386" s="459" t="s">
        <v>583</v>
      </c>
      <c r="J386" s="460" t="s">
        <v>587</v>
      </c>
      <c r="K386" s="459" t="s">
        <v>588</v>
      </c>
      <c r="L386" s="403" t="s">
        <v>646</v>
      </c>
      <c r="M386" s="403" t="s">
        <v>590</v>
      </c>
      <c r="N386" s="403" t="s">
        <v>610</v>
      </c>
      <c r="O386" s="403" t="s">
        <v>577</v>
      </c>
      <c r="R386" s="1559"/>
      <c r="S386" s="1559"/>
    </row>
    <row r="387" spans="2:19" hidden="1">
      <c r="B387" s="132" t="s">
        <v>523</v>
      </c>
      <c r="D387" s="328">
        <v>216.17</v>
      </c>
      <c r="E387" s="283">
        <v>250.89</v>
      </c>
      <c r="F387" s="283">
        <v>252.02</v>
      </c>
      <c r="G387" s="307">
        <v>251.9</v>
      </c>
      <c r="H387" s="307">
        <v>252.86</v>
      </c>
      <c r="I387" s="307">
        <v>253.4</v>
      </c>
      <c r="J387" s="330">
        <v>255</v>
      </c>
      <c r="K387" s="307">
        <v>257.06</v>
      </c>
      <c r="L387" s="283">
        <v>261.47000000000003</v>
      </c>
      <c r="M387" s="283">
        <v>263.62</v>
      </c>
      <c r="N387" s="283">
        <v>264.24</v>
      </c>
      <c r="O387" s="283">
        <f>+'TABLA FINAL '!BG103</f>
        <v>268.44</v>
      </c>
      <c r="R387" s="1559"/>
      <c r="S387" s="1559"/>
    </row>
    <row r="388" spans="2:19" ht="6" hidden="1" customHeight="1" thickBot="1">
      <c r="G388" s="137"/>
      <c r="H388" s="137"/>
      <c r="I388" s="137"/>
      <c r="J388" s="137"/>
      <c r="K388" s="137"/>
      <c r="L388" s="137"/>
      <c r="M388" s="137"/>
      <c r="N388" s="137"/>
      <c r="R388" s="1559"/>
      <c r="S388" s="1559"/>
    </row>
    <row r="389" spans="2:19" ht="16.5" hidden="1" thickBot="1">
      <c r="B389" s="3" t="s">
        <v>623</v>
      </c>
      <c r="C389" s="3"/>
      <c r="D389" s="136">
        <f t="shared" ref="D389:O389" si="278">ROUND(100*D387/$C$369,2)</f>
        <v>210.88</v>
      </c>
      <c r="E389" s="136">
        <f t="shared" si="278"/>
        <v>244.75</v>
      </c>
      <c r="F389" s="136">
        <f t="shared" si="278"/>
        <v>245.85</v>
      </c>
      <c r="G389" s="136">
        <f t="shared" si="278"/>
        <v>245.73</v>
      </c>
      <c r="H389" s="136">
        <f t="shared" si="278"/>
        <v>246.67</v>
      </c>
      <c r="I389" s="136">
        <f t="shared" si="278"/>
        <v>247.2</v>
      </c>
      <c r="J389" s="136">
        <f t="shared" si="278"/>
        <v>248.76</v>
      </c>
      <c r="K389" s="136">
        <f t="shared" si="278"/>
        <v>250.77</v>
      </c>
      <c r="L389" s="136">
        <f t="shared" si="278"/>
        <v>255.07</v>
      </c>
      <c r="M389" s="136">
        <f t="shared" si="278"/>
        <v>257.17</v>
      </c>
      <c r="N389" s="136">
        <f t="shared" si="278"/>
        <v>257.77</v>
      </c>
      <c r="O389" s="136">
        <f t="shared" si="278"/>
        <v>261.87</v>
      </c>
      <c r="R389" s="1559"/>
      <c r="S389" s="1559"/>
    </row>
    <row r="390" spans="2:19" ht="16.5" hidden="1" thickBot="1">
      <c r="D390" s="438"/>
      <c r="R390" s="1559"/>
      <c r="S390" s="1559"/>
    </row>
    <row r="391" spans="2:19" ht="16.5" hidden="1" thickBot="1">
      <c r="B391" s="269"/>
      <c r="C391" s="269"/>
      <c r="D391" s="2682">
        <v>2006</v>
      </c>
      <c r="E391" s="2683"/>
      <c r="F391" s="2683"/>
      <c r="G391" s="2683"/>
      <c r="H391" s="2683"/>
      <c r="I391" s="2683"/>
      <c r="J391" s="2683"/>
      <c r="K391" s="2683"/>
      <c r="L391" s="2683"/>
      <c r="M391" s="2683"/>
      <c r="N391" s="2683"/>
      <c r="O391" s="2688"/>
      <c r="R391" s="1559"/>
      <c r="S391" s="1559"/>
    </row>
    <row r="392" spans="2:19" hidden="1">
      <c r="B392" s="269"/>
      <c r="C392" s="269"/>
      <c r="D392" s="458" t="s">
        <v>578</v>
      </c>
      <c r="E392" s="403" t="s">
        <v>579</v>
      </c>
      <c r="F392" s="403" t="s">
        <v>580</v>
      </c>
      <c r="G392" s="459" t="s">
        <v>581</v>
      </c>
      <c r="H392" s="459" t="s">
        <v>582</v>
      </c>
      <c r="I392" s="459" t="s">
        <v>583</v>
      </c>
      <c r="J392" s="460" t="s">
        <v>587</v>
      </c>
      <c r="K392" s="459" t="s">
        <v>588</v>
      </c>
      <c r="L392" s="403" t="s">
        <v>646</v>
      </c>
      <c r="M392" s="403" t="s">
        <v>590</v>
      </c>
      <c r="N392" s="403" t="s">
        <v>610</v>
      </c>
      <c r="O392" s="476" t="s">
        <v>577</v>
      </c>
      <c r="R392" s="1559"/>
      <c r="S392" s="1559"/>
    </row>
    <row r="393" spans="2:19" ht="16.5" hidden="1" thickBot="1">
      <c r="B393" s="132" t="s">
        <v>145</v>
      </c>
      <c r="D393" s="297">
        <v>270.8</v>
      </c>
      <c r="E393" s="282">
        <v>272.8</v>
      </c>
      <c r="F393" s="282">
        <v>275.3</v>
      </c>
      <c r="G393" s="470">
        <v>275.99</v>
      </c>
      <c r="H393" s="470">
        <v>276.68</v>
      </c>
      <c r="I393" s="470">
        <v>280.37</v>
      </c>
      <c r="J393" s="477">
        <v>284.91000000000003</v>
      </c>
      <c r="K393" s="470">
        <f>+'TABLA FINAL '!BO103</f>
        <v>288.25</v>
      </c>
      <c r="L393" s="470">
        <f>+'TABLA FINAL '!BP103</f>
        <v>290.45</v>
      </c>
      <c r="M393" s="470">
        <f>+'TABLA FINAL '!BQ103</f>
        <v>292.33</v>
      </c>
      <c r="N393" s="470">
        <f>+'TABLA FINAL '!BR103</f>
        <v>291.57</v>
      </c>
      <c r="O393" s="478">
        <f>+'TABLA FINAL '!BS103</f>
        <v>292.86</v>
      </c>
      <c r="R393" s="1559"/>
      <c r="S393" s="1559"/>
    </row>
    <row r="394" spans="2:19" ht="6.75" hidden="1" customHeight="1" thickBot="1">
      <c r="G394" s="137"/>
      <c r="H394" s="137"/>
      <c r="I394" s="137"/>
      <c r="J394" s="137"/>
      <c r="K394" s="137"/>
      <c r="L394" s="137"/>
      <c r="M394" s="137"/>
      <c r="N394" s="137"/>
      <c r="O394" s="137"/>
      <c r="R394" s="1559"/>
      <c r="S394" s="1559"/>
    </row>
    <row r="395" spans="2:19" ht="16.5" hidden="1" thickBot="1">
      <c r="B395" s="3" t="s">
        <v>623</v>
      </c>
      <c r="C395" s="3"/>
      <c r="D395" s="136">
        <f t="shared" ref="D395:O395" si="279">ROUND(100*D393/$C$369,2)</f>
        <v>264.17</v>
      </c>
      <c r="E395" s="136">
        <f t="shared" si="279"/>
        <v>266.12</v>
      </c>
      <c r="F395" s="136">
        <f t="shared" si="279"/>
        <v>268.56</v>
      </c>
      <c r="G395" s="136">
        <f t="shared" si="279"/>
        <v>269.23</v>
      </c>
      <c r="H395" s="136">
        <f t="shared" si="279"/>
        <v>269.91000000000003</v>
      </c>
      <c r="I395" s="136">
        <f t="shared" si="279"/>
        <v>273.51</v>
      </c>
      <c r="J395" s="136">
        <f t="shared" si="279"/>
        <v>277.93</v>
      </c>
      <c r="K395" s="136">
        <f t="shared" si="279"/>
        <v>281.19</v>
      </c>
      <c r="L395" s="136">
        <f t="shared" si="279"/>
        <v>283.33999999999997</v>
      </c>
      <c r="M395" s="136">
        <f t="shared" si="279"/>
        <v>285.17</v>
      </c>
      <c r="N395" s="136">
        <f t="shared" si="279"/>
        <v>284.43</v>
      </c>
      <c r="O395" s="136">
        <f t="shared" si="279"/>
        <v>285.69</v>
      </c>
      <c r="R395" s="1559"/>
      <c r="S395" s="1559"/>
    </row>
    <row r="396" spans="2:19" ht="16.5" hidden="1" thickBot="1">
      <c r="B396" s="3"/>
      <c r="C396" s="3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R396" s="1559"/>
      <c r="S396" s="1559"/>
    </row>
    <row r="397" spans="2:19" ht="16.5" hidden="1" thickBot="1">
      <c r="B397" s="269"/>
      <c r="C397" s="269"/>
      <c r="D397" s="2682">
        <v>2007</v>
      </c>
      <c r="E397" s="2683"/>
      <c r="F397" s="2683"/>
      <c r="G397" s="2683"/>
      <c r="H397" s="2683"/>
      <c r="I397" s="2683"/>
      <c r="J397" s="2683"/>
      <c r="K397" s="2683"/>
      <c r="L397" s="2683"/>
      <c r="M397" s="2683"/>
      <c r="N397" s="2683"/>
      <c r="O397" s="2688"/>
      <c r="R397" s="1559"/>
      <c r="S397" s="1559"/>
    </row>
    <row r="398" spans="2:19" hidden="1">
      <c r="B398" s="269"/>
      <c r="C398" s="269"/>
      <c r="D398" s="458" t="s">
        <v>578</v>
      </c>
      <c r="E398" s="403" t="s">
        <v>579</v>
      </c>
      <c r="F398" s="403" t="s">
        <v>580</v>
      </c>
      <c r="G398" s="459" t="s">
        <v>581</v>
      </c>
      <c r="H398" s="459" t="s">
        <v>582</v>
      </c>
      <c r="I398" s="459" t="s">
        <v>583</v>
      </c>
      <c r="J398" s="460" t="s">
        <v>587</v>
      </c>
      <c r="K398" s="459" t="s">
        <v>588</v>
      </c>
      <c r="L398" s="403" t="s">
        <v>646</v>
      </c>
      <c r="M398" s="403" t="s">
        <v>590</v>
      </c>
      <c r="N398" s="403" t="s">
        <v>610</v>
      </c>
      <c r="O398" s="476" t="s">
        <v>577</v>
      </c>
      <c r="R398" s="1559"/>
      <c r="S398" s="1559"/>
    </row>
    <row r="399" spans="2:19" ht="16.5" hidden="1" thickBot="1">
      <c r="B399" s="132" t="s">
        <v>145</v>
      </c>
      <c r="D399" s="461">
        <f>+'TABLA FINAL '!BT103</f>
        <v>293.02999999999997</v>
      </c>
      <c r="E399" s="282">
        <f>+'TABLA FINAL '!BU103</f>
        <v>295.75</v>
      </c>
      <c r="F399" s="282">
        <f>+'TABLA FINAL '!BV103</f>
        <v>296.64999999999998</v>
      </c>
      <c r="G399" s="282">
        <f>+'TABLA FINAL '!BW103</f>
        <v>299.89</v>
      </c>
      <c r="H399" s="282">
        <f>+'TABLA FINAL '!BX103</f>
        <v>303.62</v>
      </c>
      <c r="I399" s="282">
        <f>+'TABLA FINAL '!BY103</f>
        <v>305.82</v>
      </c>
      <c r="J399" s="282">
        <f>+'TABLA FINAL '!BZ103</f>
        <v>309.12</v>
      </c>
      <c r="K399" s="282">
        <f>+'TABLA FINAL '!CA103</f>
        <v>317.08</v>
      </c>
      <c r="L399" s="282">
        <f>+'TABLA FINAL '!CB103</f>
        <v>319.87</v>
      </c>
      <c r="M399" s="282">
        <f>+'TABLA FINAL '!CC103</f>
        <v>324.16000000000003</v>
      </c>
      <c r="N399" s="282">
        <f>+'TABLA FINAL '!CD103</f>
        <v>328.17</v>
      </c>
      <c r="O399" s="320">
        <f>+'TABLA FINAL '!CE103</f>
        <v>332.5</v>
      </c>
      <c r="R399" s="1559"/>
      <c r="S399" s="1559"/>
    </row>
    <row r="400" spans="2:19" ht="8.25" hidden="1" customHeight="1" thickBot="1">
      <c r="G400" s="137"/>
      <c r="H400" s="137"/>
      <c r="I400" s="137"/>
      <c r="J400" s="137"/>
      <c r="K400" s="137"/>
      <c r="L400" s="137"/>
      <c r="M400" s="137"/>
      <c r="N400" s="137"/>
      <c r="O400" s="137"/>
      <c r="R400" s="1559"/>
      <c r="S400" s="1559"/>
    </row>
    <row r="401" spans="2:19" ht="16.5" hidden="1" thickBot="1">
      <c r="B401" s="3" t="s">
        <v>623</v>
      </c>
      <c r="C401" s="3"/>
      <c r="D401" s="136">
        <f t="shared" ref="D401:O401" si="280">ROUND(100*D399/$C$369,2)</f>
        <v>285.86</v>
      </c>
      <c r="E401" s="136">
        <f t="shared" si="280"/>
        <v>288.51</v>
      </c>
      <c r="F401" s="136">
        <f t="shared" si="280"/>
        <v>289.39</v>
      </c>
      <c r="G401" s="136">
        <f t="shared" si="280"/>
        <v>292.55</v>
      </c>
      <c r="H401" s="136">
        <f t="shared" si="280"/>
        <v>296.19</v>
      </c>
      <c r="I401" s="136">
        <f t="shared" si="280"/>
        <v>298.33</v>
      </c>
      <c r="J401" s="136">
        <f t="shared" si="280"/>
        <v>301.55</v>
      </c>
      <c r="K401" s="136">
        <f t="shared" si="280"/>
        <v>309.32</v>
      </c>
      <c r="L401" s="136">
        <f t="shared" si="280"/>
        <v>312.04000000000002</v>
      </c>
      <c r="M401" s="136">
        <f t="shared" si="280"/>
        <v>316.22000000000003</v>
      </c>
      <c r="N401" s="136">
        <f t="shared" si="280"/>
        <v>320.13</v>
      </c>
      <c r="O401" s="136">
        <f t="shared" si="280"/>
        <v>324.36</v>
      </c>
      <c r="R401" s="1559"/>
      <c r="S401" s="1559"/>
    </row>
    <row r="402" spans="2:19" ht="16.5" hidden="1" thickBot="1">
      <c r="B402" s="3"/>
      <c r="C402" s="3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R402" s="1559"/>
      <c r="S402" s="1559"/>
    </row>
    <row r="403" spans="2:19" ht="16.5" hidden="1" thickBot="1">
      <c r="B403" s="269"/>
      <c r="C403" s="269"/>
      <c r="D403" s="2682">
        <v>2008</v>
      </c>
      <c r="E403" s="2683"/>
      <c r="F403" s="2683"/>
      <c r="G403" s="2683"/>
      <c r="H403" s="2683"/>
      <c r="I403" s="2683"/>
      <c r="J403" s="2683"/>
      <c r="K403" s="2683"/>
      <c r="L403" s="2683"/>
      <c r="M403" s="2683"/>
      <c r="N403" s="2683"/>
      <c r="O403" s="2688"/>
      <c r="P403" s="479"/>
      <c r="R403" s="1559"/>
      <c r="S403" s="1559"/>
    </row>
    <row r="404" spans="2:19" hidden="1">
      <c r="B404" s="269"/>
      <c r="C404" s="269"/>
      <c r="D404" s="458" t="s">
        <v>578</v>
      </c>
      <c r="E404" s="403" t="s">
        <v>579</v>
      </c>
      <c r="F404" s="403" t="s">
        <v>580</v>
      </c>
      <c r="G404" s="459" t="s">
        <v>581</v>
      </c>
      <c r="H404" s="459" t="s">
        <v>582</v>
      </c>
      <c r="I404" s="459" t="s">
        <v>583</v>
      </c>
      <c r="J404" s="460" t="s">
        <v>587</v>
      </c>
      <c r="K404" s="459" t="s">
        <v>588</v>
      </c>
      <c r="L404" s="403" t="s">
        <v>646</v>
      </c>
      <c r="M404" s="403" t="s">
        <v>590</v>
      </c>
      <c r="N404" s="403" t="s">
        <v>610</v>
      </c>
      <c r="O404" s="476" t="s">
        <v>577</v>
      </c>
      <c r="P404" s="358"/>
      <c r="R404" s="1559"/>
      <c r="S404" s="1559"/>
    </row>
    <row r="405" spans="2:19" ht="16.5" hidden="1" thickBot="1">
      <c r="B405" s="132" t="s">
        <v>145</v>
      </c>
      <c r="D405" s="461">
        <f>+'TABLA FINAL '!CF103</f>
        <v>342.73</v>
      </c>
      <c r="E405" s="282">
        <f>+'TABLA FINAL '!CG103</f>
        <v>343.74</v>
      </c>
      <c r="F405" s="402">
        <f>+'TABLA FINAL '!CH103</f>
        <v>349.94</v>
      </c>
      <c r="G405" s="282">
        <f>+'TABLA FINAL '!CI103</f>
        <v>354.24</v>
      </c>
      <c r="H405" s="370">
        <f>+'TABLA FINAL '!CJ103</f>
        <v>357.44</v>
      </c>
      <c r="I405" s="282">
        <f>+'TABLA FINAL '!CK103</f>
        <v>362.74</v>
      </c>
      <c r="J405" s="470">
        <f>+'TABLA FINAL '!CL103</f>
        <v>368</v>
      </c>
      <c r="K405" s="470">
        <f>+'TABLA FINAL '!CM103</f>
        <v>373.34</v>
      </c>
      <c r="L405" s="470">
        <f>+'TABLA FINAL '!CN103</f>
        <v>378.67</v>
      </c>
      <c r="M405" s="470">
        <f>+'TABLA FINAL '!CO103</f>
        <v>383.11</v>
      </c>
      <c r="N405" s="470">
        <f>+'TABLA FINAL '!CP103</f>
        <v>388.76</v>
      </c>
      <c r="O405" s="477">
        <f>+'TABLA FINAL '!CQ103</f>
        <v>391.06</v>
      </c>
      <c r="P405" s="358"/>
      <c r="R405" s="1559"/>
      <c r="S405" s="1559"/>
    </row>
    <row r="406" spans="2:19" ht="7.5" hidden="1" customHeight="1" thickBot="1">
      <c r="K406" s="137"/>
      <c r="L406" s="137"/>
      <c r="M406" s="137"/>
      <c r="N406" s="137"/>
      <c r="O406" s="137"/>
      <c r="P406" s="122"/>
      <c r="R406" s="1559"/>
      <c r="S406" s="1559"/>
    </row>
    <row r="407" spans="2:19" ht="16.5" hidden="1" thickBot="1">
      <c r="B407" s="3" t="s">
        <v>623</v>
      </c>
      <c r="C407" s="3"/>
      <c r="D407" s="136">
        <f t="shared" ref="D407:O407" si="281">ROUND(100*D405/$C$369,2)</f>
        <v>334.34</v>
      </c>
      <c r="E407" s="136">
        <f t="shared" si="281"/>
        <v>335.32</v>
      </c>
      <c r="F407" s="136">
        <f t="shared" si="281"/>
        <v>341.37</v>
      </c>
      <c r="G407" s="136">
        <f t="shared" si="281"/>
        <v>345.57</v>
      </c>
      <c r="H407" s="136">
        <f t="shared" si="281"/>
        <v>348.69</v>
      </c>
      <c r="I407" s="136">
        <f t="shared" si="281"/>
        <v>353.86</v>
      </c>
      <c r="J407" s="136">
        <f t="shared" si="281"/>
        <v>358.99</v>
      </c>
      <c r="K407" s="136">
        <f t="shared" si="281"/>
        <v>364.2</v>
      </c>
      <c r="L407" s="136">
        <f t="shared" si="281"/>
        <v>369.4</v>
      </c>
      <c r="M407" s="136">
        <f t="shared" si="281"/>
        <v>373.73</v>
      </c>
      <c r="N407" s="136">
        <f t="shared" si="281"/>
        <v>379.24</v>
      </c>
      <c r="O407" s="136">
        <f t="shared" si="281"/>
        <v>381.48</v>
      </c>
      <c r="P407" s="480"/>
      <c r="R407" s="1559"/>
      <c r="S407" s="1559"/>
    </row>
    <row r="408" spans="2:19" ht="16.5" hidden="1" thickBot="1">
      <c r="B408" s="3"/>
      <c r="C408" s="3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R408" s="1559"/>
      <c r="S408" s="1559"/>
    </row>
    <row r="409" spans="2:19" ht="16.5" hidden="1" thickBot="1">
      <c r="B409" s="269"/>
      <c r="C409" s="269"/>
      <c r="D409" s="2682">
        <v>2009</v>
      </c>
      <c r="E409" s="2683"/>
      <c r="F409" s="2683"/>
      <c r="G409" s="2683"/>
      <c r="H409" s="2683"/>
      <c r="I409" s="2683"/>
      <c r="J409" s="2683"/>
      <c r="K409" s="2683"/>
      <c r="L409" s="2683"/>
      <c r="M409" s="2683"/>
      <c r="N409" s="2683"/>
      <c r="O409" s="2688"/>
      <c r="P409" s="479"/>
      <c r="R409" s="1559"/>
      <c r="S409" s="1559"/>
    </row>
    <row r="410" spans="2:19" hidden="1">
      <c r="B410" s="269"/>
      <c r="C410" s="269"/>
      <c r="D410" s="458" t="s">
        <v>578</v>
      </c>
      <c r="E410" s="403" t="s">
        <v>579</v>
      </c>
      <c r="F410" s="403" t="s">
        <v>580</v>
      </c>
      <c r="G410" s="459" t="s">
        <v>581</v>
      </c>
      <c r="H410" s="459" t="s">
        <v>582</v>
      </c>
      <c r="I410" s="459" t="s">
        <v>583</v>
      </c>
      <c r="J410" s="460" t="s">
        <v>587</v>
      </c>
      <c r="K410" s="459" t="s">
        <v>588</v>
      </c>
      <c r="L410" s="403" t="s">
        <v>646</v>
      </c>
      <c r="M410" s="403" t="s">
        <v>590</v>
      </c>
      <c r="N410" s="403" t="s">
        <v>610</v>
      </c>
      <c r="O410" s="476" t="s">
        <v>577</v>
      </c>
      <c r="P410" s="358"/>
      <c r="R410" s="1559"/>
      <c r="S410" s="1559"/>
    </row>
    <row r="411" spans="2:19" ht="16.5" hidden="1" thickBot="1">
      <c r="B411" s="132" t="s">
        <v>145</v>
      </c>
      <c r="D411" s="297">
        <f>'TABLA FINAL '!CR103</f>
        <v>394.13</v>
      </c>
      <c r="E411" s="282">
        <f>'TABLA FINAL '!CS103</f>
        <v>395.52</v>
      </c>
      <c r="F411" s="282">
        <f>'TABLA FINAL '!CT103</f>
        <v>398.39</v>
      </c>
      <c r="G411" s="282">
        <f>'TABLA FINAL '!CU103</f>
        <v>400.48</v>
      </c>
      <c r="H411" s="402">
        <f>'TABLA FINAL '!CV103</f>
        <v>403.45</v>
      </c>
      <c r="I411" s="370">
        <f>'TABLA FINAL '!CW103</f>
        <v>405.16</v>
      </c>
      <c r="J411" s="282">
        <f>'TABLA FINAL '!CX103</f>
        <v>407.63</v>
      </c>
      <c r="K411" s="282">
        <f>'TABLA FINAL '!CY103</f>
        <v>414.66</v>
      </c>
      <c r="L411" s="282">
        <f>'TABLA FINAL '!CZ103</f>
        <v>418.25</v>
      </c>
      <c r="M411" s="282">
        <f>'TABLA FINAL '!DA103</f>
        <v>419.83</v>
      </c>
      <c r="N411" s="282">
        <f>'TABLA FINAL '!DB103</f>
        <v>422.16</v>
      </c>
      <c r="O411" s="282">
        <f>'TABLA FINAL '!DC103</f>
        <v>423.25</v>
      </c>
      <c r="P411" s="358"/>
      <c r="R411" s="1559"/>
      <c r="S411" s="1559"/>
    </row>
    <row r="412" spans="2:19" ht="16.5" hidden="1" thickBot="1">
      <c r="L412" s="137"/>
      <c r="M412" s="137"/>
      <c r="N412" s="137"/>
      <c r="O412" s="137"/>
      <c r="P412" s="122"/>
      <c r="R412" s="1559"/>
      <c r="S412" s="1559"/>
    </row>
    <row r="413" spans="2:19" ht="16.5" hidden="1" thickBot="1">
      <c r="B413" s="3" t="s">
        <v>623</v>
      </c>
      <c r="C413" s="3"/>
      <c r="D413" s="136">
        <f t="shared" ref="D413:N413" si="282">ROUND(100*D411/$C$369,2)</f>
        <v>384.48</v>
      </c>
      <c r="E413" s="136">
        <f t="shared" si="282"/>
        <v>385.84</v>
      </c>
      <c r="F413" s="136">
        <f t="shared" si="282"/>
        <v>388.64</v>
      </c>
      <c r="G413" s="136">
        <f t="shared" si="282"/>
        <v>390.67</v>
      </c>
      <c r="H413" s="136">
        <f t="shared" si="282"/>
        <v>393.57</v>
      </c>
      <c r="I413" s="136">
        <f>ROUND(100*I411/$C$369,2)</f>
        <v>395.24</v>
      </c>
      <c r="J413" s="136">
        <f t="shared" si="282"/>
        <v>397.65</v>
      </c>
      <c r="K413" s="136">
        <f>ROUND(100*K411/$C$369,2)</f>
        <v>404.51</v>
      </c>
      <c r="L413" s="136">
        <f t="shared" si="282"/>
        <v>408.01</v>
      </c>
      <c r="M413" s="136">
        <f t="shared" si="282"/>
        <v>409.55</v>
      </c>
      <c r="N413" s="136">
        <f t="shared" si="282"/>
        <v>411.82</v>
      </c>
      <c r="O413" s="136">
        <f>ROUND(100*O411/$C$369,2)</f>
        <v>412.89</v>
      </c>
      <c r="P413" s="480"/>
      <c r="R413" s="1559"/>
      <c r="S413" s="1559"/>
    </row>
    <row r="414" spans="2:19" ht="0.75" hidden="1" customHeight="1" thickBot="1">
      <c r="B414" s="3"/>
      <c r="C414" s="3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R414" s="1559"/>
      <c r="S414" s="1559"/>
    </row>
    <row r="415" spans="2:19" ht="16.5" hidden="1" thickBot="1">
      <c r="B415" s="269"/>
      <c r="C415" s="269"/>
      <c r="D415" s="2682">
        <v>2010</v>
      </c>
      <c r="E415" s="2683"/>
      <c r="F415" s="2683"/>
      <c r="G415" s="2683"/>
      <c r="H415" s="2683"/>
      <c r="I415" s="2683"/>
      <c r="J415" s="2683"/>
      <c r="K415" s="2683"/>
      <c r="L415" s="2683"/>
      <c r="M415" s="2683"/>
      <c r="N415" s="2683"/>
      <c r="O415" s="2688"/>
      <c r="P415" s="479"/>
      <c r="R415" s="1559"/>
      <c r="S415" s="1559"/>
    </row>
    <row r="416" spans="2:19" hidden="1">
      <c r="B416" s="269"/>
      <c r="C416" s="269"/>
      <c r="D416" s="458" t="s">
        <v>578</v>
      </c>
      <c r="E416" s="403" t="s">
        <v>579</v>
      </c>
      <c r="F416" s="403" t="s">
        <v>580</v>
      </c>
      <c r="G416" s="459" t="s">
        <v>581</v>
      </c>
      <c r="H416" s="459" t="s">
        <v>582</v>
      </c>
      <c r="I416" s="459" t="s">
        <v>583</v>
      </c>
      <c r="J416" s="460" t="s">
        <v>587</v>
      </c>
      <c r="K416" s="459" t="s">
        <v>588</v>
      </c>
      <c r="L416" s="403" t="s">
        <v>646</v>
      </c>
      <c r="M416" s="403" t="s">
        <v>590</v>
      </c>
      <c r="N416" s="403" t="s">
        <v>610</v>
      </c>
      <c r="O416" s="476" t="s">
        <v>577</v>
      </c>
      <c r="P416" s="358"/>
      <c r="R416" s="1559"/>
      <c r="S416" s="1559"/>
    </row>
    <row r="417" spans="2:19" ht="16.5" hidden="1" thickBot="1">
      <c r="B417" s="132" t="s">
        <v>145</v>
      </c>
      <c r="D417" s="297">
        <f>+'TABLA FINAL '!DD103</f>
        <v>424.12</v>
      </c>
      <c r="E417" s="501">
        <f>+'TABLA FINAL '!DE103</f>
        <v>431.55</v>
      </c>
      <c r="F417" s="501">
        <f>+'TABLA FINAL '!DF103</f>
        <v>440.34</v>
      </c>
      <c r="G417" s="501">
        <f>+'TABLA FINAL '!DG103</f>
        <v>449.05</v>
      </c>
      <c r="H417" s="501">
        <f>+'TABLA FINAL '!DH103</f>
        <v>453.38</v>
      </c>
      <c r="I417" s="501">
        <f>+'TABLA FINAL '!DI103</f>
        <v>458.64</v>
      </c>
      <c r="J417" s="501">
        <f>+'TABLA FINAL '!DJ103</f>
        <v>465.27</v>
      </c>
      <c r="K417" s="501">
        <f>+'TABLA FINAL '!DK103</f>
        <v>471.64</v>
      </c>
      <c r="L417" s="501">
        <f>+'TABLA FINAL '!DL103</f>
        <v>476.84</v>
      </c>
      <c r="M417" s="501">
        <f>+'TABLA FINAL  NO'!DM108</f>
        <v>482.37</v>
      </c>
      <c r="N417" s="501">
        <f>+'TABLA FINAL  NO'!DN108</f>
        <v>492.48</v>
      </c>
      <c r="O417" s="501">
        <f>+'TABLA FINAL  NO'!DO108</f>
        <v>502</v>
      </c>
      <c r="P417" s="358"/>
      <c r="R417" s="1559"/>
      <c r="S417" s="1559"/>
    </row>
    <row r="418" spans="2:19" ht="16.5" hidden="1" thickBot="1">
      <c r="L418" s="137"/>
      <c r="M418" s="137"/>
      <c r="N418" s="137"/>
      <c r="O418" s="137"/>
      <c r="P418" s="122"/>
      <c r="R418" s="1559"/>
      <c r="S418" s="1559"/>
    </row>
    <row r="419" spans="2:19" ht="16.5" hidden="1" thickBot="1">
      <c r="B419" s="3" t="s">
        <v>623</v>
      </c>
      <c r="C419" s="3"/>
      <c r="D419" s="136">
        <f t="shared" ref="D419:I419" si="283">ROUND(100*D417/$C$369,2)</f>
        <v>413.74</v>
      </c>
      <c r="E419" s="136">
        <f t="shared" si="283"/>
        <v>420.98</v>
      </c>
      <c r="F419" s="136">
        <f t="shared" si="283"/>
        <v>429.56</v>
      </c>
      <c r="G419" s="136">
        <f t="shared" si="283"/>
        <v>438.05</v>
      </c>
      <c r="H419" s="136">
        <f t="shared" si="283"/>
        <v>442.28</v>
      </c>
      <c r="I419" s="136">
        <f t="shared" si="283"/>
        <v>447.41</v>
      </c>
      <c r="J419" s="136">
        <f t="shared" ref="J419:O419" si="284">ROUND(100*J417/$C$369,2)</f>
        <v>453.88</v>
      </c>
      <c r="K419" s="136">
        <f>ROUND(100*K417/$C$369,2)</f>
        <v>460.09</v>
      </c>
      <c r="L419" s="136">
        <f t="shared" si="284"/>
        <v>465.16</v>
      </c>
      <c r="M419" s="136">
        <f>ROUND(100*M417/$C$369,2)</f>
        <v>470.56</v>
      </c>
      <c r="N419" s="136">
        <f t="shared" si="284"/>
        <v>480.42</v>
      </c>
      <c r="O419" s="136">
        <f t="shared" si="284"/>
        <v>489.71</v>
      </c>
      <c r="P419" s="480"/>
      <c r="R419" s="1559"/>
      <c r="S419" s="1559"/>
    </row>
    <row r="420" spans="2:19" ht="16.5" hidden="1" thickBot="1">
      <c r="B420" s="3"/>
      <c r="C420" s="3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R420" s="1559"/>
      <c r="S420" s="1559"/>
    </row>
    <row r="421" spans="2:19" ht="16.5" hidden="1" thickBot="1">
      <c r="B421" s="269"/>
      <c r="C421" s="269"/>
      <c r="D421" s="2682">
        <v>2011</v>
      </c>
      <c r="E421" s="2683"/>
      <c r="F421" s="2683"/>
      <c r="G421" s="2683"/>
      <c r="H421" s="2683"/>
      <c r="I421" s="2683"/>
      <c r="J421" s="2683"/>
      <c r="K421" s="2683"/>
      <c r="L421" s="2683"/>
      <c r="M421" s="2683"/>
      <c r="N421" s="2683"/>
      <c r="O421" s="2688"/>
      <c r="P421" s="479"/>
      <c r="R421" s="1559"/>
      <c r="S421" s="1559"/>
    </row>
    <row r="422" spans="2:19" hidden="1">
      <c r="B422" s="269"/>
      <c r="C422" s="269"/>
      <c r="D422" s="458" t="s">
        <v>578</v>
      </c>
      <c r="E422" s="403" t="s">
        <v>579</v>
      </c>
      <c r="F422" s="403" t="s">
        <v>580</v>
      </c>
      <c r="G422" s="459" t="s">
        <v>581</v>
      </c>
      <c r="H422" s="459" t="s">
        <v>582</v>
      </c>
      <c r="I422" s="459" t="s">
        <v>583</v>
      </c>
      <c r="J422" s="460" t="s">
        <v>587</v>
      </c>
      <c r="K422" s="459" t="s">
        <v>588</v>
      </c>
      <c r="L422" s="403" t="s">
        <v>646</v>
      </c>
      <c r="M422" s="403" t="s">
        <v>590</v>
      </c>
      <c r="N422" s="403" t="s">
        <v>610</v>
      </c>
      <c r="O422" s="476" t="s">
        <v>577</v>
      </c>
      <c r="P422" s="358"/>
      <c r="R422" s="1559"/>
      <c r="S422" s="1559"/>
    </row>
    <row r="423" spans="2:19" ht="16.5" hidden="1" thickBot="1">
      <c r="B423" s="132" t="s">
        <v>145</v>
      </c>
      <c r="D423" s="297">
        <f>+'TABLA FINAL  NO'!DP108</f>
        <v>505.26</v>
      </c>
      <c r="E423" s="282">
        <f>+'TABLA FINAL  NO'!DQ108</f>
        <v>509.27</v>
      </c>
      <c r="F423" s="282">
        <f>+'TABLA FINAL  NO'!DR108</f>
        <v>518.70000000000005</v>
      </c>
      <c r="G423" s="282">
        <f>+'TABLA FINAL  NO'!DS108</f>
        <v>531.61</v>
      </c>
      <c r="H423" s="282">
        <f>+'TABLA FINAL  NO'!DT108</f>
        <v>536.58000000000004</v>
      </c>
      <c r="I423" s="282">
        <f>+'TABLA FINAL  NO'!DU108</f>
        <v>549.77</v>
      </c>
      <c r="J423" s="282">
        <f>+'TABLA FINAL  NO'!DV108</f>
        <v>570.05999999999995</v>
      </c>
      <c r="K423" s="282">
        <f>+'TABLA FINAL  NO'!DW108</f>
        <v>573.98</v>
      </c>
      <c r="L423" s="282">
        <f>+'TABLA FINAL  NO'!DX108</f>
        <v>583.4</v>
      </c>
      <c r="M423" s="282">
        <f>+'TABLA FINAL  NO'!DY108</f>
        <v>594.66</v>
      </c>
      <c r="N423" s="282">
        <f>+'TABLA FINAL  NO'!DZ108</f>
        <v>602.83000000000004</v>
      </c>
      <c r="O423" s="282">
        <f>+'TABLA FINAL  NO'!EA108</f>
        <v>609.22</v>
      </c>
      <c r="P423" s="358"/>
      <c r="R423" s="1559"/>
      <c r="S423" s="1559"/>
    </row>
    <row r="424" spans="2:19" ht="16.5" hidden="1" thickBot="1">
      <c r="L424" s="137"/>
      <c r="M424" s="137"/>
      <c r="N424" s="137"/>
      <c r="O424" s="137"/>
      <c r="P424" s="122"/>
      <c r="R424" s="1559"/>
      <c r="S424" s="1559"/>
    </row>
    <row r="425" spans="2:19" ht="16.5" hidden="1" thickBot="1">
      <c r="B425" s="3" t="s">
        <v>623</v>
      </c>
      <c r="C425" s="3"/>
      <c r="D425" s="136">
        <f t="shared" ref="D425:J425" si="285">ROUND(100*D423/$C$369,2)</f>
        <v>492.89</v>
      </c>
      <c r="E425" s="136">
        <f t="shared" si="285"/>
        <v>496.8</v>
      </c>
      <c r="F425" s="136">
        <f>ROUND(100*F423/$C$369,2)</f>
        <v>506</v>
      </c>
      <c r="G425" s="136">
        <f t="shared" si="285"/>
        <v>518.59</v>
      </c>
      <c r="H425" s="136">
        <f t="shared" si="285"/>
        <v>523.44000000000005</v>
      </c>
      <c r="I425" s="136">
        <f>ROUND(100*I423/$C$369,2)</f>
        <v>536.30999999999995</v>
      </c>
      <c r="J425" s="136">
        <f t="shared" si="285"/>
        <v>556.1</v>
      </c>
      <c r="K425" s="136">
        <f>ROUND(100*K423/$C$369,2)</f>
        <v>559.92999999999995</v>
      </c>
      <c r="L425" s="136">
        <f>ROUND(100*L423/$C$369,2)</f>
        <v>569.12</v>
      </c>
      <c r="M425" s="136">
        <f>ROUND(100*M423/$C$369,2)</f>
        <v>580.1</v>
      </c>
      <c r="N425" s="136">
        <f>ROUND(100*N423/$C$369,2)</f>
        <v>588.07000000000005</v>
      </c>
      <c r="O425" s="136">
        <f>ROUND(100*O423/$C$369,2)</f>
        <v>594.29999999999995</v>
      </c>
      <c r="P425" s="480"/>
      <c r="R425" s="1559"/>
      <c r="S425" s="1559"/>
    </row>
    <row r="426" spans="2:19" ht="15.75" hidden="1" customHeight="1" thickBot="1">
      <c r="B426" s="3"/>
      <c r="C426" s="3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R426" s="1559"/>
      <c r="S426" s="1559"/>
    </row>
    <row r="427" spans="2:19" ht="16.5" hidden="1" thickBot="1">
      <c r="B427" s="269"/>
      <c r="C427" s="269"/>
      <c r="D427" s="2682">
        <v>2012</v>
      </c>
      <c r="E427" s="2683"/>
      <c r="F427" s="2683"/>
      <c r="G427" s="2683"/>
      <c r="H427" s="2683"/>
      <c r="I427" s="2683"/>
      <c r="J427" s="2683"/>
      <c r="K427" s="2683"/>
      <c r="L427" s="2683"/>
      <c r="M427" s="2683"/>
      <c r="N427" s="2683"/>
      <c r="O427" s="2688"/>
      <c r="P427" s="479"/>
      <c r="R427" s="1559"/>
      <c r="S427" s="1559"/>
    </row>
    <row r="428" spans="2:19" hidden="1">
      <c r="B428" s="269"/>
      <c r="C428" s="269"/>
      <c r="D428" s="458" t="s">
        <v>578</v>
      </c>
      <c r="E428" s="403" t="s">
        <v>579</v>
      </c>
      <c r="F428" s="403" t="s">
        <v>580</v>
      </c>
      <c r="G428" s="459" t="s">
        <v>581</v>
      </c>
      <c r="H428" s="459" t="s">
        <v>582</v>
      </c>
      <c r="I428" s="459" t="s">
        <v>583</v>
      </c>
      <c r="J428" s="460" t="s">
        <v>587</v>
      </c>
      <c r="K428" s="459" t="s">
        <v>588</v>
      </c>
      <c r="L428" s="403" t="s">
        <v>646</v>
      </c>
      <c r="M428" s="403" t="s">
        <v>590</v>
      </c>
      <c r="N428" s="403" t="s">
        <v>610</v>
      </c>
      <c r="O428" s="476" t="s">
        <v>577</v>
      </c>
      <c r="P428" s="358"/>
      <c r="R428" s="1559"/>
      <c r="S428" s="1559"/>
    </row>
    <row r="429" spans="2:19" ht="16.5" hidden="1" thickBot="1">
      <c r="B429" s="132" t="s">
        <v>145</v>
      </c>
      <c r="D429" s="297">
        <f>'TABLA FINAL  NO'!EB108</f>
        <v>609.70000000000005</v>
      </c>
      <c r="E429" s="282">
        <f>'TABLA FINAL  NO'!EC108</f>
        <v>621.41999999999996</v>
      </c>
      <c r="F429" s="282">
        <f>'TABLA FINAL  NO'!ED108</f>
        <v>633.08000000000004</v>
      </c>
      <c r="G429" s="282">
        <f>'TABLA FINAL  NO'!EE108</f>
        <v>638.13</v>
      </c>
      <c r="H429" s="282">
        <f>'TABLA FINAL  NO'!EF108</f>
        <v>643.44000000000005</v>
      </c>
      <c r="I429" s="282">
        <f>'TABLA FINAL  NO'!EG108</f>
        <v>648</v>
      </c>
      <c r="J429" s="282">
        <f>'TABLA FINAL  NO'!EH108</f>
        <v>658.35</v>
      </c>
      <c r="K429" s="282">
        <f>'TABLA FINAL  NO'!EI108</f>
        <v>665.32</v>
      </c>
      <c r="L429" s="282">
        <f>'TABLA FINAL  NO'!EJ108</f>
        <v>679.78</v>
      </c>
      <c r="M429" s="282">
        <f>'TABLA FINAL  NO'!EK108</f>
        <v>685.63</v>
      </c>
      <c r="N429" s="282">
        <f>'TABLA FINAL  NO'!EL108</f>
        <v>697.46</v>
      </c>
      <c r="O429" s="320">
        <f>'TABLA FINAL  NO'!EM108</f>
        <v>704.2</v>
      </c>
      <c r="P429" s="358"/>
      <c r="R429" s="1559"/>
      <c r="S429" s="1559"/>
    </row>
    <row r="430" spans="2:19" ht="6.75" hidden="1" customHeight="1" thickBot="1">
      <c r="L430" s="137"/>
      <c r="M430" s="137"/>
      <c r="N430" s="137"/>
      <c r="O430" s="137"/>
      <c r="P430" s="122"/>
      <c r="R430" s="1559"/>
      <c r="S430" s="1559"/>
    </row>
    <row r="431" spans="2:19" ht="16.5" hidden="1" thickBot="1">
      <c r="B431" s="3" t="s">
        <v>623</v>
      </c>
      <c r="C431" s="3"/>
      <c r="D431" s="136">
        <f t="shared" ref="D431:O431" si="286">ROUND(100*D429/$C$369,2)</f>
        <v>594.77</v>
      </c>
      <c r="E431" s="136">
        <f t="shared" si="286"/>
        <v>606.20000000000005</v>
      </c>
      <c r="F431" s="136">
        <f t="shared" si="286"/>
        <v>617.58000000000004</v>
      </c>
      <c r="G431" s="136">
        <f t="shared" si="286"/>
        <v>622.51</v>
      </c>
      <c r="H431" s="136">
        <f t="shared" si="286"/>
        <v>627.69000000000005</v>
      </c>
      <c r="I431" s="136">
        <f t="shared" si="286"/>
        <v>632.13</v>
      </c>
      <c r="J431" s="136">
        <f t="shared" si="286"/>
        <v>642.23</v>
      </c>
      <c r="K431" s="136">
        <f t="shared" si="286"/>
        <v>649.03</v>
      </c>
      <c r="L431" s="136">
        <f t="shared" si="286"/>
        <v>663.14</v>
      </c>
      <c r="M431" s="136">
        <f t="shared" si="286"/>
        <v>668.84</v>
      </c>
      <c r="N431" s="136">
        <f>ROUND(100*N429/$C$369,2)</f>
        <v>680.38</v>
      </c>
      <c r="O431" s="136">
        <f t="shared" si="286"/>
        <v>686.96</v>
      </c>
      <c r="P431" s="480"/>
      <c r="R431" s="1559"/>
      <c r="S431" s="1559"/>
    </row>
    <row r="432" spans="2:19" ht="16.5" hidden="1" thickBot="1">
      <c r="B432" s="3"/>
      <c r="C432" s="3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R432" s="1559"/>
      <c r="S432" s="1559"/>
    </row>
    <row r="433" spans="2:19" ht="16.5" hidden="1" thickBot="1">
      <c r="B433" s="269"/>
      <c r="C433" s="269"/>
      <c r="D433" s="2682">
        <v>2013</v>
      </c>
      <c r="E433" s="2683"/>
      <c r="F433" s="2683"/>
      <c r="G433" s="2683"/>
      <c r="H433" s="2683"/>
      <c r="I433" s="2683"/>
      <c r="J433" s="2683"/>
      <c r="K433" s="2683"/>
      <c r="L433" s="2683"/>
      <c r="M433" s="2683"/>
      <c r="N433" s="2683"/>
      <c r="O433" s="2688"/>
      <c r="P433" s="479"/>
      <c r="R433" s="1559"/>
      <c r="S433" s="1559"/>
    </row>
    <row r="434" spans="2:19" hidden="1">
      <c r="B434" s="269"/>
      <c r="C434" s="269"/>
      <c r="D434" s="458" t="s">
        <v>578</v>
      </c>
      <c r="E434" s="403" t="s">
        <v>579</v>
      </c>
      <c r="F434" s="403" t="s">
        <v>580</v>
      </c>
      <c r="G434" s="459" t="s">
        <v>581</v>
      </c>
      <c r="H434" s="459" t="s">
        <v>582</v>
      </c>
      <c r="I434" s="459" t="s">
        <v>583</v>
      </c>
      <c r="J434" s="460" t="s">
        <v>587</v>
      </c>
      <c r="K434" s="459" t="s">
        <v>588</v>
      </c>
      <c r="L434" s="403" t="s">
        <v>646</v>
      </c>
      <c r="M434" s="403" t="s">
        <v>590</v>
      </c>
      <c r="N434" s="403" t="s">
        <v>610</v>
      </c>
      <c r="O434" s="476" t="s">
        <v>577</v>
      </c>
      <c r="P434" s="358"/>
      <c r="R434" s="1559"/>
      <c r="S434" s="1559"/>
    </row>
    <row r="435" spans="2:19" ht="16.5" hidden="1" thickBot="1">
      <c r="B435" s="132" t="s">
        <v>145</v>
      </c>
      <c r="D435" s="297">
        <f>+'TABLA FINAL  NO'!EN108</f>
        <v>716.11</v>
      </c>
      <c r="E435" s="282">
        <f>+'TABLA FINAL  NO'!EO108</f>
        <v>725.75</v>
      </c>
      <c r="F435" s="282">
        <f>+'TABLA FINAL  NO'!EP108</f>
        <v>734.59</v>
      </c>
      <c r="G435" s="282">
        <f>+'TABLA FINAL  NO'!EQ108</f>
        <v>747.48</v>
      </c>
      <c r="H435" s="282">
        <f>+'TABLA FINAL  NO'!ER108</f>
        <v>759.14</v>
      </c>
      <c r="I435" s="282">
        <f>+'TABLA FINAL  NO'!ES108</f>
        <v>777.15</v>
      </c>
      <c r="J435" s="282">
        <f>+'TABLA FINAL  NO'!ET108</f>
        <v>792.91</v>
      </c>
      <c r="K435" s="282">
        <f>+'TABLA FINAL  NO'!EU108</f>
        <v>802.7</v>
      </c>
      <c r="L435" s="282">
        <f>+'TABLA FINAL  NO'!EV108</f>
        <v>818.46</v>
      </c>
      <c r="M435" s="282">
        <f>+'TABLA FINAL  NO'!EW108</f>
        <v>827.46</v>
      </c>
      <c r="N435" s="282">
        <f>+'TABLA FINAL  NO'!EX108</f>
        <v>840.62</v>
      </c>
      <c r="O435" s="282">
        <f>+'TABLA FINAL  NO'!EY108</f>
        <v>852.26</v>
      </c>
      <c r="P435" s="358"/>
      <c r="R435" s="1559"/>
      <c r="S435" s="1559"/>
    </row>
    <row r="436" spans="2:19" ht="6.75" hidden="1" customHeight="1" thickBot="1">
      <c r="L436" s="137"/>
      <c r="M436" s="137"/>
      <c r="N436" s="137"/>
      <c r="O436" s="137"/>
      <c r="P436" s="122"/>
      <c r="R436" s="1559"/>
      <c r="S436" s="1559"/>
    </row>
    <row r="437" spans="2:19" ht="16.5" hidden="1" thickBot="1">
      <c r="B437" s="3" t="s">
        <v>623</v>
      </c>
      <c r="C437" s="3"/>
      <c r="D437" s="136">
        <f t="shared" ref="D437:M437" si="287">ROUND(100*D435/$C$369,2)</f>
        <v>698.58</v>
      </c>
      <c r="E437" s="136">
        <f t="shared" si="287"/>
        <v>707.98</v>
      </c>
      <c r="F437" s="136">
        <f t="shared" si="287"/>
        <v>716.6</v>
      </c>
      <c r="G437" s="136">
        <f t="shared" si="287"/>
        <v>729.18</v>
      </c>
      <c r="H437" s="136">
        <f t="shared" si="287"/>
        <v>740.55</v>
      </c>
      <c r="I437" s="136">
        <f t="shared" si="287"/>
        <v>758.12</v>
      </c>
      <c r="J437" s="136">
        <f t="shared" si="287"/>
        <v>773.5</v>
      </c>
      <c r="K437" s="136">
        <f t="shared" si="287"/>
        <v>783.05</v>
      </c>
      <c r="L437" s="136">
        <f t="shared" si="287"/>
        <v>798.42</v>
      </c>
      <c r="M437" s="136">
        <f t="shared" si="287"/>
        <v>807.2</v>
      </c>
      <c r="N437" s="136">
        <f>ROUND(100*N435/$C$369,2)</f>
        <v>820.04</v>
      </c>
      <c r="O437" s="136">
        <f>ROUND(100*O435/$C$369,2)</f>
        <v>831.39</v>
      </c>
      <c r="P437" s="480"/>
      <c r="R437" s="1559"/>
      <c r="S437" s="1559"/>
    </row>
    <row r="438" spans="2:19" ht="16.5" hidden="1" thickBot="1">
      <c r="B438" s="3"/>
      <c r="C438" s="3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R438" s="1559"/>
      <c r="S438" s="1559"/>
    </row>
    <row r="439" spans="2:19" ht="16.5" hidden="1" thickBot="1">
      <c r="B439" s="3"/>
      <c r="C439" s="3"/>
      <c r="D439" s="2682">
        <v>2014</v>
      </c>
      <c r="E439" s="2683"/>
      <c r="F439" s="2683"/>
      <c r="G439" s="2683"/>
      <c r="H439" s="2683"/>
      <c r="I439" s="2683"/>
      <c r="J439" s="2683"/>
      <c r="K439" s="2683"/>
      <c r="L439" s="2683"/>
      <c r="M439" s="2683"/>
      <c r="N439" s="2683"/>
      <c r="O439" s="2688"/>
      <c r="P439" s="138"/>
      <c r="R439" s="1559"/>
      <c r="S439" s="1559"/>
    </row>
    <row r="440" spans="2:19" hidden="1">
      <c r="B440" s="3"/>
      <c r="C440" s="3"/>
      <c r="D440" s="458" t="s">
        <v>578</v>
      </c>
      <c r="E440" s="403" t="s">
        <v>579</v>
      </c>
      <c r="F440" s="403" t="s">
        <v>580</v>
      </c>
      <c r="G440" s="459" t="s">
        <v>581</v>
      </c>
      <c r="H440" s="459" t="s">
        <v>582</v>
      </c>
      <c r="I440" s="459" t="s">
        <v>583</v>
      </c>
      <c r="J440" s="460" t="s">
        <v>587</v>
      </c>
      <c r="K440" s="459" t="s">
        <v>588</v>
      </c>
      <c r="L440" s="403" t="s">
        <v>646</v>
      </c>
      <c r="M440" s="403" t="s">
        <v>590</v>
      </c>
      <c r="N440" s="403" t="s">
        <v>610</v>
      </c>
      <c r="O440" s="476" t="s">
        <v>577</v>
      </c>
      <c r="P440" s="138"/>
      <c r="R440" s="1559"/>
      <c r="S440" s="1559"/>
    </row>
    <row r="441" spans="2:19" ht="16.5" hidden="1" thickBot="1">
      <c r="B441" s="132" t="s">
        <v>145</v>
      </c>
      <c r="C441" s="3"/>
      <c r="D441" s="461">
        <f>+'TABLA FINAL  NO'!EZ108</f>
        <v>893.47</v>
      </c>
      <c r="E441" s="282">
        <f>+'TABLA FINAL  NO'!FA108</f>
        <v>953.29</v>
      </c>
      <c r="F441" s="282">
        <f>+'TABLA FINAL  NO'!FB108</f>
        <v>991.48</v>
      </c>
      <c r="G441" s="282">
        <f>+'TABLA FINAL  NO'!FC108</f>
        <v>1014.94</v>
      </c>
      <c r="H441" s="282">
        <f>+'TABLA FINAL  NO'!FD108</f>
        <v>1033.69</v>
      </c>
      <c r="I441" s="282">
        <f>+'TABLA FINAL  NO'!FE108</f>
        <v>1052.1500000000001</v>
      </c>
      <c r="J441" s="282">
        <f>+'TABLA FINAL  NO'!FF108</f>
        <v>1071.1500000000001</v>
      </c>
      <c r="K441" s="282">
        <f>+'TABLA FINAL  NO'!FG108</f>
        <v>1080.27</v>
      </c>
      <c r="L441" s="282">
        <f>+'TABLA FINAL  NO'!FH108</f>
        <v>1089.29</v>
      </c>
      <c r="M441" s="282">
        <f>+'TABLA FINAL  NO'!FI108</f>
        <v>1106.3499999999999</v>
      </c>
      <c r="N441" s="282">
        <f>+'TABLA FINAL  NO'!FJ108</f>
        <v>1115.67</v>
      </c>
      <c r="O441" s="320">
        <f>+'TABLA FINAL  NO'!FK108</f>
        <v>1134.23</v>
      </c>
      <c r="P441" s="138"/>
      <c r="R441" s="1559"/>
      <c r="S441" s="1559"/>
    </row>
    <row r="442" spans="2:19" ht="8.25" hidden="1" customHeight="1" thickBot="1">
      <c r="C442" s="3"/>
      <c r="M442" s="137"/>
      <c r="N442" s="137"/>
      <c r="O442" s="137"/>
      <c r="P442" s="138"/>
      <c r="R442" s="1559"/>
      <c r="S442" s="1559"/>
    </row>
    <row r="443" spans="2:19" ht="16.5" hidden="1" thickBot="1">
      <c r="B443" s="3" t="s">
        <v>623</v>
      </c>
      <c r="C443" s="3"/>
      <c r="D443" s="813">
        <f t="shared" ref="D443:J443" si="288">ROUND(100*D441/$C$369,2)</f>
        <v>871.59</v>
      </c>
      <c r="E443" s="337">
        <f t="shared" si="288"/>
        <v>929.95</v>
      </c>
      <c r="F443" s="337">
        <f t="shared" si="288"/>
        <v>967.2</v>
      </c>
      <c r="G443" s="337">
        <f t="shared" si="288"/>
        <v>990.09</v>
      </c>
      <c r="H443" s="337">
        <f t="shared" si="288"/>
        <v>1008.38</v>
      </c>
      <c r="I443" s="337">
        <f t="shared" si="288"/>
        <v>1026.3900000000001</v>
      </c>
      <c r="J443" s="337">
        <f t="shared" si="288"/>
        <v>1044.92</v>
      </c>
      <c r="K443" s="337">
        <f>ROUND(100*K441/$C$369,2)</f>
        <v>1053.82</v>
      </c>
      <c r="L443" s="337">
        <f>ROUND(100*L441/$C$369,2)</f>
        <v>1062.6199999999999</v>
      </c>
      <c r="M443" s="337">
        <f>ROUND(100*M441/$C$369,2)</f>
        <v>1079.26</v>
      </c>
      <c r="N443" s="337">
        <f>ROUND(100*N441/$C$369,2)</f>
        <v>1088.3499999999999</v>
      </c>
      <c r="O443" s="338">
        <f>ROUND(100*O441/$C$369,2)</f>
        <v>1106.46</v>
      </c>
      <c r="P443" s="138"/>
      <c r="R443" s="1559"/>
      <c r="S443" s="1559"/>
    </row>
    <row r="444" spans="2:19" ht="16.5" hidden="1" thickBot="1">
      <c r="B444" s="3"/>
      <c r="C444" s="3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R444" s="1559"/>
      <c r="S444" s="1559"/>
    </row>
    <row r="445" spans="2:19" ht="16.5" hidden="1" thickBot="1">
      <c r="B445" s="3"/>
      <c r="C445" s="3"/>
      <c r="D445" s="2682">
        <v>2015</v>
      </c>
      <c r="E445" s="2683"/>
      <c r="F445" s="2683"/>
      <c r="G445" s="2683"/>
      <c r="H445" s="2683"/>
      <c r="I445" s="2683"/>
      <c r="J445" s="2683"/>
      <c r="K445" s="2683"/>
      <c r="L445" s="2683"/>
      <c r="M445" s="2683"/>
      <c r="N445" s="2683"/>
      <c r="O445" s="2688"/>
      <c r="P445" s="138"/>
      <c r="R445" s="1559"/>
      <c r="S445" s="1559"/>
    </row>
    <row r="446" spans="2:19" hidden="1">
      <c r="B446" s="3"/>
      <c r="C446" s="3"/>
      <c r="D446" s="458" t="s">
        <v>578</v>
      </c>
      <c r="E446" s="403" t="s">
        <v>579</v>
      </c>
      <c r="F446" s="403" t="s">
        <v>580</v>
      </c>
      <c r="G446" s="459" t="s">
        <v>581</v>
      </c>
      <c r="H446" s="459" t="s">
        <v>582</v>
      </c>
      <c r="I446" s="459" t="s">
        <v>583</v>
      </c>
      <c r="J446" s="460" t="s">
        <v>587</v>
      </c>
      <c r="K446" s="460" t="s">
        <v>588</v>
      </c>
      <c r="L446" s="403" t="s">
        <v>646</v>
      </c>
      <c r="M446" s="403" t="s">
        <v>590</v>
      </c>
      <c r="N446" s="403" t="s">
        <v>610</v>
      </c>
      <c r="O446" s="476" t="s">
        <v>577</v>
      </c>
      <c r="P446" s="138"/>
      <c r="R446" s="1559"/>
      <c r="S446" s="1559"/>
    </row>
    <row r="447" spans="2:19" ht="16.5" hidden="1" thickBot="1">
      <c r="B447" s="132" t="s">
        <v>145</v>
      </c>
      <c r="C447" s="3"/>
      <c r="D447" s="461">
        <f>+'TABLA FINAL  NO'!FL108</f>
        <v>1149.28</v>
      </c>
      <c r="E447" s="282">
        <f>+'TABLA FINAL  NO'!FM108</f>
        <v>1150.04</v>
      </c>
      <c r="F447" s="282">
        <f>+'TABLA FINAL  NO'!FN108</f>
        <v>1178.03</v>
      </c>
      <c r="G447" s="282">
        <f>+'TABLA FINAL  NO'!FO108</f>
        <v>1191.53</v>
      </c>
      <c r="H447" s="282">
        <f>+'TABLA FINAL  NO'!FP108</f>
        <v>1196.75</v>
      </c>
      <c r="I447" s="282">
        <f>+'TABLA FINAL  NO'!FQ108</f>
        <v>1210.8800000000001</v>
      </c>
      <c r="J447" s="282">
        <f>+'TABLA FINAL  NO'!FR108</f>
        <v>1228.3399999999999</v>
      </c>
      <c r="K447" s="282">
        <f>+'TABLA FINAL  NO'!FS108</f>
        <v>1259.17</v>
      </c>
      <c r="L447" s="282">
        <f>+'TABLA FINAL  NO'!FT108</f>
        <v>1273.71</v>
      </c>
      <c r="M447" s="282">
        <f>+'TABLA FINAL  NO'!FU108</f>
        <v>1293.96</v>
      </c>
      <c r="N447" s="282" t="e">
        <f>+#REF!</f>
        <v>#REF!</v>
      </c>
      <c r="O447" s="320" t="e">
        <f>+#REF!</f>
        <v>#REF!</v>
      </c>
      <c r="P447" s="138"/>
      <c r="R447" s="1559"/>
      <c r="S447" s="1559"/>
    </row>
    <row r="448" spans="2:19" ht="8.25" hidden="1" customHeight="1" thickBot="1">
      <c r="C448" s="3"/>
      <c r="N448" s="137"/>
      <c r="O448" s="137"/>
      <c r="P448" s="138"/>
      <c r="R448" s="1559"/>
      <c r="S448" s="1559"/>
    </row>
    <row r="449" spans="2:19" ht="16.5" hidden="1" thickBot="1">
      <c r="B449" s="3" t="s">
        <v>623</v>
      </c>
      <c r="C449" s="3"/>
      <c r="D449" s="813">
        <f>ROUND(100*D447/$C$369,2)</f>
        <v>1121.1400000000001</v>
      </c>
      <c r="E449" s="337">
        <f>ROUND(100*E447/$C$369,2)</f>
        <v>1121.8800000000001</v>
      </c>
      <c r="F449" s="337">
        <f t="shared" ref="F449:O449" si="289">ROUND(100*F447/$C$369,2)</f>
        <v>1149.19</v>
      </c>
      <c r="G449" s="337">
        <f t="shared" si="289"/>
        <v>1162.3499999999999</v>
      </c>
      <c r="H449" s="337">
        <f t="shared" si="289"/>
        <v>1167.45</v>
      </c>
      <c r="I449" s="337">
        <f t="shared" si="289"/>
        <v>1181.23</v>
      </c>
      <c r="J449" s="337">
        <f t="shared" si="289"/>
        <v>1198.26</v>
      </c>
      <c r="K449" s="337">
        <f>ROUND(100*K447/$C$369,2)</f>
        <v>1228.3399999999999</v>
      </c>
      <c r="L449" s="337">
        <f>ROUND(100*L447/$C$369,2)</f>
        <v>1242.52</v>
      </c>
      <c r="M449" s="337">
        <f>ROUND(100*M447/$C$369,2)</f>
        <v>1262.28</v>
      </c>
      <c r="N449" s="337" t="e">
        <f t="shared" si="289"/>
        <v>#REF!</v>
      </c>
      <c r="O449" s="338" t="e">
        <f t="shared" si="289"/>
        <v>#REF!</v>
      </c>
      <c r="P449" s="138"/>
      <c r="R449" s="1559"/>
      <c r="S449" s="1559"/>
    </row>
    <row r="450" spans="2:19" ht="16.5" thickBot="1">
      <c r="B450" s="3"/>
      <c r="C450" s="3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R450" s="1559"/>
      <c r="S450" s="1559"/>
    </row>
    <row r="451" spans="2:19" ht="16.5" thickBot="1">
      <c r="B451" s="3"/>
      <c r="C451" s="3"/>
      <c r="D451" s="2682">
        <v>2016</v>
      </c>
      <c r="E451" s="2683"/>
      <c r="F451" s="2683"/>
      <c r="G451" s="2683"/>
      <c r="H451" s="2683"/>
      <c r="I451" s="2683"/>
      <c r="J451" s="2683"/>
      <c r="K451" s="2683"/>
      <c r="L451" s="2683"/>
      <c r="M451" s="2683"/>
      <c r="N451" s="2683"/>
      <c r="O451" s="2688"/>
      <c r="P451" s="138"/>
      <c r="R451" s="1559"/>
      <c r="S451" s="1559"/>
    </row>
    <row r="452" spans="2:19">
      <c r="B452" s="3"/>
      <c r="C452" s="3"/>
      <c r="D452" s="458" t="s">
        <v>578</v>
      </c>
      <c r="E452" s="403" t="s">
        <v>579</v>
      </c>
      <c r="F452" s="403" t="s">
        <v>580</v>
      </c>
      <c r="G452" s="459" t="s">
        <v>581</v>
      </c>
      <c r="H452" s="459" t="s">
        <v>582</v>
      </c>
      <c r="I452" s="459" t="s">
        <v>583</v>
      </c>
      <c r="J452" s="460" t="s">
        <v>587</v>
      </c>
      <c r="K452" s="460" t="s">
        <v>588</v>
      </c>
      <c r="L452" s="403" t="s">
        <v>646</v>
      </c>
      <c r="M452" s="403" t="s">
        <v>590</v>
      </c>
      <c r="N452" s="403" t="s">
        <v>610</v>
      </c>
      <c r="O452" s="476" t="s">
        <v>577</v>
      </c>
      <c r="P452" s="138"/>
      <c r="R452" s="1559"/>
      <c r="S452" s="1559"/>
    </row>
    <row r="453" spans="2:19" ht="16.5" thickBot="1">
      <c r="B453" s="132" t="s">
        <v>145</v>
      </c>
      <c r="C453" s="3"/>
      <c r="D453" s="470">
        <f>+'Insumos testigos '!FY106</f>
        <v>100</v>
      </c>
      <c r="E453" s="470">
        <f>+'Insumos testigos '!FZ106</f>
        <v>107.87756443023682</v>
      </c>
      <c r="F453" s="470">
        <f>+'Insumos testigos '!GA106</f>
        <v>114.99894807744226</v>
      </c>
      <c r="G453" s="470">
        <f>+'Insumos testigos '!GB106</f>
        <v>119.03734218569015</v>
      </c>
      <c r="H453" s="470">
        <f>+'Insumos testigos '!GC106</f>
        <v>125.57083797121871</v>
      </c>
      <c r="I453" s="470">
        <f>+'Insumos testigos '!GD106</f>
        <v>130.73843393353263</v>
      </c>
      <c r="J453" s="470">
        <f>+'Insumos testigos '!GE106</f>
        <v>130.73843393353263</v>
      </c>
      <c r="K453" s="470">
        <f>+'Insumos testigos '!GF106</f>
        <v>132.26237387785412</v>
      </c>
      <c r="L453" s="470">
        <f>+'Insumos testigos '!GG106</f>
        <v>134.59399935271608</v>
      </c>
      <c r="M453" s="470">
        <f>+'Insumos testigos '!GH106</f>
        <v>135.39452530525853</v>
      </c>
      <c r="N453" s="470">
        <f>+'Insumos testigos '!GI106</f>
        <v>143.74160290357005</v>
      </c>
      <c r="O453" s="470">
        <f>+'Insumos testigos '!GJ106</f>
        <v>143.74160290357005</v>
      </c>
      <c r="P453" s="138"/>
      <c r="R453" s="1559"/>
      <c r="S453" s="1559"/>
    </row>
    <row r="454" spans="2:19" ht="8.25" customHeight="1" thickBot="1">
      <c r="C454" s="3"/>
      <c r="P454" s="138"/>
      <c r="R454" s="1559"/>
      <c r="S454" s="1559"/>
    </row>
    <row r="455" spans="2:19" ht="16.5" thickBot="1">
      <c r="B455" s="3" t="s">
        <v>623</v>
      </c>
      <c r="C455" s="3"/>
      <c r="D455" s="813">
        <v>100</v>
      </c>
      <c r="E455" s="337">
        <f>ROUND(100*E453/$D$455,2)</f>
        <v>107.88</v>
      </c>
      <c r="F455" s="337">
        <f t="shared" ref="F455:O455" si="290">ROUND(100*F453/$D$455,2)</f>
        <v>115</v>
      </c>
      <c r="G455" s="337">
        <f t="shared" si="290"/>
        <v>119.04</v>
      </c>
      <c r="H455" s="337">
        <f t="shared" si="290"/>
        <v>125.57</v>
      </c>
      <c r="I455" s="337">
        <f t="shared" si="290"/>
        <v>130.74</v>
      </c>
      <c r="J455" s="337">
        <f t="shared" si="290"/>
        <v>130.74</v>
      </c>
      <c r="K455" s="337">
        <f t="shared" si="290"/>
        <v>132.26</v>
      </c>
      <c r="L455" s="337">
        <f t="shared" si="290"/>
        <v>134.59</v>
      </c>
      <c r="M455" s="337">
        <f t="shared" si="290"/>
        <v>135.38999999999999</v>
      </c>
      <c r="N455" s="337">
        <f t="shared" si="290"/>
        <v>143.74</v>
      </c>
      <c r="O455" s="337">
        <f t="shared" si="290"/>
        <v>143.74</v>
      </c>
      <c r="P455" s="138"/>
      <c r="R455" s="1559"/>
      <c r="S455" s="1559"/>
    </row>
    <row r="456" spans="2:19">
      <c r="B456" s="3"/>
      <c r="C456" s="3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R456" s="1559"/>
      <c r="S456" s="1559"/>
    </row>
    <row r="457" spans="2:19" ht="16.5" hidden="1" thickBot="1">
      <c r="B457" s="3"/>
      <c r="C457" s="3"/>
      <c r="D457" s="2682">
        <v>2017</v>
      </c>
      <c r="E457" s="2683"/>
      <c r="F457" s="2683"/>
      <c r="G457" s="2683"/>
      <c r="H457" s="2683"/>
      <c r="I457" s="2683"/>
      <c r="J457" s="2683"/>
      <c r="K457" s="2683"/>
      <c r="L457" s="2683"/>
      <c r="M457" s="2683"/>
      <c r="N457" s="2683"/>
      <c r="O457" s="2688"/>
      <c r="P457" s="138"/>
      <c r="R457" s="1559"/>
      <c r="S457" s="1559"/>
    </row>
    <row r="458" spans="2:19" hidden="1">
      <c r="B458" s="3"/>
      <c r="C458" s="3"/>
      <c r="D458" s="458" t="s">
        <v>578</v>
      </c>
      <c r="E458" s="403" t="s">
        <v>579</v>
      </c>
      <c r="F458" s="403" t="s">
        <v>580</v>
      </c>
      <c r="G458" s="459" t="s">
        <v>581</v>
      </c>
      <c r="H458" s="459" t="s">
        <v>582</v>
      </c>
      <c r="I458" s="459" t="s">
        <v>583</v>
      </c>
      <c r="J458" s="460" t="s">
        <v>587</v>
      </c>
      <c r="K458" s="460" t="s">
        <v>588</v>
      </c>
      <c r="L458" s="403" t="s">
        <v>646</v>
      </c>
      <c r="M458" s="403" t="s">
        <v>590</v>
      </c>
      <c r="N458" s="403" t="s">
        <v>610</v>
      </c>
      <c r="O458" s="476" t="s">
        <v>577</v>
      </c>
      <c r="P458" s="138"/>
      <c r="R458" s="1559"/>
      <c r="S458" s="1559"/>
    </row>
    <row r="459" spans="2:19" ht="16.5" hidden="1" thickBot="1">
      <c r="B459" s="132" t="s">
        <v>145</v>
      </c>
      <c r="C459" s="3"/>
      <c r="D459" s="687">
        <f>+'Insumos testigos '!GK106</f>
        <v>145.40775714016434</v>
      </c>
      <c r="E459" s="470">
        <f>+'Insumos testigos '!GL106</f>
        <v>150.43808833812147</v>
      </c>
      <c r="F459" s="470">
        <f>+'Insumos testigos '!GM106</f>
        <v>151.81836715279869</v>
      </c>
      <c r="G459" s="470">
        <f>+'Insumos testigos '!GN106</f>
        <v>155.37090921264036</v>
      </c>
      <c r="H459" s="470">
        <f>+'Insumos testigos '!GO106</f>
        <v>156.15137474069962</v>
      </c>
      <c r="I459" s="470">
        <f>+'Insumos testigos '!GP106</f>
        <v>156.15137474069962</v>
      </c>
      <c r="J459" s="470">
        <f>+'Insumos testigos '!GQ106</f>
        <v>156.15137474069962</v>
      </c>
      <c r="K459" s="470">
        <f>+'Insumos testigos '!GR106</f>
        <v>156.15137474069962</v>
      </c>
      <c r="L459" s="470">
        <f>+'Insumos testigos '!GS106</f>
        <v>156.15137474069962</v>
      </c>
      <c r="M459" s="470">
        <f>+'Insumos testigos '!GT106</f>
        <v>156.7879786760316</v>
      </c>
      <c r="N459" s="470">
        <f>+'Insumos testigos '!GU106</f>
        <v>156.7879786760316</v>
      </c>
      <c r="O459" s="470">
        <f>+'Insumos testigos '!GV106</f>
        <v>156.7879786760316</v>
      </c>
      <c r="P459" s="138"/>
      <c r="R459" s="1559"/>
      <c r="S459" s="1559"/>
    </row>
    <row r="460" spans="2:19" ht="8.25" hidden="1" customHeight="1" thickBot="1">
      <c r="C460" s="3"/>
      <c r="P460" s="138"/>
      <c r="R460" s="1559"/>
      <c r="S460" s="1559"/>
    </row>
    <row r="461" spans="2:19" ht="16.5" hidden="1" thickBot="1">
      <c r="B461" s="3" t="s">
        <v>623</v>
      </c>
      <c r="C461" s="3"/>
      <c r="D461" s="337">
        <f t="shared" ref="D461:O461" si="291">ROUND(100*D459/$D$455,2)</f>
        <v>145.41</v>
      </c>
      <c r="E461" s="337">
        <f t="shared" si="291"/>
        <v>150.44</v>
      </c>
      <c r="F461" s="337">
        <f t="shared" si="291"/>
        <v>151.82</v>
      </c>
      <c r="G461" s="337">
        <f t="shared" si="291"/>
        <v>155.37</v>
      </c>
      <c r="H461" s="337">
        <f t="shared" si="291"/>
        <v>156.15</v>
      </c>
      <c r="I461" s="337">
        <f t="shared" si="291"/>
        <v>156.15</v>
      </c>
      <c r="J461" s="337">
        <f t="shared" si="291"/>
        <v>156.15</v>
      </c>
      <c r="K461" s="337">
        <f t="shared" si="291"/>
        <v>156.15</v>
      </c>
      <c r="L461" s="337">
        <f t="shared" si="291"/>
        <v>156.15</v>
      </c>
      <c r="M461" s="337">
        <f t="shared" si="291"/>
        <v>156.79</v>
      </c>
      <c r="N461" s="337">
        <f t="shared" si="291"/>
        <v>156.79</v>
      </c>
      <c r="O461" s="337">
        <f t="shared" si="291"/>
        <v>156.79</v>
      </c>
      <c r="P461" s="138"/>
      <c r="R461" s="1559"/>
      <c r="S461" s="1559"/>
    </row>
    <row r="462" spans="2:19" ht="16.5" hidden="1" thickBot="1">
      <c r="B462" s="3"/>
      <c r="C462" s="3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R462" s="1559"/>
      <c r="S462" s="1559"/>
    </row>
    <row r="463" spans="2:19" ht="16.5" hidden="1" thickBot="1">
      <c r="B463" s="3"/>
      <c r="C463" s="3"/>
      <c r="D463" s="2682">
        <v>2018</v>
      </c>
      <c r="E463" s="2683"/>
      <c r="F463" s="2683"/>
      <c r="G463" s="2683"/>
      <c r="H463" s="2683"/>
      <c r="I463" s="2683"/>
      <c r="J463" s="2683"/>
      <c r="K463" s="2683"/>
      <c r="L463" s="2683"/>
      <c r="M463" s="2683"/>
      <c r="N463" s="2683"/>
      <c r="O463" s="2688"/>
      <c r="P463" s="138"/>
      <c r="R463" s="1559"/>
      <c r="S463" s="1559"/>
    </row>
    <row r="464" spans="2:19" hidden="1">
      <c r="B464" s="3"/>
      <c r="C464" s="3"/>
      <c r="D464" s="458" t="s">
        <v>578</v>
      </c>
      <c r="E464" s="403" t="s">
        <v>579</v>
      </c>
      <c r="F464" s="403" t="s">
        <v>580</v>
      </c>
      <c r="G464" s="459" t="s">
        <v>581</v>
      </c>
      <c r="H464" s="459" t="s">
        <v>582</v>
      </c>
      <c r="I464" s="459" t="s">
        <v>583</v>
      </c>
      <c r="J464" s="460" t="s">
        <v>587</v>
      </c>
      <c r="K464" s="460" t="s">
        <v>588</v>
      </c>
      <c r="L464" s="403" t="s">
        <v>646</v>
      </c>
      <c r="M464" s="403" t="s">
        <v>590</v>
      </c>
      <c r="N464" s="403" t="s">
        <v>610</v>
      </c>
      <c r="O464" s="476" t="s">
        <v>577</v>
      </c>
      <c r="P464" s="138"/>
      <c r="R464" s="1559"/>
      <c r="S464" s="1559"/>
    </row>
    <row r="465" spans="2:21" ht="16.5" hidden="1" thickBot="1">
      <c r="B465" s="132" t="s">
        <v>145</v>
      </c>
      <c r="C465" s="3"/>
      <c r="D465" s="470">
        <f>+'Insumos testigos '!GW106</f>
        <v>161.33300525858354</v>
      </c>
      <c r="E465" s="470">
        <f>+'Insumos testigos '!GX106</f>
        <v>162.30212553872775</v>
      </c>
      <c r="F465" s="470">
        <f>+'Insumos testigos '!GY106</f>
        <v>162.30212553872775</v>
      </c>
      <c r="G465" s="470">
        <f>+'Insumos testigos '!GZ106</f>
        <v>165.00713903672931</v>
      </c>
      <c r="H465" s="470">
        <f>+'Insumos testigos '!HA106</f>
        <v>190.10589966248253</v>
      </c>
      <c r="I465" s="470">
        <f>+'Insumos testigos '!HB106</f>
        <v>191.05642825429936</v>
      </c>
      <c r="J465" s="470">
        <f>+'Insumos testigos '!HC106</f>
        <v>201.55673249720925</v>
      </c>
      <c r="K465" s="470">
        <f>+'Insumos testigos '!HD106</f>
        <v>202.5644901634503</v>
      </c>
      <c r="L465" s="470">
        <f>+'Insumos testigos '!HE106</f>
        <v>264.73502965241227</v>
      </c>
      <c r="M465" s="470">
        <f>+'Insumos testigos '!HF106</f>
        <v>264.73502965241227</v>
      </c>
      <c r="N465" s="470">
        <f>+'Insumos testigos '!HG106</f>
        <v>264.73502965241227</v>
      </c>
      <c r="O465" s="477">
        <f>+'Insumos testigos '!HH106</f>
        <v>266.4999403216006</v>
      </c>
      <c r="P465" s="138"/>
      <c r="R465" s="1559"/>
      <c r="S465" s="1559"/>
    </row>
    <row r="466" spans="2:21" ht="8.25" hidden="1" customHeight="1" thickBot="1">
      <c r="C466" s="3"/>
      <c r="P466" s="138"/>
      <c r="R466" s="1559"/>
      <c r="S466" s="1559"/>
    </row>
    <row r="467" spans="2:21" ht="16.5" hidden="1" thickBot="1">
      <c r="B467" s="3" t="s">
        <v>623</v>
      </c>
      <c r="C467" s="3"/>
      <c r="D467" s="337">
        <f t="shared" ref="D467:O467" si="292">ROUND(100*D465/$D$455,2)</f>
        <v>161.33000000000001</v>
      </c>
      <c r="E467" s="337">
        <f t="shared" si="292"/>
        <v>162.30000000000001</v>
      </c>
      <c r="F467" s="337">
        <f t="shared" si="292"/>
        <v>162.30000000000001</v>
      </c>
      <c r="G467" s="337">
        <f t="shared" si="292"/>
        <v>165.01</v>
      </c>
      <c r="H467" s="337">
        <f t="shared" si="292"/>
        <v>190.11</v>
      </c>
      <c r="I467" s="337">
        <f t="shared" si="292"/>
        <v>191.06</v>
      </c>
      <c r="J467" s="337">
        <f t="shared" si="292"/>
        <v>201.56</v>
      </c>
      <c r="K467" s="337">
        <f t="shared" si="292"/>
        <v>202.56</v>
      </c>
      <c r="L467" s="337">
        <f t="shared" si="292"/>
        <v>264.74</v>
      </c>
      <c r="M467" s="337">
        <f t="shared" si="292"/>
        <v>264.74</v>
      </c>
      <c r="N467" s="337">
        <f t="shared" si="292"/>
        <v>264.74</v>
      </c>
      <c r="O467" s="337">
        <f t="shared" si="292"/>
        <v>266.5</v>
      </c>
      <c r="P467" s="138"/>
      <c r="R467" s="1559"/>
      <c r="S467" s="1559"/>
    </row>
    <row r="468" spans="2:21" ht="16.5" hidden="1" thickBot="1">
      <c r="B468" s="3"/>
      <c r="C468" s="3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R468" s="1559"/>
      <c r="S468" s="1559"/>
    </row>
    <row r="469" spans="2:21" ht="16.5" hidden="1" thickBot="1">
      <c r="B469" s="3"/>
      <c r="C469" s="3"/>
      <c r="D469" s="2682">
        <v>2019</v>
      </c>
      <c r="E469" s="2683"/>
      <c r="F469" s="2683"/>
      <c r="G469" s="2683"/>
      <c r="H469" s="2683"/>
      <c r="I469" s="2683"/>
      <c r="J469" s="2683"/>
      <c r="K469" s="2683"/>
      <c r="L469" s="2683"/>
      <c r="M469" s="2683"/>
      <c r="N469" s="2683"/>
      <c r="O469" s="2688"/>
      <c r="P469" s="138"/>
      <c r="R469" s="1559"/>
      <c r="S469" s="1559"/>
    </row>
    <row r="470" spans="2:21" hidden="1">
      <c r="B470" s="3"/>
      <c r="C470" s="3"/>
      <c r="D470" s="458" t="s">
        <v>578</v>
      </c>
      <c r="E470" s="403" t="s">
        <v>579</v>
      </c>
      <c r="F470" s="403" t="s">
        <v>580</v>
      </c>
      <c r="G470" s="459" t="s">
        <v>581</v>
      </c>
      <c r="H470" s="459" t="s">
        <v>582</v>
      </c>
      <c r="I470" s="459" t="s">
        <v>583</v>
      </c>
      <c r="J470" s="460" t="s">
        <v>587</v>
      </c>
      <c r="K470" s="460" t="s">
        <v>588</v>
      </c>
      <c r="L470" s="403" t="s">
        <v>646</v>
      </c>
      <c r="M470" s="403" t="s">
        <v>590</v>
      </c>
      <c r="N470" s="403" t="s">
        <v>610</v>
      </c>
      <c r="O470" s="476" t="s">
        <v>577</v>
      </c>
      <c r="P470" s="138"/>
      <c r="R470" s="1559"/>
      <c r="S470" s="1559"/>
    </row>
    <row r="471" spans="2:21" ht="16.5" hidden="1" thickBot="1">
      <c r="B471" s="132" t="s">
        <v>145</v>
      </c>
      <c r="C471" s="3"/>
      <c r="D471" s="470">
        <f>+'Insumos testigos '!HI106</f>
        <v>264.73502965241227</v>
      </c>
      <c r="E471" s="470">
        <f>+'Insumos testigos '!HJ106</f>
        <v>266.4999403216006</v>
      </c>
      <c r="F471" s="470">
        <f>+'Insumos testigos '!HK106</f>
        <v>270.587011171776</v>
      </c>
      <c r="G471" s="470">
        <f>+'Insumos testigos '!HL106</f>
        <v>273.29286869894605</v>
      </c>
      <c r="H471" s="470">
        <f>+'Insumos testigos '!HM106</f>
        <v>273.29286869894605</v>
      </c>
      <c r="I471" s="470">
        <f>+'Insumos testigos '!HN106</f>
        <v>277.70084283655609</v>
      </c>
      <c r="J471" s="470">
        <f>+'Insumos testigos '!HO106</f>
        <v>285.57528672565383</v>
      </c>
      <c r="K471" s="470">
        <f>+'Insumos testigos '!HP106</f>
        <v>328.41157973450186</v>
      </c>
      <c r="L471" s="470">
        <f>+'Insumos testigos '!HQ106</f>
        <v>328.41157973450186</v>
      </c>
      <c r="M471" s="470">
        <f>+'Insumos testigos '!HR106</f>
        <v>354.45841667274567</v>
      </c>
      <c r="N471" s="470">
        <f>+'Insumos testigos '!HS106</f>
        <v>360.36605695062474</v>
      </c>
      <c r="O471" s="470">
        <f>+'Insumos testigos '!HT106</f>
        <v>384.02487199390492</v>
      </c>
      <c r="P471" s="138"/>
      <c r="R471" s="1559"/>
      <c r="S471" s="1559"/>
    </row>
    <row r="472" spans="2:21" ht="16.5" hidden="1" thickBot="1">
      <c r="C472" s="3"/>
      <c r="P472" s="138"/>
      <c r="R472" s="1559"/>
      <c r="S472" s="1559"/>
    </row>
    <row r="473" spans="2:21" ht="16.5" hidden="1" thickBot="1">
      <c r="B473" s="3" t="s">
        <v>623</v>
      </c>
      <c r="C473" s="3"/>
      <c r="D473" s="337">
        <f t="shared" ref="D473:O473" si="293">ROUND(100*D471/$D$455,2)</f>
        <v>264.74</v>
      </c>
      <c r="E473" s="337">
        <f t="shared" si="293"/>
        <v>266.5</v>
      </c>
      <c r="F473" s="337">
        <f t="shared" si="293"/>
        <v>270.58999999999997</v>
      </c>
      <c r="G473" s="337">
        <f t="shared" si="293"/>
        <v>273.29000000000002</v>
      </c>
      <c r="H473" s="337">
        <f t="shared" si="293"/>
        <v>273.29000000000002</v>
      </c>
      <c r="I473" s="337">
        <f t="shared" si="293"/>
        <v>277.7</v>
      </c>
      <c r="J473" s="337">
        <f t="shared" si="293"/>
        <v>285.58</v>
      </c>
      <c r="K473" s="337">
        <f t="shared" si="293"/>
        <v>328.41</v>
      </c>
      <c r="L473" s="337">
        <f t="shared" si="293"/>
        <v>328.41</v>
      </c>
      <c r="M473" s="337">
        <f t="shared" si="293"/>
        <v>354.46</v>
      </c>
      <c r="N473" s="337">
        <f t="shared" si="293"/>
        <v>360.37</v>
      </c>
      <c r="O473" s="337">
        <f t="shared" si="293"/>
        <v>384.02</v>
      </c>
      <c r="P473" s="138"/>
      <c r="R473" s="1559"/>
      <c r="S473" s="1559"/>
    </row>
    <row r="474" spans="2:21" ht="16.5" hidden="1" thickBot="1">
      <c r="B474" s="3"/>
      <c r="C474" s="3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R474" s="1559"/>
      <c r="S474" s="1559"/>
    </row>
    <row r="475" spans="2:21" ht="16.5" hidden="1" thickBot="1">
      <c r="B475" s="3"/>
      <c r="C475" s="3"/>
      <c r="D475" s="2682">
        <v>2020</v>
      </c>
      <c r="E475" s="2683"/>
      <c r="F475" s="2683"/>
      <c r="G475" s="2683"/>
      <c r="H475" s="2683"/>
      <c r="I475" s="2683"/>
      <c r="J475" s="2683"/>
      <c r="K475" s="2683"/>
      <c r="L475" s="2683"/>
      <c r="M475" s="2683"/>
      <c r="N475" s="2683"/>
      <c r="O475" s="2688"/>
      <c r="P475" s="138"/>
      <c r="R475" s="1559"/>
      <c r="S475" s="1559"/>
    </row>
    <row r="476" spans="2:21" hidden="1">
      <c r="B476" s="3"/>
      <c r="C476" s="3"/>
      <c r="D476" s="1775" t="s">
        <v>578</v>
      </c>
      <c r="E476" s="1776" t="s">
        <v>579</v>
      </c>
      <c r="F476" s="1776" t="s">
        <v>580</v>
      </c>
      <c r="G476" s="1786" t="s">
        <v>581</v>
      </c>
      <c r="H476" s="1786" t="s">
        <v>582</v>
      </c>
      <c r="I476" s="1786" t="s">
        <v>583</v>
      </c>
      <c r="J476" s="1786" t="s">
        <v>587</v>
      </c>
      <c r="K476" s="1786" t="s">
        <v>588</v>
      </c>
      <c r="L476" s="1776" t="s">
        <v>646</v>
      </c>
      <c r="M476" s="1776" t="s">
        <v>590</v>
      </c>
      <c r="N476" s="1776" t="s">
        <v>610</v>
      </c>
      <c r="O476" s="1777" t="s">
        <v>577</v>
      </c>
      <c r="P476" s="138"/>
      <c r="R476" s="1559"/>
      <c r="S476" s="1559"/>
    </row>
    <row r="477" spans="2:21" ht="16.5" hidden="1" thickBot="1">
      <c r="B477" s="132" t="s">
        <v>145</v>
      </c>
      <c r="C477" s="3"/>
      <c r="D477" s="470">
        <f>+'Insumos testigos '!HU106</f>
        <v>394.20147864377105</v>
      </c>
      <c r="E477" s="470">
        <f>+'Insumos testigos '!HV106</f>
        <v>402.44830153924948</v>
      </c>
      <c r="F477" s="470">
        <f>+'Insumos testigos '!HW106</f>
        <v>402.44830153924948</v>
      </c>
      <c r="G477" s="470">
        <f>+'Insumos testigos '!HX106</f>
        <v>402.44830153924948</v>
      </c>
      <c r="H477" s="470">
        <f>+'Insumos testigos '!HY106</f>
        <v>404.69850171559415</v>
      </c>
      <c r="I477" s="470">
        <f>+'Insumos testigos '!HZ106</f>
        <v>404.69850171559415</v>
      </c>
      <c r="J477" s="470">
        <f>+'Insumos testigos '!IA106</f>
        <v>404.69850171559415</v>
      </c>
      <c r="K477" s="470">
        <f>+'Insumos testigos '!IB106</f>
        <v>404.69850171559415</v>
      </c>
      <c r="L477" s="470">
        <f>+'Insumos testigos '!IC106</f>
        <v>404.69850171559415</v>
      </c>
      <c r="M477" s="470">
        <f>+'Insumos testigos '!ID106</f>
        <v>404.69850171559415</v>
      </c>
      <c r="N477" s="470">
        <f>+'Insumos testigos '!IE106</f>
        <v>404.69850171559415</v>
      </c>
      <c r="O477" s="470">
        <f>+'Insumos testigos '!IF106</f>
        <v>404.70039672637193</v>
      </c>
      <c r="P477" s="138"/>
      <c r="R477" s="1559"/>
      <c r="S477" s="1559"/>
    </row>
    <row r="478" spans="2:21" ht="16.5" hidden="1" thickBot="1">
      <c r="C478" s="3"/>
      <c r="P478" s="138"/>
      <c r="R478" s="1559"/>
      <c r="S478" s="1559"/>
    </row>
    <row r="479" spans="2:21" ht="16.5" hidden="1" thickBot="1">
      <c r="B479" s="3" t="s">
        <v>623</v>
      </c>
      <c r="C479" s="3"/>
      <c r="D479" s="337">
        <f t="shared" ref="D479:O479" si="294">ROUND(100*D477/$D$455,2)</f>
        <v>394.2</v>
      </c>
      <c r="E479" s="337">
        <f t="shared" si="294"/>
        <v>402.45</v>
      </c>
      <c r="F479" s="337">
        <f t="shared" si="294"/>
        <v>402.45</v>
      </c>
      <c r="G479" s="337">
        <f t="shared" si="294"/>
        <v>402.45</v>
      </c>
      <c r="H479" s="337">
        <f t="shared" si="294"/>
        <v>404.7</v>
      </c>
      <c r="I479" s="337">
        <f t="shared" si="294"/>
        <v>404.7</v>
      </c>
      <c r="J479" s="337">
        <f t="shared" si="294"/>
        <v>404.7</v>
      </c>
      <c r="K479" s="337">
        <f t="shared" si="294"/>
        <v>404.7</v>
      </c>
      <c r="L479" s="337">
        <f t="shared" si="294"/>
        <v>404.7</v>
      </c>
      <c r="M479" s="337">
        <f t="shared" si="294"/>
        <v>404.7</v>
      </c>
      <c r="N479" s="337">
        <f t="shared" si="294"/>
        <v>404.7</v>
      </c>
      <c r="O479" s="337">
        <f t="shared" si="294"/>
        <v>404.7</v>
      </c>
      <c r="P479" s="138"/>
      <c r="R479" s="1559"/>
      <c r="S479" s="1559"/>
    </row>
    <row r="480" spans="2:21" ht="16.5" hidden="1" thickBot="1">
      <c r="B480" s="3"/>
      <c r="C480" s="3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R480" s="1559"/>
      <c r="S480" s="1559"/>
      <c r="U480" s="813"/>
    </row>
    <row r="481" spans="2:19" ht="16.5" hidden="1" thickBot="1">
      <c r="B481" s="3"/>
      <c r="C481" s="3"/>
      <c r="D481" s="2682">
        <v>2021</v>
      </c>
      <c r="E481" s="2683"/>
      <c r="F481" s="2683"/>
      <c r="G481" s="2683"/>
      <c r="H481" s="2683"/>
      <c r="I481" s="2683"/>
      <c r="J481" s="2683"/>
      <c r="K481" s="2683"/>
      <c r="L481" s="2683"/>
      <c r="M481" s="2683"/>
      <c r="N481" s="2683"/>
      <c r="O481" s="2688"/>
      <c r="P481" s="138"/>
      <c r="R481" s="1559"/>
      <c r="S481" s="1559"/>
    </row>
    <row r="482" spans="2:19" hidden="1">
      <c r="B482" s="3"/>
      <c r="C482" s="3"/>
      <c r="D482" s="1931" t="s">
        <v>578</v>
      </c>
      <c r="E482" s="1932" t="s">
        <v>579</v>
      </c>
      <c r="F482" s="1932" t="s">
        <v>580</v>
      </c>
      <c r="G482" s="1933" t="s">
        <v>581</v>
      </c>
      <c r="H482" s="1933" t="s">
        <v>582</v>
      </c>
      <c r="I482" s="1933" t="s">
        <v>583</v>
      </c>
      <c r="J482" s="1933" t="s">
        <v>587</v>
      </c>
      <c r="K482" s="1933" t="s">
        <v>588</v>
      </c>
      <c r="L482" s="1932" t="s">
        <v>646</v>
      </c>
      <c r="M482" s="1932" t="s">
        <v>590</v>
      </c>
      <c r="N482" s="1932" t="s">
        <v>610</v>
      </c>
      <c r="O482" s="1934" t="s">
        <v>577</v>
      </c>
      <c r="P482" s="138"/>
      <c r="R482" s="1559"/>
      <c r="S482" s="1559"/>
    </row>
    <row r="483" spans="2:19" ht="16.5" hidden="1" thickBot="1">
      <c r="B483" s="132" t="s">
        <v>145</v>
      </c>
      <c r="C483" s="3"/>
      <c r="D483" s="2437">
        <f>+'Insumos testigos '!IG106</f>
        <v>429.35667257750833</v>
      </c>
      <c r="E483" s="2437">
        <f>+'Insumos testigos '!IH106</f>
        <v>429.35667257750833</v>
      </c>
      <c r="F483" s="2437">
        <f>+'Insumos testigos '!II106</f>
        <v>429.35667257750833</v>
      </c>
      <c r="G483" s="2437">
        <f>+'Insumos testigos '!IJ106</f>
        <v>429.35667257750833</v>
      </c>
      <c r="H483" s="2437">
        <f>+'Insumos testigos '!IK106</f>
        <v>435.88235108918678</v>
      </c>
      <c r="I483" s="2437">
        <f>+'Insumos testigos '!IL106</f>
        <v>433.43818659107421</v>
      </c>
      <c r="J483" s="2437">
        <f>+'Insumos testigos '!IM106</f>
        <v>434.79269211857991</v>
      </c>
      <c r="K483" s="2437">
        <f>+'Insumos testigos '!IN106</f>
        <v>465.40048015755093</v>
      </c>
      <c r="L483" s="2437">
        <f>+'Insumos testigos '!IO106</f>
        <v>481.15335560992378</v>
      </c>
      <c r="M483" s="2437">
        <f>+'Insumos testigos '!IP106</f>
        <v>483.34953433626998</v>
      </c>
      <c r="N483" s="2437">
        <f>+'Insumos testigos '!IQ106</f>
        <v>490.34456879718448</v>
      </c>
      <c r="O483" s="2437">
        <f>+'Insumos testigos '!IR106</f>
        <v>506.56262249196544</v>
      </c>
      <c r="P483" s="138"/>
      <c r="R483" s="1559"/>
      <c r="S483" s="1559"/>
    </row>
    <row r="484" spans="2:19" ht="16.5" hidden="1" thickBot="1">
      <c r="C484" s="3"/>
      <c r="P484" s="138"/>
      <c r="R484" s="1559"/>
      <c r="S484" s="1559"/>
    </row>
    <row r="485" spans="2:19" ht="16.5" hidden="1" thickBot="1">
      <c r="B485" s="3" t="s">
        <v>623</v>
      </c>
      <c r="C485" s="3"/>
      <c r="D485" s="337">
        <f t="shared" ref="D485:O485" si="295">ROUND(100*D483/$D$455,2)</f>
        <v>429.36</v>
      </c>
      <c r="E485" s="337">
        <f t="shared" si="295"/>
        <v>429.36</v>
      </c>
      <c r="F485" s="337">
        <f t="shared" si="295"/>
        <v>429.36</v>
      </c>
      <c r="G485" s="337">
        <f t="shared" si="295"/>
        <v>429.36</v>
      </c>
      <c r="H485" s="337">
        <f t="shared" si="295"/>
        <v>435.88</v>
      </c>
      <c r="I485" s="337">
        <f t="shared" si="295"/>
        <v>433.44</v>
      </c>
      <c r="J485" s="337">
        <f t="shared" si="295"/>
        <v>434.79</v>
      </c>
      <c r="K485" s="337">
        <f t="shared" si="295"/>
        <v>465.4</v>
      </c>
      <c r="L485" s="337">
        <f t="shared" si="295"/>
        <v>481.15</v>
      </c>
      <c r="M485" s="337">
        <f t="shared" si="295"/>
        <v>483.35</v>
      </c>
      <c r="N485" s="337">
        <f t="shared" si="295"/>
        <v>490.34</v>
      </c>
      <c r="O485" s="337">
        <f t="shared" si="295"/>
        <v>506.56</v>
      </c>
      <c r="P485" s="138"/>
      <c r="R485" s="1559"/>
      <c r="S485" s="1559"/>
    </row>
    <row r="486" spans="2:19" ht="16.5" thickBot="1">
      <c r="B486" s="3"/>
      <c r="C486" s="3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R486" s="1559"/>
      <c r="S486" s="1559"/>
    </row>
    <row r="487" spans="2:19" ht="16.5" thickBot="1">
      <c r="B487" s="3"/>
      <c r="C487" s="3"/>
      <c r="D487" s="2682">
        <v>2022</v>
      </c>
      <c r="E487" s="2683"/>
      <c r="F487" s="2683"/>
      <c r="G487" s="2683"/>
      <c r="H487" s="2683"/>
      <c r="I487" s="2683"/>
      <c r="J487" s="2683"/>
      <c r="K487" s="2683"/>
      <c r="L487" s="2683"/>
      <c r="M487" s="2683"/>
      <c r="N487" s="2683"/>
      <c r="O487" s="2688"/>
      <c r="P487" s="138"/>
      <c r="R487" s="1559"/>
      <c r="S487" s="1559"/>
    </row>
    <row r="488" spans="2:19">
      <c r="B488" s="3"/>
      <c r="C488" s="3"/>
      <c r="D488" s="1931" t="s">
        <v>578</v>
      </c>
      <c r="E488" s="1932" t="s">
        <v>579</v>
      </c>
      <c r="F488" s="1932" t="s">
        <v>580</v>
      </c>
      <c r="G488" s="1933" t="s">
        <v>581</v>
      </c>
      <c r="H488" s="1933" t="s">
        <v>582</v>
      </c>
      <c r="I488" s="1933" t="s">
        <v>583</v>
      </c>
      <c r="J488" s="1933" t="s">
        <v>587</v>
      </c>
      <c r="K488" s="1933" t="s">
        <v>588</v>
      </c>
      <c r="L488" s="1932" t="s">
        <v>646</v>
      </c>
      <c r="M488" s="1932" t="s">
        <v>590</v>
      </c>
      <c r="N488" s="1932" t="s">
        <v>610</v>
      </c>
      <c r="O488" s="1934" t="s">
        <v>577</v>
      </c>
      <c r="P488" s="138"/>
      <c r="R488" s="1559"/>
      <c r="S488" s="1559"/>
    </row>
    <row r="489" spans="2:19" ht="16.5" thickBot="1">
      <c r="B489" s="132" t="s">
        <v>145</v>
      </c>
      <c r="C489" s="3"/>
      <c r="D489" s="2437">
        <f>+'Insumos testigos '!IS106</f>
        <v>509.52715317243104</v>
      </c>
      <c r="E489" s="2437">
        <f>+'Insumos testigos '!IT106</f>
        <v>517.82547407566619</v>
      </c>
      <c r="F489" s="2437">
        <f>+'Insumos testigos '!IU106</f>
        <v>525.89483915307392</v>
      </c>
      <c r="G489" s="2437">
        <f>+'Insumos testigos '!IV106</f>
        <v>555.60710414324433</v>
      </c>
      <c r="H489" s="2437">
        <f>+'Insumos testigos '!IW106</f>
        <v>579.98755584877131</v>
      </c>
      <c r="I489" s="2437">
        <f>+'Insumos testigos '!IX106</f>
        <v>596.80988579194138</v>
      </c>
      <c r="J489" s="2437">
        <f>+'Insumos testigos '!IY106</f>
        <v>664.01911697232094</v>
      </c>
      <c r="K489" s="2437">
        <f>+'Insumos testigos '!IZ106</f>
        <v>696.01013318363141</v>
      </c>
      <c r="L489" s="2437">
        <f>+'Insumos testigos '!JA106</f>
        <v>709.67862634973744</v>
      </c>
      <c r="M489" s="2437">
        <f>+'Insumos testigos '!JB106</f>
        <v>753.43378025244192</v>
      </c>
      <c r="N489" s="2437">
        <f>+'Insumos testigos '!JC106</f>
        <v>764.12137448501153</v>
      </c>
      <c r="O489" s="2437">
        <f>+'Insumos testigos '!JD106</f>
        <v>830.19315369593164</v>
      </c>
      <c r="P489" s="138"/>
      <c r="R489" s="1559"/>
      <c r="S489" s="1559"/>
    </row>
    <row r="490" spans="2:19" ht="16.5" thickBot="1">
      <c r="C490" s="3"/>
      <c r="P490" s="138"/>
      <c r="R490" s="1559"/>
      <c r="S490" s="1559"/>
    </row>
    <row r="491" spans="2:19" ht="16.5" thickBot="1">
      <c r="B491" s="3" t="s">
        <v>623</v>
      </c>
      <c r="C491" s="3"/>
      <c r="D491" s="337">
        <f t="shared" ref="D491:O491" si="296">ROUND(100*D489/$D$455,2)</f>
        <v>509.53</v>
      </c>
      <c r="E491" s="337">
        <f t="shared" si="296"/>
        <v>517.83000000000004</v>
      </c>
      <c r="F491" s="337">
        <f t="shared" si="296"/>
        <v>525.89</v>
      </c>
      <c r="G491" s="337">
        <f t="shared" si="296"/>
        <v>555.61</v>
      </c>
      <c r="H491" s="337">
        <f t="shared" si="296"/>
        <v>579.99</v>
      </c>
      <c r="I491" s="337">
        <f t="shared" si="296"/>
        <v>596.80999999999995</v>
      </c>
      <c r="J491" s="337">
        <f t="shared" si="296"/>
        <v>664.02</v>
      </c>
      <c r="K491" s="337">
        <f t="shared" si="296"/>
        <v>696.01</v>
      </c>
      <c r="L491" s="337">
        <f t="shared" si="296"/>
        <v>709.68</v>
      </c>
      <c r="M491" s="337">
        <f t="shared" si="296"/>
        <v>753.43</v>
      </c>
      <c r="N491" s="337">
        <f t="shared" si="296"/>
        <v>764.12</v>
      </c>
      <c r="O491" s="337">
        <f t="shared" si="296"/>
        <v>830.19</v>
      </c>
      <c r="P491" s="138"/>
      <c r="R491" s="1559"/>
      <c r="S491" s="1559"/>
    </row>
    <row r="492" spans="2:19" ht="16.5" thickBot="1">
      <c r="B492" s="3"/>
      <c r="C492" s="3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R492" s="1559"/>
      <c r="S492" s="1559"/>
    </row>
    <row r="493" spans="2:19" ht="16.5" thickBot="1">
      <c r="B493" s="3"/>
      <c r="C493" s="3"/>
      <c r="D493" s="2682">
        <v>2023</v>
      </c>
      <c r="E493" s="2683"/>
      <c r="F493" s="2683"/>
      <c r="G493" s="2683"/>
      <c r="H493" s="2683"/>
      <c r="I493" s="2683"/>
      <c r="J493" s="2683"/>
      <c r="K493" s="2683"/>
      <c r="L493" s="2683"/>
      <c r="M493" s="2683"/>
      <c r="N493" s="2683"/>
      <c r="O493" s="2688"/>
      <c r="P493" s="138"/>
      <c r="R493" s="1559"/>
      <c r="S493" s="1559"/>
    </row>
    <row r="494" spans="2:19">
      <c r="B494" s="3"/>
      <c r="C494" s="3"/>
      <c r="D494" s="2490" t="s">
        <v>578</v>
      </c>
      <c r="E494" s="1932" t="s">
        <v>579</v>
      </c>
      <c r="F494" s="1932" t="s">
        <v>580</v>
      </c>
      <c r="G494" s="1933" t="s">
        <v>581</v>
      </c>
      <c r="H494" s="1933" t="s">
        <v>582</v>
      </c>
      <c r="I494" s="1933" t="s">
        <v>583</v>
      </c>
      <c r="J494" s="1933" t="s">
        <v>587</v>
      </c>
      <c r="K494" s="1933" t="s">
        <v>588</v>
      </c>
      <c r="L494" s="1932" t="s">
        <v>646</v>
      </c>
      <c r="M494" s="1932" t="s">
        <v>590</v>
      </c>
      <c r="N494" s="1932" t="s">
        <v>610</v>
      </c>
      <c r="O494" s="2491" t="s">
        <v>577</v>
      </c>
      <c r="P494" s="138"/>
      <c r="R494" s="1559"/>
      <c r="S494" s="1559"/>
    </row>
    <row r="495" spans="2:19" ht="16.5" thickBot="1">
      <c r="B495" s="132" t="s">
        <v>145</v>
      </c>
      <c r="C495" s="3"/>
      <c r="D495" s="2492">
        <f>+'Insumos testigos '!JE106</f>
        <v>872.76114331077349</v>
      </c>
      <c r="E495" s="2492">
        <f>+'Insumos testigos '!JF106</f>
        <v>938.08834162883602</v>
      </c>
      <c r="F495" s="2493"/>
      <c r="G495" s="2493"/>
      <c r="H495" s="2493"/>
      <c r="I495" s="2493"/>
      <c r="J495" s="2493"/>
      <c r="K495" s="2493"/>
      <c r="L495" s="2493"/>
      <c r="M495" s="2493"/>
      <c r="N495" s="2493"/>
      <c r="O495" s="2494"/>
      <c r="P495" s="138"/>
      <c r="R495" s="1559"/>
      <c r="S495" s="1559"/>
    </row>
    <row r="496" spans="2:19" ht="16.5" thickBot="1">
      <c r="C496" s="3"/>
      <c r="P496" s="138"/>
      <c r="R496" s="1559"/>
      <c r="S496" s="1559"/>
    </row>
    <row r="497" spans="2:19" ht="16.5" thickBot="1">
      <c r="B497" s="3" t="s">
        <v>623</v>
      </c>
      <c r="C497" s="3"/>
      <c r="D497" s="337">
        <f t="shared" ref="D497:O497" si="297">ROUND(100*D495/$D$455,2)</f>
        <v>872.76</v>
      </c>
      <c r="E497" s="337">
        <f t="shared" si="297"/>
        <v>938.09</v>
      </c>
      <c r="F497" s="337">
        <f t="shared" si="297"/>
        <v>0</v>
      </c>
      <c r="G497" s="337">
        <f t="shared" si="297"/>
        <v>0</v>
      </c>
      <c r="H497" s="337">
        <f t="shared" si="297"/>
        <v>0</v>
      </c>
      <c r="I497" s="337">
        <f t="shared" si="297"/>
        <v>0</v>
      </c>
      <c r="J497" s="337">
        <f t="shared" si="297"/>
        <v>0</v>
      </c>
      <c r="K497" s="337">
        <f t="shared" si="297"/>
        <v>0</v>
      </c>
      <c r="L497" s="337">
        <f t="shared" si="297"/>
        <v>0</v>
      </c>
      <c r="M497" s="337">
        <f t="shared" si="297"/>
        <v>0</v>
      </c>
      <c r="N497" s="337">
        <f t="shared" si="297"/>
        <v>0</v>
      </c>
      <c r="O497" s="337">
        <f t="shared" si="297"/>
        <v>0</v>
      </c>
      <c r="P497" s="138"/>
      <c r="R497" s="1559"/>
      <c r="S497" s="1559"/>
    </row>
    <row r="498" spans="2:19">
      <c r="B498" s="3"/>
      <c r="C498" s="3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R498" s="1559"/>
      <c r="S498" s="1559"/>
    </row>
    <row r="499" spans="2:19">
      <c r="B499" s="3"/>
      <c r="C499" s="3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R499" s="1559"/>
      <c r="S499" s="1559"/>
    </row>
    <row r="500" spans="2:19">
      <c r="B500" s="3"/>
      <c r="C500" s="3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R500" s="1559"/>
      <c r="S500" s="1559"/>
    </row>
    <row r="501" spans="2:19">
      <c r="B501" s="3" t="s">
        <v>652</v>
      </c>
      <c r="C501" s="3"/>
      <c r="R501" s="1559"/>
      <c r="S501" s="1559"/>
    </row>
    <row r="502" spans="2:19" ht="16.5" thickBot="1">
      <c r="R502" s="1559"/>
      <c r="S502" s="1559"/>
    </row>
    <row r="503" spans="2:19">
      <c r="B503" s="435" t="s">
        <v>626</v>
      </c>
      <c r="C503" s="431"/>
      <c r="D503" s="2689" t="s">
        <v>627</v>
      </c>
      <c r="E503" s="2689"/>
      <c r="F503" s="2689"/>
      <c r="G503" s="2689"/>
      <c r="H503" s="2689"/>
      <c r="I503" s="1005">
        <v>0.7</v>
      </c>
      <c r="R503" s="1559"/>
      <c r="S503" s="1559"/>
    </row>
    <row r="504" spans="2:19" ht="16.5" thickBot="1">
      <c r="B504" s="472" t="s">
        <v>628</v>
      </c>
      <c r="C504" s="275"/>
      <c r="D504" s="275" t="s">
        <v>629</v>
      </c>
      <c r="E504" s="275"/>
      <c r="F504" s="275"/>
      <c r="G504" s="275"/>
      <c r="H504" s="275"/>
      <c r="I504" s="1006">
        <v>0.3</v>
      </c>
      <c r="R504" s="1559"/>
      <c r="S504" s="1559"/>
    </row>
    <row r="505" spans="2:19">
      <c r="R505" s="1559"/>
      <c r="S505" s="1559"/>
    </row>
    <row r="506" spans="2:19" ht="16.5" hidden="1" thickBot="1">
      <c r="D506" s="415">
        <v>2001</v>
      </c>
      <c r="E506" s="2682">
        <v>2002</v>
      </c>
      <c r="F506" s="2683"/>
      <c r="G506" s="2683"/>
      <c r="H506" s="2683"/>
      <c r="I506" s="2683"/>
      <c r="J506" s="2683"/>
      <c r="K506" s="2683"/>
      <c r="L506" s="2683"/>
      <c r="M506" s="2683"/>
      <c r="N506" s="2683"/>
      <c r="O506" s="2683"/>
      <c r="P506" s="2684"/>
      <c r="R506" s="1559"/>
      <c r="S506" s="1559"/>
    </row>
    <row r="507" spans="2:19" ht="16.5" hidden="1" thickBot="1">
      <c r="D507" s="414" t="s">
        <v>577</v>
      </c>
      <c r="E507" s="449" t="s">
        <v>578</v>
      </c>
      <c r="F507" s="412" t="s">
        <v>579</v>
      </c>
      <c r="G507" s="412" t="s">
        <v>580</v>
      </c>
      <c r="H507" s="412" t="s">
        <v>581</v>
      </c>
      <c r="I507" s="412" t="s">
        <v>582</v>
      </c>
      <c r="J507" s="412" t="s">
        <v>583</v>
      </c>
      <c r="K507" s="412" t="s">
        <v>636</v>
      </c>
      <c r="L507" s="412" t="s">
        <v>637</v>
      </c>
      <c r="M507" s="412" t="s">
        <v>638</v>
      </c>
      <c r="N507" s="412" t="s">
        <v>639</v>
      </c>
      <c r="O507" s="412" t="s">
        <v>586</v>
      </c>
      <c r="P507" s="413" t="s">
        <v>577</v>
      </c>
      <c r="R507" s="1559"/>
      <c r="S507" s="1559"/>
    </row>
    <row r="508" spans="2:19" ht="9" hidden="1" customHeight="1" thickBot="1">
      <c r="R508" s="1559"/>
      <c r="S508" s="1559"/>
    </row>
    <row r="509" spans="2:19" hidden="1">
      <c r="B509" s="121" t="s">
        <v>653</v>
      </c>
      <c r="C509" s="121"/>
      <c r="D509" s="463">
        <f t="shared" ref="D509:P509" si="298">+C371</f>
        <v>100</v>
      </c>
      <c r="E509" s="464">
        <f t="shared" si="298"/>
        <v>106.95</v>
      </c>
      <c r="F509" s="464">
        <f t="shared" si="298"/>
        <v>107.7</v>
      </c>
      <c r="G509" s="464">
        <f t="shared" si="298"/>
        <v>108.45</v>
      </c>
      <c r="H509" s="464">
        <f t="shared" si="298"/>
        <v>152.11000000000001</v>
      </c>
      <c r="I509" s="464">
        <f t="shared" si="298"/>
        <v>177.42</v>
      </c>
      <c r="J509" s="464">
        <f t="shared" si="298"/>
        <v>201.2</v>
      </c>
      <c r="K509" s="464">
        <f t="shared" si="298"/>
        <v>206.56</v>
      </c>
      <c r="L509" s="464">
        <f t="shared" si="298"/>
        <v>206.81</v>
      </c>
      <c r="M509" s="464">
        <f t="shared" si="298"/>
        <v>206.23</v>
      </c>
      <c r="N509" s="464">
        <f t="shared" si="298"/>
        <v>209.81</v>
      </c>
      <c r="O509" s="464">
        <f t="shared" si="298"/>
        <v>209.93</v>
      </c>
      <c r="P509" s="468">
        <f t="shared" si="298"/>
        <v>210.93</v>
      </c>
      <c r="R509" s="1559"/>
      <c r="S509" s="1559"/>
    </row>
    <row r="510" spans="2:19" hidden="1">
      <c r="B510" s="122" t="s">
        <v>630</v>
      </c>
      <c r="C510" s="122"/>
      <c r="D510" s="331">
        <v>93.2</v>
      </c>
      <c r="E510" s="307">
        <v>93.1</v>
      </c>
      <c r="F510" s="307">
        <v>93.2</v>
      </c>
      <c r="G510" s="307">
        <v>93.5</v>
      </c>
      <c r="H510" s="307">
        <v>94.1</v>
      </c>
      <c r="I510" s="307">
        <v>95.1</v>
      </c>
      <c r="J510" s="307">
        <v>97.2</v>
      </c>
      <c r="K510" s="307">
        <v>99.6</v>
      </c>
      <c r="L510" s="307">
        <v>103.1</v>
      </c>
      <c r="M510" s="307">
        <v>103.6</v>
      </c>
      <c r="N510" s="307">
        <v>102.9</v>
      </c>
      <c r="O510" s="307">
        <v>101.5</v>
      </c>
      <c r="P510" s="332">
        <v>101.6</v>
      </c>
      <c r="R510" s="1559"/>
      <c r="S510" s="1559"/>
    </row>
    <row r="511" spans="2:19" ht="16.5" hidden="1" thickBot="1">
      <c r="B511" s="132" t="s">
        <v>631</v>
      </c>
      <c r="D511" s="1153">
        <f t="shared" ref="D511:P511" si="299">ROUND(100*D510/$C$182,2)</f>
        <v>100</v>
      </c>
      <c r="E511" s="323">
        <f t="shared" si="299"/>
        <v>99.89</v>
      </c>
      <c r="F511" s="323">
        <f t="shared" si="299"/>
        <v>100</v>
      </c>
      <c r="G511" s="323">
        <f t="shared" si="299"/>
        <v>100.32</v>
      </c>
      <c r="H511" s="323">
        <f t="shared" si="299"/>
        <v>100.97</v>
      </c>
      <c r="I511" s="323">
        <f t="shared" si="299"/>
        <v>102.04</v>
      </c>
      <c r="J511" s="323">
        <f t="shared" si="299"/>
        <v>104.29</v>
      </c>
      <c r="K511" s="323">
        <f t="shared" si="299"/>
        <v>106.87</v>
      </c>
      <c r="L511" s="323">
        <f t="shared" si="299"/>
        <v>110.62</v>
      </c>
      <c r="M511" s="323">
        <f t="shared" si="299"/>
        <v>111.16</v>
      </c>
      <c r="N511" s="323">
        <f t="shared" si="299"/>
        <v>110.41</v>
      </c>
      <c r="O511" s="323">
        <f t="shared" si="299"/>
        <v>108.91</v>
      </c>
      <c r="P511" s="1012">
        <f t="shared" si="299"/>
        <v>109.01</v>
      </c>
      <c r="R511" s="1559"/>
      <c r="S511" s="1559"/>
    </row>
    <row r="512" spans="2:19" ht="16.5" hidden="1" thickBot="1">
      <c r="B512" s="132" t="s">
        <v>552</v>
      </c>
      <c r="D512" s="136">
        <f t="shared" ref="D512:P512" si="300">ROUND(+$I$175*D509+$I$176*D511,2)</f>
        <v>100</v>
      </c>
      <c r="E512" s="136">
        <f t="shared" si="300"/>
        <v>104.83</v>
      </c>
      <c r="F512" s="136">
        <f t="shared" si="300"/>
        <v>105.39</v>
      </c>
      <c r="G512" s="136">
        <f t="shared" si="300"/>
        <v>106.01</v>
      </c>
      <c r="H512" s="136">
        <f t="shared" si="300"/>
        <v>136.77000000000001</v>
      </c>
      <c r="I512" s="136">
        <f t="shared" si="300"/>
        <v>154.81</v>
      </c>
      <c r="J512" s="136">
        <f t="shared" si="300"/>
        <v>172.13</v>
      </c>
      <c r="K512" s="136">
        <f t="shared" si="300"/>
        <v>176.65</v>
      </c>
      <c r="L512" s="136">
        <f t="shared" si="300"/>
        <v>177.95</v>
      </c>
      <c r="M512" s="136">
        <f t="shared" si="300"/>
        <v>177.71</v>
      </c>
      <c r="N512" s="136">
        <f t="shared" si="300"/>
        <v>179.99</v>
      </c>
      <c r="O512" s="813">
        <f t="shared" si="300"/>
        <v>179.62</v>
      </c>
      <c r="P512" s="338">
        <f t="shared" si="300"/>
        <v>180.35</v>
      </c>
      <c r="R512" s="1559"/>
      <c r="S512" s="1559"/>
    </row>
    <row r="513" spans="2:19" ht="16.5" hidden="1" thickBot="1">
      <c r="R513" s="1559"/>
      <c r="S513" s="1559"/>
    </row>
    <row r="514" spans="2:19" ht="16.5" hidden="1" thickBot="1">
      <c r="D514" s="2682">
        <v>2003</v>
      </c>
      <c r="E514" s="2683"/>
      <c r="F514" s="2683"/>
      <c r="G514" s="2683"/>
      <c r="H514" s="2683"/>
      <c r="I514" s="2683"/>
      <c r="J514" s="2683"/>
      <c r="K514" s="2683"/>
      <c r="L514" s="2683"/>
      <c r="M514" s="2683"/>
      <c r="N514" s="2687"/>
      <c r="O514" s="2688"/>
      <c r="R514" s="1559"/>
      <c r="S514" s="1559"/>
    </row>
    <row r="515" spans="2:19" ht="16.5" hidden="1" thickBot="1">
      <c r="D515" s="449" t="s">
        <v>578</v>
      </c>
      <c r="E515" s="412" t="s">
        <v>579</v>
      </c>
      <c r="F515" s="412" t="s">
        <v>580</v>
      </c>
      <c r="G515" s="454" t="s">
        <v>581</v>
      </c>
      <c r="H515" s="454" t="s">
        <v>582</v>
      </c>
      <c r="I515" s="454" t="s">
        <v>583</v>
      </c>
      <c r="J515" s="454" t="s">
        <v>587</v>
      </c>
      <c r="K515" s="455" t="s">
        <v>588</v>
      </c>
      <c r="L515" s="414" t="s">
        <v>646</v>
      </c>
      <c r="M515" s="414" t="s">
        <v>590</v>
      </c>
      <c r="N515" s="414" t="s">
        <v>586</v>
      </c>
      <c r="O515" s="415" t="s">
        <v>611</v>
      </c>
      <c r="R515" s="1559"/>
      <c r="S515" s="1559"/>
    </row>
    <row r="516" spans="2:19" hidden="1">
      <c r="R516" s="1559"/>
      <c r="S516" s="1559"/>
    </row>
    <row r="517" spans="2:19" hidden="1">
      <c r="B517" s="121" t="s">
        <v>653</v>
      </c>
      <c r="C517" s="121"/>
      <c r="D517" s="283">
        <f t="shared" ref="D517:O517" si="301">+D377</f>
        <v>204.96</v>
      </c>
      <c r="E517" s="283">
        <f t="shared" si="301"/>
        <v>203.25</v>
      </c>
      <c r="F517" s="283">
        <f t="shared" si="301"/>
        <v>202.15</v>
      </c>
      <c r="G517" s="283">
        <f t="shared" si="301"/>
        <v>200.5</v>
      </c>
      <c r="H517" s="283">
        <f t="shared" si="301"/>
        <v>198.52</v>
      </c>
      <c r="I517" s="283">
        <f t="shared" si="301"/>
        <v>199.59</v>
      </c>
      <c r="J517" s="283">
        <f t="shared" si="301"/>
        <v>200.97</v>
      </c>
      <c r="K517" s="283">
        <f t="shared" si="301"/>
        <v>203.74</v>
      </c>
      <c r="L517" s="283">
        <f t="shared" si="301"/>
        <v>202.12</v>
      </c>
      <c r="M517" s="283">
        <f t="shared" si="301"/>
        <v>201.73</v>
      </c>
      <c r="N517" s="283">
        <f t="shared" si="301"/>
        <v>202.19</v>
      </c>
      <c r="O517" s="283">
        <f t="shared" si="301"/>
        <v>206.43</v>
      </c>
      <c r="R517" s="1559"/>
      <c r="S517" s="1559"/>
    </row>
    <row r="518" spans="2:19" hidden="1">
      <c r="B518" s="122" t="s">
        <v>630</v>
      </c>
      <c r="C518" s="122"/>
      <c r="D518" s="283">
        <v>104.1</v>
      </c>
      <c r="E518" s="283">
        <v>105.5</v>
      </c>
      <c r="F518" s="283">
        <v>106.6</v>
      </c>
      <c r="G518" s="283">
        <v>105.4</v>
      </c>
      <c r="H518" s="283">
        <v>108.7</v>
      </c>
      <c r="I518" s="283">
        <v>108.7</v>
      </c>
      <c r="J518" s="283">
        <v>110.8</v>
      </c>
      <c r="K518" s="283">
        <v>114.2</v>
      </c>
      <c r="L518" s="283">
        <v>116.2</v>
      </c>
      <c r="M518" s="283">
        <v>119</v>
      </c>
      <c r="N518" s="439">
        <v>120.5</v>
      </c>
      <c r="O518" s="439">
        <v>122.2</v>
      </c>
      <c r="R518" s="1559"/>
      <c r="S518" s="1559"/>
    </row>
    <row r="519" spans="2:19" ht="16.5" hidden="1" thickBot="1">
      <c r="B519" s="132" t="s">
        <v>631</v>
      </c>
      <c r="D519" s="307">
        <f t="shared" ref="D519:O519" si="302">ROUND(100*D518/$C$182,2)</f>
        <v>111.7</v>
      </c>
      <c r="E519" s="307">
        <f t="shared" si="302"/>
        <v>113.2</v>
      </c>
      <c r="F519" s="307">
        <f t="shared" si="302"/>
        <v>114.38</v>
      </c>
      <c r="G519" s="307">
        <f t="shared" si="302"/>
        <v>113.09</v>
      </c>
      <c r="H519" s="307">
        <f t="shared" si="302"/>
        <v>116.63</v>
      </c>
      <c r="I519" s="307">
        <f t="shared" si="302"/>
        <v>116.63</v>
      </c>
      <c r="J519" s="307">
        <f t="shared" si="302"/>
        <v>118.88</v>
      </c>
      <c r="K519" s="307">
        <f t="shared" si="302"/>
        <v>122.53</v>
      </c>
      <c r="L519" s="307">
        <f t="shared" si="302"/>
        <v>124.68</v>
      </c>
      <c r="M519" s="307">
        <f t="shared" si="302"/>
        <v>127.68</v>
      </c>
      <c r="N519" s="307">
        <f t="shared" si="302"/>
        <v>129.29</v>
      </c>
      <c r="O519" s="307">
        <f t="shared" si="302"/>
        <v>131.12</v>
      </c>
      <c r="R519" s="1559"/>
      <c r="S519" s="1559"/>
    </row>
    <row r="520" spans="2:19" ht="16.5" hidden="1" thickBot="1">
      <c r="B520" s="132" t="s">
        <v>632</v>
      </c>
      <c r="D520" s="136">
        <f t="shared" ref="D520:O520" si="303">ROUND(+$I$175*D517+$I$176*D519,2)</f>
        <v>176.98</v>
      </c>
      <c r="E520" s="136">
        <f t="shared" si="303"/>
        <v>176.24</v>
      </c>
      <c r="F520" s="136">
        <f t="shared" si="303"/>
        <v>175.82</v>
      </c>
      <c r="G520" s="136">
        <f t="shared" si="303"/>
        <v>174.28</v>
      </c>
      <c r="H520" s="136">
        <f t="shared" si="303"/>
        <v>173.95</v>
      </c>
      <c r="I520" s="136">
        <f t="shared" si="303"/>
        <v>174.7</v>
      </c>
      <c r="J520" s="136">
        <f t="shared" si="303"/>
        <v>176.34</v>
      </c>
      <c r="K520" s="136">
        <f t="shared" si="303"/>
        <v>179.38</v>
      </c>
      <c r="L520" s="136">
        <f t="shared" si="303"/>
        <v>178.89</v>
      </c>
      <c r="M520" s="136">
        <f t="shared" si="303"/>
        <v>179.52</v>
      </c>
      <c r="N520" s="136">
        <f t="shared" si="303"/>
        <v>180.32</v>
      </c>
      <c r="O520" s="136">
        <f t="shared" si="303"/>
        <v>183.84</v>
      </c>
      <c r="R520" s="1559"/>
      <c r="S520" s="1559"/>
    </row>
    <row r="521" spans="2:19" ht="16.5" hidden="1" thickBot="1">
      <c r="R521" s="1559"/>
      <c r="S521" s="1559"/>
    </row>
    <row r="522" spans="2:19" ht="16.5" hidden="1" thickBot="1">
      <c r="D522" s="2682">
        <v>2004</v>
      </c>
      <c r="E522" s="2683"/>
      <c r="F522" s="2683"/>
      <c r="G522" s="2683"/>
      <c r="H522" s="2683"/>
      <c r="I522" s="2683"/>
      <c r="J522" s="2683"/>
      <c r="K522" s="2683"/>
      <c r="L522" s="2683"/>
      <c r="M522" s="2683"/>
      <c r="N522" s="2687"/>
      <c r="O522" s="2688"/>
      <c r="R522" s="1559"/>
      <c r="S522" s="1559"/>
    </row>
    <row r="523" spans="2:19" ht="16.5" hidden="1" thickBot="1">
      <c r="D523" s="449" t="s">
        <v>578</v>
      </c>
      <c r="E523" s="412" t="s">
        <v>579</v>
      </c>
      <c r="F523" s="412" t="s">
        <v>580</v>
      </c>
      <c r="G523" s="454" t="s">
        <v>581</v>
      </c>
      <c r="H523" s="454" t="s">
        <v>582</v>
      </c>
      <c r="I523" s="454" t="s">
        <v>583</v>
      </c>
      <c r="J523" s="454" t="s">
        <v>587</v>
      </c>
      <c r="K523" s="455" t="s">
        <v>588</v>
      </c>
      <c r="L523" s="414" t="s">
        <v>646</v>
      </c>
      <c r="M523" s="414" t="s">
        <v>590</v>
      </c>
      <c r="N523" s="414" t="s">
        <v>586</v>
      </c>
      <c r="O523" s="415" t="s">
        <v>611</v>
      </c>
      <c r="R523" s="1559"/>
      <c r="S523" s="1559"/>
    </row>
    <row r="524" spans="2:19" hidden="1">
      <c r="R524" s="1559"/>
      <c r="S524" s="1559"/>
    </row>
    <row r="525" spans="2:19" hidden="1">
      <c r="B525" s="121" t="s">
        <v>653</v>
      </c>
      <c r="C525" s="121"/>
      <c r="D525" s="307">
        <f t="shared" ref="D525:O525" si="304">+D383</f>
        <v>207.76</v>
      </c>
      <c r="E525" s="307">
        <f t="shared" si="304"/>
        <v>212.22</v>
      </c>
      <c r="F525" s="307">
        <f t="shared" si="304"/>
        <v>217.73</v>
      </c>
      <c r="G525" s="307">
        <f t="shared" si="304"/>
        <v>218.98</v>
      </c>
      <c r="H525" s="307">
        <f t="shared" si="304"/>
        <v>224.86</v>
      </c>
      <c r="I525" s="307">
        <f t="shared" si="304"/>
        <v>227.2</v>
      </c>
      <c r="J525" s="307">
        <f t="shared" si="304"/>
        <v>227.69</v>
      </c>
      <c r="K525" s="307">
        <f t="shared" si="304"/>
        <v>230.61</v>
      </c>
      <c r="L525" s="307">
        <f t="shared" si="304"/>
        <v>231.13</v>
      </c>
      <c r="M525" s="307">
        <f t="shared" si="304"/>
        <v>231.66</v>
      </c>
      <c r="N525" s="307">
        <f t="shared" si="304"/>
        <v>231.77</v>
      </c>
      <c r="O525" s="307">
        <f t="shared" si="304"/>
        <v>234.27</v>
      </c>
      <c r="R525" s="1559"/>
      <c r="S525" s="1559"/>
    </row>
    <row r="526" spans="2:19" hidden="1">
      <c r="B526" s="122" t="s">
        <v>630</v>
      </c>
      <c r="C526" s="122"/>
      <c r="D526" s="283">
        <v>127.4</v>
      </c>
      <c r="E526" s="283">
        <v>130.30000000000001</v>
      </c>
      <c r="F526" s="283">
        <v>130.6</v>
      </c>
      <c r="G526" s="283">
        <v>130.80000000000001</v>
      </c>
      <c r="H526" s="283">
        <v>130.5</v>
      </c>
      <c r="I526" s="307">
        <v>130</v>
      </c>
      <c r="J526" s="307">
        <f t="shared" ref="J526:O526" si="305">+J197</f>
        <v>133.5</v>
      </c>
      <c r="K526" s="307">
        <f t="shared" si="305"/>
        <v>132.4</v>
      </c>
      <c r="L526" s="307">
        <f t="shared" si="305"/>
        <v>132</v>
      </c>
      <c r="M526" s="307">
        <f t="shared" si="305"/>
        <v>133</v>
      </c>
      <c r="N526" s="307">
        <f t="shared" si="305"/>
        <v>132.80000000000001</v>
      </c>
      <c r="O526" s="307">
        <f t="shared" si="305"/>
        <v>133</v>
      </c>
      <c r="R526" s="1559"/>
      <c r="S526" s="1559"/>
    </row>
    <row r="527" spans="2:19" ht="16.5" hidden="1" thickBot="1">
      <c r="B527" s="132" t="s">
        <v>631</v>
      </c>
      <c r="D527" s="307">
        <f t="shared" ref="D527:O527" si="306">ROUND(100*D526/$C$182,2)</f>
        <v>136.69999999999999</v>
      </c>
      <c r="E527" s="307">
        <f t="shared" si="306"/>
        <v>139.81</v>
      </c>
      <c r="F527" s="307">
        <f t="shared" si="306"/>
        <v>140.13</v>
      </c>
      <c r="G527" s="307">
        <f t="shared" si="306"/>
        <v>140.34</v>
      </c>
      <c r="H527" s="307">
        <f t="shared" si="306"/>
        <v>140.02000000000001</v>
      </c>
      <c r="I527" s="307">
        <f t="shared" si="306"/>
        <v>139.47999999999999</v>
      </c>
      <c r="J527" s="307">
        <f t="shared" si="306"/>
        <v>143.24</v>
      </c>
      <c r="K527" s="307">
        <f t="shared" si="306"/>
        <v>142.06</v>
      </c>
      <c r="L527" s="307">
        <f t="shared" si="306"/>
        <v>141.63</v>
      </c>
      <c r="M527" s="307">
        <f t="shared" si="306"/>
        <v>142.69999999999999</v>
      </c>
      <c r="N527" s="307">
        <f t="shared" si="306"/>
        <v>142.49</v>
      </c>
      <c r="O527" s="307">
        <f t="shared" si="306"/>
        <v>142.69999999999999</v>
      </c>
      <c r="R527" s="1559"/>
      <c r="S527" s="1559"/>
    </row>
    <row r="528" spans="2:19" ht="16.5" hidden="1" thickBot="1">
      <c r="B528" s="132" t="s">
        <v>632</v>
      </c>
      <c r="D528" s="136">
        <f t="shared" ref="D528:O528" si="307">ROUND(+$I$175*D525+$I$176*D527,2)</f>
        <v>186.44</v>
      </c>
      <c r="E528" s="136">
        <f t="shared" si="307"/>
        <v>190.5</v>
      </c>
      <c r="F528" s="136">
        <f t="shared" si="307"/>
        <v>194.45</v>
      </c>
      <c r="G528" s="136">
        <f t="shared" si="307"/>
        <v>195.39</v>
      </c>
      <c r="H528" s="136">
        <f t="shared" si="307"/>
        <v>199.41</v>
      </c>
      <c r="I528" s="136">
        <f t="shared" si="307"/>
        <v>200.88</v>
      </c>
      <c r="J528" s="136">
        <f t="shared" si="307"/>
        <v>202.36</v>
      </c>
      <c r="K528" s="136">
        <f t="shared" si="307"/>
        <v>204.05</v>
      </c>
      <c r="L528" s="136">
        <f t="shared" si="307"/>
        <v>204.28</v>
      </c>
      <c r="M528" s="136">
        <f t="shared" si="307"/>
        <v>204.97</v>
      </c>
      <c r="N528" s="136">
        <f t="shared" si="307"/>
        <v>204.99</v>
      </c>
      <c r="O528" s="136">
        <f t="shared" si="307"/>
        <v>206.8</v>
      </c>
      <c r="R528" s="1559"/>
      <c r="S528" s="1559"/>
    </row>
    <row r="529" spans="2:19" ht="16.5" hidden="1" thickBot="1">
      <c r="E529" s="2682">
        <v>2005</v>
      </c>
      <c r="F529" s="2683"/>
      <c r="G529" s="2683"/>
      <c r="H529" s="2683"/>
      <c r="I529" s="2683"/>
      <c r="J529" s="2683"/>
      <c r="K529" s="2683"/>
      <c r="L529" s="2683"/>
      <c r="M529" s="2683"/>
      <c r="N529" s="2683"/>
      <c r="O529" s="2683"/>
      <c r="P529" s="2684"/>
      <c r="R529" s="1559"/>
      <c r="S529" s="1559"/>
    </row>
    <row r="530" spans="2:19" hidden="1">
      <c r="B530" s="121" t="s">
        <v>653</v>
      </c>
      <c r="C530" s="121"/>
      <c r="E530" s="307">
        <f t="shared" ref="E530:P530" si="308">+D389</f>
        <v>210.88</v>
      </c>
      <c r="F530" s="307">
        <f t="shared" si="308"/>
        <v>244.75</v>
      </c>
      <c r="G530" s="307">
        <f t="shared" si="308"/>
        <v>245.85</v>
      </c>
      <c r="H530" s="307">
        <f t="shared" si="308"/>
        <v>245.73</v>
      </c>
      <c r="I530" s="307">
        <f t="shared" si="308"/>
        <v>246.67</v>
      </c>
      <c r="J530" s="307">
        <f t="shared" si="308"/>
        <v>247.2</v>
      </c>
      <c r="K530" s="307">
        <f t="shared" si="308"/>
        <v>248.76</v>
      </c>
      <c r="L530" s="307">
        <f t="shared" si="308"/>
        <v>250.77</v>
      </c>
      <c r="M530" s="307">
        <f t="shared" si="308"/>
        <v>255.07</v>
      </c>
      <c r="N530" s="307">
        <f t="shared" si="308"/>
        <v>257.17</v>
      </c>
      <c r="O530" s="307">
        <f t="shared" si="308"/>
        <v>257.77</v>
      </c>
      <c r="P530" s="307">
        <f t="shared" si="308"/>
        <v>261.87</v>
      </c>
      <c r="R530" s="1559"/>
      <c r="S530" s="1559"/>
    </row>
    <row r="531" spans="2:19" hidden="1">
      <c r="B531" s="122" t="s">
        <v>630</v>
      </c>
      <c r="C531" s="122"/>
      <c r="E531" s="283">
        <f t="shared" ref="E531:P531" si="309">+D205</f>
        <v>140.30000000000001</v>
      </c>
      <c r="F531" s="283">
        <f t="shared" si="309"/>
        <v>140.6</v>
      </c>
      <c r="G531" s="283">
        <f t="shared" si="309"/>
        <v>141.19999999999999</v>
      </c>
      <c r="H531" s="283">
        <f t="shared" si="309"/>
        <v>152.6</v>
      </c>
      <c r="I531" s="283">
        <f t="shared" si="309"/>
        <v>154.80000000000001</v>
      </c>
      <c r="J531" s="283">
        <f t="shared" si="309"/>
        <v>156.1</v>
      </c>
      <c r="K531" s="283">
        <f t="shared" si="309"/>
        <v>156.9</v>
      </c>
      <c r="L531" s="283">
        <f t="shared" si="309"/>
        <v>158.30000000000001</v>
      </c>
      <c r="M531" s="283">
        <f t="shared" si="309"/>
        <v>158.9</v>
      </c>
      <c r="N531" s="283">
        <f t="shared" si="309"/>
        <v>161.80000000000001</v>
      </c>
      <c r="O531" s="283">
        <f t="shared" si="309"/>
        <v>170.6</v>
      </c>
      <c r="P531" s="283">
        <f t="shared" si="309"/>
        <v>171.7</v>
      </c>
      <c r="R531" s="1559"/>
      <c r="S531" s="1559"/>
    </row>
    <row r="532" spans="2:19" ht="16.5" hidden="1" thickBot="1">
      <c r="B532" s="132" t="s">
        <v>631</v>
      </c>
      <c r="E532" s="307">
        <f t="shared" ref="E532:P532" si="310">ROUND(100*E531/$C$182,2)</f>
        <v>150.54</v>
      </c>
      <c r="F532" s="307">
        <f t="shared" si="310"/>
        <v>150.86000000000001</v>
      </c>
      <c r="G532" s="307">
        <f t="shared" si="310"/>
        <v>151.5</v>
      </c>
      <c r="H532" s="307">
        <f t="shared" si="310"/>
        <v>163.72999999999999</v>
      </c>
      <c r="I532" s="307">
        <f t="shared" si="310"/>
        <v>166.09</v>
      </c>
      <c r="J532" s="307">
        <f t="shared" si="310"/>
        <v>167.49</v>
      </c>
      <c r="K532" s="307">
        <f t="shared" si="310"/>
        <v>168.35</v>
      </c>
      <c r="L532" s="307">
        <f t="shared" si="310"/>
        <v>169.85</v>
      </c>
      <c r="M532" s="307">
        <f t="shared" si="310"/>
        <v>170.49</v>
      </c>
      <c r="N532" s="307">
        <f t="shared" si="310"/>
        <v>173.61</v>
      </c>
      <c r="O532" s="307">
        <f t="shared" si="310"/>
        <v>183.05</v>
      </c>
      <c r="P532" s="307">
        <f t="shared" si="310"/>
        <v>184.23</v>
      </c>
      <c r="R532" s="1559"/>
      <c r="S532" s="1559"/>
    </row>
    <row r="533" spans="2:19" ht="16.5" hidden="1" thickBot="1">
      <c r="B533" s="132" t="s">
        <v>552</v>
      </c>
      <c r="E533" s="136">
        <f t="shared" ref="E533:P533" si="311">ROUND(+$I$175*E530+$I$176*E532,2)</f>
        <v>192.78</v>
      </c>
      <c r="F533" s="136">
        <f t="shared" si="311"/>
        <v>216.58</v>
      </c>
      <c r="G533" s="136">
        <f t="shared" si="311"/>
        <v>217.55</v>
      </c>
      <c r="H533" s="136">
        <f t="shared" si="311"/>
        <v>221.13</v>
      </c>
      <c r="I533" s="136">
        <f t="shared" si="311"/>
        <v>222.5</v>
      </c>
      <c r="J533" s="136">
        <f t="shared" si="311"/>
        <v>223.29</v>
      </c>
      <c r="K533" s="136">
        <f t="shared" si="311"/>
        <v>224.64</v>
      </c>
      <c r="L533" s="136">
        <f t="shared" si="311"/>
        <v>226.49</v>
      </c>
      <c r="M533" s="136">
        <f t="shared" si="311"/>
        <v>229.7</v>
      </c>
      <c r="N533" s="136">
        <f t="shared" si="311"/>
        <v>232.1</v>
      </c>
      <c r="O533" s="136">
        <f t="shared" si="311"/>
        <v>235.35</v>
      </c>
      <c r="P533" s="136">
        <f t="shared" si="311"/>
        <v>238.58</v>
      </c>
      <c r="R533" s="1559"/>
      <c r="S533" s="1559"/>
    </row>
    <row r="534" spans="2:19" ht="16.5" hidden="1" thickBot="1"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R534" s="1559"/>
      <c r="S534" s="1559"/>
    </row>
    <row r="535" spans="2:19" ht="16.5" hidden="1" thickBot="1">
      <c r="E535" s="2682">
        <v>2006</v>
      </c>
      <c r="F535" s="2683"/>
      <c r="G535" s="2683"/>
      <c r="H535" s="2683"/>
      <c r="I535" s="2683"/>
      <c r="J535" s="2683"/>
      <c r="K535" s="2683"/>
      <c r="L535" s="2683"/>
      <c r="M535" s="2683"/>
      <c r="N535" s="2683"/>
      <c r="O535" s="2683"/>
      <c r="P535" s="2684"/>
      <c r="R535" s="1559"/>
      <c r="S535" s="1559"/>
    </row>
    <row r="536" spans="2:19" hidden="1">
      <c r="B536" s="121" t="s">
        <v>653</v>
      </c>
      <c r="C536" s="121"/>
      <c r="E536" s="331">
        <f t="shared" ref="E536:P536" si="312">+D395</f>
        <v>264.17</v>
      </c>
      <c r="F536" s="307">
        <f t="shared" si="312"/>
        <v>266.12</v>
      </c>
      <c r="G536" s="307">
        <f t="shared" si="312"/>
        <v>268.56</v>
      </c>
      <c r="H536" s="307">
        <f t="shared" si="312"/>
        <v>269.23</v>
      </c>
      <c r="I536" s="307">
        <f t="shared" si="312"/>
        <v>269.91000000000003</v>
      </c>
      <c r="J536" s="307">
        <f t="shared" si="312"/>
        <v>273.51</v>
      </c>
      <c r="K536" s="307">
        <f t="shared" si="312"/>
        <v>277.93</v>
      </c>
      <c r="L536" s="307">
        <f t="shared" si="312"/>
        <v>281.19</v>
      </c>
      <c r="M536" s="307">
        <f t="shared" si="312"/>
        <v>283.33999999999997</v>
      </c>
      <c r="N536" s="307">
        <f t="shared" si="312"/>
        <v>285.17</v>
      </c>
      <c r="O536" s="307">
        <f t="shared" si="312"/>
        <v>284.43</v>
      </c>
      <c r="P536" s="332">
        <f t="shared" si="312"/>
        <v>285.69</v>
      </c>
      <c r="R536" s="1559"/>
      <c r="S536" s="1559"/>
    </row>
    <row r="537" spans="2:19" hidden="1">
      <c r="B537" s="122" t="s">
        <v>630</v>
      </c>
      <c r="C537" s="122"/>
      <c r="E537" s="331">
        <f t="shared" ref="E537:P537" si="313">+D213</f>
        <v>177.7</v>
      </c>
      <c r="F537" s="307">
        <f t="shared" si="313"/>
        <v>184.1</v>
      </c>
      <c r="G537" s="307">
        <f t="shared" si="313"/>
        <v>185.5</v>
      </c>
      <c r="H537" s="307">
        <f t="shared" si="313"/>
        <v>189.8</v>
      </c>
      <c r="I537" s="307">
        <f t="shared" si="313"/>
        <v>191.6</v>
      </c>
      <c r="J537" s="307">
        <f t="shared" si="313"/>
        <v>204.5</v>
      </c>
      <c r="K537" s="307">
        <f t="shared" si="313"/>
        <v>206.3</v>
      </c>
      <c r="L537" s="307">
        <f t="shared" si="313"/>
        <v>207.1</v>
      </c>
      <c r="M537" s="307">
        <f t="shared" si="313"/>
        <v>216.5</v>
      </c>
      <c r="N537" s="307">
        <f t="shared" si="313"/>
        <v>219.4</v>
      </c>
      <c r="O537" s="307">
        <f t="shared" si="313"/>
        <v>220.8</v>
      </c>
      <c r="P537" s="332">
        <f t="shared" si="313"/>
        <v>223.6</v>
      </c>
      <c r="R537" s="1559"/>
      <c r="S537" s="1559"/>
    </row>
    <row r="538" spans="2:19" ht="16.5" hidden="1" thickBot="1">
      <c r="B538" s="132" t="s">
        <v>631</v>
      </c>
      <c r="E538" s="331">
        <f t="shared" ref="E538:P538" si="314">ROUND(100*E537/$C$182,2)</f>
        <v>190.67</v>
      </c>
      <c r="F538" s="307">
        <f t="shared" si="314"/>
        <v>197.53</v>
      </c>
      <c r="G538" s="307">
        <f t="shared" si="314"/>
        <v>199.03</v>
      </c>
      <c r="H538" s="307">
        <f t="shared" si="314"/>
        <v>203.65</v>
      </c>
      <c r="I538" s="307">
        <f t="shared" si="314"/>
        <v>205.58</v>
      </c>
      <c r="J538" s="307">
        <f t="shared" si="314"/>
        <v>219.42</v>
      </c>
      <c r="K538" s="307">
        <f t="shared" si="314"/>
        <v>221.35</v>
      </c>
      <c r="L538" s="307">
        <f t="shared" si="314"/>
        <v>222.21</v>
      </c>
      <c r="M538" s="307">
        <f t="shared" si="314"/>
        <v>232.3</v>
      </c>
      <c r="N538" s="307">
        <f t="shared" si="314"/>
        <v>235.41</v>
      </c>
      <c r="O538" s="307">
        <f t="shared" si="314"/>
        <v>236.91</v>
      </c>
      <c r="P538" s="332">
        <f t="shared" si="314"/>
        <v>239.91</v>
      </c>
      <c r="R538" s="1559"/>
      <c r="S538" s="1559"/>
    </row>
    <row r="539" spans="2:19" ht="16.5" hidden="1" thickBot="1">
      <c r="B539" s="132" t="s">
        <v>552</v>
      </c>
      <c r="E539" s="136">
        <f t="shared" ref="E539:P539" si="315">ROUND(+$I$175*E536+$I$176*E538,2)</f>
        <v>242.12</v>
      </c>
      <c r="F539" s="136">
        <f t="shared" si="315"/>
        <v>245.54</v>
      </c>
      <c r="G539" s="136">
        <f t="shared" si="315"/>
        <v>247.7</v>
      </c>
      <c r="H539" s="136">
        <f t="shared" si="315"/>
        <v>249.56</v>
      </c>
      <c r="I539" s="136">
        <f t="shared" si="315"/>
        <v>250.61</v>
      </c>
      <c r="J539" s="136">
        <f t="shared" si="315"/>
        <v>257.27999999999997</v>
      </c>
      <c r="K539" s="136">
        <f t="shared" si="315"/>
        <v>260.95999999999998</v>
      </c>
      <c r="L539" s="136">
        <f t="shared" si="315"/>
        <v>263.5</v>
      </c>
      <c r="M539" s="136">
        <f t="shared" si="315"/>
        <v>268.02999999999997</v>
      </c>
      <c r="N539" s="136">
        <f t="shared" si="315"/>
        <v>270.24</v>
      </c>
      <c r="O539" s="136">
        <f t="shared" si="315"/>
        <v>270.17</v>
      </c>
      <c r="P539" s="136">
        <f t="shared" si="315"/>
        <v>271.95999999999998</v>
      </c>
      <c r="R539" s="1559"/>
      <c r="S539" s="1559"/>
    </row>
    <row r="540" spans="2:19" ht="16.5" hidden="1" thickBot="1"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R540" s="1559"/>
      <c r="S540" s="1559"/>
    </row>
    <row r="541" spans="2:19" ht="16.5" hidden="1" thickBot="1">
      <c r="E541" s="2682">
        <v>2007</v>
      </c>
      <c r="F541" s="2683"/>
      <c r="G541" s="2683"/>
      <c r="H541" s="2683"/>
      <c r="I541" s="2683"/>
      <c r="J541" s="2683"/>
      <c r="K541" s="2683"/>
      <c r="L541" s="2683"/>
      <c r="M541" s="2683"/>
      <c r="N541" s="2683"/>
      <c r="O541" s="2683"/>
      <c r="P541" s="2684"/>
      <c r="R541" s="1559"/>
      <c r="S541" s="1559"/>
    </row>
    <row r="542" spans="2:19" hidden="1">
      <c r="B542" s="121" t="s">
        <v>653</v>
      </c>
      <c r="C542" s="121"/>
      <c r="E542" s="331">
        <f t="shared" ref="E542:P542" si="316">+D401</f>
        <v>285.86</v>
      </c>
      <c r="F542" s="307">
        <f t="shared" si="316"/>
        <v>288.51</v>
      </c>
      <c r="G542" s="307">
        <f t="shared" si="316"/>
        <v>289.39</v>
      </c>
      <c r="H542" s="307">
        <f t="shared" si="316"/>
        <v>292.55</v>
      </c>
      <c r="I542" s="307">
        <f t="shared" si="316"/>
        <v>296.19</v>
      </c>
      <c r="J542" s="307">
        <f t="shared" si="316"/>
        <v>298.33</v>
      </c>
      <c r="K542" s="307">
        <f t="shared" si="316"/>
        <v>301.55</v>
      </c>
      <c r="L542" s="307">
        <f t="shared" si="316"/>
        <v>309.32</v>
      </c>
      <c r="M542" s="307">
        <f t="shared" si="316"/>
        <v>312.04000000000002</v>
      </c>
      <c r="N542" s="307">
        <f t="shared" si="316"/>
        <v>316.22000000000003</v>
      </c>
      <c r="O542" s="307">
        <f t="shared" si="316"/>
        <v>320.13</v>
      </c>
      <c r="P542" s="332">
        <f t="shared" si="316"/>
        <v>324.36</v>
      </c>
      <c r="R542" s="1559"/>
      <c r="S542" s="1559"/>
    </row>
    <row r="543" spans="2:19" hidden="1">
      <c r="B543" s="122" t="s">
        <v>630</v>
      </c>
      <c r="C543" s="122"/>
      <c r="E543" s="331">
        <f t="shared" ref="E543:P543" si="317">+D221</f>
        <v>232.5</v>
      </c>
      <c r="F543" s="307">
        <f t="shared" si="317"/>
        <v>233.1</v>
      </c>
      <c r="G543" s="307">
        <f t="shared" si="317"/>
        <v>232.7</v>
      </c>
      <c r="H543" s="307">
        <f t="shared" si="317"/>
        <v>236.3</v>
      </c>
      <c r="I543" s="307">
        <f t="shared" si="317"/>
        <v>248.7</v>
      </c>
      <c r="J543" s="307">
        <f t="shared" si="317"/>
        <v>251.9</v>
      </c>
      <c r="K543" s="307">
        <f t="shared" si="317"/>
        <v>262</v>
      </c>
      <c r="L543" s="307">
        <f t="shared" si="317"/>
        <v>263.3</v>
      </c>
      <c r="M543" s="307">
        <f t="shared" si="317"/>
        <v>265.60000000000002</v>
      </c>
      <c r="N543" s="307">
        <f t="shared" si="317"/>
        <v>277.7</v>
      </c>
      <c r="O543" s="307">
        <f t="shared" si="317"/>
        <v>272.60000000000002</v>
      </c>
      <c r="P543" s="332">
        <f t="shared" si="317"/>
        <v>275</v>
      </c>
      <c r="R543" s="1559"/>
      <c r="S543" s="1559"/>
    </row>
    <row r="544" spans="2:19" ht="16.5" hidden="1" thickBot="1">
      <c r="B544" s="132" t="s">
        <v>631</v>
      </c>
      <c r="E544" s="331">
        <f t="shared" ref="E544:P544" si="318">ROUND(100*E543/$C$182,2)</f>
        <v>249.46</v>
      </c>
      <c r="F544" s="307">
        <f t="shared" si="318"/>
        <v>250.11</v>
      </c>
      <c r="G544" s="307">
        <f t="shared" si="318"/>
        <v>249.68</v>
      </c>
      <c r="H544" s="307">
        <f t="shared" si="318"/>
        <v>253.54</v>
      </c>
      <c r="I544" s="307">
        <f t="shared" si="318"/>
        <v>266.85000000000002</v>
      </c>
      <c r="J544" s="307">
        <f t="shared" si="318"/>
        <v>270.27999999999997</v>
      </c>
      <c r="K544" s="307">
        <f t="shared" si="318"/>
        <v>281.12</v>
      </c>
      <c r="L544" s="307">
        <f t="shared" si="318"/>
        <v>282.51</v>
      </c>
      <c r="M544" s="307">
        <f t="shared" si="318"/>
        <v>284.98</v>
      </c>
      <c r="N544" s="307">
        <f t="shared" si="318"/>
        <v>297.95999999999998</v>
      </c>
      <c r="O544" s="307">
        <f t="shared" si="318"/>
        <v>292.49</v>
      </c>
      <c r="P544" s="332">
        <f t="shared" si="318"/>
        <v>295.06</v>
      </c>
      <c r="R544" s="1559"/>
      <c r="S544" s="1559"/>
    </row>
    <row r="545" spans="2:19" ht="16.5" hidden="1" thickBot="1">
      <c r="B545" s="132" t="s">
        <v>552</v>
      </c>
      <c r="E545" s="136">
        <f t="shared" ref="E545:P545" si="319">ROUND(+$I$175*E542+$I$176*E544,2)</f>
        <v>274.94</v>
      </c>
      <c r="F545" s="136">
        <f t="shared" si="319"/>
        <v>276.99</v>
      </c>
      <c r="G545" s="136">
        <f t="shared" si="319"/>
        <v>277.48</v>
      </c>
      <c r="H545" s="136">
        <f t="shared" si="319"/>
        <v>280.85000000000002</v>
      </c>
      <c r="I545" s="136">
        <f t="shared" si="319"/>
        <v>287.39</v>
      </c>
      <c r="J545" s="136">
        <f t="shared" si="319"/>
        <v>289.92</v>
      </c>
      <c r="K545" s="136">
        <f t="shared" si="319"/>
        <v>295.42</v>
      </c>
      <c r="L545" s="136">
        <f t="shared" si="319"/>
        <v>301.27999999999997</v>
      </c>
      <c r="M545" s="136">
        <f t="shared" si="319"/>
        <v>303.92</v>
      </c>
      <c r="N545" s="136">
        <f t="shared" si="319"/>
        <v>310.74</v>
      </c>
      <c r="O545" s="136">
        <f t="shared" si="319"/>
        <v>311.83999999999997</v>
      </c>
      <c r="P545" s="136">
        <f t="shared" si="319"/>
        <v>315.57</v>
      </c>
      <c r="R545" s="1559"/>
      <c r="S545" s="1559"/>
    </row>
    <row r="546" spans="2:19" ht="12.75" hidden="1" customHeight="1" thickBot="1">
      <c r="R546" s="1559"/>
      <c r="S546" s="1559"/>
    </row>
    <row r="547" spans="2:19" ht="16.5" hidden="1" thickBot="1">
      <c r="E547" s="2682">
        <v>2008</v>
      </c>
      <c r="F547" s="2683"/>
      <c r="G547" s="2683"/>
      <c r="H547" s="2683"/>
      <c r="I547" s="2683"/>
      <c r="J547" s="2683"/>
      <c r="K547" s="2683"/>
      <c r="L547" s="2683"/>
      <c r="M547" s="2683"/>
      <c r="N547" s="2683"/>
      <c r="O547" s="2683"/>
      <c r="P547" s="2684"/>
      <c r="R547" s="1559"/>
      <c r="S547" s="1559"/>
    </row>
    <row r="548" spans="2:19" hidden="1">
      <c r="B548" s="121" t="s">
        <v>653</v>
      </c>
      <c r="C548" s="121"/>
      <c r="E548" s="331">
        <f t="shared" ref="E548:P548" si="320">+D407</f>
        <v>334.34</v>
      </c>
      <c r="F548" s="307">
        <f t="shared" si="320"/>
        <v>335.32</v>
      </c>
      <c r="G548" s="307">
        <f t="shared" si="320"/>
        <v>341.37</v>
      </c>
      <c r="H548" s="307">
        <f t="shared" si="320"/>
        <v>345.57</v>
      </c>
      <c r="I548" s="307">
        <f t="shared" si="320"/>
        <v>348.69</v>
      </c>
      <c r="J548" s="307">
        <f t="shared" si="320"/>
        <v>353.86</v>
      </c>
      <c r="K548" s="307">
        <f t="shared" si="320"/>
        <v>358.99</v>
      </c>
      <c r="L548" s="307">
        <f t="shared" si="320"/>
        <v>364.2</v>
      </c>
      <c r="M548" s="307">
        <f t="shared" si="320"/>
        <v>369.4</v>
      </c>
      <c r="N548" s="307">
        <f t="shared" si="320"/>
        <v>373.73</v>
      </c>
      <c r="O548" s="307">
        <f t="shared" si="320"/>
        <v>379.24</v>
      </c>
      <c r="P548" s="332">
        <f t="shared" si="320"/>
        <v>381.48</v>
      </c>
      <c r="R548" s="1559"/>
      <c r="S548" s="1559"/>
    </row>
    <row r="549" spans="2:19" hidden="1">
      <c r="B549" s="122" t="s">
        <v>630</v>
      </c>
      <c r="C549" s="122"/>
      <c r="E549" s="331">
        <f t="shared" ref="E549:P549" si="321">+D229</f>
        <v>275</v>
      </c>
      <c r="F549" s="307">
        <f t="shared" si="321"/>
        <v>275.89999999999998</v>
      </c>
      <c r="G549" s="307">
        <f t="shared" si="321"/>
        <v>276.60000000000002</v>
      </c>
      <c r="H549" s="307">
        <f t="shared" si="321"/>
        <v>277.5</v>
      </c>
      <c r="I549" s="307">
        <f t="shared" si="321"/>
        <v>302.3</v>
      </c>
      <c r="J549" s="307">
        <f t="shared" si="321"/>
        <v>297.39999999999998</v>
      </c>
      <c r="K549" s="307">
        <f t="shared" si="321"/>
        <v>312.39999999999998</v>
      </c>
      <c r="L549" s="307">
        <f t="shared" si="321"/>
        <v>310.39999999999998</v>
      </c>
      <c r="M549" s="307">
        <f t="shared" si="321"/>
        <v>318.7</v>
      </c>
      <c r="N549" s="307">
        <f t="shared" si="321"/>
        <v>319.7</v>
      </c>
      <c r="O549" s="307">
        <f t="shared" si="321"/>
        <v>320.10000000000002</v>
      </c>
      <c r="P549" s="332">
        <f t="shared" si="321"/>
        <v>320.2</v>
      </c>
      <c r="R549" s="1559"/>
      <c r="S549" s="1559"/>
    </row>
    <row r="550" spans="2:19" ht="16.5" hidden="1" thickBot="1">
      <c r="B550" s="132" t="s">
        <v>631</v>
      </c>
      <c r="E550" s="331">
        <f t="shared" ref="E550:P550" si="322">ROUND(100*E549/$C$182,2)</f>
        <v>295.06</v>
      </c>
      <c r="F550" s="307">
        <f t="shared" si="322"/>
        <v>296.02999999999997</v>
      </c>
      <c r="G550" s="307">
        <f t="shared" si="322"/>
        <v>296.77999999999997</v>
      </c>
      <c r="H550" s="307">
        <f t="shared" si="322"/>
        <v>297.75</v>
      </c>
      <c r="I550" s="307">
        <f t="shared" si="322"/>
        <v>324.36</v>
      </c>
      <c r="J550" s="307">
        <f t="shared" si="322"/>
        <v>319.10000000000002</v>
      </c>
      <c r="K550" s="307">
        <f t="shared" si="322"/>
        <v>335.19</v>
      </c>
      <c r="L550" s="307">
        <f t="shared" si="322"/>
        <v>333.05</v>
      </c>
      <c r="M550" s="307">
        <f t="shared" si="322"/>
        <v>341.95</v>
      </c>
      <c r="N550" s="307">
        <f t="shared" si="322"/>
        <v>343.03</v>
      </c>
      <c r="O550" s="307">
        <f t="shared" si="322"/>
        <v>343.45</v>
      </c>
      <c r="P550" s="332">
        <f t="shared" si="322"/>
        <v>343.56</v>
      </c>
      <c r="R550" s="1559"/>
      <c r="S550" s="1559"/>
    </row>
    <row r="551" spans="2:19" ht="16.5" hidden="1" thickBot="1">
      <c r="B551" s="132" t="s">
        <v>552</v>
      </c>
      <c r="E551" s="136">
        <f t="shared" ref="E551:P551" si="323">ROUND(+$I$175*E548+$I$176*E550,2)</f>
        <v>322.56</v>
      </c>
      <c r="F551" s="136">
        <f t="shared" si="323"/>
        <v>323.52999999999997</v>
      </c>
      <c r="G551" s="136">
        <f>ROUND(+$I$175*G548+$I$176*G550,2)</f>
        <v>327.99</v>
      </c>
      <c r="H551" s="136">
        <f>ROUND(+$I$175*H548+$I$176*H550,2)</f>
        <v>331.22</v>
      </c>
      <c r="I551" s="136">
        <f t="shared" si="323"/>
        <v>341.39</v>
      </c>
      <c r="J551" s="136">
        <f t="shared" si="323"/>
        <v>343.43</v>
      </c>
      <c r="K551" s="136">
        <f t="shared" si="323"/>
        <v>351.85</v>
      </c>
      <c r="L551" s="136">
        <f t="shared" si="323"/>
        <v>354.86</v>
      </c>
      <c r="M551" s="136">
        <f t="shared" si="323"/>
        <v>361.17</v>
      </c>
      <c r="N551" s="136">
        <f t="shared" si="323"/>
        <v>364.52</v>
      </c>
      <c r="O551" s="136">
        <f t="shared" si="323"/>
        <v>368.5</v>
      </c>
      <c r="P551" s="136">
        <f t="shared" si="323"/>
        <v>370.1</v>
      </c>
      <c r="R551" s="1559"/>
      <c r="S551" s="1559"/>
    </row>
    <row r="552" spans="2:19" ht="16.5" hidden="1" thickBot="1">
      <c r="R552" s="1559"/>
      <c r="S552" s="1559"/>
    </row>
    <row r="553" spans="2:19" ht="16.5" hidden="1" thickBot="1">
      <c r="E553" s="2682">
        <v>2009</v>
      </c>
      <c r="F553" s="2683"/>
      <c r="G553" s="2683"/>
      <c r="H553" s="2683"/>
      <c r="I553" s="2683"/>
      <c r="J553" s="2683"/>
      <c r="K553" s="2683"/>
      <c r="L553" s="2683"/>
      <c r="M553" s="2683"/>
      <c r="N553" s="2683"/>
      <c r="O553" s="2683"/>
      <c r="P553" s="2684"/>
      <c r="R553" s="1559"/>
      <c r="S553" s="1559"/>
    </row>
    <row r="554" spans="2:19" hidden="1">
      <c r="B554" s="121" t="s">
        <v>653</v>
      </c>
      <c r="C554" s="121"/>
      <c r="E554" s="331">
        <f>D413</f>
        <v>384.48</v>
      </c>
      <c r="F554" s="307">
        <f t="shared" ref="F554:P554" si="324">+E413</f>
        <v>385.84</v>
      </c>
      <c r="G554" s="307">
        <f t="shared" si="324"/>
        <v>388.64</v>
      </c>
      <c r="H554" s="307">
        <f t="shared" si="324"/>
        <v>390.67</v>
      </c>
      <c r="I554" s="307">
        <f t="shared" si="324"/>
        <v>393.57</v>
      </c>
      <c r="J554" s="307">
        <f t="shared" si="324"/>
        <v>395.24</v>
      </c>
      <c r="K554" s="307">
        <f t="shared" si="324"/>
        <v>397.65</v>
      </c>
      <c r="L554" s="307">
        <f t="shared" si="324"/>
        <v>404.51</v>
      </c>
      <c r="M554" s="307">
        <f t="shared" si="324"/>
        <v>408.01</v>
      </c>
      <c r="N554" s="307">
        <f t="shared" si="324"/>
        <v>409.55</v>
      </c>
      <c r="O554" s="307">
        <f t="shared" si="324"/>
        <v>411.82</v>
      </c>
      <c r="P554" s="332">
        <f t="shared" si="324"/>
        <v>412.89</v>
      </c>
      <c r="R554" s="1559"/>
      <c r="S554" s="1559"/>
    </row>
    <row r="555" spans="2:19" hidden="1">
      <c r="B555" s="122" t="s">
        <v>630</v>
      </c>
      <c r="C555" s="122"/>
      <c r="E555" s="335">
        <f t="shared" ref="E555:P555" si="325">+D237</f>
        <v>322.5</v>
      </c>
      <c r="F555" s="307">
        <f t="shared" si="325"/>
        <v>324.39999999999998</v>
      </c>
      <c r="G555" s="334">
        <f t="shared" si="325"/>
        <v>324.2</v>
      </c>
      <c r="H555" s="307">
        <f t="shared" si="325"/>
        <v>327.2</v>
      </c>
      <c r="I555" s="345">
        <f t="shared" si="325"/>
        <v>329.9</v>
      </c>
      <c r="J555" s="345">
        <f t="shared" si="325"/>
        <v>347.3</v>
      </c>
      <c r="K555" s="345">
        <f t="shared" si="325"/>
        <v>351.2</v>
      </c>
      <c r="L555" s="307">
        <f t="shared" si="325"/>
        <v>352</v>
      </c>
      <c r="M555" s="307">
        <f t="shared" si="325"/>
        <v>351.2</v>
      </c>
      <c r="N555" s="307">
        <f t="shared" si="325"/>
        <v>367.5</v>
      </c>
      <c r="O555" s="307">
        <f t="shared" si="325"/>
        <v>373.2</v>
      </c>
      <c r="P555" s="307">
        <f t="shared" si="325"/>
        <v>374.6</v>
      </c>
      <c r="R555" s="1559"/>
      <c r="S555" s="1559"/>
    </row>
    <row r="556" spans="2:19" ht="16.5" hidden="1" thickBot="1">
      <c r="B556" s="132" t="s">
        <v>631</v>
      </c>
      <c r="E556" s="335">
        <f t="shared" ref="E556:P556" si="326">ROUND(100*E555/$C$182,2)</f>
        <v>346.03</v>
      </c>
      <c r="F556" s="470">
        <f t="shared" si="326"/>
        <v>348.07</v>
      </c>
      <c r="G556" s="334">
        <f t="shared" si="326"/>
        <v>347.85</v>
      </c>
      <c r="H556" s="470">
        <f t="shared" si="326"/>
        <v>351.07</v>
      </c>
      <c r="I556" s="345">
        <f t="shared" si="326"/>
        <v>353.97</v>
      </c>
      <c r="J556" s="345">
        <f t="shared" si="326"/>
        <v>372.64</v>
      </c>
      <c r="K556" s="307">
        <f t="shared" si="326"/>
        <v>376.82</v>
      </c>
      <c r="L556" s="307">
        <f t="shared" si="326"/>
        <v>377.68</v>
      </c>
      <c r="M556" s="307">
        <f t="shared" si="326"/>
        <v>376.82</v>
      </c>
      <c r="N556" s="307">
        <f t="shared" si="326"/>
        <v>394.31</v>
      </c>
      <c r="O556" s="307">
        <f t="shared" si="326"/>
        <v>400.43</v>
      </c>
      <c r="P556" s="307">
        <f t="shared" si="326"/>
        <v>401.93</v>
      </c>
      <c r="R556" s="1559"/>
      <c r="S556" s="1559"/>
    </row>
    <row r="557" spans="2:19" ht="16.5" hidden="1" thickBot="1">
      <c r="B557" s="132" t="s">
        <v>552</v>
      </c>
      <c r="E557" s="136">
        <f t="shared" ref="E557:P557" si="327">ROUND(+$I$175*E554+$I$176*E556,2)</f>
        <v>372.95</v>
      </c>
      <c r="F557" s="136">
        <f t="shared" si="327"/>
        <v>374.51</v>
      </c>
      <c r="G557" s="136">
        <f t="shared" si="327"/>
        <v>376.4</v>
      </c>
      <c r="H557" s="136">
        <f t="shared" si="327"/>
        <v>378.79</v>
      </c>
      <c r="I557" s="136">
        <f t="shared" si="327"/>
        <v>381.69</v>
      </c>
      <c r="J557" s="136">
        <f t="shared" si="327"/>
        <v>388.46</v>
      </c>
      <c r="K557" s="136">
        <f t="shared" si="327"/>
        <v>391.4</v>
      </c>
      <c r="L557" s="136">
        <f t="shared" si="327"/>
        <v>396.46</v>
      </c>
      <c r="M557" s="136">
        <f t="shared" si="327"/>
        <v>398.65</v>
      </c>
      <c r="N557" s="136">
        <f t="shared" si="327"/>
        <v>404.98</v>
      </c>
      <c r="O557" s="136">
        <f t="shared" si="327"/>
        <v>408.4</v>
      </c>
      <c r="P557" s="136">
        <f t="shared" si="327"/>
        <v>409.6</v>
      </c>
      <c r="R557" s="1559"/>
      <c r="S557" s="1559"/>
    </row>
    <row r="558" spans="2:19" ht="16.5" hidden="1" thickBot="1"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R558" s="1559"/>
      <c r="S558" s="1559"/>
    </row>
    <row r="559" spans="2:19" ht="16.5" hidden="1" thickBot="1">
      <c r="E559" s="2682">
        <v>2010</v>
      </c>
      <c r="F559" s="2683"/>
      <c r="G559" s="2683"/>
      <c r="H559" s="2683"/>
      <c r="I559" s="2683"/>
      <c r="J559" s="2683"/>
      <c r="K559" s="2683"/>
      <c r="L559" s="2683"/>
      <c r="M559" s="2683"/>
      <c r="N559" s="2683"/>
      <c r="O559" s="2683"/>
      <c r="P559" s="2684"/>
      <c r="R559" s="1559"/>
      <c r="S559" s="1559"/>
    </row>
    <row r="560" spans="2:19" hidden="1">
      <c r="B560" s="121" t="s">
        <v>653</v>
      </c>
      <c r="C560" s="121"/>
      <c r="E560" s="450">
        <f t="shared" ref="E560:P560" si="328">+D419</f>
        <v>413.74</v>
      </c>
      <c r="F560" s="451">
        <f t="shared" si="328"/>
        <v>420.98</v>
      </c>
      <c r="G560" s="451">
        <f t="shared" si="328"/>
        <v>429.56</v>
      </c>
      <c r="H560" s="307">
        <f t="shared" si="328"/>
        <v>438.05</v>
      </c>
      <c r="I560" s="307">
        <f t="shared" si="328"/>
        <v>442.28</v>
      </c>
      <c r="J560" s="307">
        <f t="shared" si="328"/>
        <v>447.41</v>
      </c>
      <c r="K560" s="307">
        <f t="shared" si="328"/>
        <v>453.88</v>
      </c>
      <c r="L560" s="307">
        <f t="shared" si="328"/>
        <v>460.09</v>
      </c>
      <c r="M560" s="307">
        <f t="shared" si="328"/>
        <v>465.16</v>
      </c>
      <c r="N560" s="307">
        <f t="shared" si="328"/>
        <v>470.56</v>
      </c>
      <c r="O560" s="307">
        <f t="shared" si="328"/>
        <v>480.42</v>
      </c>
      <c r="P560" s="453">
        <f t="shared" si="328"/>
        <v>489.71</v>
      </c>
      <c r="R560" s="1559"/>
      <c r="S560" s="1559"/>
    </row>
    <row r="561" spans="2:19" hidden="1">
      <c r="B561" s="122" t="s">
        <v>630</v>
      </c>
      <c r="C561" s="122"/>
      <c r="E561" s="331">
        <f t="shared" ref="E561:P561" si="329">+D245</f>
        <v>375.2</v>
      </c>
      <c r="F561" s="307">
        <f t="shared" si="329"/>
        <v>385.6</v>
      </c>
      <c r="G561" s="307">
        <f t="shared" si="329"/>
        <v>407.9</v>
      </c>
      <c r="H561" s="307">
        <f t="shared" si="329"/>
        <v>384.3</v>
      </c>
      <c r="I561" s="307">
        <f t="shared" si="329"/>
        <v>416.4</v>
      </c>
      <c r="J561" s="307">
        <f t="shared" si="329"/>
        <v>420.2</v>
      </c>
      <c r="K561" s="307">
        <f t="shared" si="329"/>
        <v>428.4</v>
      </c>
      <c r="L561" s="307">
        <f t="shared" si="329"/>
        <v>440.5</v>
      </c>
      <c r="M561" s="307">
        <f t="shared" si="329"/>
        <v>445.4</v>
      </c>
      <c r="N561" s="307">
        <f t="shared" si="329"/>
        <v>450.6</v>
      </c>
      <c r="O561" s="307">
        <f t="shared" si="329"/>
        <v>453.1</v>
      </c>
      <c r="P561" s="332">
        <f t="shared" si="329"/>
        <v>472.5</v>
      </c>
      <c r="R561" s="1559"/>
      <c r="S561" s="1559"/>
    </row>
    <row r="562" spans="2:19" ht="16.5" hidden="1" thickBot="1">
      <c r="B562" s="132" t="s">
        <v>631</v>
      </c>
      <c r="E562" s="331">
        <f t="shared" ref="E562:P562" si="330">ROUND(100*E561/$C$182,2)</f>
        <v>402.58</v>
      </c>
      <c r="F562" s="307">
        <f t="shared" si="330"/>
        <v>413.73</v>
      </c>
      <c r="G562" s="307">
        <f t="shared" si="330"/>
        <v>437.66</v>
      </c>
      <c r="H562" s="470">
        <f t="shared" si="330"/>
        <v>412.34</v>
      </c>
      <c r="I562" s="470">
        <f t="shared" si="330"/>
        <v>446.78</v>
      </c>
      <c r="J562" s="470">
        <f t="shared" si="330"/>
        <v>450.86</v>
      </c>
      <c r="K562" s="470">
        <f t="shared" si="330"/>
        <v>459.66</v>
      </c>
      <c r="L562" s="470">
        <f t="shared" si="330"/>
        <v>472.64</v>
      </c>
      <c r="M562" s="307">
        <f t="shared" si="330"/>
        <v>477.9</v>
      </c>
      <c r="N562" s="307">
        <f t="shared" si="330"/>
        <v>483.48</v>
      </c>
      <c r="O562" s="307">
        <f t="shared" si="330"/>
        <v>486.16</v>
      </c>
      <c r="P562" s="478">
        <f t="shared" si="330"/>
        <v>506.97</v>
      </c>
      <c r="R562" s="1559"/>
      <c r="S562" s="1559"/>
    </row>
    <row r="563" spans="2:19" ht="16.5" hidden="1" thickBot="1">
      <c r="B563" s="132" t="s">
        <v>552</v>
      </c>
      <c r="E563" s="135">
        <f t="shared" ref="E563:P563" si="331">ROUND(+$I$175*E560+$I$176*E562,2)</f>
        <v>410.39</v>
      </c>
      <c r="F563" s="337">
        <f t="shared" si="331"/>
        <v>418.81</v>
      </c>
      <c r="G563" s="337">
        <f t="shared" si="331"/>
        <v>431.99</v>
      </c>
      <c r="H563" s="337">
        <f t="shared" si="331"/>
        <v>430.34</v>
      </c>
      <c r="I563" s="337">
        <f t="shared" si="331"/>
        <v>443.63</v>
      </c>
      <c r="J563" s="337">
        <f t="shared" si="331"/>
        <v>448.45</v>
      </c>
      <c r="K563" s="337">
        <f t="shared" si="331"/>
        <v>455.61</v>
      </c>
      <c r="L563" s="337">
        <f t="shared" si="331"/>
        <v>463.86</v>
      </c>
      <c r="M563" s="337">
        <f t="shared" si="331"/>
        <v>468.98</v>
      </c>
      <c r="N563" s="337">
        <f t="shared" si="331"/>
        <v>474.44</v>
      </c>
      <c r="O563" s="337">
        <f t="shared" si="331"/>
        <v>482.14</v>
      </c>
      <c r="P563" s="338">
        <f t="shared" si="331"/>
        <v>494.89</v>
      </c>
      <c r="R563" s="1559"/>
      <c r="S563" s="1559"/>
    </row>
    <row r="564" spans="2:19" ht="16.5" hidden="1" thickBot="1">
      <c r="R564" s="1559"/>
      <c r="S564" s="1559"/>
    </row>
    <row r="565" spans="2:19" ht="16.5" hidden="1" thickBot="1">
      <c r="E565" s="2682">
        <v>2011</v>
      </c>
      <c r="F565" s="2683"/>
      <c r="G565" s="2683"/>
      <c r="H565" s="2683"/>
      <c r="I565" s="2683"/>
      <c r="J565" s="2683"/>
      <c r="K565" s="2683"/>
      <c r="L565" s="2683"/>
      <c r="M565" s="2683"/>
      <c r="N565" s="2683"/>
      <c r="O565" s="2683"/>
      <c r="P565" s="2684"/>
      <c r="R565" s="1559"/>
      <c r="S565" s="1559"/>
    </row>
    <row r="566" spans="2:19" hidden="1">
      <c r="B566" s="121" t="s">
        <v>653</v>
      </c>
      <c r="C566" s="121"/>
      <c r="E566" s="450">
        <f t="shared" ref="E566:P566" si="332">+D425</f>
        <v>492.89</v>
      </c>
      <c r="F566" s="451">
        <f t="shared" si="332"/>
        <v>496.8</v>
      </c>
      <c r="G566" s="451">
        <f t="shared" si="332"/>
        <v>506</v>
      </c>
      <c r="H566" s="451">
        <f t="shared" si="332"/>
        <v>518.59</v>
      </c>
      <c r="I566" s="451">
        <f t="shared" si="332"/>
        <v>523.44000000000005</v>
      </c>
      <c r="J566" s="451">
        <f t="shared" si="332"/>
        <v>536.30999999999995</v>
      </c>
      <c r="K566" s="451">
        <f t="shared" si="332"/>
        <v>556.1</v>
      </c>
      <c r="L566" s="451">
        <f t="shared" si="332"/>
        <v>559.92999999999995</v>
      </c>
      <c r="M566" s="451">
        <f t="shared" si="332"/>
        <v>569.12</v>
      </c>
      <c r="N566" s="451">
        <f t="shared" si="332"/>
        <v>580.1</v>
      </c>
      <c r="O566" s="451">
        <f t="shared" si="332"/>
        <v>588.07000000000005</v>
      </c>
      <c r="P566" s="453">
        <f t="shared" si="332"/>
        <v>594.29999999999995</v>
      </c>
      <c r="R566" s="1559"/>
      <c r="S566" s="1559"/>
    </row>
    <row r="567" spans="2:19" hidden="1">
      <c r="B567" s="122" t="s">
        <v>630</v>
      </c>
      <c r="C567" s="122"/>
      <c r="E567" s="331">
        <f t="shared" ref="E567:P567" si="333">+D252</f>
        <v>503.1</v>
      </c>
      <c r="F567" s="307">
        <f t="shared" si="333"/>
        <v>512.9</v>
      </c>
      <c r="G567" s="307">
        <f t="shared" si="333"/>
        <v>518.6</v>
      </c>
      <c r="H567" s="307">
        <f t="shared" si="333"/>
        <v>526.4</v>
      </c>
      <c r="I567" s="307">
        <f t="shared" si="333"/>
        <v>528.20000000000005</v>
      </c>
      <c r="J567" s="307">
        <f t="shared" si="333"/>
        <v>521.79999999999995</v>
      </c>
      <c r="K567" s="307">
        <f t="shared" si="333"/>
        <v>532.29999999999995</v>
      </c>
      <c r="L567" s="307">
        <f t="shared" si="333"/>
        <v>547.29999999999995</v>
      </c>
      <c r="M567" s="307">
        <f t="shared" si="333"/>
        <v>555.29999999999995</v>
      </c>
      <c r="N567" s="307">
        <f t="shared" si="333"/>
        <v>567.4</v>
      </c>
      <c r="O567" s="307">
        <f t="shared" si="333"/>
        <v>585.29999999999995</v>
      </c>
      <c r="P567" s="332">
        <f t="shared" si="333"/>
        <v>589.6</v>
      </c>
      <c r="R567" s="1559"/>
      <c r="S567" s="1559"/>
    </row>
    <row r="568" spans="2:19" ht="16.5" hidden="1" thickBot="1">
      <c r="B568" s="132" t="s">
        <v>631</v>
      </c>
      <c r="E568" s="331">
        <f t="shared" ref="E568:P568" si="334">ROUND(100*E567/$C$182,2)</f>
        <v>539.80999999999995</v>
      </c>
      <c r="F568" s="307">
        <f t="shared" si="334"/>
        <v>550.32000000000005</v>
      </c>
      <c r="G568" s="307">
        <f t="shared" si="334"/>
        <v>556.44000000000005</v>
      </c>
      <c r="H568" s="307">
        <f t="shared" si="334"/>
        <v>564.80999999999995</v>
      </c>
      <c r="I568" s="307">
        <f t="shared" si="334"/>
        <v>566.74</v>
      </c>
      <c r="J568" s="307">
        <f t="shared" si="334"/>
        <v>559.87</v>
      </c>
      <c r="K568" s="307">
        <f t="shared" si="334"/>
        <v>571.14</v>
      </c>
      <c r="L568" s="307">
        <f t="shared" si="334"/>
        <v>587.23</v>
      </c>
      <c r="M568" s="307">
        <f t="shared" si="334"/>
        <v>595.82000000000005</v>
      </c>
      <c r="N568" s="307">
        <f t="shared" si="334"/>
        <v>608.79999999999995</v>
      </c>
      <c r="O568" s="307">
        <f t="shared" si="334"/>
        <v>628</v>
      </c>
      <c r="P568" s="332">
        <f t="shared" si="334"/>
        <v>632.62</v>
      </c>
      <c r="R568" s="1559"/>
      <c r="S568" s="1559"/>
    </row>
    <row r="569" spans="2:19" ht="16.5" hidden="1" thickBot="1">
      <c r="B569" s="132" t="s">
        <v>552</v>
      </c>
      <c r="E569" s="135">
        <f t="shared" ref="E569:P569" si="335">ROUND(+$I$175*E566+$I$176*E568,2)</f>
        <v>506.97</v>
      </c>
      <c r="F569" s="337">
        <f t="shared" si="335"/>
        <v>512.86</v>
      </c>
      <c r="G569" s="337">
        <f t="shared" si="335"/>
        <v>521.13</v>
      </c>
      <c r="H569" s="337">
        <f t="shared" si="335"/>
        <v>532.46</v>
      </c>
      <c r="I569" s="337">
        <f t="shared" si="335"/>
        <v>536.42999999999995</v>
      </c>
      <c r="J569" s="337">
        <f t="shared" si="335"/>
        <v>543.38</v>
      </c>
      <c r="K569" s="337">
        <f t="shared" si="335"/>
        <v>560.61</v>
      </c>
      <c r="L569" s="337">
        <f t="shared" si="335"/>
        <v>568.12</v>
      </c>
      <c r="M569" s="337">
        <f t="shared" si="335"/>
        <v>577.13</v>
      </c>
      <c r="N569" s="337">
        <f t="shared" si="335"/>
        <v>588.71</v>
      </c>
      <c r="O569" s="337">
        <f t="shared" si="335"/>
        <v>600.04999999999995</v>
      </c>
      <c r="P569" s="338">
        <f t="shared" si="335"/>
        <v>605.79999999999995</v>
      </c>
      <c r="R569" s="1559"/>
      <c r="S569" s="1559"/>
    </row>
    <row r="570" spans="2:19" ht="16.5" hidden="1" thickBot="1">
      <c r="R570" s="1559"/>
      <c r="S570" s="1559"/>
    </row>
    <row r="571" spans="2:19" ht="16.5" hidden="1" thickBot="1">
      <c r="E571" s="2682">
        <v>2012</v>
      </c>
      <c r="F571" s="2683"/>
      <c r="G571" s="2683"/>
      <c r="H571" s="2683"/>
      <c r="I571" s="2683"/>
      <c r="J571" s="2683"/>
      <c r="K571" s="2683"/>
      <c r="L571" s="2683"/>
      <c r="M571" s="2683"/>
      <c r="N571" s="2683"/>
      <c r="O571" s="2683"/>
      <c r="P571" s="2684"/>
      <c r="R571" s="1559"/>
      <c r="S571" s="1559"/>
    </row>
    <row r="572" spans="2:19" hidden="1">
      <c r="B572" s="121" t="s">
        <v>653</v>
      </c>
      <c r="C572" s="121"/>
      <c r="E572" s="450">
        <f t="shared" ref="E572:P572" si="336">+D431</f>
        <v>594.77</v>
      </c>
      <c r="F572" s="451">
        <f t="shared" si="336"/>
        <v>606.20000000000005</v>
      </c>
      <c r="G572" s="451">
        <f t="shared" si="336"/>
        <v>617.58000000000004</v>
      </c>
      <c r="H572" s="451">
        <f t="shared" si="336"/>
        <v>622.51</v>
      </c>
      <c r="I572" s="451">
        <f t="shared" si="336"/>
        <v>627.69000000000005</v>
      </c>
      <c r="J572" s="451">
        <f t="shared" si="336"/>
        <v>632.13</v>
      </c>
      <c r="K572" s="451">
        <f t="shared" si="336"/>
        <v>642.23</v>
      </c>
      <c r="L572" s="451">
        <f t="shared" si="336"/>
        <v>649.03</v>
      </c>
      <c r="M572" s="451">
        <f t="shared" si="336"/>
        <v>663.14</v>
      </c>
      <c r="N572" s="451">
        <f t="shared" si="336"/>
        <v>668.84</v>
      </c>
      <c r="O572" s="451">
        <f t="shared" si="336"/>
        <v>680.38</v>
      </c>
      <c r="P572" s="453">
        <f t="shared" si="336"/>
        <v>686.96</v>
      </c>
      <c r="R572" s="1559"/>
      <c r="S572" s="1559"/>
    </row>
    <row r="573" spans="2:19" hidden="1">
      <c r="B573" s="122" t="s">
        <v>630</v>
      </c>
      <c r="C573" s="122"/>
      <c r="E573" s="331">
        <f>+'TABLA FINAL  NO'!EB200</f>
        <v>631</v>
      </c>
      <c r="F573" s="335">
        <f>+'TABLA FINAL  NO'!EC200</f>
        <v>635.4</v>
      </c>
      <c r="G573" s="307">
        <f>+'TABLA FINAL  NO'!ED200</f>
        <v>639.9</v>
      </c>
      <c r="H573" s="307">
        <f>+'TABLA FINAL  NO'!EE200</f>
        <v>643.20000000000005</v>
      </c>
      <c r="I573" s="307">
        <f>+'TABLA FINAL  NO'!EF200</f>
        <v>595</v>
      </c>
      <c r="J573" s="307">
        <f>+'TABLA FINAL  NO'!EG200</f>
        <v>595</v>
      </c>
      <c r="K573" s="307">
        <f>+'TABLA FINAL  NO'!EH200</f>
        <v>748.4</v>
      </c>
      <c r="L573" s="307">
        <f>+'TABLA FINAL  NO'!EI200</f>
        <v>759.7</v>
      </c>
      <c r="M573" s="307">
        <f>+'TABLA FINAL  NO'!EJ200</f>
        <v>760.3</v>
      </c>
      <c r="N573" s="307">
        <f>+'TABLA FINAL  NO'!EK200</f>
        <v>760.2</v>
      </c>
      <c r="O573" s="307">
        <f>+'TABLA FINAL  NO'!EL200</f>
        <v>782.4</v>
      </c>
      <c r="P573" s="332">
        <f>+'TABLA FINAL  NO'!EM200</f>
        <v>779.5</v>
      </c>
      <c r="R573" s="1559"/>
      <c r="S573" s="1559"/>
    </row>
    <row r="574" spans="2:19" ht="16.5" hidden="1" thickBot="1">
      <c r="B574" s="132" t="s">
        <v>631</v>
      </c>
      <c r="E574" s="331">
        <f t="shared" ref="E574:P574" si="337">ROUND(100*E573/$C$182,2)</f>
        <v>677.04</v>
      </c>
      <c r="F574" s="307">
        <f t="shared" si="337"/>
        <v>681.76</v>
      </c>
      <c r="G574" s="307">
        <f t="shared" si="337"/>
        <v>686.59</v>
      </c>
      <c r="H574" s="307">
        <f t="shared" si="337"/>
        <v>690.13</v>
      </c>
      <c r="I574" s="307">
        <f t="shared" si="337"/>
        <v>638.41</v>
      </c>
      <c r="J574" s="307">
        <f t="shared" si="337"/>
        <v>638.41</v>
      </c>
      <c r="K574" s="307">
        <f t="shared" si="337"/>
        <v>803</v>
      </c>
      <c r="L574" s="307">
        <f t="shared" si="337"/>
        <v>815.13</v>
      </c>
      <c r="M574" s="307">
        <f t="shared" si="337"/>
        <v>815.77</v>
      </c>
      <c r="N574" s="307">
        <f t="shared" si="337"/>
        <v>815.67</v>
      </c>
      <c r="O574" s="307">
        <f t="shared" si="337"/>
        <v>839.48</v>
      </c>
      <c r="P574" s="332">
        <f t="shared" si="337"/>
        <v>836.37</v>
      </c>
      <c r="R574" s="1559"/>
      <c r="S574" s="1559"/>
    </row>
    <row r="575" spans="2:19" ht="16.5" hidden="1" thickBot="1">
      <c r="B575" s="132" t="s">
        <v>552</v>
      </c>
      <c r="E575" s="135">
        <f t="shared" ref="E575:P575" si="338">ROUND(+$I$175*E572+$I$176*E574,2)</f>
        <v>619.45000000000005</v>
      </c>
      <c r="F575" s="337">
        <f t="shared" si="338"/>
        <v>628.87</v>
      </c>
      <c r="G575" s="337">
        <f t="shared" si="338"/>
        <v>638.28</v>
      </c>
      <c r="H575" s="337">
        <f t="shared" si="338"/>
        <v>642.79999999999995</v>
      </c>
      <c r="I575" s="337">
        <f t="shared" si="338"/>
        <v>630.91</v>
      </c>
      <c r="J575" s="337">
        <f t="shared" si="338"/>
        <v>634.01</v>
      </c>
      <c r="K575" s="337">
        <f t="shared" si="338"/>
        <v>690.46</v>
      </c>
      <c r="L575" s="337">
        <f t="shared" si="338"/>
        <v>698.86</v>
      </c>
      <c r="M575" s="337">
        <f t="shared" si="338"/>
        <v>708.93</v>
      </c>
      <c r="N575" s="337">
        <f t="shared" si="338"/>
        <v>712.89</v>
      </c>
      <c r="O575" s="337">
        <f t="shared" si="338"/>
        <v>728.11</v>
      </c>
      <c r="P575" s="338">
        <f t="shared" si="338"/>
        <v>731.78</v>
      </c>
      <c r="R575" s="1559"/>
      <c r="S575" s="1559"/>
    </row>
    <row r="576" spans="2:19" ht="16.5" hidden="1" thickBot="1">
      <c r="R576" s="1559"/>
      <c r="S576" s="1559"/>
    </row>
    <row r="577" spans="2:19" ht="16.5" hidden="1" thickBot="1">
      <c r="E577" s="2682">
        <v>2013</v>
      </c>
      <c r="F577" s="2683"/>
      <c r="G577" s="2683"/>
      <c r="H577" s="2683"/>
      <c r="I577" s="2683"/>
      <c r="J577" s="2683"/>
      <c r="K577" s="2683"/>
      <c r="L577" s="2683"/>
      <c r="M577" s="2683"/>
      <c r="N577" s="2683"/>
      <c r="O577" s="2683"/>
      <c r="P577" s="2684"/>
      <c r="R577" s="1559"/>
      <c r="S577" s="1559"/>
    </row>
    <row r="578" spans="2:19" hidden="1">
      <c r="B578" s="121" t="s">
        <v>653</v>
      </c>
      <c r="C578" s="121"/>
      <c r="E578" s="1171">
        <f t="shared" ref="E578:P578" si="339">+D437</f>
        <v>698.58</v>
      </c>
      <c r="F578" s="451">
        <f t="shared" si="339"/>
        <v>707.98</v>
      </c>
      <c r="G578" s="451">
        <f t="shared" si="339"/>
        <v>716.6</v>
      </c>
      <c r="H578" s="451">
        <f t="shared" si="339"/>
        <v>729.18</v>
      </c>
      <c r="I578" s="451">
        <f t="shared" si="339"/>
        <v>740.55</v>
      </c>
      <c r="J578" s="451">
        <f t="shared" si="339"/>
        <v>758.12</v>
      </c>
      <c r="K578" s="451">
        <f t="shared" si="339"/>
        <v>773.5</v>
      </c>
      <c r="L578" s="451">
        <f t="shared" si="339"/>
        <v>783.05</v>
      </c>
      <c r="M578" s="451">
        <f t="shared" si="339"/>
        <v>798.42</v>
      </c>
      <c r="N578" s="451">
        <f t="shared" si="339"/>
        <v>807.2</v>
      </c>
      <c r="O578" s="451">
        <f t="shared" si="339"/>
        <v>820.04</v>
      </c>
      <c r="P578" s="453">
        <f t="shared" si="339"/>
        <v>831.39</v>
      </c>
      <c r="R578" s="1559"/>
      <c r="S578" s="1559"/>
    </row>
    <row r="579" spans="2:19" hidden="1">
      <c r="B579" s="122" t="s">
        <v>630</v>
      </c>
      <c r="C579" s="122"/>
      <c r="E579" s="335">
        <f>+'TABLA FINAL  NO'!EN200</f>
        <v>780.4</v>
      </c>
      <c r="F579" s="307">
        <f>+'TABLA FINAL  NO'!EO200</f>
        <v>782</v>
      </c>
      <c r="G579" s="307">
        <f>+'TABLA FINAL  NO'!EP200</f>
        <v>793.2</v>
      </c>
      <c r="H579" s="307">
        <f>+'TABLA FINAL  NO'!EQ200</f>
        <v>822.5</v>
      </c>
      <c r="I579" s="307">
        <f>+'TABLA FINAL  NO'!ER200</f>
        <v>820.2</v>
      </c>
      <c r="J579" s="307">
        <f>+'TABLA FINAL  NO'!ES200</f>
        <v>914.7</v>
      </c>
      <c r="K579" s="307">
        <f>+'TABLA FINAL  NO'!ET200</f>
        <v>909.7</v>
      </c>
      <c r="L579" s="307">
        <f>+'TABLA FINAL  NO'!EU200</f>
        <v>915</v>
      </c>
      <c r="M579" s="307">
        <f>+'TABLA FINAL  NO'!EV200</f>
        <v>960</v>
      </c>
      <c r="N579" s="307">
        <f>+'TABLA FINAL  NO'!EW200</f>
        <v>961.2</v>
      </c>
      <c r="O579" s="307">
        <f>+'TABLA FINAL  NO'!EX200</f>
        <v>960.9</v>
      </c>
      <c r="P579" s="332">
        <f>+'TABLA FINAL  NO'!EY200</f>
        <v>963.7</v>
      </c>
      <c r="R579" s="1559"/>
      <c r="S579" s="1559"/>
    </row>
    <row r="580" spans="2:19" ht="16.5" hidden="1" thickBot="1">
      <c r="B580" s="132" t="s">
        <v>631</v>
      </c>
      <c r="E580" s="335">
        <f t="shared" ref="E580:P580" si="340">ROUND(100*E579/$C$182,2)</f>
        <v>837.34</v>
      </c>
      <c r="F580" s="307">
        <f t="shared" si="340"/>
        <v>839.06</v>
      </c>
      <c r="G580" s="307">
        <f t="shared" si="340"/>
        <v>851.07</v>
      </c>
      <c r="H580" s="307">
        <f t="shared" si="340"/>
        <v>882.51</v>
      </c>
      <c r="I580" s="307">
        <f t="shared" si="340"/>
        <v>880.04</v>
      </c>
      <c r="J580" s="307">
        <f t="shared" si="340"/>
        <v>981.44</v>
      </c>
      <c r="K580" s="307">
        <f t="shared" si="340"/>
        <v>976.07</v>
      </c>
      <c r="L580" s="307">
        <f t="shared" si="340"/>
        <v>981.76</v>
      </c>
      <c r="M580" s="307">
        <f t="shared" si="340"/>
        <v>1030.04</v>
      </c>
      <c r="N580" s="307">
        <f t="shared" si="340"/>
        <v>1031.33</v>
      </c>
      <c r="O580" s="307">
        <f t="shared" si="340"/>
        <v>1031.01</v>
      </c>
      <c r="P580" s="332">
        <f t="shared" si="340"/>
        <v>1034.01</v>
      </c>
      <c r="R580" s="1559"/>
      <c r="S580" s="1559"/>
    </row>
    <row r="581" spans="2:19" ht="16.5" hidden="1" thickBot="1">
      <c r="B581" s="132" t="s">
        <v>552</v>
      </c>
      <c r="E581" s="813">
        <f t="shared" ref="E581:P581" si="341">ROUND(+$I$175*E578+$I$176*E580,2)</f>
        <v>740.21</v>
      </c>
      <c r="F581" s="337">
        <f t="shared" si="341"/>
        <v>747.3</v>
      </c>
      <c r="G581" s="337">
        <f t="shared" si="341"/>
        <v>756.94</v>
      </c>
      <c r="H581" s="337">
        <f t="shared" si="341"/>
        <v>775.18</v>
      </c>
      <c r="I581" s="337">
        <f t="shared" si="341"/>
        <v>782.4</v>
      </c>
      <c r="J581" s="337">
        <f t="shared" si="341"/>
        <v>825.12</v>
      </c>
      <c r="K581" s="337">
        <f t="shared" si="341"/>
        <v>834.27</v>
      </c>
      <c r="L581" s="337">
        <f t="shared" si="341"/>
        <v>842.66</v>
      </c>
      <c r="M581" s="337">
        <f t="shared" si="341"/>
        <v>867.91</v>
      </c>
      <c r="N581" s="337">
        <f t="shared" si="341"/>
        <v>874.44</v>
      </c>
      <c r="O581" s="337">
        <f t="shared" si="341"/>
        <v>883.33</v>
      </c>
      <c r="P581" s="338">
        <f t="shared" si="341"/>
        <v>892.18</v>
      </c>
      <c r="R581" s="1559"/>
      <c r="S581" s="1559"/>
    </row>
    <row r="582" spans="2:19" ht="16.5" hidden="1" thickBot="1">
      <c r="R582" s="1559"/>
      <c r="S582" s="1559"/>
    </row>
    <row r="583" spans="2:19" ht="16.5" hidden="1" thickBot="1">
      <c r="E583" s="2682">
        <v>2014</v>
      </c>
      <c r="F583" s="2683"/>
      <c r="G583" s="2683"/>
      <c r="H583" s="2683"/>
      <c r="I583" s="2683"/>
      <c r="J583" s="2683"/>
      <c r="K583" s="2683"/>
      <c r="L583" s="2683"/>
      <c r="M583" s="2683"/>
      <c r="N583" s="2683"/>
      <c r="O583" s="2683"/>
      <c r="P583" s="2684"/>
      <c r="R583" s="1559"/>
      <c r="S583" s="1559"/>
    </row>
    <row r="584" spans="2:19" hidden="1">
      <c r="B584" s="121" t="s">
        <v>653</v>
      </c>
      <c r="E584" s="1171">
        <f t="shared" ref="E584:P584" si="342">D443</f>
        <v>871.59</v>
      </c>
      <c r="F584" s="451">
        <f t="shared" si="342"/>
        <v>929.95</v>
      </c>
      <c r="G584" s="451">
        <f t="shared" si="342"/>
        <v>967.2</v>
      </c>
      <c r="H584" s="451">
        <f t="shared" si="342"/>
        <v>990.09</v>
      </c>
      <c r="I584" s="451">
        <f t="shared" si="342"/>
        <v>1008.38</v>
      </c>
      <c r="J584" s="451">
        <f t="shared" si="342"/>
        <v>1026.3900000000001</v>
      </c>
      <c r="K584" s="451">
        <f t="shared" si="342"/>
        <v>1044.92</v>
      </c>
      <c r="L584" s="451">
        <f t="shared" si="342"/>
        <v>1053.82</v>
      </c>
      <c r="M584" s="451">
        <f t="shared" si="342"/>
        <v>1062.6199999999999</v>
      </c>
      <c r="N584" s="451">
        <f t="shared" si="342"/>
        <v>1079.26</v>
      </c>
      <c r="O584" s="451">
        <f t="shared" si="342"/>
        <v>1088.3499999999999</v>
      </c>
      <c r="P584" s="453">
        <f t="shared" si="342"/>
        <v>1106.46</v>
      </c>
      <c r="R584" s="1559"/>
      <c r="S584" s="1559"/>
    </row>
    <row r="585" spans="2:19" hidden="1">
      <c r="B585" s="122" t="s">
        <v>630</v>
      </c>
      <c r="E585" s="335">
        <f>+'TABLA FINAL  NO'!EY200</f>
        <v>963.7</v>
      </c>
      <c r="F585" s="307">
        <f>+'TABLA FINAL  NO'!EZ200</f>
        <v>965.5</v>
      </c>
      <c r="G585" s="307">
        <f>+'TABLA FINAL  NO'!FA200</f>
        <v>970.1</v>
      </c>
      <c r="H585" s="307">
        <f>+'TABLA FINAL  NO'!FB200</f>
        <v>970.6</v>
      </c>
      <c r="I585" s="307">
        <f>+'TABLA FINAL  NO'!FC200</f>
        <v>1084.7</v>
      </c>
      <c r="J585" s="307">
        <f>+'TABLA FINAL  NO'!FD200</f>
        <v>1112.2</v>
      </c>
      <c r="K585" s="307">
        <f>+'TABLA FINAL  NO'!FE200</f>
        <v>1111.8</v>
      </c>
      <c r="L585" s="307">
        <f>+'TABLA FINAL  NO'!FF200</f>
        <v>1192.4000000000001</v>
      </c>
      <c r="M585" s="307">
        <f>+'TABLA FINAL  NO'!FG200</f>
        <v>1224.8</v>
      </c>
      <c r="N585" s="307">
        <f>+'TABLA FINAL  NO'!FH200</f>
        <v>1231.9000000000001</v>
      </c>
      <c r="O585" s="307">
        <f>+'TABLA FINAL  NO'!FI200</f>
        <v>1238.4000000000001</v>
      </c>
      <c r="P585" s="332">
        <f>+'TABLA FINAL  NO'!FJ200</f>
        <v>1237.0999999999999</v>
      </c>
      <c r="R585" s="1559"/>
      <c r="S585" s="1559"/>
    </row>
    <row r="586" spans="2:19" ht="16.5" hidden="1" thickBot="1">
      <c r="B586" s="132" t="s">
        <v>631</v>
      </c>
      <c r="E586" s="335">
        <f t="shared" ref="E586:L586" si="343">ROUND(100*E585/$C$182,2)</f>
        <v>1034.01</v>
      </c>
      <c r="F586" s="307">
        <f t="shared" si="343"/>
        <v>1035.94</v>
      </c>
      <c r="G586" s="307">
        <f t="shared" si="343"/>
        <v>1040.8800000000001</v>
      </c>
      <c r="H586" s="307">
        <f t="shared" si="343"/>
        <v>1041.42</v>
      </c>
      <c r="I586" s="307">
        <f t="shared" si="343"/>
        <v>1163.8399999999999</v>
      </c>
      <c r="J586" s="307">
        <f t="shared" si="343"/>
        <v>1193.3499999999999</v>
      </c>
      <c r="K586" s="307">
        <f t="shared" si="343"/>
        <v>1192.92</v>
      </c>
      <c r="L586" s="307">
        <f t="shared" si="343"/>
        <v>1279.4000000000001</v>
      </c>
      <c r="M586" s="307">
        <f>ROUND(100*M585/$C$182,2)</f>
        <v>1314.16</v>
      </c>
      <c r="N586" s="307">
        <f>ROUND(100*N585/$C$182,2)</f>
        <v>1321.78</v>
      </c>
      <c r="O586" s="307">
        <f>ROUND(100*O585/$C$182,2)</f>
        <v>1328.76</v>
      </c>
      <c r="P586" s="332">
        <f>ROUND(100*P585/$C$182,2)</f>
        <v>1327.36</v>
      </c>
      <c r="R586" s="1559"/>
      <c r="S586" s="1559"/>
    </row>
    <row r="587" spans="2:19" ht="16.5" hidden="1" thickBot="1">
      <c r="B587" s="132" t="s">
        <v>552</v>
      </c>
      <c r="E587" s="813">
        <f t="shared" ref="E587:P587" si="344">ROUND(+$I$175*E584+$I$176*E586,2)</f>
        <v>920.32</v>
      </c>
      <c r="F587" s="337">
        <f t="shared" si="344"/>
        <v>961.75</v>
      </c>
      <c r="G587" s="337">
        <f t="shared" si="344"/>
        <v>989.3</v>
      </c>
      <c r="H587" s="337">
        <f t="shared" si="344"/>
        <v>1005.49</v>
      </c>
      <c r="I587" s="337">
        <f t="shared" si="344"/>
        <v>1055.02</v>
      </c>
      <c r="J587" s="337">
        <f t="shared" si="344"/>
        <v>1076.48</v>
      </c>
      <c r="K587" s="337">
        <f t="shared" si="344"/>
        <v>1089.32</v>
      </c>
      <c r="L587" s="337">
        <f t="shared" si="344"/>
        <v>1121.49</v>
      </c>
      <c r="M587" s="337">
        <f t="shared" si="344"/>
        <v>1138.08</v>
      </c>
      <c r="N587" s="337">
        <f t="shared" si="344"/>
        <v>1152.02</v>
      </c>
      <c r="O587" s="337">
        <f t="shared" si="344"/>
        <v>1160.47</v>
      </c>
      <c r="P587" s="338">
        <f t="shared" si="344"/>
        <v>1172.73</v>
      </c>
      <c r="R587" s="1559"/>
      <c r="S587" s="1559"/>
    </row>
    <row r="588" spans="2:19" ht="16.5" hidden="1" thickBot="1">
      <c r="R588" s="1559"/>
      <c r="S588" s="1559"/>
    </row>
    <row r="589" spans="2:19" ht="16.5" hidden="1" thickBot="1">
      <c r="E589" s="2682">
        <v>2015</v>
      </c>
      <c r="F589" s="2683"/>
      <c r="G589" s="2683"/>
      <c r="H589" s="2683"/>
      <c r="I589" s="2683"/>
      <c r="J589" s="2683"/>
      <c r="K589" s="2683"/>
      <c r="L589" s="2683"/>
      <c r="M589" s="2683"/>
      <c r="N589" s="2683"/>
      <c r="O589" s="2683"/>
      <c r="P589" s="2684"/>
      <c r="R589" s="1559"/>
      <c r="S589" s="1559"/>
    </row>
    <row r="590" spans="2:19" hidden="1">
      <c r="B590" s="121" t="s">
        <v>653</v>
      </c>
      <c r="E590" s="1171">
        <f t="shared" ref="E590:P590" si="345">D449</f>
        <v>1121.1400000000001</v>
      </c>
      <c r="F590" s="451">
        <f t="shared" si="345"/>
        <v>1121.8800000000001</v>
      </c>
      <c r="G590" s="451">
        <f t="shared" si="345"/>
        <v>1149.19</v>
      </c>
      <c r="H590" s="451">
        <f t="shared" si="345"/>
        <v>1162.3499999999999</v>
      </c>
      <c r="I590" s="451">
        <f t="shared" si="345"/>
        <v>1167.45</v>
      </c>
      <c r="J590" s="451">
        <f t="shared" si="345"/>
        <v>1181.23</v>
      </c>
      <c r="K590" s="451">
        <f t="shared" si="345"/>
        <v>1198.26</v>
      </c>
      <c r="L590" s="451">
        <f t="shared" si="345"/>
        <v>1228.3399999999999</v>
      </c>
      <c r="M590" s="451">
        <f t="shared" si="345"/>
        <v>1242.52</v>
      </c>
      <c r="N590" s="451">
        <f t="shared" si="345"/>
        <v>1262.28</v>
      </c>
      <c r="O590" s="451" t="e">
        <f t="shared" si="345"/>
        <v>#REF!</v>
      </c>
      <c r="P590" s="453" t="e">
        <f t="shared" si="345"/>
        <v>#REF!</v>
      </c>
      <c r="R590" s="1559"/>
      <c r="S590" s="1559"/>
    </row>
    <row r="591" spans="2:19" hidden="1">
      <c r="B591" s="122" t="s">
        <v>630</v>
      </c>
      <c r="E591" s="335">
        <f>+'TABLA FINAL  NO'!FL200</f>
        <v>1255.7</v>
      </c>
      <c r="F591" s="307">
        <f>+'TABLA FINAL  NO'!FM200</f>
        <v>1257.0999999999999</v>
      </c>
      <c r="G591" s="307">
        <f>+'TABLA FINAL  NO'!FN200</f>
        <v>1267.5999999999999</v>
      </c>
      <c r="H591" s="307">
        <f>+'TABLA FINAL  NO'!FO200</f>
        <v>1270.9000000000001</v>
      </c>
      <c r="I591" s="307">
        <f>+'TABLA FINAL  NO'!FP200</f>
        <v>1410.1</v>
      </c>
      <c r="J591" s="307">
        <f>+'TABLA FINAL  NO'!FQ200</f>
        <v>1427.5</v>
      </c>
      <c r="K591" s="307">
        <f>+'TABLA FINAL  NO'!FR200</f>
        <v>1448</v>
      </c>
      <c r="L591" s="307">
        <f>+'TABLA FINAL  NO'!FS200</f>
        <v>1542.3</v>
      </c>
      <c r="M591" s="307">
        <f>+'TABLA FINAL  NO'!FT200</f>
        <v>1579.2</v>
      </c>
      <c r="N591" s="307">
        <f>+'TABLA FINAL  NO'!FU200</f>
        <v>1582.7</v>
      </c>
      <c r="O591" s="307" t="e">
        <f>+#REF!</f>
        <v>#REF!</v>
      </c>
      <c r="P591" s="332" t="e">
        <f>+#REF!</f>
        <v>#REF!</v>
      </c>
      <c r="R591" s="1559"/>
      <c r="S591" s="1559"/>
    </row>
    <row r="592" spans="2:19" ht="16.5" hidden="1" thickBot="1">
      <c r="B592" s="132" t="s">
        <v>631</v>
      </c>
      <c r="E592" s="335">
        <f t="shared" ref="E592:J592" si="346">ROUND(100*E591/$C$182,2)</f>
        <v>1347.32</v>
      </c>
      <c r="F592" s="307">
        <f t="shared" si="346"/>
        <v>1348.82</v>
      </c>
      <c r="G592" s="307">
        <f t="shared" si="346"/>
        <v>1360.09</v>
      </c>
      <c r="H592" s="307">
        <f t="shared" si="346"/>
        <v>1363.63</v>
      </c>
      <c r="I592" s="307">
        <f t="shared" si="346"/>
        <v>1512.98</v>
      </c>
      <c r="J592" s="307">
        <f t="shared" si="346"/>
        <v>1531.65</v>
      </c>
      <c r="K592" s="307">
        <f t="shared" ref="K592:P592" si="347">ROUND(100*K591/$C$182,2)</f>
        <v>1553.65</v>
      </c>
      <c r="L592" s="307">
        <f t="shared" si="347"/>
        <v>1654.83</v>
      </c>
      <c r="M592" s="307">
        <f t="shared" si="347"/>
        <v>1694.42</v>
      </c>
      <c r="N592" s="307">
        <f t="shared" si="347"/>
        <v>1698.18</v>
      </c>
      <c r="O592" s="307" t="e">
        <f t="shared" si="347"/>
        <v>#REF!</v>
      </c>
      <c r="P592" s="332" t="e">
        <f t="shared" si="347"/>
        <v>#REF!</v>
      </c>
      <c r="R592" s="1559"/>
      <c r="S592" s="1559"/>
    </row>
    <row r="593" spans="2:19" ht="16.5" hidden="1" thickBot="1">
      <c r="B593" s="132" t="s">
        <v>552</v>
      </c>
      <c r="E593" s="813">
        <f>ROUND(+$I$175*E590+$I$176*E592,2)</f>
        <v>1188.99</v>
      </c>
      <c r="F593" s="337">
        <f>ROUND(+$I$175*F590+$I$176*F592,2)</f>
        <v>1189.96</v>
      </c>
      <c r="G593" s="337">
        <f t="shared" ref="G593:L593" si="348">ROUND(+$I$175*G590+$I$176*G592,2)</f>
        <v>1212.46</v>
      </c>
      <c r="H593" s="337">
        <f t="shared" si="348"/>
        <v>1222.73</v>
      </c>
      <c r="I593" s="337">
        <f t="shared" si="348"/>
        <v>1271.1099999999999</v>
      </c>
      <c r="J593" s="337">
        <f t="shared" si="348"/>
        <v>1286.3599999999999</v>
      </c>
      <c r="K593" s="337">
        <f t="shared" si="348"/>
        <v>1304.8800000000001</v>
      </c>
      <c r="L593" s="337">
        <f t="shared" si="348"/>
        <v>1356.29</v>
      </c>
      <c r="M593" s="337">
        <f>ROUND(+$I$175*M590+$I$176*M592,2)</f>
        <v>1378.09</v>
      </c>
      <c r="N593" s="337">
        <f>ROUND(+$I$175*N590+$I$176*N592,2)</f>
        <v>1393.05</v>
      </c>
      <c r="O593" s="337" t="e">
        <f>ROUND(+$I$175*O590+$I$176*O592,2)</f>
        <v>#REF!</v>
      </c>
      <c r="P593" s="338" t="e">
        <f>ROUND(+$I$175*P590+$I$176*P592,2)</f>
        <v>#REF!</v>
      </c>
      <c r="R593" s="1559"/>
      <c r="S593" s="1559"/>
    </row>
    <row r="594" spans="2:19" ht="16.5" thickBot="1">
      <c r="R594" s="1559"/>
      <c r="S594" s="1559"/>
    </row>
    <row r="595" spans="2:19" ht="16.5" thickBot="1">
      <c r="E595" s="2682">
        <v>2016</v>
      </c>
      <c r="F595" s="2683"/>
      <c r="G595" s="2683"/>
      <c r="H595" s="2683"/>
      <c r="I595" s="2683"/>
      <c r="J595" s="2683"/>
      <c r="K595" s="2683"/>
      <c r="L595" s="2683"/>
      <c r="M595" s="2683"/>
      <c r="N595" s="2683"/>
      <c r="O595" s="2683"/>
      <c r="P595" s="2684"/>
      <c r="R595" s="1559"/>
      <c r="S595" s="1559"/>
    </row>
    <row r="596" spans="2:19">
      <c r="B596" s="121" t="s">
        <v>653</v>
      </c>
      <c r="E596" s="450">
        <f t="shared" ref="E596:P596" si="349">+D455</f>
        <v>100</v>
      </c>
      <c r="F596" s="451">
        <f t="shared" si="349"/>
        <v>107.88</v>
      </c>
      <c r="G596" s="451">
        <f t="shared" si="349"/>
        <v>115</v>
      </c>
      <c r="H596" s="451">
        <f t="shared" si="349"/>
        <v>119.04</v>
      </c>
      <c r="I596" s="451">
        <f t="shared" si="349"/>
        <v>125.57</v>
      </c>
      <c r="J596" s="451">
        <f t="shared" si="349"/>
        <v>130.74</v>
      </c>
      <c r="K596" s="451">
        <f t="shared" si="349"/>
        <v>130.74</v>
      </c>
      <c r="L596" s="451">
        <f t="shared" si="349"/>
        <v>132.26</v>
      </c>
      <c r="M596" s="451">
        <f t="shared" si="349"/>
        <v>134.59</v>
      </c>
      <c r="N596" s="451">
        <f t="shared" si="349"/>
        <v>135.38999999999999</v>
      </c>
      <c r="O596" s="451">
        <f t="shared" si="349"/>
        <v>143.74</v>
      </c>
      <c r="P596" s="453">
        <f t="shared" si="349"/>
        <v>143.74</v>
      </c>
      <c r="R596" s="1559"/>
      <c r="S596" s="1559"/>
    </row>
    <row r="597" spans="2:19">
      <c r="B597" s="122" t="s">
        <v>630</v>
      </c>
      <c r="E597" s="331">
        <f>+'Insumos testigos '!FY191</f>
        <v>100</v>
      </c>
      <c r="F597" s="307">
        <f>+'Insumos testigos '!FZ191</f>
        <v>102.05011389521641</v>
      </c>
      <c r="G597" s="307">
        <f>+'Insumos testigos '!GA191</f>
        <v>102.05011389521641</v>
      </c>
      <c r="H597" s="307">
        <f>+'Insumos testigos '!GB191</f>
        <v>120.50113895216401</v>
      </c>
      <c r="I597" s="307">
        <f>+'Insumos testigos '!GC191</f>
        <v>120.72892938496584</v>
      </c>
      <c r="J597" s="307">
        <f>+'Insumos testigos '!GD191</f>
        <v>121.41230068337131</v>
      </c>
      <c r="K597" s="307">
        <f>+'Insumos testigos '!GE191</f>
        <v>122.39939255884588</v>
      </c>
      <c r="L597" s="307">
        <f>+'Insumos testigos '!GF191</f>
        <v>122.39939255884588</v>
      </c>
      <c r="M597" s="307">
        <f>+'Insumos testigos '!GG191</f>
        <v>122.39939255884588</v>
      </c>
      <c r="N597" s="307">
        <f>+'Insumos testigos '!GH191</f>
        <v>134.09263477600609</v>
      </c>
      <c r="O597" s="307">
        <f>+'Insumos testigos '!GI191</f>
        <v>134.09263477600609</v>
      </c>
      <c r="P597" s="307">
        <f>+'Insumos testigos '!GJ191</f>
        <v>138.64844343204254</v>
      </c>
      <c r="R597" s="1559"/>
      <c r="S597" s="1559"/>
    </row>
    <row r="598" spans="2:19" ht="16.5" thickBot="1">
      <c r="B598" s="132" t="s">
        <v>631</v>
      </c>
      <c r="E598" s="331">
        <v>100</v>
      </c>
      <c r="F598" s="307">
        <f>ROUND(100*F597/$E$597,2)</f>
        <v>102.05</v>
      </c>
      <c r="G598" s="307">
        <f t="shared" ref="G598:P598" si="350">ROUND(100*G597/$E$597,2)</f>
        <v>102.05</v>
      </c>
      <c r="H598" s="307">
        <f t="shared" si="350"/>
        <v>120.5</v>
      </c>
      <c r="I598" s="307">
        <f t="shared" si="350"/>
        <v>120.73</v>
      </c>
      <c r="J598" s="307">
        <f t="shared" si="350"/>
        <v>121.41</v>
      </c>
      <c r="K598" s="307">
        <f t="shared" si="350"/>
        <v>122.4</v>
      </c>
      <c r="L598" s="307">
        <f t="shared" si="350"/>
        <v>122.4</v>
      </c>
      <c r="M598" s="307">
        <f t="shared" si="350"/>
        <v>122.4</v>
      </c>
      <c r="N598" s="307">
        <f t="shared" si="350"/>
        <v>134.09</v>
      </c>
      <c r="O598" s="307">
        <f t="shared" si="350"/>
        <v>134.09</v>
      </c>
      <c r="P598" s="307">
        <f t="shared" si="350"/>
        <v>138.65</v>
      </c>
      <c r="R598" s="1559"/>
      <c r="S598" s="1559"/>
    </row>
    <row r="599" spans="2:19" ht="16.5" thickBot="1">
      <c r="B599" s="132" t="s">
        <v>552</v>
      </c>
      <c r="E599" s="135">
        <f t="shared" ref="E599:J599" si="351">ROUND(+$I$175*E596+$I$176*E598,2)</f>
        <v>100</v>
      </c>
      <c r="F599" s="337">
        <f t="shared" si="351"/>
        <v>106.13</v>
      </c>
      <c r="G599" s="337">
        <f t="shared" si="351"/>
        <v>111.12</v>
      </c>
      <c r="H599" s="337">
        <f t="shared" si="351"/>
        <v>119.48</v>
      </c>
      <c r="I599" s="337">
        <f t="shared" si="351"/>
        <v>124.12</v>
      </c>
      <c r="J599" s="337">
        <f t="shared" si="351"/>
        <v>127.94</v>
      </c>
      <c r="K599" s="337">
        <f t="shared" ref="K599:P599" si="352">ROUND(+$I$175*K596+$I$176*K598,2)</f>
        <v>128.24</v>
      </c>
      <c r="L599" s="337">
        <f t="shared" si="352"/>
        <v>129.30000000000001</v>
      </c>
      <c r="M599" s="337">
        <f t="shared" si="352"/>
        <v>130.93</v>
      </c>
      <c r="N599" s="337">
        <f t="shared" si="352"/>
        <v>135</v>
      </c>
      <c r="O599" s="337">
        <f t="shared" si="352"/>
        <v>140.85</v>
      </c>
      <c r="P599" s="338">
        <f t="shared" si="352"/>
        <v>142.21</v>
      </c>
      <c r="R599" s="1559"/>
      <c r="S599" s="1559"/>
    </row>
    <row r="600" spans="2:19">
      <c r="R600" s="1559"/>
      <c r="S600" s="1559"/>
    </row>
    <row r="601" spans="2:19" ht="16.5" hidden="1" thickBot="1">
      <c r="E601" s="2682">
        <v>2017</v>
      </c>
      <c r="F601" s="2683"/>
      <c r="G601" s="2683"/>
      <c r="H601" s="2683"/>
      <c r="I601" s="2683"/>
      <c r="J601" s="2683"/>
      <c r="K601" s="2683"/>
      <c r="L601" s="2683"/>
      <c r="M601" s="2683"/>
      <c r="N601" s="2683"/>
      <c r="O601" s="2683"/>
      <c r="P601" s="2684"/>
      <c r="R601" s="1559"/>
      <c r="S601" s="1559"/>
    </row>
    <row r="602" spans="2:19" hidden="1">
      <c r="B602" s="121" t="s">
        <v>653</v>
      </c>
      <c r="E602" s="450">
        <f t="shared" ref="E602:P602" si="353">+D461</f>
        <v>145.41</v>
      </c>
      <c r="F602" s="450">
        <f t="shared" si="353"/>
        <v>150.44</v>
      </c>
      <c r="G602" s="450">
        <f t="shared" si="353"/>
        <v>151.82</v>
      </c>
      <c r="H602" s="450">
        <f t="shared" si="353"/>
        <v>155.37</v>
      </c>
      <c r="I602" s="450">
        <f t="shared" si="353"/>
        <v>156.15</v>
      </c>
      <c r="J602" s="450">
        <f t="shared" si="353"/>
        <v>156.15</v>
      </c>
      <c r="K602" s="450">
        <f t="shared" si="353"/>
        <v>156.15</v>
      </c>
      <c r="L602" s="450">
        <f t="shared" si="353"/>
        <v>156.15</v>
      </c>
      <c r="M602" s="450">
        <f t="shared" si="353"/>
        <v>156.15</v>
      </c>
      <c r="N602" s="450">
        <f t="shared" si="353"/>
        <v>156.79</v>
      </c>
      <c r="O602" s="450">
        <f t="shared" si="353"/>
        <v>156.79</v>
      </c>
      <c r="P602" s="1737">
        <f t="shared" si="353"/>
        <v>156.79</v>
      </c>
      <c r="R602" s="1559"/>
      <c r="S602" s="1559"/>
    </row>
    <row r="603" spans="2:19" hidden="1">
      <c r="B603" s="122" t="s">
        <v>630</v>
      </c>
      <c r="E603" s="331">
        <f>+'Insumos testigos '!GK191</f>
        <v>147.00075930144271</v>
      </c>
      <c r="F603" s="331">
        <f>+'Insumos testigos '!GL191</f>
        <v>147.00075930144271</v>
      </c>
      <c r="G603" s="331">
        <f>+'Insumos testigos '!GM191</f>
        <v>147.00075930144271</v>
      </c>
      <c r="H603" s="331">
        <f>+'Insumos testigos '!GN191</f>
        <v>157.85876993166292</v>
      </c>
      <c r="I603" s="331">
        <f>+'Insumos testigos '!GO191</f>
        <v>158.84586180713748</v>
      </c>
      <c r="J603" s="331">
        <f>+'Insumos testigos '!GP191</f>
        <v>158.84586180713748</v>
      </c>
      <c r="K603" s="331">
        <f>+'Insumos testigos '!GQ191</f>
        <v>173.19665907365231</v>
      </c>
      <c r="L603" s="331">
        <f>+'Insumos testigos '!GR191</f>
        <v>173.19665907365231</v>
      </c>
      <c r="M603" s="331">
        <f>+'Insumos testigos '!GS191</f>
        <v>173.19665907365231</v>
      </c>
      <c r="N603" s="331">
        <f>+'Insumos testigos '!GT191</f>
        <v>173.19665907365231</v>
      </c>
      <c r="O603" s="331">
        <f>+'Insumos testigos '!GU191</f>
        <v>173.19665907365231</v>
      </c>
      <c r="P603" s="331">
        <f>+'Insumos testigos '!GV191</f>
        <v>173.19665907365231</v>
      </c>
      <c r="R603" s="1559"/>
      <c r="S603" s="1559"/>
    </row>
    <row r="604" spans="2:19" ht="16.5" hidden="1" thickBot="1">
      <c r="B604" s="132" t="s">
        <v>631</v>
      </c>
      <c r="E604" s="307">
        <f>ROUND(100*E603/$E$597,2)</f>
        <v>147</v>
      </c>
      <c r="F604" s="307">
        <f t="shared" ref="F604:P604" si="354">ROUND(100*F603/$E$597,2)</f>
        <v>147</v>
      </c>
      <c r="G604" s="307">
        <f t="shared" si="354"/>
        <v>147</v>
      </c>
      <c r="H604" s="307">
        <f t="shared" si="354"/>
        <v>157.86000000000001</v>
      </c>
      <c r="I604" s="307">
        <f t="shared" si="354"/>
        <v>158.85</v>
      </c>
      <c r="J604" s="307">
        <f t="shared" si="354"/>
        <v>158.85</v>
      </c>
      <c r="K604" s="307">
        <f t="shared" si="354"/>
        <v>173.2</v>
      </c>
      <c r="L604" s="307">
        <f t="shared" si="354"/>
        <v>173.2</v>
      </c>
      <c r="M604" s="307">
        <f t="shared" si="354"/>
        <v>173.2</v>
      </c>
      <c r="N604" s="307">
        <f t="shared" si="354"/>
        <v>173.2</v>
      </c>
      <c r="O604" s="307">
        <f t="shared" si="354"/>
        <v>173.2</v>
      </c>
      <c r="P604" s="307">
        <f t="shared" si="354"/>
        <v>173.2</v>
      </c>
      <c r="R604" s="1559"/>
      <c r="S604" s="1559"/>
    </row>
    <row r="605" spans="2:19" ht="16.5" hidden="1" thickBot="1">
      <c r="B605" s="132" t="s">
        <v>552</v>
      </c>
      <c r="E605" s="135">
        <f t="shared" ref="E605:P605" si="355">ROUND(+$I$175*E602+$I$176*E604,2)</f>
        <v>145.88999999999999</v>
      </c>
      <c r="F605" s="135">
        <f t="shared" si="355"/>
        <v>149.41</v>
      </c>
      <c r="G605" s="135">
        <f t="shared" si="355"/>
        <v>150.37</v>
      </c>
      <c r="H605" s="135">
        <f t="shared" si="355"/>
        <v>156.12</v>
      </c>
      <c r="I605" s="135">
        <f t="shared" si="355"/>
        <v>156.96</v>
      </c>
      <c r="J605" s="135">
        <f t="shared" si="355"/>
        <v>156.96</v>
      </c>
      <c r="K605" s="135">
        <f t="shared" si="355"/>
        <v>161.27000000000001</v>
      </c>
      <c r="L605" s="135">
        <f t="shared" si="355"/>
        <v>161.27000000000001</v>
      </c>
      <c r="M605" s="135">
        <f t="shared" si="355"/>
        <v>161.27000000000001</v>
      </c>
      <c r="N605" s="135">
        <f t="shared" si="355"/>
        <v>161.71</v>
      </c>
      <c r="O605" s="135">
        <f t="shared" si="355"/>
        <v>161.71</v>
      </c>
      <c r="P605" s="136">
        <f t="shared" si="355"/>
        <v>161.71</v>
      </c>
      <c r="R605" s="1559"/>
      <c r="S605" s="1559"/>
    </row>
    <row r="606" spans="2:19" ht="16.5" hidden="1" thickBot="1">
      <c r="R606" s="1559"/>
      <c r="S606" s="1559"/>
    </row>
    <row r="607" spans="2:19" ht="16.5" hidden="1" thickBot="1">
      <c r="E607" s="2682">
        <v>2018</v>
      </c>
      <c r="F607" s="2683"/>
      <c r="G607" s="2683"/>
      <c r="H607" s="2683"/>
      <c r="I607" s="2683"/>
      <c r="J607" s="2683"/>
      <c r="K607" s="2683"/>
      <c r="L607" s="2683"/>
      <c r="M607" s="2683"/>
      <c r="N607" s="2683"/>
      <c r="O607" s="2683"/>
      <c r="P607" s="2684"/>
      <c r="R607" s="1559"/>
      <c r="S607" s="1559"/>
    </row>
    <row r="608" spans="2:19" hidden="1">
      <c r="B608" s="121" t="s">
        <v>653</v>
      </c>
      <c r="E608" s="450">
        <f t="shared" ref="E608:P608" si="356">+D467</f>
        <v>161.33000000000001</v>
      </c>
      <c r="F608" s="450">
        <f t="shared" si="356"/>
        <v>162.30000000000001</v>
      </c>
      <c r="G608" s="450">
        <f t="shared" si="356"/>
        <v>162.30000000000001</v>
      </c>
      <c r="H608" s="450">
        <f t="shared" si="356"/>
        <v>165.01</v>
      </c>
      <c r="I608" s="450">
        <f t="shared" si="356"/>
        <v>190.11</v>
      </c>
      <c r="J608" s="450">
        <f t="shared" si="356"/>
        <v>191.06</v>
      </c>
      <c r="K608" s="450">
        <f t="shared" si="356"/>
        <v>201.56</v>
      </c>
      <c r="L608" s="450">
        <f t="shared" si="356"/>
        <v>202.56</v>
      </c>
      <c r="M608" s="450">
        <f t="shared" si="356"/>
        <v>264.74</v>
      </c>
      <c r="N608" s="450">
        <f t="shared" si="356"/>
        <v>264.74</v>
      </c>
      <c r="O608" s="450">
        <f t="shared" si="356"/>
        <v>264.74</v>
      </c>
      <c r="P608" s="1737">
        <f t="shared" si="356"/>
        <v>266.5</v>
      </c>
      <c r="R608" s="1559"/>
      <c r="S608" s="1559"/>
    </row>
    <row r="609" spans="2:19" hidden="1">
      <c r="B609" s="122" t="s">
        <v>630</v>
      </c>
      <c r="E609" s="331">
        <f>+'Insumos testigos '!GW191</f>
        <v>179.27107061503426</v>
      </c>
      <c r="F609" s="331">
        <f>+'Insumos testigos '!GX191</f>
        <v>179.4988610478361</v>
      </c>
      <c r="G609" s="331">
        <f>+'Insumos testigos '!GY191</f>
        <v>184.66211085801072</v>
      </c>
      <c r="H609" s="331">
        <f>+'Insumos testigos '!GZ191</f>
        <v>195.21640091116183</v>
      </c>
      <c r="I609" s="331">
        <f>+'Insumos testigos '!HA191</f>
        <v>195.21640091116183</v>
      </c>
      <c r="J609" s="331">
        <f>+'Insumos testigos '!HB191</f>
        <v>195.52012148823093</v>
      </c>
      <c r="K609" s="331">
        <f>+'Insumos testigos '!HC191</f>
        <v>196.27942293090365</v>
      </c>
      <c r="L609" s="331">
        <f>+'Insumos testigos '!HD191</f>
        <v>206.98557327258933</v>
      </c>
      <c r="M609" s="331">
        <f>+'Insumos testigos '!HE191</f>
        <v>215.7934700075931</v>
      </c>
      <c r="N609" s="331">
        <f>+'Insumos testigos '!HF191</f>
        <v>216.02126044039491</v>
      </c>
      <c r="O609" s="331">
        <f>+'Insumos testigos '!HG191</f>
        <v>229.08124525436602</v>
      </c>
      <c r="P609" s="331">
        <f>+'Insumos testigos '!HH191</f>
        <v>237.28170083523162</v>
      </c>
      <c r="R609" s="1559"/>
      <c r="S609" s="1559"/>
    </row>
    <row r="610" spans="2:19" ht="16.5" hidden="1" thickBot="1">
      <c r="B610" s="132" t="s">
        <v>631</v>
      </c>
      <c r="E610" s="307">
        <f>ROUND(100*E609/$E$597,2)</f>
        <v>179.27</v>
      </c>
      <c r="F610" s="307">
        <f t="shared" ref="F610" si="357">ROUND(100*F609/$E$597,2)</f>
        <v>179.5</v>
      </c>
      <c r="G610" s="307">
        <f t="shared" ref="G610" si="358">ROUND(100*G609/$E$597,2)</f>
        <v>184.66</v>
      </c>
      <c r="H610" s="307">
        <f t="shared" ref="H610" si="359">ROUND(100*H609/$E$597,2)</f>
        <v>195.22</v>
      </c>
      <c r="I610" s="307">
        <f t="shared" ref="I610" si="360">ROUND(100*I609/$E$597,2)</f>
        <v>195.22</v>
      </c>
      <c r="J610" s="307">
        <f t="shared" ref="J610" si="361">ROUND(100*J609/$E$597,2)</f>
        <v>195.52</v>
      </c>
      <c r="K610" s="307">
        <f t="shared" ref="K610" si="362">ROUND(100*K609/$E$597,2)</f>
        <v>196.28</v>
      </c>
      <c r="L610" s="307">
        <f t="shared" ref="L610" si="363">ROUND(100*L609/$E$597,2)</f>
        <v>206.99</v>
      </c>
      <c r="M610" s="307">
        <f t="shared" ref="M610" si="364">ROUND(100*M609/$E$597,2)</f>
        <v>215.79</v>
      </c>
      <c r="N610" s="307">
        <f t="shared" ref="N610" si="365">ROUND(100*N609/$E$597,2)</f>
        <v>216.02</v>
      </c>
      <c r="O610" s="307">
        <f t="shared" ref="O610" si="366">ROUND(100*O609/$E$597,2)</f>
        <v>229.08</v>
      </c>
      <c r="P610" s="307">
        <f t="shared" ref="P610" si="367">ROUND(100*P609/$E$597,2)</f>
        <v>237.28</v>
      </c>
      <c r="R610" s="1559"/>
      <c r="S610" s="1559"/>
    </row>
    <row r="611" spans="2:19" ht="16.5" hidden="1" thickBot="1">
      <c r="B611" s="132" t="s">
        <v>552</v>
      </c>
      <c r="E611" s="135">
        <f t="shared" ref="E611:P611" si="368">ROUND(+$I$175*E608+$I$176*E610,2)</f>
        <v>166.71</v>
      </c>
      <c r="F611" s="135">
        <f t="shared" si="368"/>
        <v>167.46</v>
      </c>
      <c r="G611" s="135">
        <f t="shared" si="368"/>
        <v>169.01</v>
      </c>
      <c r="H611" s="135">
        <f t="shared" si="368"/>
        <v>174.07</v>
      </c>
      <c r="I611" s="135">
        <f t="shared" si="368"/>
        <v>191.64</v>
      </c>
      <c r="J611" s="135">
        <f t="shared" si="368"/>
        <v>192.4</v>
      </c>
      <c r="K611" s="135">
        <f t="shared" si="368"/>
        <v>199.98</v>
      </c>
      <c r="L611" s="135">
        <f t="shared" si="368"/>
        <v>203.89</v>
      </c>
      <c r="M611" s="135">
        <f t="shared" si="368"/>
        <v>250.06</v>
      </c>
      <c r="N611" s="135">
        <f t="shared" si="368"/>
        <v>250.12</v>
      </c>
      <c r="O611" s="135">
        <f t="shared" si="368"/>
        <v>254.04</v>
      </c>
      <c r="P611" s="136">
        <f t="shared" si="368"/>
        <v>257.73</v>
      </c>
      <c r="R611" s="1559"/>
      <c r="S611" s="1559"/>
    </row>
    <row r="612" spans="2:19" ht="16.5" hidden="1" thickBot="1"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R612" s="1559"/>
      <c r="S612" s="1559"/>
    </row>
    <row r="613" spans="2:19" ht="16.5" hidden="1" thickBot="1">
      <c r="E613" s="2682">
        <v>2019</v>
      </c>
      <c r="F613" s="2683"/>
      <c r="G613" s="2683"/>
      <c r="H613" s="2683"/>
      <c r="I613" s="2683"/>
      <c r="J613" s="2683"/>
      <c r="K613" s="2683"/>
      <c r="L613" s="2683"/>
      <c r="M613" s="2683"/>
      <c r="N613" s="2683"/>
      <c r="O613" s="2683"/>
      <c r="P613" s="2684"/>
      <c r="R613" s="1559"/>
      <c r="S613" s="1559"/>
    </row>
    <row r="614" spans="2:19" hidden="1">
      <c r="B614" s="121" t="s">
        <v>653</v>
      </c>
      <c r="E614" s="1785">
        <f t="shared" ref="E614:P614" si="369">+D473</f>
        <v>264.74</v>
      </c>
      <c r="F614" s="1786">
        <f t="shared" si="369"/>
        <v>266.5</v>
      </c>
      <c r="G614" s="1786">
        <f t="shared" si="369"/>
        <v>270.58999999999997</v>
      </c>
      <c r="H614" s="1786">
        <f t="shared" si="369"/>
        <v>273.29000000000002</v>
      </c>
      <c r="I614" s="1786">
        <f t="shared" si="369"/>
        <v>273.29000000000002</v>
      </c>
      <c r="J614" s="1786">
        <f t="shared" si="369"/>
        <v>277.7</v>
      </c>
      <c r="K614" s="1786">
        <f t="shared" si="369"/>
        <v>285.58</v>
      </c>
      <c r="L614" s="1786">
        <f t="shared" si="369"/>
        <v>328.41</v>
      </c>
      <c r="M614" s="1786">
        <f t="shared" si="369"/>
        <v>328.41</v>
      </c>
      <c r="N614" s="1786">
        <f t="shared" si="369"/>
        <v>354.46</v>
      </c>
      <c r="O614" s="1786">
        <f t="shared" si="369"/>
        <v>360.37</v>
      </c>
      <c r="P614" s="1787">
        <f t="shared" si="369"/>
        <v>384.02</v>
      </c>
      <c r="R614" s="1559"/>
      <c r="S614" s="1559"/>
    </row>
    <row r="615" spans="2:19" hidden="1">
      <c r="B615" s="122" t="s">
        <v>630</v>
      </c>
      <c r="E615" s="331">
        <f>+'Insumos testigos '!HI191</f>
        <v>241.60971905846625</v>
      </c>
      <c r="F615" s="307">
        <f>+'Insumos testigos '!HJ191</f>
        <v>242.44495064540627</v>
      </c>
      <c r="G615" s="307">
        <f>+'Insumos testigos '!HK191</f>
        <v>250.64540622627186</v>
      </c>
      <c r="H615" s="307">
        <f>+'Insumos testigos '!HL191</f>
        <v>274.79119210326502</v>
      </c>
      <c r="I615" s="307">
        <f>+'Insumos testigos '!HM191</f>
        <v>290.28094153378896</v>
      </c>
      <c r="J615" s="307">
        <f>+'Insumos testigos '!HN191</f>
        <v>290.35687167805622</v>
      </c>
      <c r="K615" s="307">
        <f>+'Insumos testigos '!HO191</f>
        <v>302.88534548215642</v>
      </c>
      <c r="L615" s="307">
        <f>+'Insumos testigos '!HP191</f>
        <v>313.51556567957482</v>
      </c>
      <c r="M615" s="307">
        <f>+'Insumos testigos '!HQ191</f>
        <v>313.51556567957482</v>
      </c>
      <c r="N615" s="307">
        <f>+'Insumos testigos '!HR191</f>
        <v>337.28170083523162</v>
      </c>
      <c r="O615" s="307">
        <f>+'Insumos testigos '!HS191</f>
        <v>357.02353834472291</v>
      </c>
      <c r="P615" s="1936">
        <f>+'Insumos testigos '!HT191</f>
        <v>357.02353834472291</v>
      </c>
      <c r="R615" s="1559"/>
      <c r="S615" s="1559"/>
    </row>
    <row r="616" spans="2:19" ht="16.5" hidden="1" thickBot="1">
      <c r="B616" s="132" t="s">
        <v>631</v>
      </c>
      <c r="E616" s="307">
        <f>ROUND(100*E615/$E$597,2)</f>
        <v>241.61</v>
      </c>
      <c r="F616" s="307">
        <f t="shared" ref="F616" si="370">ROUND(100*F615/$E$597,2)</f>
        <v>242.44</v>
      </c>
      <c r="G616" s="307">
        <f t="shared" ref="G616" si="371">ROUND(100*G615/$E$597,2)</f>
        <v>250.65</v>
      </c>
      <c r="H616" s="307">
        <f t="shared" ref="H616" si="372">ROUND(100*H615/$E$597,2)</f>
        <v>274.79000000000002</v>
      </c>
      <c r="I616" s="307">
        <f t="shared" ref="I616" si="373">ROUND(100*I615/$E$597,2)</f>
        <v>290.27999999999997</v>
      </c>
      <c r="J616" s="307">
        <f t="shared" ref="J616" si="374">ROUND(100*J615/$E$597,2)</f>
        <v>290.36</v>
      </c>
      <c r="K616" s="307">
        <f t="shared" ref="K616" si="375">ROUND(100*K615/$E$597,2)</f>
        <v>302.89</v>
      </c>
      <c r="L616" s="307">
        <f t="shared" ref="L616" si="376">ROUND(100*L615/$E$597,2)</f>
        <v>313.52</v>
      </c>
      <c r="M616" s="307">
        <f t="shared" ref="M616" si="377">ROUND(100*M615/$E$597,2)</f>
        <v>313.52</v>
      </c>
      <c r="N616" s="307">
        <f t="shared" ref="N616" si="378">ROUND(100*N615/$E$597,2)</f>
        <v>337.28</v>
      </c>
      <c r="O616" s="307">
        <f t="shared" ref="O616" si="379">ROUND(100*O615/$E$597,2)</f>
        <v>357.02</v>
      </c>
      <c r="P616" s="307">
        <f t="shared" ref="P616" si="380">ROUND(100*P615/$E$597,2)</f>
        <v>357.02</v>
      </c>
      <c r="R616" s="1559"/>
      <c r="S616" s="1559"/>
    </row>
    <row r="617" spans="2:19" ht="16.5" hidden="1" thickBot="1">
      <c r="B617" s="132" t="s">
        <v>552</v>
      </c>
      <c r="E617" s="385">
        <f t="shared" ref="E617:J617" si="381">ROUND(+$I$175*E614+$I$176*E616,2)</f>
        <v>257.8</v>
      </c>
      <c r="F617" s="388">
        <f t="shared" si="381"/>
        <v>259.27999999999997</v>
      </c>
      <c r="G617" s="388">
        <f t="shared" si="381"/>
        <v>264.61</v>
      </c>
      <c r="H617" s="388">
        <f t="shared" si="381"/>
        <v>273.74</v>
      </c>
      <c r="I617" s="388">
        <f t="shared" si="381"/>
        <v>278.39</v>
      </c>
      <c r="J617" s="388">
        <f t="shared" si="381"/>
        <v>281.5</v>
      </c>
      <c r="K617" s="388">
        <f t="shared" ref="K617:P617" si="382">ROUND(+$I$175*K614+$I$176*K616,2)</f>
        <v>290.77</v>
      </c>
      <c r="L617" s="388">
        <f t="shared" si="382"/>
        <v>323.94</v>
      </c>
      <c r="M617" s="388">
        <f t="shared" si="382"/>
        <v>323.94</v>
      </c>
      <c r="N617" s="388">
        <f t="shared" si="382"/>
        <v>349.31</v>
      </c>
      <c r="O617" s="388">
        <f t="shared" si="382"/>
        <v>359.37</v>
      </c>
      <c r="P617" s="782">
        <f t="shared" si="382"/>
        <v>375.92</v>
      </c>
      <c r="R617" s="1559"/>
      <c r="S617" s="1559"/>
    </row>
    <row r="618" spans="2:19" ht="16.5" hidden="1" thickBot="1"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R618" s="1559"/>
      <c r="S618" s="1559"/>
    </row>
    <row r="619" spans="2:19" ht="16.5" hidden="1" thickBot="1">
      <c r="E619" s="2682">
        <v>2020</v>
      </c>
      <c r="F619" s="2683"/>
      <c r="G619" s="2683"/>
      <c r="H619" s="2683"/>
      <c r="I619" s="2683"/>
      <c r="J619" s="2683"/>
      <c r="K619" s="2683"/>
      <c r="L619" s="2683"/>
      <c r="M619" s="2683"/>
      <c r="N619" s="2683"/>
      <c r="O619" s="2683"/>
      <c r="P619" s="2684"/>
      <c r="R619" s="1559"/>
      <c r="S619" s="1559"/>
    </row>
    <row r="620" spans="2:19" hidden="1">
      <c r="B620" s="1853" t="s">
        <v>653</v>
      </c>
      <c r="E620" s="1171">
        <f t="shared" ref="E620:P620" si="383">+D479</f>
        <v>394.2</v>
      </c>
      <c r="F620" s="1786">
        <f t="shared" si="383"/>
        <v>402.45</v>
      </c>
      <c r="G620" s="1786">
        <f t="shared" si="383"/>
        <v>402.45</v>
      </c>
      <c r="H620" s="1786">
        <f t="shared" si="383"/>
        <v>402.45</v>
      </c>
      <c r="I620" s="1786">
        <f t="shared" si="383"/>
        <v>404.7</v>
      </c>
      <c r="J620" s="1786">
        <f t="shared" si="383"/>
        <v>404.7</v>
      </c>
      <c r="K620" s="1786">
        <f t="shared" si="383"/>
        <v>404.7</v>
      </c>
      <c r="L620" s="1786">
        <f t="shared" si="383"/>
        <v>404.7</v>
      </c>
      <c r="M620" s="1786">
        <f t="shared" si="383"/>
        <v>404.7</v>
      </c>
      <c r="N620" s="1786">
        <f t="shared" si="383"/>
        <v>404.7</v>
      </c>
      <c r="O620" s="1786">
        <f t="shared" si="383"/>
        <v>404.7</v>
      </c>
      <c r="P620" s="1787">
        <f t="shared" si="383"/>
        <v>404.7</v>
      </c>
      <c r="R620" s="1559"/>
      <c r="S620" s="1559"/>
    </row>
    <row r="621" spans="2:19" hidden="1">
      <c r="B621" s="122" t="s">
        <v>630</v>
      </c>
      <c r="E621" s="331">
        <f>+'Insumos testigos '!HU191</f>
        <v>395.36826119969641</v>
      </c>
      <c r="F621" s="307">
        <f>+'Insumos testigos '!HV191</f>
        <v>420.42520880789687</v>
      </c>
      <c r="G621" s="307">
        <f>+'Insumos testigos '!HW191</f>
        <v>420.72892938496597</v>
      </c>
      <c r="H621" s="307">
        <f>+'Insumos testigos '!HX191</f>
        <v>422.17160212604415</v>
      </c>
      <c r="I621" s="307">
        <f>+'Insumos testigos '!HY191</f>
        <v>425.58845861807151</v>
      </c>
      <c r="J621" s="307">
        <f>+'Insumos testigos '!HZ191</f>
        <v>426.19589977220966</v>
      </c>
      <c r="K621" s="307">
        <f>+'Insumos testigos '!IA191</f>
        <v>426.42369020501155</v>
      </c>
      <c r="L621" s="307">
        <f>+'Insumos testigos '!IB191</f>
        <v>426.42369020501155</v>
      </c>
      <c r="M621" s="307">
        <f>+'Insumos testigos '!IC191</f>
        <v>429.1571753986334</v>
      </c>
      <c r="N621" s="307">
        <f>+'Insumos testigos '!ID191</f>
        <v>432.64996203492791</v>
      </c>
      <c r="O621" s="307">
        <f>+'Insumos testigos '!IE191</f>
        <v>502.20197418375102</v>
      </c>
      <c r="P621" s="307">
        <f>+'Insumos testigos '!IF191</f>
        <v>502.6575550493547</v>
      </c>
      <c r="R621" s="1559"/>
      <c r="S621" s="1559"/>
    </row>
    <row r="622" spans="2:19" ht="16.5" hidden="1" thickBot="1">
      <c r="B622" s="132" t="s">
        <v>631</v>
      </c>
      <c r="E622" s="307">
        <f>ROUND(100*E621/$E$597,2)</f>
        <v>395.37</v>
      </c>
      <c r="F622" s="307">
        <f t="shared" ref="F622" si="384">ROUND(100*F621/$E$597,2)</f>
        <v>420.43</v>
      </c>
      <c r="G622" s="307">
        <f t="shared" ref="G622" si="385">ROUND(100*G621/$E$597,2)</f>
        <v>420.73</v>
      </c>
      <c r="H622" s="307">
        <f t="shared" ref="H622" si="386">ROUND(100*H621/$E$597,2)</f>
        <v>422.17</v>
      </c>
      <c r="I622" s="307">
        <f t="shared" ref="I622" si="387">ROUND(100*I621/$E$597,2)</f>
        <v>425.59</v>
      </c>
      <c r="J622" s="307">
        <f t="shared" ref="J622" si="388">ROUND(100*J621/$E$597,2)</f>
        <v>426.2</v>
      </c>
      <c r="K622" s="307">
        <f t="shared" ref="K622" si="389">ROUND(100*K621/$E$597,2)</f>
        <v>426.42</v>
      </c>
      <c r="L622" s="307">
        <f t="shared" ref="L622" si="390">ROUND(100*L621/$E$597,2)</f>
        <v>426.42</v>
      </c>
      <c r="M622" s="307">
        <f t="shared" ref="M622" si="391">ROUND(100*M621/$E$597,2)</f>
        <v>429.16</v>
      </c>
      <c r="N622" s="307">
        <f t="shared" ref="N622" si="392">ROUND(100*N621/$E$597,2)</f>
        <v>432.65</v>
      </c>
      <c r="O622" s="307">
        <f t="shared" ref="O622" si="393">ROUND(100*O621/$E$597,2)</f>
        <v>502.2</v>
      </c>
      <c r="P622" s="307">
        <f t="shared" ref="P622" si="394">ROUND(100*P621/$E$597,2)</f>
        <v>502.66</v>
      </c>
      <c r="R622" s="1559"/>
      <c r="S622" s="1559"/>
    </row>
    <row r="623" spans="2:19" ht="16.5" hidden="1" thickBot="1">
      <c r="B623" s="132" t="s">
        <v>552</v>
      </c>
      <c r="E623" s="813">
        <f t="shared" ref="E623:J623" si="395">ROUND(+$I$503*E620+$I$504*E622,2)</f>
        <v>394.55</v>
      </c>
      <c r="F623" s="388">
        <f t="shared" si="395"/>
        <v>407.84</v>
      </c>
      <c r="G623" s="388">
        <f t="shared" si="395"/>
        <v>407.93</v>
      </c>
      <c r="H623" s="388">
        <f t="shared" si="395"/>
        <v>408.37</v>
      </c>
      <c r="I623" s="388">
        <f t="shared" si="395"/>
        <v>410.97</v>
      </c>
      <c r="J623" s="388">
        <f t="shared" si="395"/>
        <v>411.15</v>
      </c>
      <c r="K623" s="388">
        <f t="shared" ref="K623:L623" si="396">ROUND(+$I$503*K620+$I$504*K622,2)</f>
        <v>411.22</v>
      </c>
      <c r="L623" s="388">
        <f t="shared" si="396"/>
        <v>411.22</v>
      </c>
      <c r="M623" s="388">
        <f t="shared" ref="M623:N623" si="397">ROUND(+$I$503*M620+$I$504*M622,2)</f>
        <v>412.04</v>
      </c>
      <c r="N623" s="388">
        <f t="shared" si="397"/>
        <v>413.09</v>
      </c>
      <c r="O623" s="388">
        <f t="shared" ref="O623" si="398">ROUND(+$I$503*O620+$I$504*O622,2)</f>
        <v>433.95</v>
      </c>
      <c r="P623" s="782">
        <f t="shared" ref="P623" si="399">ROUND(+$I$503*P620+$I$504*P622,2)</f>
        <v>434.09</v>
      </c>
      <c r="R623" s="1559"/>
      <c r="S623" s="1559"/>
    </row>
    <row r="624" spans="2:19" ht="16.5" hidden="1" thickBot="1">
      <c r="R624" s="1559"/>
      <c r="S624" s="1559"/>
    </row>
    <row r="625" spans="2:19" ht="16.5" hidden="1" thickBot="1">
      <c r="E625" s="2682">
        <v>2021</v>
      </c>
      <c r="F625" s="2683"/>
      <c r="G625" s="2683"/>
      <c r="H625" s="2683"/>
      <c r="I625" s="2683"/>
      <c r="J625" s="2683"/>
      <c r="K625" s="2683"/>
      <c r="L625" s="2683"/>
      <c r="M625" s="2683"/>
      <c r="N625" s="2683"/>
      <c r="O625" s="2683"/>
      <c r="P625" s="2684"/>
      <c r="R625" s="1559"/>
      <c r="S625" s="1559"/>
    </row>
    <row r="626" spans="2:19" hidden="1">
      <c r="B626" s="1924" t="s">
        <v>653</v>
      </c>
      <c r="E626" s="1171">
        <f t="shared" ref="E626:P626" si="400">+D485</f>
        <v>429.36</v>
      </c>
      <c r="F626" s="1171">
        <f t="shared" si="400"/>
        <v>429.36</v>
      </c>
      <c r="G626" s="1171">
        <f t="shared" si="400"/>
        <v>429.36</v>
      </c>
      <c r="H626" s="1171">
        <f t="shared" si="400"/>
        <v>429.36</v>
      </c>
      <c r="I626" s="1171">
        <f t="shared" si="400"/>
        <v>435.88</v>
      </c>
      <c r="J626" s="1171">
        <f t="shared" si="400"/>
        <v>433.44</v>
      </c>
      <c r="K626" s="1171">
        <f t="shared" si="400"/>
        <v>434.79</v>
      </c>
      <c r="L626" s="1171">
        <f t="shared" si="400"/>
        <v>465.4</v>
      </c>
      <c r="M626" s="1171">
        <f t="shared" si="400"/>
        <v>481.15</v>
      </c>
      <c r="N626" s="1171">
        <f t="shared" si="400"/>
        <v>483.35</v>
      </c>
      <c r="O626" s="1171">
        <f t="shared" si="400"/>
        <v>490.34</v>
      </c>
      <c r="P626" s="1737">
        <f t="shared" si="400"/>
        <v>506.56</v>
      </c>
      <c r="R626" s="1559"/>
      <c r="S626" s="1559"/>
    </row>
    <row r="627" spans="2:19" hidden="1">
      <c r="B627" s="122" t="s">
        <v>630</v>
      </c>
      <c r="E627" s="335">
        <f>+'Insumos testigos '!IG191</f>
        <v>502.6575550493547</v>
      </c>
      <c r="F627" s="335">
        <f>+'Insumos testigos '!IH191</f>
        <v>535.07972665148077</v>
      </c>
      <c r="G627" s="335">
        <f>+'Insumos testigos '!II191</f>
        <v>535.23158694001518</v>
      </c>
      <c r="H627" s="335">
        <f>+'Insumos testigos '!IJ191</f>
        <v>600.07593014426732</v>
      </c>
      <c r="I627" s="335">
        <f>+'Insumos testigos '!IK191</f>
        <v>601.51860288534556</v>
      </c>
      <c r="J627" s="335">
        <f>+'Insumos testigos '!IL191</f>
        <v>601.59453302961265</v>
      </c>
      <c r="K627" s="335">
        <f>+'Insumos testigos '!IM191</f>
        <v>654.06226271829905</v>
      </c>
      <c r="L627" s="335">
        <f>+'Insumos testigos '!IN191</f>
        <v>654.06226271829905</v>
      </c>
      <c r="M627" s="335">
        <f>+'Insumos testigos '!IO191</f>
        <v>680.25816249050854</v>
      </c>
      <c r="N627" s="335">
        <f>+'Insumos testigos '!IP191</f>
        <v>716.47684130599839</v>
      </c>
      <c r="O627" s="335">
        <f>+'Insumos testigos '!IQ191</f>
        <v>716.47684130599839</v>
      </c>
      <c r="P627" s="335">
        <f>+'Insumos testigos '!IR191</f>
        <v>717.46393318147284</v>
      </c>
      <c r="R627" s="1559"/>
      <c r="S627" s="1559"/>
    </row>
    <row r="628" spans="2:19" ht="16.5" hidden="1" thickBot="1">
      <c r="B628" s="132" t="s">
        <v>631</v>
      </c>
      <c r="E628" s="307">
        <f>ROUND(100*E627/$E$597,2)</f>
        <v>502.66</v>
      </c>
      <c r="F628" s="307">
        <f t="shared" ref="F628" si="401">ROUND(100*F627/$E$597,2)</f>
        <v>535.08000000000004</v>
      </c>
      <c r="G628" s="307">
        <f t="shared" ref="G628" si="402">ROUND(100*G627/$E$597,2)</f>
        <v>535.23</v>
      </c>
      <c r="H628" s="307">
        <f t="shared" ref="H628" si="403">ROUND(100*H627/$E$597,2)</f>
        <v>600.08000000000004</v>
      </c>
      <c r="I628" s="307">
        <f t="shared" ref="I628" si="404">ROUND(100*I627/$E$597,2)</f>
        <v>601.52</v>
      </c>
      <c r="J628" s="307">
        <f t="shared" ref="J628" si="405">ROUND(100*J627/$E$597,2)</f>
        <v>601.59</v>
      </c>
      <c r="K628" s="307">
        <f t="shared" ref="K628" si="406">ROUND(100*K627/$E$597,2)</f>
        <v>654.05999999999995</v>
      </c>
      <c r="L628" s="307">
        <f t="shared" ref="L628" si="407">ROUND(100*L627/$E$597,2)</f>
        <v>654.05999999999995</v>
      </c>
      <c r="M628" s="307">
        <f t="shared" ref="M628" si="408">ROUND(100*M627/$E$597,2)</f>
        <v>680.26</v>
      </c>
      <c r="N628" s="307">
        <f t="shared" ref="N628" si="409">ROUND(100*N627/$E$597,2)</f>
        <v>716.48</v>
      </c>
      <c r="O628" s="307">
        <f t="shared" ref="O628" si="410">ROUND(100*O627/$E$597,2)</f>
        <v>716.48</v>
      </c>
      <c r="P628" s="307">
        <f t="shared" ref="P628" si="411">ROUND(100*P627/$E$597,2)</f>
        <v>717.46</v>
      </c>
      <c r="R628" s="1559"/>
      <c r="S628" s="1559"/>
    </row>
    <row r="629" spans="2:19" ht="16.5" hidden="1" thickBot="1">
      <c r="B629" s="132" t="s">
        <v>552</v>
      </c>
      <c r="E629" s="813">
        <f t="shared" ref="E629" si="412">ROUND(+$I$503*E626+$I$504*E628,2)</f>
        <v>451.35</v>
      </c>
      <c r="F629" s="813">
        <f t="shared" ref="F629:G629" si="413">ROUND(+$I$503*F626+$I$504*F628,2)</f>
        <v>461.08</v>
      </c>
      <c r="G629" s="813">
        <f t="shared" si="413"/>
        <v>461.12</v>
      </c>
      <c r="H629" s="813">
        <f t="shared" ref="H629:I629" si="414">ROUND(+$I$503*H626+$I$504*H628,2)</f>
        <v>480.58</v>
      </c>
      <c r="I629" s="813">
        <f t="shared" si="414"/>
        <v>485.57</v>
      </c>
      <c r="J629" s="813">
        <f t="shared" ref="J629:K629" si="415">ROUND(+$I$503*J626+$I$504*J628,2)</f>
        <v>483.89</v>
      </c>
      <c r="K629" s="813">
        <f t="shared" si="415"/>
        <v>500.57</v>
      </c>
      <c r="L629" s="813">
        <f t="shared" ref="L629:M629" si="416">ROUND(+$I$503*L626+$I$504*L628,2)</f>
        <v>522</v>
      </c>
      <c r="M629" s="813">
        <f t="shared" si="416"/>
        <v>540.88</v>
      </c>
      <c r="N629" s="813">
        <f t="shared" ref="N629:O629" si="417">ROUND(+$I$503*N626+$I$504*N628,2)</f>
        <v>553.29</v>
      </c>
      <c r="O629" s="813">
        <f t="shared" si="417"/>
        <v>558.17999999999995</v>
      </c>
      <c r="P629" s="136">
        <f t="shared" ref="P629" si="418">ROUND(+$I$503*P626+$I$504*P628,2)</f>
        <v>569.83000000000004</v>
      </c>
      <c r="R629" s="1559"/>
      <c r="S629" s="1559"/>
    </row>
    <row r="630" spans="2:19" ht="16.5" thickBot="1"/>
    <row r="631" spans="2:19" ht="16.5" thickBot="1">
      <c r="E631" s="2682">
        <v>2022</v>
      </c>
      <c r="F631" s="2683"/>
      <c r="G631" s="2683"/>
      <c r="H631" s="2683"/>
      <c r="I631" s="2683"/>
      <c r="J631" s="2683"/>
      <c r="K631" s="2683"/>
      <c r="L631" s="2683"/>
      <c r="M631" s="2683"/>
      <c r="N631" s="2683"/>
      <c r="O631" s="2683"/>
      <c r="P631" s="2684"/>
      <c r="R631" s="1559"/>
      <c r="S631" s="1559"/>
    </row>
    <row r="632" spans="2:19">
      <c r="B632" s="1984" t="s">
        <v>653</v>
      </c>
      <c r="E632" s="451">
        <f t="shared" ref="E632:P632" si="419">+D491</f>
        <v>509.53</v>
      </c>
      <c r="F632" s="451">
        <f t="shared" si="419"/>
        <v>517.83000000000004</v>
      </c>
      <c r="G632" s="451">
        <f t="shared" si="419"/>
        <v>525.89</v>
      </c>
      <c r="H632" s="451">
        <f t="shared" si="419"/>
        <v>555.61</v>
      </c>
      <c r="I632" s="451">
        <f t="shared" si="419"/>
        <v>579.99</v>
      </c>
      <c r="J632" s="451">
        <f t="shared" si="419"/>
        <v>596.80999999999995</v>
      </c>
      <c r="K632" s="451">
        <f t="shared" si="419"/>
        <v>664.02</v>
      </c>
      <c r="L632" s="451">
        <f t="shared" si="419"/>
        <v>696.01</v>
      </c>
      <c r="M632" s="451">
        <f t="shared" si="419"/>
        <v>709.68</v>
      </c>
      <c r="N632" s="451">
        <f t="shared" si="419"/>
        <v>753.43</v>
      </c>
      <c r="O632" s="451">
        <f t="shared" si="419"/>
        <v>764.12</v>
      </c>
      <c r="P632" s="451">
        <f t="shared" si="419"/>
        <v>830.19</v>
      </c>
      <c r="R632" s="1559"/>
      <c r="S632" s="1559"/>
    </row>
    <row r="633" spans="2:19">
      <c r="B633" s="122" t="s">
        <v>630</v>
      </c>
      <c r="E633" s="307">
        <f>+'Insumos testigos '!IS191</f>
        <v>744.26727410782053</v>
      </c>
      <c r="F633" s="307">
        <f>+'Insumos testigos '!IT191</f>
        <v>796.81093394077413</v>
      </c>
      <c r="G633" s="307">
        <f>+'Insumos testigos '!IU191</f>
        <v>843.35611237661317</v>
      </c>
      <c r="H633" s="307">
        <f>+'Insumos testigos '!IV191</f>
        <v>843.96355353075126</v>
      </c>
      <c r="I633" s="307">
        <f>+'Insumos testigos '!IW191</f>
        <v>922.70311313591458</v>
      </c>
      <c r="J633" s="307">
        <f>+'Insumos testigos '!IX191</f>
        <v>1004.2520880789668</v>
      </c>
      <c r="K633" s="307">
        <f>+'Insumos testigos '!IY191</f>
        <v>1004.2520880789668</v>
      </c>
      <c r="L633" s="307">
        <f>+'Insumos testigos '!IZ191</f>
        <v>1069.0205011389519</v>
      </c>
      <c r="M633" s="307">
        <f>+'Insumos testigos '!JA191</f>
        <v>1170.7668944570992</v>
      </c>
      <c r="N633" s="307">
        <f>+'Insumos testigos '!JB191</f>
        <v>1277.6006074411534</v>
      </c>
      <c r="O633" s="307">
        <f>+'Insumos testigos '!JC191</f>
        <v>1378.6636294608954</v>
      </c>
      <c r="P633" s="307">
        <f>+'Insumos testigos '!JD191</f>
        <v>1513.5914958238416</v>
      </c>
      <c r="R633" s="1559"/>
      <c r="S633" s="1559"/>
    </row>
    <row r="634" spans="2:19" ht="16.5" thickBot="1">
      <c r="B634" s="132" t="s">
        <v>631</v>
      </c>
      <c r="E634" s="470">
        <f>ROUND(100*E633/$E$597,2)</f>
        <v>744.27</v>
      </c>
      <c r="F634" s="470">
        <f t="shared" ref="F634" si="420">ROUND(100*F633/$E$597,2)</f>
        <v>796.81</v>
      </c>
      <c r="G634" s="470">
        <f t="shared" ref="G634" si="421">ROUND(100*G633/$E$597,2)</f>
        <v>843.36</v>
      </c>
      <c r="H634" s="470">
        <f t="shared" ref="H634" si="422">ROUND(100*H633/$E$597,2)</f>
        <v>843.96</v>
      </c>
      <c r="I634" s="470">
        <f t="shared" ref="I634" si="423">ROUND(100*I633/$E$597,2)</f>
        <v>922.7</v>
      </c>
      <c r="J634" s="470">
        <f t="shared" ref="J634" si="424">ROUND(100*J633/$E$597,2)</f>
        <v>1004.25</v>
      </c>
      <c r="K634" s="470">
        <f t="shared" ref="K634" si="425">ROUND(100*K633/$E$597,2)</f>
        <v>1004.25</v>
      </c>
      <c r="L634" s="470">
        <f t="shared" ref="L634" si="426">ROUND(100*L633/$E$597,2)</f>
        <v>1069.02</v>
      </c>
      <c r="M634" s="470">
        <f t="shared" ref="M634" si="427">ROUND(100*M633/$E$597,2)</f>
        <v>1170.77</v>
      </c>
      <c r="N634" s="470">
        <f t="shared" ref="N634" si="428">ROUND(100*N633/$E$597,2)</f>
        <v>1277.5999999999999</v>
      </c>
      <c r="O634" s="470">
        <f t="shared" ref="O634" si="429">ROUND(100*O633/$E$597,2)</f>
        <v>1378.66</v>
      </c>
      <c r="P634" s="470">
        <f t="shared" ref="P634" si="430">ROUND(100*P633/$E$597,2)</f>
        <v>1513.59</v>
      </c>
      <c r="R634" s="1559"/>
      <c r="S634" s="1559"/>
    </row>
    <row r="635" spans="2:19" ht="16.5" thickBot="1">
      <c r="B635" s="132" t="s">
        <v>552</v>
      </c>
      <c r="E635" s="813">
        <f t="shared" ref="E635" si="431">ROUND(+$I$503*E632+$I$504*E634,2)</f>
        <v>579.95000000000005</v>
      </c>
      <c r="F635" s="813">
        <f t="shared" ref="F635:G635" si="432">ROUND(+$I$503*F632+$I$504*F634,2)</f>
        <v>601.52</v>
      </c>
      <c r="G635" s="813">
        <f t="shared" si="432"/>
        <v>621.13</v>
      </c>
      <c r="H635" s="813">
        <f t="shared" ref="H635:I635" si="433">ROUND(+$I$503*H632+$I$504*H634,2)</f>
        <v>642.12</v>
      </c>
      <c r="I635" s="813">
        <f t="shared" si="433"/>
        <v>682.8</v>
      </c>
      <c r="J635" s="813">
        <f t="shared" ref="J635:K635" si="434">ROUND(+$I$503*J632+$I$504*J634,2)</f>
        <v>719.04</v>
      </c>
      <c r="K635" s="813">
        <f t="shared" si="434"/>
        <v>766.09</v>
      </c>
      <c r="L635" s="813">
        <f t="shared" ref="L635:M635" si="435">ROUND(+$I$503*L632+$I$504*L634,2)</f>
        <v>807.91</v>
      </c>
      <c r="M635" s="813">
        <f t="shared" si="435"/>
        <v>848.01</v>
      </c>
      <c r="N635" s="813">
        <f t="shared" ref="N635:O635" si="436">ROUND(+$I$503*N632+$I$504*N634,2)</f>
        <v>910.68</v>
      </c>
      <c r="O635" s="813">
        <f t="shared" si="436"/>
        <v>948.48</v>
      </c>
      <c r="P635" s="136">
        <f t="shared" ref="P635" si="437">ROUND(+$I$503*P632+$I$504*P634,2)</f>
        <v>1035.21</v>
      </c>
      <c r="R635" s="1559"/>
      <c r="S635" s="1559"/>
    </row>
    <row r="636" spans="2:19" ht="16.5" thickBot="1"/>
    <row r="637" spans="2:19" ht="16.5" thickBot="1">
      <c r="E637" s="2682">
        <v>2023</v>
      </c>
      <c r="F637" s="2683"/>
      <c r="G637" s="2683"/>
      <c r="H637" s="2683"/>
      <c r="I637" s="2683"/>
      <c r="J637" s="2683"/>
      <c r="K637" s="2683"/>
      <c r="L637" s="2683"/>
      <c r="M637" s="2683"/>
      <c r="N637" s="2683"/>
      <c r="O637" s="2683"/>
      <c r="P637" s="2684"/>
      <c r="R637" s="1559"/>
      <c r="S637" s="1559"/>
    </row>
    <row r="638" spans="2:19">
      <c r="B638" s="2440" t="s">
        <v>653</v>
      </c>
      <c r="E638" s="451">
        <f t="shared" ref="E638:F638" si="438">+D497</f>
        <v>872.76</v>
      </c>
      <c r="F638" s="451">
        <f t="shared" si="438"/>
        <v>938.09</v>
      </c>
      <c r="G638" s="451">
        <f t="shared" ref="G638" si="439">+F497</f>
        <v>0</v>
      </c>
      <c r="H638" s="451">
        <f t="shared" ref="H638" si="440">+G497</f>
        <v>0</v>
      </c>
      <c r="I638" s="451">
        <f t="shared" ref="I638" si="441">+H497</f>
        <v>0</v>
      </c>
      <c r="J638" s="451">
        <f t="shared" ref="J638" si="442">+I497</f>
        <v>0</v>
      </c>
      <c r="K638" s="451">
        <f t="shared" ref="K638" si="443">+J497</f>
        <v>0</v>
      </c>
      <c r="L638" s="451">
        <f t="shared" ref="L638" si="444">+K497</f>
        <v>0</v>
      </c>
      <c r="M638" s="451">
        <f t="shared" ref="M638" si="445">+L497</f>
        <v>0</v>
      </c>
      <c r="N638" s="451">
        <f t="shared" ref="N638" si="446">+M497</f>
        <v>0</v>
      </c>
      <c r="O638" s="451">
        <f t="shared" ref="O638" si="447">+N497</f>
        <v>0</v>
      </c>
      <c r="P638" s="451">
        <f t="shared" ref="P638" si="448">+O497</f>
        <v>0</v>
      </c>
      <c r="R638" s="1559"/>
      <c r="S638" s="1559"/>
    </row>
    <row r="639" spans="2:19">
      <c r="B639" s="122" t="s">
        <v>630</v>
      </c>
      <c r="E639" s="307">
        <f>+'Insumos testigos '!JE191</f>
        <v>1613.9711465451778</v>
      </c>
      <c r="F639" s="307">
        <f>+'Insumos testigos '!JF191</f>
        <v>1718.0713743356105</v>
      </c>
      <c r="G639" s="307"/>
      <c r="H639" s="307"/>
      <c r="I639" s="307"/>
      <c r="J639" s="307"/>
      <c r="K639" s="307"/>
      <c r="L639" s="307"/>
      <c r="M639" s="307"/>
      <c r="N639" s="307"/>
      <c r="O639" s="307"/>
      <c r="P639" s="307"/>
      <c r="R639" s="1559"/>
      <c r="S639" s="1559"/>
    </row>
    <row r="640" spans="2:19" ht="16.5" thickBot="1">
      <c r="B640" s="132" t="s">
        <v>631</v>
      </c>
      <c r="E640" s="470">
        <f>ROUND(100*E639/$E$597,2)</f>
        <v>1613.97</v>
      </c>
      <c r="F640" s="470">
        <f>ROUND(100*F639/$E$597,2)</f>
        <v>1718.07</v>
      </c>
      <c r="G640" s="470">
        <f t="shared" ref="G640" si="449">ROUND(100*G639/$E$597,2)</f>
        <v>0</v>
      </c>
      <c r="H640" s="470">
        <f t="shared" ref="H640" si="450">ROUND(100*H639/$E$597,2)</f>
        <v>0</v>
      </c>
      <c r="I640" s="470">
        <f t="shared" ref="I640" si="451">ROUND(100*I639/$E$597,2)</f>
        <v>0</v>
      </c>
      <c r="J640" s="470">
        <f t="shared" ref="J640" si="452">ROUND(100*J639/$E$597,2)</f>
        <v>0</v>
      </c>
      <c r="K640" s="470">
        <f t="shared" ref="K640" si="453">ROUND(100*K639/$E$597,2)</f>
        <v>0</v>
      </c>
      <c r="L640" s="470">
        <f t="shared" ref="L640" si="454">ROUND(100*L639/$E$597,2)</f>
        <v>0</v>
      </c>
      <c r="M640" s="470">
        <f t="shared" ref="M640" si="455">ROUND(100*M639/$E$597,2)</f>
        <v>0</v>
      </c>
      <c r="N640" s="470">
        <f t="shared" ref="N640" si="456">ROUND(100*N639/$E$597,2)</f>
        <v>0</v>
      </c>
      <c r="O640" s="470">
        <f t="shared" ref="O640" si="457">ROUND(100*O639/$E$597,2)</f>
        <v>0</v>
      </c>
      <c r="P640" s="470">
        <f t="shared" ref="P640" si="458">ROUND(100*P639/$E$597,2)</f>
        <v>0</v>
      </c>
      <c r="R640" s="1559"/>
      <c r="S640" s="1559"/>
    </row>
    <row r="641" spans="2:19" ht="16.5" thickBot="1">
      <c r="B641" s="132" t="s">
        <v>552</v>
      </c>
      <c r="E641" s="813">
        <f t="shared" ref="E641:P641" si="459">ROUND(+$I$503*E638+$I$504*E640,2)</f>
        <v>1095.1199999999999</v>
      </c>
      <c r="F641" s="813">
        <f t="shared" si="459"/>
        <v>1172.08</v>
      </c>
      <c r="G641" s="813">
        <f t="shared" si="459"/>
        <v>0</v>
      </c>
      <c r="H641" s="813">
        <f t="shared" si="459"/>
        <v>0</v>
      </c>
      <c r="I641" s="813">
        <f t="shared" si="459"/>
        <v>0</v>
      </c>
      <c r="J641" s="813">
        <f t="shared" si="459"/>
        <v>0</v>
      </c>
      <c r="K641" s="813">
        <f t="shared" si="459"/>
        <v>0</v>
      </c>
      <c r="L641" s="813">
        <f t="shared" si="459"/>
        <v>0</v>
      </c>
      <c r="M641" s="813">
        <f t="shared" si="459"/>
        <v>0</v>
      </c>
      <c r="N641" s="813">
        <f t="shared" si="459"/>
        <v>0</v>
      </c>
      <c r="O641" s="813">
        <f t="shared" si="459"/>
        <v>0</v>
      </c>
      <c r="P641" s="136">
        <f t="shared" si="459"/>
        <v>0</v>
      </c>
      <c r="R641" s="1559"/>
      <c r="S641" s="1559"/>
    </row>
  </sheetData>
  <mergeCells count="96">
    <mergeCell ref="D58:O58"/>
    <mergeCell ref="D66:O66"/>
    <mergeCell ref="D397:O397"/>
    <mergeCell ref="D280:O280"/>
    <mergeCell ref="E619:P619"/>
    <mergeCell ref="D391:O391"/>
    <mergeCell ref="D209:O209"/>
    <mergeCell ref="D379:O379"/>
    <mergeCell ref="D385:O385"/>
    <mergeCell ref="D373:O373"/>
    <mergeCell ref="D288:O288"/>
    <mergeCell ref="D225:O225"/>
    <mergeCell ref="D217:O217"/>
    <mergeCell ref="D264:O264"/>
    <mergeCell ref="D248:O248"/>
    <mergeCell ref="D101:O101"/>
    <mergeCell ref="D1:N1"/>
    <mergeCell ref="D2:N2"/>
    <mergeCell ref="B175:H175"/>
    <mergeCell ref="D17:O17"/>
    <mergeCell ref="D25:O25"/>
    <mergeCell ref="D33:O33"/>
    <mergeCell ref="D4:N4"/>
    <mergeCell ref="D41:O41"/>
    <mergeCell ref="D80:O80"/>
    <mergeCell ref="D73:O73"/>
    <mergeCell ref="D87:O87"/>
    <mergeCell ref="D9:O9"/>
    <mergeCell ref="D49:O49"/>
    <mergeCell ref="D94:O94"/>
    <mergeCell ref="D108:O108"/>
    <mergeCell ref="D136:O136"/>
    <mergeCell ref="D143:O143"/>
    <mergeCell ref="D129:O129"/>
    <mergeCell ref="D115:O115"/>
    <mergeCell ref="D122:O122"/>
    <mergeCell ref="D185:O185"/>
    <mergeCell ref="D178:O178"/>
    <mergeCell ref="D150:O150"/>
    <mergeCell ref="B172:L172"/>
    <mergeCell ref="D164:O164"/>
    <mergeCell ref="D256:O256"/>
    <mergeCell ref="D193:O193"/>
    <mergeCell ref="D201:O201"/>
    <mergeCell ref="D367:O367"/>
    <mergeCell ref="D304:O304"/>
    <mergeCell ref="D296:O296"/>
    <mergeCell ref="D312:O312"/>
    <mergeCell ref="D320:O320"/>
    <mergeCell ref="D328:O328"/>
    <mergeCell ref="D272:O272"/>
    <mergeCell ref="D241:O241"/>
    <mergeCell ref="D233:O233"/>
    <mergeCell ref="B358:L358"/>
    <mergeCell ref="D344:O344"/>
    <mergeCell ref="D403:O403"/>
    <mergeCell ref="D503:H503"/>
    <mergeCell ref="D469:O469"/>
    <mergeCell ref="D415:O415"/>
    <mergeCell ref="D451:O451"/>
    <mergeCell ref="D463:O463"/>
    <mergeCell ref="D409:O409"/>
    <mergeCell ref="D475:O475"/>
    <mergeCell ref="D433:O433"/>
    <mergeCell ref="D439:O439"/>
    <mergeCell ref="D421:O421"/>
    <mergeCell ref="D445:O445"/>
    <mergeCell ref="D481:O481"/>
    <mergeCell ref="D493:O493"/>
    <mergeCell ref="D457:O457"/>
    <mergeCell ref="E595:P595"/>
    <mergeCell ref="E583:P583"/>
    <mergeCell ref="E577:P577"/>
    <mergeCell ref="E559:P559"/>
    <mergeCell ref="E541:P541"/>
    <mergeCell ref="D522:O522"/>
    <mergeCell ref="E535:P535"/>
    <mergeCell ref="E529:P529"/>
    <mergeCell ref="D514:O514"/>
    <mergeCell ref="E506:P506"/>
    <mergeCell ref="E637:P637"/>
    <mergeCell ref="B8:J8"/>
    <mergeCell ref="E631:P631"/>
    <mergeCell ref="D157:O157"/>
    <mergeCell ref="D336:O336"/>
    <mergeCell ref="D487:O487"/>
    <mergeCell ref="E625:P625"/>
    <mergeCell ref="E613:P613"/>
    <mergeCell ref="E589:P589"/>
    <mergeCell ref="D427:O427"/>
    <mergeCell ref="E607:P607"/>
    <mergeCell ref="E547:P547"/>
    <mergeCell ref="E553:P553"/>
    <mergeCell ref="E601:P601"/>
    <mergeCell ref="E571:P571"/>
    <mergeCell ref="E565:P565"/>
  </mergeCells>
  <phoneticPr fontId="0" type="noConversion"/>
  <hyperlinks>
    <hyperlink ref="E11" r:id="rId1" display="=@REDONDEAR(+(L66+N66)/2;2)"/>
  </hyperlinks>
  <printOptions horizontalCentered="1"/>
  <pageMargins left="0" right="0" top="0.59055118110236227" bottom="0.39370078740157483" header="0" footer="0"/>
  <pageSetup paperSize="5" scale="60" firstPageNumber="6" fitToHeight="0" orientation="landscape" useFirstPageNumber="1" r:id="rId2"/>
  <headerFooter alignWithMargins="0">
    <oddFooter>&amp;CPágina &amp;P</oddFooter>
  </headerFooter>
  <rowBreaks count="3" manualBreakCount="3">
    <brk id="170" max="16" man="1"/>
    <brk id="351" max="16" man="1"/>
    <brk id="499" max="16" man="1"/>
  </rowBreaks>
  <ignoredErrors>
    <ignoredError sqref="M36:O36 M389:O389 M206:O207 I44" emptyCellReference="1"/>
    <ignoredError sqref="O592:P593 E599:J599 K599:L599" evalError="1"/>
  </ignoredErrors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2D050"/>
  </sheetPr>
  <dimension ref="B2:JF49"/>
  <sheetViews>
    <sheetView showGridLines="0" view="pageBreakPreview" topLeftCell="A7" zoomScale="70" zoomScaleNormal="55" zoomScaleSheetLayoutView="70" workbookViewId="0">
      <selection activeCell="IP21" sqref="IP21"/>
    </sheetView>
  </sheetViews>
  <sheetFormatPr baseColWidth="10" defaultColWidth="11.42578125" defaultRowHeight="15.75"/>
  <cols>
    <col min="1" max="1" width="2.140625" style="2" customWidth="1"/>
    <col min="2" max="2" width="38.7109375" style="132" customWidth="1"/>
    <col min="3" max="3" width="6.140625" style="132" customWidth="1"/>
    <col min="4" max="4" width="9.28515625" style="132" customWidth="1"/>
    <col min="5" max="5" width="15.7109375" style="132" customWidth="1"/>
    <col min="6" max="6" width="10.140625" style="132" hidden="1" customWidth="1"/>
    <col min="7" max="8" width="8.5703125" style="132" hidden="1" customWidth="1"/>
    <col min="9" max="9" width="8" style="132" hidden="1" customWidth="1"/>
    <col min="10" max="10" width="7.5703125" style="132" hidden="1" customWidth="1"/>
    <col min="11" max="11" width="9.140625" style="132" hidden="1" customWidth="1"/>
    <col min="12" max="20" width="8" style="132" hidden="1" customWidth="1"/>
    <col min="21" max="23" width="9.42578125" style="132" hidden="1" customWidth="1"/>
    <col min="24" max="24" width="9.5703125" style="132" hidden="1" customWidth="1"/>
    <col min="25" max="25" width="9.42578125" style="132" hidden="1" customWidth="1"/>
    <col min="26" max="27" width="9.5703125" style="132" hidden="1" customWidth="1"/>
    <col min="28" max="28" width="9.42578125" style="132" hidden="1" customWidth="1"/>
    <col min="29" max="32" width="9.5703125" style="132" hidden="1" customWidth="1"/>
    <col min="33" max="33" width="8.28515625" style="132" hidden="1" customWidth="1"/>
    <col min="34" max="34" width="8.42578125" style="132" hidden="1" customWidth="1"/>
    <col min="35" max="35" width="8.28515625" style="132" hidden="1" customWidth="1"/>
    <col min="36" max="36" width="8.140625" style="132" hidden="1" customWidth="1"/>
    <col min="37" max="37" width="8.28515625" style="132" hidden="1" customWidth="1"/>
    <col min="38" max="38" width="9" style="132" hidden="1" customWidth="1"/>
    <col min="39" max="39" width="8.140625" style="132" hidden="1" customWidth="1"/>
    <col min="40" max="40" width="8.28515625" style="132" hidden="1" customWidth="1"/>
    <col min="41" max="41" width="8.5703125" style="132" hidden="1" customWidth="1"/>
    <col min="42" max="43" width="8.140625" style="132" hidden="1" customWidth="1"/>
    <col min="44" max="45" width="8.28515625" style="132" hidden="1" customWidth="1"/>
    <col min="46" max="46" width="7.85546875" style="132" hidden="1" customWidth="1"/>
    <col min="47" max="47" width="8" style="132" hidden="1" customWidth="1"/>
    <col min="48" max="48" width="8.28515625" style="132" hidden="1" customWidth="1"/>
    <col min="49" max="49" width="8" style="132" hidden="1" customWidth="1"/>
    <col min="50" max="50" width="9.5703125" style="132" hidden="1" customWidth="1"/>
    <col min="51" max="52" width="8" style="132" hidden="1" customWidth="1"/>
    <col min="53" max="53" width="7.85546875" style="132" hidden="1" customWidth="1"/>
    <col min="54" max="58" width="8.85546875" style="132" hidden="1" customWidth="1"/>
    <col min="59" max="66" width="8.85546875" style="122" hidden="1" customWidth="1"/>
    <col min="67" max="68" width="7.85546875" style="122" hidden="1" customWidth="1"/>
    <col min="69" max="69" width="7.5703125" style="122" hidden="1" customWidth="1"/>
    <col min="70" max="70" width="8" style="122" hidden="1" customWidth="1"/>
    <col min="71" max="71" width="7.7109375" style="122" hidden="1" customWidth="1"/>
    <col min="72" max="86" width="7.42578125" style="122" hidden="1" customWidth="1"/>
    <col min="87" max="95" width="7.85546875" style="122" hidden="1" customWidth="1"/>
    <col min="96" max="96" width="8" style="122" hidden="1" customWidth="1"/>
    <col min="97" max="97" width="8.42578125" style="122" hidden="1" customWidth="1"/>
    <col min="98" max="100" width="8" style="122" hidden="1" customWidth="1"/>
    <col min="101" max="101" width="8" style="1118" hidden="1" customWidth="1"/>
    <col min="102" max="103" width="8" style="122" hidden="1" customWidth="1"/>
    <col min="104" max="104" width="8.5703125" style="122" hidden="1" customWidth="1"/>
    <col min="105" max="105" width="8.28515625" style="122" hidden="1" customWidth="1"/>
    <col min="106" max="106" width="8.5703125" style="122" hidden="1" customWidth="1"/>
    <col min="107" max="107" width="8.28515625" style="122" hidden="1" customWidth="1"/>
    <col min="108" max="112" width="8.42578125" style="122" hidden="1" customWidth="1"/>
    <col min="113" max="114" width="8.28515625" style="122" hidden="1" customWidth="1"/>
    <col min="115" max="115" width="8.85546875" style="122" hidden="1" customWidth="1"/>
    <col min="116" max="116" width="9.85546875" style="122" hidden="1" customWidth="1"/>
    <col min="117" max="118" width="8.28515625" style="122" hidden="1" customWidth="1"/>
    <col min="119" max="119" width="8" style="122" hidden="1" customWidth="1"/>
    <col min="120" max="120" width="8.5703125" style="122" hidden="1" customWidth="1"/>
    <col min="121" max="121" width="8.140625" style="122" hidden="1" customWidth="1"/>
    <col min="122" max="122" width="8.28515625" style="122" hidden="1" customWidth="1"/>
    <col min="123" max="123" width="9.85546875" style="120" hidden="1" customWidth="1"/>
    <col min="124" max="124" width="9.140625" style="120" hidden="1" customWidth="1"/>
    <col min="125" max="125" width="9.28515625" style="120" hidden="1" customWidth="1"/>
    <col min="126" max="127" width="9.7109375" style="120" hidden="1" customWidth="1"/>
    <col min="128" max="129" width="8.5703125" style="120" hidden="1" customWidth="1"/>
    <col min="130" max="130" width="9.7109375" style="122" hidden="1" customWidth="1"/>
    <col min="131" max="131" width="8.7109375" style="122" hidden="1" customWidth="1"/>
    <col min="132" max="132" width="9.7109375" style="122" hidden="1" customWidth="1"/>
    <col min="133" max="133" width="9.5703125" style="122" hidden="1" customWidth="1"/>
    <col min="134" max="134" width="8.42578125" style="122" hidden="1" customWidth="1"/>
    <col min="135" max="135" width="8.7109375" style="122" hidden="1" customWidth="1"/>
    <col min="136" max="136" width="10.140625" style="122" hidden="1" customWidth="1"/>
    <col min="137" max="137" width="9.28515625" style="122" hidden="1" customWidth="1"/>
    <col min="138" max="138" width="9.7109375" style="122" hidden="1" customWidth="1"/>
    <col min="139" max="140" width="8.85546875" style="122" hidden="1" customWidth="1"/>
    <col min="141" max="141" width="10.42578125" style="122" hidden="1" customWidth="1"/>
    <col min="142" max="142" width="9.85546875" style="122" hidden="1" customWidth="1"/>
    <col min="143" max="143" width="9.7109375" style="122" hidden="1" customWidth="1"/>
    <col min="144" max="144" width="9.42578125" style="122" hidden="1" customWidth="1"/>
    <col min="145" max="145" width="10.7109375" style="122" hidden="1" customWidth="1"/>
    <col min="146" max="146" width="10.140625" style="122" hidden="1" customWidth="1"/>
    <col min="147" max="148" width="9.42578125" style="122" hidden="1" customWidth="1"/>
    <col min="149" max="149" width="11.140625" style="122" hidden="1" customWidth="1"/>
    <col min="150" max="151" width="10.140625" style="122" hidden="1" customWidth="1"/>
    <col min="152" max="152" width="10.28515625" style="122" hidden="1" customWidth="1"/>
    <col min="153" max="164" width="11.28515625" style="122" hidden="1" customWidth="1"/>
    <col min="165" max="165" width="11.28515625" style="122" customWidth="1"/>
    <col min="166" max="237" width="11.28515625" style="122" hidden="1" customWidth="1"/>
    <col min="238" max="238" width="7.140625" style="122" bestFit="1" customWidth="1"/>
    <col min="239" max="239" width="7.28515625" style="122" bestFit="1" customWidth="1"/>
    <col min="240" max="240" width="7.140625" style="122" bestFit="1" customWidth="1"/>
    <col min="241" max="250" width="8.140625" style="122" bestFit="1" customWidth="1"/>
    <col min="251" max="251" width="8.28515625" style="122" customWidth="1"/>
    <col min="252" max="252" width="7.140625" style="2" customWidth="1"/>
    <col min="253" max="253" width="11" style="2" customWidth="1"/>
    <col min="254" max="254" width="8.28515625" style="2" customWidth="1"/>
    <col min="255" max="255" width="11.5703125" style="2" bestFit="1" customWidth="1"/>
    <col min="256" max="256" width="12.5703125" style="2" bestFit="1" customWidth="1"/>
    <col min="257" max="257" width="11.5703125" style="2" bestFit="1" customWidth="1"/>
    <col min="258" max="266" width="11.42578125" style="2"/>
    <col min="267" max="277" width="2.5703125" style="2" bestFit="1" customWidth="1"/>
    <col min="278" max="285" width="5.7109375" style="2" bestFit="1" customWidth="1"/>
    <col min="286" max="16384" width="11.42578125" style="2"/>
  </cols>
  <sheetData>
    <row r="2" spans="2:266">
      <c r="B2" s="132" t="s">
        <v>591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IB2" s="363" t="s">
        <v>592</v>
      </c>
    </row>
    <row r="3" spans="2:266">
      <c r="B3" s="132" t="s">
        <v>593</v>
      </c>
      <c r="D3" s="2691"/>
      <c r="E3" s="2691"/>
      <c r="F3" s="2691"/>
      <c r="G3" s="2691"/>
      <c r="H3" s="2691"/>
      <c r="I3" s="2691"/>
      <c r="J3" s="2691"/>
      <c r="K3" s="2691"/>
      <c r="L3" s="2691"/>
      <c r="M3" s="2691"/>
      <c r="N3" s="2691"/>
      <c r="O3" s="2691"/>
    </row>
    <row r="4" spans="2:266">
      <c r="B4" s="132" t="s">
        <v>595</v>
      </c>
    </row>
    <row r="5" spans="2:266">
      <c r="B5" s="364" t="s">
        <v>1022</v>
      </c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266">
      <c r="B6" s="364" t="s">
        <v>654</v>
      </c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2"/>
      <c r="V6" s="792"/>
      <c r="W6" s="792"/>
      <c r="X6" s="792"/>
      <c r="Y6" s="792"/>
      <c r="Z6" s="792"/>
      <c r="AA6" s="792"/>
      <c r="AB6" s="792"/>
      <c r="AC6" s="792"/>
      <c r="AD6" s="792"/>
      <c r="AE6" s="792"/>
      <c r="AF6" s="792"/>
      <c r="AG6" s="792"/>
      <c r="AH6" s="792"/>
      <c r="AI6" s="792"/>
      <c r="AJ6" s="792"/>
      <c r="AK6" s="792"/>
      <c r="AL6" s="792"/>
      <c r="AM6" s="792"/>
      <c r="AN6" s="792"/>
      <c r="AO6" s="792"/>
      <c r="AP6" s="792"/>
      <c r="AQ6" s="792"/>
      <c r="AR6" s="792"/>
      <c r="AS6" s="792"/>
      <c r="AT6" s="792"/>
      <c r="AU6" s="792"/>
      <c r="AV6" s="792"/>
      <c r="AW6" s="792"/>
      <c r="AX6" s="792"/>
      <c r="AY6" s="792"/>
      <c r="AZ6" s="792"/>
      <c r="BA6" s="792"/>
      <c r="BB6" s="792"/>
      <c r="BC6" s="792"/>
      <c r="BD6" s="792"/>
      <c r="BE6" s="792"/>
      <c r="BF6" s="792"/>
      <c r="BG6" s="792"/>
      <c r="BH6" s="792"/>
      <c r="BI6" s="792"/>
      <c r="BJ6" s="792"/>
      <c r="BK6" s="792"/>
      <c r="BL6" s="792"/>
      <c r="BM6" s="792"/>
      <c r="BN6" s="792"/>
      <c r="BO6" s="792"/>
      <c r="BP6" s="792"/>
      <c r="BQ6" s="792"/>
      <c r="BR6" s="792"/>
      <c r="BS6" s="792"/>
      <c r="BT6" s="792"/>
      <c r="BU6" s="792"/>
      <c r="BV6" s="792"/>
      <c r="BW6" s="792"/>
      <c r="BX6" s="792"/>
      <c r="BY6" s="792"/>
      <c r="BZ6" s="792"/>
      <c r="CA6" s="792"/>
      <c r="CB6" s="792"/>
      <c r="CC6" s="792"/>
      <c r="CD6" s="792"/>
      <c r="CE6" s="792"/>
      <c r="CF6" s="792"/>
      <c r="CG6" s="792"/>
      <c r="CH6" s="792"/>
      <c r="CI6" s="792"/>
      <c r="CJ6" s="792"/>
      <c r="CK6" s="792"/>
      <c r="CL6" s="792"/>
      <c r="CM6" s="792"/>
      <c r="CN6" s="792"/>
      <c r="CO6" s="792"/>
      <c r="CP6" s="792"/>
      <c r="CQ6" s="792"/>
      <c r="CR6" s="792"/>
      <c r="CS6" s="792"/>
      <c r="CT6" s="792"/>
      <c r="CU6" s="792"/>
      <c r="CV6" s="792"/>
      <c r="CW6" s="792"/>
      <c r="CX6" s="792"/>
      <c r="CY6" s="792"/>
      <c r="CZ6" s="792"/>
      <c r="DA6" s="792"/>
      <c r="DB6" s="792"/>
      <c r="DC6" s="792"/>
      <c r="DD6" s="792"/>
      <c r="DE6" s="792"/>
      <c r="DF6" s="792"/>
      <c r="DG6" s="792"/>
      <c r="DH6" s="792"/>
      <c r="DI6" s="792"/>
      <c r="DJ6" s="792"/>
      <c r="DK6" s="792"/>
      <c r="DL6" s="792"/>
      <c r="DM6" s="792"/>
      <c r="DN6" s="792"/>
      <c r="DO6" s="792"/>
      <c r="DP6" s="792"/>
      <c r="DQ6" s="792"/>
      <c r="DR6" s="792"/>
      <c r="DS6" s="792"/>
      <c r="DT6" s="792"/>
      <c r="DU6" s="792"/>
      <c r="DV6" s="792"/>
      <c r="DW6" s="792"/>
      <c r="DX6" s="792"/>
      <c r="DY6" s="792"/>
      <c r="DZ6" s="792"/>
      <c r="EA6" s="792"/>
      <c r="EB6" s="792"/>
      <c r="EC6" s="792"/>
      <c r="ED6" s="792"/>
      <c r="EE6" s="792"/>
      <c r="EF6" s="792"/>
      <c r="EG6" s="792"/>
      <c r="EH6" s="792"/>
      <c r="EI6" s="792"/>
      <c r="EJ6" s="792"/>
      <c r="EK6" s="792"/>
      <c r="EL6" s="792"/>
      <c r="EM6" s="792"/>
      <c r="EN6" s="792"/>
      <c r="EO6" s="792"/>
      <c r="EP6" s="792"/>
      <c r="EQ6" s="792"/>
      <c r="ER6" s="792"/>
      <c r="ES6" s="792"/>
      <c r="ET6" s="792"/>
      <c r="EU6" s="792"/>
      <c r="EV6" s="792"/>
      <c r="EW6" s="792"/>
      <c r="EX6" s="792"/>
      <c r="EY6" s="792"/>
      <c r="EZ6" s="792"/>
      <c r="FA6" s="792"/>
      <c r="FB6" s="792"/>
      <c r="FC6" s="792"/>
      <c r="FD6" s="792"/>
      <c r="FE6" s="792"/>
      <c r="FF6" s="792"/>
      <c r="FG6" s="792"/>
      <c r="FH6" s="792"/>
      <c r="FI6" s="792"/>
      <c r="FJ6" s="792"/>
      <c r="FK6" s="792"/>
      <c r="FL6" s="792"/>
      <c r="FM6" s="792"/>
      <c r="FN6" s="792"/>
      <c r="FO6" s="792"/>
      <c r="FP6" s="792"/>
      <c r="FQ6" s="792"/>
      <c r="FR6" s="792"/>
      <c r="FS6" s="792"/>
      <c r="FT6" s="792"/>
      <c r="FU6" s="792"/>
      <c r="FV6" s="792"/>
      <c r="FW6" s="792"/>
      <c r="FX6" s="792"/>
      <c r="FY6" s="792"/>
      <c r="FZ6" s="792"/>
      <c r="GA6" s="792"/>
      <c r="GB6" s="792"/>
      <c r="GC6" s="792"/>
      <c r="GD6" s="792"/>
      <c r="GE6" s="792"/>
      <c r="GF6" s="792"/>
      <c r="GG6" s="792"/>
      <c r="GH6" s="792"/>
      <c r="GI6" s="792"/>
      <c r="GJ6" s="1035"/>
      <c r="GK6" s="1035"/>
      <c r="GL6" s="1035"/>
      <c r="GM6" s="1035"/>
      <c r="GN6" s="1035"/>
      <c r="GO6" s="1035"/>
      <c r="GP6" s="1035"/>
      <c r="GQ6" s="1035"/>
      <c r="GR6" s="1035"/>
      <c r="GS6" s="1035"/>
      <c r="GT6" s="1035"/>
      <c r="GU6" s="1035"/>
      <c r="GV6" s="1035"/>
      <c r="GW6" s="1035"/>
      <c r="GX6" s="1035"/>
      <c r="GY6" s="1035"/>
      <c r="GZ6" s="1035"/>
      <c r="HA6" s="1035"/>
      <c r="HB6" s="1035"/>
      <c r="HC6" s="1035"/>
      <c r="HD6" s="1035"/>
      <c r="HE6" s="1035"/>
      <c r="HF6" s="1035"/>
      <c r="HG6" s="1035"/>
      <c r="HH6" s="1035"/>
      <c r="HI6" s="1035"/>
      <c r="HJ6" s="1035"/>
      <c r="HK6" s="1035"/>
      <c r="HL6" s="1035"/>
      <c r="HM6" s="1035"/>
      <c r="HN6" s="1035"/>
      <c r="HO6" s="1035"/>
      <c r="HP6" s="1035"/>
      <c r="HQ6" s="1035"/>
      <c r="HR6" s="1035"/>
      <c r="HS6" s="1035"/>
      <c r="HT6" s="1035"/>
      <c r="HU6" s="1035"/>
      <c r="HV6" s="1035"/>
      <c r="HW6" s="1035"/>
      <c r="HX6" s="1035"/>
      <c r="HY6" s="1035"/>
      <c r="HZ6" s="1035"/>
      <c r="IA6" s="1035"/>
      <c r="IB6" s="1035"/>
      <c r="IC6" s="1035"/>
      <c r="ID6" s="1035"/>
      <c r="IE6" s="1035"/>
      <c r="IF6" s="1035"/>
      <c r="IG6" s="1035"/>
      <c r="IH6" s="1035"/>
      <c r="II6" s="1035"/>
      <c r="IJ6" s="1035"/>
      <c r="IK6" s="1035"/>
      <c r="IL6" s="1035"/>
      <c r="IM6" s="1035"/>
      <c r="IN6" s="1035"/>
      <c r="IO6" s="1035"/>
      <c r="IP6" s="1035"/>
      <c r="IQ6" s="1035"/>
    </row>
    <row r="7" spans="2:266" ht="18.75" customHeight="1"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  <c r="AF7" s="792"/>
      <c r="AG7" s="792"/>
      <c r="AH7" s="792"/>
      <c r="AI7" s="792"/>
      <c r="AJ7" s="792"/>
      <c r="AK7" s="792"/>
      <c r="AL7" s="792"/>
      <c r="AM7" s="792"/>
      <c r="AN7" s="792"/>
      <c r="AO7" s="792"/>
      <c r="AP7" s="792"/>
      <c r="AQ7" s="792"/>
      <c r="AR7" s="792"/>
      <c r="AS7" s="792"/>
      <c r="AT7" s="792"/>
      <c r="AU7" s="792"/>
      <c r="AV7" s="792"/>
      <c r="AW7" s="792"/>
      <c r="AX7" s="792"/>
      <c r="AY7" s="792"/>
      <c r="AZ7" s="792"/>
      <c r="BA7" s="792"/>
      <c r="BB7" s="792"/>
      <c r="BC7" s="792"/>
      <c r="BD7" s="792"/>
      <c r="BE7" s="792"/>
      <c r="BF7" s="792"/>
      <c r="BG7" s="792"/>
      <c r="BH7" s="792"/>
      <c r="BI7" s="792"/>
      <c r="BJ7" s="792"/>
      <c r="BK7" s="792"/>
      <c r="BL7" s="792"/>
      <c r="BM7" s="792"/>
      <c r="BN7" s="792"/>
      <c r="BO7" s="792"/>
      <c r="BP7" s="792"/>
      <c r="BQ7" s="792"/>
      <c r="BR7" s="792"/>
      <c r="BS7" s="792"/>
      <c r="BT7" s="792"/>
      <c r="BU7" s="792"/>
      <c r="BV7" s="792"/>
      <c r="BW7" s="792"/>
      <c r="BX7" s="792"/>
      <c r="BY7" s="792"/>
      <c r="BZ7" s="792"/>
      <c r="CA7" s="792"/>
      <c r="CB7" s="792"/>
      <c r="CC7" s="792"/>
      <c r="CD7" s="792"/>
      <c r="CE7" s="792"/>
      <c r="CF7" s="792"/>
      <c r="CG7" s="792"/>
      <c r="CH7" s="792"/>
      <c r="CI7" s="792"/>
      <c r="CJ7" s="792"/>
      <c r="CK7" s="792"/>
      <c r="CL7" s="792"/>
      <c r="CM7" s="792"/>
      <c r="CN7" s="792"/>
      <c r="CO7" s="792"/>
      <c r="CP7" s="792"/>
      <c r="CQ7" s="792"/>
      <c r="CR7" s="792"/>
      <c r="CS7" s="792"/>
      <c r="CT7" s="792"/>
      <c r="CU7" s="792"/>
      <c r="CV7" s="792"/>
      <c r="CW7" s="792"/>
      <c r="CX7" s="792"/>
      <c r="CY7" s="792"/>
      <c r="CZ7" s="792"/>
      <c r="DA7" s="792"/>
      <c r="DB7" s="792"/>
      <c r="DC7" s="792"/>
      <c r="DD7" s="792"/>
      <c r="DE7" s="792"/>
      <c r="DF7" s="792"/>
      <c r="DG7" s="792"/>
      <c r="DH7" s="792"/>
      <c r="DI7" s="792"/>
      <c r="DJ7" s="792"/>
      <c r="DK7" s="792"/>
      <c r="DL7" s="792"/>
      <c r="DM7" s="792"/>
      <c r="DN7" s="792"/>
      <c r="DO7" s="792"/>
      <c r="DP7" s="792"/>
      <c r="DQ7" s="792"/>
      <c r="DR7" s="792"/>
      <c r="DS7" s="792"/>
      <c r="DT7" s="792"/>
      <c r="DU7" s="792"/>
      <c r="DV7" s="792"/>
      <c r="DW7" s="792"/>
      <c r="DX7" s="792"/>
      <c r="DY7" s="792"/>
      <c r="DZ7" s="792"/>
      <c r="EA7" s="792"/>
      <c r="EB7" s="792"/>
      <c r="EC7" s="792"/>
      <c r="ED7" s="792"/>
      <c r="EE7" s="792"/>
      <c r="EF7" s="792"/>
      <c r="EG7" s="792"/>
      <c r="EH7" s="792"/>
      <c r="EI7" s="792"/>
      <c r="EJ7" s="792"/>
      <c r="EK7" s="792"/>
      <c r="EL7" s="792"/>
      <c r="EM7" s="792"/>
      <c r="EN7" s="792"/>
      <c r="EO7" s="792"/>
      <c r="EP7" s="792"/>
      <c r="EQ7" s="792"/>
      <c r="ER7" s="792"/>
      <c r="ES7" s="792"/>
      <c r="ET7" s="792"/>
      <c r="EU7" s="792"/>
      <c r="EV7" s="792"/>
      <c r="EW7" s="792"/>
      <c r="EX7" s="792"/>
      <c r="EY7" s="792"/>
      <c r="EZ7" s="792"/>
      <c r="FA7" s="792"/>
      <c r="FB7" s="792"/>
      <c r="FC7" s="792"/>
      <c r="FD7" s="792"/>
      <c r="FE7" s="792"/>
      <c r="FF7" s="792"/>
      <c r="FG7" s="792"/>
      <c r="FH7" s="792"/>
      <c r="FI7" s="792"/>
      <c r="FJ7" s="792"/>
      <c r="FK7" s="792"/>
      <c r="FL7" s="792"/>
      <c r="FM7" s="792"/>
      <c r="FN7" s="792"/>
      <c r="FO7" s="792"/>
      <c r="FP7" s="792"/>
      <c r="FQ7" s="792"/>
      <c r="FR7" s="792"/>
      <c r="FS7" s="792"/>
      <c r="FT7" s="792"/>
      <c r="FU7" s="792"/>
      <c r="FV7" s="792"/>
      <c r="FW7" s="792"/>
      <c r="FX7" s="792"/>
      <c r="FY7" s="792"/>
      <c r="FZ7" s="792"/>
      <c r="GA7" s="792"/>
      <c r="GB7" s="792"/>
      <c r="GC7" s="792"/>
      <c r="GD7" s="792"/>
      <c r="GE7" s="792"/>
      <c r="GF7" s="792"/>
      <c r="GG7" s="792"/>
      <c r="GH7" s="792"/>
      <c r="GI7" s="792"/>
      <c r="GJ7" s="1035"/>
      <c r="GK7" s="1035"/>
      <c r="GL7" s="1035"/>
      <c r="GM7" s="1035"/>
      <c r="GN7" s="1035"/>
      <c r="GO7" s="1035"/>
      <c r="GP7" s="1035"/>
      <c r="GQ7" s="1035"/>
      <c r="GR7" s="1035"/>
      <c r="GS7" s="1035"/>
      <c r="GT7" s="1035"/>
      <c r="GU7" s="1035"/>
      <c r="GV7" s="1035"/>
      <c r="GW7" s="1035"/>
      <c r="GX7" s="1035"/>
      <c r="GY7" s="1035"/>
      <c r="GZ7" s="1035"/>
      <c r="HA7" s="1035"/>
      <c r="HB7" s="1035"/>
      <c r="HC7" s="1035"/>
      <c r="HD7" s="1035"/>
      <c r="HE7" s="1035"/>
      <c r="HF7" s="1035"/>
      <c r="HG7" s="1035"/>
      <c r="HH7" s="1035"/>
      <c r="HI7" s="1035"/>
      <c r="HJ7" s="1035"/>
      <c r="HK7" s="1035"/>
      <c r="HL7" s="1035"/>
      <c r="HM7" s="1035"/>
      <c r="HN7" s="1035"/>
      <c r="HO7" s="1035"/>
      <c r="HP7" s="1035"/>
      <c r="HQ7" s="1035"/>
      <c r="HR7" s="1035"/>
      <c r="HS7" s="1035"/>
      <c r="HT7" s="1035"/>
      <c r="HU7" s="1035"/>
      <c r="HV7" s="1035"/>
      <c r="HW7" s="1035"/>
      <c r="HX7" s="1035"/>
      <c r="HY7" s="1035"/>
      <c r="HZ7" s="1035"/>
      <c r="IA7" s="1035"/>
      <c r="IB7" s="1035"/>
      <c r="IC7" s="1035"/>
      <c r="ID7" s="1035"/>
      <c r="IE7" s="1035"/>
      <c r="IF7" s="1035"/>
      <c r="IG7" s="1035"/>
      <c r="IH7" s="1035"/>
      <c r="II7" s="1035"/>
      <c r="IJ7" s="1035"/>
      <c r="IK7" s="1035"/>
      <c r="IL7" s="1035"/>
      <c r="IM7" s="1035"/>
      <c r="IN7" s="1035"/>
      <c r="IO7" s="1035"/>
      <c r="IP7" s="1035"/>
      <c r="IQ7" s="1035"/>
    </row>
    <row r="8" spans="2:266" ht="7.5" customHeight="1" thickBot="1"/>
    <row r="9" spans="2:266" ht="31.5" customHeight="1" thickBot="1">
      <c r="B9" s="365" t="s">
        <v>655</v>
      </c>
      <c r="C9" s="2670" t="s">
        <v>248</v>
      </c>
      <c r="D9" s="2765"/>
      <c r="E9" s="1743" t="s">
        <v>1116</v>
      </c>
      <c r="G9" s="120"/>
      <c r="H9" s="120"/>
      <c r="I9" s="120"/>
      <c r="K9" s="120"/>
      <c r="DL9" s="425"/>
      <c r="DM9" s="425"/>
      <c r="DP9" s="425"/>
      <c r="DU9" s="358"/>
      <c r="DY9" s="358"/>
      <c r="EA9" s="425"/>
      <c r="EC9" s="425"/>
      <c r="EF9" s="425"/>
      <c r="EK9" s="425"/>
      <c r="EL9" s="425"/>
      <c r="ES9" s="1572"/>
    </row>
    <row r="10" spans="2:266">
      <c r="B10" s="366" t="s">
        <v>657</v>
      </c>
      <c r="C10" s="2659">
        <v>222</v>
      </c>
      <c r="D10" s="2660"/>
      <c r="E10" s="556">
        <v>9.0000000000000006E-5</v>
      </c>
      <c r="G10" s="120"/>
      <c r="H10" s="120"/>
      <c r="I10" s="120"/>
      <c r="J10" s="2653"/>
      <c r="K10" s="2653"/>
      <c r="L10" s="2653"/>
      <c r="M10" s="2653"/>
      <c r="N10" s="2653"/>
      <c r="O10" s="2653"/>
      <c r="P10" s="122"/>
      <c r="Q10" s="122"/>
      <c r="R10" s="122"/>
      <c r="DL10" s="425"/>
      <c r="DM10" s="425"/>
      <c r="DP10" s="425"/>
      <c r="DU10" s="358"/>
      <c r="DY10" s="358"/>
      <c r="EA10" s="425"/>
      <c r="EC10" s="425"/>
      <c r="EF10" s="425"/>
      <c r="EK10" s="425"/>
      <c r="EL10" s="425"/>
      <c r="ES10" s="1227" t="s">
        <v>658</v>
      </c>
    </row>
    <row r="11" spans="2:266">
      <c r="B11" s="368" t="s">
        <v>659</v>
      </c>
      <c r="C11" s="2626">
        <v>222</v>
      </c>
      <c r="D11" s="2627"/>
      <c r="E11" s="329">
        <v>1.925E-5</v>
      </c>
      <c r="G11" s="120"/>
      <c r="H11" s="273"/>
      <c r="I11" s="124"/>
      <c r="J11" s="121"/>
      <c r="K11" s="121"/>
      <c r="L11" s="121"/>
      <c r="M11" s="121"/>
      <c r="N11" s="121"/>
      <c r="O11" s="121"/>
      <c r="P11" s="122"/>
      <c r="Q11" s="122"/>
      <c r="R11" s="122"/>
      <c r="DL11" s="425"/>
      <c r="DM11" s="425"/>
      <c r="DP11" s="425"/>
      <c r="DU11" s="358"/>
      <c r="DY11" s="358"/>
      <c r="EA11" s="425"/>
      <c r="EC11" s="425"/>
      <c r="EF11" s="425"/>
      <c r="EK11" s="425"/>
      <c r="EL11" s="425"/>
      <c r="ES11" s="1228" t="s">
        <v>658</v>
      </c>
    </row>
    <row r="12" spans="2:266" ht="15.75" customHeight="1">
      <c r="B12" s="368" t="s">
        <v>660</v>
      </c>
      <c r="C12" s="2626">
        <v>222</v>
      </c>
      <c r="D12" s="2627"/>
      <c r="E12" s="329">
        <v>4.4100000000000001E-5</v>
      </c>
      <c r="G12" s="120"/>
      <c r="H12" s="123"/>
      <c r="I12" s="124"/>
      <c r="J12" s="121"/>
      <c r="K12" s="121"/>
      <c r="L12" s="121"/>
      <c r="M12" s="121"/>
      <c r="N12" s="121"/>
      <c r="O12" s="121"/>
      <c r="P12" s="122"/>
      <c r="Q12" s="122"/>
      <c r="R12" s="122"/>
      <c r="DL12" s="425"/>
      <c r="DM12" s="425"/>
      <c r="DP12" s="425"/>
      <c r="DU12" s="358"/>
      <c r="DY12" s="358"/>
      <c r="EA12" s="425"/>
      <c r="EC12" s="425"/>
      <c r="EF12" s="425"/>
      <c r="EK12" s="425"/>
      <c r="EL12" s="425"/>
      <c r="ES12" s="1228" t="s">
        <v>658</v>
      </c>
      <c r="IV12" s="21"/>
      <c r="IW12" s="22"/>
    </row>
    <row r="13" spans="2:266" ht="16.5" customHeight="1">
      <c r="B13" s="368" t="s">
        <v>661</v>
      </c>
      <c r="C13" s="2626">
        <v>4</v>
      </c>
      <c r="D13" s="2627"/>
      <c r="E13" s="329">
        <v>1.8899999999999999E-5</v>
      </c>
      <c r="G13" s="120"/>
      <c r="H13" s="123"/>
      <c r="I13" s="124"/>
      <c r="J13" s="121"/>
      <c r="K13" s="121"/>
      <c r="L13" s="121"/>
      <c r="M13" s="121"/>
      <c r="N13" s="121"/>
      <c r="O13" s="121"/>
      <c r="P13" s="122"/>
      <c r="Q13" s="122"/>
      <c r="R13" s="122"/>
      <c r="DL13" s="425"/>
      <c r="DM13" s="425"/>
      <c r="DP13" s="425"/>
      <c r="DU13" s="358"/>
      <c r="DY13" s="358"/>
      <c r="EA13" s="425"/>
      <c r="EC13" s="425"/>
      <c r="EF13" s="425"/>
      <c r="EK13" s="425"/>
      <c r="EL13" s="425"/>
      <c r="ES13" s="1228" t="s">
        <v>658</v>
      </c>
    </row>
    <row r="14" spans="2:266">
      <c r="B14" s="368" t="s">
        <v>662</v>
      </c>
      <c r="C14" s="2626">
        <v>4</v>
      </c>
      <c r="D14" s="2627"/>
      <c r="E14" s="329">
        <v>3.09</v>
      </c>
      <c r="G14" s="120"/>
      <c r="H14" s="123"/>
      <c r="I14" s="124"/>
      <c r="J14" s="2653"/>
      <c r="K14" s="2653"/>
      <c r="L14" s="2653"/>
      <c r="M14" s="2653"/>
      <c r="N14" s="2653"/>
      <c r="O14" s="2653"/>
      <c r="P14" s="122"/>
      <c r="Q14" s="122"/>
      <c r="R14" s="122"/>
      <c r="DL14" s="425"/>
      <c r="DM14" s="425"/>
      <c r="DP14" s="425"/>
      <c r="DU14" s="358"/>
      <c r="DY14" s="358"/>
      <c r="EA14" s="425"/>
      <c r="EC14" s="425"/>
      <c r="EF14" s="425"/>
      <c r="EK14" s="425"/>
      <c r="EL14" s="425"/>
      <c r="ES14" s="1228"/>
      <c r="IR14" s="2" t="s">
        <v>663</v>
      </c>
      <c r="IT14" s="2" t="s">
        <v>664</v>
      </c>
      <c r="IU14" s="2" t="s">
        <v>665</v>
      </c>
      <c r="IV14" s="2" t="s">
        <v>605</v>
      </c>
      <c r="IW14" s="2" t="s">
        <v>666</v>
      </c>
      <c r="IX14" s="2" t="s">
        <v>667</v>
      </c>
      <c r="IY14" s="2" t="s">
        <v>668</v>
      </c>
      <c r="IZ14" s="2" t="s">
        <v>669</v>
      </c>
      <c r="JA14" s="2" t="s">
        <v>670</v>
      </c>
    </row>
    <row r="15" spans="2:266" ht="16.5" thickBot="1">
      <c r="B15" s="369" t="s">
        <v>671</v>
      </c>
      <c r="C15" s="2642">
        <v>67</v>
      </c>
      <c r="D15" s="2643"/>
      <c r="E15" s="320">
        <v>0.10503999999999999</v>
      </c>
      <c r="G15" s="120"/>
      <c r="H15" s="123"/>
      <c r="I15" s="124"/>
      <c r="J15" s="2653"/>
      <c r="K15" s="2653"/>
      <c r="L15" s="2653"/>
      <c r="M15" s="2653"/>
      <c r="N15" s="2653"/>
      <c r="O15" s="2653"/>
      <c r="P15" s="122"/>
      <c r="Q15" s="122"/>
      <c r="R15" s="122"/>
      <c r="DL15" s="425"/>
      <c r="DM15" s="425"/>
      <c r="DP15" s="425"/>
      <c r="DU15" s="358"/>
      <c r="DY15" s="358"/>
      <c r="EA15" s="425"/>
      <c r="EC15" s="425"/>
      <c r="EF15" s="425"/>
      <c r="EK15" s="425"/>
      <c r="EL15" s="425"/>
      <c r="ES15" s="1229" t="s">
        <v>672</v>
      </c>
    </row>
    <row r="16" spans="2:266" ht="18.75" thickBot="1"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IR16" s="63">
        <v>1.37</v>
      </c>
      <c r="IS16" s="63"/>
      <c r="IT16" s="21">
        <v>1.37</v>
      </c>
      <c r="IU16" s="21">
        <v>1.37</v>
      </c>
      <c r="IV16" s="21">
        <v>1.5189999999999999</v>
      </c>
      <c r="IW16" s="21">
        <v>1.6779999999999999</v>
      </c>
      <c r="IX16" s="22">
        <v>1.837</v>
      </c>
      <c r="IY16" s="23">
        <v>1.996</v>
      </c>
      <c r="IZ16" s="21">
        <v>2.1549999999999998</v>
      </c>
      <c r="JA16" s="49">
        <v>2.3149999999999999</v>
      </c>
      <c r="JC16" s="21">
        <v>1.37</v>
      </c>
      <c r="JD16" s="21">
        <v>1.37</v>
      </c>
      <c r="JE16" s="21">
        <v>1.37</v>
      </c>
      <c r="JF16" s="923"/>
    </row>
    <row r="17" spans="2:266" ht="11.25" customHeight="1">
      <c r="B17" s="2623" t="s">
        <v>673</v>
      </c>
      <c r="C17" s="2628" t="s">
        <v>831</v>
      </c>
      <c r="D17" s="2759"/>
      <c r="E17" s="2664">
        <v>37226</v>
      </c>
      <c r="F17" s="2634">
        <v>37536</v>
      </c>
      <c r="G17" s="2604">
        <v>37561</v>
      </c>
      <c r="H17" s="2604">
        <v>37591</v>
      </c>
      <c r="I17" s="2604">
        <v>37622</v>
      </c>
      <c r="J17" s="2604">
        <v>37653</v>
      </c>
      <c r="K17" s="2604">
        <v>37681</v>
      </c>
      <c r="L17" s="2604">
        <v>37712</v>
      </c>
      <c r="M17" s="2604">
        <v>37742</v>
      </c>
      <c r="N17" s="2604">
        <v>37773</v>
      </c>
      <c r="O17" s="2604">
        <v>37803</v>
      </c>
      <c r="P17" s="2604">
        <v>37834</v>
      </c>
      <c r="Q17" s="2604">
        <v>37865</v>
      </c>
      <c r="R17" s="2604">
        <v>37895</v>
      </c>
      <c r="S17" s="2604">
        <v>37926</v>
      </c>
      <c r="T17" s="2604">
        <v>37956</v>
      </c>
      <c r="U17" s="2604">
        <v>37987</v>
      </c>
      <c r="V17" s="2604">
        <v>38018</v>
      </c>
      <c r="W17" s="2604">
        <v>38047</v>
      </c>
      <c r="X17" s="2604">
        <v>38078</v>
      </c>
      <c r="Y17" s="2604">
        <v>38108</v>
      </c>
      <c r="Z17" s="2604">
        <v>38139</v>
      </c>
      <c r="AA17" s="2604">
        <v>38169</v>
      </c>
      <c r="AB17" s="2604">
        <v>38200</v>
      </c>
      <c r="AC17" s="2604">
        <v>38231</v>
      </c>
      <c r="AD17" s="2604">
        <v>38261</v>
      </c>
      <c r="AE17" s="2604">
        <v>38292</v>
      </c>
      <c r="AF17" s="2604">
        <v>38322</v>
      </c>
      <c r="AG17" s="2604">
        <v>38353</v>
      </c>
      <c r="AH17" s="2604">
        <v>38384</v>
      </c>
      <c r="AI17" s="2604">
        <v>38412</v>
      </c>
      <c r="AJ17" s="2604">
        <v>38443</v>
      </c>
      <c r="AK17" s="2604">
        <v>38473</v>
      </c>
      <c r="AL17" s="2604">
        <v>38504</v>
      </c>
      <c r="AM17" s="2604">
        <v>38534</v>
      </c>
      <c r="AN17" s="2604">
        <v>38565</v>
      </c>
      <c r="AO17" s="2604">
        <v>38596</v>
      </c>
      <c r="AP17" s="2604">
        <v>38626</v>
      </c>
      <c r="AQ17" s="2604">
        <v>38657</v>
      </c>
      <c r="AR17" s="2604">
        <v>38687</v>
      </c>
      <c r="AS17" s="2604">
        <v>38718</v>
      </c>
      <c r="AT17" s="2604">
        <v>38749</v>
      </c>
      <c r="AU17" s="2604">
        <v>38777</v>
      </c>
      <c r="AV17" s="2604">
        <v>38808</v>
      </c>
      <c r="AW17" s="2604">
        <v>38838</v>
      </c>
      <c r="AX17" s="2604">
        <v>38869</v>
      </c>
      <c r="AY17" s="2604">
        <v>38899</v>
      </c>
      <c r="AZ17" s="2604">
        <v>38930</v>
      </c>
      <c r="BA17" s="2604">
        <v>38961</v>
      </c>
      <c r="BB17" s="2604">
        <v>38991</v>
      </c>
      <c r="BC17" s="2604">
        <v>39022</v>
      </c>
      <c r="BD17" s="2604">
        <v>39052</v>
      </c>
      <c r="BE17" s="2604">
        <v>39083</v>
      </c>
      <c r="BF17" s="2604">
        <v>39114</v>
      </c>
      <c r="BG17" s="2604">
        <v>39142</v>
      </c>
      <c r="BH17" s="2604">
        <v>39173</v>
      </c>
      <c r="BI17" s="2604">
        <v>39203</v>
      </c>
      <c r="BJ17" s="2604">
        <v>39234</v>
      </c>
      <c r="BK17" s="2604">
        <v>39264</v>
      </c>
      <c r="BL17" s="2604">
        <v>39295</v>
      </c>
      <c r="BM17" s="2604">
        <v>39326</v>
      </c>
      <c r="BN17" s="2604">
        <v>39356</v>
      </c>
      <c r="BO17" s="2604">
        <v>39387</v>
      </c>
      <c r="BP17" s="2617">
        <v>39417</v>
      </c>
      <c r="BQ17" s="2634">
        <v>39448</v>
      </c>
      <c r="BR17" s="2604">
        <v>39479</v>
      </c>
      <c r="BS17" s="2604">
        <v>39508</v>
      </c>
      <c r="BT17" s="2604">
        <v>39539</v>
      </c>
      <c r="BU17" s="2604">
        <v>39569</v>
      </c>
      <c r="BV17" s="2604">
        <v>39600</v>
      </c>
      <c r="BW17" s="2604">
        <v>39630</v>
      </c>
      <c r="BX17" s="2604">
        <v>39661</v>
      </c>
      <c r="BY17" s="2604">
        <v>39692</v>
      </c>
      <c r="BZ17" s="2604">
        <v>39722</v>
      </c>
      <c r="CA17" s="2604">
        <v>39753</v>
      </c>
      <c r="CB17" s="2617">
        <v>39783</v>
      </c>
      <c r="CC17" s="2763">
        <v>39814</v>
      </c>
      <c r="CD17" s="2706">
        <v>39845</v>
      </c>
      <c r="CE17" s="2706">
        <v>39873</v>
      </c>
      <c r="CF17" s="2706">
        <v>39904</v>
      </c>
      <c r="CG17" s="2706">
        <v>39934</v>
      </c>
      <c r="CH17" s="2706">
        <v>39965</v>
      </c>
      <c r="CI17" s="2706">
        <v>39995</v>
      </c>
      <c r="CJ17" s="2701">
        <v>40026</v>
      </c>
      <c r="CK17" s="2701">
        <v>40057</v>
      </c>
      <c r="CL17" s="2706">
        <v>40087</v>
      </c>
      <c r="CM17" s="2738">
        <v>40118</v>
      </c>
      <c r="CN17" s="2701">
        <v>40148</v>
      </c>
      <c r="CO17" s="2763">
        <v>40179</v>
      </c>
      <c r="CP17" s="2706">
        <v>40210</v>
      </c>
      <c r="CQ17" s="2706">
        <v>40238</v>
      </c>
      <c r="CR17" s="2711">
        <v>40269</v>
      </c>
      <c r="CS17" s="2734">
        <v>40299</v>
      </c>
      <c r="CT17" s="2718">
        <v>40330</v>
      </c>
      <c r="CU17" s="2725">
        <v>40360</v>
      </c>
      <c r="CV17" s="2728">
        <v>40391</v>
      </c>
      <c r="CW17" s="2731">
        <v>40422</v>
      </c>
      <c r="CX17" s="2725">
        <v>40452</v>
      </c>
      <c r="CY17" s="2711">
        <v>40483</v>
      </c>
      <c r="CZ17" s="2711">
        <v>40513</v>
      </c>
      <c r="DA17" s="2722">
        <v>40544</v>
      </c>
      <c r="DB17" s="2711">
        <v>40575</v>
      </c>
      <c r="DC17" s="2711">
        <v>40603</v>
      </c>
      <c r="DD17" s="2711">
        <v>40634</v>
      </c>
      <c r="DE17" s="2711">
        <v>40664</v>
      </c>
      <c r="DF17" s="2711">
        <v>40695</v>
      </c>
      <c r="DG17" s="2711">
        <v>40725</v>
      </c>
      <c r="DH17" s="2711">
        <v>40756</v>
      </c>
      <c r="DI17" s="2711">
        <v>40787</v>
      </c>
      <c r="DJ17" s="2619">
        <v>40817</v>
      </c>
      <c r="DK17" s="2619">
        <v>40848</v>
      </c>
      <c r="DL17" s="2617">
        <v>40878</v>
      </c>
      <c r="DM17" s="2619">
        <v>40909</v>
      </c>
      <c r="DN17" s="2619">
        <v>40940</v>
      </c>
      <c r="DO17" s="2619">
        <v>40969</v>
      </c>
      <c r="DP17" s="2619">
        <v>41000</v>
      </c>
      <c r="DQ17" s="2619">
        <v>41030</v>
      </c>
      <c r="DR17" s="2619">
        <v>41061</v>
      </c>
      <c r="DS17" s="2619">
        <v>41091</v>
      </c>
      <c r="DT17" s="2619">
        <v>41122</v>
      </c>
      <c r="DU17" s="2619">
        <v>41153</v>
      </c>
      <c r="DV17" s="2604">
        <v>41183</v>
      </c>
      <c r="DW17" s="2680">
        <v>41214</v>
      </c>
      <c r="DX17" s="2604">
        <v>41244</v>
      </c>
      <c r="DY17" s="2680">
        <v>41275</v>
      </c>
      <c r="DZ17" s="2619">
        <v>41306</v>
      </c>
      <c r="EA17" s="2619">
        <v>41334</v>
      </c>
      <c r="EB17" s="2619">
        <v>41365</v>
      </c>
      <c r="EC17" s="2619">
        <v>41395</v>
      </c>
      <c r="ED17" s="2619">
        <v>41426</v>
      </c>
      <c r="EE17" s="2619">
        <v>41456</v>
      </c>
      <c r="EF17" s="2619">
        <v>41487</v>
      </c>
      <c r="EG17" s="2619">
        <v>41518</v>
      </c>
      <c r="EH17" s="2619">
        <v>41548</v>
      </c>
      <c r="EI17" s="2619">
        <v>41579</v>
      </c>
      <c r="EJ17" s="2617">
        <v>41609</v>
      </c>
      <c r="EK17" s="2666">
        <v>41640</v>
      </c>
      <c r="EL17" s="2619">
        <v>41671</v>
      </c>
      <c r="EM17" s="2619">
        <v>41699</v>
      </c>
      <c r="EN17" s="2619">
        <v>41730</v>
      </c>
      <c r="EO17" s="2619">
        <v>41760</v>
      </c>
      <c r="EP17" s="2619">
        <v>41791</v>
      </c>
      <c r="EQ17" s="2619">
        <v>41821</v>
      </c>
      <c r="ER17" s="2619">
        <v>41852</v>
      </c>
      <c r="ES17" s="2619">
        <v>41883</v>
      </c>
      <c r="ET17" s="2619">
        <v>41913</v>
      </c>
      <c r="EU17" s="2619">
        <v>41944</v>
      </c>
      <c r="EV17" s="2617">
        <v>41974</v>
      </c>
      <c r="EW17" s="2666">
        <v>42005</v>
      </c>
      <c r="EX17" s="2619">
        <v>42036</v>
      </c>
      <c r="EY17" s="2604">
        <v>42064</v>
      </c>
      <c r="EZ17" s="2604">
        <v>42095</v>
      </c>
      <c r="FA17" s="2604">
        <v>42125</v>
      </c>
      <c r="FB17" s="2604">
        <v>42156</v>
      </c>
      <c r="FC17" s="2604">
        <v>42186</v>
      </c>
      <c r="FD17" s="2604">
        <v>42217</v>
      </c>
      <c r="FE17" s="2706">
        <v>42248</v>
      </c>
      <c r="FF17" s="2701">
        <v>42278</v>
      </c>
      <c r="FG17" s="2694">
        <v>42309</v>
      </c>
      <c r="FH17" s="2694">
        <v>42339</v>
      </c>
      <c r="FI17" s="2694">
        <v>42370</v>
      </c>
      <c r="FJ17" s="2694">
        <v>42401</v>
      </c>
      <c r="FK17" s="2694">
        <v>42430</v>
      </c>
      <c r="FL17" s="2694">
        <v>42461</v>
      </c>
      <c r="FM17" s="2694">
        <v>42491</v>
      </c>
      <c r="FN17" s="2694">
        <v>42522</v>
      </c>
      <c r="FO17" s="2694">
        <v>42552</v>
      </c>
      <c r="FP17" s="2694">
        <v>42583</v>
      </c>
      <c r="FQ17" s="2694">
        <v>42614</v>
      </c>
      <c r="FR17" s="2694">
        <v>42644</v>
      </c>
      <c r="FS17" s="2694">
        <v>42675</v>
      </c>
      <c r="FT17" s="2694">
        <v>42705</v>
      </c>
      <c r="FU17" s="2694">
        <v>42736</v>
      </c>
      <c r="FV17" s="2694">
        <v>42767</v>
      </c>
      <c r="FW17" s="2694">
        <v>42795</v>
      </c>
      <c r="FX17" s="2694">
        <v>42826</v>
      </c>
      <c r="FY17" s="2694">
        <v>42856</v>
      </c>
      <c r="FZ17" s="2694">
        <v>42887</v>
      </c>
      <c r="GA17" s="2694">
        <v>42917</v>
      </c>
      <c r="GB17" s="2694">
        <v>42948</v>
      </c>
      <c r="GC17" s="2694">
        <v>42979</v>
      </c>
      <c r="GD17" s="2694">
        <v>43009</v>
      </c>
      <c r="GE17" s="2694">
        <v>43040</v>
      </c>
      <c r="GF17" s="2694">
        <v>43070</v>
      </c>
      <c r="GG17" s="2694">
        <v>43101</v>
      </c>
      <c r="GH17" s="2694">
        <v>43132</v>
      </c>
      <c r="GI17" s="2694">
        <v>43160</v>
      </c>
      <c r="GJ17" s="2694">
        <v>43191</v>
      </c>
      <c r="GK17" s="2694">
        <v>43221</v>
      </c>
      <c r="GL17" s="2694">
        <v>43252</v>
      </c>
      <c r="GM17" s="2694">
        <v>43282</v>
      </c>
      <c r="GN17" s="2694">
        <v>43313</v>
      </c>
      <c r="GO17" s="2694">
        <v>43344</v>
      </c>
      <c r="GP17" s="2694">
        <v>43374</v>
      </c>
      <c r="GQ17" s="2694">
        <v>43405</v>
      </c>
      <c r="GR17" s="2694">
        <v>43435</v>
      </c>
      <c r="GS17" s="2694">
        <v>43466</v>
      </c>
      <c r="GT17" s="2694">
        <v>43497</v>
      </c>
      <c r="GU17" s="2694">
        <v>43525</v>
      </c>
      <c r="GV17" s="2694">
        <v>43556</v>
      </c>
      <c r="GW17" s="2694">
        <v>43586</v>
      </c>
      <c r="GX17" s="2694">
        <v>43617</v>
      </c>
      <c r="GY17" s="2694">
        <v>43647</v>
      </c>
      <c r="GZ17" s="2694">
        <v>43678</v>
      </c>
      <c r="HA17" s="2694">
        <v>43709</v>
      </c>
      <c r="HB17" s="2694">
        <v>43739</v>
      </c>
      <c r="HC17" s="2694">
        <v>43770</v>
      </c>
      <c r="HD17" s="2694">
        <v>43800</v>
      </c>
      <c r="HE17" s="2694">
        <v>43831</v>
      </c>
      <c r="HF17" s="2694">
        <v>43862</v>
      </c>
      <c r="HG17" s="2601">
        <v>43891</v>
      </c>
      <c r="HH17" s="2694">
        <v>43922</v>
      </c>
      <c r="HI17" s="2694">
        <v>43952</v>
      </c>
      <c r="HJ17" s="2694">
        <v>43983</v>
      </c>
      <c r="HK17" s="2694">
        <v>44013</v>
      </c>
      <c r="HL17" s="2694">
        <v>44044</v>
      </c>
      <c r="HM17" s="2694">
        <v>44075</v>
      </c>
      <c r="HN17" s="2694">
        <v>44105</v>
      </c>
      <c r="HO17" s="2694">
        <v>44136</v>
      </c>
      <c r="HP17" s="2694">
        <v>44166</v>
      </c>
      <c r="HQ17" s="2609">
        <v>44197</v>
      </c>
      <c r="HR17" s="2606">
        <v>44228</v>
      </c>
      <c r="HS17" s="2606">
        <v>44256</v>
      </c>
      <c r="HT17" s="2606">
        <v>44287</v>
      </c>
      <c r="HU17" s="2606">
        <v>44317</v>
      </c>
      <c r="HV17" s="2606">
        <v>44348</v>
      </c>
      <c r="HW17" s="2606">
        <v>44378</v>
      </c>
      <c r="HX17" s="2606">
        <v>44409</v>
      </c>
      <c r="HY17" s="2606">
        <v>44440</v>
      </c>
      <c r="HZ17" s="2606">
        <v>44470</v>
      </c>
      <c r="IA17" s="2606">
        <v>44501</v>
      </c>
      <c r="IB17" s="2769">
        <v>44531</v>
      </c>
      <c r="IC17" s="2606">
        <v>44562</v>
      </c>
      <c r="ID17" s="2606">
        <v>44593</v>
      </c>
      <c r="IE17" s="2606">
        <v>44621</v>
      </c>
      <c r="IF17" s="2612">
        <v>44652</v>
      </c>
      <c r="IG17" s="2769">
        <v>44682</v>
      </c>
      <c r="IH17" s="2612">
        <v>44713</v>
      </c>
      <c r="II17" s="2612">
        <v>44743</v>
      </c>
      <c r="IJ17" s="2612">
        <v>44774</v>
      </c>
      <c r="IK17" s="2612">
        <v>44805</v>
      </c>
      <c r="IL17" s="2612">
        <v>44835</v>
      </c>
      <c r="IM17" s="2612">
        <v>44866</v>
      </c>
      <c r="IN17" s="2612">
        <v>44896</v>
      </c>
      <c r="IO17" s="2612">
        <v>44927</v>
      </c>
      <c r="IP17" s="2612">
        <v>44958</v>
      </c>
      <c r="IQ17" s="53"/>
      <c r="IR17" s="63"/>
      <c r="IS17" s="63"/>
      <c r="IT17" s="21"/>
      <c r="IU17" s="21"/>
      <c r="IV17" s="21"/>
      <c r="IW17" s="21"/>
      <c r="IX17" s="22"/>
      <c r="IY17" s="23"/>
      <c r="IZ17" s="21"/>
      <c r="JA17" s="49"/>
      <c r="JC17" s="21"/>
      <c r="JD17" s="21"/>
      <c r="JE17" s="21"/>
      <c r="JF17" s="923"/>
    </row>
    <row r="18" spans="2:266" ht="8.25" customHeight="1">
      <c r="B18" s="2624"/>
      <c r="C18" s="2631"/>
      <c r="D18" s="2760"/>
      <c r="E18" s="2665"/>
      <c r="F18" s="2635"/>
      <c r="G18" s="2605"/>
      <c r="H18" s="2605"/>
      <c r="I18" s="2605"/>
      <c r="J18" s="2605"/>
      <c r="K18" s="2605"/>
      <c r="L18" s="2605"/>
      <c r="M18" s="2605"/>
      <c r="N18" s="2605"/>
      <c r="O18" s="2605"/>
      <c r="P18" s="2605"/>
      <c r="Q18" s="2605"/>
      <c r="R18" s="2605"/>
      <c r="S18" s="2605"/>
      <c r="T18" s="2605"/>
      <c r="U18" s="2605"/>
      <c r="V18" s="2605"/>
      <c r="W18" s="2605"/>
      <c r="X18" s="2605"/>
      <c r="Y18" s="2605"/>
      <c r="Z18" s="2605"/>
      <c r="AA18" s="2605"/>
      <c r="AB18" s="2605"/>
      <c r="AC18" s="2605"/>
      <c r="AD18" s="2605"/>
      <c r="AE18" s="2605"/>
      <c r="AF18" s="2605"/>
      <c r="AG18" s="2605"/>
      <c r="AH18" s="2605"/>
      <c r="AI18" s="2605"/>
      <c r="AJ18" s="2605"/>
      <c r="AK18" s="2605"/>
      <c r="AL18" s="2605"/>
      <c r="AM18" s="2605"/>
      <c r="AN18" s="2605"/>
      <c r="AO18" s="2605"/>
      <c r="AP18" s="2605"/>
      <c r="AQ18" s="2605"/>
      <c r="AR18" s="2605"/>
      <c r="AS18" s="2605"/>
      <c r="AT18" s="2605"/>
      <c r="AU18" s="2605"/>
      <c r="AV18" s="2605"/>
      <c r="AW18" s="2605"/>
      <c r="AX18" s="2605"/>
      <c r="AY18" s="2605"/>
      <c r="AZ18" s="2605"/>
      <c r="BA18" s="2605"/>
      <c r="BB18" s="2605"/>
      <c r="BC18" s="2605"/>
      <c r="BD18" s="2605"/>
      <c r="BE18" s="2605"/>
      <c r="BF18" s="2605"/>
      <c r="BG18" s="2605"/>
      <c r="BH18" s="2605"/>
      <c r="BI18" s="2605"/>
      <c r="BJ18" s="2605"/>
      <c r="BK18" s="2605"/>
      <c r="BL18" s="2741"/>
      <c r="BM18" s="2741"/>
      <c r="BN18" s="2741"/>
      <c r="BO18" s="2741"/>
      <c r="BP18" s="2743"/>
      <c r="BQ18" s="2635">
        <v>39448</v>
      </c>
      <c r="BR18" s="2605"/>
      <c r="BS18" s="2741"/>
      <c r="BT18" s="2741"/>
      <c r="BU18" s="2741"/>
      <c r="BV18" s="2741"/>
      <c r="BW18" s="2741"/>
      <c r="BX18" s="2741"/>
      <c r="BY18" s="2699"/>
      <c r="BZ18" s="2741"/>
      <c r="CA18" s="2699"/>
      <c r="CB18" s="2704"/>
      <c r="CC18" s="2640"/>
      <c r="CD18" s="2716"/>
      <c r="CE18" s="2716"/>
      <c r="CF18" s="2716"/>
      <c r="CG18" s="2716"/>
      <c r="CH18" s="2716"/>
      <c r="CI18" s="2716"/>
      <c r="CJ18" s="2646"/>
      <c r="CK18" s="2646"/>
      <c r="CL18" s="2716"/>
      <c r="CM18" s="2675"/>
      <c r="CN18" s="2646"/>
      <c r="CO18" s="2640"/>
      <c r="CP18" s="2716"/>
      <c r="CQ18" s="2716"/>
      <c r="CR18" s="2712"/>
      <c r="CS18" s="2735"/>
      <c r="CT18" s="2719"/>
      <c r="CU18" s="2726"/>
      <c r="CV18" s="2729"/>
      <c r="CW18" s="2732"/>
      <c r="CX18" s="2726"/>
      <c r="CY18" s="2712"/>
      <c r="CZ18" s="2712"/>
      <c r="DA18" s="2723"/>
      <c r="DB18" s="2712"/>
      <c r="DC18" s="2712"/>
      <c r="DD18" s="2712"/>
      <c r="DE18" s="2712"/>
      <c r="DF18" s="2712"/>
      <c r="DG18" s="2712"/>
      <c r="DH18" s="2712"/>
      <c r="DI18" s="2712"/>
      <c r="DJ18" s="2697"/>
      <c r="DK18" s="2697"/>
      <c r="DL18" s="2704"/>
      <c r="DM18" s="2697"/>
      <c r="DN18" s="2697"/>
      <c r="DO18" s="2697"/>
      <c r="DP18" s="2697"/>
      <c r="DQ18" s="2697"/>
      <c r="DR18" s="2697"/>
      <c r="DS18" s="2697"/>
      <c r="DT18" s="2697"/>
      <c r="DU18" s="2697"/>
      <c r="DV18" s="2699"/>
      <c r="DW18" s="2714"/>
      <c r="DX18" s="2699"/>
      <c r="DY18" s="2714"/>
      <c r="DZ18" s="2697"/>
      <c r="EA18" s="2697"/>
      <c r="EB18" s="2697"/>
      <c r="EC18" s="2697"/>
      <c r="ED18" s="2697"/>
      <c r="EE18" s="2697"/>
      <c r="EF18" s="2697"/>
      <c r="EG18" s="2697"/>
      <c r="EH18" s="2697"/>
      <c r="EI18" s="2697"/>
      <c r="EJ18" s="2704"/>
      <c r="EK18" s="2667"/>
      <c r="EL18" s="2697"/>
      <c r="EM18" s="2697"/>
      <c r="EN18" s="2697"/>
      <c r="EO18" s="2697"/>
      <c r="EP18" s="2697"/>
      <c r="EQ18" s="2697"/>
      <c r="ER18" s="2697"/>
      <c r="ES18" s="2697"/>
      <c r="ET18" s="2697"/>
      <c r="EU18" s="2697"/>
      <c r="EV18" s="2704"/>
      <c r="EW18" s="2667"/>
      <c r="EX18" s="2697"/>
      <c r="EY18" s="2699"/>
      <c r="EZ18" s="2699"/>
      <c r="FA18" s="2699"/>
      <c r="FB18" s="2699"/>
      <c r="FC18" s="2699"/>
      <c r="FD18" s="2699"/>
      <c r="FE18" s="2707"/>
      <c r="FF18" s="2702"/>
      <c r="FG18" s="2695"/>
      <c r="FH18" s="2695"/>
      <c r="FI18" s="2695"/>
      <c r="FJ18" s="2695"/>
      <c r="FK18" s="2695"/>
      <c r="FL18" s="2695"/>
      <c r="FM18" s="2695"/>
      <c r="FN18" s="2695"/>
      <c r="FO18" s="2695"/>
      <c r="FP18" s="2695"/>
      <c r="FQ18" s="2695"/>
      <c r="FR18" s="2695"/>
      <c r="FS18" s="2695"/>
      <c r="FT18" s="2695"/>
      <c r="FU18" s="2695"/>
      <c r="FV18" s="2695"/>
      <c r="FW18" s="2695"/>
      <c r="FX18" s="2695"/>
      <c r="FY18" s="2695"/>
      <c r="FZ18" s="2695"/>
      <c r="GA18" s="2695"/>
      <c r="GB18" s="2695"/>
      <c r="GC18" s="2695"/>
      <c r="GD18" s="2695"/>
      <c r="GE18" s="2695"/>
      <c r="GF18" s="2695"/>
      <c r="GG18" s="2695"/>
      <c r="GH18" s="2695"/>
      <c r="GI18" s="2695"/>
      <c r="GJ18" s="2695"/>
      <c r="GK18" s="2695"/>
      <c r="GL18" s="2695"/>
      <c r="GM18" s="2695"/>
      <c r="GN18" s="2695"/>
      <c r="GO18" s="2695"/>
      <c r="GP18" s="2695"/>
      <c r="GQ18" s="2695"/>
      <c r="GR18" s="2695"/>
      <c r="GS18" s="2695"/>
      <c r="GT18" s="2695"/>
      <c r="GU18" s="2695"/>
      <c r="GV18" s="2695"/>
      <c r="GW18" s="2695"/>
      <c r="GX18" s="2695"/>
      <c r="GY18" s="2695"/>
      <c r="GZ18" s="2695"/>
      <c r="HA18" s="2695"/>
      <c r="HB18" s="2695"/>
      <c r="HC18" s="2695"/>
      <c r="HD18" s="2695"/>
      <c r="HE18" s="2695"/>
      <c r="HF18" s="2695"/>
      <c r="HG18" s="2602"/>
      <c r="HH18" s="2695"/>
      <c r="HI18" s="2695"/>
      <c r="HJ18" s="2695"/>
      <c r="HK18" s="2695"/>
      <c r="HL18" s="2695"/>
      <c r="HM18" s="2695"/>
      <c r="HN18" s="2695"/>
      <c r="HO18" s="2695"/>
      <c r="HP18" s="2695"/>
      <c r="HQ18" s="2610"/>
      <c r="HR18" s="2607"/>
      <c r="HS18" s="2607"/>
      <c r="HT18" s="2607"/>
      <c r="HU18" s="2607"/>
      <c r="HV18" s="2607"/>
      <c r="HW18" s="2607"/>
      <c r="HX18" s="2607"/>
      <c r="HY18" s="2607"/>
      <c r="HZ18" s="2607"/>
      <c r="IA18" s="2607"/>
      <c r="IB18" s="2770"/>
      <c r="IC18" s="2607"/>
      <c r="ID18" s="2607"/>
      <c r="IE18" s="2607"/>
      <c r="IF18" s="2613"/>
      <c r="IG18" s="2770"/>
      <c r="IH18" s="2613"/>
      <c r="II18" s="2613"/>
      <c r="IJ18" s="2613"/>
      <c r="IK18" s="2613"/>
      <c r="IL18" s="2613"/>
      <c r="IM18" s="2613"/>
      <c r="IN18" s="2613"/>
      <c r="IO18" s="2613"/>
      <c r="IP18" s="2613"/>
      <c r="IQ18" s="272"/>
      <c r="IR18" s="63"/>
      <c r="IS18" s="63"/>
      <c r="IT18" s="21"/>
      <c r="IU18" s="21"/>
      <c r="IV18" s="21"/>
      <c r="IW18" s="21"/>
      <c r="IX18" s="22"/>
      <c r="IY18" s="23"/>
      <c r="IZ18" s="21"/>
      <c r="JA18" s="49"/>
      <c r="JC18" s="21"/>
      <c r="JD18" s="21"/>
      <c r="JE18" s="21"/>
      <c r="JF18" s="923"/>
    </row>
    <row r="19" spans="2:266" ht="3" customHeight="1" thickBot="1">
      <c r="B19" s="2625"/>
      <c r="C19" s="2761"/>
      <c r="D19" s="2762"/>
      <c r="E19" s="2755"/>
      <c r="F19" s="2745"/>
      <c r="G19" s="2740"/>
      <c r="H19" s="2740"/>
      <c r="I19" s="2740"/>
      <c r="J19" s="2740"/>
      <c r="K19" s="2740"/>
      <c r="L19" s="2740"/>
      <c r="M19" s="2740"/>
      <c r="N19" s="2740"/>
      <c r="O19" s="2740"/>
      <c r="P19" s="2740"/>
      <c r="Q19" s="2740"/>
      <c r="R19" s="2740"/>
      <c r="S19" s="2740"/>
      <c r="T19" s="2740"/>
      <c r="U19" s="2740"/>
      <c r="V19" s="2740"/>
      <c r="W19" s="2740"/>
      <c r="X19" s="2740"/>
      <c r="Y19" s="2740"/>
      <c r="Z19" s="2740"/>
      <c r="AA19" s="2740"/>
      <c r="AB19" s="2740"/>
      <c r="AC19" s="2740"/>
      <c r="AD19" s="2740"/>
      <c r="AE19" s="2740"/>
      <c r="AF19" s="2740"/>
      <c r="AG19" s="2740"/>
      <c r="AH19" s="2740"/>
      <c r="AI19" s="2740"/>
      <c r="AJ19" s="2740"/>
      <c r="AK19" s="2740"/>
      <c r="AL19" s="2740"/>
      <c r="AM19" s="2740"/>
      <c r="AN19" s="2740"/>
      <c r="AO19" s="2740"/>
      <c r="AP19" s="2740"/>
      <c r="AQ19" s="2740"/>
      <c r="AR19" s="2740"/>
      <c r="AS19" s="2740"/>
      <c r="AT19" s="2740"/>
      <c r="AU19" s="2740"/>
      <c r="AV19" s="2740"/>
      <c r="AW19" s="2740"/>
      <c r="AX19" s="2740"/>
      <c r="AY19" s="2740"/>
      <c r="AZ19" s="2740"/>
      <c r="BA19" s="2740"/>
      <c r="BB19" s="2740"/>
      <c r="BC19" s="2740"/>
      <c r="BD19" s="2740"/>
      <c r="BE19" s="2740"/>
      <c r="BF19" s="2740"/>
      <c r="BG19" s="2740"/>
      <c r="BH19" s="2740"/>
      <c r="BI19" s="2740"/>
      <c r="BJ19" s="2740"/>
      <c r="BK19" s="2740"/>
      <c r="BL19" s="2742"/>
      <c r="BM19" s="2742"/>
      <c r="BN19" s="2742"/>
      <c r="BO19" s="2742"/>
      <c r="BP19" s="2744"/>
      <c r="BQ19" s="2745"/>
      <c r="BR19" s="2740"/>
      <c r="BS19" s="2742"/>
      <c r="BT19" s="2742"/>
      <c r="BU19" s="2742"/>
      <c r="BV19" s="2742"/>
      <c r="BW19" s="2742"/>
      <c r="BX19" s="2742"/>
      <c r="BY19" s="2700"/>
      <c r="BZ19" s="2742"/>
      <c r="CA19" s="2700"/>
      <c r="CB19" s="2705"/>
      <c r="CC19" s="2764"/>
      <c r="CD19" s="2717"/>
      <c r="CE19" s="2717"/>
      <c r="CF19" s="2717"/>
      <c r="CG19" s="2717"/>
      <c r="CH19" s="2717"/>
      <c r="CI19" s="2717"/>
      <c r="CJ19" s="2737"/>
      <c r="CK19" s="2737"/>
      <c r="CL19" s="2717"/>
      <c r="CM19" s="2739"/>
      <c r="CN19" s="2737"/>
      <c r="CO19" s="2764"/>
      <c r="CP19" s="2717"/>
      <c r="CQ19" s="2717"/>
      <c r="CR19" s="2713"/>
      <c r="CS19" s="2736"/>
      <c r="CT19" s="2720"/>
      <c r="CU19" s="2727"/>
      <c r="CV19" s="2730"/>
      <c r="CW19" s="2733"/>
      <c r="CX19" s="2727"/>
      <c r="CY19" s="2713"/>
      <c r="CZ19" s="2713"/>
      <c r="DA19" s="2724"/>
      <c r="DB19" s="2713"/>
      <c r="DC19" s="2713"/>
      <c r="DD19" s="2713"/>
      <c r="DE19" s="2713"/>
      <c r="DF19" s="2713"/>
      <c r="DG19" s="2713"/>
      <c r="DH19" s="2713"/>
      <c r="DI19" s="2713"/>
      <c r="DJ19" s="2710"/>
      <c r="DK19" s="2710"/>
      <c r="DL19" s="2721"/>
      <c r="DM19" s="2710"/>
      <c r="DN19" s="2710"/>
      <c r="DO19" s="2697"/>
      <c r="DP19" s="2710"/>
      <c r="DQ19" s="2698"/>
      <c r="DR19" s="2710"/>
      <c r="DS19" s="2698"/>
      <c r="DT19" s="2698"/>
      <c r="DU19" s="2698"/>
      <c r="DV19" s="2700"/>
      <c r="DW19" s="2715"/>
      <c r="DX19" s="2700"/>
      <c r="DY19" s="2715"/>
      <c r="DZ19" s="2698"/>
      <c r="EA19" s="2698"/>
      <c r="EB19" s="2698"/>
      <c r="EC19" s="2698"/>
      <c r="ED19" s="2698"/>
      <c r="EE19" s="2698"/>
      <c r="EF19" s="2698"/>
      <c r="EG19" s="2698"/>
      <c r="EH19" s="2698"/>
      <c r="EI19" s="2698"/>
      <c r="EJ19" s="2705"/>
      <c r="EK19" s="2709"/>
      <c r="EL19" s="2698"/>
      <c r="EM19" s="2698"/>
      <c r="EN19" s="2698"/>
      <c r="EO19" s="2698"/>
      <c r="EP19" s="2698"/>
      <c r="EQ19" s="2698"/>
      <c r="ER19" s="2698"/>
      <c r="ES19" s="2698"/>
      <c r="ET19" s="2698"/>
      <c r="EU19" s="2698"/>
      <c r="EV19" s="2705"/>
      <c r="EW19" s="2709"/>
      <c r="EX19" s="2698"/>
      <c r="EY19" s="2700"/>
      <c r="EZ19" s="2700"/>
      <c r="FA19" s="2700"/>
      <c r="FB19" s="2700"/>
      <c r="FC19" s="2700"/>
      <c r="FD19" s="2700"/>
      <c r="FE19" s="2708"/>
      <c r="FF19" s="2703"/>
      <c r="FG19" s="2696"/>
      <c r="FH19" s="2696"/>
      <c r="FI19" s="2696"/>
      <c r="FJ19" s="2696"/>
      <c r="FK19" s="2696"/>
      <c r="FL19" s="2696"/>
      <c r="FM19" s="2696"/>
      <c r="FN19" s="2696"/>
      <c r="FO19" s="2696"/>
      <c r="FP19" s="2696"/>
      <c r="FQ19" s="2696"/>
      <c r="FR19" s="2696"/>
      <c r="FS19" s="2696"/>
      <c r="FT19" s="2696"/>
      <c r="FU19" s="2696"/>
      <c r="FV19" s="2696"/>
      <c r="FW19" s="2696"/>
      <c r="FX19" s="2696"/>
      <c r="FY19" s="2696"/>
      <c r="FZ19" s="2696"/>
      <c r="GA19" s="2696"/>
      <c r="GB19" s="2696"/>
      <c r="GC19" s="2696"/>
      <c r="GD19" s="2696"/>
      <c r="GE19" s="2696"/>
      <c r="GF19" s="2696"/>
      <c r="GG19" s="2696"/>
      <c r="GH19" s="2696"/>
      <c r="GI19" s="2696"/>
      <c r="GJ19" s="2696"/>
      <c r="GK19" s="2696"/>
      <c r="GL19" s="2696"/>
      <c r="GM19" s="2696"/>
      <c r="GN19" s="2696"/>
      <c r="GO19" s="2696"/>
      <c r="GP19" s="2696"/>
      <c r="GQ19" s="2696"/>
      <c r="GR19" s="2696"/>
      <c r="GS19" s="2696"/>
      <c r="GT19" s="2696"/>
      <c r="GU19" s="2696"/>
      <c r="GV19" s="2696"/>
      <c r="GW19" s="2696"/>
      <c r="GX19" s="2696"/>
      <c r="GY19" s="2696"/>
      <c r="GZ19" s="2696"/>
      <c r="HA19" s="2696"/>
      <c r="HB19" s="2696"/>
      <c r="HC19" s="2696"/>
      <c r="HD19" s="2696"/>
      <c r="HE19" s="2696"/>
      <c r="HF19" s="2696"/>
      <c r="HG19" s="2766"/>
      <c r="HH19" s="2696"/>
      <c r="HI19" s="2696"/>
      <c r="HJ19" s="2696"/>
      <c r="HK19" s="2696"/>
      <c r="HL19" s="2696"/>
      <c r="HM19" s="2696"/>
      <c r="HN19" s="2696"/>
      <c r="HO19" s="2696"/>
      <c r="HP19" s="2696"/>
      <c r="HQ19" s="2768"/>
      <c r="HR19" s="2767"/>
      <c r="HS19" s="2767"/>
      <c r="HT19" s="2767"/>
      <c r="HU19" s="2767"/>
      <c r="HV19" s="2767"/>
      <c r="HW19" s="2767"/>
      <c r="HX19" s="2767"/>
      <c r="HY19" s="2767"/>
      <c r="HZ19" s="2767"/>
      <c r="IA19" s="2767"/>
      <c r="IB19" s="2771"/>
      <c r="IC19" s="2767"/>
      <c r="ID19" s="2767"/>
      <c r="IE19" s="2767"/>
      <c r="IF19" s="2693"/>
      <c r="IG19" s="2771"/>
      <c r="IH19" s="2693"/>
      <c r="II19" s="2693"/>
      <c r="IJ19" s="2693"/>
      <c r="IK19" s="2693"/>
      <c r="IL19" s="2693"/>
      <c r="IM19" s="2693"/>
      <c r="IN19" s="2693"/>
      <c r="IO19" s="2693"/>
      <c r="IP19" s="2693"/>
      <c r="IQ19" s="272"/>
      <c r="IR19" s="63"/>
      <c r="IS19" s="63"/>
      <c r="IT19" s="21"/>
      <c r="IU19" s="21"/>
      <c r="IV19" s="21"/>
      <c r="IW19" s="21"/>
      <c r="IX19" s="22"/>
      <c r="IY19" s="23"/>
      <c r="IZ19" s="21"/>
      <c r="JA19" s="49"/>
      <c r="JC19" s="21"/>
      <c r="JD19" s="21"/>
      <c r="JE19" s="21"/>
      <c r="JF19" s="923"/>
    </row>
    <row r="20" spans="2:266" ht="18">
      <c r="B20" s="371" t="s">
        <v>572</v>
      </c>
      <c r="C20" s="2672">
        <v>222</v>
      </c>
      <c r="D20" s="2662"/>
      <c r="E20" s="1755">
        <v>100</v>
      </c>
      <c r="F20" s="690">
        <v>311.52999999999997</v>
      </c>
      <c r="G20" s="691">
        <v>287.05</v>
      </c>
      <c r="H20" s="691">
        <v>283.47000000000003</v>
      </c>
      <c r="I20" s="691">
        <v>270.45999999999998</v>
      </c>
      <c r="J20" s="691">
        <v>267.06</v>
      </c>
      <c r="K20" s="516">
        <v>251.92</v>
      </c>
      <c r="L20" s="691">
        <v>240.1</v>
      </c>
      <c r="M20" s="691">
        <v>231.79</v>
      </c>
      <c r="N20" s="691">
        <v>229.73</v>
      </c>
      <c r="O20" s="691">
        <v>224.3</v>
      </c>
      <c r="P20" s="691">
        <v>230.57</v>
      </c>
      <c r="Q20" s="691">
        <v>230.71</v>
      </c>
      <c r="R20" s="691">
        <v>227.05</v>
      </c>
      <c r="S20" s="691">
        <v>228.31</v>
      </c>
      <c r="T20" s="691">
        <v>233.62</v>
      </c>
      <c r="U20" s="691">
        <v>231.9</v>
      </c>
      <c r="V20" s="691">
        <v>233.13</v>
      </c>
      <c r="W20" s="691">
        <v>232.09</v>
      </c>
      <c r="X20" s="691">
        <v>227.41</v>
      </c>
      <c r="Y20" s="691">
        <v>231.5</v>
      </c>
      <c r="Z20" s="691">
        <v>233.72</v>
      </c>
      <c r="AA20" s="691">
        <v>232.24</v>
      </c>
      <c r="AB20" s="691">
        <f>+'ANEXOA-MODIFICADO'!K31</f>
        <v>236.09</v>
      </c>
      <c r="AC20" s="691">
        <v>231.54</v>
      </c>
      <c r="AD20" s="691">
        <f>+'ANEXOA-MODIFICADO'!M31</f>
        <v>230.78</v>
      </c>
      <c r="AE20" s="691">
        <f>+'ANEXOA-MODIFICADO'!N31</f>
        <v>230.89</v>
      </c>
      <c r="AF20" s="691">
        <f>+'ANEXOA-MODIFICADO'!O31</f>
        <v>233.02</v>
      </c>
      <c r="AG20" s="691">
        <f>+'ANEXOA-MODIFICADO'!D39</f>
        <v>232.13</v>
      </c>
      <c r="AH20" s="691">
        <f>+'ANEXOA-MODIFICADO'!E39</f>
        <v>229.97</v>
      </c>
      <c r="AI20" s="691">
        <f>+'ANEXOA-MODIFICADO'!F39</f>
        <v>231.29</v>
      </c>
      <c r="AJ20" s="691">
        <f>+'ANEXOA-MODIFICADO'!G39</f>
        <v>231.38</v>
      </c>
      <c r="AK20" s="691">
        <f>+'ANEXOA-MODIFICADO'!H39</f>
        <v>231.27</v>
      </c>
      <c r="AL20" s="691">
        <f>+'ANEXOA-MODIFICADO'!I39</f>
        <v>229.65</v>
      </c>
      <c r="AM20" s="691">
        <f>+'ANEXOA-MODIFICADO'!J39</f>
        <v>229.03</v>
      </c>
      <c r="AN20" s="691">
        <f>+'ANEXOA-MODIFICADO'!K39</f>
        <v>230.01</v>
      </c>
      <c r="AO20" s="691">
        <f>+'ANEXOA-MODIFICADO'!L39</f>
        <v>231.04</v>
      </c>
      <c r="AP20" s="691">
        <f>+'ANEXOA-MODIFICADO'!M39</f>
        <v>233.38</v>
      </c>
      <c r="AQ20" s="691">
        <f>+'ANEXOA-MODIFICADO'!N39</f>
        <v>233.4</v>
      </c>
      <c r="AR20" s="691">
        <f>+'ANEXOA-MODIFICADO'!O39</f>
        <v>236.03</v>
      </c>
      <c r="AS20" s="691">
        <f>+'ANEXOA-MODIFICADO'!D47</f>
        <v>238.35</v>
      </c>
      <c r="AT20" s="691">
        <f>+'ANEXOA-MODIFICADO'!E47</f>
        <v>239.91</v>
      </c>
      <c r="AU20" s="691">
        <f>+'ANEXOA-MODIFICADO'!F47</f>
        <v>241.5</v>
      </c>
      <c r="AV20" s="691">
        <f>+'ANEXOA-MODIFICADO'!G47</f>
        <v>235.88</v>
      </c>
      <c r="AW20" s="691">
        <f>+'ANEXOA-MODIFICADO'!H47</f>
        <v>236.38</v>
      </c>
      <c r="AX20" s="691">
        <f>+'ANEXOA-MODIFICADO'!I47</f>
        <v>236.81</v>
      </c>
      <c r="AY20" s="691">
        <f>+'ANEXOA-MODIFICADO'!J47</f>
        <v>238.16</v>
      </c>
      <c r="AZ20" s="691">
        <f>+'ANEXOA-MODIFICADO'!K47</f>
        <v>241.89</v>
      </c>
      <c r="BA20" s="691">
        <f>+'ANEXOA-MODIFICADO'!L47</f>
        <v>243.45</v>
      </c>
      <c r="BB20" s="691">
        <f>+'ANEXOA-MODIFICADO'!M47</f>
        <v>240.71</v>
      </c>
      <c r="BC20" s="691">
        <f>+'ANEXOA-MODIFICADO'!N47</f>
        <v>236.34</v>
      </c>
      <c r="BD20" s="691">
        <f>+'ANEXOA-MODIFICADO'!O47</f>
        <v>236.63</v>
      </c>
      <c r="BE20" s="691">
        <f>+'ANEXOA-MODIFICADO'!D55</f>
        <v>237.51</v>
      </c>
      <c r="BF20" s="691">
        <f>+'ANEXOA-MODIFICADO'!E55</f>
        <v>240.29</v>
      </c>
      <c r="BG20" s="691">
        <f>+'ANEXOA-MODIFICADO'!F55</f>
        <v>238.62</v>
      </c>
      <c r="BH20" s="691">
        <f>+'ANEXOA-MODIFICADO'!G55</f>
        <v>239.24</v>
      </c>
      <c r="BI20" s="691">
        <f>+'ANEXOA-MODIFICADO'!H55</f>
        <v>241.52</v>
      </c>
      <c r="BJ20" s="691">
        <f>+'ANEXOA-MODIFICADO'!I55</f>
        <v>242.14</v>
      </c>
      <c r="BK20" s="691">
        <f>+'ANEXOA-MODIFICADO'!J55</f>
        <v>243.54</v>
      </c>
      <c r="BL20" s="691">
        <f>+'ANEXOA-MODIFICADO'!K55</f>
        <v>246.09</v>
      </c>
      <c r="BM20" s="691">
        <f>+'ANEXOA-MODIFICADO'!L55</f>
        <v>245.95</v>
      </c>
      <c r="BN20" s="691">
        <f>+'ANEXOA-MODIFICADO'!M55</f>
        <v>247.8</v>
      </c>
      <c r="BO20" s="691">
        <f>+'ANEXOA-MODIFICADO'!N55</f>
        <v>247.26</v>
      </c>
      <c r="BP20" s="574">
        <f>+'ANEXOA-MODIFICADO'!O55</f>
        <v>249.53</v>
      </c>
      <c r="BQ20" s="690">
        <f>+'ANEXOA-MODIFICADO'!D64</f>
        <v>247.98</v>
      </c>
      <c r="BR20" s="691">
        <f>+'ANEXOA-MODIFICADO'!E61</f>
        <v>250.75</v>
      </c>
      <c r="BS20" s="691">
        <f>+'ANEXOA-MODIFICADO'!F61</f>
        <v>254.97</v>
      </c>
      <c r="BT20" s="691">
        <f>+'ANEXOA-MODIFICADO'!G61</f>
        <v>258.94</v>
      </c>
      <c r="BU20" s="691">
        <f>+'ANEXOA-MODIFICADO'!H61</f>
        <v>259.98</v>
      </c>
      <c r="BV20" s="691">
        <f>+'ANEXOA-MODIFICADO'!I61</f>
        <v>258.13</v>
      </c>
      <c r="BW20" s="691">
        <f>+'ANEXOA-MODIFICADO'!J61</f>
        <v>257.89999999999998</v>
      </c>
      <c r="BX20" s="691">
        <f>+'ANEXOA-MODIFICADO'!K61</f>
        <v>259.3</v>
      </c>
      <c r="BY20" s="691">
        <f>+'ANEXOA-MODIFICADO'!L61</f>
        <v>259.5</v>
      </c>
      <c r="BZ20" s="691">
        <f>+'ANEXOA-MODIFICADO'!M61</f>
        <v>265.11</v>
      </c>
      <c r="CA20" s="691">
        <f>+'ANEXOA-MODIFICADO'!N61</f>
        <v>266.68</v>
      </c>
      <c r="CB20" s="574">
        <f>+'ANEXOA-MODIFICADO'!O61</f>
        <v>270.3</v>
      </c>
      <c r="CC20" s="690">
        <f>'ANEXOA-MODIFICADO'!D71</f>
        <v>271.44</v>
      </c>
      <c r="CD20" s="691">
        <f>'ANEXOA-MODIFICADO'!E71</f>
        <v>274.99</v>
      </c>
      <c r="CE20" s="691">
        <f>'ANEXOA-MODIFICADO'!F71</f>
        <v>279.47000000000003</v>
      </c>
      <c r="CF20" s="691">
        <f>'ANEXOA-MODIFICADO'!G71</f>
        <v>283.89</v>
      </c>
      <c r="CG20" s="691">
        <f>'ANEXOA-MODIFICADO'!H71</f>
        <v>285.73</v>
      </c>
      <c r="CH20" s="691">
        <f>'ANEXOA-MODIFICADO'!I71</f>
        <v>286.08999999999997</v>
      </c>
      <c r="CI20" s="691">
        <f>'ANEXOA-MODIFICADO'!J71</f>
        <v>287.45</v>
      </c>
      <c r="CJ20" s="701">
        <f>'ANEXOA-MODIFICADO'!K71</f>
        <v>291.01</v>
      </c>
      <c r="CK20" s="701">
        <f>'ANEXOA-MODIFICADO'!L71</f>
        <v>292.39</v>
      </c>
      <c r="CL20" s="691">
        <f>'ANEXOA-MODIFICADO'!M71</f>
        <v>293.5</v>
      </c>
      <c r="CM20" s="701">
        <f>'ANEXOA-MODIFICADO'!N71</f>
        <v>293.26</v>
      </c>
      <c r="CN20" s="701">
        <f>'ANEXOA-MODIFICADO'!O71</f>
        <v>293.41000000000003</v>
      </c>
      <c r="CO20" s="690">
        <f>+'ANEXOA-MODIFICADO'!D78</f>
        <v>294.48</v>
      </c>
      <c r="CP20" s="691">
        <f>+'ANEXOA-MODIFICADO'!E78</f>
        <v>297.39999999999998</v>
      </c>
      <c r="CQ20" s="691">
        <f>+'ANEXOA-MODIFICADO'!F78</f>
        <v>298.51</v>
      </c>
      <c r="CR20" s="691">
        <f>+'ANEXOA-MODIFICADO'!G78</f>
        <v>299.66000000000003</v>
      </c>
      <c r="CS20" s="691">
        <f>+'ANEXOA-MODIFICADO'!H78</f>
        <v>303.18</v>
      </c>
      <c r="CT20" s="691">
        <f>+'ANEXOA-MODIFICADO'!I78</f>
        <v>302.92</v>
      </c>
      <c r="CU20" s="691">
        <f>+'ANEXOA-MODIFICADO'!J78</f>
        <v>304.89999999999998</v>
      </c>
      <c r="CV20" s="691">
        <f>+'ANEXOA-MODIFICADO'!K78</f>
        <v>305.45999999999998</v>
      </c>
      <c r="CW20" s="1119">
        <f>+'ANEXOA-MODIFICADO'!L78</f>
        <v>307.23</v>
      </c>
      <c r="CX20" s="451">
        <f>+'ANEXOA-MODIFICADO'!M78</f>
        <v>312.12</v>
      </c>
      <c r="CY20" s="451">
        <f>+'ANEXOA-MODIFICADO'!N78</f>
        <v>312.29000000000002</v>
      </c>
      <c r="CZ20" s="451">
        <f>+'ANEXOA-MODIFICADO'!O78</f>
        <v>312.8</v>
      </c>
      <c r="DA20" s="451">
        <f>+'ANEXOA-MODIFICADO'!D85</f>
        <v>314.74</v>
      </c>
      <c r="DB20" s="451">
        <f>+'ANEXOA-MODIFICADO'!E85</f>
        <v>316.7</v>
      </c>
      <c r="DC20" s="451">
        <f>+'ANEXOA-MODIFICADO'!F85</f>
        <v>316.02</v>
      </c>
      <c r="DD20" s="451">
        <f>+'ANEXOA-MODIFICADO'!G85</f>
        <v>319.25</v>
      </c>
      <c r="DE20" s="451">
        <f>+'ANEXOA-MODIFICADO'!H85</f>
        <v>320.07</v>
      </c>
      <c r="DF20" s="451">
        <f>+'ANEXOA-MODIFICADO'!I85</f>
        <v>322.97000000000003</v>
      </c>
      <c r="DG20" s="451">
        <f>+'ANEXOA-MODIFICADO'!J85</f>
        <v>326.48</v>
      </c>
      <c r="DH20" s="451">
        <f>+'ANEXOA-MODIFICADO'!K85</f>
        <v>328.32</v>
      </c>
      <c r="DI20" s="451">
        <f>+'ANEXOA-MODIFICADO'!L85</f>
        <v>329.63</v>
      </c>
      <c r="DJ20" s="451">
        <f>+'ANEXOA-MODIFICADO'!M85</f>
        <v>330.69</v>
      </c>
      <c r="DK20" s="451">
        <f>+'ANEXOA-MODIFICADO'!N85</f>
        <v>330.62</v>
      </c>
      <c r="DL20" s="451">
        <f>+'ANEXOA-MODIFICADO'!O85</f>
        <v>334.4</v>
      </c>
      <c r="DM20" s="451">
        <f>+'ANEXOA-MODIFICADO'!D92</f>
        <v>335.97</v>
      </c>
      <c r="DN20" s="451">
        <f>+'ANEXOA-MODIFICADO'!E92</f>
        <v>336.71</v>
      </c>
      <c r="DO20" s="451">
        <f>+'ANEXOA-MODIFICADO'!F92</f>
        <v>342.98</v>
      </c>
      <c r="DP20" s="451">
        <f>+'ANEXOA-MODIFICADO'!G92</f>
        <v>346.28</v>
      </c>
      <c r="DQ20" s="451">
        <f>+'ANEXOA-MODIFICADO'!H92</f>
        <v>348.05</v>
      </c>
      <c r="DR20" s="451">
        <f>+'ANEXOA-MODIFICADO'!I92</f>
        <v>350.33</v>
      </c>
      <c r="DS20" s="451">
        <f>+'ANEXOA-MODIFICADO'!J92</f>
        <v>356.44</v>
      </c>
      <c r="DT20" s="451">
        <f>+'ANEXOA-MODIFICADO'!K92</f>
        <v>359.35</v>
      </c>
      <c r="DU20" s="451">
        <f>+'ANEXOA-MODIFICADO'!L92</f>
        <v>362.62</v>
      </c>
      <c r="DV20" s="451">
        <f>+'ANEXOA-MODIFICADO'!M92</f>
        <v>364.52</v>
      </c>
      <c r="DW20" s="1147">
        <f>+'ANEXOA-MODIFICADO'!N92</f>
        <v>367.04</v>
      </c>
      <c r="DX20" s="451">
        <f>+'ANEXOA-MODIFICADO'!O92</f>
        <v>369.1</v>
      </c>
      <c r="DY20" s="1147">
        <f>+'ANEXOA-MODIFICADO'!D99</f>
        <v>373.71</v>
      </c>
      <c r="DZ20" s="549">
        <f>+'ANEXOA-MODIFICADO'!E99</f>
        <v>377.44</v>
      </c>
      <c r="EA20" s="549">
        <f>+'ANEXOA-MODIFICADO'!F99</f>
        <v>380.57</v>
      </c>
      <c r="EB20" s="549">
        <f>+'ANEXOA-MODIFICADO'!G99</f>
        <v>385.81</v>
      </c>
      <c r="EC20" s="549">
        <f>+'ANEXOA-MODIFICADO'!H99</f>
        <v>390.47</v>
      </c>
      <c r="ED20" s="549">
        <f>+'ANEXOA-MODIFICADO'!I99</f>
        <v>393.54</v>
      </c>
      <c r="EE20" s="549">
        <f>+'ANEXOA-MODIFICADO'!J99</f>
        <v>396.16</v>
      </c>
      <c r="EF20" s="549">
        <f>+'ANEXOA-MODIFICADO'!K99</f>
        <v>399.84</v>
      </c>
      <c r="EG20" s="549">
        <f>+'ANEXOA-MODIFICADO'!L99</f>
        <v>403.77</v>
      </c>
      <c r="EH20" s="549">
        <f>+'ANEXOA-MODIFICADO'!M99</f>
        <v>405.46</v>
      </c>
      <c r="EI20" s="549">
        <f>+'ANEXOA-MODIFICADO'!N99</f>
        <v>408.27</v>
      </c>
      <c r="EJ20" s="453">
        <f>+'ANEXOA-MODIFICADO'!O99</f>
        <v>417.76</v>
      </c>
      <c r="EK20" s="998">
        <f>'ANEXOA-MODIFICADO'!D106</f>
        <v>429.35</v>
      </c>
      <c r="EL20" s="460">
        <f>'ANEXOA-MODIFICADO'!E106</f>
        <v>462.13</v>
      </c>
      <c r="EM20" s="460">
        <f>'ANEXOA-MODIFICADO'!F106</f>
        <v>471.88</v>
      </c>
      <c r="EN20" s="460">
        <f>'ANEXOA-MODIFICADO'!G106</f>
        <v>475.42</v>
      </c>
      <c r="EO20" s="460">
        <f>'ANEXOA-MODIFICADO'!H106</f>
        <v>478.02</v>
      </c>
      <c r="EP20" s="460">
        <f>'ANEXOA-MODIFICADO'!I106</f>
        <v>481.5</v>
      </c>
      <c r="EQ20" s="549">
        <f>'ANEXOA-MODIFICADO'!J106</f>
        <v>480.13</v>
      </c>
      <c r="ER20" s="549">
        <f>'ANEXOA-MODIFICADO'!K106</f>
        <v>497.03</v>
      </c>
      <c r="ES20" s="549">
        <f>'ANEXOA-MODIFICADO'!L106</f>
        <v>502.59</v>
      </c>
      <c r="ET20" s="549">
        <f>'ANEXOA-MODIFICADO'!M106</f>
        <v>507.98</v>
      </c>
      <c r="EU20" s="549">
        <f>'ANEXOA-MODIFICADO'!N106</f>
        <v>514.42999999999995</v>
      </c>
      <c r="EV20" s="453">
        <f>'ANEXOA-MODIFICADO'!O106</f>
        <v>515.37</v>
      </c>
      <c r="EW20" s="1171">
        <f>+'ANEXOA-MODIFICADO'!D113</f>
        <v>518.89</v>
      </c>
      <c r="EX20" s="549">
        <f>+'ANEXOA-MODIFICADO'!E113</f>
        <v>520.91999999999996</v>
      </c>
      <c r="EY20" s="451">
        <f>+'ANEXOA-MODIFICADO'!F113</f>
        <v>533.51</v>
      </c>
      <c r="EZ20" s="451">
        <f>+'ANEXOA-MODIFICADO'!G113</f>
        <v>550.91999999999996</v>
      </c>
      <c r="FA20" s="451">
        <f>+'ANEXOA-MODIFICADO'!H113</f>
        <v>562.13</v>
      </c>
      <c r="FB20" s="451">
        <f>+'ANEXOA-MODIFICADO'!I113</f>
        <v>574.11</v>
      </c>
      <c r="FC20" s="451">
        <f>+'ANEXOA-MODIFICADO'!J113</f>
        <v>584.46</v>
      </c>
      <c r="FD20" s="451">
        <f>+'ANEXOA-MODIFICADO'!K113</f>
        <v>595.29999999999995</v>
      </c>
      <c r="FE20" s="451">
        <f>+'ANEXOA-MODIFICADO'!L113</f>
        <v>597.77</v>
      </c>
      <c r="FF20" s="549">
        <f>+'ANEXOA-MODIFICADO'!M113</f>
        <v>605.84</v>
      </c>
      <c r="FG20" s="453" t="e">
        <f>+'ANEXOA-MODIFICADO'!N113</f>
        <v>#REF!</v>
      </c>
      <c r="FH20" s="453" t="e">
        <f>+'ANEXOA-MODIFICADO'!O113</f>
        <v>#REF!</v>
      </c>
      <c r="FI20" s="1935">
        <f>+'ANEXOA-MODIFICADO'!D120</f>
        <v>100</v>
      </c>
      <c r="FJ20" s="2506">
        <f>+'ANEXOA-MODIFICADO'!E120</f>
        <v>112.96</v>
      </c>
      <c r="FK20" s="453">
        <f>+'ANEXOA-MODIFICADO'!F120</f>
        <v>107.56</v>
      </c>
      <c r="FL20" s="453">
        <f>+'ANEXOA-MODIFICADO'!G120</f>
        <v>106.15</v>
      </c>
      <c r="FM20" s="453">
        <f>+'ANEXOA-MODIFICADO'!H120</f>
        <v>103.93</v>
      </c>
      <c r="FN20" s="453">
        <f>+'ANEXOA-MODIFICADO'!I120</f>
        <v>111.85</v>
      </c>
      <c r="FO20" s="453">
        <f>+'ANEXOA-MODIFICADO'!J120</f>
        <v>111.85</v>
      </c>
      <c r="FP20" s="453">
        <f>+'ANEXOA-MODIFICADO'!K120</f>
        <v>111.85</v>
      </c>
      <c r="FQ20" s="453">
        <f>+'ANEXOA-MODIFICADO'!L120</f>
        <v>112.59</v>
      </c>
      <c r="FR20" s="453">
        <f>+'ANEXOA-MODIFICADO'!M120</f>
        <v>114.59</v>
      </c>
      <c r="FS20" s="453">
        <f>+'ANEXOA-MODIFICADO'!N120</f>
        <v>116.67</v>
      </c>
      <c r="FT20" s="453">
        <f>+'ANEXOA-MODIFICADO'!O120</f>
        <v>118.89</v>
      </c>
      <c r="FU20" s="453">
        <f>+'ANEXOA-MODIFICADO'!D127</f>
        <v>119.26</v>
      </c>
      <c r="FV20" s="453">
        <f>+'ANEXOA-MODIFICADO'!E127</f>
        <v>115.56</v>
      </c>
      <c r="FW20" s="453">
        <f>+'ANEXOA-MODIFICADO'!F127</f>
        <v>115.93</v>
      </c>
      <c r="FX20" s="453">
        <f>+'ANEXOA-MODIFICADO'!G127</f>
        <v>116.3</v>
      </c>
      <c r="FY20" s="453">
        <f>+'ANEXOA-MODIFICADO'!H127</f>
        <v>120</v>
      </c>
      <c r="FZ20" s="453">
        <f>+'ANEXOA-MODIFICADO'!I127</f>
        <v>121.85</v>
      </c>
      <c r="GA20" s="453">
        <f>+'ANEXOA-MODIFICADO'!J127</f>
        <v>137.97999999999999</v>
      </c>
      <c r="GB20" s="453">
        <f>+'ANEXOA-MODIFICADO'!K127</f>
        <v>140.16</v>
      </c>
      <c r="GC20" s="453">
        <f>+'ANEXOA-MODIFICADO'!L127</f>
        <v>137.74</v>
      </c>
      <c r="GD20" s="453">
        <f>+'ANEXOA-MODIFICADO'!M127</f>
        <v>139.6</v>
      </c>
      <c r="GE20" s="453">
        <f>+'ANEXOA-MODIFICADO'!N127</f>
        <v>142.4</v>
      </c>
      <c r="GF20" s="453">
        <f>+'ANEXOA-MODIFICADO'!O127</f>
        <v>146.66999999999999</v>
      </c>
      <c r="GG20" s="453">
        <f>+'ANEXOA-MODIFICADO'!D134</f>
        <v>154</v>
      </c>
      <c r="GH20" s="453">
        <f>+'ANEXOA-MODIFICADO'!E134</f>
        <v>158.62</v>
      </c>
      <c r="GI20" s="453">
        <f>+'ANEXOA-MODIFICADO'!F134</f>
        <v>163.38</v>
      </c>
      <c r="GJ20" s="453">
        <f>+'ANEXOA-MODIFICADO'!G134</f>
        <v>163.38</v>
      </c>
      <c r="GK20" s="453">
        <f>+'ANEXOA-MODIFICADO'!H134</f>
        <v>199.94</v>
      </c>
      <c r="GL20" s="453">
        <f>+'ANEXOA-MODIFICADO'!I134</f>
        <v>226.23</v>
      </c>
      <c r="GM20" s="453">
        <f>+'ANEXOA-MODIFICADO'!J134</f>
        <v>223.84</v>
      </c>
      <c r="GN20" s="453">
        <f>+'ANEXOA-MODIFICADO'!K134</f>
        <v>234.99</v>
      </c>
      <c r="GO20" s="453">
        <f>+'ANEXOA-MODIFICADO'!L134</f>
        <v>316.49</v>
      </c>
      <c r="GP20" s="453">
        <f>+'ANEXOA-MODIFICADO'!M134</f>
        <v>300.87</v>
      </c>
      <c r="GQ20" s="453">
        <f>+'ANEXOA-MODIFICADO'!N134</f>
        <v>283.43</v>
      </c>
      <c r="GR20" s="453">
        <f>+'ANEXOA-MODIFICADO'!O134</f>
        <v>306.31</v>
      </c>
      <c r="GS20" s="453">
        <f>+'ANEXOA-MODIFICADO'!D141</f>
        <v>294.77999999999997</v>
      </c>
      <c r="GT20" s="453">
        <f>+'ANEXOA-MODIFICADO'!E141</f>
        <v>316.83999999999997</v>
      </c>
      <c r="GU20" s="453">
        <f>+'ANEXOA-MODIFICADO'!F141</f>
        <v>326.27</v>
      </c>
      <c r="GV20" s="453">
        <f>+'ANEXOA-MODIFICADO'!G141</f>
        <v>347.76</v>
      </c>
      <c r="GW20" s="453">
        <f>+'ANEXOA-MODIFICADO'!H141</f>
        <v>376.02</v>
      </c>
      <c r="GX20" s="453">
        <f>+'ANEXOA-MODIFICADO'!I141</f>
        <v>357.55</v>
      </c>
      <c r="GY20" s="453">
        <f>+'ANEXOA-MODIFICADO'!J141</f>
        <v>356.55</v>
      </c>
      <c r="GZ20" s="453">
        <f>+'ANEXOA-MODIFICADO'!K141</f>
        <v>459.75</v>
      </c>
      <c r="HA20" s="453">
        <f>+'ANEXOA-MODIFICADO'!L141</f>
        <v>481.2</v>
      </c>
      <c r="HB20" s="453">
        <f>+'ANEXOA-MODIFICADO'!M141</f>
        <v>501.36</v>
      </c>
      <c r="HC20" s="453">
        <f>+'ANEXOA-MODIFICADO'!N141</f>
        <v>484.59</v>
      </c>
      <c r="HD20" s="453">
        <f>+'ANEXOA-MODIFICADO'!O141</f>
        <v>484.59</v>
      </c>
      <c r="HE20" s="453">
        <f>+'ANEXOA-MODIFICADO'!D148</f>
        <v>508.78</v>
      </c>
      <c r="HF20" s="1935">
        <f>+'ANEXOA-MODIFICADO'!E148</f>
        <v>515.99</v>
      </c>
      <c r="HG20" s="1786">
        <f>+'ANEXOA-MODIFICADO'!F148</f>
        <v>530.1</v>
      </c>
      <c r="HH20" s="1786">
        <f>+'ANEXOA-MODIFICADO'!G148</f>
        <v>554.28</v>
      </c>
      <c r="HI20" s="1786">
        <f>+'ANEXOA-MODIFICADO'!H148</f>
        <v>568.39</v>
      </c>
      <c r="HJ20" s="1786">
        <f>+'ANEXOA-MODIFICADO'!I148</f>
        <v>592.58000000000004</v>
      </c>
      <c r="HK20" s="1786">
        <f>+'ANEXOA-MODIFICADO'!J148</f>
        <v>614.75</v>
      </c>
      <c r="HL20" s="1786">
        <f>+'ANEXOA-MODIFICADO'!K148</f>
        <v>628.86</v>
      </c>
      <c r="HM20" s="1786">
        <f>+'ANEXOA-MODIFICADO'!L148</f>
        <v>644.98</v>
      </c>
      <c r="HN20" s="1786">
        <f>+'ANEXOA-MODIFICADO'!M148</f>
        <v>673.2</v>
      </c>
      <c r="HO20" s="1786">
        <f>+'ANEXOA-MODIFICADO'!N148</f>
        <v>697.39</v>
      </c>
      <c r="HP20" s="1786">
        <f>+'ANEXOA-MODIFICADO'!O148</f>
        <v>719.56</v>
      </c>
      <c r="HQ20" s="1786">
        <f>+'ANEXOA-MODIFICADO'!D155</f>
        <v>741.73</v>
      </c>
      <c r="HR20" s="1879">
        <f>+'ANEXOA-MODIFICADO'!E155</f>
        <v>761.89</v>
      </c>
      <c r="HS20" s="1879">
        <f>+'ANEXOA-MODIFICADO'!F155</f>
        <v>784.06</v>
      </c>
      <c r="HT20" s="1879">
        <f>+'ANEXOA-MODIFICADO'!G155</f>
        <v>794.14</v>
      </c>
      <c r="HU20" s="1879">
        <f>+'ANEXOA-MODIFICADO'!H155</f>
        <v>806.23</v>
      </c>
      <c r="HV20" s="1879">
        <f>+'ANEXOA-MODIFICADO'!I155</f>
        <v>812.28</v>
      </c>
      <c r="HW20" s="1879">
        <f>+'ANEXOA-MODIFICADO'!J155</f>
        <v>820.34</v>
      </c>
      <c r="HX20" s="1879">
        <f>+'ANEXOA-MODIFICADO'!K155</f>
        <v>828.4</v>
      </c>
      <c r="HY20" s="1879">
        <f>+'ANEXOA-MODIFICADO'!L155</f>
        <v>836.46</v>
      </c>
      <c r="HZ20" s="1879">
        <f>+'ANEXOA-MODIFICADO'!M155</f>
        <v>846.54</v>
      </c>
      <c r="IA20" s="1879">
        <f>+'ANEXOA-MODIFICADO'!N155</f>
        <v>852.59</v>
      </c>
      <c r="IB20" s="1879">
        <f>+'ANEXOA-MODIFICADO'!O155</f>
        <v>868.71</v>
      </c>
      <c r="IC20" s="1785">
        <f>+'ANEXOA-MODIFICADO'!D162</f>
        <v>888.87</v>
      </c>
      <c r="ID20" s="1786">
        <f>+'ANEXOA-MODIFICADO'!E162</f>
        <v>907.01</v>
      </c>
      <c r="IE20" s="1786">
        <f>+'ANEXOA-MODIFICADO'!F162</f>
        <v>935.23</v>
      </c>
      <c r="IF20" s="1786">
        <f>+'ANEXOA-MODIFICADO'!G162</f>
        <v>969.49</v>
      </c>
      <c r="IG20" s="1786">
        <f>+'ANEXOA-MODIFICADO'!H162</f>
        <v>1009.8</v>
      </c>
      <c r="IH20" s="1786">
        <f>+'ANEXOA-MODIFICADO'!I162</f>
        <v>1046.08</v>
      </c>
      <c r="II20" s="1786">
        <f>+'ANEXOA-MODIFICADO'!J162</f>
        <v>1106.55</v>
      </c>
      <c r="IJ20" s="1786">
        <f>+'ANEXOA-MODIFICADO'!K162</f>
        <v>1142.83</v>
      </c>
      <c r="IK20" s="1786">
        <f>+'ANEXOA-MODIFICADO'!L162</f>
        <v>1233.53</v>
      </c>
      <c r="IL20" s="1786">
        <f>+'ANEXOA-MODIFICADO'!M162</f>
        <v>1310.1199999999999</v>
      </c>
      <c r="IM20" s="1786">
        <f>+'ANEXOA-MODIFICADO'!N162</f>
        <v>1404.85</v>
      </c>
      <c r="IN20" s="1879">
        <f>+'ANEXOA-MODIFICADO'!O162</f>
        <v>1477.41</v>
      </c>
      <c r="IO20" s="1786">
        <f>+'Insumos testigos '!JE168</f>
        <v>1558.04</v>
      </c>
      <c r="IP20" s="1786">
        <f>+'Insumos testigos '!JF168</f>
        <v>1644.71</v>
      </c>
      <c r="IQ20" s="1558"/>
      <c r="IR20" s="63">
        <v>0.85</v>
      </c>
      <c r="IS20" s="63"/>
      <c r="IT20" s="21">
        <v>1.1399999999999999</v>
      </c>
      <c r="IU20" s="21">
        <v>1.1399999999999999</v>
      </c>
      <c r="IV20" s="21">
        <v>0.99399999999999999</v>
      </c>
      <c r="IW20" s="21">
        <v>0.85199999999999998</v>
      </c>
      <c r="IX20" s="22">
        <v>0.71</v>
      </c>
      <c r="IY20" s="23">
        <v>0.56799999999999995</v>
      </c>
      <c r="IZ20" s="21">
        <v>0.42599999999999999</v>
      </c>
      <c r="JA20" s="49">
        <f>50/22/8</f>
        <v>0.28409090909090912</v>
      </c>
      <c r="JC20" s="21">
        <v>0.85</v>
      </c>
      <c r="JD20" s="21">
        <v>1.1399999999999999</v>
      </c>
      <c r="JE20" s="21">
        <v>1.1399999999999999</v>
      </c>
      <c r="JF20" s="923"/>
    </row>
    <row r="21" spans="2:266">
      <c r="B21" s="372" t="s">
        <v>952</v>
      </c>
      <c r="C21" s="2658">
        <v>4</v>
      </c>
      <c r="D21" s="2626"/>
      <c r="E21" s="1756">
        <v>3.09</v>
      </c>
      <c r="F21" s="309">
        <v>3.66</v>
      </c>
      <c r="G21" s="127">
        <v>3.66</v>
      </c>
      <c r="H21" s="127">
        <v>3.66</v>
      </c>
      <c r="I21" s="140">
        <v>3.82</v>
      </c>
      <c r="J21" s="140">
        <v>3.82</v>
      </c>
      <c r="K21" s="525">
        <v>3.94</v>
      </c>
      <c r="L21" s="140">
        <v>3.94</v>
      </c>
      <c r="M21" s="140">
        <v>4.22</v>
      </c>
      <c r="N21" s="140">
        <v>4.22</v>
      </c>
      <c r="O21" s="140">
        <v>4.41</v>
      </c>
      <c r="P21" s="140">
        <v>4.63</v>
      </c>
      <c r="Q21" s="140">
        <v>4.8499999999999996</v>
      </c>
      <c r="R21" s="140">
        <v>5.0599999999999996</v>
      </c>
      <c r="S21" s="140">
        <v>5.28</v>
      </c>
      <c r="T21" s="140">
        <v>5.5</v>
      </c>
      <c r="U21" s="140">
        <v>6</v>
      </c>
      <c r="V21" s="140">
        <v>6.21</v>
      </c>
      <c r="W21" s="140">
        <v>6.21</v>
      </c>
      <c r="X21" s="140">
        <v>6.21</v>
      </c>
      <c r="Y21" s="140">
        <v>6.21</v>
      </c>
      <c r="Z21" s="140">
        <v>6.21</v>
      </c>
      <c r="AA21" s="140">
        <v>6.21</v>
      </c>
      <c r="AB21" s="140">
        <v>6.21</v>
      </c>
      <c r="AC21" s="140">
        <v>6.21</v>
      </c>
      <c r="AD21" s="140">
        <v>6.21</v>
      </c>
      <c r="AE21" s="140">
        <v>6.21</v>
      </c>
      <c r="AF21" s="140">
        <v>6.21</v>
      </c>
      <c r="AG21" s="140">
        <v>6.78</v>
      </c>
      <c r="AH21" s="140">
        <v>6.78</v>
      </c>
      <c r="AI21" s="140">
        <f>+'TABLA FINAL '!AX8*2.2521+'TABLA FINAL '!AX14</f>
        <v>9.5618289999999995</v>
      </c>
      <c r="AJ21" s="140">
        <f>+'TABLA FINAL '!AY8*2.2521+'TABLA FINAL '!AY14</f>
        <v>10.045543</v>
      </c>
      <c r="AK21" s="140">
        <f>+'TABLA FINAL '!AZ8*2.2521+'TABLA FINAL '!AZ14</f>
        <v>10.045543</v>
      </c>
      <c r="AL21" s="140">
        <v>10.050000000000001</v>
      </c>
      <c r="AM21" s="140">
        <v>10.050000000000001</v>
      </c>
      <c r="AN21" s="140">
        <v>10.050000000000001</v>
      </c>
      <c r="AO21" s="140">
        <v>10.050000000000001</v>
      </c>
      <c r="AP21" s="140">
        <f>+'TABLA FINAL '!BE8*2.2521+'TABLA FINAL '!BE14</f>
        <v>10.045543</v>
      </c>
      <c r="AQ21" s="140">
        <f>+'TABLA FINAL '!BF8*2.2521+'TABLA FINAL '!BF14</f>
        <v>12.129433000000001</v>
      </c>
      <c r="AR21" s="140">
        <f>+'TABLA FINAL '!BG8*2.2521+'TABLA FINAL '!BG14</f>
        <v>12.129433000000001</v>
      </c>
      <c r="AS21" s="140">
        <f>+('TABLA FINAL '!BH8+'TABLA FINAL '!BH19)*2.2521+'TABLA FINAL '!BH14</f>
        <v>12.75847731818182</v>
      </c>
      <c r="AT21" s="140">
        <f>+('TABLA FINAL '!BI8+'TABLA FINAL '!BI19)*2.2521+'TABLA FINAL '!BI14</f>
        <v>12.75847731818182</v>
      </c>
      <c r="AU21" s="140">
        <f>+('TABLA FINAL '!BJ8+'TABLA FINAL '!BJ19)*2.2521+'TABLA FINAL '!BJ14</f>
        <v>12.75847731818182</v>
      </c>
      <c r="AV21" s="140">
        <f>+('TABLA FINAL '!BK8+'TABLA FINAL '!BK19)*2.2521+'TABLA FINAL '!BK14</f>
        <v>13.387248909090911</v>
      </c>
      <c r="AW21" s="140">
        <f>+('TABLA FINAL '!BL8+'TABLA FINAL '!BL19)*2.2521+'TABLA FINAL '!BL14</f>
        <v>14.472594781818183</v>
      </c>
      <c r="AX21" s="140">
        <f>+('TABLA FINAL '!BM8+'TABLA FINAL '!BM19)*2.2521+'TABLA FINAL '!BM14</f>
        <v>14.473413727272728</v>
      </c>
      <c r="AY21" s="140">
        <f>+('TABLA FINAL '!BN8+'TABLA FINAL '!BN19)*2.2521+'TABLA FINAL '!BN14</f>
        <v>14.977185318181817</v>
      </c>
      <c r="AZ21" s="140">
        <f>+('TABLA FINAL '!BO8+'TABLA FINAL '!BO19)*2.2521+'TABLA FINAL '!BO14</f>
        <v>14.977685318181818</v>
      </c>
      <c r="BA21" s="140">
        <f>+('TABLA FINAL '!BP8+'TABLA FINAL '!BP19)*2.2521+'TABLA FINAL '!BP14</f>
        <v>11.71092</v>
      </c>
      <c r="BB21" s="140">
        <f>+('TABLA FINAL '!BQ8+'TABLA FINAL '!BQ19)*2.2521+'TABLA FINAL '!BQ14</f>
        <v>16.402142727272725</v>
      </c>
      <c r="BC21" s="140">
        <f>+('TABLA FINAL '!BR8+'TABLA FINAL '!BR19)*2.2521+'TABLA FINAL '!BR14</f>
        <v>16.402142727272725</v>
      </c>
      <c r="BD21" s="140">
        <f>+('TABLA FINAL '!BS8+'TABLA FINAL '!BS19)*2.2521+'TABLA FINAL '!BS14</f>
        <v>16.402142727272725</v>
      </c>
      <c r="BE21" s="140">
        <f>+('TABLA FINAL '!BT8+'TABLA FINAL '!BT19)*2.2521+'TABLA FINAL '!BT14</f>
        <v>17.59504309090909</v>
      </c>
      <c r="BF21" s="140">
        <f>+('TABLA FINAL '!BU8+'TABLA FINAL '!BU19)*2.2521+'TABLA FINAL '!BU14</f>
        <v>17.59504309090909</v>
      </c>
      <c r="BG21" s="140">
        <f>+('TABLA FINAL '!BV8+'TABLA FINAL '!BV19)*2.2521+'TABLA FINAL '!BV14</f>
        <v>17.59504309090909</v>
      </c>
      <c r="BH21" s="140">
        <f>+('TABLA FINAL '!BW8+'TABLA FINAL '!BW19)*2.2521+'TABLA FINAL '!BW14</f>
        <v>17.59504309090909</v>
      </c>
      <c r="BI21" s="140">
        <f>+('TABLA FINAL '!BX8+'TABLA FINAL '!BX19)*2.2521+'TABLA FINAL '!BX14</f>
        <v>19.342979795454543</v>
      </c>
      <c r="BJ21" s="140">
        <f>+('TABLA FINAL '!BY8+'TABLA FINAL '!BY19)*2.2521+'TABLA FINAL '!BY14</f>
        <v>19.343286900000003</v>
      </c>
      <c r="BK21" s="140">
        <f>+('TABLA FINAL '!BZ8+'TABLA FINAL '!BZ19)*2.2521+'TABLA FINAL '!BZ14</f>
        <v>20.499740249999999</v>
      </c>
      <c r="BL21" s="140">
        <f>+('TABLA FINAL '!CA8+'TABLA FINAL '!CA19)*2.2521+'TABLA FINAL '!CA14</f>
        <v>20.500866299999998</v>
      </c>
      <c r="BM21" s="140">
        <f>+('TABLA FINAL '!CB8+'TABLA FINAL '!CB19)*2.2521+'TABLA FINAL '!CB14</f>
        <v>20.500866299999998</v>
      </c>
      <c r="BN21" s="140">
        <f>+('TABLA FINAL '!CC8+'TABLA FINAL '!CC19)*2.2521+'TABLA FINAL '!CC14</f>
        <v>20.494109999999999</v>
      </c>
      <c r="BO21" s="140">
        <f>+('TABLA FINAL '!CD8+'TABLA FINAL '!CD19)*2.2521+'TABLA FINAL '!CD14</f>
        <v>20.494109999999999</v>
      </c>
      <c r="BP21" s="141">
        <f>+('TABLA FINAL '!CE8+'TABLA FINAL '!CE19)*2.2521+'TABLA FINAL '!CE21</f>
        <v>22.766837272727273</v>
      </c>
      <c r="BQ21" s="688">
        <f>+('TABLA FINAL '!CF8+'TABLA FINAL '!CF19)*2.2521+'TABLA FINAL '!CF14</f>
        <v>20.494109999999999</v>
      </c>
      <c r="BR21" s="140">
        <f>+('TABLA FINAL '!CG8+'TABLA FINAL '!CG19)*2.2521+'TABLA FINAL '!CG14</f>
        <v>20.494109999999999</v>
      </c>
      <c r="BS21" s="140">
        <f>+('TABLA FINAL '!CH8+'TABLA FINAL '!CH19)*2.2521+'TABLA FINAL '!CH14</f>
        <v>20.494109999999999</v>
      </c>
      <c r="BT21" s="140">
        <f>+('TABLA FINAL '!CI8+'TABLA FINAL '!CI19)*2.2521+'TABLA FINAL '!CI14</f>
        <v>22.543520999999998</v>
      </c>
      <c r="BU21" s="140">
        <f>+('TABLA FINAL '!CJ8+'TABLA FINAL '!CJ19)*2.2521+'TABLA FINAL '!CJ14+'TABLA FINAL '!CJ29</f>
        <v>22.969520999999997</v>
      </c>
      <c r="BV21" s="140">
        <f>+('TABLA FINAL '!CK8+'TABLA FINAL '!CK19)*2.2521+'TABLA FINAL '!CK14</f>
        <v>22.543520999999998</v>
      </c>
      <c r="BW21" s="140">
        <f>+('TABLA FINAL '!CL8+'TABLA FINAL '!CL19)*2.2521+'TABLA FINAL '!CL14+'TABLA FINAL '!CL29</f>
        <v>23.982966000000001</v>
      </c>
      <c r="BX21" s="140">
        <f>+('TABLA FINAL '!CM8+'TABLA FINAL '!CM19)*2.2521+'TABLA FINAL '!CM14+'TABLA FINAL '!CM29</f>
        <v>23.556966000000003</v>
      </c>
      <c r="BY21" s="140">
        <f>+('TABLA FINAL '!CN8+'TABLA FINAL '!CN19)*2.2521+'TABLA FINAL '!CN14+'TABLA FINAL '!CN29</f>
        <v>24.124966000000004</v>
      </c>
      <c r="BZ21" s="140">
        <f>+('TABLA FINAL '!CO8+'TABLA FINAL '!CO19)*2.2521+'TABLA FINAL '!CO14+'TABLA FINAL '!CO29</f>
        <v>24.480326999999999</v>
      </c>
      <c r="CA21" s="140">
        <f>+('TABLA FINAL '!CP8+'TABLA FINAL '!CP19)*2.2521+'TABLA FINAL '!CP14+'TABLA FINAL '!CP29</f>
        <v>24.480326999999999</v>
      </c>
      <c r="CB21" s="141">
        <f>+('TABLA FINAL '!CQ8+'TABLA FINAL '!CQ19)*2.2521+'TABLA FINAL '!CQ14+'TABLA FINAL '!CQ29</f>
        <v>24.480326999999999</v>
      </c>
      <c r="CC21" s="688">
        <f>+('TABLA FINAL '!CR8+'TABLA FINAL '!CR19)*2.2521+'TABLA FINAL '!CR14+'TABLA FINAL '!CR29</f>
        <v>24.480326999999999</v>
      </c>
      <c r="CD21" s="140">
        <f>+('TABLA FINAL '!CS8+'TABLA FINAL '!CS19)*2.2521+'TABLA FINAL '!CS14+'TABLA FINAL '!CS29</f>
        <v>24.480326999999999</v>
      </c>
      <c r="CE21" s="140">
        <f>+('TABLA FINAL '!CT8+'TABLA FINAL '!CT19)*2.2521+'TABLA FINAL '!CT14+'TABLA FINAL '!CT29</f>
        <v>24.480326999999999</v>
      </c>
      <c r="CF21" s="140">
        <f>+('TABLA FINAL '!CU8+'TABLA FINAL '!CU19)*2.2521+'TABLA FINAL '!CU14+'TABLA FINAL '!CU29</f>
        <v>24.480326999999999</v>
      </c>
      <c r="CG21" s="140">
        <f>+('TABLA FINAL '!CV8+'TABLA FINAL '!CV19)*2.2521+'TABLA FINAL '!CV14+'TABLA FINAL '!CV29</f>
        <v>25.503054272727272</v>
      </c>
      <c r="CH21" s="140">
        <f>+('TABLA FINAL '!CW8+'TABLA FINAL '!CW19)*2.2521+'TABLA FINAL '!CW14+'TABLA FINAL '!CW29</f>
        <v>26.687384999999999</v>
      </c>
      <c r="CI21" s="140">
        <f>+('TABLA FINAL '!CX8+'TABLA FINAL '!CX19)*2.2521+'TABLA FINAL '!CX14+'TABLA FINAL '!CX29</f>
        <v>26.687384999999999</v>
      </c>
      <c r="CJ21" s="139">
        <f>+('TABLA FINAL '!CY8+'TABLA FINAL '!CY19)*2.2521+'TABLA FINAL '!CY14+'TABLA FINAL '!CY29</f>
        <v>26.687384999999999</v>
      </c>
      <c r="CK21" s="139">
        <f>+('TABLA FINAL '!CZ8+'TABLA FINAL '!CZ19)*2.2521+'TABLA FINAL '!CZ14+'TABLA FINAL '!CZ29</f>
        <v>26.687384999999999</v>
      </c>
      <c r="CL21" s="140">
        <f>+('TABLA FINAL '!DA8+'TABLA FINAL '!DA19)*2.2521+'TABLA FINAL '!DA14+'TABLA FINAL '!DA29</f>
        <v>28.286376000000001</v>
      </c>
      <c r="CM21" s="139">
        <f>+('TABLA FINAL '!DB8+'TABLA FINAL '!DB19)*2.2521+'TABLA FINAL '!DB14+'TABLA FINAL '!DB29</f>
        <v>28.286376000000001</v>
      </c>
      <c r="CN21" s="139">
        <f>+('TABLA FINAL '!DC8+'TABLA FINAL '!DC19)*2.2521+'TABLA FINAL '!DC14+'TABLA FINAL '!DC29</f>
        <v>28.286376000000001</v>
      </c>
      <c r="CO21" s="688">
        <f>+('TABLA FINAL '!DD8+'TABLA FINAL '!DD19)*2.2521+'TABLA FINAL '!DD14+'TABLA FINAL '!DD29</f>
        <v>28.286376000000001</v>
      </c>
      <c r="CP21" s="140">
        <f>+('TABLA FINAL '!DE8+'TABLA FINAL '!DE19)*2.2521+'TABLA FINAL '!DE14+'TABLA FINAL '!DE29</f>
        <v>28.286376000000001</v>
      </c>
      <c r="CQ21" s="140">
        <f>+('TABLA FINAL '!DF8+'TABLA FINAL '!DF19)*2.2521+'TABLA FINAL '!DF14+'TABLA FINAL '!DF29</f>
        <v>29.706830545454547</v>
      </c>
      <c r="CR21" s="140">
        <f>+('TABLA FINAL '!DG8+'TABLA FINAL '!DG19)*2.2521+'TABLA FINAL '!DG14+'TABLA FINAL '!DG29</f>
        <v>29.706830545454547</v>
      </c>
      <c r="CS21" s="140">
        <f>+('TABLA FINAL '!DH8+'TABLA FINAL '!DH19)*2.2521+'TABLA FINAL '!DH14+'TABLA FINAL '!DH29</f>
        <v>31.962455818181816</v>
      </c>
      <c r="CT21" s="140">
        <f>+('TABLA FINAL '!DI8+'TABLA FINAL '!DI19)*2.2521+'TABLA FINAL '!DI14+'TABLA FINAL '!DI29</f>
        <v>31.962455818181816</v>
      </c>
      <c r="CU21" s="140">
        <f>+('TABLA FINAL '!DJ8+'TABLA FINAL '!DJ19)*2.2521+'TABLA FINAL '!DJ14+'TABLA FINAL '!DJ29</f>
        <v>31.962455818181816</v>
      </c>
      <c r="CV21" s="140">
        <f>+('TABLA FINAL '!DK8+'TABLA FINAL '!DK19)*2.2521+'TABLA FINAL '!DK14+'TABLA FINAL '!DK29</f>
        <v>33.601331999999999</v>
      </c>
      <c r="CW21" s="1120">
        <f>+('TABLA FINAL '!DL8+'TABLA FINAL '!DL19)*2.2521+'TABLA FINAL '!DL14+'TABLA FINAL '!DL29</f>
        <v>33.601331999999999</v>
      </c>
      <c r="CX21" s="140">
        <f>+'TABLA FINAL  NO'!DM8*2.2521</f>
        <v>33.601331999999999</v>
      </c>
      <c r="CY21" s="139">
        <f>+'TABLA FINAL  NO'!DN8*2.2521</f>
        <v>33.601331999999999</v>
      </c>
      <c r="CZ21" s="139">
        <f>+'TABLA FINAL  NO'!DO8*2.2521</f>
        <v>35.943516000000002</v>
      </c>
      <c r="DA21" s="537">
        <f>+'TABLA FINAL  NO'!DP8*2.2521</f>
        <v>35.943516000000002</v>
      </c>
      <c r="DB21" s="139">
        <f>+'TABLA FINAL  NO'!DQ8*2.2521</f>
        <v>35.943516000000002</v>
      </c>
      <c r="DC21" s="139">
        <f>+'TABLA FINAL  NO'!DR8*2.2521</f>
        <v>35.943516000000002</v>
      </c>
      <c r="DD21" s="139">
        <f>+'TABLA FINAL  NO'!DS8*2.2521</f>
        <v>40.267547999999998</v>
      </c>
      <c r="DE21" s="330">
        <f>+'TABLA FINAL  NO'!DT8*2.2521</f>
        <v>40.267547999999998</v>
      </c>
      <c r="DF21" s="330">
        <f>+'TABLA FINAL  NO'!DU8*2.2521</f>
        <v>40.267547999999998</v>
      </c>
      <c r="DG21" s="330">
        <f>+'TABLA FINAL  NO'!DV8*2.2521</f>
        <v>40.267547999999998</v>
      </c>
      <c r="DH21" s="330">
        <f>+'TABLA FINAL  NO'!DW8*2.2521</f>
        <v>42.677295000000001</v>
      </c>
      <c r="DI21" s="330">
        <f>+'TABLA FINAL  NO'!DX8*2.2521</f>
        <v>42.677295000000001</v>
      </c>
      <c r="DJ21" s="330">
        <f>+'TABLA FINAL  NO'!DY8*2.2521</f>
        <v>42.677295000000001</v>
      </c>
      <c r="DK21" s="330">
        <f>+'TABLA FINAL  NO'!DZ8*2.2521</f>
        <v>45.222167999999996</v>
      </c>
      <c r="DL21" s="332">
        <f>+'TABLA FINAL  NO'!EA8*2.2521</f>
        <v>45.222167999999996</v>
      </c>
      <c r="DM21" s="330">
        <f>+'TABLA FINAL  NO'!EB8*2.2521</f>
        <v>45.222167999999996</v>
      </c>
      <c r="DN21" s="330">
        <f>+'TABLA FINAL  NO'!EC8*2.2521</f>
        <v>45.222167999999996</v>
      </c>
      <c r="DO21" s="330">
        <f>+'TABLA FINAL  NO'!ED8*2.2521</f>
        <v>45.222167999999996</v>
      </c>
      <c r="DP21" s="330">
        <f>+'TABLA FINAL  NO'!EE8*2.2521</f>
        <v>45.222167999999996</v>
      </c>
      <c r="DQ21" s="330">
        <f>+'TABLA FINAL  NO'!EF8*2.2521</f>
        <v>45.222167999999996</v>
      </c>
      <c r="DR21" s="330">
        <f>+'TABLA FINAL  NO'!EG8*2.2521</f>
        <v>58.149222000000002</v>
      </c>
      <c r="DS21" s="330">
        <f>+'TABLA FINAL  NO'!EH8*2.2521</f>
        <v>58.149222000000002</v>
      </c>
      <c r="DT21" s="330">
        <f>+'TABLA FINAL  NO'!EI8*2.2521</f>
        <v>58.149222000000002</v>
      </c>
      <c r="DU21" s="330">
        <f>+'TABLA FINAL  NO'!EJ8*2.2521</f>
        <v>58.149222000000002</v>
      </c>
      <c r="DV21" s="307">
        <f>+'TABLA FINAL  NO'!EK8*2.2521</f>
        <v>58.149222000000002</v>
      </c>
      <c r="DW21" s="334">
        <f>+'TABLA FINAL  NO'!EL8*2.2521</f>
        <v>58.149222000000002</v>
      </c>
      <c r="DX21" s="307">
        <f>+'TABLA FINAL  NO'!EM8*2.2521</f>
        <v>58.149222000000002</v>
      </c>
      <c r="DY21" s="334">
        <f>+'TABLA FINAL  NO'!EN8*2.2521</f>
        <v>58.149222000000002</v>
      </c>
      <c r="DZ21" s="330">
        <f>+'TABLA FINAL  NO'!EO8*2.2521</f>
        <v>58.149222000000002</v>
      </c>
      <c r="EA21" s="330">
        <f>+'TABLA FINAL  NO'!EP8*2.2521</f>
        <v>58.149222000000002</v>
      </c>
      <c r="EB21" s="330">
        <f>+'TABLA FINAL  NO'!EQ8*2.2521</f>
        <v>58.149222000000002</v>
      </c>
      <c r="EC21" s="330">
        <f>+'TABLA FINAL  NO'!ER8*2.2521</f>
        <v>58.149222000000002</v>
      </c>
      <c r="ED21" s="330">
        <f>+'TABLA FINAL  NO'!ES8*2.2521</f>
        <v>68.621487000000002</v>
      </c>
      <c r="EE21" s="330">
        <f>+'TABLA FINAL  NO'!ET8*2.2521</f>
        <v>68.621487000000002</v>
      </c>
      <c r="EF21" s="330">
        <f>+'TABLA FINAL  NO'!EU8*2.2521</f>
        <v>68.621487000000002</v>
      </c>
      <c r="EG21" s="330">
        <f>+'TABLA FINAL  NO'!EV8*2.2521</f>
        <v>72.517620000000008</v>
      </c>
      <c r="EH21" s="330">
        <f>+'TABLA FINAL  NO'!EW8*2.2521</f>
        <v>72.517620000000008</v>
      </c>
      <c r="EI21" s="330">
        <f>+'TABLA FINAL  NO'!EX8*2.2521</f>
        <v>72.742829999999998</v>
      </c>
      <c r="EJ21" s="332">
        <f>+'TABLA FINAL  NO'!EY8*2.2521</f>
        <v>72.742829999999998</v>
      </c>
      <c r="EK21" s="335">
        <f>'TABLA FINAL  NO'!EZ8*2.2521</f>
        <v>72.742829999999998</v>
      </c>
      <c r="EL21" s="330">
        <f>'TABLA FINAL  NO'!FA8*2.2521</f>
        <v>72.742829999999998</v>
      </c>
      <c r="EM21" s="330">
        <f>'TABLA FINAL  NO'!FB8*2.2521</f>
        <v>72.742829999999998</v>
      </c>
      <c r="EN21" s="330">
        <f>'TABLA FINAL  NO'!FC8*2.2521</f>
        <v>85.602320999999989</v>
      </c>
      <c r="EO21" s="330">
        <f>'TABLA FINAL  NO'!FD8*2.2521</f>
        <v>85.602320999999989</v>
      </c>
      <c r="EP21" s="330">
        <f>'TABLA FINAL  NO'!FE8*2.2521</f>
        <v>85.602320999999989</v>
      </c>
      <c r="EQ21" s="330">
        <f>'TABLA FINAL  NO'!FF8*2.2521</f>
        <v>94.160301000000004</v>
      </c>
      <c r="ER21" s="330">
        <f>'TABLA FINAL  NO'!FG8*2.2521</f>
        <v>94.160301000000004</v>
      </c>
      <c r="ES21" s="330">
        <f>'TABLA FINAL  NO'!FH8*2.2521</f>
        <v>94.160301000000004</v>
      </c>
      <c r="ET21" s="330">
        <f>'TABLA FINAL  NO'!FI8*2.2521</f>
        <v>94.160301000000004</v>
      </c>
      <c r="EU21" s="330">
        <f>'TABLA FINAL  NO'!FJ8*2.2521</f>
        <v>94.160301000000004</v>
      </c>
      <c r="EV21" s="332">
        <f>'TABLA FINAL  NO'!FK8*2.2521</f>
        <v>94.160301000000004</v>
      </c>
      <c r="EW21" s="335">
        <f>'TABLA FINAL  NO'!FL8*2.2521</f>
        <v>94.160301000000004</v>
      </c>
      <c r="EX21" s="330">
        <f>'TABLA FINAL  NO'!FM8*2.2521</f>
        <v>94.160301000000004</v>
      </c>
      <c r="EY21" s="307">
        <f>'TABLA FINAL  NO'!FN8*2.2521</f>
        <v>94.160301000000004</v>
      </c>
      <c r="EZ21" s="307">
        <f>'TABLA FINAL  NO'!FO8*2.2521</f>
        <v>110.533068</v>
      </c>
      <c r="FA21" s="307">
        <f>'TABLA FINAL  NO'!FP8*2.2521</f>
        <v>110.533068</v>
      </c>
      <c r="FB21" s="307">
        <f>'TABLA FINAL  NO'!FQ8*2.2521</f>
        <v>110.533068</v>
      </c>
      <c r="FC21" s="307">
        <f>'TABLA FINAL  NO'!FR8*2.2521</f>
        <v>110.533068</v>
      </c>
      <c r="FD21" s="307">
        <f>'TABLA FINAL  NO'!FS8*2.2521</f>
        <v>119.96936700000001</v>
      </c>
      <c r="FE21" s="307">
        <f>'TABLA FINAL  NO'!FT8*2.2521</f>
        <v>119.96936700000001</v>
      </c>
      <c r="FF21" s="330">
        <f>'TABLA FINAL  NO'!FU8*2.2521</f>
        <v>119.96936700000001</v>
      </c>
      <c r="FG21" s="332" t="e">
        <f>+#REF!*2.2521</f>
        <v>#REF!</v>
      </c>
      <c r="FH21" s="332" t="e">
        <f>+#REF!*2.2521</f>
        <v>#REF!</v>
      </c>
      <c r="FI21" s="975">
        <f>+'Insumos testigos '!FY8*2.2521</f>
        <v>119.96936700000001</v>
      </c>
      <c r="FJ21" s="2507">
        <f>+'Insumos testigos '!FZ8*2.2521</f>
        <v>119.96936700000001</v>
      </c>
      <c r="FK21" s="963">
        <f>+'Insumos testigos '!GA8*2.2521</f>
        <v>119.96936700000001</v>
      </c>
      <c r="FL21" s="963">
        <f>+'Insumos testigos '!GB8*2.2521</f>
        <v>146.363979</v>
      </c>
      <c r="FM21" s="963">
        <f>+'Insumos testigos '!GC8*2.2521</f>
        <v>146.363979</v>
      </c>
      <c r="FN21" s="963">
        <f>+'Insumos testigos '!GD8*2.2521</f>
        <v>146.363979</v>
      </c>
      <c r="FO21" s="963">
        <f>+'Insumos testigos '!GE8*2.2521</f>
        <v>146.363979</v>
      </c>
      <c r="FP21" s="963">
        <f>+'Insumos testigos '!GF8*2.2521</f>
        <v>146.363979</v>
      </c>
      <c r="FQ21" s="963">
        <f>+'Insumos testigos '!GG8*2.2521</f>
        <v>146.363979</v>
      </c>
      <c r="FR21" s="963">
        <f>+'Insumos testigos '!GH8*2.2521</f>
        <v>160.754898</v>
      </c>
      <c r="FS21" s="963">
        <f>+'Insumos testigos '!GI8*2.2521</f>
        <v>160.754898</v>
      </c>
      <c r="FT21" s="963">
        <f>+'Insumos testigos '!GJ8*2.2521</f>
        <v>160.754898</v>
      </c>
      <c r="FU21" s="963">
        <f>+'Insumos testigos '!GK8*2.2521</f>
        <v>166.76800499999999</v>
      </c>
      <c r="FV21" s="963">
        <f>+'Insumos testigos '!GL8*2.2521</f>
        <v>166.76800499999999</v>
      </c>
      <c r="FW21" s="963">
        <f>+'Insumos testigos '!GM8*2.2521</f>
        <v>166.76800499999999</v>
      </c>
      <c r="FX21" s="963">
        <f>+'Insumos testigos '!GN8*2.2521</f>
        <v>185.100099</v>
      </c>
      <c r="FY21" s="963">
        <f>+'Insumos testigos '!GO8*2.2521</f>
        <v>185.100099</v>
      </c>
      <c r="FZ21" s="963">
        <f>+'Insumos testigos '!GP8*2.2521</f>
        <v>185.100099</v>
      </c>
      <c r="GA21" s="963">
        <f>+'Insumos testigos '!GQ8*2.2521</f>
        <v>203.61236099999999</v>
      </c>
      <c r="GB21" s="963">
        <f>+'Insumos testigos '!GR8*2.2521</f>
        <v>203.61236099999999</v>
      </c>
      <c r="GC21" s="963">
        <f>+'Insumos testigos '!GS8*2.2521</f>
        <v>203.61236099999999</v>
      </c>
      <c r="GD21" s="963">
        <f>+'Insumos testigos '!GT8*2.2521</f>
        <v>203.61236099999999</v>
      </c>
      <c r="GE21" s="963">
        <f>+'Insumos testigos '!GU8*2.2521</f>
        <v>203.61236099999999</v>
      </c>
      <c r="GF21" s="963">
        <f>+'Insumos testigos '!GV8*2.2521</f>
        <v>203.61236099999999</v>
      </c>
      <c r="GG21" s="963">
        <f>+'Insumos testigos '!GW8*2.2521</f>
        <v>203.61236099999999</v>
      </c>
      <c r="GH21" s="963">
        <f>+'Insumos testigos '!GX8*2.2521</f>
        <v>206.675217</v>
      </c>
      <c r="GI21" s="963">
        <f>+'Insumos testigos '!GY8*2.2521</f>
        <v>209.715552</v>
      </c>
      <c r="GJ21" s="963">
        <f>+'Insumos testigos '!GZ8*2.2521</f>
        <v>230.682603</v>
      </c>
      <c r="GK21" s="963">
        <f>+'Insumos testigos '!HA8*2.2521</f>
        <v>230.682603</v>
      </c>
      <c r="GL21" s="963">
        <f>+'Insumos testigos '!HB8*2.2521</f>
        <v>230.682603</v>
      </c>
      <c r="GM21" s="963">
        <f>+'Insumos testigos '!HC8*2.2521</f>
        <v>230.682603</v>
      </c>
      <c r="GN21" s="963">
        <f>+'Insumos testigos '!HD8*2.2521</f>
        <v>242.23587599999999</v>
      </c>
      <c r="GO21" s="963">
        <f>+'Insumos testigos '!HE8*2.2521</f>
        <v>251.919906</v>
      </c>
      <c r="GP21" s="963">
        <f>+'Insumos testigos '!HF8*2.2521</f>
        <v>259.46444099999997</v>
      </c>
      <c r="GQ21" s="963">
        <f>+'Insumos testigos '!HG8*2.2521</f>
        <v>267.031497</v>
      </c>
      <c r="GR21" s="963">
        <f>+'Insumos testigos '!HH8*2.2521</f>
        <v>267.031497</v>
      </c>
      <c r="GS21" s="963">
        <f>+'Insumos testigos '!HI8*2.2521</f>
        <v>275.04897299999999</v>
      </c>
      <c r="GT21" s="963">
        <f>+'Insumos testigos '!HJ8*2.2521</f>
        <v>275.04897299999999</v>
      </c>
      <c r="GU21" s="963">
        <f>+'Insumos testigos '!HK8*2.2521</f>
        <v>294.30442800000003</v>
      </c>
      <c r="GV21" s="963">
        <f>+'Insumos testigos '!HL8*2.2521</f>
        <v>323.71685400000001</v>
      </c>
      <c r="GW21" s="963">
        <f>+'Insumos testigos '!HM8*2.2521</f>
        <v>339.90945300000004</v>
      </c>
      <c r="GX21" s="963">
        <f>+'Insumos testigos '!HN8*2.2521</f>
        <v>339.90945300000004</v>
      </c>
      <c r="GY21" s="963">
        <f>+'Insumos testigos '!HO8*2.2521</f>
        <v>354.48054000000002</v>
      </c>
      <c r="GZ21" s="963">
        <f>+'Insumos testigos '!HP8*2.2521</f>
        <v>366.889611</v>
      </c>
      <c r="HA21" s="963">
        <f>+'Insumos testigos '!HQ8*2.2521</f>
        <v>366.889611</v>
      </c>
      <c r="HB21" s="963">
        <f>+'Insumos testigos '!HR8*2.2521</f>
        <v>395.53632299999998</v>
      </c>
      <c r="HC21" s="963">
        <f>+'Insumos testigos '!HS8*2.2521</f>
        <v>419.27345699999995</v>
      </c>
      <c r="HD21" s="963">
        <f>+'Insumos testigos '!HT8*2.2521</f>
        <v>419.27345699999995</v>
      </c>
      <c r="HE21" s="963">
        <f>+'Insumos testigos '!HU8*2.2521</f>
        <v>444.902355</v>
      </c>
      <c r="HF21" s="963">
        <f>+'Insumos testigos '!HV8*2.2521</f>
        <v>462.69394499999999</v>
      </c>
      <c r="HG21" s="963">
        <f>+'Insumos testigos '!HW8*2.2521</f>
        <v>462.69394499999999</v>
      </c>
      <c r="HH21" s="963">
        <f>+'Insumos testigos '!HX8*2.2521</f>
        <v>462.69394499999999</v>
      </c>
      <c r="HI21" s="963">
        <f>+'Insumos testigos '!HY8*2.2521</f>
        <v>462.69394499999999</v>
      </c>
      <c r="HJ21" s="963">
        <f>+'Insumos testigos '!HZ8*2.2521</f>
        <v>462.69394499999999</v>
      </c>
      <c r="HK21" s="963">
        <f>+'Insumos testigos '!IA8*2.2521</f>
        <v>462.69394499999999</v>
      </c>
      <c r="HL21" s="963">
        <f>+'Insumos testigos '!IB8*2.2521</f>
        <v>462.69394499999999</v>
      </c>
      <c r="HM21" s="963">
        <f>+'Insumos testigos '!IC8*2.2521</f>
        <v>462.69394499999999</v>
      </c>
      <c r="HN21" s="963">
        <f>+'Insumos testigos '!ID8*2.2521</f>
        <v>462.69394499999999</v>
      </c>
      <c r="HO21" s="963">
        <f>+'Insumos testigos '!IE8*2.2521</f>
        <v>578.36180100000001</v>
      </c>
      <c r="HP21" s="963">
        <f>+'Insumos testigos '!IF8*2.2521</f>
        <v>578.36180100000001</v>
      </c>
      <c r="HQ21" s="963">
        <f>+'Insumos testigos '!IG8*2.2521</f>
        <v>578.36180100000001</v>
      </c>
      <c r="HR21" s="963">
        <f>+'Insumos testigos '!IH8*2.2521</f>
        <v>615.36380400000007</v>
      </c>
      <c r="HS21" s="963">
        <f>+'Insumos testigos '!II8*2.2521</f>
        <v>615.36380400000007</v>
      </c>
      <c r="HT21" s="963">
        <f>+'Insumos testigos '!IJ8*2.2521</f>
        <v>689.21016299999997</v>
      </c>
      <c r="HU21" s="963">
        <f>+'Insumos testigos '!IK8*2.2521</f>
        <v>689.21016299999997</v>
      </c>
      <c r="HV21" s="963">
        <f>+'Insumos testigos '!IL8*2.2521</f>
        <v>689.21016299999997</v>
      </c>
      <c r="HW21" s="963">
        <f>+'Insumos testigos '!IM8*2.2521</f>
        <v>750.76005600000008</v>
      </c>
      <c r="HX21" s="963">
        <f>+'Insumos testigos '!IN8*2.2521</f>
        <v>750.76005600000008</v>
      </c>
      <c r="HY21" s="963">
        <f>+'Insumos testigos '!IO8*2.2521</f>
        <v>781.52374199999997</v>
      </c>
      <c r="HZ21" s="963">
        <f>+'Insumos testigos '!IP8*2.2521</f>
        <v>824.60641499999997</v>
      </c>
      <c r="IA21" s="963">
        <f>+'Insumos testigos '!IQ8*2.2521</f>
        <v>824.60641499999997</v>
      </c>
      <c r="IB21" s="1880">
        <f>+'Insumos testigos '!IR8*2.2521</f>
        <v>824.60641499999997</v>
      </c>
      <c r="IC21" s="975">
        <f>+'Insumos testigos '!IS8*2.2521</f>
        <v>855.37010099999998</v>
      </c>
      <c r="ID21" s="963">
        <f>+'Insumos testigos '!IT8*2.2521</f>
        <v>897.21411899999998</v>
      </c>
      <c r="IE21" s="963">
        <f>+'Insumos testigos '!IU8*2.2521</f>
        <v>947.661159</v>
      </c>
      <c r="IF21" s="963">
        <f>+'Insumos testigos '!IV8*2.2521</f>
        <v>947.661159</v>
      </c>
      <c r="IG21" s="963">
        <f>+'Insumos testigos '!IW8*2.2521</f>
        <v>1042.7222999999999</v>
      </c>
      <c r="IH21" s="963">
        <f>+'Insumos testigos '!IX8*2.2521</f>
        <v>1137.3105</v>
      </c>
      <c r="II21" s="963">
        <f>+'Insumos testigos '!IY8*2.2521</f>
        <v>1137.3105</v>
      </c>
      <c r="IJ21" s="963">
        <f>+'Insumos testigos '!IZ8*2.2521</f>
        <v>1213.8819000000001</v>
      </c>
      <c r="IK21" s="963">
        <f>+'Insumos testigos '!JA8*2.2521</f>
        <v>1335.4953</v>
      </c>
      <c r="IL21" s="963">
        <f>+'Insumos testigos '!JB8*2.2521</f>
        <v>1459.3607999999999</v>
      </c>
      <c r="IM21" s="963">
        <f>+'Insumos testigos '!JC8*2.2521</f>
        <v>1574.2179000000001</v>
      </c>
      <c r="IN21" s="1880">
        <f>+'Insumos testigos '!JD8*2.2521</f>
        <v>1574.2179000000001</v>
      </c>
      <c r="IO21" s="963">
        <f>+'Insumos testigos '!JE8*2.2521</f>
        <v>1621.5119999999999</v>
      </c>
      <c r="IP21" s="963">
        <f>+'Insumos testigos '!JF8*2.2521</f>
        <v>1896.2682</v>
      </c>
      <c r="IQ21" s="273"/>
      <c r="IR21" s="1135">
        <v>3.4860000000000002</v>
      </c>
      <c r="IS21" s="15"/>
      <c r="IT21" s="15">
        <v>200</v>
      </c>
      <c r="IU21" s="2">
        <v>200</v>
      </c>
      <c r="IV21" s="15">
        <v>175</v>
      </c>
      <c r="IW21" s="15">
        <v>150</v>
      </c>
      <c r="IX21" s="15">
        <v>125</v>
      </c>
      <c r="IY21" s="15">
        <v>100</v>
      </c>
      <c r="IZ21" s="15">
        <v>75</v>
      </c>
      <c r="JA21" s="15">
        <v>50</v>
      </c>
    </row>
    <row r="22" spans="2:266" ht="16.5" thickBot="1">
      <c r="B22" s="373" t="s">
        <v>671</v>
      </c>
      <c r="C22" s="2661">
        <v>67</v>
      </c>
      <c r="D22" s="2642"/>
      <c r="E22" s="1757">
        <v>126.2</v>
      </c>
      <c r="F22" s="692">
        <v>382.18</v>
      </c>
      <c r="G22" s="447">
        <v>384.52</v>
      </c>
      <c r="H22" s="447">
        <v>383.54</v>
      </c>
      <c r="I22" s="447">
        <v>406.07</v>
      </c>
      <c r="J22" s="447">
        <v>406.51</v>
      </c>
      <c r="K22" s="531">
        <v>406.9</v>
      </c>
      <c r="L22" s="531">
        <v>406.68</v>
      </c>
      <c r="M22" s="531">
        <v>406.68</v>
      </c>
      <c r="N22" s="531">
        <v>402.3</v>
      </c>
      <c r="O22" s="531">
        <v>399.57</v>
      </c>
      <c r="P22" s="531">
        <v>399.57</v>
      </c>
      <c r="Q22" s="531">
        <v>399.57</v>
      </c>
      <c r="R22" s="531">
        <v>399.57</v>
      </c>
      <c r="S22" s="531">
        <v>399.57</v>
      </c>
      <c r="T22" s="531">
        <v>399.57</v>
      </c>
      <c r="U22" s="447">
        <v>399.95</v>
      </c>
      <c r="V22" s="447">
        <v>399.95</v>
      </c>
      <c r="W22" s="447">
        <v>400.47</v>
      </c>
      <c r="X22" s="447">
        <v>400.73</v>
      </c>
      <c r="Y22" s="447">
        <v>405.2</v>
      </c>
      <c r="Z22" s="447">
        <v>407.47</v>
      </c>
      <c r="AA22" s="447">
        <v>409.3</v>
      </c>
      <c r="AB22" s="447">
        <v>425.51</v>
      </c>
      <c r="AC22" s="447">
        <v>430.59</v>
      </c>
      <c r="AD22" s="447">
        <v>430.82</v>
      </c>
      <c r="AE22" s="447">
        <f>+'TABLA FINAL '!AT87</f>
        <v>430.93</v>
      </c>
      <c r="AF22" s="447">
        <f>+'TABLA FINAL '!AU87</f>
        <v>431.16</v>
      </c>
      <c r="AG22" s="447">
        <f>+'TABLA FINAL '!AV87</f>
        <v>431.16</v>
      </c>
      <c r="AH22" s="447">
        <f>+'TABLA FINAL '!AW87</f>
        <v>431.16</v>
      </c>
      <c r="AI22" s="447">
        <f>+'TABLA FINAL '!AX87</f>
        <v>434.92</v>
      </c>
      <c r="AJ22" s="447">
        <f>+'TABLA FINAL '!AY87</f>
        <v>434.58</v>
      </c>
      <c r="AK22" s="447">
        <f>+'TABLA FINAL '!AZ87</f>
        <v>433.74</v>
      </c>
      <c r="AL22" s="447">
        <f>+'TABLA FINAL '!BA87</f>
        <v>430.24</v>
      </c>
      <c r="AM22" s="447">
        <f>+'TABLA FINAL '!BB87</f>
        <v>430.24</v>
      </c>
      <c r="AN22" s="447">
        <f>+'TABLA FINAL '!BC87</f>
        <v>430.08</v>
      </c>
      <c r="AO22" s="447">
        <f>+'TABLA FINAL '!BD87</f>
        <v>430.42</v>
      </c>
      <c r="AP22" s="447">
        <f>+'TABLA FINAL '!BE87</f>
        <v>431.1</v>
      </c>
      <c r="AQ22" s="447">
        <f>+'TABLA FINAL '!BF87</f>
        <v>431.1</v>
      </c>
      <c r="AR22" s="447">
        <f>+'TABLA FINAL '!BG87</f>
        <v>431.1</v>
      </c>
      <c r="AS22" s="447">
        <f>+'TABLA FINAL '!BH87</f>
        <v>431.1</v>
      </c>
      <c r="AT22" s="447">
        <f>+'TABLA FINAL '!BI87</f>
        <v>431.1</v>
      </c>
      <c r="AU22" s="447">
        <f>+'TABLA FINAL '!BJ87</f>
        <v>441.23</v>
      </c>
      <c r="AV22" s="447">
        <f>+'TABLA FINAL '!BK87</f>
        <v>431.2</v>
      </c>
      <c r="AW22" s="447">
        <f>+'TABLA FINAL '!BL87</f>
        <v>431.2</v>
      </c>
      <c r="AX22" s="447">
        <f>+'TABLA FINAL '!BM87</f>
        <v>431.25</v>
      </c>
      <c r="AY22" s="447">
        <f>+'TABLA FINAL '!BN87</f>
        <v>431.25</v>
      </c>
      <c r="AZ22" s="447">
        <f>+'TABLA FINAL '!BO87</f>
        <v>431.25</v>
      </c>
      <c r="BA22" s="447">
        <f>+'TABLA FINAL '!BP87</f>
        <v>432.07</v>
      </c>
      <c r="BB22" s="447">
        <f>+'TABLA FINAL '!BQ87</f>
        <v>431.25</v>
      </c>
      <c r="BC22" s="447">
        <f>+'TABLA FINAL '!BR87</f>
        <v>431.2</v>
      </c>
      <c r="BD22" s="447">
        <f>+'TABLA FINAL '!BS87</f>
        <v>431.2</v>
      </c>
      <c r="BE22" s="447">
        <f>+'TABLA FINAL '!BT87</f>
        <v>431.2</v>
      </c>
      <c r="BF22" s="447">
        <f>+'TABLA FINAL '!BU87</f>
        <v>431.25</v>
      </c>
      <c r="BG22" s="447">
        <f>+'TABLA FINAL '!BV87</f>
        <v>431.25</v>
      </c>
      <c r="BH22" s="447">
        <f>+'TABLA FINAL '!BW87</f>
        <v>431.25</v>
      </c>
      <c r="BI22" s="447">
        <f>+'TABLA FINAL '!BX87</f>
        <v>435.57</v>
      </c>
      <c r="BJ22" s="447">
        <f>+'TABLA FINAL '!BY87</f>
        <v>437.96</v>
      </c>
      <c r="BK22" s="447">
        <f>+'TABLA FINAL '!BZ87</f>
        <v>444.17</v>
      </c>
      <c r="BL22" s="447">
        <f>+'TABLA FINAL '!CA87</f>
        <v>440.98</v>
      </c>
      <c r="BM22" s="447">
        <f>+'TABLA FINAL '!CB87</f>
        <v>443.35</v>
      </c>
      <c r="BN22" s="447">
        <f>+'TABLA FINAL '!CC87</f>
        <v>445.21</v>
      </c>
      <c r="BO22" s="447">
        <f>+'TABLA FINAL '!CD87</f>
        <v>448.22</v>
      </c>
      <c r="BP22" s="131">
        <f>+'TABLA FINAL '!CE87</f>
        <v>456.08</v>
      </c>
      <c r="BQ22" s="692">
        <f>+'TABLA FINAL '!CF87</f>
        <v>448.6</v>
      </c>
      <c r="BR22" s="447">
        <f>+'TABLA FINAL '!CG87</f>
        <v>420.39</v>
      </c>
      <c r="BS22" s="447">
        <f>+'TABLA FINAL '!CH87</f>
        <v>418.16</v>
      </c>
      <c r="BT22" s="447">
        <f>+'TABLA FINAL '!CI87</f>
        <v>423.22</v>
      </c>
      <c r="BU22" s="447">
        <f>+'TABLA FINAL '!CJ87</f>
        <v>438.77</v>
      </c>
      <c r="BV22" s="447">
        <f>+'TABLA FINAL '!CK87</f>
        <v>448.78</v>
      </c>
      <c r="BW22" s="447">
        <f>+'TABLA FINAL '!CL87</f>
        <v>454.18</v>
      </c>
      <c r="BX22" s="447">
        <f>+'TABLA FINAL '!CM87</f>
        <v>450.71</v>
      </c>
      <c r="BY22" s="447">
        <f>+'TABLA FINAL '!CN87</f>
        <v>453.07</v>
      </c>
      <c r="BZ22" s="447">
        <f>+'TABLA FINAL '!CO87</f>
        <v>454.67</v>
      </c>
      <c r="CA22" s="447">
        <f>+'TABLA FINAL '!CP87</f>
        <v>458.77</v>
      </c>
      <c r="CB22" s="131">
        <f>+'TABLA FINAL '!CQ87</f>
        <v>463.22</v>
      </c>
      <c r="CC22" s="692">
        <f>+'TABLA FINAL '!CR87</f>
        <v>471.3</v>
      </c>
      <c r="CD22" s="447">
        <f>+'TABLA FINAL '!CS87</f>
        <v>482.05</v>
      </c>
      <c r="CE22" s="447">
        <f>+'TABLA FINAL '!CT87</f>
        <v>495.91</v>
      </c>
      <c r="CF22" s="447">
        <f>+'TABLA FINAL '!CU87</f>
        <v>519.02</v>
      </c>
      <c r="CG22" s="447">
        <f>+'TABLA FINAL '!CV87</f>
        <v>534.95000000000005</v>
      </c>
      <c r="CH22" s="447">
        <f>+'TABLA FINAL '!CW87</f>
        <v>555.30999999999995</v>
      </c>
      <c r="CI22" s="447">
        <f>+'TABLA FINAL '!CX87</f>
        <v>582.22</v>
      </c>
      <c r="CJ22" s="448">
        <f>+'TABLA FINAL '!CY87</f>
        <v>584.62</v>
      </c>
      <c r="CK22" s="448">
        <f>+'TABLA FINAL '!CZ87</f>
        <v>586.39</v>
      </c>
      <c r="CL22" s="447">
        <f>+'TABLA FINAL '!DA87</f>
        <v>604.54</v>
      </c>
      <c r="CM22" s="448">
        <f>+'TABLA FINAL '!DB87</f>
        <v>606.80999999999995</v>
      </c>
      <c r="CN22" s="448">
        <f>+'TABLA FINAL '!DC87</f>
        <v>609.45000000000005</v>
      </c>
      <c r="CO22" s="692">
        <f>+'TABLA FINAL '!DD87</f>
        <v>609.84</v>
      </c>
      <c r="CP22" s="447">
        <f>+'TABLA FINAL '!DE87</f>
        <v>610.65</v>
      </c>
      <c r="CQ22" s="447">
        <f>+'TABLA FINAL '!DF87</f>
        <v>615.25</v>
      </c>
      <c r="CR22" s="447">
        <f>+'TABLA FINAL '!DG87</f>
        <v>635.57000000000005</v>
      </c>
      <c r="CS22" s="447">
        <f>+'TABLA FINAL '!DH87</f>
        <v>655.53</v>
      </c>
      <c r="CT22" s="447">
        <f>+'TABLA FINAL '!DI87</f>
        <v>679.52</v>
      </c>
      <c r="CU22" s="447">
        <f>+'TABLA FINAL '!DJ87</f>
        <v>693.53</v>
      </c>
      <c r="CV22" s="447">
        <f>+'TABLA FINAL '!DK87</f>
        <v>709.66</v>
      </c>
      <c r="CW22" s="1121">
        <f>+'TABLA FINAL '!DL87</f>
        <v>721.1</v>
      </c>
      <c r="CX22" s="447">
        <f>+'TABLA FINAL  NO'!DM92</f>
        <v>721.1</v>
      </c>
      <c r="CY22" s="448">
        <f>+'TABLA FINAL  NO'!DN92</f>
        <v>726.54</v>
      </c>
      <c r="CZ22" s="448">
        <f>+'TABLA FINAL  NO'!DO92</f>
        <v>745.61</v>
      </c>
      <c r="DA22" s="994">
        <f>+'TABLA FINAL  NO'!DP92</f>
        <v>775.48</v>
      </c>
      <c r="DB22" s="448">
        <f>+'TABLA FINAL  NO'!DQ92</f>
        <v>777.44</v>
      </c>
      <c r="DC22" s="448">
        <f>+'TABLA FINAL  NO'!DR92</f>
        <v>784.16</v>
      </c>
      <c r="DD22" s="448">
        <f>+'TABLA FINAL  NO'!DS92</f>
        <v>822.74</v>
      </c>
      <c r="DE22" s="477">
        <f>+'TABLA FINAL  NO'!DT92</f>
        <v>835.98</v>
      </c>
      <c r="DF22" s="477">
        <f>+'TABLA FINAL  NO'!DU92</f>
        <v>842.63</v>
      </c>
      <c r="DG22" s="477">
        <f>+'TABLA FINAL  NO'!DV92</f>
        <v>858.52</v>
      </c>
      <c r="DH22" s="477">
        <f>+'TABLA FINAL  NO'!DW92</f>
        <v>868.83</v>
      </c>
      <c r="DI22" s="477">
        <f>+'TABLA FINAL  NO'!DX92</f>
        <v>878.37</v>
      </c>
      <c r="DJ22" s="477">
        <f>+'TABLA FINAL  NO'!DY92</f>
        <v>885.52</v>
      </c>
      <c r="DK22" s="477">
        <f>+'TABLA FINAL  NO'!DZ92</f>
        <v>885.52</v>
      </c>
      <c r="DL22" s="478">
        <f>+'TABLA FINAL  NO'!EA92</f>
        <v>893.21</v>
      </c>
      <c r="DM22" s="477">
        <f>+'TABLA FINAL  NO'!EB92</f>
        <v>928.95</v>
      </c>
      <c r="DN22" s="477">
        <f>+'TABLA FINAL  NO'!EC92</f>
        <v>933.84</v>
      </c>
      <c r="DO22" s="477">
        <f>+'TABLA FINAL  NO'!ED92</f>
        <v>946.21</v>
      </c>
      <c r="DP22" s="477">
        <f>+'TABLA FINAL  NO'!EE92</f>
        <v>951.2</v>
      </c>
      <c r="DQ22" s="477">
        <f>+'TABLA FINAL  NO'!EF92</f>
        <v>972.32</v>
      </c>
      <c r="DR22" s="477">
        <f>+'TABLA FINAL  NO'!EG92</f>
        <v>972.59</v>
      </c>
      <c r="DS22" s="477">
        <f>+'TABLA FINAL  NO'!EH92</f>
        <v>998.56</v>
      </c>
      <c r="DT22" s="477">
        <f>+'TABLA FINAL  NO'!EI92</f>
        <v>1003.73</v>
      </c>
      <c r="DU22" s="477">
        <f>+'TABLA FINAL  NO'!EJ92</f>
        <v>1004.43</v>
      </c>
      <c r="DV22" s="470">
        <f>+'TABLA FINAL  NO'!EK92</f>
        <v>1004.6</v>
      </c>
      <c r="DW22" s="747">
        <f>+'TABLA FINAL  NO'!EL92</f>
        <v>1016.06</v>
      </c>
      <c r="DX22" s="470">
        <f>+'TABLA FINAL  NO'!EM92</f>
        <v>1016.77</v>
      </c>
      <c r="DY22" s="747">
        <f>+'TABLA FINAL  NO'!EN92</f>
        <v>1024.6099999999999</v>
      </c>
      <c r="DZ22" s="477">
        <f>+'TABLA FINAL  NO'!EO92</f>
        <v>1032.78</v>
      </c>
      <c r="EA22" s="477">
        <f>+'TABLA FINAL  NO'!EP92</f>
        <v>1055.3499999999999</v>
      </c>
      <c r="EB22" s="477">
        <f>+'TABLA FINAL  NO'!EQ92</f>
        <v>1077.53</v>
      </c>
      <c r="EC22" s="477">
        <f>+'TABLA FINAL  NO'!ER92</f>
        <v>1093.44</v>
      </c>
      <c r="ED22" s="477">
        <f>+'TABLA FINAL  NO'!ES92</f>
        <v>1109.21</v>
      </c>
      <c r="EE22" s="477">
        <f>+'TABLA FINAL  NO'!ET92</f>
        <v>1118.96</v>
      </c>
      <c r="EF22" s="477">
        <f>+'TABLA FINAL  NO'!EU92</f>
        <v>1126.55</v>
      </c>
      <c r="EG22" s="477">
        <f>+'TABLA FINAL  NO'!EV92</f>
        <v>1130.51</v>
      </c>
      <c r="EH22" s="477">
        <f>+'TABLA FINAL  NO'!EW92</f>
        <v>1130.51</v>
      </c>
      <c r="EI22" s="477">
        <f>+'TABLA FINAL  NO'!EX92</f>
        <v>1132.25</v>
      </c>
      <c r="EJ22" s="478">
        <f>+'TABLA FINAL  NO'!EY92</f>
        <v>1141.83</v>
      </c>
      <c r="EK22" s="1011">
        <f>'TABLA FINAL  NO'!EZ92</f>
        <v>1188</v>
      </c>
      <c r="EL22" s="986">
        <f>'TABLA FINAL  NO'!FA92</f>
        <v>1212.73</v>
      </c>
      <c r="EM22" s="986">
        <f>'TABLA FINAL  NO'!FB92</f>
        <v>1274.3499999999999</v>
      </c>
      <c r="EN22" s="986">
        <f>'TABLA FINAL  NO'!FC92</f>
        <v>1373.92</v>
      </c>
      <c r="EO22" s="986">
        <f>'TABLA FINAL  NO'!FD92</f>
        <v>1386.78</v>
      </c>
      <c r="EP22" s="986">
        <f>'TABLA FINAL  NO'!FE92</f>
        <v>1396.59</v>
      </c>
      <c r="EQ22" s="986">
        <f>'TABLA FINAL  NO'!FF92</f>
        <v>1469.17</v>
      </c>
      <c r="ER22" s="986">
        <f>'TABLA FINAL  NO'!FG92</f>
        <v>1477.54</v>
      </c>
      <c r="ES22" s="986">
        <f>'TABLA FINAL  NO'!FH92</f>
        <v>1505.35</v>
      </c>
      <c r="ET22" s="986">
        <f>'TABLA FINAL  NO'!FI92</f>
        <v>1511.76</v>
      </c>
      <c r="EU22" s="986">
        <f>'TABLA FINAL  NO'!FJ92</f>
        <v>1511.91</v>
      </c>
      <c r="EV22" s="1012">
        <f>'TABLA FINAL  NO'!FK92</f>
        <v>1511.84</v>
      </c>
      <c r="EW22" s="1011">
        <f>'TABLA FINAL  NO'!FL92</f>
        <v>1445.03</v>
      </c>
      <c r="EX22" s="986">
        <f>'TABLA FINAL  NO'!FM92</f>
        <v>1462.41</v>
      </c>
      <c r="EY22" s="323">
        <f>'TABLA FINAL  NO'!FN92</f>
        <v>1480.48</v>
      </c>
      <c r="EZ22" s="323">
        <f>'TABLA FINAL  NO'!FO92</f>
        <v>1483.26</v>
      </c>
      <c r="FA22" s="323">
        <f>'TABLA FINAL  NO'!FP92</f>
        <v>1505.43</v>
      </c>
      <c r="FB22" s="323">
        <f>'TABLA FINAL  NO'!FQ92</f>
        <v>1535.69</v>
      </c>
      <c r="FC22" s="323">
        <f>'TABLA FINAL  NO'!FR92</f>
        <v>1553.18</v>
      </c>
      <c r="FD22" s="323">
        <f>'TABLA FINAL  NO'!FS92</f>
        <v>1574.35</v>
      </c>
      <c r="FE22" s="323">
        <f>'TABLA FINAL  NO'!FT92</f>
        <v>1577.45</v>
      </c>
      <c r="FF22" s="986">
        <f>'TABLA FINAL  NO'!FU92</f>
        <v>1577.54</v>
      </c>
      <c r="FG22" s="1012" t="e">
        <f>+#REF!</f>
        <v>#REF!</v>
      </c>
      <c r="FH22" s="1012" t="e">
        <f>+#REF!</f>
        <v>#REF!</v>
      </c>
      <c r="FI22" s="1788">
        <f>+'Insumos testigos '!FY91</f>
        <v>100</v>
      </c>
      <c r="FJ22" s="2508">
        <f>+'Insumos testigos '!FZ91</f>
        <v>100</v>
      </c>
      <c r="FK22" s="1789">
        <f>+'Insumos testigos '!GA91</f>
        <v>106.23167753219604</v>
      </c>
      <c r="FL22" s="1789">
        <f>+'Insumos testigos '!GB91</f>
        <v>112.68328986332534</v>
      </c>
      <c r="FM22" s="1789">
        <f>+'Insumos testigos '!GC91</f>
        <v>123.90029444471372</v>
      </c>
      <c r="FN22" s="1789">
        <f>+'Insumos testigos '!GD91</f>
        <v>123.90029444471372</v>
      </c>
      <c r="FO22" s="1789">
        <f>+'Insumos testigos '!GE91</f>
        <v>123.90029444471372</v>
      </c>
      <c r="FP22" s="1789">
        <f>+'Insumos testigos '!GF91</f>
        <v>123.90029444471372</v>
      </c>
      <c r="FQ22" s="1789">
        <f>+'Insumos testigos '!GG91</f>
        <v>123.90029444471372</v>
      </c>
      <c r="FR22" s="1789">
        <f>+'Insumos testigos '!GH91</f>
        <v>123.90029444471372</v>
      </c>
      <c r="FS22" s="1789">
        <f>+'Insumos testigos '!GI91</f>
        <v>123.90029444471372</v>
      </c>
      <c r="FT22" s="1789">
        <f>+'Insumos testigos '!GJ91</f>
        <v>123.90029444471372</v>
      </c>
      <c r="FU22" s="1789">
        <f>+'Insumos testigos '!GK91</f>
        <v>127.19941025375421</v>
      </c>
      <c r="FV22" s="1789">
        <f>+'Insumos testigos '!GL91</f>
        <v>133.79765160386373</v>
      </c>
      <c r="FW22" s="1789">
        <f>+'Insumos testigos '!GM91</f>
        <v>133.79765160386373</v>
      </c>
      <c r="FX22" s="1789">
        <f>+'Insumos testigos '!GN91</f>
        <v>133.79765160386373</v>
      </c>
      <c r="FY22" s="1789">
        <f>+'Insumos testigos '!GO91</f>
        <v>130.35190201548548</v>
      </c>
      <c r="FZ22" s="1789">
        <f>+'Insumos testigos '!GP91</f>
        <v>130.35190201548548</v>
      </c>
      <c r="GA22" s="1789">
        <f>+'Insumos testigos '!GQ91</f>
        <v>138.19647280564155</v>
      </c>
      <c r="GB22" s="1789">
        <f>+'Insumos testigos '!GR91</f>
        <v>138.19647280564155</v>
      </c>
      <c r="GC22" s="1789">
        <f>+'Insumos testigos '!GS91</f>
        <v>138.19647280564155</v>
      </c>
      <c r="GD22" s="1789">
        <f>+'Insumos testigos '!GT91</f>
        <v>142.52198236531129</v>
      </c>
      <c r="GE22" s="1789">
        <f>+'Insumos testigos '!GU91</f>
        <v>151.17300713493708</v>
      </c>
      <c r="GF22" s="1789">
        <f>+'Insumos testigos '!GV91</f>
        <v>160.28835989488687</v>
      </c>
      <c r="GG22" s="1789">
        <f>+'Insumos testigos '!GW91</f>
        <v>160.28835989488687</v>
      </c>
      <c r="GH22" s="1789">
        <f>+'Insumos testigos '!GX91</f>
        <v>179.44769798011433</v>
      </c>
      <c r="GI22" s="1789">
        <f>+'Insumos testigos '!GY91</f>
        <v>179.44769798011433</v>
      </c>
      <c r="GJ22" s="1789">
        <f>+'Insumos testigos '!GZ91</f>
        <v>183.85092862447544</v>
      </c>
      <c r="GK22" s="1789">
        <f>+'Insumos testigos '!HA91</f>
        <v>183.85092862447544</v>
      </c>
      <c r="GL22" s="1789">
        <f>+'Insumos testigos '!HB91</f>
        <v>181.94259436243931</v>
      </c>
      <c r="GM22" s="1789">
        <f>+'Insumos testigos '!HC91</f>
        <v>200.49050131560125</v>
      </c>
      <c r="GN22" s="1789">
        <f>+'Insumos testigos '!HD91</f>
        <v>213.26472286434279</v>
      </c>
      <c r="GO22" s="1789">
        <f>+'Insumos testigos '!HE91</f>
        <v>240.25660318625958</v>
      </c>
      <c r="GP22" s="1789">
        <f>+'Insumos testigos '!HF91</f>
        <v>261.83567328319305</v>
      </c>
      <c r="GQ22" s="1789">
        <f>+'Insumos testigos '!HG91</f>
        <v>270.3518280371668</v>
      </c>
      <c r="GR22" s="1789">
        <f>+'Insumos testigos '!HH91</f>
        <v>278.47076528530908</v>
      </c>
      <c r="GS22" s="1789">
        <f>+'Insumos testigos '!HI91</f>
        <v>268.00926123095763</v>
      </c>
      <c r="GT22" s="1789">
        <f>+'Insumos testigos '!HJ91</f>
        <v>291.23060375396875</v>
      </c>
      <c r="GU22" s="1789">
        <f>+'Insumos testigos '!HK91</f>
        <v>290.02776608919987</v>
      </c>
      <c r="GV22" s="1789">
        <f>+'Insumos testigos '!HL91</f>
        <v>304.13238791928524</v>
      </c>
      <c r="GW22" s="1789">
        <f>+'Insumos testigos '!HM91</f>
        <v>317.75751889806918</v>
      </c>
      <c r="GX22" s="1789">
        <f>+'Insumos testigos '!HN91</f>
        <v>322.33322717020138</v>
      </c>
      <c r="GY22" s="1789">
        <f>+'Insumos testigos '!HO91</f>
        <v>328.0959875135074</v>
      </c>
      <c r="GZ22" s="1789">
        <f>+'Insumos testigos '!HP91</f>
        <v>328.00943768167269</v>
      </c>
      <c r="HA22" s="1789">
        <f>+'Insumos testigos '!HQ91</f>
        <v>341.56467053487893</v>
      </c>
      <c r="HB22" s="1789">
        <f>+'Insumos testigos '!HR91</f>
        <v>341.42142680640973</v>
      </c>
      <c r="HC22" s="1789">
        <f>+'Insumos testigos '!HS91</f>
        <v>377.84777040392208</v>
      </c>
      <c r="HD22" s="1789">
        <f>+'Insumos testigos '!HT91</f>
        <v>402.68392811643059</v>
      </c>
      <c r="HE22" s="1789">
        <f>+'Insumos testigos '!HU91</f>
        <v>402.68392811643059</v>
      </c>
      <c r="HF22" s="1789">
        <f>+'Insumos testigos '!HV91</f>
        <v>402.68392811643059</v>
      </c>
      <c r="HG22" s="1789">
        <f>+'Insumos testigos '!HW91</f>
        <v>402.39469563080206</v>
      </c>
      <c r="HH22" s="1789">
        <f>+'Insumos testigos '!HX91</f>
        <v>402.39469563080206</v>
      </c>
      <c r="HI22" s="1789">
        <f>+'Insumos testigos '!HY91</f>
        <v>402.68413615993768</v>
      </c>
      <c r="HJ22" s="1789">
        <f>+'Insumos testigos '!HZ91</f>
        <v>402.2020817681738</v>
      </c>
      <c r="HK22" s="1789">
        <f>+'Insumos testigos '!IA91</f>
        <v>402.2020817681738</v>
      </c>
      <c r="HL22" s="1789">
        <f>+'Insumos testigos '!IB91</f>
        <v>413.77922959636226</v>
      </c>
      <c r="HM22" s="1789">
        <f>+'Insumos testigos '!IC91</f>
        <v>431.99998986525816</v>
      </c>
      <c r="HN22" s="1789">
        <f>+'Insumos testigos '!ID91</f>
        <v>448.1910950205471</v>
      </c>
      <c r="HO22" s="1789">
        <f>+'Insumos testigos '!IE91</f>
        <v>453.48758729160573</v>
      </c>
      <c r="HP22" s="1789">
        <f>+'Insumos testigos '!IF91</f>
        <v>484.92436468607491</v>
      </c>
      <c r="HQ22" s="1789">
        <f>+'Insumos testigos '!IG91</f>
        <v>502.18767206889919</v>
      </c>
      <c r="HR22" s="1789">
        <f>+'Insumos testigos '!IH91</f>
        <v>551.98291365290049</v>
      </c>
      <c r="HS22" s="1789">
        <f>+'Insumos testigos '!II91</f>
        <v>623.06823285988332</v>
      </c>
      <c r="HT22" s="1789">
        <f>+'Insumos testigos '!IJ91</f>
        <v>662.09916262581726</v>
      </c>
      <c r="HU22" s="1789">
        <f>+'Insumos testigos '!IK91</f>
        <v>720.40269483344252</v>
      </c>
      <c r="HV22" s="1789">
        <f>+'Insumos testigos '!IL91</f>
        <v>720.86183262547115</v>
      </c>
      <c r="HW22" s="1789">
        <f>+'Insumos testigos '!IM91</f>
        <v>720.86183262547115</v>
      </c>
      <c r="HX22" s="1789">
        <f>+'Insumos testigos '!IN91</f>
        <v>736.56229420270438</v>
      </c>
      <c r="HY22" s="1789">
        <f>+'Insumos testigos '!IO91</f>
        <v>721.35964845036062</v>
      </c>
      <c r="HZ22" s="1789">
        <f>+'Insumos testigos '!IP91</f>
        <v>721.51995059446062</v>
      </c>
      <c r="IA22" s="1789">
        <f>+'Insumos testigos '!IQ91</f>
        <v>721.51995059446062</v>
      </c>
      <c r="IB22" s="1884">
        <f>+'Insumos testigos '!IR91</f>
        <v>720.19703172648394</v>
      </c>
      <c r="IC22" s="1788">
        <f>+'Insumos testigos '!IS91</f>
        <v>722.47873196716534</v>
      </c>
      <c r="ID22" s="1789">
        <f>+'Insumos testigos '!IT91</f>
        <v>787.80211540954565</v>
      </c>
      <c r="IE22" s="1789">
        <f>+'Insumos testigos '!IU91</f>
        <v>876.54486341404106</v>
      </c>
      <c r="IF22" s="1789">
        <f>+'Insumos testigos '!IV91</f>
        <v>904.00465949773832</v>
      </c>
      <c r="IG22" s="1789">
        <f>+'Insumos testigos '!IW91</f>
        <v>1015.7322678977031</v>
      </c>
      <c r="IH22" s="1789">
        <f>+'Insumos testigos '!IX91</f>
        <v>1152.2249070713278</v>
      </c>
      <c r="II22" s="1789">
        <f>+'Insumos testigos '!IY91</f>
        <v>1190.6598575097328</v>
      </c>
      <c r="IJ22" s="1789">
        <f>+'Insumos testigos '!IZ91</f>
        <v>1228.9559347980576</v>
      </c>
      <c r="IK22" s="1789">
        <f>+'Insumos testigos '!JA91</f>
        <v>1228.9559347980576</v>
      </c>
      <c r="IL22" s="1789">
        <f>+'Insumos testigos '!JB91</f>
        <v>1317.4690357507548</v>
      </c>
      <c r="IM22" s="1789">
        <f>+'Insumos testigos '!JC91</f>
        <v>1579.1508115437905</v>
      </c>
      <c r="IN22" s="1884">
        <f>+'Insumos testigos '!JD91</f>
        <v>1745.1440670231789</v>
      </c>
      <c r="IO22" s="1789">
        <f>+'Insumos testigos '!JE91</f>
        <v>1775.2633047281477</v>
      </c>
      <c r="IP22" s="1789">
        <f>+'Insumos testigos '!JF91</f>
        <v>1934.1216942843548</v>
      </c>
      <c r="IQ22" s="273"/>
      <c r="IR22" s="2">
        <f>+IR21*8*22*2.2521</f>
        <v>1381.7444256000001</v>
      </c>
    </row>
    <row r="23" spans="2:266" ht="16.5" thickBot="1">
      <c r="E23" s="1738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5"/>
      <c r="CC23" s="375"/>
      <c r="CD23" s="375"/>
      <c r="CE23" s="375"/>
      <c r="CF23" s="375"/>
      <c r="CG23" s="375"/>
      <c r="CH23" s="375"/>
      <c r="CI23" s="375"/>
      <c r="CJ23" s="375"/>
      <c r="CK23" s="375"/>
      <c r="CL23" s="375"/>
      <c r="CM23" s="375"/>
      <c r="CN23" s="375"/>
      <c r="CO23" s="375"/>
      <c r="CP23" s="375"/>
      <c r="CQ23" s="375"/>
      <c r="CR23" s="375"/>
      <c r="CS23" s="375"/>
      <c r="CT23" s="375"/>
      <c r="CU23" s="375"/>
      <c r="CV23" s="375"/>
      <c r="CW23" s="1751"/>
      <c r="CX23" s="375"/>
      <c r="CY23" s="375"/>
      <c r="CZ23" s="375"/>
      <c r="DA23" s="375"/>
      <c r="DB23" s="375"/>
      <c r="DC23" s="375"/>
      <c r="DD23" s="375"/>
      <c r="DE23" s="1738"/>
      <c r="DF23" s="1738"/>
      <c r="DG23" s="1738"/>
      <c r="DH23" s="1738"/>
      <c r="DI23" s="1738"/>
      <c r="DJ23" s="1738"/>
      <c r="DK23" s="1738"/>
      <c r="DL23" s="1738"/>
      <c r="DM23" s="1738"/>
      <c r="DN23" s="1738"/>
      <c r="DO23" s="1738"/>
      <c r="DP23" s="1738"/>
      <c r="DQ23" s="1738"/>
      <c r="DR23" s="1738"/>
      <c r="DS23" s="1738"/>
      <c r="DT23" s="1738"/>
      <c r="DU23" s="1738"/>
      <c r="DV23" s="1738"/>
      <c r="DW23" s="1738"/>
      <c r="DX23" s="1738"/>
      <c r="DY23" s="1738"/>
      <c r="DZ23" s="1738"/>
      <c r="EA23" s="1738"/>
      <c r="EB23" s="1738"/>
      <c r="EC23" s="1738"/>
      <c r="ED23" s="1738"/>
      <c r="EE23" s="1738"/>
      <c r="EF23" s="1738"/>
      <c r="EG23" s="1738"/>
      <c r="EH23" s="1738"/>
      <c r="EI23" s="1738"/>
      <c r="EJ23" s="1738"/>
      <c r="EK23" s="1738"/>
      <c r="EL23" s="1738"/>
      <c r="EM23" s="1738"/>
      <c r="EN23" s="1738"/>
      <c r="EO23" s="1738"/>
      <c r="EP23" s="1738"/>
      <c r="EQ23" s="1738"/>
      <c r="ER23" s="1738"/>
      <c r="ES23" s="1738"/>
      <c r="ET23" s="1738"/>
      <c r="EU23" s="1738"/>
      <c r="EV23" s="1738"/>
      <c r="EW23" s="1738"/>
      <c r="EX23" s="1738"/>
      <c r="EY23" s="1738"/>
      <c r="EZ23" s="1738"/>
      <c r="FA23" s="1738"/>
      <c r="FB23" s="1738"/>
      <c r="FC23" s="1738"/>
      <c r="FD23" s="1738"/>
      <c r="FE23" s="1738"/>
      <c r="FF23" s="1738"/>
      <c r="FG23" s="1738"/>
      <c r="FH23" s="1738"/>
      <c r="FI23" s="1820"/>
      <c r="FJ23" s="1738"/>
      <c r="FK23" s="1738"/>
      <c r="FL23" s="1738"/>
      <c r="FM23" s="1738"/>
      <c r="FN23" s="1738"/>
      <c r="FO23" s="1738"/>
      <c r="FP23" s="1738"/>
      <c r="FQ23" s="1738"/>
      <c r="FR23" s="1738"/>
      <c r="FS23" s="1738"/>
      <c r="FT23" s="1738"/>
      <c r="FU23" s="1738"/>
      <c r="FV23" s="1738"/>
      <c r="FW23" s="1738"/>
      <c r="FX23" s="1738"/>
      <c r="FY23" s="1738"/>
      <c r="FZ23" s="1738"/>
      <c r="GA23" s="1738"/>
      <c r="GB23" s="1738"/>
      <c r="GC23" s="1738"/>
      <c r="GD23" s="1738"/>
      <c r="GE23" s="1738"/>
      <c r="GF23" s="1738"/>
      <c r="GG23" s="1738"/>
      <c r="GH23" s="1738"/>
      <c r="GI23" s="1738"/>
      <c r="GJ23" s="1738"/>
      <c r="GK23" s="1738"/>
      <c r="GL23" s="1738"/>
      <c r="GM23" s="1738"/>
      <c r="GN23" s="1738"/>
      <c r="GO23" s="1738"/>
      <c r="GP23" s="1738"/>
      <c r="GQ23" s="1738"/>
      <c r="GR23" s="1738"/>
      <c r="GS23" s="1738"/>
      <c r="GT23" s="1738"/>
      <c r="GU23" s="1738"/>
      <c r="GV23" s="1738"/>
      <c r="GW23" s="1738"/>
      <c r="GX23" s="1738"/>
      <c r="GY23" s="1738"/>
      <c r="GZ23" s="1738"/>
      <c r="HA23" s="1738"/>
      <c r="HB23" s="1738"/>
      <c r="HC23" s="1738"/>
      <c r="HD23" s="1774"/>
      <c r="HE23" s="1848"/>
      <c r="HF23" s="1820"/>
      <c r="HG23" s="1823"/>
      <c r="HH23" s="1823"/>
      <c r="HI23" s="1823"/>
      <c r="HJ23" s="1823"/>
      <c r="HK23" s="1823"/>
      <c r="HL23" s="1823"/>
      <c r="HM23" s="1823"/>
      <c r="HN23" s="1823"/>
      <c r="HO23" s="1823"/>
      <c r="HP23" s="1823"/>
      <c r="HQ23" s="1823"/>
      <c r="HR23" s="1937"/>
      <c r="HS23" s="1937"/>
      <c r="HT23" s="1937"/>
      <c r="HU23" s="1937"/>
      <c r="HV23" s="1937"/>
      <c r="HW23" s="1937"/>
      <c r="HX23" s="1937"/>
      <c r="HY23" s="1937"/>
      <c r="HZ23" s="1937"/>
      <c r="IA23" s="1937"/>
      <c r="IB23" s="1937"/>
      <c r="IC23" s="2495"/>
      <c r="ID23" s="1823"/>
      <c r="IE23" s="1823"/>
      <c r="IF23" s="1823"/>
      <c r="IG23" s="1823"/>
      <c r="IH23" s="1823"/>
      <c r="II23" s="1823"/>
      <c r="IJ23" s="1823"/>
      <c r="IK23" s="1823"/>
      <c r="IL23" s="1823"/>
      <c r="IM23" s="1823"/>
      <c r="IN23" s="1937"/>
      <c r="IO23" s="1937"/>
      <c r="IP23" s="1937"/>
      <c r="IQ23" s="120"/>
      <c r="IR23" s="2">
        <f>+IR22/176</f>
        <v>7.8508206000000005</v>
      </c>
      <c r="IT23" s="16">
        <f t="shared" ref="IT23:JA23" si="0">IT16*22*8*2.2521</f>
        <v>543.02635199999997</v>
      </c>
      <c r="IU23" s="16">
        <f t="shared" si="0"/>
        <v>543.02635199999997</v>
      </c>
      <c r="IV23" s="16">
        <f t="shared" si="0"/>
        <v>602.08542239999997</v>
      </c>
      <c r="IW23" s="16">
        <f t="shared" si="0"/>
        <v>665.10818879999999</v>
      </c>
      <c r="IX23" s="16">
        <f t="shared" si="0"/>
        <v>728.13095520000002</v>
      </c>
      <c r="IY23" s="16">
        <f t="shared" si="0"/>
        <v>791.15372159999993</v>
      </c>
      <c r="IZ23" s="16">
        <f t="shared" si="0"/>
        <v>854.17648799999995</v>
      </c>
      <c r="JA23" s="16">
        <f t="shared" si="0"/>
        <v>917.59562400000004</v>
      </c>
    </row>
    <row r="24" spans="2:266">
      <c r="B24" s="2623" t="s">
        <v>675</v>
      </c>
      <c r="C24" s="2659" t="s">
        <v>676</v>
      </c>
      <c r="D24" s="2660"/>
      <c r="E24" s="1758">
        <f>+E20/$E$20</f>
        <v>1</v>
      </c>
      <c r="F24" s="515">
        <f>+F20/$E$20</f>
        <v>3.1152999999999995</v>
      </c>
      <c r="G24" s="516">
        <f>+G20/$E$20</f>
        <v>2.8705000000000003</v>
      </c>
      <c r="H24" s="516">
        <f>+H20/$E$20</f>
        <v>2.8347000000000002</v>
      </c>
      <c r="I24" s="516">
        <f>+I20/$E$20</f>
        <v>2.7045999999999997</v>
      </c>
      <c r="J24" s="516">
        <f t="shared" ref="J24:P24" si="1">ROUND((+J20/$E$20),3)</f>
        <v>2.6709999999999998</v>
      </c>
      <c r="K24" s="516">
        <f t="shared" si="1"/>
        <v>2.5190000000000001</v>
      </c>
      <c r="L24" s="516">
        <f t="shared" si="1"/>
        <v>2.4009999999999998</v>
      </c>
      <c r="M24" s="516">
        <f t="shared" si="1"/>
        <v>2.3180000000000001</v>
      </c>
      <c r="N24" s="516">
        <f t="shared" si="1"/>
        <v>2.2970000000000002</v>
      </c>
      <c r="O24" s="516">
        <f t="shared" si="1"/>
        <v>2.2429999999999999</v>
      </c>
      <c r="P24" s="516">
        <f t="shared" si="1"/>
        <v>2.306</v>
      </c>
      <c r="Q24" s="378">
        <f>ROUND((+Q20/$E$20),3)</f>
        <v>2.3069999999999999</v>
      </c>
      <c r="R24" s="378">
        <f>ROUND((+R20/$E$20),3)</f>
        <v>2.2709999999999999</v>
      </c>
      <c r="S24" s="378">
        <f>ROUND((+S20/$E$20),3)</f>
        <v>2.2829999999999999</v>
      </c>
      <c r="T24" s="378">
        <f>ROUND((+T20/$E$20),3)</f>
        <v>2.3359999999999999</v>
      </c>
      <c r="U24" s="516">
        <f>+U20/$E$20</f>
        <v>2.319</v>
      </c>
      <c r="V24" s="516">
        <f t="shared" ref="V24:AA24" si="2">ROUND((+V20/$E$20),3)</f>
        <v>2.331</v>
      </c>
      <c r="W24" s="516">
        <f t="shared" si="2"/>
        <v>2.3210000000000002</v>
      </c>
      <c r="X24" s="516">
        <f t="shared" si="2"/>
        <v>2.274</v>
      </c>
      <c r="Y24" s="516">
        <f t="shared" si="2"/>
        <v>2.3149999999999999</v>
      </c>
      <c r="Z24" s="516">
        <f t="shared" si="2"/>
        <v>2.3370000000000002</v>
      </c>
      <c r="AA24" s="516">
        <f t="shared" si="2"/>
        <v>2.3220000000000001</v>
      </c>
      <c r="AB24" s="516">
        <f t="shared" ref="AB24:AG24" si="3">ROUND((+AB20/$E$20),3)</f>
        <v>2.3610000000000002</v>
      </c>
      <c r="AC24" s="516">
        <f t="shared" si="3"/>
        <v>2.3149999999999999</v>
      </c>
      <c r="AD24" s="516">
        <f t="shared" si="3"/>
        <v>2.3079999999999998</v>
      </c>
      <c r="AE24" s="516">
        <f t="shared" si="3"/>
        <v>2.3090000000000002</v>
      </c>
      <c r="AF24" s="516">
        <f t="shared" si="3"/>
        <v>2.33</v>
      </c>
      <c r="AG24" s="516">
        <f t="shared" si="3"/>
        <v>2.3210000000000002</v>
      </c>
      <c r="AH24" s="516">
        <f t="shared" ref="AH24:AM24" si="4">ROUND((+AH20/$E$20),3)</f>
        <v>2.2999999999999998</v>
      </c>
      <c r="AI24" s="516">
        <f t="shared" si="4"/>
        <v>2.3130000000000002</v>
      </c>
      <c r="AJ24" s="516">
        <f t="shared" si="4"/>
        <v>2.3140000000000001</v>
      </c>
      <c r="AK24" s="516">
        <f t="shared" si="4"/>
        <v>2.3130000000000002</v>
      </c>
      <c r="AL24" s="516">
        <f t="shared" si="4"/>
        <v>2.2970000000000002</v>
      </c>
      <c r="AM24" s="516">
        <f t="shared" si="4"/>
        <v>2.29</v>
      </c>
      <c r="AN24" s="516">
        <f t="shared" ref="AN24:AS24" si="5">ROUND((+AN20/$E$20),3)</f>
        <v>2.2999999999999998</v>
      </c>
      <c r="AO24" s="516">
        <f t="shared" si="5"/>
        <v>2.31</v>
      </c>
      <c r="AP24" s="516">
        <f t="shared" si="5"/>
        <v>2.3340000000000001</v>
      </c>
      <c r="AQ24" s="516">
        <f t="shared" si="5"/>
        <v>2.3340000000000001</v>
      </c>
      <c r="AR24" s="516">
        <f t="shared" si="5"/>
        <v>2.36</v>
      </c>
      <c r="AS24" s="516">
        <f t="shared" si="5"/>
        <v>2.3839999999999999</v>
      </c>
      <c r="AT24" s="516">
        <f t="shared" ref="AT24:AY24" si="6">ROUND((+AT20/$E$20),3)</f>
        <v>2.399</v>
      </c>
      <c r="AU24" s="516">
        <f t="shared" si="6"/>
        <v>2.415</v>
      </c>
      <c r="AV24" s="516">
        <f t="shared" si="6"/>
        <v>2.359</v>
      </c>
      <c r="AW24" s="516">
        <f t="shared" si="6"/>
        <v>2.3639999999999999</v>
      </c>
      <c r="AX24" s="516">
        <f t="shared" si="6"/>
        <v>2.3679999999999999</v>
      </c>
      <c r="AY24" s="516">
        <f t="shared" si="6"/>
        <v>2.3820000000000001</v>
      </c>
      <c r="AZ24" s="516">
        <f t="shared" ref="AZ24:BE24" si="7">ROUND((+AZ20/$E$20),3)</f>
        <v>2.419</v>
      </c>
      <c r="BA24" s="516">
        <f t="shared" si="7"/>
        <v>2.4350000000000001</v>
      </c>
      <c r="BB24" s="516">
        <f t="shared" si="7"/>
        <v>2.407</v>
      </c>
      <c r="BC24" s="516">
        <f t="shared" si="7"/>
        <v>2.363</v>
      </c>
      <c r="BD24" s="516">
        <f t="shared" si="7"/>
        <v>2.3660000000000001</v>
      </c>
      <c r="BE24" s="516">
        <f t="shared" si="7"/>
        <v>2.375</v>
      </c>
      <c r="BF24" s="516">
        <f t="shared" ref="BF24:BK24" si="8">ROUND((+BF20/$E$20),3)</f>
        <v>2.403</v>
      </c>
      <c r="BG24" s="516">
        <f t="shared" si="8"/>
        <v>2.3860000000000001</v>
      </c>
      <c r="BH24" s="516">
        <f t="shared" si="8"/>
        <v>2.3919999999999999</v>
      </c>
      <c r="BI24" s="516">
        <f t="shared" si="8"/>
        <v>2.415</v>
      </c>
      <c r="BJ24" s="516">
        <f t="shared" si="8"/>
        <v>2.4209999999999998</v>
      </c>
      <c r="BK24" s="516">
        <f t="shared" si="8"/>
        <v>2.4350000000000001</v>
      </c>
      <c r="BL24" s="516">
        <f t="shared" ref="BL24:BR24" si="9">ROUND((+BL20/$E$20),3)</f>
        <v>2.4609999999999999</v>
      </c>
      <c r="BM24" s="516">
        <f t="shared" si="9"/>
        <v>2.46</v>
      </c>
      <c r="BN24" s="516">
        <f t="shared" si="9"/>
        <v>2.4780000000000002</v>
      </c>
      <c r="BO24" s="516">
        <f t="shared" si="9"/>
        <v>2.4729999999999999</v>
      </c>
      <c r="BP24" s="133">
        <f t="shared" si="9"/>
        <v>2.4950000000000001</v>
      </c>
      <c r="BQ24" s="515">
        <f t="shared" si="9"/>
        <v>2.48</v>
      </c>
      <c r="BR24" s="516">
        <f t="shared" si="9"/>
        <v>2.508</v>
      </c>
      <c r="BS24" s="516">
        <f t="shared" ref="BS24:BX24" si="10">ROUND((+BS20/$E$20),3)</f>
        <v>2.5499999999999998</v>
      </c>
      <c r="BT24" s="516">
        <f t="shared" si="10"/>
        <v>2.589</v>
      </c>
      <c r="BU24" s="516">
        <f t="shared" si="10"/>
        <v>2.6</v>
      </c>
      <c r="BV24" s="516">
        <f t="shared" si="10"/>
        <v>2.581</v>
      </c>
      <c r="BW24" s="516">
        <f t="shared" si="10"/>
        <v>2.5790000000000002</v>
      </c>
      <c r="BX24" s="516">
        <f t="shared" si="10"/>
        <v>2.593</v>
      </c>
      <c r="BY24" s="516">
        <f t="shared" ref="BY24:CD24" si="11">ROUND((+BY20/$E$20),3)</f>
        <v>2.5950000000000002</v>
      </c>
      <c r="BZ24" s="516">
        <f t="shared" si="11"/>
        <v>2.6509999999999998</v>
      </c>
      <c r="CA24" s="516">
        <f t="shared" si="11"/>
        <v>2.6669999999999998</v>
      </c>
      <c r="CB24" s="133">
        <f t="shared" si="11"/>
        <v>2.7029999999999998</v>
      </c>
      <c r="CC24" s="515">
        <f t="shared" si="11"/>
        <v>2.714</v>
      </c>
      <c r="CD24" s="516">
        <f t="shared" si="11"/>
        <v>2.75</v>
      </c>
      <c r="CE24" s="516">
        <f t="shared" ref="CE24:CJ24" si="12">ROUND((+CE20/$E$20),3)</f>
        <v>2.7949999999999999</v>
      </c>
      <c r="CF24" s="516">
        <f t="shared" si="12"/>
        <v>2.839</v>
      </c>
      <c r="CG24" s="516">
        <f t="shared" si="12"/>
        <v>2.8570000000000002</v>
      </c>
      <c r="CH24" s="516">
        <f t="shared" si="12"/>
        <v>2.8610000000000002</v>
      </c>
      <c r="CI24" s="516">
        <f t="shared" si="12"/>
        <v>2.875</v>
      </c>
      <c r="CJ24" s="518">
        <f t="shared" si="12"/>
        <v>2.91</v>
      </c>
      <c r="CK24" s="518">
        <f t="shared" ref="CK24:CP24" si="13">ROUND((+CK20/$E$20),3)</f>
        <v>2.9239999999999999</v>
      </c>
      <c r="CL24" s="516">
        <f t="shared" si="13"/>
        <v>2.9350000000000001</v>
      </c>
      <c r="CM24" s="518">
        <f t="shared" si="13"/>
        <v>2.9329999999999998</v>
      </c>
      <c r="CN24" s="518">
        <f t="shared" si="13"/>
        <v>2.9340000000000002</v>
      </c>
      <c r="CO24" s="515">
        <f t="shared" si="13"/>
        <v>2.9449999999999998</v>
      </c>
      <c r="CP24" s="516">
        <f t="shared" si="13"/>
        <v>2.9740000000000002</v>
      </c>
      <c r="CQ24" s="516">
        <f t="shared" ref="CQ24:CV24" si="14">ROUND((+CQ20/$E$20),3)</f>
        <v>2.9849999999999999</v>
      </c>
      <c r="CR24" s="516">
        <f t="shared" si="14"/>
        <v>2.9969999999999999</v>
      </c>
      <c r="CS24" s="516">
        <f t="shared" si="14"/>
        <v>3.032</v>
      </c>
      <c r="CT24" s="516">
        <f t="shared" si="14"/>
        <v>3.0289999999999999</v>
      </c>
      <c r="CU24" s="516">
        <f t="shared" si="14"/>
        <v>3.0489999999999999</v>
      </c>
      <c r="CV24" s="516">
        <f t="shared" si="14"/>
        <v>3.0550000000000002</v>
      </c>
      <c r="CW24" s="1122">
        <f t="shared" ref="CW24:DB24" si="15">ROUND((+CW20/$E$20),3)</f>
        <v>3.0720000000000001</v>
      </c>
      <c r="CX24" s="516">
        <f t="shared" si="15"/>
        <v>3.121</v>
      </c>
      <c r="CY24" s="518">
        <f t="shared" si="15"/>
        <v>3.1230000000000002</v>
      </c>
      <c r="CZ24" s="518">
        <f t="shared" si="15"/>
        <v>3.1280000000000001</v>
      </c>
      <c r="DA24" s="517">
        <f t="shared" si="15"/>
        <v>3.1469999999999998</v>
      </c>
      <c r="DB24" s="518">
        <f t="shared" si="15"/>
        <v>3.1669999999999998</v>
      </c>
      <c r="DC24" s="518">
        <f t="shared" ref="DC24:DH24" si="16">ROUND((+DC20/$E$20),3)</f>
        <v>3.16</v>
      </c>
      <c r="DD24" s="518">
        <f t="shared" si="16"/>
        <v>3.1930000000000001</v>
      </c>
      <c r="DE24" s="978">
        <f t="shared" si="16"/>
        <v>3.2010000000000001</v>
      </c>
      <c r="DF24" s="978">
        <f t="shared" si="16"/>
        <v>3.23</v>
      </c>
      <c r="DG24" s="978">
        <f t="shared" si="16"/>
        <v>3.2650000000000001</v>
      </c>
      <c r="DH24" s="978">
        <f t="shared" si="16"/>
        <v>3.2829999999999999</v>
      </c>
      <c r="DI24" s="978">
        <f t="shared" ref="DI24:DN24" si="17">ROUND((+DI20/$E$20),3)</f>
        <v>3.2959999999999998</v>
      </c>
      <c r="DJ24" s="978">
        <f t="shared" si="17"/>
        <v>3.3069999999999999</v>
      </c>
      <c r="DK24" s="978">
        <f t="shared" si="17"/>
        <v>3.306</v>
      </c>
      <c r="DL24" s="970">
        <f t="shared" si="17"/>
        <v>3.3439999999999999</v>
      </c>
      <c r="DM24" s="978">
        <f t="shared" si="17"/>
        <v>3.36</v>
      </c>
      <c r="DN24" s="978">
        <f t="shared" si="17"/>
        <v>3.367</v>
      </c>
      <c r="DO24" s="978">
        <f t="shared" ref="DO24:DT24" si="18">ROUND((+DO20/$E$20),3)</f>
        <v>3.43</v>
      </c>
      <c r="DP24" s="978">
        <f t="shared" si="18"/>
        <v>3.4630000000000001</v>
      </c>
      <c r="DQ24" s="978">
        <f t="shared" si="18"/>
        <v>3.4809999999999999</v>
      </c>
      <c r="DR24" s="978">
        <f t="shared" si="18"/>
        <v>3.5030000000000001</v>
      </c>
      <c r="DS24" s="978">
        <f t="shared" si="18"/>
        <v>3.5640000000000001</v>
      </c>
      <c r="DT24" s="978">
        <f t="shared" si="18"/>
        <v>3.5939999999999999</v>
      </c>
      <c r="DU24" s="978">
        <f t="shared" ref="DU24:DZ24" si="19">ROUND((+DU20/$E$20),3)</f>
        <v>3.6259999999999999</v>
      </c>
      <c r="DV24" s="553">
        <f t="shared" si="19"/>
        <v>3.645</v>
      </c>
      <c r="DW24" s="1148">
        <f t="shared" si="19"/>
        <v>3.67</v>
      </c>
      <c r="DX24" s="553">
        <f t="shared" si="19"/>
        <v>3.6909999999999998</v>
      </c>
      <c r="DY24" s="1148">
        <f t="shared" si="19"/>
        <v>3.7370000000000001</v>
      </c>
      <c r="DZ24" s="978">
        <f t="shared" si="19"/>
        <v>3.774</v>
      </c>
      <c r="EA24" s="978">
        <f t="shared" ref="EA24:EF24" si="20">ROUND((+EA20/$E$20),3)</f>
        <v>3.806</v>
      </c>
      <c r="EB24" s="978">
        <f t="shared" si="20"/>
        <v>3.8580000000000001</v>
      </c>
      <c r="EC24" s="978">
        <f t="shared" si="20"/>
        <v>3.9049999999999998</v>
      </c>
      <c r="ED24" s="978">
        <f t="shared" si="20"/>
        <v>3.9350000000000001</v>
      </c>
      <c r="EE24" s="978">
        <f t="shared" si="20"/>
        <v>3.9620000000000002</v>
      </c>
      <c r="EF24" s="978">
        <f t="shared" si="20"/>
        <v>3.9980000000000002</v>
      </c>
      <c r="EG24" s="978">
        <f t="shared" ref="EG24:EL24" si="21">ROUND((+EG20/$E$20),3)</f>
        <v>4.0380000000000003</v>
      </c>
      <c r="EH24" s="978">
        <f t="shared" si="21"/>
        <v>4.0549999999999997</v>
      </c>
      <c r="EI24" s="978">
        <f t="shared" si="21"/>
        <v>4.0830000000000002</v>
      </c>
      <c r="EJ24" s="970">
        <f t="shared" si="21"/>
        <v>4.1779999999999999</v>
      </c>
      <c r="EK24" s="978">
        <f t="shared" si="21"/>
        <v>4.2939999999999996</v>
      </c>
      <c r="EL24" s="978">
        <f t="shared" si="21"/>
        <v>4.6210000000000004</v>
      </c>
      <c r="EM24" s="978">
        <f t="shared" ref="EM24:ER24" si="22">ROUND((+EM20/$E$20),3)</f>
        <v>4.7190000000000003</v>
      </c>
      <c r="EN24" s="978">
        <f t="shared" si="22"/>
        <v>4.7539999999999996</v>
      </c>
      <c r="EO24" s="978">
        <f t="shared" si="22"/>
        <v>4.78</v>
      </c>
      <c r="EP24" s="978">
        <f t="shared" si="22"/>
        <v>4.8150000000000004</v>
      </c>
      <c r="EQ24" s="978">
        <f t="shared" si="22"/>
        <v>4.8010000000000002</v>
      </c>
      <c r="ER24" s="978">
        <f t="shared" si="22"/>
        <v>4.97</v>
      </c>
      <c r="ES24" s="978">
        <f t="shared" ref="ES24:FA24" si="23">ROUND((+ES20/$E$20),3)</f>
        <v>5.0259999999999998</v>
      </c>
      <c r="ET24" s="978">
        <f t="shared" si="23"/>
        <v>5.08</v>
      </c>
      <c r="EU24" s="978">
        <f t="shared" si="23"/>
        <v>5.1440000000000001</v>
      </c>
      <c r="EV24" s="970">
        <f t="shared" si="23"/>
        <v>5.1539999999999999</v>
      </c>
      <c r="EW24" s="1573">
        <f t="shared" si="23"/>
        <v>5.1890000000000001</v>
      </c>
      <c r="EX24" s="978">
        <f t="shared" si="23"/>
        <v>5.2089999999999996</v>
      </c>
      <c r="EY24" s="553">
        <f t="shared" si="23"/>
        <v>5.335</v>
      </c>
      <c r="EZ24" s="553">
        <f t="shared" si="23"/>
        <v>5.5090000000000003</v>
      </c>
      <c r="FA24" s="553">
        <f t="shared" si="23"/>
        <v>5.6210000000000004</v>
      </c>
      <c r="FB24" s="553">
        <f t="shared" ref="FB24:FG24" si="24">ROUND((+FB20/$E$20),3)</f>
        <v>5.7409999999999997</v>
      </c>
      <c r="FC24" s="553">
        <f t="shared" si="24"/>
        <v>5.8449999999999998</v>
      </c>
      <c r="FD24" s="553">
        <f t="shared" si="24"/>
        <v>5.9530000000000003</v>
      </c>
      <c r="FE24" s="553">
        <f t="shared" si="24"/>
        <v>5.9779999999999998</v>
      </c>
      <c r="FF24" s="978">
        <f t="shared" si="24"/>
        <v>6.0579999999999998</v>
      </c>
      <c r="FG24" s="970" t="e">
        <f t="shared" si="24"/>
        <v>#REF!</v>
      </c>
      <c r="FH24" s="970" t="e">
        <f t="shared" ref="FH24" si="25">ROUND((+FH20/$E$20),3)</f>
        <v>#REF!</v>
      </c>
      <c r="FI24" s="2514">
        <v>1</v>
      </c>
      <c r="FJ24" s="2509">
        <f t="shared" ref="FJ24:GO24" si="26">ROUND((+FJ20/$FI$20),3)</f>
        <v>1.1299999999999999</v>
      </c>
      <c r="FK24" s="970">
        <f t="shared" si="26"/>
        <v>1.0760000000000001</v>
      </c>
      <c r="FL24" s="970">
        <f t="shared" si="26"/>
        <v>1.0620000000000001</v>
      </c>
      <c r="FM24" s="970">
        <f t="shared" si="26"/>
        <v>1.0389999999999999</v>
      </c>
      <c r="FN24" s="970">
        <f t="shared" si="26"/>
        <v>1.119</v>
      </c>
      <c r="FO24" s="970">
        <f t="shared" si="26"/>
        <v>1.119</v>
      </c>
      <c r="FP24" s="970">
        <f t="shared" si="26"/>
        <v>1.119</v>
      </c>
      <c r="FQ24" s="970">
        <f t="shared" si="26"/>
        <v>1.1259999999999999</v>
      </c>
      <c r="FR24" s="970">
        <f t="shared" si="26"/>
        <v>1.1459999999999999</v>
      </c>
      <c r="FS24" s="970">
        <f t="shared" si="26"/>
        <v>1.167</v>
      </c>
      <c r="FT24" s="970">
        <f t="shared" si="26"/>
        <v>1.1890000000000001</v>
      </c>
      <c r="FU24" s="970">
        <f t="shared" si="26"/>
        <v>1.1930000000000001</v>
      </c>
      <c r="FV24" s="970">
        <f t="shared" si="26"/>
        <v>1.1559999999999999</v>
      </c>
      <c r="FW24" s="970">
        <f t="shared" si="26"/>
        <v>1.159</v>
      </c>
      <c r="FX24" s="970">
        <f t="shared" si="26"/>
        <v>1.163</v>
      </c>
      <c r="FY24" s="970">
        <f t="shared" si="26"/>
        <v>1.2</v>
      </c>
      <c r="FZ24" s="970">
        <f t="shared" si="26"/>
        <v>1.2190000000000001</v>
      </c>
      <c r="GA24" s="970">
        <f t="shared" si="26"/>
        <v>1.38</v>
      </c>
      <c r="GB24" s="970">
        <f t="shared" si="26"/>
        <v>1.4019999999999999</v>
      </c>
      <c r="GC24" s="970">
        <f t="shared" si="26"/>
        <v>1.377</v>
      </c>
      <c r="GD24" s="970">
        <f t="shared" si="26"/>
        <v>1.3959999999999999</v>
      </c>
      <c r="GE24" s="970">
        <f t="shared" si="26"/>
        <v>1.4239999999999999</v>
      </c>
      <c r="GF24" s="970">
        <f t="shared" si="26"/>
        <v>1.4670000000000001</v>
      </c>
      <c r="GG24" s="970">
        <f t="shared" si="26"/>
        <v>1.54</v>
      </c>
      <c r="GH24" s="970">
        <f t="shared" si="26"/>
        <v>1.5860000000000001</v>
      </c>
      <c r="GI24" s="970">
        <f t="shared" si="26"/>
        <v>1.6339999999999999</v>
      </c>
      <c r="GJ24" s="970">
        <f t="shared" si="26"/>
        <v>1.6339999999999999</v>
      </c>
      <c r="GK24" s="970">
        <f t="shared" si="26"/>
        <v>1.9990000000000001</v>
      </c>
      <c r="GL24" s="970">
        <f t="shared" si="26"/>
        <v>2.262</v>
      </c>
      <c r="GM24" s="970">
        <f t="shared" si="26"/>
        <v>2.238</v>
      </c>
      <c r="GN24" s="970">
        <f t="shared" si="26"/>
        <v>2.35</v>
      </c>
      <c r="GO24" s="970">
        <f t="shared" si="26"/>
        <v>3.165</v>
      </c>
      <c r="GP24" s="970">
        <f t="shared" ref="GP24:HU24" si="27">ROUND((+GP20/$FI$20),3)</f>
        <v>3.0089999999999999</v>
      </c>
      <c r="GQ24" s="970">
        <f t="shared" si="27"/>
        <v>2.8340000000000001</v>
      </c>
      <c r="GR24" s="970">
        <f t="shared" si="27"/>
        <v>3.0630000000000002</v>
      </c>
      <c r="GS24" s="970">
        <f t="shared" si="27"/>
        <v>2.948</v>
      </c>
      <c r="GT24" s="970">
        <f t="shared" si="27"/>
        <v>3.1680000000000001</v>
      </c>
      <c r="GU24" s="970">
        <f t="shared" si="27"/>
        <v>3.2629999999999999</v>
      </c>
      <c r="GV24" s="970">
        <f t="shared" si="27"/>
        <v>3.4780000000000002</v>
      </c>
      <c r="GW24" s="970">
        <f t="shared" si="27"/>
        <v>3.76</v>
      </c>
      <c r="GX24" s="970">
        <f t="shared" si="27"/>
        <v>3.5760000000000001</v>
      </c>
      <c r="GY24" s="970">
        <f t="shared" si="27"/>
        <v>3.5659999999999998</v>
      </c>
      <c r="GZ24" s="970">
        <f t="shared" si="27"/>
        <v>4.5979999999999999</v>
      </c>
      <c r="HA24" s="970">
        <f t="shared" si="27"/>
        <v>4.8120000000000003</v>
      </c>
      <c r="HB24" s="970">
        <f t="shared" si="27"/>
        <v>5.0140000000000002</v>
      </c>
      <c r="HC24" s="970">
        <f t="shared" si="27"/>
        <v>4.8460000000000001</v>
      </c>
      <c r="HD24" s="970">
        <f t="shared" si="27"/>
        <v>4.8460000000000001</v>
      </c>
      <c r="HE24" s="970">
        <f t="shared" si="27"/>
        <v>5.0880000000000001</v>
      </c>
      <c r="HF24" s="970">
        <f t="shared" si="27"/>
        <v>5.16</v>
      </c>
      <c r="HG24" s="970">
        <f t="shared" si="27"/>
        <v>5.3010000000000002</v>
      </c>
      <c r="HH24" s="970">
        <f t="shared" si="27"/>
        <v>5.5430000000000001</v>
      </c>
      <c r="HI24" s="970">
        <f t="shared" si="27"/>
        <v>5.6840000000000002</v>
      </c>
      <c r="HJ24" s="970">
        <f t="shared" si="27"/>
        <v>5.9260000000000002</v>
      </c>
      <c r="HK24" s="970">
        <f t="shared" si="27"/>
        <v>6.1479999999999997</v>
      </c>
      <c r="HL24" s="970">
        <f t="shared" si="27"/>
        <v>6.2889999999999997</v>
      </c>
      <c r="HM24" s="970">
        <f t="shared" si="27"/>
        <v>6.45</v>
      </c>
      <c r="HN24" s="970">
        <f t="shared" si="27"/>
        <v>6.7320000000000002</v>
      </c>
      <c r="HO24" s="970">
        <f t="shared" si="27"/>
        <v>6.9740000000000002</v>
      </c>
      <c r="HP24" s="970">
        <f t="shared" si="27"/>
        <v>7.1959999999999997</v>
      </c>
      <c r="HQ24" s="970">
        <f t="shared" si="27"/>
        <v>7.4169999999999998</v>
      </c>
      <c r="HR24" s="970">
        <f t="shared" si="27"/>
        <v>7.6189999999999998</v>
      </c>
      <c r="HS24" s="970">
        <f t="shared" si="27"/>
        <v>7.8410000000000002</v>
      </c>
      <c r="HT24" s="970">
        <f t="shared" si="27"/>
        <v>7.9409999999999998</v>
      </c>
      <c r="HU24" s="970">
        <f t="shared" si="27"/>
        <v>8.0619999999999994</v>
      </c>
      <c r="HV24" s="970">
        <f t="shared" ref="HV24:IN24" si="28">ROUND((+HV20/$FI$20),3)</f>
        <v>8.1229999999999993</v>
      </c>
      <c r="HW24" s="970">
        <f t="shared" si="28"/>
        <v>8.2029999999999994</v>
      </c>
      <c r="HX24" s="970">
        <f t="shared" si="28"/>
        <v>8.2840000000000007</v>
      </c>
      <c r="HY24" s="970">
        <f t="shared" si="28"/>
        <v>8.3650000000000002</v>
      </c>
      <c r="HZ24" s="970">
        <f t="shared" si="28"/>
        <v>8.4649999999999999</v>
      </c>
      <c r="IA24" s="970">
        <f t="shared" si="28"/>
        <v>8.5259999999999998</v>
      </c>
      <c r="IB24" s="978">
        <f t="shared" si="28"/>
        <v>8.6869999999999994</v>
      </c>
      <c r="IC24" s="1827">
        <f t="shared" si="28"/>
        <v>8.8889999999999993</v>
      </c>
      <c r="ID24" s="1829">
        <f t="shared" si="28"/>
        <v>9.07</v>
      </c>
      <c r="IE24" s="1829">
        <f t="shared" si="28"/>
        <v>9.3520000000000003</v>
      </c>
      <c r="IF24" s="1829">
        <f t="shared" si="28"/>
        <v>9.6950000000000003</v>
      </c>
      <c r="IG24" s="1829">
        <f t="shared" si="28"/>
        <v>10.098000000000001</v>
      </c>
      <c r="IH24" s="1829">
        <f t="shared" si="28"/>
        <v>10.461</v>
      </c>
      <c r="II24" s="1829">
        <f t="shared" si="28"/>
        <v>11.066000000000001</v>
      </c>
      <c r="IJ24" s="1829">
        <f t="shared" si="28"/>
        <v>11.428000000000001</v>
      </c>
      <c r="IK24" s="1829">
        <f t="shared" si="28"/>
        <v>12.335000000000001</v>
      </c>
      <c r="IL24" s="1829">
        <f t="shared" si="28"/>
        <v>13.101000000000001</v>
      </c>
      <c r="IM24" s="1829">
        <f t="shared" si="28"/>
        <v>14.048999999999999</v>
      </c>
      <c r="IN24" s="2505">
        <f t="shared" si="28"/>
        <v>14.773999999999999</v>
      </c>
      <c r="IO24" s="1829">
        <f t="shared" ref="IO24:IP24" si="29">ROUND((+IO20/$FI$20),3)</f>
        <v>15.58</v>
      </c>
      <c r="IP24" s="1829">
        <f t="shared" si="29"/>
        <v>16.446999999999999</v>
      </c>
      <c r="IQ24" s="268"/>
    </row>
    <row r="25" spans="2:266">
      <c r="B25" s="2624"/>
      <c r="C25" s="2626" t="s">
        <v>677</v>
      </c>
      <c r="D25" s="2627"/>
      <c r="E25" s="1759">
        <f>+E21/$E$21</f>
        <v>1</v>
      </c>
      <c r="F25" s="524">
        <v>0</v>
      </c>
      <c r="G25" s="525">
        <f>+G21/$E$21</f>
        <v>1.1844660194174759</v>
      </c>
      <c r="H25" s="525">
        <f>+H21/$E$21</f>
        <v>1.1844660194174759</v>
      </c>
      <c r="I25" s="525">
        <f>+I21/$E$21</f>
        <v>1.2362459546925566</v>
      </c>
      <c r="J25" s="525">
        <f t="shared" ref="J25:P25" si="30">ROUND((+J21/$E$21),3)</f>
        <v>1.236</v>
      </c>
      <c r="K25" s="525">
        <f t="shared" si="30"/>
        <v>1.2749999999999999</v>
      </c>
      <c r="L25" s="525">
        <f t="shared" si="30"/>
        <v>1.2749999999999999</v>
      </c>
      <c r="M25" s="525">
        <f t="shared" si="30"/>
        <v>1.3660000000000001</v>
      </c>
      <c r="N25" s="525">
        <f t="shared" si="30"/>
        <v>1.3660000000000001</v>
      </c>
      <c r="O25" s="525">
        <f t="shared" si="30"/>
        <v>1.427</v>
      </c>
      <c r="P25" s="525">
        <f t="shared" si="30"/>
        <v>1.498</v>
      </c>
      <c r="Q25" s="285">
        <f>ROUND((+Q21/$E$21),3)</f>
        <v>1.57</v>
      </c>
      <c r="R25" s="285">
        <f>ROUND((+R21/$E$21),3)</f>
        <v>1.6379999999999999</v>
      </c>
      <c r="S25" s="285">
        <f>ROUND((+S21/$E$21),3)</f>
        <v>1.7090000000000001</v>
      </c>
      <c r="T25" s="285">
        <f>ROUND((+T21/$E$21),3)</f>
        <v>1.78</v>
      </c>
      <c r="U25" s="525">
        <f>+U21/$E$21</f>
        <v>1.941747572815534</v>
      </c>
      <c r="V25" s="525">
        <f t="shared" ref="V25:AA25" si="31">ROUND((+V21/$E$21),3)</f>
        <v>2.0099999999999998</v>
      </c>
      <c r="W25" s="525">
        <f t="shared" si="31"/>
        <v>2.0099999999999998</v>
      </c>
      <c r="X25" s="525">
        <f t="shared" si="31"/>
        <v>2.0099999999999998</v>
      </c>
      <c r="Y25" s="525">
        <f t="shared" si="31"/>
        <v>2.0099999999999998</v>
      </c>
      <c r="Z25" s="525">
        <f t="shared" si="31"/>
        <v>2.0099999999999998</v>
      </c>
      <c r="AA25" s="525">
        <f t="shared" si="31"/>
        <v>2.0099999999999998</v>
      </c>
      <c r="AB25" s="525">
        <f t="shared" ref="AB25:AG25" si="32">ROUND((+AB21/$E$21),3)</f>
        <v>2.0099999999999998</v>
      </c>
      <c r="AC25" s="525">
        <f t="shared" si="32"/>
        <v>2.0099999999999998</v>
      </c>
      <c r="AD25" s="525">
        <f t="shared" si="32"/>
        <v>2.0099999999999998</v>
      </c>
      <c r="AE25" s="525">
        <f t="shared" si="32"/>
        <v>2.0099999999999998</v>
      </c>
      <c r="AF25" s="525">
        <f t="shared" si="32"/>
        <v>2.0099999999999998</v>
      </c>
      <c r="AG25" s="525">
        <f t="shared" si="32"/>
        <v>2.194</v>
      </c>
      <c r="AH25" s="525">
        <f t="shared" ref="AH25:AM25" si="33">ROUND((+AH21/$E$21),3)</f>
        <v>2.194</v>
      </c>
      <c r="AI25" s="525">
        <f t="shared" si="33"/>
        <v>3.0939999999999999</v>
      </c>
      <c r="AJ25" s="525">
        <f t="shared" si="33"/>
        <v>3.2509999999999999</v>
      </c>
      <c r="AK25" s="525">
        <f t="shared" si="33"/>
        <v>3.2509999999999999</v>
      </c>
      <c r="AL25" s="525">
        <f t="shared" si="33"/>
        <v>3.2519999999999998</v>
      </c>
      <c r="AM25" s="525">
        <f t="shared" si="33"/>
        <v>3.2519999999999998</v>
      </c>
      <c r="AN25" s="525">
        <f t="shared" ref="AN25:AS25" si="34">ROUND((+AN21/$E$21),3)</f>
        <v>3.2519999999999998</v>
      </c>
      <c r="AO25" s="525">
        <f t="shared" si="34"/>
        <v>3.2519999999999998</v>
      </c>
      <c r="AP25" s="525">
        <f t="shared" si="34"/>
        <v>3.2509999999999999</v>
      </c>
      <c r="AQ25" s="525">
        <f t="shared" si="34"/>
        <v>3.9249999999999998</v>
      </c>
      <c r="AR25" s="525">
        <f t="shared" si="34"/>
        <v>3.9249999999999998</v>
      </c>
      <c r="AS25" s="525">
        <f t="shared" si="34"/>
        <v>4.1289999999999996</v>
      </c>
      <c r="AT25" s="525">
        <f t="shared" ref="AT25:AY25" si="35">ROUND((+AT21/$E$21),3)</f>
        <v>4.1289999999999996</v>
      </c>
      <c r="AU25" s="525">
        <f t="shared" si="35"/>
        <v>4.1289999999999996</v>
      </c>
      <c r="AV25" s="525">
        <f t="shared" si="35"/>
        <v>4.3319999999999999</v>
      </c>
      <c r="AW25" s="525">
        <f t="shared" si="35"/>
        <v>4.6840000000000002</v>
      </c>
      <c r="AX25" s="525">
        <f t="shared" si="35"/>
        <v>4.6840000000000002</v>
      </c>
      <c r="AY25" s="525">
        <f t="shared" si="35"/>
        <v>4.8470000000000004</v>
      </c>
      <c r="AZ25" s="525">
        <f t="shared" ref="AZ25:BE25" si="36">ROUND((+AZ21/$E$21),3)</f>
        <v>4.8470000000000004</v>
      </c>
      <c r="BA25" s="525">
        <f t="shared" si="36"/>
        <v>3.79</v>
      </c>
      <c r="BB25" s="525">
        <f t="shared" si="36"/>
        <v>5.3079999999999998</v>
      </c>
      <c r="BC25" s="525">
        <f t="shared" si="36"/>
        <v>5.3079999999999998</v>
      </c>
      <c r="BD25" s="525">
        <f t="shared" si="36"/>
        <v>5.3079999999999998</v>
      </c>
      <c r="BE25" s="525">
        <f t="shared" si="36"/>
        <v>5.694</v>
      </c>
      <c r="BF25" s="525">
        <f t="shared" ref="BF25:BK25" si="37">ROUND((+BF21/$E$21),3)</f>
        <v>5.694</v>
      </c>
      <c r="BG25" s="525">
        <f t="shared" si="37"/>
        <v>5.694</v>
      </c>
      <c r="BH25" s="525">
        <f t="shared" si="37"/>
        <v>5.694</v>
      </c>
      <c r="BI25" s="525">
        <f t="shared" si="37"/>
        <v>6.26</v>
      </c>
      <c r="BJ25" s="525">
        <f t="shared" si="37"/>
        <v>6.26</v>
      </c>
      <c r="BK25" s="525">
        <f t="shared" si="37"/>
        <v>6.6340000000000003</v>
      </c>
      <c r="BL25" s="525">
        <f t="shared" ref="BL25:BR25" si="38">ROUND((+BL21/$E$21),3)</f>
        <v>6.6349999999999998</v>
      </c>
      <c r="BM25" s="525">
        <f t="shared" si="38"/>
        <v>6.6349999999999998</v>
      </c>
      <c r="BN25" s="525">
        <f t="shared" si="38"/>
        <v>6.6319999999999997</v>
      </c>
      <c r="BO25" s="525">
        <f t="shared" si="38"/>
        <v>6.6319999999999997</v>
      </c>
      <c r="BP25" s="526">
        <f t="shared" si="38"/>
        <v>7.3680000000000003</v>
      </c>
      <c r="BQ25" s="524">
        <f t="shared" si="38"/>
        <v>6.6319999999999997</v>
      </c>
      <c r="BR25" s="525">
        <f t="shared" si="38"/>
        <v>6.6319999999999997</v>
      </c>
      <c r="BS25" s="525">
        <f t="shared" ref="BS25:BX25" si="39">ROUND((+BS21/$E$21),3)</f>
        <v>6.6319999999999997</v>
      </c>
      <c r="BT25" s="525">
        <f t="shared" si="39"/>
        <v>7.2960000000000003</v>
      </c>
      <c r="BU25" s="525">
        <f t="shared" si="39"/>
        <v>7.4340000000000002</v>
      </c>
      <c r="BV25" s="525">
        <f t="shared" si="39"/>
        <v>7.2960000000000003</v>
      </c>
      <c r="BW25" s="525">
        <f t="shared" si="39"/>
        <v>7.7610000000000001</v>
      </c>
      <c r="BX25" s="525">
        <f t="shared" si="39"/>
        <v>7.6239999999999997</v>
      </c>
      <c r="BY25" s="525">
        <f t="shared" ref="BY25:CD25" si="40">ROUND((+BY21/$E$21),3)</f>
        <v>7.8070000000000004</v>
      </c>
      <c r="BZ25" s="525">
        <f t="shared" si="40"/>
        <v>7.9219999999999997</v>
      </c>
      <c r="CA25" s="525">
        <f t="shared" si="40"/>
        <v>7.9219999999999997</v>
      </c>
      <c r="CB25" s="526">
        <f t="shared" si="40"/>
        <v>7.9219999999999997</v>
      </c>
      <c r="CC25" s="524">
        <f t="shared" si="40"/>
        <v>7.9219999999999997</v>
      </c>
      <c r="CD25" s="525">
        <f t="shared" si="40"/>
        <v>7.9219999999999997</v>
      </c>
      <c r="CE25" s="525">
        <f t="shared" ref="CE25:CJ25" si="41">ROUND((+CE21/$E$21),3)</f>
        <v>7.9219999999999997</v>
      </c>
      <c r="CF25" s="525">
        <f t="shared" si="41"/>
        <v>7.9219999999999997</v>
      </c>
      <c r="CG25" s="525">
        <f t="shared" si="41"/>
        <v>8.2530000000000001</v>
      </c>
      <c r="CH25" s="525">
        <f t="shared" si="41"/>
        <v>8.6370000000000005</v>
      </c>
      <c r="CI25" s="525">
        <f t="shared" si="41"/>
        <v>8.6370000000000005</v>
      </c>
      <c r="CJ25" s="528">
        <f t="shared" si="41"/>
        <v>8.6370000000000005</v>
      </c>
      <c r="CK25" s="528">
        <f t="shared" ref="CK25:CP25" si="42">ROUND((+CK21/$E$21),3)</f>
        <v>8.6370000000000005</v>
      </c>
      <c r="CL25" s="525">
        <f t="shared" si="42"/>
        <v>9.1539999999999999</v>
      </c>
      <c r="CM25" s="528">
        <f t="shared" si="42"/>
        <v>9.1539999999999999</v>
      </c>
      <c r="CN25" s="528">
        <f t="shared" si="42"/>
        <v>9.1539999999999999</v>
      </c>
      <c r="CO25" s="524">
        <f t="shared" si="42"/>
        <v>9.1539999999999999</v>
      </c>
      <c r="CP25" s="525">
        <f t="shared" si="42"/>
        <v>9.1539999999999999</v>
      </c>
      <c r="CQ25" s="525">
        <f t="shared" ref="CQ25:CV25" si="43">ROUND((+CQ21/$E$21),3)</f>
        <v>9.6140000000000008</v>
      </c>
      <c r="CR25" s="525">
        <f t="shared" si="43"/>
        <v>9.6140000000000008</v>
      </c>
      <c r="CS25" s="525">
        <f t="shared" si="43"/>
        <v>10.343999999999999</v>
      </c>
      <c r="CT25" s="525">
        <f t="shared" si="43"/>
        <v>10.343999999999999</v>
      </c>
      <c r="CU25" s="525">
        <f t="shared" si="43"/>
        <v>10.343999999999999</v>
      </c>
      <c r="CV25" s="525">
        <f t="shared" si="43"/>
        <v>10.874000000000001</v>
      </c>
      <c r="CW25" s="1123">
        <f t="shared" ref="CW25:DB25" si="44">ROUND((+CW21/$E$21),3)</f>
        <v>10.874000000000001</v>
      </c>
      <c r="CX25" s="525">
        <f t="shared" si="44"/>
        <v>10.874000000000001</v>
      </c>
      <c r="CY25" s="528">
        <f t="shared" si="44"/>
        <v>10.874000000000001</v>
      </c>
      <c r="CZ25" s="528">
        <f t="shared" si="44"/>
        <v>11.632</v>
      </c>
      <c r="DA25" s="527">
        <f t="shared" si="44"/>
        <v>11.632</v>
      </c>
      <c r="DB25" s="528">
        <f t="shared" si="44"/>
        <v>11.632</v>
      </c>
      <c r="DC25" s="528">
        <f t="shared" ref="DC25:DH25" si="45">ROUND((+DC21/$E$21),3)</f>
        <v>11.632</v>
      </c>
      <c r="DD25" s="528">
        <f t="shared" si="45"/>
        <v>13.032</v>
      </c>
      <c r="DE25" s="979">
        <f t="shared" si="45"/>
        <v>13.032</v>
      </c>
      <c r="DF25" s="979">
        <f t="shared" si="45"/>
        <v>13.032</v>
      </c>
      <c r="DG25" s="979">
        <f t="shared" si="45"/>
        <v>13.032</v>
      </c>
      <c r="DH25" s="979">
        <f t="shared" si="45"/>
        <v>13.811</v>
      </c>
      <c r="DI25" s="979">
        <f t="shared" ref="DI25:DN25" si="46">ROUND((+DI21/$E$21),3)</f>
        <v>13.811</v>
      </c>
      <c r="DJ25" s="979">
        <f t="shared" si="46"/>
        <v>13.811</v>
      </c>
      <c r="DK25" s="979">
        <f t="shared" si="46"/>
        <v>14.635</v>
      </c>
      <c r="DL25" s="971">
        <f t="shared" si="46"/>
        <v>14.635</v>
      </c>
      <c r="DM25" s="979">
        <f t="shared" si="46"/>
        <v>14.635</v>
      </c>
      <c r="DN25" s="979">
        <f t="shared" si="46"/>
        <v>14.635</v>
      </c>
      <c r="DO25" s="979">
        <f t="shared" ref="DO25:DT25" si="47">ROUND((+DO21/$E$21),3)</f>
        <v>14.635</v>
      </c>
      <c r="DP25" s="979">
        <f t="shared" si="47"/>
        <v>14.635</v>
      </c>
      <c r="DQ25" s="979">
        <f t="shared" si="47"/>
        <v>14.635</v>
      </c>
      <c r="DR25" s="979">
        <f t="shared" si="47"/>
        <v>18.818999999999999</v>
      </c>
      <c r="DS25" s="979">
        <f t="shared" si="47"/>
        <v>18.818999999999999</v>
      </c>
      <c r="DT25" s="979">
        <f t="shared" si="47"/>
        <v>18.818999999999999</v>
      </c>
      <c r="DU25" s="979">
        <f t="shared" ref="DU25:DZ25" si="48">ROUND((+DU21/$E$21),3)</f>
        <v>18.818999999999999</v>
      </c>
      <c r="DV25" s="974">
        <f t="shared" si="48"/>
        <v>18.818999999999999</v>
      </c>
      <c r="DW25" s="1145">
        <f t="shared" si="48"/>
        <v>18.818999999999999</v>
      </c>
      <c r="DX25" s="974">
        <f t="shared" si="48"/>
        <v>18.818999999999999</v>
      </c>
      <c r="DY25" s="1145">
        <f t="shared" si="48"/>
        <v>18.818999999999999</v>
      </c>
      <c r="DZ25" s="979">
        <f t="shared" si="48"/>
        <v>18.818999999999999</v>
      </c>
      <c r="EA25" s="979">
        <f t="shared" ref="EA25:EF25" si="49">ROUND((+EA21/$E$21),3)</f>
        <v>18.818999999999999</v>
      </c>
      <c r="EB25" s="979">
        <f t="shared" si="49"/>
        <v>18.818999999999999</v>
      </c>
      <c r="EC25" s="979">
        <f t="shared" si="49"/>
        <v>18.818999999999999</v>
      </c>
      <c r="ED25" s="979">
        <f t="shared" si="49"/>
        <v>22.207999999999998</v>
      </c>
      <c r="EE25" s="979">
        <f t="shared" si="49"/>
        <v>22.207999999999998</v>
      </c>
      <c r="EF25" s="979">
        <f t="shared" si="49"/>
        <v>22.207999999999998</v>
      </c>
      <c r="EG25" s="979">
        <f t="shared" ref="EG25:EL25" si="50">ROUND((+EG21/$E$21),3)</f>
        <v>23.468</v>
      </c>
      <c r="EH25" s="979">
        <f t="shared" si="50"/>
        <v>23.468</v>
      </c>
      <c r="EI25" s="979">
        <f t="shared" si="50"/>
        <v>23.541</v>
      </c>
      <c r="EJ25" s="971">
        <f t="shared" si="50"/>
        <v>23.541</v>
      </c>
      <c r="EK25" s="979">
        <f t="shared" si="50"/>
        <v>23.541</v>
      </c>
      <c r="EL25" s="979">
        <f t="shared" si="50"/>
        <v>23.541</v>
      </c>
      <c r="EM25" s="979">
        <f t="shared" ref="EM25:ER25" si="51">ROUND((+EM21/$E$21),3)</f>
        <v>23.541</v>
      </c>
      <c r="EN25" s="979">
        <f t="shared" si="51"/>
        <v>27.702999999999999</v>
      </c>
      <c r="EO25" s="979">
        <f t="shared" si="51"/>
        <v>27.702999999999999</v>
      </c>
      <c r="EP25" s="979">
        <f t="shared" si="51"/>
        <v>27.702999999999999</v>
      </c>
      <c r="EQ25" s="979">
        <f t="shared" si="51"/>
        <v>30.472999999999999</v>
      </c>
      <c r="ER25" s="979">
        <f t="shared" si="51"/>
        <v>30.472999999999999</v>
      </c>
      <c r="ES25" s="979">
        <f t="shared" ref="ES25:FA25" si="52">ROUND((+ES21/$E$21),3)</f>
        <v>30.472999999999999</v>
      </c>
      <c r="ET25" s="979">
        <f t="shared" si="52"/>
        <v>30.472999999999999</v>
      </c>
      <c r="EU25" s="979">
        <f t="shared" si="52"/>
        <v>30.472999999999999</v>
      </c>
      <c r="EV25" s="971">
        <f t="shared" si="52"/>
        <v>30.472999999999999</v>
      </c>
      <c r="EW25" s="1007">
        <f t="shared" si="52"/>
        <v>30.472999999999999</v>
      </c>
      <c r="EX25" s="979">
        <f t="shared" si="52"/>
        <v>30.472999999999999</v>
      </c>
      <c r="EY25" s="974">
        <f t="shared" si="52"/>
        <v>30.472999999999999</v>
      </c>
      <c r="EZ25" s="974">
        <f t="shared" si="52"/>
        <v>35.771000000000001</v>
      </c>
      <c r="FA25" s="974">
        <f t="shared" si="52"/>
        <v>35.771000000000001</v>
      </c>
      <c r="FB25" s="974">
        <f t="shared" ref="FB25:FG25" si="53">ROUND((+FB21/$E$21),3)</f>
        <v>35.771000000000001</v>
      </c>
      <c r="FC25" s="974">
        <f t="shared" si="53"/>
        <v>35.771000000000001</v>
      </c>
      <c r="FD25" s="974">
        <f t="shared" si="53"/>
        <v>38.825000000000003</v>
      </c>
      <c r="FE25" s="974">
        <f t="shared" si="53"/>
        <v>38.825000000000003</v>
      </c>
      <c r="FF25" s="979">
        <f t="shared" si="53"/>
        <v>38.825000000000003</v>
      </c>
      <c r="FG25" s="971" t="e">
        <f t="shared" si="53"/>
        <v>#REF!</v>
      </c>
      <c r="FH25" s="971" t="e">
        <f t="shared" ref="FH25" si="54">ROUND((+FH21/$E$21),3)</f>
        <v>#REF!</v>
      </c>
      <c r="FI25" s="1938">
        <v>1</v>
      </c>
      <c r="FJ25" s="2510">
        <f t="shared" ref="FJ25:GO25" si="55">ROUND((+FJ21/$FI$21),3)</f>
        <v>1</v>
      </c>
      <c r="FK25" s="971">
        <f t="shared" si="55"/>
        <v>1</v>
      </c>
      <c r="FL25" s="971">
        <f t="shared" si="55"/>
        <v>1.22</v>
      </c>
      <c r="FM25" s="971">
        <f t="shared" si="55"/>
        <v>1.22</v>
      </c>
      <c r="FN25" s="971">
        <f t="shared" si="55"/>
        <v>1.22</v>
      </c>
      <c r="FO25" s="971">
        <f t="shared" si="55"/>
        <v>1.22</v>
      </c>
      <c r="FP25" s="971">
        <f t="shared" si="55"/>
        <v>1.22</v>
      </c>
      <c r="FQ25" s="971">
        <f t="shared" si="55"/>
        <v>1.22</v>
      </c>
      <c r="FR25" s="971">
        <f t="shared" si="55"/>
        <v>1.34</v>
      </c>
      <c r="FS25" s="971">
        <f t="shared" si="55"/>
        <v>1.34</v>
      </c>
      <c r="FT25" s="971">
        <f t="shared" si="55"/>
        <v>1.34</v>
      </c>
      <c r="FU25" s="971">
        <f t="shared" si="55"/>
        <v>1.39</v>
      </c>
      <c r="FV25" s="971">
        <f t="shared" si="55"/>
        <v>1.39</v>
      </c>
      <c r="FW25" s="971">
        <f t="shared" si="55"/>
        <v>1.39</v>
      </c>
      <c r="FX25" s="971">
        <f t="shared" si="55"/>
        <v>1.5429999999999999</v>
      </c>
      <c r="FY25" s="971">
        <f t="shared" si="55"/>
        <v>1.5429999999999999</v>
      </c>
      <c r="FZ25" s="971">
        <f t="shared" si="55"/>
        <v>1.5429999999999999</v>
      </c>
      <c r="GA25" s="971">
        <f t="shared" si="55"/>
        <v>1.6970000000000001</v>
      </c>
      <c r="GB25" s="971">
        <f t="shared" si="55"/>
        <v>1.6970000000000001</v>
      </c>
      <c r="GC25" s="971">
        <f t="shared" si="55"/>
        <v>1.6970000000000001</v>
      </c>
      <c r="GD25" s="971">
        <f t="shared" si="55"/>
        <v>1.6970000000000001</v>
      </c>
      <c r="GE25" s="971">
        <f t="shared" si="55"/>
        <v>1.6970000000000001</v>
      </c>
      <c r="GF25" s="971">
        <f t="shared" si="55"/>
        <v>1.6970000000000001</v>
      </c>
      <c r="GG25" s="971">
        <f t="shared" si="55"/>
        <v>1.6970000000000001</v>
      </c>
      <c r="GH25" s="971">
        <f t="shared" si="55"/>
        <v>1.7230000000000001</v>
      </c>
      <c r="GI25" s="971">
        <f t="shared" si="55"/>
        <v>1.748</v>
      </c>
      <c r="GJ25" s="971">
        <f t="shared" si="55"/>
        <v>1.923</v>
      </c>
      <c r="GK25" s="971">
        <f t="shared" si="55"/>
        <v>1.923</v>
      </c>
      <c r="GL25" s="971">
        <f t="shared" si="55"/>
        <v>1.923</v>
      </c>
      <c r="GM25" s="971">
        <f t="shared" si="55"/>
        <v>1.923</v>
      </c>
      <c r="GN25" s="971">
        <f t="shared" si="55"/>
        <v>2.0190000000000001</v>
      </c>
      <c r="GO25" s="971">
        <f t="shared" si="55"/>
        <v>2.1</v>
      </c>
      <c r="GP25" s="971">
        <f t="shared" ref="GP25:HU25" si="56">ROUND((+GP21/$FI$21),3)</f>
        <v>2.1629999999999998</v>
      </c>
      <c r="GQ25" s="971">
        <f t="shared" si="56"/>
        <v>2.226</v>
      </c>
      <c r="GR25" s="971">
        <f t="shared" si="56"/>
        <v>2.226</v>
      </c>
      <c r="GS25" s="971">
        <f t="shared" si="56"/>
        <v>2.2930000000000001</v>
      </c>
      <c r="GT25" s="971">
        <f t="shared" si="56"/>
        <v>2.2930000000000001</v>
      </c>
      <c r="GU25" s="971">
        <f t="shared" si="56"/>
        <v>2.4529999999999998</v>
      </c>
      <c r="GV25" s="971">
        <f t="shared" si="56"/>
        <v>2.698</v>
      </c>
      <c r="GW25" s="971">
        <f t="shared" si="56"/>
        <v>2.8330000000000002</v>
      </c>
      <c r="GX25" s="971">
        <f t="shared" si="56"/>
        <v>2.8330000000000002</v>
      </c>
      <c r="GY25" s="971">
        <f t="shared" si="56"/>
        <v>2.9550000000000001</v>
      </c>
      <c r="GZ25" s="971">
        <f t="shared" si="56"/>
        <v>3.0579999999999998</v>
      </c>
      <c r="HA25" s="971">
        <f t="shared" si="56"/>
        <v>3.0579999999999998</v>
      </c>
      <c r="HB25" s="971">
        <f t="shared" si="56"/>
        <v>3.2970000000000002</v>
      </c>
      <c r="HC25" s="971">
        <f t="shared" si="56"/>
        <v>3.4950000000000001</v>
      </c>
      <c r="HD25" s="971">
        <f t="shared" si="56"/>
        <v>3.4950000000000001</v>
      </c>
      <c r="HE25" s="971">
        <f t="shared" si="56"/>
        <v>3.7080000000000002</v>
      </c>
      <c r="HF25" s="971">
        <f t="shared" si="56"/>
        <v>3.8570000000000002</v>
      </c>
      <c r="HG25" s="971">
        <f t="shared" si="56"/>
        <v>3.8570000000000002</v>
      </c>
      <c r="HH25" s="971">
        <f t="shared" si="56"/>
        <v>3.8570000000000002</v>
      </c>
      <c r="HI25" s="971">
        <f t="shared" si="56"/>
        <v>3.8570000000000002</v>
      </c>
      <c r="HJ25" s="971">
        <f t="shared" si="56"/>
        <v>3.8570000000000002</v>
      </c>
      <c r="HK25" s="971">
        <f t="shared" si="56"/>
        <v>3.8570000000000002</v>
      </c>
      <c r="HL25" s="971">
        <f t="shared" si="56"/>
        <v>3.8570000000000002</v>
      </c>
      <c r="HM25" s="971">
        <f t="shared" si="56"/>
        <v>3.8570000000000002</v>
      </c>
      <c r="HN25" s="971">
        <f t="shared" si="56"/>
        <v>3.8570000000000002</v>
      </c>
      <c r="HO25" s="971">
        <f t="shared" si="56"/>
        <v>4.8209999999999997</v>
      </c>
      <c r="HP25" s="971">
        <f t="shared" si="56"/>
        <v>4.8209999999999997</v>
      </c>
      <c r="HQ25" s="971">
        <f t="shared" si="56"/>
        <v>4.8209999999999997</v>
      </c>
      <c r="HR25" s="971">
        <f t="shared" si="56"/>
        <v>5.1289999999999996</v>
      </c>
      <c r="HS25" s="971">
        <f t="shared" si="56"/>
        <v>5.1289999999999996</v>
      </c>
      <c r="HT25" s="971">
        <f t="shared" si="56"/>
        <v>5.7450000000000001</v>
      </c>
      <c r="HU25" s="971">
        <f t="shared" si="56"/>
        <v>5.7450000000000001</v>
      </c>
      <c r="HV25" s="971">
        <f t="shared" ref="HV25:IN25" si="57">ROUND((+HV21/$FI$21),3)</f>
        <v>5.7450000000000001</v>
      </c>
      <c r="HW25" s="971">
        <f t="shared" si="57"/>
        <v>6.258</v>
      </c>
      <c r="HX25" s="971">
        <f t="shared" si="57"/>
        <v>6.258</v>
      </c>
      <c r="HY25" s="971">
        <f t="shared" si="57"/>
        <v>6.5140000000000002</v>
      </c>
      <c r="HZ25" s="971">
        <f t="shared" si="57"/>
        <v>6.8730000000000002</v>
      </c>
      <c r="IA25" s="971">
        <f t="shared" si="57"/>
        <v>6.8730000000000002</v>
      </c>
      <c r="IB25" s="979">
        <f t="shared" si="57"/>
        <v>6.8730000000000002</v>
      </c>
      <c r="IC25" s="1805">
        <f t="shared" si="57"/>
        <v>7.13</v>
      </c>
      <c r="ID25" s="965">
        <f t="shared" si="57"/>
        <v>7.4790000000000001</v>
      </c>
      <c r="IE25" s="965">
        <f t="shared" si="57"/>
        <v>7.899</v>
      </c>
      <c r="IF25" s="965">
        <f t="shared" si="57"/>
        <v>7.899</v>
      </c>
      <c r="IG25" s="965">
        <f t="shared" si="57"/>
        <v>8.6920000000000002</v>
      </c>
      <c r="IH25" s="965">
        <f t="shared" si="57"/>
        <v>9.48</v>
      </c>
      <c r="II25" s="965">
        <f t="shared" si="57"/>
        <v>9.48</v>
      </c>
      <c r="IJ25" s="965">
        <f t="shared" si="57"/>
        <v>10.118</v>
      </c>
      <c r="IK25" s="965">
        <f t="shared" si="57"/>
        <v>11.132</v>
      </c>
      <c r="IL25" s="965">
        <f t="shared" si="57"/>
        <v>12.164</v>
      </c>
      <c r="IM25" s="965">
        <f t="shared" si="57"/>
        <v>13.122</v>
      </c>
      <c r="IN25" s="1882">
        <f t="shared" si="57"/>
        <v>13.122</v>
      </c>
      <c r="IO25" s="965">
        <f t="shared" ref="IO25:IP25" si="58">ROUND((+IO21/$FI$21),3)</f>
        <v>13.516</v>
      </c>
      <c r="IP25" s="965">
        <f t="shared" si="58"/>
        <v>15.805999999999999</v>
      </c>
      <c r="IQ25" s="1036"/>
      <c r="IT25" s="50">
        <f t="shared" ref="IT25:JA25" si="59">IT21/22/8</f>
        <v>1.1363636363636365</v>
      </c>
      <c r="IU25" s="50">
        <f t="shared" si="59"/>
        <v>1.1363636363636365</v>
      </c>
      <c r="IV25" s="50">
        <f t="shared" si="59"/>
        <v>0.99431818181818177</v>
      </c>
      <c r="IW25" s="50">
        <f t="shared" si="59"/>
        <v>0.85227272727272729</v>
      </c>
      <c r="IX25" s="50">
        <f t="shared" si="59"/>
        <v>0.71022727272727271</v>
      </c>
      <c r="IY25" s="50">
        <f t="shared" si="59"/>
        <v>0.56818181818181823</v>
      </c>
      <c r="IZ25" s="50">
        <f t="shared" si="59"/>
        <v>0.42613636363636365</v>
      </c>
      <c r="JA25" s="50">
        <f t="shared" si="59"/>
        <v>0.28409090909090912</v>
      </c>
    </row>
    <row r="26" spans="2:266" ht="16.5" thickBot="1">
      <c r="B26" s="2625"/>
      <c r="C26" s="2642" t="s">
        <v>678</v>
      </c>
      <c r="D26" s="2643"/>
      <c r="E26" s="1760">
        <f>+E22/$E$22</f>
        <v>1</v>
      </c>
      <c r="F26" s="530">
        <f>+F22/$E$22</f>
        <v>3.0283676703645006</v>
      </c>
      <c r="G26" s="531">
        <f>+G22/$E$22</f>
        <v>3.0469096671949285</v>
      </c>
      <c r="H26" s="531">
        <f>+H22/$E$22</f>
        <v>3.0391442155309036</v>
      </c>
      <c r="I26" s="531">
        <f>+I22/$E$22</f>
        <v>3.2176703645007922</v>
      </c>
      <c r="J26" s="531">
        <f t="shared" ref="J26:P26" si="60">ROUND((+J22/$E$22),3)</f>
        <v>3.2210000000000001</v>
      </c>
      <c r="K26" s="531">
        <f t="shared" si="60"/>
        <v>3.2240000000000002</v>
      </c>
      <c r="L26" s="531">
        <f t="shared" si="60"/>
        <v>3.2229999999999999</v>
      </c>
      <c r="M26" s="531">
        <f t="shared" si="60"/>
        <v>3.2229999999999999</v>
      </c>
      <c r="N26" s="531">
        <f t="shared" si="60"/>
        <v>3.1880000000000002</v>
      </c>
      <c r="O26" s="531">
        <f t="shared" si="60"/>
        <v>3.1659999999999999</v>
      </c>
      <c r="P26" s="531">
        <f t="shared" si="60"/>
        <v>3.1659999999999999</v>
      </c>
      <c r="Q26" s="380">
        <f>ROUND((+Q22/$E$22),3)</f>
        <v>3.1659999999999999</v>
      </c>
      <c r="R26" s="380">
        <f>ROUND((+R22/$E$22),3)</f>
        <v>3.1659999999999999</v>
      </c>
      <c r="S26" s="380">
        <f>ROUND((+S22/$E$22),3)</f>
        <v>3.1659999999999999</v>
      </c>
      <c r="T26" s="380">
        <f>ROUND((+T22/$E$22),3)</f>
        <v>3.1659999999999999</v>
      </c>
      <c r="U26" s="531">
        <f>+U22/$E$22</f>
        <v>3.1691759112519806</v>
      </c>
      <c r="V26" s="531">
        <f t="shared" ref="V26:AA26" si="61">ROUND((+V22/$E$22),3)</f>
        <v>3.169</v>
      </c>
      <c r="W26" s="531">
        <f t="shared" si="61"/>
        <v>3.173</v>
      </c>
      <c r="X26" s="531">
        <f t="shared" si="61"/>
        <v>3.1749999999999998</v>
      </c>
      <c r="Y26" s="531">
        <f t="shared" si="61"/>
        <v>3.2109999999999999</v>
      </c>
      <c r="Z26" s="531">
        <f t="shared" si="61"/>
        <v>3.2290000000000001</v>
      </c>
      <c r="AA26" s="531">
        <f t="shared" si="61"/>
        <v>3.2429999999999999</v>
      </c>
      <c r="AB26" s="531">
        <f t="shared" ref="AB26:AG26" si="62">ROUND((+AB22/$E$22),3)</f>
        <v>3.3719999999999999</v>
      </c>
      <c r="AC26" s="531">
        <f t="shared" si="62"/>
        <v>3.4119999999999999</v>
      </c>
      <c r="AD26" s="531">
        <f t="shared" si="62"/>
        <v>3.4140000000000001</v>
      </c>
      <c r="AE26" s="531">
        <f t="shared" si="62"/>
        <v>3.415</v>
      </c>
      <c r="AF26" s="531">
        <f t="shared" si="62"/>
        <v>3.4159999999999999</v>
      </c>
      <c r="AG26" s="531">
        <f t="shared" si="62"/>
        <v>3.4159999999999999</v>
      </c>
      <c r="AH26" s="531">
        <f t="shared" ref="AH26:AM26" si="63">ROUND((+AH22/$E$22),3)</f>
        <v>3.4159999999999999</v>
      </c>
      <c r="AI26" s="531">
        <f t="shared" si="63"/>
        <v>3.4460000000000002</v>
      </c>
      <c r="AJ26" s="531">
        <f t="shared" si="63"/>
        <v>3.444</v>
      </c>
      <c r="AK26" s="531">
        <f t="shared" si="63"/>
        <v>3.4369999999999998</v>
      </c>
      <c r="AL26" s="531">
        <f t="shared" si="63"/>
        <v>3.4089999999999998</v>
      </c>
      <c r="AM26" s="531">
        <f t="shared" si="63"/>
        <v>3.4089999999999998</v>
      </c>
      <c r="AN26" s="531">
        <f t="shared" ref="AN26:AS26" si="64">ROUND((+AN22/$E$22),3)</f>
        <v>3.4079999999999999</v>
      </c>
      <c r="AO26" s="531">
        <f t="shared" si="64"/>
        <v>3.411</v>
      </c>
      <c r="AP26" s="531">
        <f t="shared" si="64"/>
        <v>3.4159999999999999</v>
      </c>
      <c r="AQ26" s="531">
        <f t="shared" si="64"/>
        <v>3.4159999999999999</v>
      </c>
      <c r="AR26" s="531">
        <f t="shared" si="64"/>
        <v>3.4159999999999999</v>
      </c>
      <c r="AS26" s="531">
        <f t="shared" si="64"/>
        <v>3.4159999999999999</v>
      </c>
      <c r="AT26" s="531">
        <f t="shared" ref="AT26:AY26" si="65">ROUND((+AT22/$E$22),3)</f>
        <v>3.4159999999999999</v>
      </c>
      <c r="AU26" s="531">
        <f t="shared" si="65"/>
        <v>3.496</v>
      </c>
      <c r="AV26" s="531">
        <f t="shared" si="65"/>
        <v>3.4169999999999998</v>
      </c>
      <c r="AW26" s="531">
        <f t="shared" si="65"/>
        <v>3.4169999999999998</v>
      </c>
      <c r="AX26" s="531">
        <f t="shared" si="65"/>
        <v>3.4169999999999998</v>
      </c>
      <c r="AY26" s="531">
        <f t="shared" si="65"/>
        <v>3.4169999999999998</v>
      </c>
      <c r="AZ26" s="531">
        <f t="shared" ref="AZ26:BE26" si="66">ROUND((+AZ22/$E$22),3)</f>
        <v>3.4169999999999998</v>
      </c>
      <c r="BA26" s="531">
        <f t="shared" si="66"/>
        <v>3.4239999999999999</v>
      </c>
      <c r="BB26" s="531">
        <f t="shared" si="66"/>
        <v>3.4169999999999998</v>
      </c>
      <c r="BC26" s="531">
        <f t="shared" si="66"/>
        <v>3.4169999999999998</v>
      </c>
      <c r="BD26" s="531">
        <f t="shared" si="66"/>
        <v>3.4169999999999998</v>
      </c>
      <c r="BE26" s="531">
        <f t="shared" si="66"/>
        <v>3.4169999999999998</v>
      </c>
      <c r="BF26" s="531">
        <f t="shared" ref="BF26:BK26" si="67">ROUND((+BF22/$E$22),3)</f>
        <v>3.4169999999999998</v>
      </c>
      <c r="BG26" s="531">
        <f t="shared" si="67"/>
        <v>3.4169999999999998</v>
      </c>
      <c r="BH26" s="531">
        <f t="shared" si="67"/>
        <v>3.4169999999999998</v>
      </c>
      <c r="BI26" s="531">
        <f t="shared" si="67"/>
        <v>3.4510000000000001</v>
      </c>
      <c r="BJ26" s="531">
        <f t="shared" si="67"/>
        <v>3.47</v>
      </c>
      <c r="BK26" s="531">
        <f t="shared" si="67"/>
        <v>3.52</v>
      </c>
      <c r="BL26" s="531">
        <f t="shared" ref="BL26:BR26" si="68">ROUND((+BL22/$E$22),3)</f>
        <v>3.4940000000000002</v>
      </c>
      <c r="BM26" s="531">
        <f t="shared" si="68"/>
        <v>3.5129999999999999</v>
      </c>
      <c r="BN26" s="531">
        <f t="shared" si="68"/>
        <v>3.528</v>
      </c>
      <c r="BO26" s="531">
        <f t="shared" si="68"/>
        <v>3.552</v>
      </c>
      <c r="BP26" s="134">
        <f t="shared" si="68"/>
        <v>3.6139999999999999</v>
      </c>
      <c r="BQ26" s="530">
        <f t="shared" si="68"/>
        <v>3.5550000000000002</v>
      </c>
      <c r="BR26" s="531">
        <f t="shared" si="68"/>
        <v>3.331</v>
      </c>
      <c r="BS26" s="531">
        <f t="shared" ref="BS26:BX26" si="69">ROUND((+BS22/$E$22),3)</f>
        <v>3.3130000000000002</v>
      </c>
      <c r="BT26" s="531">
        <f t="shared" si="69"/>
        <v>3.3540000000000001</v>
      </c>
      <c r="BU26" s="531">
        <f t="shared" si="69"/>
        <v>3.4769999999999999</v>
      </c>
      <c r="BV26" s="531">
        <f t="shared" si="69"/>
        <v>3.556</v>
      </c>
      <c r="BW26" s="531">
        <f t="shared" si="69"/>
        <v>3.5990000000000002</v>
      </c>
      <c r="BX26" s="531">
        <f t="shared" si="69"/>
        <v>3.5710000000000002</v>
      </c>
      <c r="BY26" s="531">
        <f t="shared" ref="BY26:CD26" si="70">ROUND((+BY22/$E$22),3)</f>
        <v>3.59</v>
      </c>
      <c r="BZ26" s="531">
        <f t="shared" si="70"/>
        <v>3.6030000000000002</v>
      </c>
      <c r="CA26" s="531">
        <f t="shared" si="70"/>
        <v>3.6349999999999998</v>
      </c>
      <c r="CB26" s="134">
        <f t="shared" si="70"/>
        <v>3.6709999999999998</v>
      </c>
      <c r="CC26" s="530">
        <f t="shared" si="70"/>
        <v>3.7349999999999999</v>
      </c>
      <c r="CD26" s="531">
        <f t="shared" si="70"/>
        <v>3.82</v>
      </c>
      <c r="CE26" s="531">
        <f t="shared" ref="CE26:CJ26" si="71">ROUND((+CE22/$E$22),3)</f>
        <v>3.93</v>
      </c>
      <c r="CF26" s="531">
        <f t="shared" si="71"/>
        <v>4.1130000000000004</v>
      </c>
      <c r="CG26" s="531">
        <f t="shared" si="71"/>
        <v>4.2389999999999999</v>
      </c>
      <c r="CH26" s="531">
        <f t="shared" si="71"/>
        <v>4.4000000000000004</v>
      </c>
      <c r="CI26" s="531">
        <f t="shared" si="71"/>
        <v>4.6130000000000004</v>
      </c>
      <c r="CJ26" s="533">
        <f t="shared" si="71"/>
        <v>4.6319999999999997</v>
      </c>
      <c r="CK26" s="533">
        <f t="shared" ref="CK26:CP26" si="72">ROUND((+CK22/$E$22),3)</f>
        <v>4.6470000000000002</v>
      </c>
      <c r="CL26" s="531">
        <f t="shared" si="72"/>
        <v>4.79</v>
      </c>
      <c r="CM26" s="533">
        <f t="shared" si="72"/>
        <v>4.8079999999999998</v>
      </c>
      <c r="CN26" s="533">
        <f t="shared" si="72"/>
        <v>4.8289999999999997</v>
      </c>
      <c r="CO26" s="530">
        <f t="shared" si="72"/>
        <v>4.8319999999999999</v>
      </c>
      <c r="CP26" s="531">
        <f t="shared" si="72"/>
        <v>4.8390000000000004</v>
      </c>
      <c r="CQ26" s="531">
        <f t="shared" ref="CQ26:CV26" si="73">ROUND((+CQ22/$E$22),3)</f>
        <v>4.875</v>
      </c>
      <c r="CR26" s="531">
        <f t="shared" si="73"/>
        <v>5.0359999999999996</v>
      </c>
      <c r="CS26" s="531">
        <f t="shared" si="73"/>
        <v>5.194</v>
      </c>
      <c r="CT26" s="531">
        <f t="shared" si="73"/>
        <v>5.3840000000000003</v>
      </c>
      <c r="CU26" s="531">
        <f t="shared" si="73"/>
        <v>5.4950000000000001</v>
      </c>
      <c r="CV26" s="531">
        <f t="shared" si="73"/>
        <v>5.6230000000000002</v>
      </c>
      <c r="CW26" s="1124">
        <f t="shared" ref="CW26:DB26" si="74">ROUND((+CW22/$E$22),3)</f>
        <v>5.7140000000000004</v>
      </c>
      <c r="CX26" s="531">
        <f t="shared" si="74"/>
        <v>5.7140000000000004</v>
      </c>
      <c r="CY26" s="533">
        <f t="shared" si="74"/>
        <v>5.7569999999999997</v>
      </c>
      <c r="CZ26" s="533">
        <f t="shared" si="74"/>
        <v>5.9080000000000004</v>
      </c>
      <c r="DA26" s="532">
        <f t="shared" si="74"/>
        <v>6.1449999999999996</v>
      </c>
      <c r="DB26" s="533">
        <f t="shared" si="74"/>
        <v>6.16</v>
      </c>
      <c r="DC26" s="533">
        <f t="shared" ref="DC26:DH26" si="75">ROUND((+DC22/$E$22),3)</f>
        <v>6.2140000000000004</v>
      </c>
      <c r="DD26" s="533">
        <f t="shared" si="75"/>
        <v>6.5190000000000001</v>
      </c>
      <c r="DE26" s="980">
        <f t="shared" si="75"/>
        <v>6.6239999999999997</v>
      </c>
      <c r="DF26" s="980">
        <f t="shared" si="75"/>
        <v>6.6769999999999996</v>
      </c>
      <c r="DG26" s="980">
        <f t="shared" si="75"/>
        <v>6.8029999999999999</v>
      </c>
      <c r="DH26" s="980">
        <f t="shared" si="75"/>
        <v>6.8849999999999998</v>
      </c>
      <c r="DI26" s="980">
        <f t="shared" ref="DI26:DN26" si="76">ROUND((+DI22/$E$22),3)</f>
        <v>6.96</v>
      </c>
      <c r="DJ26" s="980">
        <f t="shared" si="76"/>
        <v>7.0170000000000003</v>
      </c>
      <c r="DK26" s="980">
        <f t="shared" si="76"/>
        <v>7.0170000000000003</v>
      </c>
      <c r="DL26" s="972">
        <f t="shared" si="76"/>
        <v>7.0780000000000003</v>
      </c>
      <c r="DM26" s="980">
        <f t="shared" si="76"/>
        <v>7.3609999999999998</v>
      </c>
      <c r="DN26" s="980">
        <f t="shared" si="76"/>
        <v>7.4</v>
      </c>
      <c r="DO26" s="980">
        <f t="shared" ref="DO26:DT26" si="77">ROUND((+DO22/$E$22),3)</f>
        <v>7.4980000000000002</v>
      </c>
      <c r="DP26" s="980">
        <f t="shared" si="77"/>
        <v>7.5369999999999999</v>
      </c>
      <c r="DQ26" s="980">
        <f t="shared" si="77"/>
        <v>7.7050000000000001</v>
      </c>
      <c r="DR26" s="980">
        <f t="shared" si="77"/>
        <v>7.7069999999999999</v>
      </c>
      <c r="DS26" s="980">
        <f t="shared" si="77"/>
        <v>7.9130000000000003</v>
      </c>
      <c r="DT26" s="980">
        <f t="shared" si="77"/>
        <v>7.9530000000000003</v>
      </c>
      <c r="DU26" s="980">
        <f t="shared" ref="DU26:DZ26" si="78">ROUND((+DU22/$E$22),3)</f>
        <v>7.9589999999999996</v>
      </c>
      <c r="DV26" s="977">
        <f t="shared" si="78"/>
        <v>7.96</v>
      </c>
      <c r="DW26" s="1146">
        <f t="shared" si="78"/>
        <v>8.0510000000000002</v>
      </c>
      <c r="DX26" s="977">
        <f t="shared" si="78"/>
        <v>8.0570000000000004</v>
      </c>
      <c r="DY26" s="1146">
        <f t="shared" si="78"/>
        <v>8.1189999999999998</v>
      </c>
      <c r="DZ26" s="980">
        <f t="shared" si="78"/>
        <v>8.1839999999999993</v>
      </c>
      <c r="EA26" s="980">
        <f t="shared" ref="EA26:EF26" si="79">ROUND((+EA22/$E$22),3)</f>
        <v>8.3629999999999995</v>
      </c>
      <c r="EB26" s="980">
        <f t="shared" si="79"/>
        <v>8.5380000000000003</v>
      </c>
      <c r="EC26" s="980">
        <f t="shared" si="79"/>
        <v>8.6639999999999997</v>
      </c>
      <c r="ED26" s="980">
        <f t="shared" si="79"/>
        <v>8.7889999999999997</v>
      </c>
      <c r="EE26" s="980">
        <f t="shared" si="79"/>
        <v>8.8670000000000009</v>
      </c>
      <c r="EF26" s="980">
        <f t="shared" si="79"/>
        <v>8.9269999999999996</v>
      </c>
      <c r="EG26" s="980">
        <f t="shared" ref="EG26:EL26" si="80">ROUND((+EG22/$E$22),3)</f>
        <v>8.9580000000000002</v>
      </c>
      <c r="EH26" s="980">
        <f t="shared" si="80"/>
        <v>8.9580000000000002</v>
      </c>
      <c r="EI26" s="980">
        <f t="shared" si="80"/>
        <v>8.9719999999999995</v>
      </c>
      <c r="EJ26" s="972">
        <f t="shared" si="80"/>
        <v>9.048</v>
      </c>
      <c r="EK26" s="980">
        <f t="shared" si="80"/>
        <v>9.4139999999999997</v>
      </c>
      <c r="EL26" s="980">
        <f t="shared" si="80"/>
        <v>9.61</v>
      </c>
      <c r="EM26" s="980">
        <f t="shared" ref="EM26:ER26" si="81">ROUND((+EM22/$E$22),3)</f>
        <v>10.098000000000001</v>
      </c>
      <c r="EN26" s="980">
        <f t="shared" si="81"/>
        <v>10.887</v>
      </c>
      <c r="EO26" s="980">
        <f t="shared" si="81"/>
        <v>10.989000000000001</v>
      </c>
      <c r="EP26" s="980">
        <f t="shared" si="81"/>
        <v>11.066000000000001</v>
      </c>
      <c r="EQ26" s="980">
        <f t="shared" si="81"/>
        <v>11.641999999999999</v>
      </c>
      <c r="ER26" s="980">
        <f t="shared" si="81"/>
        <v>11.708</v>
      </c>
      <c r="ES26" s="980">
        <f t="shared" ref="ES26:FA26" si="82">ROUND((+ES22/$E$22),3)</f>
        <v>11.928000000000001</v>
      </c>
      <c r="ET26" s="980">
        <f t="shared" si="82"/>
        <v>11.978999999999999</v>
      </c>
      <c r="EU26" s="980">
        <f t="shared" si="82"/>
        <v>11.98</v>
      </c>
      <c r="EV26" s="972">
        <f t="shared" si="82"/>
        <v>11.98</v>
      </c>
      <c r="EW26" s="1008">
        <f t="shared" si="82"/>
        <v>11.45</v>
      </c>
      <c r="EX26" s="980">
        <f t="shared" si="82"/>
        <v>11.587999999999999</v>
      </c>
      <c r="EY26" s="977">
        <f t="shared" si="82"/>
        <v>11.731</v>
      </c>
      <c r="EZ26" s="977">
        <f t="shared" si="82"/>
        <v>11.753</v>
      </c>
      <c r="FA26" s="977">
        <f t="shared" si="82"/>
        <v>11.929</v>
      </c>
      <c r="FB26" s="977">
        <f t="shared" ref="FB26:FG26" si="83">ROUND((+FB22/$E$22),3)</f>
        <v>12.169</v>
      </c>
      <c r="FC26" s="977">
        <f t="shared" si="83"/>
        <v>12.307</v>
      </c>
      <c r="FD26" s="977">
        <f t="shared" si="83"/>
        <v>12.475</v>
      </c>
      <c r="FE26" s="977">
        <f t="shared" si="83"/>
        <v>12.5</v>
      </c>
      <c r="FF26" s="980">
        <f t="shared" si="83"/>
        <v>12.5</v>
      </c>
      <c r="FG26" s="972" t="e">
        <f t="shared" si="83"/>
        <v>#REF!</v>
      </c>
      <c r="FH26" s="972" t="e">
        <f t="shared" ref="FH26" si="84">ROUND((+FH22/$E$22),3)</f>
        <v>#REF!</v>
      </c>
      <c r="FI26" s="2515">
        <v>1</v>
      </c>
      <c r="FJ26" s="2511">
        <f t="shared" ref="FJ26:GO26" si="85">ROUND((+FJ22/$FI$22),3)</f>
        <v>1</v>
      </c>
      <c r="FK26" s="972">
        <f t="shared" si="85"/>
        <v>1.0620000000000001</v>
      </c>
      <c r="FL26" s="972">
        <f t="shared" si="85"/>
        <v>1.127</v>
      </c>
      <c r="FM26" s="972">
        <f t="shared" si="85"/>
        <v>1.2390000000000001</v>
      </c>
      <c r="FN26" s="972">
        <f t="shared" si="85"/>
        <v>1.2390000000000001</v>
      </c>
      <c r="FO26" s="972">
        <f t="shared" si="85"/>
        <v>1.2390000000000001</v>
      </c>
      <c r="FP26" s="972">
        <f t="shared" si="85"/>
        <v>1.2390000000000001</v>
      </c>
      <c r="FQ26" s="972">
        <f t="shared" si="85"/>
        <v>1.2390000000000001</v>
      </c>
      <c r="FR26" s="972">
        <f t="shared" si="85"/>
        <v>1.2390000000000001</v>
      </c>
      <c r="FS26" s="972">
        <f t="shared" si="85"/>
        <v>1.2390000000000001</v>
      </c>
      <c r="FT26" s="972">
        <f t="shared" si="85"/>
        <v>1.2390000000000001</v>
      </c>
      <c r="FU26" s="972">
        <f t="shared" si="85"/>
        <v>1.272</v>
      </c>
      <c r="FV26" s="972">
        <f t="shared" si="85"/>
        <v>1.3380000000000001</v>
      </c>
      <c r="FW26" s="972">
        <f t="shared" si="85"/>
        <v>1.3380000000000001</v>
      </c>
      <c r="FX26" s="972">
        <f t="shared" si="85"/>
        <v>1.3380000000000001</v>
      </c>
      <c r="FY26" s="972">
        <f t="shared" si="85"/>
        <v>1.304</v>
      </c>
      <c r="FZ26" s="972">
        <f t="shared" si="85"/>
        <v>1.304</v>
      </c>
      <c r="GA26" s="972">
        <f t="shared" si="85"/>
        <v>1.3819999999999999</v>
      </c>
      <c r="GB26" s="972">
        <f t="shared" si="85"/>
        <v>1.3819999999999999</v>
      </c>
      <c r="GC26" s="972">
        <f t="shared" si="85"/>
        <v>1.3819999999999999</v>
      </c>
      <c r="GD26" s="972">
        <f t="shared" si="85"/>
        <v>1.425</v>
      </c>
      <c r="GE26" s="972">
        <f t="shared" si="85"/>
        <v>1.512</v>
      </c>
      <c r="GF26" s="972">
        <f t="shared" si="85"/>
        <v>1.603</v>
      </c>
      <c r="GG26" s="972">
        <f t="shared" si="85"/>
        <v>1.603</v>
      </c>
      <c r="GH26" s="972">
        <f t="shared" si="85"/>
        <v>1.794</v>
      </c>
      <c r="GI26" s="972">
        <f t="shared" si="85"/>
        <v>1.794</v>
      </c>
      <c r="GJ26" s="972">
        <f t="shared" si="85"/>
        <v>1.839</v>
      </c>
      <c r="GK26" s="972">
        <f t="shared" si="85"/>
        <v>1.839</v>
      </c>
      <c r="GL26" s="972">
        <f t="shared" si="85"/>
        <v>1.819</v>
      </c>
      <c r="GM26" s="972">
        <f t="shared" si="85"/>
        <v>2.0049999999999999</v>
      </c>
      <c r="GN26" s="972">
        <f t="shared" si="85"/>
        <v>2.133</v>
      </c>
      <c r="GO26" s="972">
        <f t="shared" si="85"/>
        <v>2.403</v>
      </c>
      <c r="GP26" s="972">
        <f t="shared" ref="GP26:HU26" si="86">ROUND((+GP22/$FI$22),3)</f>
        <v>2.6179999999999999</v>
      </c>
      <c r="GQ26" s="972">
        <f t="shared" si="86"/>
        <v>2.7040000000000002</v>
      </c>
      <c r="GR26" s="972">
        <f t="shared" si="86"/>
        <v>2.7850000000000001</v>
      </c>
      <c r="GS26" s="972">
        <f t="shared" si="86"/>
        <v>2.68</v>
      </c>
      <c r="GT26" s="972">
        <f t="shared" si="86"/>
        <v>2.9119999999999999</v>
      </c>
      <c r="GU26" s="972">
        <f t="shared" si="86"/>
        <v>2.9</v>
      </c>
      <c r="GV26" s="972">
        <f t="shared" si="86"/>
        <v>3.0409999999999999</v>
      </c>
      <c r="GW26" s="972">
        <f t="shared" si="86"/>
        <v>3.1779999999999999</v>
      </c>
      <c r="GX26" s="972">
        <f t="shared" si="86"/>
        <v>3.2229999999999999</v>
      </c>
      <c r="GY26" s="972">
        <f t="shared" si="86"/>
        <v>3.2810000000000001</v>
      </c>
      <c r="GZ26" s="972">
        <f t="shared" si="86"/>
        <v>3.28</v>
      </c>
      <c r="HA26" s="972">
        <f t="shared" si="86"/>
        <v>3.4159999999999999</v>
      </c>
      <c r="HB26" s="972">
        <f t="shared" si="86"/>
        <v>3.4140000000000001</v>
      </c>
      <c r="HC26" s="972">
        <f t="shared" si="86"/>
        <v>3.778</v>
      </c>
      <c r="HD26" s="972">
        <f t="shared" si="86"/>
        <v>4.0270000000000001</v>
      </c>
      <c r="HE26" s="972">
        <f t="shared" si="86"/>
        <v>4.0270000000000001</v>
      </c>
      <c r="HF26" s="972">
        <f t="shared" si="86"/>
        <v>4.0270000000000001</v>
      </c>
      <c r="HG26" s="972">
        <f t="shared" si="86"/>
        <v>4.024</v>
      </c>
      <c r="HH26" s="972">
        <f t="shared" si="86"/>
        <v>4.024</v>
      </c>
      <c r="HI26" s="972">
        <f t="shared" si="86"/>
        <v>4.0270000000000001</v>
      </c>
      <c r="HJ26" s="972">
        <f t="shared" si="86"/>
        <v>4.0220000000000002</v>
      </c>
      <c r="HK26" s="972">
        <f t="shared" si="86"/>
        <v>4.0220000000000002</v>
      </c>
      <c r="HL26" s="972">
        <f t="shared" si="86"/>
        <v>4.1379999999999999</v>
      </c>
      <c r="HM26" s="972">
        <f t="shared" si="86"/>
        <v>4.32</v>
      </c>
      <c r="HN26" s="972">
        <f t="shared" si="86"/>
        <v>4.4820000000000002</v>
      </c>
      <c r="HO26" s="972">
        <f t="shared" si="86"/>
        <v>4.5350000000000001</v>
      </c>
      <c r="HP26" s="972">
        <f t="shared" si="86"/>
        <v>4.8490000000000002</v>
      </c>
      <c r="HQ26" s="972">
        <f t="shared" si="86"/>
        <v>5.0220000000000002</v>
      </c>
      <c r="HR26" s="972">
        <f t="shared" si="86"/>
        <v>5.52</v>
      </c>
      <c r="HS26" s="972">
        <f t="shared" si="86"/>
        <v>6.2309999999999999</v>
      </c>
      <c r="HT26" s="972">
        <f t="shared" si="86"/>
        <v>6.6210000000000004</v>
      </c>
      <c r="HU26" s="972">
        <f t="shared" si="86"/>
        <v>7.2039999999999997</v>
      </c>
      <c r="HV26" s="972">
        <f t="shared" ref="HV26:IN26" si="87">ROUND((+HV22/$FI$22),3)</f>
        <v>7.2089999999999996</v>
      </c>
      <c r="HW26" s="972">
        <f t="shared" si="87"/>
        <v>7.2089999999999996</v>
      </c>
      <c r="HX26" s="972">
        <f t="shared" si="87"/>
        <v>7.3659999999999997</v>
      </c>
      <c r="HY26" s="972">
        <f t="shared" si="87"/>
        <v>7.2140000000000004</v>
      </c>
      <c r="HZ26" s="972">
        <f t="shared" si="87"/>
        <v>7.2149999999999999</v>
      </c>
      <c r="IA26" s="972">
        <f t="shared" si="87"/>
        <v>7.2149999999999999</v>
      </c>
      <c r="IB26" s="980">
        <f t="shared" si="87"/>
        <v>7.202</v>
      </c>
      <c r="IC26" s="1830">
        <f t="shared" si="87"/>
        <v>7.2249999999999996</v>
      </c>
      <c r="ID26" s="1831">
        <f t="shared" si="87"/>
        <v>7.8780000000000001</v>
      </c>
      <c r="IE26" s="1831">
        <f t="shared" si="87"/>
        <v>8.7650000000000006</v>
      </c>
      <c r="IF26" s="1831">
        <f t="shared" si="87"/>
        <v>9.0399999999999991</v>
      </c>
      <c r="IG26" s="1831">
        <f t="shared" si="87"/>
        <v>10.157</v>
      </c>
      <c r="IH26" s="1831">
        <f t="shared" si="87"/>
        <v>11.522</v>
      </c>
      <c r="II26" s="1831">
        <f t="shared" si="87"/>
        <v>11.907</v>
      </c>
      <c r="IJ26" s="1831">
        <f t="shared" si="87"/>
        <v>12.29</v>
      </c>
      <c r="IK26" s="1831">
        <f t="shared" si="87"/>
        <v>12.29</v>
      </c>
      <c r="IL26" s="1831">
        <f t="shared" si="87"/>
        <v>13.175000000000001</v>
      </c>
      <c r="IM26" s="1831">
        <f t="shared" si="87"/>
        <v>15.792</v>
      </c>
      <c r="IN26" s="2474">
        <f t="shared" si="87"/>
        <v>17.451000000000001</v>
      </c>
      <c r="IO26" s="1831">
        <f t="shared" ref="IO26:IP26" si="88">ROUND((+IO22/$FI$22),3)</f>
        <v>17.753</v>
      </c>
      <c r="IP26" s="1831">
        <f t="shared" si="88"/>
        <v>19.341000000000001</v>
      </c>
      <c r="IQ26" s="1036"/>
    </row>
    <row r="27" spans="2:266" ht="16.5" thickBot="1">
      <c r="B27" s="374"/>
      <c r="D27" s="363"/>
      <c r="E27" s="1752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1751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1738"/>
      <c r="DT27" s="1738"/>
      <c r="DU27" s="1738"/>
      <c r="DV27" s="1738"/>
      <c r="DW27" s="1738"/>
      <c r="DX27" s="1738"/>
      <c r="DY27" s="1738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75"/>
      <c r="EW27" s="375"/>
      <c r="EX27" s="375"/>
      <c r="EY27" s="375"/>
      <c r="EZ27" s="375"/>
      <c r="FA27" s="375"/>
      <c r="FB27" s="375"/>
      <c r="FC27" s="375"/>
      <c r="FD27" s="375"/>
      <c r="FE27" s="375"/>
      <c r="FF27" s="375"/>
      <c r="FG27" s="375"/>
      <c r="FH27" s="375"/>
      <c r="FI27" s="1939"/>
      <c r="FJ27" s="375"/>
      <c r="FK27" s="375"/>
      <c r="FL27" s="375"/>
      <c r="FM27" s="375"/>
      <c r="FN27" s="375"/>
      <c r="FO27" s="375"/>
      <c r="FP27" s="375"/>
      <c r="FQ27" s="375"/>
      <c r="FR27" s="375"/>
      <c r="FS27" s="375"/>
      <c r="FT27" s="375"/>
      <c r="FU27" s="375"/>
      <c r="FV27" s="375"/>
      <c r="FW27" s="375"/>
      <c r="FX27" s="375"/>
      <c r="FY27" s="375"/>
      <c r="FZ27" s="375"/>
      <c r="GA27" s="375"/>
      <c r="GB27" s="375"/>
      <c r="GC27" s="375"/>
      <c r="GD27" s="375"/>
      <c r="GE27" s="375"/>
      <c r="GF27" s="375"/>
      <c r="GG27" s="375"/>
      <c r="GH27" s="375"/>
      <c r="GI27" s="375"/>
      <c r="GJ27" s="375"/>
      <c r="GK27" s="375"/>
      <c r="GL27" s="375"/>
      <c r="GM27" s="375"/>
      <c r="GN27" s="375"/>
      <c r="GO27" s="375"/>
      <c r="GP27" s="375"/>
      <c r="GQ27" s="375"/>
      <c r="GR27" s="375"/>
      <c r="GS27" s="375"/>
      <c r="GT27" s="375"/>
      <c r="GU27" s="375"/>
      <c r="GV27" s="375"/>
      <c r="GW27" s="375"/>
      <c r="GX27" s="375"/>
      <c r="GY27" s="375"/>
      <c r="GZ27" s="375"/>
      <c r="HA27" s="375"/>
      <c r="HB27" s="375"/>
      <c r="HC27" s="375"/>
      <c r="HD27" s="375"/>
      <c r="HE27" s="375"/>
      <c r="HF27" s="1939"/>
      <c r="HG27" s="1821"/>
      <c r="HH27" s="1821"/>
      <c r="HI27" s="1821"/>
      <c r="HJ27" s="1821"/>
      <c r="HK27" s="1821"/>
      <c r="HL27" s="1821"/>
      <c r="HM27" s="1821"/>
      <c r="HN27" s="1821"/>
      <c r="HO27" s="1821"/>
      <c r="HP27" s="1821"/>
      <c r="HQ27" s="1821"/>
      <c r="HR27" s="1940"/>
      <c r="HS27" s="1940"/>
      <c r="HT27" s="1940"/>
      <c r="HU27" s="1940"/>
      <c r="HV27" s="1940"/>
      <c r="HW27" s="1940"/>
      <c r="HX27" s="1940"/>
      <c r="HY27" s="1940"/>
      <c r="HZ27" s="1940"/>
      <c r="IA27" s="1940"/>
      <c r="IB27" s="1940"/>
      <c r="IC27" s="2496"/>
      <c r="ID27" s="1821"/>
      <c r="IE27" s="1821"/>
      <c r="IF27" s="1821"/>
      <c r="IG27" s="1821"/>
      <c r="IH27" s="1821"/>
      <c r="II27" s="1821"/>
      <c r="IJ27" s="1821"/>
      <c r="IK27" s="1821"/>
      <c r="IL27" s="1821"/>
      <c r="IM27" s="1821"/>
      <c r="IN27" s="1940"/>
      <c r="IO27" s="1940"/>
      <c r="IP27" s="1940"/>
    </row>
    <row r="28" spans="2:266" ht="33.75" customHeight="1" thickBot="1">
      <c r="B28" s="1454" t="s">
        <v>679</v>
      </c>
      <c r="C28" s="1455" t="s">
        <v>672</v>
      </c>
      <c r="D28" s="559" t="s">
        <v>658</v>
      </c>
      <c r="E28" s="1456">
        <v>37226</v>
      </c>
      <c r="F28" s="1440">
        <v>37536</v>
      </c>
      <c r="G28" s="1236">
        <v>37562</v>
      </c>
      <c r="H28" s="1236">
        <v>37592</v>
      </c>
      <c r="I28" s="1236">
        <v>37622</v>
      </c>
      <c r="J28" s="1236">
        <v>37653</v>
      </c>
      <c r="K28" s="1236">
        <v>37681</v>
      </c>
      <c r="L28" s="1236">
        <v>37712</v>
      </c>
      <c r="M28" s="1236">
        <v>37742</v>
      </c>
      <c r="N28" s="1236">
        <v>37773</v>
      </c>
      <c r="O28" s="1236">
        <v>37803</v>
      </c>
      <c r="P28" s="1236">
        <v>37834</v>
      </c>
      <c r="Q28" s="1236">
        <v>37865</v>
      </c>
      <c r="R28" s="1236">
        <v>37895</v>
      </c>
      <c r="S28" s="1236">
        <v>37926</v>
      </c>
      <c r="T28" s="1236">
        <v>37956</v>
      </c>
      <c r="U28" s="1236">
        <v>37987</v>
      </c>
      <c r="V28" s="1236">
        <v>38018</v>
      </c>
      <c r="W28" s="1236">
        <v>38047</v>
      </c>
      <c r="X28" s="1236">
        <v>38078</v>
      </c>
      <c r="Y28" s="1236">
        <v>38108</v>
      </c>
      <c r="Z28" s="1236">
        <v>38139</v>
      </c>
      <c r="AA28" s="1236">
        <v>38169</v>
      </c>
      <c r="AB28" s="1236">
        <v>38200</v>
      </c>
      <c r="AC28" s="1236">
        <v>38231</v>
      </c>
      <c r="AD28" s="1236">
        <v>38261</v>
      </c>
      <c r="AE28" s="1236">
        <v>38292</v>
      </c>
      <c r="AF28" s="1236">
        <v>38322</v>
      </c>
      <c r="AG28" s="1236">
        <v>38353</v>
      </c>
      <c r="AH28" s="1236">
        <v>38384</v>
      </c>
      <c r="AI28" s="1236">
        <v>38412</v>
      </c>
      <c r="AJ28" s="1236">
        <v>38443</v>
      </c>
      <c r="AK28" s="1236">
        <v>38473</v>
      </c>
      <c r="AL28" s="1236">
        <v>38504</v>
      </c>
      <c r="AM28" s="1236">
        <v>38534</v>
      </c>
      <c r="AN28" s="1236">
        <v>38565</v>
      </c>
      <c r="AO28" s="1236">
        <v>38596</v>
      </c>
      <c r="AP28" s="1236">
        <v>38626</v>
      </c>
      <c r="AQ28" s="1236">
        <v>38657</v>
      </c>
      <c r="AR28" s="1236">
        <v>38687</v>
      </c>
      <c r="AS28" s="1236">
        <v>38718</v>
      </c>
      <c r="AT28" s="1236">
        <v>38749</v>
      </c>
      <c r="AU28" s="1236">
        <v>38777</v>
      </c>
      <c r="AV28" s="1236">
        <v>38808</v>
      </c>
      <c r="AW28" s="1236">
        <v>38838</v>
      </c>
      <c r="AX28" s="1236">
        <v>38869</v>
      </c>
      <c r="AY28" s="1236">
        <v>38899</v>
      </c>
      <c r="AZ28" s="1236">
        <v>38930</v>
      </c>
      <c r="BA28" s="1236">
        <v>38961</v>
      </c>
      <c r="BB28" s="1236">
        <v>38991</v>
      </c>
      <c r="BC28" s="1236">
        <v>39022</v>
      </c>
      <c r="BD28" s="1236">
        <v>39052</v>
      </c>
      <c r="BE28" s="1236">
        <v>39083</v>
      </c>
      <c r="BF28" s="1236">
        <v>39114</v>
      </c>
      <c r="BG28" s="1236">
        <v>39142</v>
      </c>
      <c r="BH28" s="1236">
        <v>39173</v>
      </c>
      <c r="BI28" s="1236">
        <v>39203</v>
      </c>
      <c r="BJ28" s="1236">
        <v>39234</v>
      </c>
      <c r="BK28" s="1236">
        <v>39264</v>
      </c>
      <c r="BL28" s="1236">
        <v>39295</v>
      </c>
      <c r="BM28" s="1236">
        <v>39326</v>
      </c>
      <c r="BN28" s="1236">
        <v>39356</v>
      </c>
      <c r="BO28" s="1236">
        <v>39387</v>
      </c>
      <c r="BP28" s="1235">
        <v>39417</v>
      </c>
      <c r="BQ28" s="1440">
        <v>39448</v>
      </c>
      <c r="BR28" s="1236">
        <v>39479</v>
      </c>
      <c r="BS28" s="1236">
        <v>39508</v>
      </c>
      <c r="BT28" s="1236">
        <v>39539</v>
      </c>
      <c r="BU28" s="1236">
        <v>39569</v>
      </c>
      <c r="BV28" s="1236">
        <v>39600</v>
      </c>
      <c r="BW28" s="1236">
        <v>39630</v>
      </c>
      <c r="BX28" s="1236">
        <v>39661</v>
      </c>
      <c r="BY28" s="1236">
        <v>39692</v>
      </c>
      <c r="BZ28" s="1236">
        <v>39722</v>
      </c>
      <c r="CA28" s="1236">
        <v>39753</v>
      </c>
      <c r="CB28" s="1235">
        <v>39783</v>
      </c>
      <c r="CC28" s="1438">
        <v>39814</v>
      </c>
      <c r="CD28" s="1233">
        <v>39845</v>
      </c>
      <c r="CE28" s="1233">
        <v>39873</v>
      </c>
      <c r="CF28" s="1233">
        <v>39904</v>
      </c>
      <c r="CG28" s="1233">
        <v>39934</v>
      </c>
      <c r="CH28" s="1233">
        <v>39965</v>
      </c>
      <c r="CI28" s="1233">
        <v>39995</v>
      </c>
      <c r="CJ28" s="1439">
        <v>40026</v>
      </c>
      <c r="CK28" s="1439">
        <v>40057</v>
      </c>
      <c r="CL28" s="1233">
        <v>40087</v>
      </c>
      <c r="CM28" s="1442">
        <v>40118</v>
      </c>
      <c r="CN28" s="1439">
        <v>40148</v>
      </c>
      <c r="CO28" s="1438">
        <v>40179</v>
      </c>
      <c r="CP28" s="1233">
        <v>40210</v>
      </c>
      <c r="CQ28" s="1233">
        <v>40238</v>
      </c>
      <c r="CR28" s="1437">
        <v>40269</v>
      </c>
      <c r="CS28" s="1437">
        <v>40299</v>
      </c>
      <c r="CT28" s="1437">
        <v>40330</v>
      </c>
      <c r="CU28" s="1437">
        <v>40360</v>
      </c>
      <c r="CV28" s="1437">
        <v>40391</v>
      </c>
      <c r="CW28" s="1436">
        <v>40422</v>
      </c>
      <c r="CX28" s="1437">
        <v>40452</v>
      </c>
      <c r="CY28" s="1435">
        <v>40483</v>
      </c>
      <c r="CZ28" s="1435">
        <v>40513</v>
      </c>
      <c r="DA28" s="1443">
        <v>40544</v>
      </c>
      <c r="DB28" s="1435">
        <v>40575</v>
      </c>
      <c r="DC28" s="1435">
        <v>40603</v>
      </c>
      <c r="DD28" s="1435">
        <v>40634</v>
      </c>
      <c r="DE28" s="1435">
        <v>40664</v>
      </c>
      <c r="DF28" s="1435">
        <v>40695</v>
      </c>
      <c r="DG28" s="1435">
        <v>40725</v>
      </c>
      <c r="DH28" s="1435">
        <v>40756</v>
      </c>
      <c r="DI28" s="1435">
        <v>40787</v>
      </c>
      <c r="DJ28" s="1435">
        <v>40817</v>
      </c>
      <c r="DK28" s="1435">
        <v>40848</v>
      </c>
      <c r="DL28" s="1445">
        <v>40878</v>
      </c>
      <c r="DM28" s="1435">
        <v>40909</v>
      </c>
      <c r="DN28" s="1435">
        <v>40940</v>
      </c>
      <c r="DO28" s="1435">
        <v>40969</v>
      </c>
      <c r="DP28" s="1435">
        <v>41000</v>
      </c>
      <c r="DQ28" s="1444">
        <v>41030</v>
      </c>
      <c r="DR28" s="1435">
        <v>41061</v>
      </c>
      <c r="DS28" s="1444">
        <v>41091</v>
      </c>
      <c r="DT28" s="1435">
        <v>41122</v>
      </c>
      <c r="DU28" s="1444">
        <v>41153</v>
      </c>
      <c r="DV28" s="1236">
        <v>41183</v>
      </c>
      <c r="DW28" s="1446">
        <v>41214</v>
      </c>
      <c r="DX28" s="1236">
        <v>41244</v>
      </c>
      <c r="DY28" s="1233">
        <v>41275</v>
      </c>
      <c r="DZ28" s="1233">
        <v>41306</v>
      </c>
      <c r="EA28" s="1233">
        <v>41334</v>
      </c>
      <c r="EB28" s="1233">
        <v>41365</v>
      </c>
      <c r="EC28" s="1233">
        <v>41395</v>
      </c>
      <c r="ED28" s="1233">
        <v>41426</v>
      </c>
      <c r="EE28" s="1233">
        <v>41456</v>
      </c>
      <c r="EF28" s="1233">
        <v>41487</v>
      </c>
      <c r="EG28" s="1233">
        <v>41518</v>
      </c>
      <c r="EH28" s="1233">
        <v>41548</v>
      </c>
      <c r="EI28" s="1439">
        <v>41579</v>
      </c>
      <c r="EJ28" s="1428">
        <v>41609</v>
      </c>
      <c r="EK28" s="1471">
        <v>41640</v>
      </c>
      <c r="EL28" s="1477">
        <v>41671</v>
      </c>
      <c r="EM28" s="1477">
        <v>41699</v>
      </c>
      <c r="EN28" s="1477">
        <v>41730</v>
      </c>
      <c r="EO28" s="1477">
        <v>41760</v>
      </c>
      <c r="EP28" s="1477">
        <v>41791</v>
      </c>
      <c r="EQ28" s="1477">
        <v>41821</v>
      </c>
      <c r="ER28" s="1477">
        <v>41852</v>
      </c>
      <c r="ES28" s="1477">
        <v>41883</v>
      </c>
      <c r="ET28" s="1477">
        <v>41913</v>
      </c>
      <c r="EU28" s="1477">
        <v>41944</v>
      </c>
      <c r="EV28" s="1249">
        <v>41974</v>
      </c>
      <c r="EW28" s="1471">
        <v>42005</v>
      </c>
      <c r="EX28" s="1477">
        <v>42036</v>
      </c>
      <c r="EY28" s="1470">
        <v>42064</v>
      </c>
      <c r="EZ28" s="1470">
        <v>42095</v>
      </c>
      <c r="FA28" s="1470">
        <v>42125</v>
      </c>
      <c r="FB28" s="1470">
        <v>42156</v>
      </c>
      <c r="FC28" s="1470">
        <v>42186</v>
      </c>
      <c r="FD28" s="1470">
        <v>42217</v>
      </c>
      <c r="FE28" s="1470">
        <v>42248</v>
      </c>
      <c r="FF28" s="1477">
        <v>42278</v>
      </c>
      <c r="FG28" s="1249">
        <v>42309</v>
      </c>
      <c r="FH28" s="1249">
        <f t="shared" ref="FH28:FM28" si="89">+FH17</f>
        <v>42339</v>
      </c>
      <c r="FI28" s="1473">
        <f t="shared" si="89"/>
        <v>42370</v>
      </c>
      <c r="FJ28" s="2512">
        <f t="shared" si="89"/>
        <v>42401</v>
      </c>
      <c r="FK28" s="1249">
        <f t="shared" si="89"/>
        <v>42430</v>
      </c>
      <c r="FL28" s="1249">
        <f t="shared" si="89"/>
        <v>42461</v>
      </c>
      <c r="FM28" s="1249">
        <f t="shared" si="89"/>
        <v>42491</v>
      </c>
      <c r="FN28" s="1249">
        <f t="shared" ref="FN28:GX28" si="90">+FN17</f>
        <v>42522</v>
      </c>
      <c r="FO28" s="1249">
        <f t="shared" si="90"/>
        <v>42552</v>
      </c>
      <c r="FP28" s="1249">
        <f t="shared" si="90"/>
        <v>42583</v>
      </c>
      <c r="FQ28" s="1249">
        <f t="shared" si="90"/>
        <v>42614</v>
      </c>
      <c r="FR28" s="1249">
        <f t="shared" si="90"/>
        <v>42644</v>
      </c>
      <c r="FS28" s="1249">
        <f t="shared" si="90"/>
        <v>42675</v>
      </c>
      <c r="FT28" s="1249">
        <f t="shared" si="90"/>
        <v>42705</v>
      </c>
      <c r="FU28" s="1249">
        <f t="shared" si="90"/>
        <v>42736</v>
      </c>
      <c r="FV28" s="1249">
        <f t="shared" si="90"/>
        <v>42767</v>
      </c>
      <c r="FW28" s="1249">
        <f t="shared" si="90"/>
        <v>42795</v>
      </c>
      <c r="FX28" s="1249">
        <f t="shared" si="90"/>
        <v>42826</v>
      </c>
      <c r="FY28" s="1249">
        <f t="shared" si="90"/>
        <v>42856</v>
      </c>
      <c r="FZ28" s="1249">
        <f t="shared" si="90"/>
        <v>42887</v>
      </c>
      <c r="GA28" s="1249">
        <f t="shared" si="90"/>
        <v>42917</v>
      </c>
      <c r="GB28" s="1249">
        <f t="shared" si="90"/>
        <v>42948</v>
      </c>
      <c r="GC28" s="1249">
        <f t="shared" si="90"/>
        <v>42979</v>
      </c>
      <c r="GD28" s="1249">
        <f t="shared" si="90"/>
        <v>43009</v>
      </c>
      <c r="GE28" s="1249">
        <f t="shared" si="90"/>
        <v>43040</v>
      </c>
      <c r="GF28" s="1249">
        <f t="shared" si="90"/>
        <v>43070</v>
      </c>
      <c r="GG28" s="1249">
        <f t="shared" si="90"/>
        <v>43101</v>
      </c>
      <c r="GH28" s="1249">
        <f t="shared" si="90"/>
        <v>43132</v>
      </c>
      <c r="GI28" s="1249">
        <f t="shared" si="90"/>
        <v>43160</v>
      </c>
      <c r="GJ28" s="1249">
        <f t="shared" si="90"/>
        <v>43191</v>
      </c>
      <c r="GK28" s="1249">
        <f t="shared" si="90"/>
        <v>43221</v>
      </c>
      <c r="GL28" s="1249">
        <f t="shared" si="90"/>
        <v>43252</v>
      </c>
      <c r="GM28" s="1249">
        <f t="shared" si="90"/>
        <v>43282</v>
      </c>
      <c r="GN28" s="1249">
        <f t="shared" si="90"/>
        <v>43313</v>
      </c>
      <c r="GO28" s="1249">
        <f t="shared" si="90"/>
        <v>43344</v>
      </c>
      <c r="GP28" s="1249">
        <f t="shared" si="90"/>
        <v>43374</v>
      </c>
      <c r="GQ28" s="1249">
        <f t="shared" si="90"/>
        <v>43405</v>
      </c>
      <c r="GR28" s="1249">
        <f t="shared" si="90"/>
        <v>43435</v>
      </c>
      <c r="GS28" s="1249">
        <f t="shared" si="90"/>
        <v>43466</v>
      </c>
      <c r="GT28" s="1249">
        <f t="shared" si="90"/>
        <v>43497</v>
      </c>
      <c r="GU28" s="1249">
        <f t="shared" si="90"/>
        <v>43525</v>
      </c>
      <c r="GV28" s="1249">
        <f t="shared" si="90"/>
        <v>43556</v>
      </c>
      <c r="GW28" s="1249">
        <f t="shared" si="90"/>
        <v>43586</v>
      </c>
      <c r="GX28" s="1249">
        <f t="shared" si="90"/>
        <v>43617</v>
      </c>
      <c r="GY28" s="1249">
        <v>43647</v>
      </c>
      <c r="GZ28" s="1249">
        <v>43678</v>
      </c>
      <c r="HA28" s="1249">
        <v>43709</v>
      </c>
      <c r="HB28" s="1249">
        <v>43739</v>
      </c>
      <c r="HC28" s="1249">
        <v>43770</v>
      </c>
      <c r="HD28" s="1249">
        <v>43800</v>
      </c>
      <c r="HE28" s="1249">
        <v>43831</v>
      </c>
      <c r="HF28" s="1473">
        <v>43862</v>
      </c>
      <c r="HG28" s="1476">
        <v>43891</v>
      </c>
      <c r="HH28" s="1476">
        <v>43922</v>
      </c>
      <c r="HI28" s="1476">
        <v>43952</v>
      </c>
      <c r="HJ28" s="1476">
        <v>43983</v>
      </c>
      <c r="HK28" s="1476">
        <v>44013</v>
      </c>
      <c r="HL28" s="1476">
        <v>44044</v>
      </c>
      <c r="HM28" s="1476">
        <v>44075</v>
      </c>
      <c r="HN28" s="1476">
        <v>44105</v>
      </c>
      <c r="HO28" s="1476">
        <v>44136</v>
      </c>
      <c r="HP28" s="1476">
        <v>44166</v>
      </c>
      <c r="HQ28" s="1476">
        <v>44197</v>
      </c>
      <c r="HR28" s="1472">
        <v>44228</v>
      </c>
      <c r="HS28" s="1472">
        <v>44256</v>
      </c>
      <c r="HT28" s="1472">
        <v>44287</v>
      </c>
      <c r="HU28" s="1472">
        <v>44317</v>
      </c>
      <c r="HV28" s="1472">
        <v>44348</v>
      </c>
      <c r="HW28" s="1472">
        <v>44378</v>
      </c>
      <c r="HX28" s="1472">
        <v>44409</v>
      </c>
      <c r="HY28" s="1476">
        <v>44440</v>
      </c>
      <c r="HZ28" s="1476">
        <v>44470</v>
      </c>
      <c r="IA28" s="1476">
        <v>44501</v>
      </c>
      <c r="IB28" s="1472">
        <v>44531</v>
      </c>
      <c r="IC28" s="1475">
        <v>44562</v>
      </c>
      <c r="ID28" s="1476">
        <v>44593</v>
      </c>
      <c r="IE28" s="1476">
        <v>44621</v>
      </c>
      <c r="IF28" s="1476" t="s">
        <v>1288</v>
      </c>
      <c r="IG28" s="1476">
        <v>44682</v>
      </c>
      <c r="IH28" s="1476">
        <v>44713</v>
      </c>
      <c r="II28" s="1476">
        <v>44743</v>
      </c>
      <c r="IJ28" s="1476">
        <v>44774</v>
      </c>
      <c r="IK28" s="1476">
        <v>44805</v>
      </c>
      <c r="IL28" s="1476">
        <v>44835</v>
      </c>
      <c r="IM28" s="1476">
        <v>44866</v>
      </c>
      <c r="IN28" s="1472">
        <f>+IN17</f>
        <v>44896</v>
      </c>
      <c r="IO28" s="1476">
        <f>+IO17</f>
        <v>44927</v>
      </c>
      <c r="IP28" s="1476">
        <f>+IP17</f>
        <v>44958</v>
      </c>
      <c r="IQ28" s="53"/>
      <c r="IT28" s="50">
        <f t="shared" ref="IT28:JA28" si="91">IT23/22/8</f>
        <v>3.0853769999999998</v>
      </c>
      <c r="IU28" s="50">
        <f t="shared" si="91"/>
        <v>3.0853769999999998</v>
      </c>
      <c r="IV28" s="50">
        <f t="shared" si="91"/>
        <v>3.4209399</v>
      </c>
      <c r="IW28" s="50">
        <f t="shared" si="91"/>
        <v>3.7790238</v>
      </c>
      <c r="IX28" s="50">
        <f t="shared" si="91"/>
        <v>4.1371077000000005</v>
      </c>
      <c r="IY28" s="50">
        <f t="shared" si="91"/>
        <v>4.4951915999999992</v>
      </c>
      <c r="IZ28" s="50">
        <f t="shared" si="91"/>
        <v>4.8532754999999996</v>
      </c>
      <c r="JA28" s="50">
        <f t="shared" si="91"/>
        <v>5.2136114999999998</v>
      </c>
      <c r="JC28" s="50">
        <f>7.5*0.13</f>
        <v>0.97500000000000009</v>
      </c>
    </row>
    <row r="29" spans="2:266">
      <c r="B29" s="377" t="s">
        <v>680</v>
      </c>
      <c r="C29" s="464">
        <v>145</v>
      </c>
      <c r="D29" s="800">
        <v>160000</v>
      </c>
      <c r="E29" s="1761">
        <f>+($E$10+$E$11+$E$12+$E$13)*D29+3.09+$E$15*C29</f>
        <v>45.880800000000001</v>
      </c>
      <c r="F29" s="423">
        <f t="shared" ref="F29:AK29" si="92">+ROUND((($E$10+$E$11+$E$12)*$D$29*F24+($E$13*$D$29+$E$14)*F25+$E$15*$C$29*F26),2)</f>
        <v>122.56</v>
      </c>
      <c r="G29" s="421">
        <f t="shared" si="92"/>
        <v>124.08</v>
      </c>
      <c r="H29" s="421">
        <f t="shared" si="92"/>
        <v>123.08</v>
      </c>
      <c r="I29" s="421">
        <f t="shared" si="92"/>
        <v>122.93</v>
      </c>
      <c r="J29" s="421">
        <f t="shared" si="92"/>
        <v>122.15</v>
      </c>
      <c r="K29" s="421">
        <f t="shared" si="92"/>
        <v>118.71</v>
      </c>
      <c r="L29" s="421">
        <f t="shared" si="92"/>
        <v>115.8</v>
      </c>
      <c r="M29" s="421">
        <f t="shared" si="92"/>
        <v>114.32</v>
      </c>
      <c r="N29" s="421">
        <f t="shared" si="92"/>
        <v>113.27</v>
      </c>
      <c r="O29" s="421">
        <f t="shared" si="92"/>
        <v>111.98</v>
      </c>
      <c r="P29" s="421">
        <f t="shared" si="92"/>
        <v>113.96</v>
      </c>
      <c r="Q29" s="378">
        <f t="shared" si="92"/>
        <v>114.42</v>
      </c>
      <c r="R29" s="378">
        <f t="shared" si="92"/>
        <v>113.96</v>
      </c>
      <c r="S29" s="378">
        <f t="shared" si="92"/>
        <v>114.69</v>
      </c>
      <c r="T29" s="378">
        <f t="shared" si="92"/>
        <v>116.42</v>
      </c>
      <c r="U29" s="693">
        <f t="shared" si="92"/>
        <v>117.04</v>
      </c>
      <c r="V29" s="693">
        <f t="shared" si="92"/>
        <v>117.75</v>
      </c>
      <c r="W29" s="693">
        <f t="shared" si="92"/>
        <v>117.56</v>
      </c>
      <c r="X29" s="693">
        <f t="shared" si="92"/>
        <v>116.44</v>
      </c>
      <c r="Y29" s="693">
        <f t="shared" si="92"/>
        <v>118</v>
      </c>
      <c r="Z29" s="693">
        <f t="shared" si="92"/>
        <v>118.81</v>
      </c>
      <c r="AA29" s="693">
        <f t="shared" si="92"/>
        <v>118.66</v>
      </c>
      <c r="AB29" s="693">
        <f t="shared" si="92"/>
        <v>121.58</v>
      </c>
      <c r="AC29" s="693">
        <f t="shared" si="92"/>
        <v>121.06</v>
      </c>
      <c r="AD29" s="693">
        <f t="shared" si="92"/>
        <v>120.92</v>
      </c>
      <c r="AE29" s="693">
        <f t="shared" si="92"/>
        <v>120.96</v>
      </c>
      <c r="AF29" s="693">
        <f t="shared" si="92"/>
        <v>121.49</v>
      </c>
      <c r="AG29" s="693">
        <f t="shared" si="92"/>
        <v>122.39</v>
      </c>
      <c r="AH29" s="693">
        <f t="shared" si="92"/>
        <v>121.88</v>
      </c>
      <c r="AI29" s="693">
        <f t="shared" si="92"/>
        <v>128.15</v>
      </c>
      <c r="AJ29" s="693">
        <f t="shared" si="92"/>
        <v>129.11000000000001</v>
      </c>
      <c r="AK29" s="693">
        <f t="shared" si="92"/>
        <v>128.97999999999999</v>
      </c>
      <c r="AL29" s="693">
        <f t="shared" ref="AL29:BQ29" si="93">+ROUND((($E$10+$E$11+$E$12)*$D$29*AL24+($E$13*$D$29+$E$14)*AL25+$E$15*$C$29*AL26),2)</f>
        <v>128.16</v>
      </c>
      <c r="AM29" s="693">
        <f t="shared" si="93"/>
        <v>127.99</v>
      </c>
      <c r="AN29" s="693">
        <f t="shared" si="93"/>
        <v>128.22</v>
      </c>
      <c r="AO29" s="693">
        <f t="shared" si="93"/>
        <v>128.51</v>
      </c>
      <c r="AP29" s="693">
        <f t="shared" si="93"/>
        <v>129.16999999999999</v>
      </c>
      <c r="AQ29" s="693">
        <f t="shared" si="93"/>
        <v>133.29</v>
      </c>
      <c r="AR29" s="693">
        <f t="shared" si="93"/>
        <v>133.93</v>
      </c>
      <c r="AS29" s="693">
        <f t="shared" si="93"/>
        <v>135.77000000000001</v>
      </c>
      <c r="AT29" s="693">
        <f t="shared" si="93"/>
        <v>136.13</v>
      </c>
      <c r="AU29" s="693">
        <f t="shared" si="93"/>
        <v>137.75</v>
      </c>
      <c r="AV29" s="693">
        <f t="shared" si="93"/>
        <v>136.41</v>
      </c>
      <c r="AW29" s="693">
        <f t="shared" si="93"/>
        <v>138.68</v>
      </c>
      <c r="AX29" s="693">
        <f t="shared" si="93"/>
        <v>138.78</v>
      </c>
      <c r="AY29" s="693">
        <f t="shared" si="93"/>
        <v>140.12</v>
      </c>
      <c r="AZ29" s="693">
        <f t="shared" si="93"/>
        <v>141.03</v>
      </c>
      <c r="BA29" s="693">
        <f t="shared" si="93"/>
        <v>135.07</v>
      </c>
      <c r="BB29" s="693">
        <f t="shared" si="93"/>
        <v>143.55000000000001</v>
      </c>
      <c r="BC29" s="693">
        <f t="shared" si="93"/>
        <v>142.47999999999999</v>
      </c>
      <c r="BD29" s="693">
        <f t="shared" si="93"/>
        <v>142.55000000000001</v>
      </c>
      <c r="BE29" s="693">
        <f t="shared" si="93"/>
        <v>145.13</v>
      </c>
      <c r="BF29" s="693">
        <f t="shared" si="93"/>
        <v>145.82</v>
      </c>
      <c r="BG29" s="693">
        <f t="shared" si="93"/>
        <v>145.4</v>
      </c>
      <c r="BH29" s="693">
        <f t="shared" si="93"/>
        <v>145.55000000000001</v>
      </c>
      <c r="BI29" s="693">
        <f t="shared" si="93"/>
        <v>150.09</v>
      </c>
      <c r="BJ29" s="693">
        <f t="shared" si="93"/>
        <v>150.53</v>
      </c>
      <c r="BK29" s="693">
        <f t="shared" si="93"/>
        <v>153.91999999999999</v>
      </c>
      <c r="BL29" s="693">
        <f t="shared" si="93"/>
        <v>154.16999999999999</v>
      </c>
      <c r="BM29" s="693">
        <f t="shared" si="93"/>
        <v>154.43</v>
      </c>
      <c r="BN29" s="693">
        <f t="shared" si="93"/>
        <v>155.08000000000001</v>
      </c>
      <c r="BO29" s="693">
        <f t="shared" si="93"/>
        <v>155.33000000000001</v>
      </c>
      <c r="BP29" s="694">
        <f t="shared" si="93"/>
        <v>161.31</v>
      </c>
      <c r="BQ29" s="699">
        <f t="shared" si="93"/>
        <v>155.54</v>
      </c>
      <c r="BR29" s="693">
        <f t="shared" ref="BR29:CW29" si="94">+ROUND((($E$10+$E$11+$E$12)*$D$29*BR24+($E$13*$D$29+$E$14)*BR25+$E$15*$C$29*BR26),2)</f>
        <v>152.82</v>
      </c>
      <c r="BS29" s="693">
        <f t="shared" si="94"/>
        <v>153.57</v>
      </c>
      <c r="BT29" s="693">
        <f t="shared" si="94"/>
        <v>159.22</v>
      </c>
      <c r="BU29" s="693">
        <f t="shared" si="94"/>
        <v>162.19999999999999</v>
      </c>
      <c r="BV29" s="693">
        <f t="shared" si="94"/>
        <v>162.1</v>
      </c>
      <c r="BW29" s="693">
        <f t="shared" si="94"/>
        <v>165.54</v>
      </c>
      <c r="BX29" s="693">
        <f t="shared" si="94"/>
        <v>164.62</v>
      </c>
      <c r="BY29" s="693">
        <f t="shared" si="94"/>
        <v>166.08</v>
      </c>
      <c r="BZ29" s="693">
        <f t="shared" si="94"/>
        <v>168.36</v>
      </c>
      <c r="CA29" s="693">
        <f t="shared" si="94"/>
        <v>169.24</v>
      </c>
      <c r="CB29" s="694">
        <f t="shared" si="94"/>
        <v>170.67</v>
      </c>
      <c r="CC29" s="699">
        <f t="shared" si="94"/>
        <v>171.91</v>
      </c>
      <c r="CD29" s="693">
        <f t="shared" si="94"/>
        <v>174.09</v>
      </c>
      <c r="CE29" s="693">
        <f t="shared" si="94"/>
        <v>176.87</v>
      </c>
      <c r="CF29" s="693">
        <f t="shared" si="94"/>
        <v>180.74</v>
      </c>
      <c r="CG29" s="693">
        <f t="shared" si="94"/>
        <v>185.12</v>
      </c>
      <c r="CH29" s="693">
        <f t="shared" si="94"/>
        <v>190.02</v>
      </c>
      <c r="CI29" s="693">
        <f t="shared" si="94"/>
        <v>193.61</v>
      </c>
      <c r="CJ29" s="702">
        <f t="shared" si="94"/>
        <v>194.76</v>
      </c>
      <c r="CK29" s="702">
        <f t="shared" si="94"/>
        <v>195.33</v>
      </c>
      <c r="CL29" s="693">
        <f t="shared" si="94"/>
        <v>200.94</v>
      </c>
      <c r="CM29" s="702">
        <f t="shared" si="94"/>
        <v>201.16</v>
      </c>
      <c r="CN29" s="702">
        <f t="shared" si="94"/>
        <v>201.51</v>
      </c>
      <c r="CO29" s="699">
        <f t="shared" si="94"/>
        <v>201.82</v>
      </c>
      <c r="CP29" s="693">
        <f t="shared" si="94"/>
        <v>202.64</v>
      </c>
      <c r="CQ29" s="693">
        <f t="shared" si="94"/>
        <v>206.27</v>
      </c>
      <c r="CR29" s="693">
        <f t="shared" si="94"/>
        <v>209.02</v>
      </c>
      <c r="CS29" s="693">
        <f t="shared" si="94"/>
        <v>216.75</v>
      </c>
      <c r="CT29" s="693">
        <f t="shared" si="94"/>
        <v>219.57</v>
      </c>
      <c r="CU29" s="693">
        <f t="shared" si="94"/>
        <v>221.75</v>
      </c>
      <c r="CV29" s="693">
        <f t="shared" si="94"/>
        <v>227.08</v>
      </c>
      <c r="CW29" s="1125">
        <f t="shared" si="94"/>
        <v>228.89</v>
      </c>
      <c r="CX29" s="693">
        <f t="shared" ref="CX29:EC29" si="95">+ROUND((($E$10+$E$11+$E$12)*$D$29*CX24+($E$13*$D$29+$E$14)*CX25+$E$15*$C$29*CX26),2)</f>
        <v>230.09</v>
      </c>
      <c r="CY29" s="702">
        <f t="shared" si="95"/>
        <v>230.79</v>
      </c>
      <c r="CZ29" s="702">
        <f t="shared" si="95"/>
        <v>237.85</v>
      </c>
      <c r="DA29" s="1001">
        <f t="shared" si="95"/>
        <v>241.93</v>
      </c>
      <c r="DB29" s="702">
        <f t="shared" si="95"/>
        <v>242.65</v>
      </c>
      <c r="DC29" s="702">
        <f t="shared" si="95"/>
        <v>243.3</v>
      </c>
      <c r="DD29" s="702">
        <f t="shared" si="95"/>
        <v>257.31</v>
      </c>
      <c r="DE29" s="702">
        <f t="shared" si="95"/>
        <v>259.11</v>
      </c>
      <c r="DF29" s="702">
        <f t="shared" si="95"/>
        <v>260.62</v>
      </c>
      <c r="DG29" s="702">
        <f t="shared" si="95"/>
        <v>263.39999999999998</v>
      </c>
      <c r="DH29" s="702">
        <f t="shared" si="95"/>
        <v>269.86</v>
      </c>
      <c r="DI29" s="702">
        <f t="shared" si="95"/>
        <v>271.32</v>
      </c>
      <c r="DJ29" s="702">
        <f t="shared" si="95"/>
        <v>272.45999999999998</v>
      </c>
      <c r="DK29" s="702">
        <f t="shared" si="95"/>
        <v>277.47000000000003</v>
      </c>
      <c r="DL29" s="694">
        <f t="shared" si="95"/>
        <v>279.33</v>
      </c>
      <c r="DM29" s="702">
        <f t="shared" si="95"/>
        <v>284.02999999999997</v>
      </c>
      <c r="DN29" s="702">
        <f t="shared" si="95"/>
        <v>284.8</v>
      </c>
      <c r="DO29" s="702">
        <f t="shared" si="95"/>
        <v>287.83999999999997</v>
      </c>
      <c r="DP29" s="702">
        <f t="shared" si="95"/>
        <v>289.24</v>
      </c>
      <c r="DQ29" s="702">
        <f t="shared" si="95"/>
        <v>292.24</v>
      </c>
      <c r="DR29" s="702">
        <f t="shared" si="95"/>
        <v>318.39</v>
      </c>
      <c r="DS29" s="1127">
        <f t="shared" si="95"/>
        <v>323.02999999999997</v>
      </c>
      <c r="DT29" s="1127">
        <f t="shared" si="95"/>
        <v>324.37</v>
      </c>
      <c r="DU29" s="1127">
        <f t="shared" si="95"/>
        <v>325.25</v>
      </c>
      <c r="DV29" s="1134">
        <f t="shared" si="95"/>
        <v>325.73</v>
      </c>
      <c r="DW29" s="1144">
        <f t="shared" si="95"/>
        <v>327.73</v>
      </c>
      <c r="DX29" s="1134">
        <f t="shared" si="95"/>
        <v>328.34</v>
      </c>
      <c r="DY29" s="1144">
        <f t="shared" si="95"/>
        <v>330.41</v>
      </c>
      <c r="DZ29" s="1127">
        <f t="shared" si="95"/>
        <v>332.31</v>
      </c>
      <c r="EA29" s="1127">
        <f t="shared" si="95"/>
        <v>335.82</v>
      </c>
      <c r="EB29" s="1127">
        <f t="shared" si="95"/>
        <v>339.76</v>
      </c>
      <c r="EC29" s="1127">
        <f t="shared" si="95"/>
        <v>342.83</v>
      </c>
      <c r="ED29" s="1127">
        <f t="shared" ref="ED29:EK29" si="96">+ROUND((($E$10+$E$11+$E$12)*$D$29*ED24+($E$13*$D$29+$E$14)*ED25+$E$15*$C$29*ED26),2)</f>
        <v>366.19</v>
      </c>
      <c r="EE29" s="1127">
        <f t="shared" si="96"/>
        <v>368.04</v>
      </c>
      <c r="EF29" s="1127">
        <f t="shared" si="96"/>
        <v>369.84</v>
      </c>
      <c r="EG29" s="1127">
        <f t="shared" si="96"/>
        <v>379</v>
      </c>
      <c r="EH29" s="1127">
        <f t="shared" si="96"/>
        <v>379.41</v>
      </c>
      <c r="EI29" s="1127">
        <f t="shared" si="96"/>
        <v>380.76</v>
      </c>
      <c r="EJ29" s="1172">
        <f t="shared" si="96"/>
        <v>384.25</v>
      </c>
      <c r="EK29" s="1127">
        <f t="shared" si="96"/>
        <v>392.67</v>
      </c>
      <c r="EL29" s="1127">
        <f t="shared" ref="EL29:EQ29" si="97">+ROUND((($E$10+$E$11+$E$12)*$D$29*EL24+($E$13*$D$29+$E$14)*EL25+$E$15*$C$29*EL26),2)</f>
        <v>403.68</v>
      </c>
      <c r="EM29" s="1127">
        <f t="shared" si="97"/>
        <v>413.52</v>
      </c>
      <c r="EN29" s="1127">
        <f t="shared" si="97"/>
        <v>451.84</v>
      </c>
      <c r="EO29" s="1127">
        <f t="shared" si="97"/>
        <v>454.03</v>
      </c>
      <c r="EP29" s="1127">
        <f t="shared" si="97"/>
        <v>456.06</v>
      </c>
      <c r="EQ29" s="1127">
        <f t="shared" si="97"/>
        <v>481.43</v>
      </c>
      <c r="ER29" s="1127">
        <f t="shared" ref="ER29:EW29" si="98">+ROUND((($E$10+$E$11+$E$12)*$D$29*ER24+($E$13*$D$29+$E$14)*ER25+$E$15*$C$29*ER26),2)</f>
        <v>486.58</v>
      </c>
      <c r="ES29" s="1127">
        <f t="shared" si="98"/>
        <v>491.3</v>
      </c>
      <c r="ET29" s="1127">
        <f t="shared" si="98"/>
        <v>493.4</v>
      </c>
      <c r="EU29" s="1127">
        <f t="shared" si="98"/>
        <v>494.99</v>
      </c>
      <c r="EV29" s="1172">
        <f t="shared" si="98"/>
        <v>495.24</v>
      </c>
      <c r="EW29" s="1574">
        <f t="shared" si="98"/>
        <v>488.02</v>
      </c>
      <c r="EX29" s="1127">
        <f t="shared" ref="EX29:FE29" si="99">+ROUND((($E$10+$E$11+$E$12)*$D$29*EX24+($E$13*$D$29+$E$14)*EX25+$E$15*$C$29*EX26),2)</f>
        <v>490.61</v>
      </c>
      <c r="EY29" s="1134">
        <f t="shared" si="99"/>
        <v>495.88</v>
      </c>
      <c r="EZ29" s="1134">
        <f t="shared" si="99"/>
        <v>532.88</v>
      </c>
      <c r="FA29" s="1134">
        <f t="shared" si="99"/>
        <v>538.30999999999995</v>
      </c>
      <c r="FB29" s="1134">
        <f t="shared" si="99"/>
        <v>544.91</v>
      </c>
      <c r="FC29" s="1134">
        <f t="shared" si="99"/>
        <v>549.55999999999995</v>
      </c>
      <c r="FD29" s="1134">
        <f t="shared" si="99"/>
        <v>573.44000000000005</v>
      </c>
      <c r="FE29" s="1134">
        <f t="shared" si="99"/>
        <v>574.44000000000005</v>
      </c>
      <c r="FF29" s="1127">
        <f t="shared" ref="FF29:FK29" si="100">+ROUND((($E$10+$E$11+$E$12)*$D$29*FF24+($E$13*$D$29+$E$14)*FF25+$E$15*$C$29*FF26),2)</f>
        <v>576.4</v>
      </c>
      <c r="FG29" s="1172" t="e">
        <f t="shared" si="100"/>
        <v>#REF!</v>
      </c>
      <c r="FH29" s="1172" t="e">
        <f t="shared" si="100"/>
        <v>#REF!</v>
      </c>
      <c r="FI29" s="1942">
        <f t="shared" si="100"/>
        <v>45.88</v>
      </c>
      <c r="FJ29" s="2513">
        <f t="shared" si="100"/>
        <v>49.07</v>
      </c>
      <c r="FK29" s="1172">
        <f t="shared" si="100"/>
        <v>48.69</v>
      </c>
      <c r="FL29" s="1172">
        <f t="shared" ref="FL29:HB29" si="101">+ROUND((($E$10+$E$11+$E$12)*$D$29*FL24+($E$13*$D$29+$E$14)*FL25+$E$15*$C$29*FL26),2)</f>
        <v>50.68</v>
      </c>
      <c r="FM29" s="1172">
        <f t="shared" si="101"/>
        <v>51.82</v>
      </c>
      <c r="FN29" s="1172">
        <f t="shared" si="101"/>
        <v>53.79</v>
      </c>
      <c r="FO29" s="1172">
        <f t="shared" si="101"/>
        <v>53.79</v>
      </c>
      <c r="FP29" s="1172">
        <f t="shared" si="101"/>
        <v>53.79</v>
      </c>
      <c r="FQ29" s="1172">
        <f t="shared" si="101"/>
        <v>53.96</v>
      </c>
      <c r="FR29" s="1172">
        <f t="shared" si="101"/>
        <v>55.18</v>
      </c>
      <c r="FS29" s="1172">
        <f t="shared" si="101"/>
        <v>55.7</v>
      </c>
      <c r="FT29" s="1172">
        <f t="shared" si="101"/>
        <v>56.24</v>
      </c>
      <c r="FU29" s="1172">
        <f t="shared" si="101"/>
        <v>57.14</v>
      </c>
      <c r="FV29" s="1172">
        <f t="shared" si="101"/>
        <v>57.24</v>
      </c>
      <c r="FW29" s="1172">
        <f t="shared" si="101"/>
        <v>57.31</v>
      </c>
      <c r="FX29" s="1172">
        <f t="shared" si="101"/>
        <v>58.35</v>
      </c>
      <c r="FY29" s="1172">
        <f t="shared" si="101"/>
        <v>58.74</v>
      </c>
      <c r="FZ29" s="1172">
        <f t="shared" si="101"/>
        <v>59.2</v>
      </c>
      <c r="GA29" s="1172">
        <f t="shared" si="101"/>
        <v>65.28</v>
      </c>
      <c r="GB29" s="1172">
        <f t="shared" si="101"/>
        <v>65.819999999999993</v>
      </c>
      <c r="GC29" s="1172">
        <f t="shared" si="101"/>
        <v>65.209999999999994</v>
      </c>
      <c r="GD29" s="1172">
        <f t="shared" si="101"/>
        <v>66.33</v>
      </c>
      <c r="GE29" s="1172">
        <f t="shared" si="101"/>
        <v>68.34</v>
      </c>
      <c r="GF29" s="1172">
        <f t="shared" si="101"/>
        <v>70.78</v>
      </c>
      <c r="GG29" s="1172">
        <f t="shared" si="101"/>
        <v>72.58</v>
      </c>
      <c r="GH29" s="1172">
        <f t="shared" si="101"/>
        <v>76.77</v>
      </c>
      <c r="GI29" s="1172">
        <f t="shared" si="101"/>
        <v>78.099999999999994</v>
      </c>
      <c r="GJ29" s="1172">
        <f t="shared" si="101"/>
        <v>79.86</v>
      </c>
      <c r="GK29" s="1172">
        <f t="shared" si="101"/>
        <v>88.81</v>
      </c>
      <c r="GL29" s="1172">
        <f t="shared" si="101"/>
        <v>94.96</v>
      </c>
      <c r="GM29" s="1172">
        <f t="shared" si="101"/>
        <v>97.21</v>
      </c>
      <c r="GN29" s="1172">
        <f t="shared" si="101"/>
        <v>102.49</v>
      </c>
      <c r="GO29" s="1172">
        <f t="shared" si="101"/>
        <v>127.1</v>
      </c>
      <c r="GP29" s="1172">
        <f t="shared" si="101"/>
        <v>126.93</v>
      </c>
      <c r="GQ29" s="1172">
        <f t="shared" si="101"/>
        <v>124.33</v>
      </c>
      <c r="GR29" s="1172">
        <f t="shared" si="101"/>
        <v>131.18</v>
      </c>
      <c r="GS29" s="1172">
        <f t="shared" si="101"/>
        <v>127.17</v>
      </c>
      <c r="GT29" s="1172">
        <f t="shared" si="101"/>
        <v>136.1</v>
      </c>
      <c r="GU29" s="1172">
        <f t="shared" si="101"/>
        <v>139.22999999999999</v>
      </c>
      <c r="GV29" s="1172">
        <f t="shared" si="101"/>
        <v>148.15</v>
      </c>
      <c r="GW29" s="1172">
        <f t="shared" si="101"/>
        <v>157.97999999999999</v>
      </c>
      <c r="GX29" s="1172">
        <f t="shared" si="101"/>
        <v>154.15</v>
      </c>
      <c r="GY29" s="1172">
        <f t="shared" si="101"/>
        <v>155.53</v>
      </c>
      <c r="GZ29" s="1172">
        <f t="shared" si="101"/>
        <v>181.47</v>
      </c>
      <c r="HA29" s="1172">
        <f t="shared" si="101"/>
        <v>188.79</v>
      </c>
      <c r="HB29" s="1172">
        <f t="shared" si="101"/>
        <v>195.18</v>
      </c>
      <c r="HC29" s="1172">
        <f t="shared" ref="HC29:HH29" si="102">+ROUND((($E$10+$E$11+$E$12)*$D$29*HC24+($E$13*$D$29+$E$14)*HC25+$E$15*$C$29*HC26),2)</f>
        <v>197.81</v>
      </c>
      <c r="HD29" s="1172">
        <f t="shared" si="102"/>
        <v>201.6</v>
      </c>
      <c r="HE29" s="1172">
        <f t="shared" si="102"/>
        <v>208.84</v>
      </c>
      <c r="HF29" s="1942">
        <f t="shared" si="102"/>
        <v>211.52</v>
      </c>
      <c r="HG29" s="1943">
        <f t="shared" si="102"/>
        <v>214.94</v>
      </c>
      <c r="HH29" s="1943">
        <f t="shared" si="102"/>
        <v>220.87</v>
      </c>
      <c r="HI29" s="1943">
        <f t="shared" ref="HI29:HJ29" si="103">+ROUND((($E$10+$E$11+$E$12)*$D$29*HI24+($E$13*$D$29+$E$14)*HI25+$E$15*$C$29*HI26),2)</f>
        <v>224.38</v>
      </c>
      <c r="HJ29" s="1943">
        <f t="shared" si="103"/>
        <v>230.24</v>
      </c>
      <c r="HK29" s="1943">
        <f t="shared" ref="HK29:HL29" si="104">+ROUND((($E$10+$E$11+$E$12)*$D$29*HK24+($E$13*$D$29+$E$14)*HK25+$E$15*$C$29*HK26),2)</f>
        <v>235.69</v>
      </c>
      <c r="HL29" s="1943">
        <f t="shared" si="104"/>
        <v>240.91</v>
      </c>
      <c r="HM29" s="1943">
        <f t="shared" ref="HM29:HN29" si="105">+ROUND((($E$10+$E$11+$E$12)*$D$29*HM24+($E$13*$D$29+$E$14)*HM25+$E$15*$C$29*HM26),2)</f>
        <v>247.64</v>
      </c>
      <c r="HN29" s="1943">
        <f t="shared" si="105"/>
        <v>257.02</v>
      </c>
      <c r="HO29" s="1943">
        <f t="shared" ref="HO29:HP29" si="106">+ROUND((($E$10+$E$11+$E$12)*$D$29*HO24+($E$13*$D$29+$E$14)*HO25+$E$15*$C$29*HO26),2)</f>
        <v>269.66000000000003</v>
      </c>
      <c r="HP29" s="1943">
        <f t="shared" si="106"/>
        <v>279.89</v>
      </c>
      <c r="HQ29" s="1943">
        <f t="shared" ref="HQ29:HR29" si="107">+ROUND((($E$10+$E$11+$E$12)*$D$29*HQ24+($E$13*$D$29+$E$14)*HQ25+$E$15*$C$29*HQ26),2)</f>
        <v>287.95</v>
      </c>
      <c r="HR29" s="1948">
        <f t="shared" si="107"/>
        <v>302.37</v>
      </c>
      <c r="HS29" s="1948">
        <f t="shared" ref="HS29:HT29" si="108">+ROUND((($E$10+$E$11+$E$12)*$D$29*HS24+($E$13*$D$29+$E$14)*HS25+$E$15*$C$29*HS26),2)</f>
        <v>318.64999999999998</v>
      </c>
      <c r="HT29" s="1948">
        <f t="shared" si="108"/>
        <v>330.81</v>
      </c>
      <c r="HU29" s="1948">
        <f t="shared" ref="HU29:HV29" si="109">+ROUND((($E$10+$E$11+$E$12)*$D$29*HU24+($E$13*$D$29+$E$14)*HU25+$E$15*$C$29*HU26),2)</f>
        <v>342.66</v>
      </c>
      <c r="HV29" s="1948">
        <f t="shared" si="109"/>
        <v>344.23</v>
      </c>
      <c r="HW29" s="1948">
        <f t="shared" ref="HW29:HX29" si="110">+ROUND((($E$10+$E$11+$E$12)*$D$29*HW24+($E$13*$D$29+$E$14)*HW25+$E$15*$C$29*HW26),2)</f>
        <v>349.33</v>
      </c>
      <c r="HX29" s="1948">
        <f t="shared" si="110"/>
        <v>353.71</v>
      </c>
      <c r="HY29" s="1948">
        <f t="shared" ref="HY29:HZ29" si="111">+ROUND((($E$10+$E$11+$E$12)*$D$29*HY24+($E$13*$D$29+$E$14)*HY25+$E$15*$C$29*HY26),2)</f>
        <v>354.95</v>
      </c>
      <c r="HZ29" s="1879">
        <f t="shared" si="111"/>
        <v>359.61</v>
      </c>
      <c r="IA29" s="1879">
        <f t="shared" ref="IA29:IB29" si="112">+ROUND((($E$10+$E$11+$E$12)*$D$29*IA24+($E$13*$D$29+$E$14)*IA25+$E$15*$C$29*IA26),2)</f>
        <v>361.11</v>
      </c>
      <c r="IB29" s="1879">
        <f t="shared" si="112"/>
        <v>364.86</v>
      </c>
      <c r="IC29" s="1785">
        <f t="shared" ref="IC29:ID29" si="113">+ROUND((($E$10+$E$11+$E$12)*$D$29*IC24+($E$13*$D$29+$E$14)*IC25+$E$15*$C$29*IC26),2)</f>
        <v>371.74</v>
      </c>
      <c r="ID29" s="1786">
        <f t="shared" si="113"/>
        <v>388.26</v>
      </c>
      <c r="IE29" s="1786">
        <f t="shared" ref="IE29:IF29" si="114">+ROUND((($E$10+$E$11+$E$12)*$D$29*IE24+($E$13*$D$29+$E$14)*IE25+$E$15*$C$29*IE26),2)</f>
        <v>411.25</v>
      </c>
      <c r="IF29" s="1786">
        <f t="shared" si="114"/>
        <v>423.86</v>
      </c>
      <c r="IG29" s="1786">
        <f t="shared" ref="IG29:IH29" si="115">+ROUND((($E$10+$E$11+$E$12)*$D$29*IG24+($E$13*$D$29+$E$14)*IG25+$E$15*$C$29*IG26),2)</f>
        <v>455.61</v>
      </c>
      <c r="IH29" s="1786">
        <f t="shared" si="115"/>
        <v>490.12</v>
      </c>
      <c r="II29" s="1786">
        <f t="shared" ref="II29:IJ29" si="116">+ROUND((($E$10+$E$11+$E$12)*$D$29*II24+($E$13*$D$29+$E$14)*II25+$E$15*$C$29*II26),2)</f>
        <v>510.83</v>
      </c>
      <c r="IJ29" s="1786">
        <f t="shared" si="116"/>
        <v>529.45000000000005</v>
      </c>
      <c r="IK29" s="1786">
        <f t="shared" ref="IK29:IL29" si="117">+ROUND((($E$10+$E$11+$E$12)*$D$29*IK24+($E$13*$D$29+$E$14)*IK25+$E$15*$C$29*IK26),2)</f>
        <v>557.9</v>
      </c>
      <c r="IL29" s="1786">
        <f t="shared" si="117"/>
        <v>596.48</v>
      </c>
      <c r="IM29" s="1786">
        <f t="shared" ref="IM29:IN29" si="118">+ROUND((($E$10+$E$11+$E$12)*$D$29*IM24+($E$13*$D$29+$E$14)*IM25+$E$15*$C$29*IM26),2)</f>
        <v>665.46</v>
      </c>
      <c r="IN29" s="1879">
        <f t="shared" si="118"/>
        <v>708.52</v>
      </c>
      <c r="IO29" s="1786">
        <f t="shared" ref="IO29:IP29" si="119">+ROUND((($E$10+$E$11+$E$12)*$D$29*IO24+($E$13*$D$29+$E$14)*IO25+$E$15*$C$29*IO26),2)</f>
        <v>735.3</v>
      </c>
      <c r="IP29" s="1786">
        <f t="shared" si="119"/>
        <v>794.76</v>
      </c>
      <c r="IQ29" s="1037"/>
    </row>
    <row r="30" spans="2:266">
      <c r="B30" s="372" t="s">
        <v>681</v>
      </c>
      <c r="C30" s="283">
        <v>152</v>
      </c>
      <c r="D30" s="280">
        <v>200000</v>
      </c>
      <c r="E30" s="1762">
        <f t="shared" ref="E30:E35" si="120">+($E$10+$E$11+$E$12+$E$13)*D30+3.09+$E$15*C30</f>
        <v>53.506080000000004</v>
      </c>
      <c r="F30" s="308">
        <f t="shared" ref="F30:AK30" si="121">+ROUND((($E$10+$E$11+$E$12)*$D$30*F24+($E$13*$D$30+$E$14)*F25+$E$15*$C$30*F26),2)</f>
        <v>143.9</v>
      </c>
      <c r="G30" s="142">
        <f t="shared" si="121"/>
        <v>144.82</v>
      </c>
      <c r="H30" s="142">
        <f t="shared" si="121"/>
        <v>143.6</v>
      </c>
      <c r="I30" s="142">
        <f t="shared" si="121"/>
        <v>142.82</v>
      </c>
      <c r="J30" s="142">
        <f t="shared" si="121"/>
        <v>141.84</v>
      </c>
      <c r="K30" s="142">
        <f t="shared" si="121"/>
        <v>137.49</v>
      </c>
      <c r="L30" s="142">
        <f t="shared" si="121"/>
        <v>133.86000000000001</v>
      </c>
      <c r="M30" s="142">
        <f t="shared" si="121"/>
        <v>131.94</v>
      </c>
      <c r="N30" s="142">
        <f t="shared" si="121"/>
        <v>130.72999999999999</v>
      </c>
      <c r="O30" s="142">
        <f t="shared" si="121"/>
        <v>129.13999999999999</v>
      </c>
      <c r="P30" s="142">
        <f t="shared" si="121"/>
        <v>131.56</v>
      </c>
      <c r="Q30" s="285">
        <f t="shared" si="121"/>
        <v>132.09</v>
      </c>
      <c r="R30" s="285">
        <f t="shared" si="121"/>
        <v>131.44999999999999</v>
      </c>
      <c r="S30" s="285">
        <f t="shared" si="121"/>
        <v>132.31</v>
      </c>
      <c r="T30" s="285">
        <f t="shared" si="121"/>
        <v>134.41999999999999</v>
      </c>
      <c r="U30" s="525">
        <f t="shared" si="121"/>
        <v>135.06</v>
      </c>
      <c r="V30" s="525">
        <f t="shared" si="121"/>
        <v>135.9</v>
      </c>
      <c r="W30" s="525">
        <f t="shared" si="121"/>
        <v>135.65</v>
      </c>
      <c r="X30" s="525">
        <f t="shared" si="121"/>
        <v>134.24</v>
      </c>
      <c r="Y30" s="525">
        <f t="shared" si="121"/>
        <v>136.08000000000001</v>
      </c>
      <c r="Z30" s="525">
        <f t="shared" si="121"/>
        <v>137.04</v>
      </c>
      <c r="AA30" s="525">
        <f t="shared" si="121"/>
        <v>136.80000000000001</v>
      </c>
      <c r="AB30" s="525">
        <f t="shared" si="121"/>
        <v>140.06</v>
      </c>
      <c r="AC30" s="525">
        <f t="shared" si="121"/>
        <v>139.29</v>
      </c>
      <c r="AD30" s="525">
        <f t="shared" si="121"/>
        <v>139.1</v>
      </c>
      <c r="AE30" s="525">
        <f t="shared" si="121"/>
        <v>139.15</v>
      </c>
      <c r="AF30" s="525">
        <f t="shared" si="121"/>
        <v>139.81</v>
      </c>
      <c r="AG30" s="525">
        <f t="shared" si="121"/>
        <v>140.80000000000001</v>
      </c>
      <c r="AH30" s="525">
        <f t="shared" si="121"/>
        <v>140.15</v>
      </c>
      <c r="AI30" s="525">
        <f t="shared" si="121"/>
        <v>147.21</v>
      </c>
      <c r="AJ30" s="525">
        <f t="shared" si="121"/>
        <v>148.29</v>
      </c>
      <c r="AK30" s="525">
        <f t="shared" si="121"/>
        <v>148.15</v>
      </c>
      <c r="AL30" s="525">
        <f t="shared" ref="AL30:BQ30" si="122">+ROUND((($E$10+$E$11+$E$12)*$D$30*AL24+($E$13*$D$30+$E$14)*AL25+$E$15*$C$30*AL26),2)</f>
        <v>147.22</v>
      </c>
      <c r="AM30" s="525">
        <f t="shared" si="122"/>
        <v>147</v>
      </c>
      <c r="AN30" s="525">
        <f t="shared" si="122"/>
        <v>147.29</v>
      </c>
      <c r="AO30" s="525">
        <f t="shared" si="122"/>
        <v>147.65</v>
      </c>
      <c r="AP30" s="525">
        <f t="shared" si="122"/>
        <v>148.46</v>
      </c>
      <c r="AQ30" s="525">
        <f t="shared" si="122"/>
        <v>153.09</v>
      </c>
      <c r="AR30" s="525">
        <f t="shared" si="122"/>
        <v>153.88999999999999</v>
      </c>
      <c r="AS30" s="525">
        <f t="shared" si="122"/>
        <v>156.02000000000001</v>
      </c>
      <c r="AT30" s="525">
        <f t="shared" si="122"/>
        <v>156.47999999999999</v>
      </c>
      <c r="AU30" s="525">
        <f t="shared" si="122"/>
        <v>158.25</v>
      </c>
      <c r="AV30" s="525">
        <f t="shared" si="122"/>
        <v>156.66999999999999</v>
      </c>
      <c r="AW30" s="525">
        <f t="shared" si="122"/>
        <v>159.24</v>
      </c>
      <c r="AX30" s="525">
        <f t="shared" si="122"/>
        <v>159.36000000000001</v>
      </c>
      <c r="AY30" s="525">
        <f t="shared" si="122"/>
        <v>160.91</v>
      </c>
      <c r="AZ30" s="525">
        <f t="shared" si="122"/>
        <v>162.05000000000001</v>
      </c>
      <c r="BA30" s="525">
        <f t="shared" si="122"/>
        <v>155.38999999999999</v>
      </c>
      <c r="BB30" s="525">
        <f t="shared" si="122"/>
        <v>164.84</v>
      </c>
      <c r="BC30" s="525">
        <f t="shared" si="122"/>
        <v>163.5</v>
      </c>
      <c r="BD30" s="525">
        <f t="shared" si="122"/>
        <v>163.59</v>
      </c>
      <c r="BE30" s="525">
        <f t="shared" si="122"/>
        <v>166.52</v>
      </c>
      <c r="BF30" s="525">
        <f t="shared" si="122"/>
        <v>167.37</v>
      </c>
      <c r="BG30" s="525">
        <f t="shared" si="122"/>
        <v>166.85</v>
      </c>
      <c r="BH30" s="525">
        <f t="shared" si="122"/>
        <v>167.04</v>
      </c>
      <c r="BI30" s="525">
        <f t="shared" si="122"/>
        <v>172.17</v>
      </c>
      <c r="BJ30" s="525">
        <f t="shared" si="122"/>
        <v>172.66</v>
      </c>
      <c r="BK30" s="525">
        <f t="shared" si="122"/>
        <v>176.46</v>
      </c>
      <c r="BL30" s="525">
        <f t="shared" si="122"/>
        <v>176.85</v>
      </c>
      <c r="BM30" s="525">
        <f t="shared" si="122"/>
        <v>177.12</v>
      </c>
      <c r="BN30" s="525">
        <f t="shared" si="122"/>
        <v>177.89</v>
      </c>
      <c r="BO30" s="525">
        <f t="shared" si="122"/>
        <v>178.12</v>
      </c>
      <c r="BP30" s="526">
        <f t="shared" si="122"/>
        <v>184.84</v>
      </c>
      <c r="BQ30" s="524">
        <f t="shared" si="122"/>
        <v>178.38</v>
      </c>
      <c r="BR30" s="525">
        <f t="shared" ref="BR30:CW30" si="123">+ROUND((($E$10+$E$11+$E$12)*$D$30*BR24+($E$13*$D$30+$E$14)*BR25+$E$15*$C$30*BR26),2)</f>
        <v>175.67</v>
      </c>
      <c r="BS30" s="525">
        <f t="shared" si="123"/>
        <v>176.67</v>
      </c>
      <c r="BT30" s="525">
        <f t="shared" si="123"/>
        <v>183.08</v>
      </c>
      <c r="BU30" s="525">
        <f t="shared" si="123"/>
        <v>186.33</v>
      </c>
      <c r="BV30" s="525">
        <f t="shared" si="123"/>
        <v>186.06</v>
      </c>
      <c r="BW30" s="525">
        <f t="shared" si="123"/>
        <v>189.88</v>
      </c>
      <c r="BX30" s="525">
        <f t="shared" si="123"/>
        <v>188.92</v>
      </c>
      <c r="BY30" s="525">
        <f t="shared" si="123"/>
        <v>190.54</v>
      </c>
      <c r="BZ30" s="525">
        <f t="shared" si="123"/>
        <v>193.26</v>
      </c>
      <c r="CA30" s="525">
        <f t="shared" si="123"/>
        <v>194.26</v>
      </c>
      <c r="CB30" s="526">
        <f t="shared" si="123"/>
        <v>195.94</v>
      </c>
      <c r="CC30" s="524">
        <f t="shared" si="123"/>
        <v>197.3</v>
      </c>
      <c r="CD30" s="525">
        <f t="shared" si="123"/>
        <v>199.76</v>
      </c>
      <c r="CE30" s="525">
        <f t="shared" si="123"/>
        <v>202.89</v>
      </c>
      <c r="CF30" s="525">
        <f t="shared" si="123"/>
        <v>207.16</v>
      </c>
      <c r="CG30" s="525">
        <f t="shared" si="123"/>
        <v>212</v>
      </c>
      <c r="CH30" s="525">
        <f t="shared" si="123"/>
        <v>217.33</v>
      </c>
      <c r="CI30" s="525">
        <f t="shared" si="123"/>
        <v>221.16</v>
      </c>
      <c r="CJ30" s="528">
        <f t="shared" si="123"/>
        <v>222.54</v>
      </c>
      <c r="CK30" s="528">
        <f t="shared" si="123"/>
        <v>223.21</v>
      </c>
      <c r="CL30" s="525">
        <f t="shared" si="123"/>
        <v>229.38</v>
      </c>
      <c r="CM30" s="528">
        <f t="shared" si="123"/>
        <v>229.61</v>
      </c>
      <c r="CN30" s="528">
        <f t="shared" si="123"/>
        <v>229.97</v>
      </c>
      <c r="CO30" s="524">
        <f t="shared" si="123"/>
        <v>230.36</v>
      </c>
      <c r="CP30" s="525">
        <f t="shared" si="123"/>
        <v>231.36</v>
      </c>
      <c r="CQ30" s="525">
        <f t="shared" si="123"/>
        <v>235.43</v>
      </c>
      <c r="CR30" s="525">
        <f t="shared" si="123"/>
        <v>238.37</v>
      </c>
      <c r="CS30" s="525">
        <f t="shared" si="123"/>
        <v>246.98</v>
      </c>
      <c r="CT30" s="525">
        <f t="shared" si="123"/>
        <v>249.92</v>
      </c>
      <c r="CU30" s="525">
        <f t="shared" si="123"/>
        <v>252.31</v>
      </c>
      <c r="CV30" s="525">
        <f t="shared" si="123"/>
        <v>258.18</v>
      </c>
      <c r="CW30" s="1123">
        <f t="shared" si="123"/>
        <v>260.14999999999998</v>
      </c>
      <c r="CX30" s="525">
        <f t="shared" ref="CX30:EC30" si="124">+ROUND((($E$10+$E$11+$E$12)*$D$30*CX24+($E$13*$D$30+$E$14)*CX25+$E$15*$C$30*CX26),2)</f>
        <v>261.66000000000003</v>
      </c>
      <c r="CY30" s="528">
        <f t="shared" si="124"/>
        <v>262.39999999999998</v>
      </c>
      <c r="CZ30" s="528">
        <f t="shared" si="124"/>
        <v>270.18</v>
      </c>
      <c r="DA30" s="527">
        <f t="shared" si="124"/>
        <v>274.54000000000002</v>
      </c>
      <c r="DB30" s="528">
        <f t="shared" si="124"/>
        <v>275.39</v>
      </c>
      <c r="DC30" s="528">
        <f t="shared" si="124"/>
        <v>276.04000000000002</v>
      </c>
      <c r="DD30" s="528">
        <f t="shared" si="124"/>
        <v>291.54000000000002</v>
      </c>
      <c r="DE30" s="528">
        <f t="shared" si="124"/>
        <v>293.45999999999998</v>
      </c>
      <c r="DF30" s="528">
        <f t="shared" si="124"/>
        <v>295.2</v>
      </c>
      <c r="DG30" s="528">
        <f t="shared" si="124"/>
        <v>298.27999999999997</v>
      </c>
      <c r="DH30" s="528">
        <f t="shared" si="124"/>
        <v>305.5</v>
      </c>
      <c r="DI30" s="528">
        <f t="shared" si="124"/>
        <v>307.08999999999997</v>
      </c>
      <c r="DJ30" s="528">
        <f t="shared" si="124"/>
        <v>308.33999999999997</v>
      </c>
      <c r="DK30" s="528">
        <f t="shared" si="124"/>
        <v>313.97000000000003</v>
      </c>
      <c r="DL30" s="526">
        <f t="shared" si="124"/>
        <v>316.11</v>
      </c>
      <c r="DM30" s="528">
        <f t="shared" si="124"/>
        <v>321.12</v>
      </c>
      <c r="DN30" s="528">
        <f t="shared" si="124"/>
        <v>321.95999999999998</v>
      </c>
      <c r="DO30" s="528">
        <f t="shared" si="124"/>
        <v>325.45</v>
      </c>
      <c r="DP30" s="528">
        <f t="shared" si="124"/>
        <v>327.08999999999997</v>
      </c>
      <c r="DQ30" s="528">
        <f t="shared" si="124"/>
        <v>330.32</v>
      </c>
      <c r="DR30" s="528">
        <f t="shared" si="124"/>
        <v>359.77</v>
      </c>
      <c r="DS30" s="979">
        <f t="shared" si="124"/>
        <v>364.93</v>
      </c>
      <c r="DT30" s="979">
        <f t="shared" si="124"/>
        <v>366.49</v>
      </c>
      <c r="DU30" s="979">
        <f t="shared" si="124"/>
        <v>367.57</v>
      </c>
      <c r="DV30" s="974">
        <f t="shared" si="124"/>
        <v>368.17</v>
      </c>
      <c r="DW30" s="1145">
        <f t="shared" si="124"/>
        <v>370.39</v>
      </c>
      <c r="DX30" s="974">
        <f t="shared" si="124"/>
        <v>371.13</v>
      </c>
      <c r="DY30" s="1145">
        <f t="shared" si="124"/>
        <v>373.53</v>
      </c>
      <c r="DZ30" s="979">
        <f t="shared" si="124"/>
        <v>375.7</v>
      </c>
      <c r="EA30" s="979">
        <f t="shared" si="124"/>
        <v>379.54</v>
      </c>
      <c r="EB30" s="979">
        <f t="shared" si="124"/>
        <v>383.93</v>
      </c>
      <c r="EC30" s="979">
        <f t="shared" si="124"/>
        <v>387.38</v>
      </c>
      <c r="ED30" s="979">
        <f t="shared" ref="ED30:EK30" si="125">+ROUND((($E$10+$E$11+$E$12)*$D$30*ED24+($E$13*$D$30+$E$14)*ED25+$E$15*$C$30*ED26),2)</f>
        <v>413.58</v>
      </c>
      <c r="EE30" s="979">
        <f t="shared" si="125"/>
        <v>415.65</v>
      </c>
      <c r="EF30" s="979">
        <f t="shared" si="125"/>
        <v>417.72</v>
      </c>
      <c r="EG30" s="979">
        <f t="shared" si="125"/>
        <v>428.09</v>
      </c>
      <c r="EH30" s="979">
        <f t="shared" si="125"/>
        <v>428.62</v>
      </c>
      <c r="EI30" s="979">
        <f t="shared" si="125"/>
        <v>430.2</v>
      </c>
      <c r="EJ30" s="971">
        <f t="shared" si="125"/>
        <v>434.33</v>
      </c>
      <c r="EK30" s="979">
        <f t="shared" si="125"/>
        <v>443.73</v>
      </c>
      <c r="EL30" s="979">
        <f t="shared" ref="EL30:EQ30" si="126">+ROUND((($E$10+$E$11+$E$12)*$D$30*EL24+($E$13*$D$30+$E$14)*EL25+$E$15*$C$30*EL26),2)</f>
        <v>456.89</v>
      </c>
      <c r="EM30" s="979">
        <f t="shared" si="126"/>
        <v>467.68</v>
      </c>
      <c r="EN30" s="979">
        <f t="shared" si="126"/>
        <v>509.95</v>
      </c>
      <c r="EO30" s="979">
        <f t="shared" si="126"/>
        <v>512.37</v>
      </c>
      <c r="EP30" s="979">
        <f t="shared" si="126"/>
        <v>514.67999999999995</v>
      </c>
      <c r="EQ30" s="979">
        <f t="shared" si="126"/>
        <v>542.47</v>
      </c>
      <c r="ER30" s="979">
        <f t="shared" ref="ER30:EW30" si="127">+ROUND((($E$10+$E$11+$E$12)*$D$30*ER24+($E$13*$D$30+$E$14)*ER25+$E$15*$C$30*ER26),2)</f>
        <v>548.71</v>
      </c>
      <c r="ES30" s="979">
        <f t="shared" si="127"/>
        <v>553.94000000000005</v>
      </c>
      <c r="ET30" s="979">
        <f t="shared" si="127"/>
        <v>556.41</v>
      </c>
      <c r="EU30" s="979">
        <f t="shared" si="127"/>
        <v>558.39</v>
      </c>
      <c r="EV30" s="971">
        <f t="shared" si="127"/>
        <v>558.70000000000005</v>
      </c>
      <c r="EW30" s="1007">
        <f t="shared" si="127"/>
        <v>551.30999999999995</v>
      </c>
      <c r="EX30" s="979">
        <f t="shared" ref="EX30:FE30" si="128">+ROUND((($E$10+$E$11+$E$12)*$D$30*EX24+($E$13*$D$30+$E$14)*EX25+$E$15*$C$30*EX26),2)</f>
        <v>554.12</v>
      </c>
      <c r="EY30" s="974">
        <f t="shared" si="128"/>
        <v>560.27</v>
      </c>
      <c r="EZ30" s="974">
        <f t="shared" si="128"/>
        <v>602.36</v>
      </c>
      <c r="FA30" s="974">
        <f t="shared" si="128"/>
        <v>608.6</v>
      </c>
      <c r="FB30" s="974">
        <f t="shared" si="128"/>
        <v>616.11</v>
      </c>
      <c r="FC30" s="974">
        <f t="shared" si="128"/>
        <v>621.51</v>
      </c>
      <c r="FD30" s="974">
        <f t="shared" si="128"/>
        <v>648.48</v>
      </c>
      <c r="FE30" s="974">
        <f t="shared" si="128"/>
        <v>649.65</v>
      </c>
      <c r="FF30" s="979">
        <f t="shared" ref="FF30:FK30" si="129">+ROUND((($E$10+$E$11+$E$12)*$D$30*FF24+($E$13*$D$30+$E$14)*FF25+$E$15*$C$30*FF26),2)</f>
        <v>652.1</v>
      </c>
      <c r="FG30" s="971" t="e">
        <f t="shared" si="129"/>
        <v>#REF!</v>
      </c>
      <c r="FH30" s="971" t="e">
        <f t="shared" si="129"/>
        <v>#REF!</v>
      </c>
      <c r="FI30" s="1938">
        <f t="shared" si="129"/>
        <v>53.51</v>
      </c>
      <c r="FJ30" s="2510">
        <f t="shared" si="129"/>
        <v>57.49</v>
      </c>
      <c r="FK30" s="971">
        <f t="shared" si="129"/>
        <v>56.83</v>
      </c>
      <c r="FL30" s="971">
        <f t="shared" ref="FL30:HB30" si="130">+ROUND((($E$10+$E$11+$E$12)*$D$30*FL24+($E$13*$D$30+$E$14)*FL25+$E$15*$C$30*FL26),2)</f>
        <v>58.95</v>
      </c>
      <c r="FM30" s="971">
        <f t="shared" si="130"/>
        <v>60.03</v>
      </c>
      <c r="FN30" s="971">
        <f t="shared" si="130"/>
        <v>62.48</v>
      </c>
      <c r="FO30" s="971">
        <f t="shared" si="130"/>
        <v>62.48</v>
      </c>
      <c r="FP30" s="971">
        <f t="shared" si="130"/>
        <v>62.48</v>
      </c>
      <c r="FQ30" s="971">
        <f t="shared" si="130"/>
        <v>62.7</v>
      </c>
      <c r="FR30" s="971">
        <f t="shared" si="130"/>
        <v>64.14</v>
      </c>
      <c r="FS30" s="971">
        <f t="shared" si="130"/>
        <v>64.78</v>
      </c>
      <c r="FT30" s="971">
        <f t="shared" si="130"/>
        <v>65.45</v>
      </c>
      <c r="FU30" s="971">
        <f t="shared" si="130"/>
        <v>66.45</v>
      </c>
      <c r="FV30" s="971">
        <f t="shared" si="130"/>
        <v>66.37</v>
      </c>
      <c r="FW30" s="971">
        <f t="shared" si="130"/>
        <v>66.459999999999994</v>
      </c>
      <c r="FX30" s="971">
        <f t="shared" si="130"/>
        <v>67.63</v>
      </c>
      <c r="FY30" s="971">
        <f t="shared" si="130"/>
        <v>68.22</v>
      </c>
      <c r="FZ30" s="971">
        <f t="shared" si="130"/>
        <v>68.81</v>
      </c>
      <c r="GA30" s="971">
        <f t="shared" si="130"/>
        <v>76.05</v>
      </c>
      <c r="GB30" s="971">
        <f t="shared" si="130"/>
        <v>76.72</v>
      </c>
      <c r="GC30" s="971">
        <f t="shared" si="130"/>
        <v>75.959999999999994</v>
      </c>
      <c r="GD30" s="971">
        <f t="shared" si="130"/>
        <v>77.23</v>
      </c>
      <c r="GE30" s="971">
        <f t="shared" si="130"/>
        <v>79.47</v>
      </c>
      <c r="GF30" s="971">
        <f t="shared" si="130"/>
        <v>82.24</v>
      </c>
      <c r="GG30" s="971">
        <f t="shared" si="130"/>
        <v>84.48</v>
      </c>
      <c r="GH30" s="971">
        <f t="shared" si="130"/>
        <v>89.12</v>
      </c>
      <c r="GI30" s="971">
        <f t="shared" si="130"/>
        <v>90.77</v>
      </c>
      <c r="GJ30" s="971">
        <f t="shared" si="130"/>
        <v>92.69</v>
      </c>
      <c r="GK30" s="971">
        <f t="shared" si="130"/>
        <v>103.88</v>
      </c>
      <c r="GL30" s="971">
        <f t="shared" si="130"/>
        <v>111.63</v>
      </c>
      <c r="GM30" s="971">
        <f t="shared" si="130"/>
        <v>113.86</v>
      </c>
      <c r="GN30" s="971">
        <f t="shared" si="130"/>
        <v>120</v>
      </c>
      <c r="GO30" s="971">
        <f t="shared" si="130"/>
        <v>149.86000000000001</v>
      </c>
      <c r="GP30" s="971">
        <f t="shared" si="130"/>
        <v>148.94999999999999</v>
      </c>
      <c r="GQ30" s="971">
        <f t="shared" si="130"/>
        <v>145.38</v>
      </c>
      <c r="GR30" s="971">
        <f t="shared" si="130"/>
        <v>153.69999999999999</v>
      </c>
      <c r="GS30" s="971">
        <f t="shared" si="130"/>
        <v>148.96</v>
      </c>
      <c r="GT30" s="971">
        <f t="shared" si="130"/>
        <v>159.41</v>
      </c>
      <c r="GU30" s="971">
        <f t="shared" si="130"/>
        <v>163.22999999999999</v>
      </c>
      <c r="GV30" s="971">
        <f t="shared" si="130"/>
        <v>173.76</v>
      </c>
      <c r="GW30" s="971">
        <f t="shared" si="130"/>
        <v>185.52</v>
      </c>
      <c r="GX30" s="971">
        <f t="shared" si="130"/>
        <v>180.6</v>
      </c>
      <c r="GY30" s="971">
        <f t="shared" si="130"/>
        <v>182.05</v>
      </c>
      <c r="GZ30" s="971">
        <f t="shared" si="130"/>
        <v>214.4</v>
      </c>
      <c r="HA30" s="971">
        <f t="shared" si="130"/>
        <v>223.13</v>
      </c>
      <c r="HB30" s="971">
        <f t="shared" si="130"/>
        <v>230.94</v>
      </c>
      <c r="HC30" s="971">
        <f t="shared" ref="HC30:HH30" si="131">+ROUND((($E$10+$E$11+$E$12)*$D$30*HC24+($E$13*$D$30+$E$14)*HC25+$E$15*$C$30*HC26),2)</f>
        <v>232.96</v>
      </c>
      <c r="HD30" s="971">
        <f t="shared" si="131"/>
        <v>236.93</v>
      </c>
      <c r="HE30" s="971">
        <f t="shared" si="131"/>
        <v>245.82</v>
      </c>
      <c r="HF30" s="1938">
        <f t="shared" si="131"/>
        <v>249.05</v>
      </c>
      <c r="HG30" s="965">
        <f t="shared" si="131"/>
        <v>253.33</v>
      </c>
      <c r="HH30" s="965">
        <f t="shared" si="131"/>
        <v>260.75</v>
      </c>
      <c r="HI30" s="965">
        <f t="shared" ref="HI30:HJ30" si="132">+ROUND((($E$10+$E$11+$E$12)*$D$30*HI24+($E$13*$D$30+$E$14)*HI25+$E$15*$C$30*HI26),2)</f>
        <v>265.12</v>
      </c>
      <c r="HJ30" s="965">
        <f t="shared" si="132"/>
        <v>272.45999999999998</v>
      </c>
      <c r="HK30" s="965">
        <f t="shared" ref="HK30:HL30" si="133">+ROUND((($E$10+$E$11+$E$12)*$D$30*HK24+($E$13*$D$30+$E$14)*HK25+$E$15*$C$30*HK26),2)</f>
        <v>279.27</v>
      </c>
      <c r="HL30" s="965">
        <f t="shared" si="133"/>
        <v>285.45</v>
      </c>
      <c r="HM30" s="965">
        <f t="shared" ref="HM30:HN30" si="134">+ROUND((($E$10+$E$11+$E$12)*$D$30*HM24+($E$13*$D$30+$E$14)*HM25+$E$15*$C$30*HM26),2)</f>
        <v>293.29000000000002</v>
      </c>
      <c r="HN30" s="965">
        <f t="shared" si="134"/>
        <v>304.52999999999997</v>
      </c>
      <c r="HO30" s="965">
        <f t="shared" ref="HO30:HP30" si="135">+ROUND((($E$10+$E$11+$E$12)*$D$30*HO24+($E$13*$D$30+$E$14)*HO25+$E$15*$C$30*HO26),2)</f>
        <v>319.42</v>
      </c>
      <c r="HP30" s="965">
        <f t="shared" si="135"/>
        <v>331.24</v>
      </c>
      <c r="HQ30" s="965">
        <f t="shared" ref="HQ30:HR30" si="136">+ROUND((($E$10+$E$11+$E$12)*$D$30*HQ24+($E$13*$D$30+$E$14)*HQ25+$E$15*$C$30*HQ26),2)</f>
        <v>340.78</v>
      </c>
      <c r="HR30" s="1882">
        <f t="shared" si="136"/>
        <v>357.04</v>
      </c>
      <c r="HS30" s="1882">
        <f t="shared" ref="HS30:HT30" si="137">+ROUND((($E$10+$E$11+$E$12)*$D$30*HS24+($E$13*$D$30+$E$14)*HS25+$E$15*$C$30*HS26),2)</f>
        <v>375.2</v>
      </c>
      <c r="HT30" s="1882">
        <f t="shared" si="137"/>
        <v>388.73</v>
      </c>
      <c r="HU30" s="1882">
        <f t="shared" ref="HU30:HV30" si="138">+ROUND((($E$10+$E$11+$E$12)*$D$30*HU24+($E$13*$D$30+$E$14)*HU25+$E$15*$C$30*HU26),2)</f>
        <v>401.75</v>
      </c>
      <c r="HV30" s="1882">
        <f t="shared" si="138"/>
        <v>403.7</v>
      </c>
      <c r="HW30" s="1882">
        <f t="shared" ref="HW30:HX30" si="139">+ROUND((($E$10+$E$11+$E$12)*$D$30*HW24+($E$13*$D$30+$E$14)*HW25+$E$15*$C$30*HW26),2)</f>
        <v>409.68</v>
      </c>
      <c r="HX30" s="1882">
        <f t="shared" si="139"/>
        <v>414.67</v>
      </c>
      <c r="HY30" s="1882">
        <f t="shared" ref="HY30:HZ30" si="140">+ROUND((($E$10+$E$11+$E$12)*$D$30*HY24+($E$13*$D$30+$E$14)*HY25+$E$15*$C$30*HY26),2)</f>
        <v>416.49</v>
      </c>
      <c r="HZ30" s="1880">
        <f t="shared" si="140"/>
        <v>422.03</v>
      </c>
      <c r="IA30" s="1880">
        <f t="shared" ref="IA30:IB30" si="141">+ROUND((($E$10+$E$11+$E$12)*$D$30*IA24+($E$13*$D$30+$E$14)*IA25+$E$15*$C$30*IA26),2)</f>
        <v>423.91</v>
      </c>
      <c r="IB30" s="1880">
        <f t="shared" si="141"/>
        <v>428.64</v>
      </c>
      <c r="IC30" s="975">
        <f t="shared" ref="IC30:ID30" si="142">+ROUND((($E$10+$E$11+$E$12)*$D$30*IC24+($E$13*$D$30+$E$14)*IC25+$E$15*$C$30*IC26),2)</f>
        <v>436.96</v>
      </c>
      <c r="ID30" s="963">
        <f t="shared" si="142"/>
        <v>455.34</v>
      </c>
      <c r="IE30" s="963">
        <f t="shared" ref="IE30:IF30" si="143">+ROUND((($E$10+$E$11+$E$12)*$D$30*IE24+($E$13*$D$30+$E$14)*IE25+$E$15*$C$30*IE26),2)</f>
        <v>481.03</v>
      </c>
      <c r="IF30" s="963">
        <f t="shared" si="143"/>
        <v>495.95</v>
      </c>
      <c r="IG30" s="963">
        <f t="shared" ref="IG30:IH30" si="144">+ROUND((($E$10+$E$11+$E$12)*$D$30*IG24+($E$13*$D$30+$E$14)*IG25+$E$15*$C$30*IG26),2)</f>
        <v>531.59</v>
      </c>
      <c r="IH30" s="963">
        <f t="shared" si="144"/>
        <v>569.92999999999995</v>
      </c>
      <c r="II30" s="963">
        <f t="shared" ref="II30:IJ30" si="145">+ROUND((($E$10+$E$11+$E$12)*$D$30*II24+($E$13*$D$30+$E$14)*II25+$E$15*$C$30*II26),2)</f>
        <v>594.63</v>
      </c>
      <c r="IJ30" s="963">
        <f t="shared" si="145"/>
        <v>616.23</v>
      </c>
      <c r="IK30" s="963">
        <f t="shared" ref="IK30:IL30" si="146">+ROUND((($E$10+$E$11+$E$12)*$D$30*IK24+($E$13*$D$30+$E$14)*IK25+$E$15*$C$30*IK26),2)</f>
        <v>651.01</v>
      </c>
      <c r="IL30" s="963">
        <f t="shared" si="146"/>
        <v>695.73</v>
      </c>
      <c r="IM30" s="963">
        <f t="shared" ref="IM30:IN30" si="147">+ROUND((($E$10+$E$11+$E$12)*$D$30*IM24+($E$13*$D$30+$E$14)*IM25+$E$15*$C$30*IM26),2)</f>
        <v>773.17</v>
      </c>
      <c r="IN30" s="1880">
        <f t="shared" si="147"/>
        <v>821.89</v>
      </c>
      <c r="IO30" s="963">
        <f t="shared" ref="IO30:IP30" si="148">+ROUND((($E$10+$E$11+$E$12)*$D$30*IO24+($E$13*$D$30+$E$14)*IO25+$E$15*$C$30*IO26),2)</f>
        <v>854.14</v>
      </c>
      <c r="IP30" s="963">
        <f t="shared" si="148"/>
        <v>921.82</v>
      </c>
      <c r="IQ30" s="1037"/>
    </row>
    <row r="31" spans="2:266">
      <c r="B31" s="372" t="s">
        <v>682</v>
      </c>
      <c r="C31" s="283">
        <v>240</v>
      </c>
      <c r="D31" s="280">
        <v>300000</v>
      </c>
      <c r="E31" s="1762">
        <f t="shared" si="120"/>
        <v>79.974599999999995</v>
      </c>
      <c r="F31" s="308">
        <f t="shared" ref="F31:AK31" si="149">+ROUND((($E$10+$E$11+$E$12)*$D$31*F24+($E$13*$D$31+$E$14)*F25+$E$15*$C$31*F26),2)</f>
        <v>219.66</v>
      </c>
      <c r="G31" s="142">
        <f t="shared" si="149"/>
        <v>219.24</v>
      </c>
      <c r="H31" s="142">
        <f t="shared" si="149"/>
        <v>217.4</v>
      </c>
      <c r="I31" s="142">
        <f t="shared" si="149"/>
        <v>216.37</v>
      </c>
      <c r="J31" s="142">
        <f t="shared" si="149"/>
        <v>214.91</v>
      </c>
      <c r="K31" s="142">
        <f t="shared" si="149"/>
        <v>208.33</v>
      </c>
      <c r="L31" s="142">
        <f t="shared" si="149"/>
        <v>202.88</v>
      </c>
      <c r="M31" s="142">
        <f t="shared" si="149"/>
        <v>199.86</v>
      </c>
      <c r="N31" s="142">
        <f t="shared" si="149"/>
        <v>198.01</v>
      </c>
      <c r="O31" s="142">
        <f t="shared" si="149"/>
        <v>195.5</v>
      </c>
      <c r="P31" s="142">
        <f t="shared" si="149"/>
        <v>199.02</v>
      </c>
      <c r="Q31" s="285">
        <f t="shared" si="149"/>
        <v>199.7</v>
      </c>
      <c r="R31" s="285">
        <f t="shared" si="149"/>
        <v>198.64</v>
      </c>
      <c r="S31" s="285">
        <f t="shared" si="149"/>
        <v>199.81</v>
      </c>
      <c r="T31" s="285">
        <f t="shared" si="149"/>
        <v>202.87</v>
      </c>
      <c r="U31" s="525">
        <f t="shared" si="149"/>
        <v>203.59</v>
      </c>
      <c r="V31" s="525">
        <f t="shared" si="149"/>
        <v>204.73</v>
      </c>
      <c r="W31" s="525">
        <f t="shared" si="149"/>
        <v>204.38</v>
      </c>
      <c r="X31" s="525">
        <f t="shared" si="149"/>
        <v>202.26</v>
      </c>
      <c r="Y31" s="525">
        <f t="shared" si="149"/>
        <v>205.06</v>
      </c>
      <c r="Z31" s="525">
        <f t="shared" si="149"/>
        <v>206.52</v>
      </c>
      <c r="AA31" s="525">
        <f t="shared" si="149"/>
        <v>206.19</v>
      </c>
      <c r="AB31" s="525">
        <f t="shared" si="149"/>
        <v>211.23</v>
      </c>
      <c r="AC31" s="525">
        <f t="shared" si="149"/>
        <v>210.12</v>
      </c>
      <c r="AD31" s="525">
        <f t="shared" si="149"/>
        <v>209.85</v>
      </c>
      <c r="AE31" s="525">
        <f t="shared" si="149"/>
        <v>209.92</v>
      </c>
      <c r="AF31" s="525">
        <f t="shared" si="149"/>
        <v>210.92</v>
      </c>
      <c r="AG31" s="525">
        <f t="shared" si="149"/>
        <v>212.11</v>
      </c>
      <c r="AH31" s="525">
        <f t="shared" si="149"/>
        <v>211.15</v>
      </c>
      <c r="AI31" s="525">
        <f t="shared" si="149"/>
        <v>220.39</v>
      </c>
      <c r="AJ31" s="525">
        <f t="shared" si="149"/>
        <v>221.76</v>
      </c>
      <c r="AK31" s="525">
        <f t="shared" si="149"/>
        <v>221.53</v>
      </c>
      <c r="AL31" s="525">
        <f t="shared" ref="AL31:BQ31" si="150">+ROUND((($E$10+$E$11+$E$12)*$D$31*AL24+($E$13*$D$31+$E$14)*AL25+$E$15*$C$31*AL26),2)</f>
        <v>220.1</v>
      </c>
      <c r="AM31" s="525">
        <f t="shared" si="150"/>
        <v>219.78</v>
      </c>
      <c r="AN31" s="525">
        <f t="shared" si="150"/>
        <v>220.21</v>
      </c>
      <c r="AO31" s="525">
        <f t="shared" si="150"/>
        <v>220.75</v>
      </c>
      <c r="AP31" s="525">
        <f t="shared" si="150"/>
        <v>221.97</v>
      </c>
      <c r="AQ31" s="525">
        <f t="shared" si="150"/>
        <v>227.87</v>
      </c>
      <c r="AR31" s="525">
        <f t="shared" si="150"/>
        <v>229.07</v>
      </c>
      <c r="AS31" s="525">
        <f t="shared" si="150"/>
        <v>231.96</v>
      </c>
      <c r="AT31" s="525">
        <f t="shared" si="150"/>
        <v>232.65</v>
      </c>
      <c r="AU31" s="525">
        <f t="shared" si="150"/>
        <v>235.4</v>
      </c>
      <c r="AV31" s="525">
        <f t="shared" si="150"/>
        <v>232.62</v>
      </c>
      <c r="AW31" s="525">
        <f t="shared" si="150"/>
        <v>235.93</v>
      </c>
      <c r="AX31" s="525">
        <f t="shared" si="150"/>
        <v>236.11</v>
      </c>
      <c r="AY31" s="525">
        <f t="shared" si="150"/>
        <v>238.18</v>
      </c>
      <c r="AZ31" s="525">
        <f t="shared" si="150"/>
        <v>239.89</v>
      </c>
      <c r="BA31" s="525">
        <f t="shared" si="150"/>
        <v>231.54</v>
      </c>
      <c r="BB31" s="525">
        <f t="shared" si="150"/>
        <v>243.37</v>
      </c>
      <c r="BC31" s="525">
        <f t="shared" si="150"/>
        <v>241.35</v>
      </c>
      <c r="BD31" s="525">
        <f t="shared" si="150"/>
        <v>241.49</v>
      </c>
      <c r="BE31" s="525">
        <f t="shared" si="150"/>
        <v>245.28</v>
      </c>
      <c r="BF31" s="525">
        <f t="shared" si="150"/>
        <v>246.57</v>
      </c>
      <c r="BG31" s="525">
        <f t="shared" si="150"/>
        <v>245.79</v>
      </c>
      <c r="BH31" s="525">
        <f t="shared" si="150"/>
        <v>246.06</v>
      </c>
      <c r="BI31" s="525">
        <f t="shared" si="150"/>
        <v>252.94</v>
      </c>
      <c r="BJ31" s="525">
        <f t="shared" si="150"/>
        <v>253.69</v>
      </c>
      <c r="BK31" s="525">
        <f t="shared" si="150"/>
        <v>258.87</v>
      </c>
      <c r="BL31" s="525">
        <f t="shared" si="150"/>
        <v>259.42</v>
      </c>
      <c r="BM31" s="525">
        <f t="shared" si="150"/>
        <v>259.86</v>
      </c>
      <c r="BN31" s="525">
        <f t="shared" si="150"/>
        <v>261.04000000000002</v>
      </c>
      <c r="BO31" s="525">
        <f t="shared" si="150"/>
        <v>261.41000000000003</v>
      </c>
      <c r="BP31" s="526">
        <f t="shared" si="150"/>
        <v>270.43</v>
      </c>
      <c r="BQ31" s="524">
        <f t="shared" si="150"/>
        <v>261.81</v>
      </c>
      <c r="BR31" s="525">
        <f t="shared" ref="BR31:CW31" si="151">+ROUND((($E$10+$E$11+$E$12)*$D$31*BR24+($E$13*$D$31+$E$14)*BR25+$E$15*$C$31*BR26),2)</f>
        <v>257.45</v>
      </c>
      <c r="BS31" s="525">
        <f t="shared" si="151"/>
        <v>258.93</v>
      </c>
      <c r="BT31" s="525">
        <f t="shared" si="151"/>
        <v>267.57</v>
      </c>
      <c r="BU31" s="525">
        <f t="shared" si="151"/>
        <v>272.39</v>
      </c>
      <c r="BV31" s="525">
        <f t="shared" si="151"/>
        <v>272.3</v>
      </c>
      <c r="BW31" s="525">
        <f t="shared" si="151"/>
        <v>277.36</v>
      </c>
      <c r="BX31" s="525">
        <f t="shared" si="151"/>
        <v>276.10000000000002</v>
      </c>
      <c r="BY31" s="525">
        <f t="shared" si="151"/>
        <v>278.27</v>
      </c>
      <c r="BZ31" s="525">
        <f t="shared" si="151"/>
        <v>282.19</v>
      </c>
      <c r="CA31" s="525">
        <f t="shared" si="151"/>
        <v>283.73</v>
      </c>
      <c r="CB31" s="526">
        <f t="shared" si="151"/>
        <v>286.29000000000002</v>
      </c>
      <c r="CC31" s="524">
        <f t="shared" si="151"/>
        <v>288.41000000000003</v>
      </c>
      <c r="CD31" s="525">
        <f t="shared" si="151"/>
        <v>292.20999999999998</v>
      </c>
      <c r="CE31" s="525">
        <f t="shared" si="151"/>
        <v>297.05</v>
      </c>
      <c r="CF31" s="525">
        <f t="shared" si="151"/>
        <v>303.69</v>
      </c>
      <c r="CG31" s="525">
        <f t="shared" si="151"/>
        <v>310.60000000000002</v>
      </c>
      <c r="CH31" s="525">
        <f t="shared" si="151"/>
        <v>318.2</v>
      </c>
      <c r="CI31" s="525">
        <f t="shared" si="151"/>
        <v>324.22000000000003</v>
      </c>
      <c r="CJ31" s="528">
        <f t="shared" si="151"/>
        <v>326.31</v>
      </c>
      <c r="CK31" s="528">
        <f t="shared" si="151"/>
        <v>327.33</v>
      </c>
      <c r="CL31" s="525">
        <f t="shared" si="151"/>
        <v>335.97</v>
      </c>
      <c r="CM31" s="528">
        <f t="shared" si="151"/>
        <v>336.33</v>
      </c>
      <c r="CN31" s="528">
        <f t="shared" si="151"/>
        <v>336.9</v>
      </c>
      <c r="CO31" s="524">
        <f t="shared" si="151"/>
        <v>337.49</v>
      </c>
      <c r="CP31" s="525">
        <f t="shared" si="151"/>
        <v>339</v>
      </c>
      <c r="CQ31" s="525">
        <f t="shared" si="151"/>
        <v>344.44</v>
      </c>
      <c r="CR31" s="525">
        <f t="shared" si="151"/>
        <v>349.05</v>
      </c>
      <c r="CS31" s="525">
        <f t="shared" si="151"/>
        <v>361.04</v>
      </c>
      <c r="CT31" s="525">
        <f t="shared" si="151"/>
        <v>365.69</v>
      </c>
      <c r="CU31" s="525">
        <f t="shared" si="151"/>
        <v>369.41</v>
      </c>
      <c r="CV31" s="525">
        <f t="shared" si="151"/>
        <v>377.56</v>
      </c>
      <c r="CW31" s="1123">
        <f t="shared" si="151"/>
        <v>380.63</v>
      </c>
      <c r="CX31" s="525">
        <f t="shared" ref="CX31:EC31" si="152">+ROUND((($E$10+$E$11+$E$12)*$D$31*CX24+($E$13*$D$31+$E$14)*CX25+$E$15*$C$31*CX26),2)</f>
        <v>382.89</v>
      </c>
      <c r="CY31" s="528">
        <f t="shared" si="152"/>
        <v>384.06</v>
      </c>
      <c r="CZ31" s="528">
        <f t="shared" si="152"/>
        <v>394.74</v>
      </c>
      <c r="DA31" s="527">
        <f t="shared" si="152"/>
        <v>401.59</v>
      </c>
      <c r="DB31" s="528">
        <f t="shared" si="152"/>
        <v>402.89</v>
      </c>
      <c r="DC31" s="528">
        <f t="shared" si="152"/>
        <v>403.92</v>
      </c>
      <c r="DD31" s="528">
        <f t="shared" si="152"/>
        <v>425.4</v>
      </c>
      <c r="DE31" s="528">
        <f t="shared" si="152"/>
        <v>428.41</v>
      </c>
      <c r="DF31" s="528">
        <f t="shared" si="152"/>
        <v>431.08</v>
      </c>
      <c r="DG31" s="528">
        <f t="shared" si="152"/>
        <v>435.87</v>
      </c>
      <c r="DH31" s="528">
        <f t="shared" si="152"/>
        <v>445.59</v>
      </c>
      <c r="DI31" s="528">
        <f t="shared" si="152"/>
        <v>448.08</v>
      </c>
      <c r="DJ31" s="528">
        <f t="shared" si="152"/>
        <v>450.02</v>
      </c>
      <c r="DK31" s="528">
        <f t="shared" si="152"/>
        <v>457.19</v>
      </c>
      <c r="DL31" s="526">
        <f t="shared" si="152"/>
        <v>460.48</v>
      </c>
      <c r="DM31" s="528">
        <f t="shared" si="152"/>
        <v>468.35</v>
      </c>
      <c r="DN31" s="528">
        <f t="shared" si="152"/>
        <v>469.65</v>
      </c>
      <c r="DO31" s="528">
        <f t="shared" si="152"/>
        <v>475.02</v>
      </c>
      <c r="DP31" s="528">
        <f t="shared" si="152"/>
        <v>477.52</v>
      </c>
      <c r="DQ31" s="528">
        <f t="shared" si="152"/>
        <v>482.59</v>
      </c>
      <c r="DR31" s="528">
        <f t="shared" si="152"/>
        <v>520.29999999999995</v>
      </c>
      <c r="DS31" s="979">
        <f t="shared" si="152"/>
        <v>528.29999999999995</v>
      </c>
      <c r="DT31" s="979">
        <f t="shared" si="152"/>
        <v>530.69000000000005</v>
      </c>
      <c r="DU31" s="979">
        <f t="shared" si="152"/>
        <v>532.30999999999995</v>
      </c>
      <c r="DV31" s="974">
        <f t="shared" si="152"/>
        <v>533.21</v>
      </c>
      <c r="DW31" s="1145">
        <f t="shared" si="152"/>
        <v>536.66</v>
      </c>
      <c r="DX31" s="974">
        <f t="shared" si="152"/>
        <v>537.77</v>
      </c>
      <c r="DY31" s="1145">
        <f t="shared" si="152"/>
        <v>541.45000000000005</v>
      </c>
      <c r="DZ31" s="979">
        <f t="shared" si="152"/>
        <v>544.79</v>
      </c>
      <c r="EA31" s="979">
        <f t="shared" si="152"/>
        <v>550.78</v>
      </c>
      <c r="EB31" s="979">
        <f t="shared" si="152"/>
        <v>557.58000000000004</v>
      </c>
      <c r="EC31" s="979">
        <f t="shared" si="152"/>
        <v>562.91999999999996</v>
      </c>
      <c r="ED31" s="979">
        <f t="shared" ref="ED31:EK31" si="153">+ROUND((($E$10+$E$11+$E$12)*$D$31*ED24+($E$13*$D$31+$E$14)*ED25+$E$15*$C$31*ED26),2)</f>
        <v>597.14</v>
      </c>
      <c r="EE31" s="979">
        <f t="shared" si="153"/>
        <v>600.35</v>
      </c>
      <c r="EF31" s="979">
        <f t="shared" si="153"/>
        <v>603.52</v>
      </c>
      <c r="EG31" s="979">
        <f t="shared" si="153"/>
        <v>617.17999999999995</v>
      </c>
      <c r="EH31" s="979">
        <f t="shared" si="153"/>
        <v>617.96</v>
      </c>
      <c r="EI31" s="979">
        <f t="shared" si="153"/>
        <v>620.24</v>
      </c>
      <c r="EJ31" s="971">
        <f t="shared" si="153"/>
        <v>626.52</v>
      </c>
      <c r="EK31" s="979">
        <f t="shared" si="153"/>
        <v>641.09</v>
      </c>
      <c r="EL31" s="979">
        <f t="shared" ref="EL31:EQ31" si="154">+ROUND((($E$10+$E$11+$E$12)*$D$31*EL24+($E$13*$D$31+$E$14)*EL25+$E$15*$C$31*EL26),2)</f>
        <v>661.07</v>
      </c>
      <c r="EM31" s="979">
        <f t="shared" si="154"/>
        <v>677.88</v>
      </c>
      <c r="EN31" s="979">
        <f t="shared" si="154"/>
        <v>735.84</v>
      </c>
      <c r="EO31" s="979">
        <f t="shared" si="154"/>
        <v>739.61</v>
      </c>
      <c r="EP31" s="979">
        <f t="shared" si="154"/>
        <v>743.16</v>
      </c>
      <c r="EQ31" s="979">
        <f t="shared" si="154"/>
        <v>781.3</v>
      </c>
      <c r="ER31" s="979">
        <f t="shared" ref="ER31:EW31" si="155">+ROUND((($E$10+$E$11+$E$12)*$D$31*ER24+($E$13*$D$31+$E$14)*ER25+$E$15*$C$31*ER26),2)</f>
        <v>790.74</v>
      </c>
      <c r="ES31" s="979">
        <f t="shared" si="155"/>
        <v>798.86</v>
      </c>
      <c r="ET31" s="979">
        <f t="shared" si="155"/>
        <v>802.63</v>
      </c>
      <c r="EU31" s="979">
        <f t="shared" si="155"/>
        <v>805.6</v>
      </c>
      <c r="EV31" s="971">
        <f t="shared" si="155"/>
        <v>806.06</v>
      </c>
      <c r="EW31" s="1007">
        <f t="shared" si="155"/>
        <v>794.31</v>
      </c>
      <c r="EX31" s="979">
        <f t="shared" ref="EX31:FE31" si="156">+ROUND((($E$10+$E$11+$E$12)*$D$31*EX24+($E$13*$D$31+$E$14)*EX25+$E$15*$C$31*EX26),2)</f>
        <v>798.71</v>
      </c>
      <c r="EY31" s="974">
        <f t="shared" si="156"/>
        <v>808.11</v>
      </c>
      <c r="EZ31" s="974">
        <f t="shared" si="156"/>
        <v>863.08</v>
      </c>
      <c r="FA31" s="974">
        <f t="shared" si="156"/>
        <v>872.67</v>
      </c>
      <c r="FB31" s="974">
        <f t="shared" si="156"/>
        <v>884.24</v>
      </c>
      <c r="FC31" s="974">
        <f t="shared" si="156"/>
        <v>892.51</v>
      </c>
      <c r="FD31" s="974">
        <f t="shared" si="156"/>
        <v>928.46</v>
      </c>
      <c r="FE31" s="974">
        <f t="shared" si="156"/>
        <v>930.24</v>
      </c>
      <c r="FF31" s="979">
        <f t="shared" ref="FF31:FK31" si="157">+ROUND((($E$10+$E$11+$E$12)*$D$31*FF24+($E$13*$D$31+$E$14)*FF25+$E$15*$C$31*FF26),2)</f>
        <v>933.93</v>
      </c>
      <c r="FG31" s="971" t="e">
        <f t="shared" si="157"/>
        <v>#REF!</v>
      </c>
      <c r="FH31" s="971" t="e">
        <f t="shared" si="157"/>
        <v>#REF!</v>
      </c>
      <c r="FI31" s="1938">
        <f t="shared" si="157"/>
        <v>79.97</v>
      </c>
      <c r="FJ31" s="2510">
        <f t="shared" si="157"/>
        <v>85.96</v>
      </c>
      <c r="FK31" s="971">
        <f t="shared" si="157"/>
        <v>85.03</v>
      </c>
      <c r="FL31" s="971">
        <f t="shared" ref="FL31:HB31" si="158">+ROUND((($E$10+$E$11+$E$12)*$D$31*FL24+($E$13*$D$31+$E$14)*FL25+$E$15*$C$31*FL26),2)</f>
        <v>87.96</v>
      </c>
      <c r="FM31" s="971">
        <f t="shared" si="158"/>
        <v>89.72</v>
      </c>
      <c r="FN31" s="971">
        <f t="shared" si="158"/>
        <v>93.4</v>
      </c>
      <c r="FO31" s="971">
        <f t="shared" si="158"/>
        <v>93.4</v>
      </c>
      <c r="FP31" s="971">
        <f t="shared" si="158"/>
        <v>93.4</v>
      </c>
      <c r="FQ31" s="971">
        <f t="shared" si="158"/>
        <v>93.72</v>
      </c>
      <c r="FR31" s="971">
        <f t="shared" si="158"/>
        <v>95.69</v>
      </c>
      <c r="FS31" s="971">
        <f t="shared" si="158"/>
        <v>96.66</v>
      </c>
      <c r="FT31" s="971">
        <f t="shared" si="158"/>
        <v>97.67</v>
      </c>
      <c r="FU31" s="971">
        <f t="shared" si="158"/>
        <v>99.13</v>
      </c>
      <c r="FV31" s="971">
        <f t="shared" si="158"/>
        <v>99.09</v>
      </c>
      <c r="FW31" s="971">
        <f t="shared" si="158"/>
        <v>99.23</v>
      </c>
      <c r="FX31" s="971">
        <f t="shared" si="158"/>
        <v>100.75</v>
      </c>
      <c r="FY31" s="971">
        <f t="shared" si="158"/>
        <v>101.6</v>
      </c>
      <c r="FZ31" s="971">
        <f t="shared" si="158"/>
        <v>102.47</v>
      </c>
      <c r="GA31" s="971">
        <f t="shared" si="158"/>
        <v>113.19</v>
      </c>
      <c r="GB31" s="971">
        <f t="shared" si="158"/>
        <v>114.2</v>
      </c>
      <c r="GC31" s="971">
        <f t="shared" si="158"/>
        <v>113.05</v>
      </c>
      <c r="GD31" s="971">
        <f t="shared" si="158"/>
        <v>115.01</v>
      </c>
      <c r="GE31" s="971">
        <f t="shared" si="158"/>
        <v>118.49</v>
      </c>
      <c r="GF31" s="971">
        <f t="shared" si="158"/>
        <v>122.77</v>
      </c>
      <c r="GG31" s="971">
        <f t="shared" si="158"/>
        <v>126.12</v>
      </c>
      <c r="GH31" s="971">
        <f t="shared" si="158"/>
        <v>133.28</v>
      </c>
      <c r="GI31" s="971">
        <f t="shared" si="158"/>
        <v>135.71</v>
      </c>
      <c r="GJ31" s="971">
        <f t="shared" si="158"/>
        <v>138.38</v>
      </c>
      <c r="GK31" s="971">
        <f t="shared" si="158"/>
        <v>155.16999999999999</v>
      </c>
      <c r="GL31" s="971">
        <f t="shared" si="158"/>
        <v>166.77</v>
      </c>
      <c r="GM31" s="971">
        <f t="shared" si="158"/>
        <v>170.35</v>
      </c>
      <c r="GN31" s="971">
        <f t="shared" si="158"/>
        <v>179.57</v>
      </c>
      <c r="GO31" s="971">
        <f t="shared" si="158"/>
        <v>224.58</v>
      </c>
      <c r="GP31" s="971">
        <f t="shared" si="158"/>
        <v>223.38</v>
      </c>
      <c r="GQ31" s="971">
        <f t="shared" si="158"/>
        <v>218.04</v>
      </c>
      <c r="GR31" s="971">
        <f t="shared" si="158"/>
        <v>230.62</v>
      </c>
      <c r="GS31" s="971">
        <f t="shared" si="158"/>
        <v>223.27</v>
      </c>
      <c r="GT31" s="971">
        <f t="shared" si="158"/>
        <v>239.24</v>
      </c>
      <c r="GU31" s="971">
        <f t="shared" si="158"/>
        <v>244.71</v>
      </c>
      <c r="GV31" s="971">
        <f t="shared" si="158"/>
        <v>260.3</v>
      </c>
      <c r="GW31" s="971">
        <f t="shared" si="158"/>
        <v>277.91000000000003</v>
      </c>
      <c r="GX31" s="971">
        <f t="shared" si="158"/>
        <v>270.58</v>
      </c>
      <c r="GY31" s="971">
        <f t="shared" si="158"/>
        <v>272.64999999999998</v>
      </c>
      <c r="GZ31" s="971">
        <f t="shared" si="158"/>
        <v>321.01</v>
      </c>
      <c r="HA31" s="971">
        <f t="shared" si="158"/>
        <v>334.28</v>
      </c>
      <c r="HB31" s="971">
        <f t="shared" si="158"/>
        <v>345.62</v>
      </c>
      <c r="HC31" s="971">
        <f t="shared" ref="HC31:HH31" si="159">+ROUND((($E$10+$E$11+$E$12)*$D$31*HC24+($E$13*$D$31+$E$14)*HC25+$E$15*$C$31*HC26),2)</f>
        <v>348.8</v>
      </c>
      <c r="HD31" s="971">
        <f t="shared" si="159"/>
        <v>355.08</v>
      </c>
      <c r="HE31" s="971">
        <f t="shared" si="159"/>
        <v>368.07</v>
      </c>
      <c r="HF31" s="1938">
        <f t="shared" si="159"/>
        <v>372.69</v>
      </c>
      <c r="HG31" s="965">
        <f t="shared" si="159"/>
        <v>379.1</v>
      </c>
      <c r="HH31" s="965">
        <f t="shared" si="159"/>
        <v>390.24</v>
      </c>
      <c r="HI31" s="965">
        <f t="shared" ref="HI31:HJ31" si="160">+ROUND((($E$10+$E$11+$E$12)*$D$31*HI24+($E$13*$D$31+$E$14)*HI25+$E$15*$C$31*HI26),2)</f>
        <v>396.8</v>
      </c>
      <c r="HJ31" s="965">
        <f t="shared" si="160"/>
        <v>407.81</v>
      </c>
      <c r="HK31" s="965">
        <f t="shared" ref="HK31:HL31" si="161">+ROUND((($E$10+$E$11+$E$12)*$D$31*HK24+($E$13*$D$31+$E$14)*HK25+$E$15*$C$31*HK26),2)</f>
        <v>418.02</v>
      </c>
      <c r="HL31" s="965">
        <f t="shared" si="161"/>
        <v>427.43</v>
      </c>
      <c r="HM31" s="965">
        <f t="shared" ref="HM31:HN31" si="162">+ROUND((($E$10+$E$11+$E$12)*$D$31*HM24+($E$13*$D$31+$E$14)*HM25+$E$15*$C$31*HM26),2)</f>
        <v>439.43</v>
      </c>
      <c r="HN31" s="965">
        <f t="shared" si="162"/>
        <v>456.48</v>
      </c>
      <c r="HO31" s="965">
        <f t="shared" ref="HO31:HP31" si="163">+ROUND((($E$10+$E$11+$E$12)*$D$31*HO24+($E$13*$D$31+$E$14)*HO25+$E$15*$C$31*HO26),2)</f>
        <v>477.4</v>
      </c>
      <c r="HP31" s="965">
        <f t="shared" si="163"/>
        <v>495.53</v>
      </c>
      <c r="HQ31" s="965">
        <f t="shared" ref="HQ31:HR31" si="164">+ROUND((($E$10+$E$11+$E$12)*$D$31*HQ24+($E$13*$D$31+$E$14)*HQ25+$E$15*$C$31*HQ26),2)</f>
        <v>510.05</v>
      </c>
      <c r="HR31" s="1882">
        <f t="shared" si="164"/>
        <v>534.6</v>
      </c>
      <c r="HS31" s="1882">
        <f t="shared" ref="HS31:HT31" si="165">+ROUND((($E$10+$E$11+$E$12)*$D$31*HS24+($E$13*$D$31+$E$14)*HS25+$E$15*$C$31*HS26),2)</f>
        <v>562.74</v>
      </c>
      <c r="HT31" s="1882">
        <f t="shared" si="165"/>
        <v>582.55999999999995</v>
      </c>
      <c r="HU31" s="1882">
        <f t="shared" ref="HU31:HV31" si="166">+ROUND((($E$10+$E$11+$E$12)*$D$31*HU24+($E$13*$D$31+$E$14)*HU25+$E$15*$C$31*HU26),2)</f>
        <v>602.83000000000004</v>
      </c>
      <c r="HV31" s="1882">
        <f t="shared" si="166"/>
        <v>605.76</v>
      </c>
      <c r="HW31" s="1882">
        <f t="shared" ref="HW31:HX31" si="167">+ROUND((($E$10+$E$11+$E$12)*$D$31*HW24+($E$13*$D$31+$E$14)*HW25+$E$15*$C$31*HW26),2)</f>
        <v>613.94000000000005</v>
      </c>
      <c r="HX31" s="1882">
        <f t="shared" si="167"/>
        <v>621.62</v>
      </c>
      <c r="HY31" s="1882">
        <f t="shared" ref="HY31:HZ31" si="168">+ROUND((($E$10+$E$11+$E$12)*$D$31*HY24+($E$13*$D$31+$E$14)*HY25+$E$15*$C$31*HY26),2)</f>
        <v>623.76</v>
      </c>
      <c r="HZ31" s="1880">
        <f t="shared" si="168"/>
        <v>631.53</v>
      </c>
      <c r="IA31" s="1880">
        <f t="shared" ref="IA31:IB31" si="169">+ROUND((($E$10+$E$11+$E$12)*$D$31*IA24+($E$13*$D$31+$E$14)*IA25+$E$15*$C$31*IA26),2)</f>
        <v>634.33000000000004</v>
      </c>
      <c r="IB31" s="1880">
        <f t="shared" si="169"/>
        <v>641.41</v>
      </c>
      <c r="IC31" s="975">
        <f t="shared" ref="IC31:ID31" si="170">+ROUND((($E$10+$E$11+$E$12)*$D$31*IC24+($E$13*$D$31+$E$14)*IC25+$E$15*$C$31*IC26),2)</f>
        <v>653.54</v>
      </c>
      <c r="ID31" s="963">
        <f t="shared" si="170"/>
        <v>681.38</v>
      </c>
      <c r="IE31" s="963">
        <f t="shared" ref="IE31:IF31" si="171">+ROUND((($E$10+$E$11+$E$12)*$D$31*IE24+($E$13*$D$31+$E$14)*IE25+$E$15*$C$31*IE26),2)</f>
        <v>720.4</v>
      </c>
      <c r="IF31" s="963">
        <f t="shared" si="171"/>
        <v>743.11</v>
      </c>
      <c r="IG31" s="963">
        <f t="shared" ref="IG31:IH31" si="172">+ROUND((($E$10+$E$11+$E$12)*$D$31*IG24+($E$13*$D$31+$E$14)*IG25+$E$15*$C$31*IG26),2)</f>
        <v>796.75</v>
      </c>
      <c r="IH31" s="963">
        <f t="shared" si="172"/>
        <v>854.77</v>
      </c>
      <c r="II31" s="963">
        <f t="shared" ref="II31:IJ31" si="173">+ROUND((($E$10+$E$11+$E$12)*$D$31*II24+($E$13*$D$31+$E$14)*II25+$E$15*$C$31*II26),2)</f>
        <v>892.31</v>
      </c>
      <c r="IJ31" s="963">
        <f t="shared" si="173"/>
        <v>924.2</v>
      </c>
      <c r="IK31" s="963">
        <f t="shared" ref="IK31:IL31" si="174">+ROUND((($E$10+$E$11+$E$12)*$D$31*IK24+($E$13*$D$31+$E$14)*IK25+$E$15*$C$31*IK26),2)</f>
        <v>974.81</v>
      </c>
      <c r="IL31" s="963">
        <f t="shared" si="174"/>
        <v>1041.4000000000001</v>
      </c>
      <c r="IM31" s="963">
        <f t="shared" ref="IM31:IN31" si="175">+ROUND((($E$10+$E$11+$E$12)*$D$31*IM24+($E$13*$D$31+$E$14)*IM25+$E$15*$C$31*IM26),2)</f>
        <v>1159.3800000000001</v>
      </c>
      <c r="IN31" s="1880">
        <f t="shared" si="175"/>
        <v>1234.56</v>
      </c>
      <c r="IO31" s="963">
        <f t="shared" ref="IO31:IP31" si="176">+ROUND((($E$10+$E$11+$E$12)*$D$31*IO24+($E$13*$D$31+$E$14)*IO25+$E$15*$C$31*IO26),2)</f>
        <v>1282.7</v>
      </c>
      <c r="IP31" s="963">
        <f t="shared" si="176"/>
        <v>1382.68</v>
      </c>
      <c r="IQ31" s="1037"/>
    </row>
    <row r="32" spans="2:266">
      <c r="B32" s="372" t="s">
        <v>683</v>
      </c>
      <c r="C32" s="283">
        <v>120</v>
      </c>
      <c r="D32" s="280">
        <v>120000</v>
      </c>
      <c r="E32" s="1762">
        <f t="shared" si="120"/>
        <v>36.364800000000002</v>
      </c>
      <c r="F32" s="308">
        <f t="shared" ref="F32:AK32" si="177">+ROUND((($E$10+$E$11+$E$12)*$D$32*F24+($E$13*$D$32+$E$14)*F25+$E$15*$C$32*F26),2)</f>
        <v>95.5</v>
      </c>
      <c r="G32" s="142">
        <f t="shared" si="177"/>
        <v>97.57</v>
      </c>
      <c r="H32" s="142">
        <f t="shared" si="177"/>
        <v>96.82</v>
      </c>
      <c r="I32" s="142">
        <f t="shared" si="177"/>
        <v>96.95</v>
      </c>
      <c r="J32" s="142">
        <f t="shared" si="177"/>
        <v>96.37</v>
      </c>
      <c r="K32" s="142">
        <f t="shared" si="177"/>
        <v>93.82</v>
      </c>
      <c r="L32" s="142">
        <f t="shared" si="177"/>
        <v>91.64</v>
      </c>
      <c r="M32" s="142">
        <f t="shared" si="177"/>
        <v>90.6</v>
      </c>
      <c r="N32" s="142">
        <f t="shared" si="177"/>
        <v>89.77</v>
      </c>
      <c r="O32" s="142">
        <f t="shared" si="177"/>
        <v>88.83</v>
      </c>
      <c r="P32" s="142">
        <f t="shared" si="177"/>
        <v>90.37</v>
      </c>
      <c r="Q32" s="285">
        <f t="shared" si="177"/>
        <v>90.77</v>
      </c>
      <c r="R32" s="285">
        <f t="shared" si="177"/>
        <v>90.47</v>
      </c>
      <c r="S32" s="285">
        <f t="shared" si="177"/>
        <v>91.08</v>
      </c>
      <c r="T32" s="285">
        <f t="shared" si="177"/>
        <v>92.43</v>
      </c>
      <c r="U32" s="525">
        <f t="shared" si="177"/>
        <v>93.02</v>
      </c>
      <c r="V32" s="525">
        <f t="shared" si="177"/>
        <v>93.61</v>
      </c>
      <c r="W32" s="525">
        <f t="shared" si="177"/>
        <v>93.48</v>
      </c>
      <c r="X32" s="525">
        <f t="shared" si="177"/>
        <v>92.64</v>
      </c>
      <c r="Y32" s="525">
        <f t="shared" si="177"/>
        <v>93.84</v>
      </c>
      <c r="Z32" s="525">
        <f t="shared" si="177"/>
        <v>94.48</v>
      </c>
      <c r="AA32" s="525">
        <f t="shared" si="177"/>
        <v>94.38</v>
      </c>
      <c r="AB32" s="525">
        <f t="shared" si="177"/>
        <v>96.72</v>
      </c>
      <c r="AC32" s="525">
        <f t="shared" si="177"/>
        <v>96.38</v>
      </c>
      <c r="AD32" s="525">
        <f t="shared" si="177"/>
        <v>96.27</v>
      </c>
      <c r="AE32" s="525">
        <f t="shared" si="177"/>
        <v>96.31</v>
      </c>
      <c r="AF32" s="525">
        <f t="shared" si="177"/>
        <v>96.7</v>
      </c>
      <c r="AG32" s="525">
        <f t="shared" si="177"/>
        <v>97.52</v>
      </c>
      <c r="AH32" s="525">
        <f t="shared" si="177"/>
        <v>97.14</v>
      </c>
      <c r="AI32" s="525">
        <f t="shared" si="177"/>
        <v>102.58</v>
      </c>
      <c r="AJ32" s="525">
        <f t="shared" si="177"/>
        <v>103.41</v>
      </c>
      <c r="AK32" s="525">
        <f t="shared" si="177"/>
        <v>103.31</v>
      </c>
      <c r="AL32" s="525">
        <f t="shared" ref="AL32:BQ32" si="178">+ROUND((($E$10+$E$11+$E$12)*$D$32*AL24+($E$13*$D$32+$E$14)*AL25+$E$15*$C$32*AL26),2)</f>
        <v>102.66</v>
      </c>
      <c r="AM32" s="525">
        <f t="shared" si="178"/>
        <v>102.53</v>
      </c>
      <c r="AN32" s="525">
        <f t="shared" si="178"/>
        <v>102.71</v>
      </c>
      <c r="AO32" s="525">
        <f t="shared" si="178"/>
        <v>102.93</v>
      </c>
      <c r="AP32" s="525">
        <f t="shared" si="178"/>
        <v>103.43</v>
      </c>
      <c r="AQ32" s="525">
        <f t="shared" si="178"/>
        <v>107.04</v>
      </c>
      <c r="AR32" s="525">
        <f t="shared" si="178"/>
        <v>107.52</v>
      </c>
      <c r="AS32" s="525">
        <f t="shared" si="178"/>
        <v>109.05</v>
      </c>
      <c r="AT32" s="525">
        <f t="shared" si="178"/>
        <v>109.33</v>
      </c>
      <c r="AU32" s="525">
        <f t="shared" si="178"/>
        <v>110.63</v>
      </c>
      <c r="AV32" s="525">
        <f t="shared" si="178"/>
        <v>109.69</v>
      </c>
      <c r="AW32" s="525">
        <f t="shared" si="178"/>
        <v>111.67</v>
      </c>
      <c r="AX32" s="525">
        <f t="shared" si="178"/>
        <v>111.74</v>
      </c>
      <c r="AY32" s="525">
        <f t="shared" si="178"/>
        <v>112.87</v>
      </c>
      <c r="AZ32" s="525">
        <f t="shared" si="178"/>
        <v>113.56</v>
      </c>
      <c r="BA32" s="525">
        <f t="shared" si="178"/>
        <v>108.27</v>
      </c>
      <c r="BB32" s="525">
        <f t="shared" si="178"/>
        <v>115.8</v>
      </c>
      <c r="BC32" s="525">
        <f t="shared" si="178"/>
        <v>114.99</v>
      </c>
      <c r="BD32" s="525">
        <f t="shared" si="178"/>
        <v>115.05</v>
      </c>
      <c r="BE32" s="525">
        <f t="shared" si="178"/>
        <v>117.28</v>
      </c>
      <c r="BF32" s="525">
        <f t="shared" si="178"/>
        <v>117.8</v>
      </c>
      <c r="BG32" s="525">
        <f t="shared" si="178"/>
        <v>117.49</v>
      </c>
      <c r="BH32" s="525">
        <f t="shared" si="178"/>
        <v>117.6</v>
      </c>
      <c r="BI32" s="525">
        <f t="shared" si="178"/>
        <v>121.48</v>
      </c>
      <c r="BJ32" s="525">
        <f t="shared" si="178"/>
        <v>121.83</v>
      </c>
      <c r="BK32" s="525">
        <f t="shared" si="178"/>
        <v>124.72</v>
      </c>
      <c r="BL32" s="525">
        <f t="shared" si="178"/>
        <v>124.88</v>
      </c>
      <c r="BM32" s="525">
        <f t="shared" si="178"/>
        <v>125.1</v>
      </c>
      <c r="BN32" s="525">
        <f t="shared" si="178"/>
        <v>125.6</v>
      </c>
      <c r="BO32" s="525">
        <f t="shared" si="178"/>
        <v>125.81</v>
      </c>
      <c r="BP32" s="526">
        <f t="shared" si="178"/>
        <v>130.94</v>
      </c>
      <c r="BQ32" s="524">
        <f t="shared" si="178"/>
        <v>125.98</v>
      </c>
      <c r="BR32" s="525">
        <f t="shared" ref="BR32:CW32" si="179">+ROUND((($E$10+$E$11+$E$12)*$D$32*BR24+($E$13*$D$32+$E$14)*BR25+$E$15*$C$32*BR26),2)</f>
        <v>123.67</v>
      </c>
      <c r="BS32" s="525">
        <f t="shared" si="179"/>
        <v>124.22</v>
      </c>
      <c r="BT32" s="525">
        <f t="shared" si="179"/>
        <v>129.01</v>
      </c>
      <c r="BU32" s="525">
        <f t="shared" si="179"/>
        <v>131.5</v>
      </c>
      <c r="BV32" s="525">
        <f t="shared" si="179"/>
        <v>131.41</v>
      </c>
      <c r="BW32" s="525">
        <f t="shared" si="179"/>
        <v>134.41</v>
      </c>
      <c r="BX32" s="525">
        <f t="shared" si="179"/>
        <v>133.58000000000001</v>
      </c>
      <c r="BY32" s="525">
        <f t="shared" si="179"/>
        <v>134.83000000000001</v>
      </c>
      <c r="BZ32" s="525">
        <f t="shared" si="179"/>
        <v>136.63999999999999</v>
      </c>
      <c r="CA32" s="525">
        <f t="shared" si="179"/>
        <v>137.34</v>
      </c>
      <c r="CB32" s="526">
        <f t="shared" si="179"/>
        <v>138.46</v>
      </c>
      <c r="CC32" s="524">
        <f t="shared" si="179"/>
        <v>139.47</v>
      </c>
      <c r="CD32" s="525">
        <f t="shared" si="179"/>
        <v>141.19999999999999</v>
      </c>
      <c r="CE32" s="525">
        <f t="shared" si="179"/>
        <v>143.41999999999999</v>
      </c>
      <c r="CF32" s="525">
        <f t="shared" si="179"/>
        <v>146.53</v>
      </c>
      <c r="CG32" s="525">
        <f t="shared" si="179"/>
        <v>150.22999999999999</v>
      </c>
      <c r="CH32" s="525">
        <f t="shared" si="179"/>
        <v>154.38999999999999</v>
      </c>
      <c r="CI32" s="525">
        <f t="shared" si="179"/>
        <v>157.33000000000001</v>
      </c>
      <c r="CJ32" s="528">
        <f t="shared" si="179"/>
        <v>158.21</v>
      </c>
      <c r="CK32" s="528">
        <f t="shared" si="179"/>
        <v>158.66</v>
      </c>
      <c r="CL32" s="525">
        <f t="shared" si="179"/>
        <v>163.43</v>
      </c>
      <c r="CM32" s="528">
        <f t="shared" si="179"/>
        <v>163.62</v>
      </c>
      <c r="CN32" s="528">
        <f t="shared" si="179"/>
        <v>163.91</v>
      </c>
      <c r="CO32" s="524">
        <f t="shared" si="179"/>
        <v>164.15</v>
      </c>
      <c r="CP32" s="525">
        <f t="shared" si="179"/>
        <v>164.77</v>
      </c>
      <c r="CQ32" s="525">
        <f t="shared" si="179"/>
        <v>167.89</v>
      </c>
      <c r="CR32" s="525">
        <f t="shared" si="179"/>
        <v>170.14</v>
      </c>
      <c r="CS32" s="525">
        <f t="shared" si="179"/>
        <v>176.69</v>
      </c>
      <c r="CT32" s="525">
        <f t="shared" si="179"/>
        <v>179.03</v>
      </c>
      <c r="CU32" s="525">
        <f t="shared" si="179"/>
        <v>180.79</v>
      </c>
      <c r="CV32" s="525">
        <f t="shared" si="179"/>
        <v>185.36</v>
      </c>
      <c r="CW32" s="1123">
        <f t="shared" si="179"/>
        <v>186.82</v>
      </c>
      <c r="CX32" s="525">
        <f t="shared" ref="CX32:EC32" si="180">+ROUND((($E$10+$E$11+$E$12)*$D$32*CX24+($E$13*$D$32+$E$14)*CX25+$E$15*$C$32*CX26),2)</f>
        <v>187.72</v>
      </c>
      <c r="CY32" s="528">
        <f t="shared" si="180"/>
        <v>188.3</v>
      </c>
      <c r="CZ32" s="528">
        <f t="shared" si="180"/>
        <v>194.35</v>
      </c>
      <c r="DA32" s="527">
        <f t="shared" si="180"/>
        <v>197.69</v>
      </c>
      <c r="DB32" s="528">
        <f t="shared" si="180"/>
        <v>198.25</v>
      </c>
      <c r="DC32" s="528">
        <f t="shared" si="180"/>
        <v>198.8</v>
      </c>
      <c r="DD32" s="528">
        <f t="shared" si="180"/>
        <v>210.75</v>
      </c>
      <c r="DE32" s="528">
        <f t="shared" si="180"/>
        <v>212.22</v>
      </c>
      <c r="DF32" s="528">
        <f t="shared" si="180"/>
        <v>213.43</v>
      </c>
      <c r="DG32" s="528">
        <f t="shared" si="180"/>
        <v>215.66</v>
      </c>
      <c r="DH32" s="528">
        <f t="shared" si="180"/>
        <v>221.2</v>
      </c>
      <c r="DI32" s="528">
        <f t="shared" si="180"/>
        <v>222.38</v>
      </c>
      <c r="DJ32" s="528">
        <f t="shared" si="180"/>
        <v>223.3</v>
      </c>
      <c r="DK32" s="528">
        <f t="shared" si="180"/>
        <v>227.7</v>
      </c>
      <c r="DL32" s="526">
        <f t="shared" si="180"/>
        <v>229.17</v>
      </c>
      <c r="DM32" s="528">
        <f t="shared" si="180"/>
        <v>233.03</v>
      </c>
      <c r="DN32" s="528">
        <f t="shared" si="180"/>
        <v>233.65</v>
      </c>
      <c r="DO32" s="528">
        <f t="shared" si="180"/>
        <v>236.04</v>
      </c>
      <c r="DP32" s="528">
        <f t="shared" si="180"/>
        <v>237.14</v>
      </c>
      <c r="DQ32" s="528">
        <f t="shared" si="180"/>
        <v>239.59</v>
      </c>
      <c r="DR32" s="528">
        <f t="shared" si="180"/>
        <v>262.44</v>
      </c>
      <c r="DS32" s="979">
        <f t="shared" si="180"/>
        <v>266.16000000000003</v>
      </c>
      <c r="DT32" s="979">
        <f t="shared" si="180"/>
        <v>267.20999999999998</v>
      </c>
      <c r="DU32" s="979">
        <f t="shared" si="180"/>
        <v>267.88</v>
      </c>
      <c r="DV32" s="974">
        <f t="shared" si="180"/>
        <v>268.24</v>
      </c>
      <c r="DW32" s="1145">
        <f t="shared" si="180"/>
        <v>269.85000000000002</v>
      </c>
      <c r="DX32" s="974">
        <f t="shared" si="180"/>
        <v>270.31</v>
      </c>
      <c r="DY32" s="1145">
        <f t="shared" si="180"/>
        <v>271.94</v>
      </c>
      <c r="DZ32" s="979">
        <f t="shared" si="180"/>
        <v>273.44</v>
      </c>
      <c r="EA32" s="979">
        <f t="shared" si="180"/>
        <v>276.27999999999997</v>
      </c>
      <c r="EB32" s="979">
        <f t="shared" si="180"/>
        <v>279.45</v>
      </c>
      <c r="EC32" s="979">
        <f t="shared" si="180"/>
        <v>281.89999999999998</v>
      </c>
      <c r="ED32" s="979">
        <f t="shared" ref="ED32:EK32" si="181">+ROUND((($E$10+$E$11+$E$12)*$D$32*ED24+($E$13*$D$32+$E$14)*ED25+$E$15*$C$32*ED26),2)</f>
        <v>302.19</v>
      </c>
      <c r="EE32" s="979">
        <f t="shared" si="181"/>
        <v>303.67</v>
      </c>
      <c r="EF32" s="979">
        <f t="shared" si="181"/>
        <v>305.08</v>
      </c>
      <c r="EG32" s="979">
        <f t="shared" si="181"/>
        <v>312.95999999999998</v>
      </c>
      <c r="EH32" s="979">
        <f t="shared" si="181"/>
        <v>313.27999999999997</v>
      </c>
      <c r="EI32" s="979">
        <f t="shared" si="181"/>
        <v>314.36</v>
      </c>
      <c r="EJ32" s="971">
        <f t="shared" si="181"/>
        <v>317.06</v>
      </c>
      <c r="EK32" s="979">
        <f t="shared" si="181"/>
        <v>323.81</v>
      </c>
      <c r="EL32" s="979">
        <f t="shared" ref="EL32:EQ32" si="182">+ROUND((($E$10+$E$11+$E$12)*$D$32*EL24+($E$13*$D$32+$E$14)*EL25+$E$15*$C$32*EL26),2)</f>
        <v>332.3</v>
      </c>
      <c r="EM32" s="979">
        <f t="shared" si="182"/>
        <v>340.25</v>
      </c>
      <c r="EN32" s="979">
        <f t="shared" si="182"/>
        <v>373.14</v>
      </c>
      <c r="EO32" s="979">
        <f t="shared" si="182"/>
        <v>374.91</v>
      </c>
      <c r="EP32" s="979">
        <f t="shared" si="182"/>
        <v>376.52</v>
      </c>
      <c r="EQ32" s="979">
        <f t="shared" si="182"/>
        <v>398.37</v>
      </c>
      <c r="ER32" s="979">
        <f t="shared" ref="ER32:EW32" si="183">+ROUND((($E$10+$E$11+$E$12)*$D$32*ER24+($E$13*$D$32+$E$14)*ER25+$E$15*$C$32*ER26),2)</f>
        <v>402.31</v>
      </c>
      <c r="ES32" s="979">
        <f t="shared" si="183"/>
        <v>406.11</v>
      </c>
      <c r="ET32" s="979">
        <f t="shared" si="183"/>
        <v>407.75</v>
      </c>
      <c r="EU32" s="979">
        <f t="shared" si="183"/>
        <v>408.94</v>
      </c>
      <c r="EV32" s="971">
        <f t="shared" si="183"/>
        <v>409.12</v>
      </c>
      <c r="EW32" s="1007">
        <f t="shared" si="183"/>
        <v>403.09</v>
      </c>
      <c r="EX32" s="979">
        <f t="shared" ref="EX32:FE32" si="184">+ROUND((($E$10+$E$11+$E$12)*$D$32*EX24+($E$13*$D$32+$E$14)*EX25+$E$15*$C$32*EX26),2)</f>
        <v>405.19</v>
      </c>
      <c r="EY32" s="974">
        <f t="shared" si="184"/>
        <v>409.32</v>
      </c>
      <c r="EZ32" s="974">
        <f t="shared" si="184"/>
        <v>441.18</v>
      </c>
      <c r="FA32" s="974">
        <f t="shared" si="184"/>
        <v>445.46</v>
      </c>
      <c r="FB32" s="974">
        <f t="shared" si="184"/>
        <v>450.69</v>
      </c>
      <c r="FC32" s="974">
        <f t="shared" si="184"/>
        <v>454.35</v>
      </c>
      <c r="FD32" s="974">
        <f t="shared" si="184"/>
        <v>474.82</v>
      </c>
      <c r="FE32" s="974">
        <f t="shared" si="184"/>
        <v>475.59</v>
      </c>
      <c r="FF32" s="979">
        <f t="shared" ref="FF32:FK32" si="185">+ROUND((($E$10+$E$11+$E$12)*$D$32*FF24+($E$13*$D$32+$E$14)*FF25+$E$15*$C$32*FF26),2)</f>
        <v>477.06</v>
      </c>
      <c r="FG32" s="971" t="e">
        <f t="shared" si="185"/>
        <v>#REF!</v>
      </c>
      <c r="FH32" s="971" t="e">
        <f t="shared" si="185"/>
        <v>#REF!</v>
      </c>
      <c r="FI32" s="1938">
        <f t="shared" si="185"/>
        <v>36.36</v>
      </c>
      <c r="FJ32" s="2510">
        <f t="shared" si="185"/>
        <v>38.76</v>
      </c>
      <c r="FK32" s="971">
        <f t="shared" si="185"/>
        <v>38.54</v>
      </c>
      <c r="FL32" s="971">
        <f t="shared" ref="FL32:HB32" si="186">+ROUND((($E$10+$E$11+$E$12)*$D$32*FL24+($E$13*$D$32+$E$14)*FL25+$E$15*$C$32*FL26),2)</f>
        <v>40.29</v>
      </c>
      <c r="FM32" s="971">
        <f t="shared" si="186"/>
        <v>41.27</v>
      </c>
      <c r="FN32" s="971">
        <f t="shared" si="186"/>
        <v>42.75</v>
      </c>
      <c r="FO32" s="971">
        <f t="shared" si="186"/>
        <v>42.75</v>
      </c>
      <c r="FP32" s="971">
        <f t="shared" si="186"/>
        <v>42.75</v>
      </c>
      <c r="FQ32" s="971">
        <f t="shared" si="186"/>
        <v>42.87</v>
      </c>
      <c r="FR32" s="971">
        <f t="shared" si="186"/>
        <v>43.89</v>
      </c>
      <c r="FS32" s="971">
        <f t="shared" si="186"/>
        <v>44.27</v>
      </c>
      <c r="FT32" s="971">
        <f t="shared" si="186"/>
        <v>44.68</v>
      </c>
      <c r="FU32" s="971">
        <f t="shared" si="186"/>
        <v>45.43</v>
      </c>
      <c r="FV32" s="971">
        <f t="shared" si="186"/>
        <v>45.59</v>
      </c>
      <c r="FW32" s="971">
        <f t="shared" si="186"/>
        <v>45.64</v>
      </c>
      <c r="FX32" s="971">
        <f t="shared" si="186"/>
        <v>46.53</v>
      </c>
      <c r="FY32" s="971">
        <f t="shared" si="186"/>
        <v>46.79</v>
      </c>
      <c r="FZ32" s="971">
        <f t="shared" si="186"/>
        <v>47.14</v>
      </c>
      <c r="GA32" s="971">
        <f t="shared" si="186"/>
        <v>51.91</v>
      </c>
      <c r="GB32" s="971">
        <f t="shared" si="186"/>
        <v>52.31</v>
      </c>
      <c r="GC32" s="971">
        <f t="shared" si="186"/>
        <v>51.85</v>
      </c>
      <c r="GD32" s="971">
        <f t="shared" si="186"/>
        <v>52.74</v>
      </c>
      <c r="GE32" s="971">
        <f t="shared" si="186"/>
        <v>54.36</v>
      </c>
      <c r="GF32" s="971">
        <f t="shared" si="186"/>
        <v>56.29</v>
      </c>
      <c r="GG32" s="971">
        <f t="shared" si="186"/>
        <v>57.64</v>
      </c>
      <c r="GH32" s="971">
        <f t="shared" si="186"/>
        <v>61.03</v>
      </c>
      <c r="GI32" s="971">
        <f t="shared" si="186"/>
        <v>62.05</v>
      </c>
      <c r="GJ32" s="971">
        <f t="shared" si="186"/>
        <v>63.55</v>
      </c>
      <c r="GK32" s="971">
        <f t="shared" si="186"/>
        <v>70.27</v>
      </c>
      <c r="GL32" s="971">
        <f t="shared" si="186"/>
        <v>74.86</v>
      </c>
      <c r="GM32" s="971">
        <f t="shared" si="186"/>
        <v>76.760000000000005</v>
      </c>
      <c r="GN32" s="971">
        <f t="shared" si="186"/>
        <v>80.95</v>
      </c>
      <c r="GO32" s="971">
        <f t="shared" si="186"/>
        <v>99.78</v>
      </c>
      <c r="GP32" s="971">
        <f t="shared" si="186"/>
        <v>99.96</v>
      </c>
      <c r="GQ32" s="971">
        <f t="shared" si="186"/>
        <v>98.16</v>
      </c>
      <c r="GR32" s="971">
        <f t="shared" si="186"/>
        <v>103.4</v>
      </c>
      <c r="GS32" s="971">
        <f t="shared" si="186"/>
        <v>100.32</v>
      </c>
      <c r="GT32" s="971">
        <f t="shared" si="186"/>
        <v>107.29</v>
      </c>
      <c r="GU32" s="971">
        <f t="shared" si="186"/>
        <v>109.74</v>
      </c>
      <c r="GV32" s="971">
        <f t="shared" si="186"/>
        <v>116.79</v>
      </c>
      <c r="GW32" s="971">
        <f t="shared" si="186"/>
        <v>124.43</v>
      </c>
      <c r="GX32" s="971">
        <f t="shared" si="186"/>
        <v>121.61</v>
      </c>
      <c r="GY32" s="971">
        <f t="shared" si="186"/>
        <v>122.81</v>
      </c>
      <c r="GZ32" s="971">
        <f t="shared" si="186"/>
        <v>142.34</v>
      </c>
      <c r="HA32" s="971">
        <f t="shared" si="186"/>
        <v>147.99</v>
      </c>
      <c r="HB32" s="971">
        <f t="shared" si="186"/>
        <v>152.97</v>
      </c>
      <c r="HC32" s="971">
        <f t="shared" ref="HC32:HH32" si="187">+ROUND((($E$10+$E$11+$E$12)*$D$32*HC24+($E$13*$D$32+$E$14)*HC25+$E$15*$C$32*HC26),2)</f>
        <v>155.52000000000001</v>
      </c>
      <c r="HD32" s="971">
        <f t="shared" si="187"/>
        <v>158.66</v>
      </c>
      <c r="HE32" s="971">
        <f t="shared" si="187"/>
        <v>164.26</v>
      </c>
      <c r="HF32" s="1938">
        <f t="shared" si="187"/>
        <v>166.38</v>
      </c>
      <c r="HG32" s="965">
        <f t="shared" si="187"/>
        <v>168.94</v>
      </c>
      <c r="HH32" s="965">
        <f t="shared" si="187"/>
        <v>173.39</v>
      </c>
      <c r="HI32" s="965">
        <f t="shared" ref="HI32:HJ32" si="188">+ROUND((($E$10+$E$11+$E$12)*$D$32*HI24+($E$13*$D$32+$E$14)*HI25+$E$15*$C$32*HI26),2)</f>
        <v>176.02</v>
      </c>
      <c r="HJ32" s="965">
        <f t="shared" si="188"/>
        <v>180.41</v>
      </c>
      <c r="HK32" s="965">
        <f t="shared" ref="HK32:HL32" si="189">+ROUND((($E$10+$E$11+$E$12)*$D$32*HK24+($E$13*$D$32+$E$14)*HK25+$E$15*$C$32*HK26),2)</f>
        <v>184.5</v>
      </c>
      <c r="HL32" s="965">
        <f t="shared" si="189"/>
        <v>188.55</v>
      </c>
      <c r="HM32" s="965">
        <f t="shared" ref="HM32:HN32" si="190">+ROUND((($E$10+$E$11+$E$12)*$D$32*HM24+($E$13*$D$32+$E$14)*HM25+$E$15*$C$32*HM26),2)</f>
        <v>193.81</v>
      </c>
      <c r="HN32" s="965">
        <f t="shared" si="190"/>
        <v>201.04</v>
      </c>
      <c r="HO32" s="965">
        <f t="shared" ref="HO32:HP32" si="191">+ROUND((($E$10+$E$11+$E$12)*$D$32*HO24+($E$13*$D$32+$E$14)*HO25+$E$15*$C$32*HO26),2)</f>
        <v>211.33</v>
      </c>
      <c r="HP32" s="965">
        <f t="shared" si="191"/>
        <v>219.37</v>
      </c>
      <c r="HQ32" s="965">
        <f t="shared" ref="HQ32:HR32" si="192">+ROUND((($E$10+$E$11+$E$12)*$D$32*HQ24+($E$13*$D$32+$E$14)*HQ25+$E$15*$C$32*HQ26),2)</f>
        <v>225.62</v>
      </c>
      <c r="HR32" s="1882">
        <f t="shared" si="192"/>
        <v>237.26</v>
      </c>
      <c r="HS32" s="1882">
        <f t="shared" ref="HS32:HT32" si="193">+ROUND((($E$10+$E$11+$E$12)*$D$32*HS24+($E$13*$D$32+$E$14)*HS25+$E$15*$C$32*HS26),2)</f>
        <v>250.31</v>
      </c>
      <c r="HT32" s="1882">
        <f t="shared" si="193"/>
        <v>260.37</v>
      </c>
      <c r="HU32" s="1882">
        <f t="shared" ref="HU32:HV32" si="194">+ROUND((($E$10+$E$11+$E$12)*$D$32*HU24+($E$13*$D$32+$E$14)*HU25+$E$15*$C$32*HU26),2)</f>
        <v>269.94</v>
      </c>
      <c r="HV32" s="1882">
        <f t="shared" si="194"/>
        <v>271.13</v>
      </c>
      <c r="HW32" s="1882">
        <f t="shared" ref="HW32:HX32" si="195">+ROUND((($E$10+$E$11+$E$12)*$D$32*HW24+($E$13*$D$32+$E$14)*HW25+$E$15*$C$32*HW26),2)</f>
        <v>275.35000000000002</v>
      </c>
      <c r="HX32" s="1882">
        <f t="shared" si="195"/>
        <v>278.82</v>
      </c>
      <c r="HY32" s="1882">
        <f t="shared" ref="HY32:HZ32" si="196">+ROUND((($E$10+$E$11+$E$12)*$D$32*HY24+($E$13*$D$32+$E$14)*HY25+$E$15*$C$32*HY26),2)</f>
        <v>279.77</v>
      </c>
      <c r="HZ32" s="1880">
        <f t="shared" si="196"/>
        <v>283.54000000000002</v>
      </c>
      <c r="IA32" s="1880">
        <f t="shared" ref="IA32:IB32" si="197">+ROUND((($E$10+$E$11+$E$12)*$D$32*IA24+($E$13*$D$32+$E$14)*IA25+$E$15*$C$32*IA26),2)</f>
        <v>284.66000000000003</v>
      </c>
      <c r="IB32" s="1880">
        <f t="shared" si="197"/>
        <v>287.45999999999998</v>
      </c>
      <c r="IC32" s="975">
        <f t="shared" ref="IC32:ID32" si="198">+ROUND((($E$10+$E$11+$E$12)*$D$32*IC24+($E$13*$D$32+$E$14)*IC25+$E$15*$C$32*IC26),2)</f>
        <v>292.85000000000002</v>
      </c>
      <c r="ID32" s="963">
        <f t="shared" si="198"/>
        <v>306.27999999999997</v>
      </c>
      <c r="IE32" s="963">
        <f t="shared" ref="IE32:IF32" si="199">+ROUND((($E$10+$E$11+$E$12)*$D$32*IE24+($E$13*$D$32+$E$14)*IE25+$E$15*$C$32*IE26),2)</f>
        <v>324.89999999999998</v>
      </c>
      <c r="IF32" s="963">
        <f t="shared" si="199"/>
        <v>334.68</v>
      </c>
      <c r="IG32" s="963">
        <f t="shared" ref="IG32:IH32" si="200">+ROUND((($E$10+$E$11+$E$12)*$D$32*IG24+($E$13*$D$32+$E$14)*IG25+$E$15*$C$32*IG26),2)</f>
        <v>360.42</v>
      </c>
      <c r="IH32" s="963">
        <f t="shared" si="200"/>
        <v>388.53</v>
      </c>
      <c r="II32" s="963">
        <f t="shared" ref="II32:IJ32" si="201">+ROUND((($E$10+$E$11+$E$12)*$D$32*II24+($E$13*$D$32+$E$14)*II25+$E$15*$C$32*II26),2)</f>
        <v>404.52</v>
      </c>
      <c r="IJ32" s="963">
        <f t="shared" si="201"/>
        <v>419.42</v>
      </c>
      <c r="IK32" s="963">
        <f t="shared" ref="IK32:IL32" si="202">+ROUND((($E$10+$E$11+$E$12)*$D$32*IK24+($E$13*$D$32+$E$14)*IK25+$E$15*$C$32*IK26),2)</f>
        <v>441.55</v>
      </c>
      <c r="IL32" s="963">
        <f t="shared" si="202"/>
        <v>472.33</v>
      </c>
      <c r="IM32" s="963">
        <f t="shared" ref="IM32:IN32" si="203">+ROUND((($E$10+$E$11+$E$12)*$D$32*IM24+($E$13*$D$32+$E$14)*IM25+$E$15*$C$32*IM26),2)</f>
        <v>527.89</v>
      </c>
      <c r="IN32" s="1880">
        <f t="shared" si="203"/>
        <v>562.15</v>
      </c>
      <c r="IO32" s="963">
        <f t="shared" ref="IO32:IP32" si="204">+ROUND((($E$10+$E$11+$E$12)*$D$32*IO24+($E$13*$D$32+$E$14)*IO25+$E$15*$C$32*IO26),2)</f>
        <v>582.89</v>
      </c>
      <c r="IP32" s="963">
        <f t="shared" si="204"/>
        <v>631.14</v>
      </c>
      <c r="IQ32" s="1037"/>
      <c r="IV32" s="16">
        <f>IV16*22*8*2.2521+175</f>
        <v>777.08542239999997</v>
      </c>
      <c r="IW32" s="2">
        <f>IW16*22*8*2.2521+150</f>
        <v>815.10818879999999</v>
      </c>
      <c r="IX32" s="2">
        <f>IX16*22*8*2.2521+125</f>
        <v>853.13095520000002</v>
      </c>
      <c r="IY32" s="2">
        <f>IY16*22*8*2.2521+100</f>
        <v>891.15372159999993</v>
      </c>
      <c r="IZ32" s="2">
        <f>IZ16*22*8*2.2521+75</f>
        <v>929.17648799999995</v>
      </c>
      <c r="JA32" s="2">
        <f>JA16*22*8*2.2521+50</f>
        <v>967.59562400000004</v>
      </c>
    </row>
    <row r="33" spans="2:261">
      <c r="B33" s="372" t="s">
        <v>684</v>
      </c>
      <c r="C33" s="283">
        <v>123</v>
      </c>
      <c r="D33" s="280">
        <v>33277</v>
      </c>
      <c r="E33" s="1762">
        <f t="shared" si="120"/>
        <v>21.741883250000001</v>
      </c>
      <c r="F33" s="308">
        <f t="shared" ref="F33:AK33" si="205">+ROUND((($E$10+$E$11+$E$12)*$D$33*F24+($E$13*$D$33+$E$14)*F25+$E$15*$C$33*F26),2)</f>
        <v>55.02</v>
      </c>
      <c r="G33" s="142">
        <f t="shared" si="205"/>
        <v>58.42</v>
      </c>
      <c r="H33" s="142">
        <f t="shared" si="205"/>
        <v>58.14</v>
      </c>
      <c r="I33" s="142">
        <f t="shared" si="205"/>
        <v>59.97</v>
      </c>
      <c r="J33" s="142">
        <f t="shared" si="205"/>
        <v>59.84</v>
      </c>
      <c r="K33" s="142">
        <f t="shared" si="205"/>
        <v>59.25</v>
      </c>
      <c r="L33" s="142">
        <f t="shared" si="205"/>
        <v>58.63</v>
      </c>
      <c r="M33" s="142">
        <f t="shared" si="205"/>
        <v>58.55</v>
      </c>
      <c r="N33" s="142">
        <f t="shared" si="205"/>
        <v>57.99</v>
      </c>
      <c r="O33" s="142">
        <f t="shared" si="205"/>
        <v>57.66</v>
      </c>
      <c r="P33" s="142">
        <f t="shared" si="205"/>
        <v>58.24</v>
      </c>
      <c r="Q33" s="285">
        <f t="shared" si="205"/>
        <v>58.52</v>
      </c>
      <c r="R33" s="285">
        <f t="shared" si="205"/>
        <v>58.59</v>
      </c>
      <c r="S33" s="285">
        <f t="shared" si="205"/>
        <v>58.91</v>
      </c>
      <c r="T33" s="285">
        <f t="shared" si="205"/>
        <v>59.44</v>
      </c>
      <c r="U33" s="525">
        <f t="shared" si="205"/>
        <v>60</v>
      </c>
      <c r="V33" s="525">
        <f t="shared" si="205"/>
        <v>60.31</v>
      </c>
      <c r="W33" s="525">
        <f t="shared" si="205"/>
        <v>60.31</v>
      </c>
      <c r="X33" s="525">
        <f t="shared" si="205"/>
        <v>60.1</v>
      </c>
      <c r="Y33" s="525">
        <f t="shared" si="205"/>
        <v>60.77</v>
      </c>
      <c r="Z33" s="525">
        <f t="shared" si="205"/>
        <v>61.12</v>
      </c>
      <c r="AA33" s="525">
        <f t="shared" si="205"/>
        <v>61.22</v>
      </c>
      <c r="AB33" s="525">
        <f t="shared" si="205"/>
        <v>63.09</v>
      </c>
      <c r="AC33" s="525">
        <f t="shared" si="205"/>
        <v>63.37</v>
      </c>
      <c r="AD33" s="525">
        <f t="shared" si="205"/>
        <v>63.36</v>
      </c>
      <c r="AE33" s="525">
        <f t="shared" si="205"/>
        <v>63.38</v>
      </c>
      <c r="AF33" s="525">
        <f t="shared" si="205"/>
        <v>63.5</v>
      </c>
      <c r="AG33" s="525">
        <f t="shared" si="205"/>
        <v>64.14</v>
      </c>
      <c r="AH33" s="525">
        <f t="shared" si="205"/>
        <v>64.03</v>
      </c>
      <c r="AI33" s="525">
        <f t="shared" si="205"/>
        <v>67.83</v>
      </c>
      <c r="AJ33" s="525">
        <f t="shared" si="205"/>
        <v>68.39</v>
      </c>
      <c r="AK33" s="525">
        <f t="shared" si="205"/>
        <v>68.3</v>
      </c>
      <c r="AL33" s="525">
        <f t="shared" ref="AL33:BQ33" si="206">+ROUND((($E$10+$E$11+$E$12)*$D$33*AL24+($E$13*$D$33+$E$14)*AL25+$E$15*$C$33*AL26),2)</f>
        <v>67.86</v>
      </c>
      <c r="AM33" s="525">
        <f t="shared" si="206"/>
        <v>67.819999999999993</v>
      </c>
      <c r="AN33" s="525">
        <f t="shared" si="206"/>
        <v>67.86</v>
      </c>
      <c r="AO33" s="525">
        <f t="shared" si="206"/>
        <v>67.95</v>
      </c>
      <c r="AP33" s="525">
        <f t="shared" si="206"/>
        <v>68.14</v>
      </c>
      <c r="AQ33" s="525">
        <f t="shared" si="206"/>
        <v>70.64</v>
      </c>
      <c r="AR33" s="525">
        <f t="shared" si="206"/>
        <v>70.77</v>
      </c>
      <c r="AS33" s="525">
        <f t="shared" si="206"/>
        <v>71.66</v>
      </c>
      <c r="AT33" s="525">
        <f t="shared" si="206"/>
        <v>71.73</v>
      </c>
      <c r="AU33" s="525">
        <f t="shared" si="206"/>
        <v>72.849999999999994</v>
      </c>
      <c r="AV33" s="525">
        <f t="shared" si="206"/>
        <v>72.3</v>
      </c>
      <c r="AW33" s="525">
        <f t="shared" si="206"/>
        <v>73.63</v>
      </c>
      <c r="AX33" s="525">
        <f t="shared" si="206"/>
        <v>73.650000000000006</v>
      </c>
      <c r="AY33" s="525">
        <f t="shared" si="206"/>
        <v>74.33</v>
      </c>
      <c r="AZ33" s="525">
        <f t="shared" si="206"/>
        <v>74.52</v>
      </c>
      <c r="BA33" s="525">
        <f t="shared" si="206"/>
        <v>70.760000000000005</v>
      </c>
      <c r="BB33" s="525">
        <f t="shared" si="206"/>
        <v>76.17</v>
      </c>
      <c r="BC33" s="525">
        <f t="shared" si="206"/>
        <v>75.95</v>
      </c>
      <c r="BD33" s="525">
        <f t="shared" si="206"/>
        <v>75.959999999999994</v>
      </c>
      <c r="BE33" s="525">
        <f t="shared" si="206"/>
        <v>77.44</v>
      </c>
      <c r="BF33" s="525">
        <f t="shared" si="206"/>
        <v>77.59</v>
      </c>
      <c r="BG33" s="525">
        <f t="shared" si="206"/>
        <v>77.5</v>
      </c>
      <c r="BH33" s="525">
        <f t="shared" si="206"/>
        <v>77.53</v>
      </c>
      <c r="BI33" s="525">
        <f t="shared" si="206"/>
        <v>80.19</v>
      </c>
      <c r="BJ33" s="525">
        <f t="shared" si="206"/>
        <v>80.47</v>
      </c>
      <c r="BK33" s="525">
        <f t="shared" si="206"/>
        <v>82.58</v>
      </c>
      <c r="BL33" s="525">
        <f t="shared" si="206"/>
        <v>82.38</v>
      </c>
      <c r="BM33" s="525">
        <f t="shared" si="206"/>
        <v>82.62</v>
      </c>
      <c r="BN33" s="525">
        <f t="shared" si="206"/>
        <v>82.89</v>
      </c>
      <c r="BO33" s="525">
        <f t="shared" si="206"/>
        <v>83.18</v>
      </c>
      <c r="BP33" s="526">
        <f t="shared" si="206"/>
        <v>86.83</v>
      </c>
      <c r="BQ33" s="524">
        <f t="shared" si="206"/>
        <v>83.25</v>
      </c>
      <c r="BR33" s="525">
        <f t="shared" ref="BR33:CW33" si="207">+ROUND((($E$10+$E$11+$E$12)*$D$33*BR24+($E$13*$D$33+$E$14)*BR25+$E$15*$C$33*BR26),2)</f>
        <v>80.5</v>
      </c>
      <c r="BS33" s="525">
        <f t="shared" si="207"/>
        <v>80.48</v>
      </c>
      <c r="BT33" s="525">
        <f t="shared" si="207"/>
        <v>83.68</v>
      </c>
      <c r="BU33" s="525">
        <f t="shared" si="207"/>
        <v>85.84</v>
      </c>
      <c r="BV33" s="525">
        <f t="shared" si="207"/>
        <v>86.25</v>
      </c>
      <c r="BW33" s="525">
        <f t="shared" si="207"/>
        <v>88.52</v>
      </c>
      <c r="BX33" s="525">
        <f t="shared" si="207"/>
        <v>87.72</v>
      </c>
      <c r="BY33" s="525">
        <f t="shared" si="207"/>
        <v>88.66</v>
      </c>
      <c r="BZ33" s="525">
        <f t="shared" si="207"/>
        <v>89.54</v>
      </c>
      <c r="CA33" s="525">
        <f t="shared" si="207"/>
        <v>90.04</v>
      </c>
      <c r="CB33" s="526">
        <f t="shared" si="207"/>
        <v>90.68</v>
      </c>
      <c r="CC33" s="524">
        <f t="shared" si="207"/>
        <v>91.57</v>
      </c>
      <c r="CD33" s="525">
        <f t="shared" si="207"/>
        <v>92.85</v>
      </c>
      <c r="CE33" s="525">
        <f t="shared" si="207"/>
        <v>94.5</v>
      </c>
      <c r="CF33" s="525">
        <f t="shared" si="207"/>
        <v>97.09</v>
      </c>
      <c r="CG33" s="525">
        <f t="shared" si="207"/>
        <v>100.04</v>
      </c>
      <c r="CH33" s="525">
        <f t="shared" si="207"/>
        <v>103.57</v>
      </c>
      <c r="CI33" s="525">
        <f t="shared" si="207"/>
        <v>106.39</v>
      </c>
      <c r="CJ33" s="528">
        <f t="shared" si="207"/>
        <v>106.82</v>
      </c>
      <c r="CK33" s="528">
        <f t="shared" si="207"/>
        <v>107.08</v>
      </c>
      <c r="CL33" s="525">
        <f t="shared" si="207"/>
        <v>110.91</v>
      </c>
      <c r="CM33" s="528">
        <f t="shared" si="207"/>
        <v>111.13</v>
      </c>
      <c r="CN33" s="528">
        <f t="shared" si="207"/>
        <v>111.41</v>
      </c>
      <c r="CO33" s="524">
        <f t="shared" si="207"/>
        <v>111.5</v>
      </c>
      <c r="CP33" s="525">
        <f t="shared" si="207"/>
        <v>111.74</v>
      </c>
      <c r="CQ33" s="525">
        <f t="shared" si="207"/>
        <v>113.97</v>
      </c>
      <c r="CR33" s="525">
        <f t="shared" si="207"/>
        <v>116.11</v>
      </c>
      <c r="CS33" s="525">
        <f t="shared" si="207"/>
        <v>121.05</v>
      </c>
      <c r="CT33" s="525">
        <f t="shared" si="207"/>
        <v>123.49</v>
      </c>
      <c r="CU33" s="525">
        <f t="shared" si="207"/>
        <v>125.02</v>
      </c>
      <c r="CV33" s="525">
        <f t="shared" si="207"/>
        <v>128.68</v>
      </c>
      <c r="CW33" s="1123">
        <f t="shared" si="207"/>
        <v>129.94</v>
      </c>
      <c r="CX33" s="525">
        <f t="shared" ref="CX33:EC33" si="208">+ROUND((($E$10+$E$11+$E$12)*$D$33*CX24+($E$13*$D$33+$E$14)*CX25+$E$15*$C$33*CX26),2)</f>
        <v>130.19</v>
      </c>
      <c r="CY33" s="528">
        <f t="shared" si="208"/>
        <v>130.76</v>
      </c>
      <c r="CZ33" s="528">
        <f t="shared" si="208"/>
        <v>135.55000000000001</v>
      </c>
      <c r="DA33" s="527">
        <f t="shared" si="208"/>
        <v>138.71</v>
      </c>
      <c r="DB33" s="528">
        <f t="shared" si="208"/>
        <v>139.01</v>
      </c>
      <c r="DC33" s="528">
        <f t="shared" si="208"/>
        <v>139.66999999999999</v>
      </c>
      <c r="DD33" s="528">
        <f t="shared" si="208"/>
        <v>148.97999999999999</v>
      </c>
      <c r="DE33" s="528">
        <f t="shared" si="208"/>
        <v>150.38</v>
      </c>
      <c r="DF33" s="528">
        <f t="shared" si="208"/>
        <v>151.21</v>
      </c>
      <c r="DG33" s="528">
        <f t="shared" si="208"/>
        <v>153.02000000000001</v>
      </c>
      <c r="DH33" s="528">
        <f t="shared" si="208"/>
        <v>157.07</v>
      </c>
      <c r="DI33" s="528">
        <f t="shared" si="208"/>
        <v>158.1</v>
      </c>
      <c r="DJ33" s="528">
        <f t="shared" si="208"/>
        <v>158.9</v>
      </c>
      <c r="DK33" s="528">
        <f t="shared" si="208"/>
        <v>161.96</v>
      </c>
      <c r="DL33" s="526">
        <f t="shared" si="208"/>
        <v>162.94</v>
      </c>
      <c r="DM33" s="528">
        <f t="shared" si="208"/>
        <v>166.68</v>
      </c>
      <c r="DN33" s="528">
        <f t="shared" si="208"/>
        <v>167.22</v>
      </c>
      <c r="DO33" s="528">
        <f t="shared" si="208"/>
        <v>168.8</v>
      </c>
      <c r="DP33" s="528">
        <f t="shared" si="208"/>
        <v>169.48</v>
      </c>
      <c r="DQ33" s="528">
        <f t="shared" si="208"/>
        <v>171.74</v>
      </c>
      <c r="DR33" s="528">
        <f t="shared" si="208"/>
        <v>187.44</v>
      </c>
      <c r="DS33" s="979">
        <f t="shared" si="208"/>
        <v>190.41</v>
      </c>
      <c r="DT33" s="979">
        <f t="shared" si="208"/>
        <v>191.08</v>
      </c>
      <c r="DU33" s="979">
        <f t="shared" si="208"/>
        <v>191.32</v>
      </c>
      <c r="DV33" s="974">
        <f t="shared" si="208"/>
        <v>191.43</v>
      </c>
      <c r="DW33" s="1145">
        <f t="shared" si="208"/>
        <v>192.73</v>
      </c>
      <c r="DX33" s="974">
        <f t="shared" si="208"/>
        <v>192.92</v>
      </c>
      <c r="DY33" s="1145">
        <f t="shared" si="208"/>
        <v>193.95</v>
      </c>
      <c r="DZ33" s="979">
        <f t="shared" si="208"/>
        <v>194.98</v>
      </c>
      <c r="EA33" s="979">
        <f t="shared" si="208"/>
        <v>197.46</v>
      </c>
      <c r="EB33" s="979">
        <f t="shared" si="208"/>
        <v>199.98</v>
      </c>
      <c r="EC33" s="979">
        <f t="shared" si="208"/>
        <v>201.85</v>
      </c>
      <c r="ED33" s="979">
        <f t="shared" ref="ED33:EK33" si="209">+ROUND((($E$10+$E$11+$E$12)*$D$33*ED24+($E$13*$D$33+$E$14)*ED25+$E$15*$C$33*ED26),2)</f>
        <v>216.22</v>
      </c>
      <c r="EE33" s="979">
        <f t="shared" si="209"/>
        <v>217.37</v>
      </c>
      <c r="EF33" s="979">
        <f t="shared" si="209"/>
        <v>218.33</v>
      </c>
      <c r="EG33" s="979">
        <f t="shared" si="209"/>
        <v>223.62</v>
      </c>
      <c r="EH33" s="979">
        <f t="shared" si="209"/>
        <v>223.71</v>
      </c>
      <c r="EI33" s="979">
        <f t="shared" si="209"/>
        <v>224.3</v>
      </c>
      <c r="EJ33" s="971">
        <f t="shared" si="209"/>
        <v>225.77</v>
      </c>
      <c r="EK33" s="979">
        <f t="shared" si="209"/>
        <v>231.09</v>
      </c>
      <c r="EL33" s="979">
        <f t="shared" ref="EL33:EQ33" si="210">+ROUND((($E$10+$E$11+$E$12)*$D$33*EL24+($E$13*$D$33+$E$14)*EL25+$E$15*$C$33*EL26),2)</f>
        <v>235.29</v>
      </c>
      <c r="EM33" s="979">
        <f t="shared" si="210"/>
        <v>242.09</v>
      </c>
      <c r="EN33" s="979">
        <f t="shared" si="210"/>
        <v>267.94</v>
      </c>
      <c r="EO33" s="979">
        <f t="shared" si="210"/>
        <v>269.39999999999998</v>
      </c>
      <c r="EP33" s="979">
        <f t="shared" si="210"/>
        <v>270.57</v>
      </c>
      <c r="EQ33" s="979">
        <f t="shared" si="210"/>
        <v>288.24</v>
      </c>
      <c r="ER33" s="979">
        <f t="shared" ref="ER33:EW33" si="211">+ROUND((($E$10+$E$11+$E$12)*$D$33*ER24+($E$13*$D$33+$E$14)*ER25+$E$15*$C$33*ER26),2)</f>
        <v>289.95999999999998</v>
      </c>
      <c r="ES33" s="979">
        <f t="shared" si="211"/>
        <v>293.08</v>
      </c>
      <c r="ET33" s="979">
        <f t="shared" si="211"/>
        <v>294.02</v>
      </c>
      <c r="EU33" s="979">
        <f t="shared" si="211"/>
        <v>294.36</v>
      </c>
      <c r="EV33" s="971">
        <f t="shared" si="211"/>
        <v>294.41000000000003</v>
      </c>
      <c r="EW33" s="1007">
        <f t="shared" si="211"/>
        <v>287.74</v>
      </c>
      <c r="EX33" s="979">
        <f t="shared" ref="EX33:FE33" si="212">+ROUND((($E$10+$E$11+$E$12)*$D$33*EX24+($E$13*$D$33+$E$14)*EX25+$E$15*$C$33*EX26),2)</f>
        <v>289.62</v>
      </c>
      <c r="EY33" s="974">
        <f t="shared" si="212"/>
        <v>292.12</v>
      </c>
      <c r="EZ33" s="974">
        <f t="shared" si="212"/>
        <v>312.99</v>
      </c>
      <c r="FA33" s="974">
        <f t="shared" si="212"/>
        <v>315.83999999999997</v>
      </c>
      <c r="FB33" s="974">
        <f t="shared" si="212"/>
        <v>319.55</v>
      </c>
      <c r="FC33" s="974">
        <f t="shared" si="212"/>
        <v>321.86</v>
      </c>
      <c r="FD33" s="974">
        <f t="shared" si="212"/>
        <v>335.94</v>
      </c>
      <c r="FE33" s="974">
        <f t="shared" si="212"/>
        <v>336.39</v>
      </c>
      <c r="FF33" s="979">
        <f t="shared" ref="FF33:FK33" si="213">+ROUND((($E$10+$E$11+$E$12)*$D$33*FF24+($E$13*$D$33+$E$14)*FF25+$E$15*$C$33*FF26),2)</f>
        <v>336.8</v>
      </c>
      <c r="FG33" s="971" t="e">
        <f t="shared" si="213"/>
        <v>#REF!</v>
      </c>
      <c r="FH33" s="971" t="e">
        <f t="shared" si="213"/>
        <v>#REF!</v>
      </c>
      <c r="FI33" s="1938">
        <f t="shared" si="213"/>
        <v>21.74</v>
      </c>
      <c r="FJ33" s="2510">
        <f t="shared" si="213"/>
        <v>22.41</v>
      </c>
      <c r="FK33" s="971">
        <f t="shared" si="213"/>
        <v>22.93</v>
      </c>
      <c r="FL33" s="971">
        <f t="shared" ref="FL33:HB33" si="214">+ROUND((($E$10+$E$11+$E$12)*$D$33*FL24+($E$13*$D$33+$E$14)*FL25+$E$15*$C$33*FL26),2)</f>
        <v>24.52</v>
      </c>
      <c r="FM33" s="971">
        <f t="shared" si="214"/>
        <v>25.85</v>
      </c>
      <c r="FN33" s="971">
        <f t="shared" si="214"/>
        <v>26.26</v>
      </c>
      <c r="FO33" s="971">
        <f t="shared" si="214"/>
        <v>26.26</v>
      </c>
      <c r="FP33" s="971">
        <f t="shared" si="214"/>
        <v>26.26</v>
      </c>
      <c r="FQ33" s="971">
        <f t="shared" si="214"/>
        <v>26.29</v>
      </c>
      <c r="FR33" s="971">
        <f t="shared" si="214"/>
        <v>26.84</v>
      </c>
      <c r="FS33" s="971">
        <f t="shared" si="214"/>
        <v>26.95</v>
      </c>
      <c r="FT33" s="971">
        <f t="shared" si="214"/>
        <v>27.06</v>
      </c>
      <c r="FU33" s="971">
        <f t="shared" si="214"/>
        <v>27.69</v>
      </c>
      <c r="FV33" s="971">
        <f t="shared" si="214"/>
        <v>28.36</v>
      </c>
      <c r="FW33" s="971">
        <f t="shared" si="214"/>
        <v>28.37</v>
      </c>
      <c r="FX33" s="971">
        <f t="shared" si="214"/>
        <v>28.96</v>
      </c>
      <c r="FY33" s="971">
        <f t="shared" si="214"/>
        <v>28.71</v>
      </c>
      <c r="FZ33" s="971">
        <f t="shared" si="214"/>
        <v>28.81</v>
      </c>
      <c r="GA33" s="971">
        <f t="shared" si="214"/>
        <v>31.21</v>
      </c>
      <c r="GB33" s="971">
        <f t="shared" si="214"/>
        <v>31.32</v>
      </c>
      <c r="GC33" s="971">
        <f t="shared" si="214"/>
        <v>31.19</v>
      </c>
      <c r="GD33" s="971">
        <f t="shared" si="214"/>
        <v>31.85</v>
      </c>
      <c r="GE33" s="971">
        <f t="shared" si="214"/>
        <v>33.11</v>
      </c>
      <c r="GF33" s="971">
        <f t="shared" si="214"/>
        <v>34.51</v>
      </c>
      <c r="GG33" s="971">
        <f t="shared" si="214"/>
        <v>34.880000000000003</v>
      </c>
      <c r="GH33" s="971">
        <f t="shared" si="214"/>
        <v>37.68</v>
      </c>
      <c r="GI33" s="971">
        <f t="shared" si="214"/>
        <v>38.020000000000003</v>
      </c>
      <c r="GJ33" s="971">
        <f t="shared" si="214"/>
        <v>39.25</v>
      </c>
      <c r="GK33" s="971">
        <f t="shared" si="214"/>
        <v>41.11</v>
      </c>
      <c r="GL33" s="971">
        <f t="shared" si="214"/>
        <v>42.2</v>
      </c>
      <c r="GM33" s="971">
        <f t="shared" si="214"/>
        <v>44.48</v>
      </c>
      <c r="GN33" s="971">
        <f t="shared" si="214"/>
        <v>47.06</v>
      </c>
      <c r="GO33" s="971">
        <f t="shared" si="214"/>
        <v>55.01</v>
      </c>
      <c r="GP33" s="971">
        <f t="shared" si="214"/>
        <v>57.22</v>
      </c>
      <c r="GQ33" s="971">
        <f t="shared" si="214"/>
        <v>57.68</v>
      </c>
      <c r="GR33" s="971">
        <f t="shared" si="214"/>
        <v>59.89</v>
      </c>
      <c r="GS33" s="971">
        <f t="shared" si="214"/>
        <v>58.2</v>
      </c>
      <c r="GT33" s="971">
        <f t="shared" si="214"/>
        <v>62.32</v>
      </c>
      <c r="GU33" s="971">
        <f t="shared" si="214"/>
        <v>63.24</v>
      </c>
      <c r="GV33" s="971">
        <f t="shared" si="214"/>
        <v>67.069999999999993</v>
      </c>
      <c r="GW33" s="971">
        <f t="shared" si="214"/>
        <v>70.78</v>
      </c>
      <c r="GX33" s="971">
        <f t="shared" si="214"/>
        <v>70.430000000000007</v>
      </c>
      <c r="GY33" s="971">
        <f t="shared" si="214"/>
        <v>71.58</v>
      </c>
      <c r="GZ33" s="971">
        <f t="shared" si="214"/>
        <v>77.209999999999994</v>
      </c>
      <c r="HA33" s="971">
        <f t="shared" si="214"/>
        <v>80.06</v>
      </c>
      <c r="HB33" s="971">
        <f t="shared" si="214"/>
        <v>81.96</v>
      </c>
      <c r="HC33" s="971">
        <f t="shared" ref="HC33:HH33" si="215">+ROUND((($E$10+$E$11+$E$12)*$D$33*HC24+($E$13*$D$33+$E$14)*HC25+$E$15*$C$33*HC26),2)</f>
        <v>86.54</v>
      </c>
      <c r="HD33" s="971">
        <f t="shared" si="215"/>
        <v>89.76</v>
      </c>
      <c r="HE33" s="971">
        <f t="shared" si="215"/>
        <v>91.78</v>
      </c>
      <c r="HF33" s="1938">
        <f t="shared" si="215"/>
        <v>92.7</v>
      </c>
      <c r="HG33" s="965">
        <f t="shared" si="215"/>
        <v>93.38</v>
      </c>
      <c r="HH33" s="965">
        <f t="shared" si="215"/>
        <v>94.62</v>
      </c>
      <c r="HI33" s="965">
        <f t="shared" ref="HI33:HJ33" si="216">+ROUND((($E$10+$E$11+$E$12)*$D$33*HI24+($E$13*$D$33+$E$14)*HI25+$E$15*$C$33*HI26),2)</f>
        <v>95.38</v>
      </c>
      <c r="HJ33" s="965">
        <f t="shared" si="216"/>
        <v>96.55</v>
      </c>
      <c r="HK33" s="965">
        <f t="shared" ref="HK33:HL33" si="217">+ROUND((($E$10+$E$11+$E$12)*$D$33*HK24+($E$13*$D$33+$E$14)*HK25+$E$15*$C$33*HK26),2)</f>
        <v>97.68</v>
      </c>
      <c r="HL33" s="965">
        <f t="shared" si="217"/>
        <v>99.9</v>
      </c>
      <c r="HM33" s="965">
        <f t="shared" ref="HM33:HN33" si="218">+ROUND((($E$10+$E$11+$E$12)*$D$33*HM24+($E$13*$D$33+$E$14)*HM25+$E$15*$C$33*HM26),2)</f>
        <v>103.07</v>
      </c>
      <c r="HN33" s="965">
        <f t="shared" si="218"/>
        <v>106.6</v>
      </c>
      <c r="HO33" s="965">
        <f t="shared" ref="HO33:HP33" si="219">+ROUND((($E$10+$E$11+$E$12)*$D$33*HO24+($E$13*$D$33+$E$14)*HO25+$E$15*$C$33*HO26),2)</f>
        <v>112.11</v>
      </c>
      <c r="HP33" s="965">
        <f t="shared" si="219"/>
        <v>117.3</v>
      </c>
      <c r="HQ33" s="965">
        <f t="shared" ref="HQ33:HR33" si="220">+ROUND((($E$10+$E$11+$E$12)*$D$33*HQ24+($E$13*$D$33+$E$14)*HQ25+$E$15*$C$33*HQ26),2)</f>
        <v>120.66</v>
      </c>
      <c r="HR33" s="1882">
        <f t="shared" si="220"/>
        <v>129.27000000000001</v>
      </c>
      <c r="HS33" s="1882">
        <f t="shared" ref="HS33:HT33" si="221">+ROUND((($E$10+$E$11+$E$12)*$D$33*HS24+($E$13*$D$33+$E$14)*HS25+$E$15*$C$33*HS26),2)</f>
        <v>139.59</v>
      </c>
      <c r="HT33" s="1882">
        <f t="shared" si="221"/>
        <v>147.43</v>
      </c>
      <c r="HU33" s="1882">
        <f t="shared" ref="HU33:HV33" si="222">+ROUND((($E$10+$E$11+$E$12)*$D$33*HU24+($E$13*$D$33+$E$14)*HU25+$E$15*$C$33*HU26),2)</f>
        <v>155.58000000000001</v>
      </c>
      <c r="HV33" s="1882">
        <f t="shared" si="222"/>
        <v>155.96</v>
      </c>
      <c r="HW33" s="1882">
        <f t="shared" ref="HW33:HX33" si="223">+ROUND((($E$10+$E$11+$E$12)*$D$33*HW24+($E$13*$D$33+$E$14)*HW25+$E$15*$C$33*HW26),2)</f>
        <v>158.27000000000001</v>
      </c>
      <c r="HX33" s="1882">
        <f t="shared" si="223"/>
        <v>160.71</v>
      </c>
      <c r="HY33" s="1882">
        <f t="shared" ref="HY33:HZ33" si="224">+ROUND((($E$10+$E$11+$E$12)*$D$33*HY24+($E$13*$D$33+$E$14)*HY25+$E$15*$C$33*HY26),2)</f>
        <v>160.12</v>
      </c>
      <c r="HZ33" s="1880">
        <f t="shared" si="224"/>
        <v>161.97</v>
      </c>
      <c r="IA33" s="1880">
        <f t="shared" ref="IA33:IB33" si="225">+ROUND((($E$10+$E$11+$E$12)*$D$33*IA24+($E$13*$D$33+$E$14)*IA25+$E$15*$C$33*IA26),2)</f>
        <v>162.29</v>
      </c>
      <c r="IB33" s="1880">
        <f t="shared" si="225"/>
        <v>162.94</v>
      </c>
      <c r="IC33" s="975">
        <f t="shared" ref="IC33:ID33" si="226">+ROUND((($E$10+$E$11+$E$12)*$D$33*IC24+($E$13*$D$33+$E$14)*IC25+$E$15*$C$33*IC26),2)</f>
        <v>165.22</v>
      </c>
      <c r="ID33" s="963">
        <f t="shared" si="226"/>
        <v>175.88</v>
      </c>
      <c r="IE33" s="963">
        <f t="shared" ref="IE33:IF33" si="227">+ROUND((($E$10+$E$11+$E$12)*$D$33*IE24+($E$13*$D$33+$E$14)*IE25+$E$15*$C$33*IE26),2)</f>
        <v>190.34</v>
      </c>
      <c r="IF33" s="963">
        <f t="shared" si="227"/>
        <v>195.65</v>
      </c>
      <c r="IG33" s="963">
        <f t="shared" ref="IG33:IH33" si="228">+ROUND((($E$10+$E$11+$E$12)*$D$33*IG24+($E$13*$D$33+$E$14)*IG25+$E$15*$C$33*IG26),2)</f>
        <v>215.08</v>
      </c>
      <c r="IH33" s="963">
        <f t="shared" si="228"/>
        <v>237.5</v>
      </c>
      <c r="II33" s="963">
        <f t="shared" ref="II33:IJ33" si="229">+ROUND((($E$10+$E$11+$E$12)*$D$33*II24+($E$13*$D$33+$E$14)*II25+$E$15*$C$33*II26),2)</f>
        <v>245.56</v>
      </c>
      <c r="IJ33" s="963">
        <f t="shared" si="229"/>
        <v>254.73</v>
      </c>
      <c r="IK33" s="963">
        <f t="shared" ref="IK33:IL33" si="230">+ROUND((($E$10+$E$11+$E$12)*$D$33*IK24+($E$13*$D$33+$E$14)*IK25+$E$15*$C$33*IK26),2)</f>
        <v>263.13</v>
      </c>
      <c r="IL33" s="963">
        <f t="shared" si="230"/>
        <v>282.31</v>
      </c>
      <c r="IM33" s="963">
        <f t="shared" ref="IM33:IN33" si="231">+ROUND((($E$10+$E$11+$E$12)*$D$33*IM24+($E$13*$D$33+$E$14)*IM25+$E$15*$C$33*IM26),2)</f>
        <v>324.52</v>
      </c>
      <c r="IN33" s="1880">
        <f t="shared" si="231"/>
        <v>349.66</v>
      </c>
      <c r="IO33" s="963">
        <f t="shared" ref="IO33:IP33" si="232">+ROUND((($E$10+$E$11+$E$12)*$D$33*IO24+($E$13*$D$33+$E$14)*IO25+$E$15*$C$33*IO26),2)</f>
        <v>359.14</v>
      </c>
      <c r="IP33" s="963">
        <f t="shared" si="232"/>
        <v>392.6</v>
      </c>
      <c r="IQ33" s="1037"/>
      <c r="IT33" s="2">
        <v>3.4860000000000002</v>
      </c>
      <c r="IV33" s="16">
        <f t="shared" ref="IV33:JA33" si="233">IV32/22/8</f>
        <v>4.4152580818181812</v>
      </c>
      <c r="IW33" s="2">
        <f t="shared" si="233"/>
        <v>4.6312965272727276</v>
      </c>
      <c r="IX33" s="2">
        <f t="shared" si="233"/>
        <v>4.847334972727273</v>
      </c>
      <c r="IY33" s="2">
        <f t="shared" si="233"/>
        <v>5.0633734181818175</v>
      </c>
      <c r="IZ33" s="2">
        <f t="shared" si="233"/>
        <v>5.2794118636363629</v>
      </c>
      <c r="JA33" s="2">
        <f t="shared" si="233"/>
        <v>5.497702409090909</v>
      </c>
    </row>
    <row r="34" spans="2:261">
      <c r="B34" s="372" t="s">
        <v>685</v>
      </c>
      <c r="C34" s="283">
        <v>140</v>
      </c>
      <c r="D34" s="280">
        <v>130000</v>
      </c>
      <c r="E34" s="1762">
        <f t="shared" si="120"/>
        <v>40.188099999999999</v>
      </c>
      <c r="F34" s="308">
        <f t="shared" ref="F34:AK34" si="234">+ROUND((($E$10+$E$11+$E$12)*$D$34*F24+($E$13*$D$34+$E$14)*F25+$E$15*$C$34*F26),2)</f>
        <v>106.64</v>
      </c>
      <c r="G34" s="142">
        <f t="shared" si="234"/>
        <v>108.6</v>
      </c>
      <c r="H34" s="142">
        <f t="shared" si="234"/>
        <v>107.77</v>
      </c>
      <c r="I34" s="142">
        <f t="shared" si="234"/>
        <v>108.09</v>
      </c>
      <c r="J34" s="142">
        <f t="shared" si="234"/>
        <v>107.47</v>
      </c>
      <c r="K34" s="142">
        <f t="shared" si="234"/>
        <v>104.7</v>
      </c>
      <c r="L34" s="142">
        <f t="shared" si="234"/>
        <v>102.33</v>
      </c>
      <c r="M34" s="142">
        <f t="shared" si="234"/>
        <v>101.18</v>
      </c>
      <c r="N34" s="142">
        <f t="shared" si="234"/>
        <v>100.25</v>
      </c>
      <c r="O34" s="142">
        <f t="shared" si="234"/>
        <v>99.19</v>
      </c>
      <c r="P34" s="142">
        <f t="shared" si="234"/>
        <v>100.84</v>
      </c>
      <c r="Q34" s="285">
        <f t="shared" si="234"/>
        <v>101.26</v>
      </c>
      <c r="R34" s="285">
        <f t="shared" si="234"/>
        <v>100.92</v>
      </c>
      <c r="S34" s="285">
        <f t="shared" si="234"/>
        <v>101.55</v>
      </c>
      <c r="T34" s="285">
        <f t="shared" si="234"/>
        <v>103</v>
      </c>
      <c r="U34" s="525">
        <f t="shared" si="234"/>
        <v>103.61</v>
      </c>
      <c r="V34" s="525">
        <f t="shared" si="234"/>
        <v>104.22</v>
      </c>
      <c r="W34" s="525">
        <f t="shared" si="234"/>
        <v>104.08</v>
      </c>
      <c r="X34" s="525">
        <f t="shared" si="234"/>
        <v>103.17</v>
      </c>
      <c r="Y34" s="525">
        <f t="shared" si="234"/>
        <v>104.52</v>
      </c>
      <c r="Z34" s="525">
        <f t="shared" si="234"/>
        <v>105.22</v>
      </c>
      <c r="AA34" s="525">
        <f t="shared" si="234"/>
        <v>105.13</v>
      </c>
      <c r="AB34" s="525">
        <f t="shared" si="234"/>
        <v>107.8</v>
      </c>
      <c r="AC34" s="525">
        <f t="shared" si="234"/>
        <v>107.48</v>
      </c>
      <c r="AD34" s="525">
        <f t="shared" si="234"/>
        <v>107.37</v>
      </c>
      <c r="AE34" s="525">
        <f t="shared" si="234"/>
        <v>107.4</v>
      </c>
      <c r="AF34" s="525">
        <f t="shared" si="234"/>
        <v>107.83</v>
      </c>
      <c r="AG34" s="525">
        <f t="shared" si="234"/>
        <v>108.67</v>
      </c>
      <c r="AH34" s="525">
        <f t="shared" si="234"/>
        <v>108.26</v>
      </c>
      <c r="AI34" s="525">
        <f t="shared" si="234"/>
        <v>113.95</v>
      </c>
      <c r="AJ34" s="525">
        <f t="shared" si="234"/>
        <v>114.81</v>
      </c>
      <c r="AK34" s="525">
        <f t="shared" si="234"/>
        <v>114.69</v>
      </c>
      <c r="AL34" s="525">
        <f t="shared" ref="AL34:BQ34" si="235">+ROUND((($E$10+$E$11+$E$12)*$D$34*AL24+($E$13*$D$34+$E$14)*AL25+$E$15*$C$34*AL26),2)</f>
        <v>113.96</v>
      </c>
      <c r="AM34" s="525">
        <f t="shared" si="235"/>
        <v>113.82</v>
      </c>
      <c r="AN34" s="525">
        <f t="shared" si="235"/>
        <v>114.01</v>
      </c>
      <c r="AO34" s="525">
        <f t="shared" si="235"/>
        <v>114.25</v>
      </c>
      <c r="AP34" s="525">
        <f t="shared" si="235"/>
        <v>114.8</v>
      </c>
      <c r="AQ34" s="525">
        <f t="shared" si="235"/>
        <v>118.54</v>
      </c>
      <c r="AR34" s="525">
        <f t="shared" si="235"/>
        <v>119.05</v>
      </c>
      <c r="AS34" s="525">
        <f t="shared" si="235"/>
        <v>120.66</v>
      </c>
      <c r="AT34" s="525">
        <f t="shared" si="235"/>
        <v>120.96</v>
      </c>
      <c r="AU34" s="525">
        <f t="shared" si="235"/>
        <v>122.46</v>
      </c>
      <c r="AV34" s="525">
        <f t="shared" si="235"/>
        <v>121.31</v>
      </c>
      <c r="AW34" s="525">
        <f t="shared" si="235"/>
        <v>123.36</v>
      </c>
      <c r="AX34" s="525">
        <f t="shared" si="235"/>
        <v>123.44</v>
      </c>
      <c r="AY34" s="525">
        <f t="shared" si="235"/>
        <v>124.62</v>
      </c>
      <c r="AZ34" s="525">
        <f t="shared" si="235"/>
        <v>125.36</v>
      </c>
      <c r="BA34" s="525">
        <f t="shared" si="235"/>
        <v>119.92</v>
      </c>
      <c r="BB34" s="525">
        <f t="shared" si="235"/>
        <v>127.68</v>
      </c>
      <c r="BC34" s="525">
        <f t="shared" si="235"/>
        <v>126.8</v>
      </c>
      <c r="BD34" s="525">
        <f t="shared" si="235"/>
        <v>126.86</v>
      </c>
      <c r="BE34" s="525">
        <f t="shared" si="235"/>
        <v>129.18</v>
      </c>
      <c r="BF34" s="525">
        <f t="shared" si="235"/>
        <v>129.74</v>
      </c>
      <c r="BG34" s="525">
        <f t="shared" si="235"/>
        <v>129.4</v>
      </c>
      <c r="BH34" s="525">
        <f t="shared" si="235"/>
        <v>129.52000000000001</v>
      </c>
      <c r="BI34" s="525">
        <f t="shared" si="235"/>
        <v>133.62</v>
      </c>
      <c r="BJ34" s="525">
        <f t="shared" si="235"/>
        <v>134.02000000000001</v>
      </c>
      <c r="BK34" s="525">
        <f t="shared" si="235"/>
        <v>137.11000000000001</v>
      </c>
      <c r="BL34" s="525">
        <f t="shared" si="235"/>
        <v>137.25</v>
      </c>
      <c r="BM34" s="525">
        <f t="shared" si="235"/>
        <v>137.51</v>
      </c>
      <c r="BN34" s="525">
        <f t="shared" si="235"/>
        <v>138.07</v>
      </c>
      <c r="BO34" s="525">
        <f t="shared" si="235"/>
        <v>138.32</v>
      </c>
      <c r="BP34" s="526">
        <f t="shared" si="235"/>
        <v>143.76</v>
      </c>
      <c r="BQ34" s="524">
        <f t="shared" si="235"/>
        <v>138.51</v>
      </c>
      <c r="BR34" s="525">
        <f t="shared" ref="BR34:CW34" si="236">+ROUND((($E$10+$E$11+$E$12)*$D$34*BR24+($E$13*$D$34+$E$14)*BR25+$E$15*$C$34*BR26),2)</f>
        <v>135.77000000000001</v>
      </c>
      <c r="BS34" s="525">
        <f t="shared" si="236"/>
        <v>136.34</v>
      </c>
      <c r="BT34" s="525">
        <f t="shared" si="236"/>
        <v>141.41</v>
      </c>
      <c r="BU34" s="525">
        <f t="shared" si="236"/>
        <v>144.19999999999999</v>
      </c>
      <c r="BV34" s="525">
        <f t="shared" si="236"/>
        <v>144.22</v>
      </c>
      <c r="BW34" s="525">
        <f t="shared" si="236"/>
        <v>147.38999999999999</v>
      </c>
      <c r="BX34" s="525">
        <f t="shared" si="236"/>
        <v>146.5</v>
      </c>
      <c r="BY34" s="525">
        <f t="shared" si="236"/>
        <v>147.83000000000001</v>
      </c>
      <c r="BZ34" s="525">
        <f t="shared" si="236"/>
        <v>149.78</v>
      </c>
      <c r="CA34" s="525">
        <f t="shared" si="236"/>
        <v>150.57</v>
      </c>
      <c r="CB34" s="526">
        <f t="shared" si="236"/>
        <v>151.81</v>
      </c>
      <c r="CC34" s="524">
        <f t="shared" si="236"/>
        <v>152.97</v>
      </c>
      <c r="CD34" s="525">
        <f t="shared" si="236"/>
        <v>154.94</v>
      </c>
      <c r="CE34" s="525">
        <f t="shared" si="236"/>
        <v>157.46</v>
      </c>
      <c r="CF34" s="525">
        <f t="shared" si="236"/>
        <v>161.02000000000001</v>
      </c>
      <c r="CG34" s="525">
        <f t="shared" si="236"/>
        <v>165.07</v>
      </c>
      <c r="CH34" s="525">
        <f t="shared" si="236"/>
        <v>169.65</v>
      </c>
      <c r="CI34" s="525">
        <f t="shared" si="236"/>
        <v>173.06</v>
      </c>
      <c r="CJ34" s="528">
        <f t="shared" si="236"/>
        <v>174.04</v>
      </c>
      <c r="CK34" s="528">
        <f t="shared" si="236"/>
        <v>174.54</v>
      </c>
      <c r="CL34" s="525">
        <f t="shared" si="236"/>
        <v>179.73</v>
      </c>
      <c r="CM34" s="528">
        <f t="shared" si="236"/>
        <v>179.95</v>
      </c>
      <c r="CN34" s="528">
        <f t="shared" si="236"/>
        <v>180.28</v>
      </c>
      <c r="CO34" s="524">
        <f t="shared" si="236"/>
        <v>180.54</v>
      </c>
      <c r="CP34" s="525">
        <f t="shared" si="236"/>
        <v>181.23</v>
      </c>
      <c r="CQ34" s="525">
        <f t="shared" si="236"/>
        <v>184.53</v>
      </c>
      <c r="CR34" s="525">
        <f t="shared" si="236"/>
        <v>187.13</v>
      </c>
      <c r="CS34" s="525">
        <f t="shared" si="236"/>
        <v>194.2</v>
      </c>
      <c r="CT34" s="525">
        <f t="shared" si="236"/>
        <v>196.94</v>
      </c>
      <c r="CU34" s="525">
        <f t="shared" si="236"/>
        <v>198.97</v>
      </c>
      <c r="CV34" s="525">
        <f t="shared" si="236"/>
        <v>203.91</v>
      </c>
      <c r="CW34" s="1123">
        <f t="shared" si="236"/>
        <v>205.59</v>
      </c>
      <c r="CX34" s="525">
        <f t="shared" ref="CX34:EC34" si="237">+ROUND((($E$10+$E$11+$E$12)*$D$34*CX24+($E$13*$D$34+$E$14)*CX25+$E$15*$C$34*CX26),2)</f>
        <v>206.56</v>
      </c>
      <c r="CY34" s="528">
        <f t="shared" si="237"/>
        <v>207.24</v>
      </c>
      <c r="CZ34" s="528">
        <f t="shared" si="237"/>
        <v>213.76</v>
      </c>
      <c r="DA34" s="527">
        <f t="shared" si="237"/>
        <v>217.63</v>
      </c>
      <c r="DB34" s="528">
        <f t="shared" si="237"/>
        <v>218.24</v>
      </c>
      <c r="DC34" s="528">
        <f t="shared" si="237"/>
        <v>218.9</v>
      </c>
      <c r="DD34" s="528">
        <f t="shared" si="237"/>
        <v>231.81</v>
      </c>
      <c r="DE34" s="528">
        <f t="shared" si="237"/>
        <v>233.51</v>
      </c>
      <c r="DF34" s="528">
        <f t="shared" si="237"/>
        <v>234.87</v>
      </c>
      <c r="DG34" s="528">
        <f t="shared" si="237"/>
        <v>237.42</v>
      </c>
      <c r="DH34" s="528">
        <f t="shared" si="237"/>
        <v>243.31</v>
      </c>
      <c r="DI34" s="528">
        <f t="shared" si="237"/>
        <v>244.67</v>
      </c>
      <c r="DJ34" s="528">
        <f t="shared" si="237"/>
        <v>245.73</v>
      </c>
      <c r="DK34" s="528">
        <f t="shared" si="237"/>
        <v>250.28</v>
      </c>
      <c r="DL34" s="526">
        <f t="shared" si="237"/>
        <v>251.93</v>
      </c>
      <c r="DM34" s="528">
        <f t="shared" si="237"/>
        <v>256.41000000000003</v>
      </c>
      <c r="DN34" s="528">
        <f t="shared" si="237"/>
        <v>257.12</v>
      </c>
      <c r="DO34" s="528">
        <f t="shared" si="237"/>
        <v>259.82</v>
      </c>
      <c r="DP34" s="528">
        <f t="shared" si="237"/>
        <v>261.05</v>
      </c>
      <c r="DQ34" s="528">
        <f t="shared" si="237"/>
        <v>263.88</v>
      </c>
      <c r="DR34" s="528">
        <f t="shared" si="237"/>
        <v>287.56</v>
      </c>
      <c r="DS34" s="979">
        <f t="shared" si="237"/>
        <v>291.8</v>
      </c>
      <c r="DT34" s="979">
        <f t="shared" si="237"/>
        <v>292.99</v>
      </c>
      <c r="DU34" s="979">
        <f t="shared" si="237"/>
        <v>293.72000000000003</v>
      </c>
      <c r="DV34" s="974">
        <f t="shared" si="237"/>
        <v>294.11</v>
      </c>
      <c r="DW34" s="1145">
        <f t="shared" si="237"/>
        <v>295.95</v>
      </c>
      <c r="DX34" s="974">
        <f t="shared" si="237"/>
        <v>296.45</v>
      </c>
      <c r="DY34" s="1145">
        <f t="shared" si="237"/>
        <v>298.27999999999997</v>
      </c>
      <c r="DZ34" s="979">
        <f t="shared" si="237"/>
        <v>299.98</v>
      </c>
      <c r="EA34" s="979">
        <f t="shared" si="237"/>
        <v>303.25</v>
      </c>
      <c r="EB34" s="979">
        <f t="shared" si="237"/>
        <v>306.86</v>
      </c>
      <c r="EC34" s="979">
        <f t="shared" si="237"/>
        <v>309.64999999999998</v>
      </c>
      <c r="ED34" s="979">
        <f t="shared" ref="ED34:EK34" si="238">+ROUND((($E$10+$E$11+$E$12)*$D$34*ED24+($E$13*$D$34+$E$14)*ED25+$E$15*$C$34*ED26),2)</f>
        <v>330.88</v>
      </c>
      <c r="EE34" s="979">
        <f t="shared" si="238"/>
        <v>332.57</v>
      </c>
      <c r="EF34" s="979">
        <f t="shared" si="238"/>
        <v>334.17</v>
      </c>
      <c r="EG34" s="979">
        <f t="shared" si="238"/>
        <v>342.41</v>
      </c>
      <c r="EH34" s="979">
        <f t="shared" si="238"/>
        <v>342.75</v>
      </c>
      <c r="EI34" s="979">
        <f t="shared" si="238"/>
        <v>343.92</v>
      </c>
      <c r="EJ34" s="971">
        <f t="shared" si="238"/>
        <v>346.93</v>
      </c>
      <c r="EK34" s="979">
        <f t="shared" si="238"/>
        <v>354.62</v>
      </c>
      <c r="EL34" s="979">
        <f t="shared" ref="EL34:EQ34" si="239">+ROUND((($E$10+$E$11+$E$12)*$D$34*EL24+($E$13*$D$34+$E$14)*EL25+$E$15*$C$34*EL26),2)</f>
        <v>364.02</v>
      </c>
      <c r="EM34" s="979">
        <f t="shared" si="239"/>
        <v>373.15</v>
      </c>
      <c r="EN34" s="979">
        <f t="shared" si="239"/>
        <v>408.54</v>
      </c>
      <c r="EO34" s="979">
        <f t="shared" si="239"/>
        <v>410.56</v>
      </c>
      <c r="EP34" s="979">
        <f t="shared" si="239"/>
        <v>412.39</v>
      </c>
      <c r="EQ34" s="979">
        <f t="shared" si="239"/>
        <v>435.95</v>
      </c>
      <c r="ER34" s="979">
        <f t="shared" ref="ER34:EW34" si="240">+ROUND((($E$10+$E$11+$E$12)*$D$34*ER24+($E$13*$D$34+$E$14)*ER25+$E$15*$C$34*ER26),2)</f>
        <v>440.29</v>
      </c>
      <c r="ES34" s="979">
        <f t="shared" si="240"/>
        <v>444.64</v>
      </c>
      <c r="ET34" s="979">
        <f t="shared" si="240"/>
        <v>446.46</v>
      </c>
      <c r="EU34" s="979">
        <f t="shared" si="240"/>
        <v>447.76</v>
      </c>
      <c r="EV34" s="971">
        <f t="shared" si="240"/>
        <v>447.95</v>
      </c>
      <c r="EW34" s="1007">
        <f t="shared" si="240"/>
        <v>440.86</v>
      </c>
      <c r="EX34" s="979">
        <f t="shared" ref="EX34:FE34" si="241">+ROUND((($E$10+$E$11+$E$12)*$D$34*EX24+($E$13*$D$34+$E$14)*EX25+$E$15*$C$34*EX26),2)</f>
        <v>443.29</v>
      </c>
      <c r="EY34" s="974">
        <f t="shared" si="241"/>
        <v>447.9</v>
      </c>
      <c r="EZ34" s="974">
        <f t="shared" si="241"/>
        <v>481.08</v>
      </c>
      <c r="FA34" s="974">
        <f t="shared" si="241"/>
        <v>485.9</v>
      </c>
      <c r="FB34" s="974">
        <f t="shared" si="241"/>
        <v>491.82</v>
      </c>
      <c r="FC34" s="974">
        <f t="shared" si="241"/>
        <v>495.93</v>
      </c>
      <c r="FD34" s="974">
        <f t="shared" si="241"/>
        <v>517.49</v>
      </c>
      <c r="FE34" s="974">
        <f t="shared" si="241"/>
        <v>518.36</v>
      </c>
      <c r="FF34" s="979">
        <f t="shared" ref="FF34:FK34" si="242">+ROUND((($E$10+$E$11+$E$12)*$D$34*FF24+($E$13*$D$34+$E$14)*FF25+$E$15*$C$34*FF26),2)</f>
        <v>519.95000000000005</v>
      </c>
      <c r="FG34" s="971" t="e">
        <f t="shared" si="242"/>
        <v>#REF!</v>
      </c>
      <c r="FH34" s="971" t="e">
        <f t="shared" si="242"/>
        <v>#REF!</v>
      </c>
      <c r="FI34" s="1938">
        <f t="shared" si="242"/>
        <v>40.19</v>
      </c>
      <c r="FJ34" s="2510">
        <f t="shared" si="242"/>
        <v>42.78</v>
      </c>
      <c r="FK34" s="971">
        <f t="shared" si="242"/>
        <v>42.61</v>
      </c>
      <c r="FL34" s="971">
        <f t="shared" ref="FL34:HB34" si="243">+ROUND((($E$10+$E$11+$E$12)*$D$34*FL24+($E$13*$D$34+$E$14)*FL25+$E$15*$C$34*FL26),2)</f>
        <v>44.51</v>
      </c>
      <c r="FM34" s="971">
        <f t="shared" si="243"/>
        <v>45.7</v>
      </c>
      <c r="FN34" s="971">
        <f t="shared" si="243"/>
        <v>47.3</v>
      </c>
      <c r="FO34" s="971">
        <f t="shared" si="243"/>
        <v>47.3</v>
      </c>
      <c r="FP34" s="971">
        <f t="shared" si="243"/>
        <v>47.3</v>
      </c>
      <c r="FQ34" s="971">
        <f t="shared" si="243"/>
        <v>47.43</v>
      </c>
      <c r="FR34" s="971">
        <f t="shared" si="243"/>
        <v>48.5</v>
      </c>
      <c r="FS34" s="971">
        <f t="shared" si="243"/>
        <v>48.92</v>
      </c>
      <c r="FT34" s="971">
        <f t="shared" si="243"/>
        <v>49.36</v>
      </c>
      <c r="FU34" s="971">
        <f t="shared" si="243"/>
        <v>50.2</v>
      </c>
      <c r="FV34" s="971">
        <f t="shared" si="243"/>
        <v>50.43</v>
      </c>
      <c r="FW34" s="971">
        <f t="shared" si="243"/>
        <v>50.49</v>
      </c>
      <c r="FX34" s="971">
        <f t="shared" si="243"/>
        <v>51.42</v>
      </c>
      <c r="FY34" s="971">
        <f t="shared" si="243"/>
        <v>51.66</v>
      </c>
      <c r="FZ34" s="971">
        <f t="shared" si="243"/>
        <v>52.04</v>
      </c>
      <c r="GA34" s="971">
        <f t="shared" si="243"/>
        <v>57.25</v>
      </c>
      <c r="GB34" s="971">
        <f t="shared" si="243"/>
        <v>57.69</v>
      </c>
      <c r="GC34" s="971">
        <f t="shared" si="243"/>
        <v>57.19</v>
      </c>
      <c r="GD34" s="971">
        <f t="shared" si="243"/>
        <v>58.2</v>
      </c>
      <c r="GE34" s="971">
        <f t="shared" si="243"/>
        <v>60.04</v>
      </c>
      <c r="GF34" s="971">
        <f t="shared" si="243"/>
        <v>62.23</v>
      </c>
      <c r="GG34" s="971">
        <f t="shared" si="243"/>
        <v>63.69</v>
      </c>
      <c r="GH34" s="971">
        <f t="shared" si="243"/>
        <v>67.56</v>
      </c>
      <c r="GI34" s="971">
        <f t="shared" si="243"/>
        <v>68.650000000000006</v>
      </c>
      <c r="GJ34" s="971">
        <f t="shared" si="243"/>
        <v>70.290000000000006</v>
      </c>
      <c r="GK34" s="971">
        <f t="shared" si="243"/>
        <v>77.56</v>
      </c>
      <c r="GL34" s="971">
        <f t="shared" si="243"/>
        <v>82.51</v>
      </c>
      <c r="GM34" s="971">
        <f t="shared" si="243"/>
        <v>84.77</v>
      </c>
      <c r="GN34" s="971">
        <f t="shared" si="243"/>
        <v>89.41</v>
      </c>
      <c r="GO34" s="971">
        <f t="shared" si="243"/>
        <v>110.08</v>
      </c>
      <c r="GP34" s="971">
        <f t="shared" si="243"/>
        <v>110.48</v>
      </c>
      <c r="GQ34" s="971">
        <f t="shared" si="243"/>
        <v>108.61</v>
      </c>
      <c r="GR34" s="971">
        <f t="shared" si="243"/>
        <v>114.37</v>
      </c>
      <c r="GS34" s="971">
        <f t="shared" si="243"/>
        <v>110.9</v>
      </c>
      <c r="GT34" s="971">
        <f t="shared" si="243"/>
        <v>118.7</v>
      </c>
      <c r="GU34" s="971">
        <f t="shared" si="243"/>
        <v>121.3</v>
      </c>
      <c r="GV34" s="971">
        <f t="shared" si="243"/>
        <v>129.02000000000001</v>
      </c>
      <c r="GW34" s="971">
        <f t="shared" si="243"/>
        <v>137.41</v>
      </c>
      <c r="GX34" s="971">
        <f t="shared" si="243"/>
        <v>134.4</v>
      </c>
      <c r="GY34" s="971">
        <f t="shared" si="243"/>
        <v>135.72999999999999</v>
      </c>
      <c r="GZ34" s="971">
        <f t="shared" si="243"/>
        <v>156.86000000000001</v>
      </c>
      <c r="HA34" s="971">
        <f t="shared" si="243"/>
        <v>163.13</v>
      </c>
      <c r="HB34" s="971">
        <f t="shared" si="243"/>
        <v>168.45</v>
      </c>
      <c r="HC34" s="971">
        <f t="shared" ref="HC34:HH34" si="244">+ROUND((($E$10+$E$11+$E$12)*$D$34*HC24+($E$13*$D$34+$E$14)*HC25+$E$15*$C$34*HC26),2)</f>
        <v>171.55</v>
      </c>
      <c r="HD34" s="971">
        <f t="shared" si="244"/>
        <v>175.21</v>
      </c>
      <c r="HE34" s="971">
        <f t="shared" si="244"/>
        <v>181.22</v>
      </c>
      <c r="HF34" s="1938">
        <f t="shared" si="244"/>
        <v>183.48</v>
      </c>
      <c r="HG34" s="965">
        <f t="shared" si="244"/>
        <v>186.25</v>
      </c>
      <c r="HH34" s="965">
        <f t="shared" si="244"/>
        <v>191.07</v>
      </c>
      <c r="HI34" s="965">
        <f t="shared" ref="HI34:HJ34" si="245">+ROUND((($E$10+$E$11+$E$12)*$D$34*HI24+($E$13*$D$34+$E$14)*HI25+$E$15*$C$34*HI26),2)</f>
        <v>193.93</v>
      </c>
      <c r="HJ34" s="965">
        <f t="shared" si="245"/>
        <v>198.68</v>
      </c>
      <c r="HK34" s="965">
        <f t="shared" ref="HK34:HL34" si="246">+ROUND((($E$10+$E$11+$E$12)*$D$34*HK24+($E$13*$D$34+$E$14)*HK25+$E$15*$C$34*HK26),2)</f>
        <v>203.1</v>
      </c>
      <c r="HL34" s="965">
        <f t="shared" si="246"/>
        <v>207.62</v>
      </c>
      <c r="HM34" s="965">
        <f t="shared" ref="HM34:HN34" si="247">+ROUND((($E$10+$E$11+$E$12)*$D$34*HM24+($E$13*$D$34+$E$14)*HM25+$E$15*$C$34*HM26),2)</f>
        <v>213.51</v>
      </c>
      <c r="HN34" s="965">
        <f t="shared" si="247"/>
        <v>221.51</v>
      </c>
      <c r="HO34" s="965">
        <f t="shared" ref="HO34:HP34" si="248">+ROUND((($E$10+$E$11+$E$12)*$D$34*HO24+($E$13*$D$34+$E$14)*HO25+$E$15*$C$34*HO26),2)</f>
        <v>232.46</v>
      </c>
      <c r="HP34" s="965">
        <f t="shared" si="248"/>
        <v>241.51</v>
      </c>
      <c r="HQ34" s="965">
        <f t="shared" ref="HQ34:HR34" si="249">+ROUND((($E$10+$E$11+$E$12)*$D$34*HQ24+($E$13*$D$34+$E$14)*HQ25+$E$15*$C$34*HQ26),2)</f>
        <v>248.46</v>
      </c>
      <c r="HR34" s="1882">
        <f t="shared" si="249"/>
        <v>261.51</v>
      </c>
      <c r="HS34" s="1882">
        <f t="shared" ref="HS34:HT34" si="250">+ROUND((($E$10+$E$11+$E$12)*$D$34*HS24+($E$13*$D$34+$E$14)*HS25+$E$15*$C$34*HS26),2)</f>
        <v>276.39999999999998</v>
      </c>
      <c r="HT34" s="1882">
        <f t="shared" si="250"/>
        <v>287.54000000000002</v>
      </c>
      <c r="HU34" s="1882">
        <f t="shared" ref="HU34:HV34" si="251">+ROUND((($E$10+$E$11+$E$12)*$D$34*HU24+($E$13*$D$34+$E$14)*HU25+$E$15*$C$34*HU26),2)</f>
        <v>298.52999999999997</v>
      </c>
      <c r="HV34" s="1882">
        <f t="shared" si="251"/>
        <v>299.82</v>
      </c>
      <c r="HW34" s="1882">
        <f t="shared" ref="HW34:HX34" si="252">+ROUND((($E$10+$E$11+$E$12)*$D$34*HW24+($E$13*$D$34+$E$14)*HW25+$E$15*$C$34*HW26),2)</f>
        <v>304.26</v>
      </c>
      <c r="HX34" s="1882">
        <f t="shared" si="252"/>
        <v>308.18</v>
      </c>
      <c r="HY34" s="1882">
        <f t="shared" ref="HY34:HZ34" si="253">+ROUND((($E$10+$E$11+$E$12)*$D$34*HY24+($E$13*$D$34+$E$14)*HY25+$E$15*$C$34*HY26),2)</f>
        <v>308.98</v>
      </c>
      <c r="HZ34" s="1880">
        <f t="shared" si="253"/>
        <v>312.98</v>
      </c>
      <c r="IA34" s="1880">
        <f t="shared" ref="IA34:IB34" si="254">+ROUND((($E$10+$E$11+$E$12)*$D$34*IA24+($E$13*$D$34+$E$14)*IA25+$E$15*$C$34*IA26),2)</f>
        <v>314.2</v>
      </c>
      <c r="IB34" s="1880">
        <f t="shared" si="254"/>
        <v>317.20999999999998</v>
      </c>
      <c r="IC34" s="975">
        <f t="shared" ref="IC34:ID34" si="255">+ROUND((($E$10+$E$11+$E$12)*$D$34*IC24+($E$13*$D$34+$E$14)*IC25+$E$15*$C$34*IC26),2)</f>
        <v>323</v>
      </c>
      <c r="ID34" s="963">
        <f t="shared" si="255"/>
        <v>338.15</v>
      </c>
      <c r="IE34" s="963">
        <f t="shared" ref="IE34:IF34" si="256">+ROUND((($E$10+$E$11+$E$12)*$D$34*IE24+($E$13*$D$34+$E$14)*IE25+$E$15*$C$34*IE26),2)</f>
        <v>359.15</v>
      </c>
      <c r="IF34" s="963">
        <f t="shared" si="256"/>
        <v>370.03</v>
      </c>
      <c r="IG34" s="963">
        <f t="shared" ref="IG34:IH34" si="257">+ROUND((($E$10+$E$11+$E$12)*$D$34*IG24+($E$13*$D$34+$E$14)*IG25+$E$15*$C$34*IG26),2)</f>
        <v>398.89</v>
      </c>
      <c r="IH34" s="963">
        <f t="shared" si="257"/>
        <v>430.57</v>
      </c>
      <c r="II34" s="963">
        <f t="shared" ref="II34:IJ34" si="258">+ROUND((($E$10+$E$11+$E$12)*$D$34*II24+($E$13*$D$34+$E$14)*II25+$E$15*$C$34*II26),2)</f>
        <v>448.29</v>
      </c>
      <c r="IJ34" s="963">
        <f t="shared" si="258"/>
        <v>464.68</v>
      </c>
      <c r="IK34" s="963">
        <f t="shared" ref="IK34:IL34" si="259">+ROUND((($E$10+$E$11+$E$12)*$D$34*IK24+($E$13*$D$34+$E$14)*IK25+$E$15*$C$34*IK26),2)</f>
        <v>488.39</v>
      </c>
      <c r="IL34" s="963">
        <f t="shared" si="259"/>
        <v>522.39</v>
      </c>
      <c r="IM34" s="963">
        <f t="shared" ref="IM34:IN34" si="260">+ROUND((($E$10+$E$11+$E$12)*$D$34*IM24+($E$13*$D$34+$E$14)*IM25+$E$15*$C$34*IM26),2)</f>
        <v>585.09</v>
      </c>
      <c r="IN34" s="1880">
        <f t="shared" si="260"/>
        <v>623.94000000000005</v>
      </c>
      <c r="IO34" s="963">
        <f t="shared" ref="IO34:IP34" si="261">+ROUND((($E$10+$E$11+$E$12)*$D$34*IO24+($E$13*$D$34+$E$14)*IO25+$E$15*$C$34*IO26),2)</f>
        <v>646.64</v>
      </c>
      <c r="IP34" s="963">
        <f t="shared" si="261"/>
        <v>699.98</v>
      </c>
      <c r="IQ34" s="1037"/>
      <c r="IR34" s="9"/>
      <c r="IS34" s="9"/>
      <c r="IT34" s="10">
        <f>+IT33*2.2521</f>
        <v>7.8508206000000005</v>
      </c>
    </row>
    <row r="35" spans="2:261">
      <c r="B35" s="566" t="s">
        <v>688</v>
      </c>
      <c r="C35" s="475">
        <v>125</v>
      </c>
      <c r="D35" s="1464">
        <v>78000</v>
      </c>
      <c r="E35" s="1763">
        <f t="shared" si="120"/>
        <v>29.6555</v>
      </c>
      <c r="F35" s="1157">
        <f t="shared" ref="F35:AK35" si="262">+ROUND((($E$10+$E$11+$E$12)*$D$35*F24+($E$13*$D$35+$E$14)*F25+$E$15*$C$35*F26),2)</f>
        <v>77.03</v>
      </c>
      <c r="G35" s="1030">
        <f t="shared" si="262"/>
        <v>79.75</v>
      </c>
      <c r="H35" s="1030">
        <f t="shared" si="262"/>
        <v>79.22</v>
      </c>
      <c r="I35" s="1030">
        <f t="shared" si="262"/>
        <v>80.239999999999995</v>
      </c>
      <c r="J35" s="1030">
        <f t="shared" si="262"/>
        <v>79.88</v>
      </c>
      <c r="K35" s="1030">
        <f t="shared" si="262"/>
        <v>78.28</v>
      </c>
      <c r="L35" s="1030">
        <f t="shared" si="262"/>
        <v>76.86</v>
      </c>
      <c r="M35" s="1030">
        <f t="shared" si="262"/>
        <v>76.28</v>
      </c>
      <c r="N35" s="1030">
        <f t="shared" si="262"/>
        <v>75.569999999999993</v>
      </c>
      <c r="O35" s="1030">
        <f t="shared" si="262"/>
        <v>74.91</v>
      </c>
      <c r="P35" s="1030">
        <f t="shared" si="262"/>
        <v>75.989999999999995</v>
      </c>
      <c r="Q35" s="1155">
        <f t="shared" si="262"/>
        <v>76.33</v>
      </c>
      <c r="R35" s="1155">
        <f t="shared" si="262"/>
        <v>76.209999999999994</v>
      </c>
      <c r="S35" s="1155">
        <f t="shared" si="262"/>
        <v>76.680000000000007</v>
      </c>
      <c r="T35" s="1155">
        <f t="shared" si="262"/>
        <v>77.64</v>
      </c>
      <c r="U35" s="569">
        <f t="shared" si="262"/>
        <v>78.209999999999994</v>
      </c>
      <c r="V35" s="569">
        <f t="shared" si="262"/>
        <v>78.66</v>
      </c>
      <c r="W35" s="569">
        <f t="shared" si="262"/>
        <v>78.599999999999994</v>
      </c>
      <c r="X35" s="569">
        <f t="shared" si="262"/>
        <v>78.06</v>
      </c>
      <c r="Y35" s="569">
        <f t="shared" si="262"/>
        <v>79.02</v>
      </c>
      <c r="Z35" s="569">
        <f t="shared" si="262"/>
        <v>79.52</v>
      </c>
      <c r="AA35" s="569">
        <f t="shared" si="262"/>
        <v>79.53</v>
      </c>
      <c r="AB35" s="569">
        <f t="shared" si="262"/>
        <v>81.69</v>
      </c>
      <c r="AC35" s="569">
        <f t="shared" si="262"/>
        <v>81.66</v>
      </c>
      <c r="AD35" s="569">
        <f t="shared" si="262"/>
        <v>81.61</v>
      </c>
      <c r="AE35" s="569">
        <f t="shared" si="262"/>
        <v>81.63</v>
      </c>
      <c r="AF35" s="569">
        <f t="shared" si="262"/>
        <v>81.900000000000006</v>
      </c>
      <c r="AG35" s="569">
        <f t="shared" si="262"/>
        <v>82.63</v>
      </c>
      <c r="AH35" s="569">
        <f t="shared" si="262"/>
        <v>82.38</v>
      </c>
      <c r="AI35" s="569">
        <f t="shared" si="262"/>
        <v>87.03</v>
      </c>
      <c r="AJ35" s="569">
        <f t="shared" si="262"/>
        <v>87.74</v>
      </c>
      <c r="AK35" s="569">
        <f t="shared" si="262"/>
        <v>87.63</v>
      </c>
      <c r="AL35" s="569">
        <f t="shared" ref="AL35:BQ35" si="263">+ROUND((($E$10+$E$11+$E$12)*$D$35*AL24+($E$13*$D$35+$E$14)*AL25+$E$15*$C$35*AL26),2)</f>
        <v>87.08</v>
      </c>
      <c r="AM35" s="569">
        <f t="shared" si="263"/>
        <v>86.99</v>
      </c>
      <c r="AN35" s="569">
        <f t="shared" si="263"/>
        <v>87.1</v>
      </c>
      <c r="AO35" s="569">
        <f t="shared" si="263"/>
        <v>87.26</v>
      </c>
      <c r="AP35" s="569">
        <f t="shared" si="263"/>
        <v>87.61</v>
      </c>
      <c r="AQ35" s="569">
        <f t="shared" si="263"/>
        <v>90.68</v>
      </c>
      <c r="AR35" s="569">
        <f t="shared" si="263"/>
        <v>91</v>
      </c>
      <c r="AS35" s="569">
        <f t="shared" si="263"/>
        <v>92.21</v>
      </c>
      <c r="AT35" s="569">
        <f t="shared" si="263"/>
        <v>92.39</v>
      </c>
      <c r="AU35" s="569">
        <f t="shared" si="263"/>
        <v>93.63</v>
      </c>
      <c r="AV35" s="569">
        <f t="shared" si="263"/>
        <v>92.85</v>
      </c>
      <c r="AW35" s="569">
        <f t="shared" si="263"/>
        <v>94.52</v>
      </c>
      <c r="AX35" s="569">
        <f t="shared" si="263"/>
        <v>94.57</v>
      </c>
      <c r="AY35" s="569">
        <f t="shared" si="263"/>
        <v>95.48</v>
      </c>
      <c r="AZ35" s="569">
        <f t="shared" si="263"/>
        <v>95.92</v>
      </c>
      <c r="BA35" s="569">
        <f t="shared" si="263"/>
        <v>91.38</v>
      </c>
      <c r="BB35" s="569">
        <f t="shared" si="263"/>
        <v>97.88</v>
      </c>
      <c r="BC35" s="569">
        <f t="shared" si="263"/>
        <v>97.36</v>
      </c>
      <c r="BD35" s="569">
        <f t="shared" si="263"/>
        <v>97.39</v>
      </c>
      <c r="BE35" s="569">
        <f t="shared" si="263"/>
        <v>99.26</v>
      </c>
      <c r="BF35" s="569">
        <f t="shared" si="263"/>
        <v>99.6</v>
      </c>
      <c r="BG35" s="569">
        <f t="shared" si="263"/>
        <v>99.39</v>
      </c>
      <c r="BH35" s="569">
        <f t="shared" si="263"/>
        <v>99.47</v>
      </c>
      <c r="BI35" s="569">
        <f t="shared" si="263"/>
        <v>102.77</v>
      </c>
      <c r="BJ35" s="569">
        <f t="shared" si="263"/>
        <v>103.09</v>
      </c>
      <c r="BK35" s="569">
        <f t="shared" si="263"/>
        <v>105.62</v>
      </c>
      <c r="BL35" s="569">
        <f t="shared" si="263"/>
        <v>105.6</v>
      </c>
      <c r="BM35" s="569">
        <f t="shared" si="263"/>
        <v>105.83</v>
      </c>
      <c r="BN35" s="569">
        <f t="shared" si="263"/>
        <v>106.23</v>
      </c>
      <c r="BO35" s="569">
        <f t="shared" si="263"/>
        <v>106.49</v>
      </c>
      <c r="BP35" s="1158">
        <f t="shared" si="263"/>
        <v>110.92</v>
      </c>
      <c r="BQ35" s="1159">
        <f t="shared" si="263"/>
        <v>106.61</v>
      </c>
      <c r="BR35" s="569">
        <f t="shared" ref="BR35:CW35" si="264">+ROUND((($E$10+$E$11+$E$12)*$D$35*BR24+($E$13*$D$35+$E$14)*BR25+$E$15*$C$35*BR26),2)</f>
        <v>104</v>
      </c>
      <c r="BS35" s="569">
        <f t="shared" si="264"/>
        <v>104.27</v>
      </c>
      <c r="BT35" s="569">
        <f t="shared" si="264"/>
        <v>108.31</v>
      </c>
      <c r="BU35" s="569">
        <f t="shared" si="264"/>
        <v>110.68</v>
      </c>
      <c r="BV35" s="569">
        <f t="shared" si="264"/>
        <v>110.86</v>
      </c>
      <c r="BW35" s="569">
        <f t="shared" si="264"/>
        <v>113.53</v>
      </c>
      <c r="BX35" s="569">
        <f t="shared" si="264"/>
        <v>112.7</v>
      </c>
      <c r="BY35" s="569">
        <f t="shared" si="264"/>
        <v>113.81</v>
      </c>
      <c r="BZ35" s="569">
        <f t="shared" si="264"/>
        <v>115.17</v>
      </c>
      <c r="CA35" s="569">
        <f t="shared" si="264"/>
        <v>115.79</v>
      </c>
      <c r="CB35" s="1158">
        <f t="shared" si="264"/>
        <v>116.69</v>
      </c>
      <c r="CC35" s="1159">
        <f t="shared" si="264"/>
        <v>117.66</v>
      </c>
      <c r="CD35" s="569">
        <f t="shared" si="264"/>
        <v>119.21</v>
      </c>
      <c r="CE35" s="569">
        <f t="shared" si="264"/>
        <v>121.19</v>
      </c>
      <c r="CF35" s="569">
        <f t="shared" si="264"/>
        <v>124.12</v>
      </c>
      <c r="CG35" s="569">
        <f t="shared" si="264"/>
        <v>127.5</v>
      </c>
      <c r="CH35" s="569">
        <f t="shared" si="264"/>
        <v>131.41</v>
      </c>
      <c r="CI35" s="569">
        <f t="shared" si="264"/>
        <v>134.38</v>
      </c>
      <c r="CJ35" s="1160">
        <f t="shared" si="264"/>
        <v>135.05000000000001</v>
      </c>
      <c r="CK35" s="1160">
        <f t="shared" si="264"/>
        <v>135.41</v>
      </c>
      <c r="CL35" s="569">
        <f t="shared" si="264"/>
        <v>139.78</v>
      </c>
      <c r="CM35" s="1160">
        <f t="shared" si="264"/>
        <v>139.99</v>
      </c>
      <c r="CN35" s="1160">
        <f t="shared" si="264"/>
        <v>140.28</v>
      </c>
      <c r="CO35" s="1159">
        <f t="shared" si="264"/>
        <v>140.44999999999999</v>
      </c>
      <c r="CP35" s="569">
        <f t="shared" si="264"/>
        <v>140.88999999999999</v>
      </c>
      <c r="CQ35" s="569">
        <f t="shared" si="264"/>
        <v>143.59</v>
      </c>
      <c r="CR35" s="569">
        <f t="shared" si="264"/>
        <v>145.85</v>
      </c>
      <c r="CS35" s="569">
        <f t="shared" si="264"/>
        <v>151.68</v>
      </c>
      <c r="CT35" s="569">
        <f t="shared" si="264"/>
        <v>154.13</v>
      </c>
      <c r="CU35" s="569">
        <f t="shared" si="264"/>
        <v>155.83000000000001</v>
      </c>
      <c r="CV35" s="569">
        <f t="shared" si="264"/>
        <v>160</v>
      </c>
      <c r="CW35" s="1161">
        <f t="shared" si="264"/>
        <v>161.4</v>
      </c>
      <c r="CX35" s="569">
        <f t="shared" ref="CX35:EC35" si="265">+ROUND((($E$10+$E$11+$E$12)*$D$35*CX24+($E$13*$D$35+$E$14)*CX25+$E$15*$C$35*CX26),2)</f>
        <v>161.99</v>
      </c>
      <c r="CY35" s="1160">
        <f t="shared" si="265"/>
        <v>162.58000000000001</v>
      </c>
      <c r="CZ35" s="1160">
        <f t="shared" si="265"/>
        <v>168.08</v>
      </c>
      <c r="DA35" s="1162">
        <f t="shared" si="265"/>
        <v>171.42</v>
      </c>
      <c r="DB35" s="1160">
        <f t="shared" si="265"/>
        <v>171.85</v>
      </c>
      <c r="DC35" s="1160">
        <f t="shared" si="265"/>
        <v>172.48</v>
      </c>
      <c r="DD35" s="1160">
        <f t="shared" si="265"/>
        <v>183.27</v>
      </c>
      <c r="DE35" s="1160">
        <f t="shared" si="265"/>
        <v>184.74</v>
      </c>
      <c r="DF35" s="1160">
        <f t="shared" si="265"/>
        <v>185.78</v>
      </c>
      <c r="DG35" s="1160">
        <f t="shared" si="265"/>
        <v>187.86</v>
      </c>
      <c r="DH35" s="1160">
        <f t="shared" si="265"/>
        <v>192.71</v>
      </c>
      <c r="DI35" s="1160">
        <f t="shared" si="265"/>
        <v>193.85</v>
      </c>
      <c r="DJ35" s="1160">
        <f t="shared" si="265"/>
        <v>194.73</v>
      </c>
      <c r="DK35" s="1160">
        <f t="shared" si="265"/>
        <v>198.47</v>
      </c>
      <c r="DL35" s="1158">
        <f t="shared" si="265"/>
        <v>199.73</v>
      </c>
      <c r="DM35" s="1160">
        <f t="shared" si="265"/>
        <v>203.64</v>
      </c>
      <c r="DN35" s="1160">
        <f t="shared" si="265"/>
        <v>204.23</v>
      </c>
      <c r="DO35" s="1160">
        <f t="shared" si="265"/>
        <v>206.27</v>
      </c>
      <c r="DP35" s="1160">
        <f t="shared" si="265"/>
        <v>207.18</v>
      </c>
      <c r="DQ35" s="1160">
        <f t="shared" si="265"/>
        <v>209.6</v>
      </c>
      <c r="DR35" s="1160">
        <f t="shared" si="265"/>
        <v>228.99</v>
      </c>
      <c r="DS35" s="1163">
        <f t="shared" si="265"/>
        <v>232.42</v>
      </c>
      <c r="DT35" s="1163">
        <f t="shared" si="265"/>
        <v>233.31</v>
      </c>
      <c r="DU35" s="1163">
        <f t="shared" si="265"/>
        <v>233.77</v>
      </c>
      <c r="DV35" s="1164">
        <f t="shared" si="265"/>
        <v>234.01</v>
      </c>
      <c r="DW35" s="1165">
        <f t="shared" si="265"/>
        <v>235.5</v>
      </c>
      <c r="DX35" s="1164">
        <f t="shared" si="265"/>
        <v>235.83</v>
      </c>
      <c r="DY35" s="1165">
        <f t="shared" si="265"/>
        <v>237.2</v>
      </c>
      <c r="DZ35" s="1163">
        <f t="shared" si="265"/>
        <v>238.49</v>
      </c>
      <c r="EA35" s="1163">
        <f t="shared" si="265"/>
        <v>241.22</v>
      </c>
      <c r="EB35" s="1163">
        <f t="shared" si="265"/>
        <v>244.14</v>
      </c>
      <c r="EC35" s="1163">
        <f t="shared" si="265"/>
        <v>246.36</v>
      </c>
      <c r="ED35" s="1163">
        <f t="shared" ref="ED35:EK35" si="266">+ROUND((($E$10+$E$11+$E$12)*$D$35*ED24+($E$13*$D$35+$E$14)*ED25+$E$15*$C$35*ED26),2)</f>
        <v>263.83</v>
      </c>
      <c r="EE35" s="1163">
        <f t="shared" si="266"/>
        <v>265.18</v>
      </c>
      <c r="EF35" s="1163">
        <f t="shared" si="266"/>
        <v>266.39</v>
      </c>
      <c r="EG35" s="1163">
        <f t="shared" si="266"/>
        <v>273.02999999999997</v>
      </c>
      <c r="EH35" s="1163">
        <f t="shared" si="266"/>
        <v>273.23</v>
      </c>
      <c r="EI35" s="1163">
        <f t="shared" si="266"/>
        <v>274.08999999999997</v>
      </c>
      <c r="EJ35" s="1173">
        <f t="shared" si="266"/>
        <v>276.22000000000003</v>
      </c>
      <c r="EK35" s="1163">
        <f t="shared" si="266"/>
        <v>282.41000000000003</v>
      </c>
      <c r="EL35" s="1163">
        <f t="shared" ref="EL35:EQ35" si="267">+ROUND((($E$10+$E$11+$E$12)*$D$35*EL24+($E$13*$D$35+$E$14)*EL25+$E$15*$C$35*EL26),2)</f>
        <v>288.89999999999998</v>
      </c>
      <c r="EM35" s="1163">
        <f t="shared" si="267"/>
        <v>296.48</v>
      </c>
      <c r="EN35" s="1163">
        <f t="shared" si="267"/>
        <v>326.25</v>
      </c>
      <c r="EO35" s="1163">
        <f t="shared" si="267"/>
        <v>327.9</v>
      </c>
      <c r="EP35" s="979">
        <f t="shared" si="267"/>
        <v>329.33</v>
      </c>
      <c r="EQ35" s="979">
        <f t="shared" si="267"/>
        <v>349.37</v>
      </c>
      <c r="ER35" s="979">
        <f t="shared" ref="ER35:EW35" si="268">+ROUND((($E$10+$E$11+$E$12)*$D$35*ER24+($E$13*$D$35+$E$14)*ER25+$E$15*$C$35*ER26),2)</f>
        <v>352.26</v>
      </c>
      <c r="ES35" s="979">
        <f t="shared" si="268"/>
        <v>355.82</v>
      </c>
      <c r="ET35" s="979">
        <f t="shared" si="268"/>
        <v>357.13</v>
      </c>
      <c r="EU35" s="979">
        <f t="shared" si="268"/>
        <v>357.91</v>
      </c>
      <c r="EV35" s="971">
        <f t="shared" si="268"/>
        <v>358.03</v>
      </c>
      <c r="EW35" s="1007">
        <f t="shared" si="268"/>
        <v>351.49</v>
      </c>
      <c r="EX35" s="979">
        <f t="shared" ref="EX35:FE35" si="269">+ROUND((($E$10+$E$11+$E$12)*$D$35*EX24+($E$13*$D$35+$E$14)*EX25+$E$15*$C$35*EX26),2)</f>
        <v>353.54</v>
      </c>
      <c r="EY35" s="974">
        <f t="shared" si="269"/>
        <v>356.93</v>
      </c>
      <c r="EZ35" s="974">
        <f t="shared" si="269"/>
        <v>383.48</v>
      </c>
      <c r="FA35" s="974">
        <f t="shared" si="269"/>
        <v>387.13</v>
      </c>
      <c r="FB35" s="974">
        <f t="shared" si="269"/>
        <v>391.71</v>
      </c>
      <c r="FC35" s="974">
        <f t="shared" si="269"/>
        <v>394.77</v>
      </c>
      <c r="FD35" s="974">
        <f t="shared" si="269"/>
        <v>412.21</v>
      </c>
      <c r="FE35" s="974">
        <f t="shared" si="269"/>
        <v>412.83</v>
      </c>
      <c r="FF35" s="979">
        <f t="shared" ref="FF35:FK35" si="270">+ROUND((($E$10+$E$11+$E$12)*$D$35*FF24+($E$13*$D$35+$E$14)*FF25+$E$15*$C$35*FF26),2)</f>
        <v>413.79</v>
      </c>
      <c r="FG35" s="971" t="e">
        <f t="shared" si="270"/>
        <v>#REF!</v>
      </c>
      <c r="FH35" s="971" t="e">
        <f t="shared" si="270"/>
        <v>#REF!</v>
      </c>
      <c r="FI35" s="1938">
        <f t="shared" si="270"/>
        <v>29.66</v>
      </c>
      <c r="FJ35" s="2510">
        <f t="shared" si="270"/>
        <v>31.21</v>
      </c>
      <c r="FK35" s="971">
        <f t="shared" si="270"/>
        <v>31.38</v>
      </c>
      <c r="FL35" s="971">
        <f t="shared" ref="FL35:HB35" si="271">+ROUND((($E$10+$E$11+$E$12)*$D$35*FL24+($E$13*$D$35+$E$14)*FL25+$E$15*$C$35*FL26),2)</f>
        <v>33.07</v>
      </c>
      <c r="FM35" s="971">
        <f t="shared" si="271"/>
        <v>34.26</v>
      </c>
      <c r="FN35" s="971">
        <f t="shared" si="271"/>
        <v>35.22</v>
      </c>
      <c r="FO35" s="971">
        <f t="shared" si="271"/>
        <v>35.22</v>
      </c>
      <c r="FP35" s="971">
        <f t="shared" si="271"/>
        <v>35.22</v>
      </c>
      <c r="FQ35" s="971">
        <f t="shared" si="271"/>
        <v>35.299999999999997</v>
      </c>
      <c r="FR35" s="971">
        <f t="shared" si="271"/>
        <v>36.090000000000003</v>
      </c>
      <c r="FS35" s="971">
        <f t="shared" si="271"/>
        <v>36.340000000000003</v>
      </c>
      <c r="FT35" s="971">
        <f t="shared" si="271"/>
        <v>36.61</v>
      </c>
      <c r="FU35" s="971">
        <f t="shared" si="271"/>
        <v>37.32</v>
      </c>
      <c r="FV35" s="971">
        <f t="shared" si="271"/>
        <v>37.74</v>
      </c>
      <c r="FW35" s="971">
        <f t="shared" si="271"/>
        <v>37.78</v>
      </c>
      <c r="FX35" s="971">
        <f t="shared" si="271"/>
        <v>38.520000000000003</v>
      </c>
      <c r="FY35" s="971">
        <f t="shared" si="271"/>
        <v>38.520000000000003</v>
      </c>
      <c r="FZ35" s="971">
        <f t="shared" si="271"/>
        <v>38.74</v>
      </c>
      <c r="GA35" s="971">
        <f t="shared" si="271"/>
        <v>42.4</v>
      </c>
      <c r="GB35" s="971">
        <f t="shared" si="271"/>
        <v>42.66</v>
      </c>
      <c r="GC35" s="971">
        <f t="shared" si="271"/>
        <v>42.36</v>
      </c>
      <c r="GD35" s="971">
        <f t="shared" si="271"/>
        <v>43.15</v>
      </c>
      <c r="GE35" s="971">
        <f t="shared" si="271"/>
        <v>44.63</v>
      </c>
      <c r="GF35" s="971">
        <f t="shared" si="271"/>
        <v>46.34</v>
      </c>
      <c r="GG35" s="971">
        <f t="shared" si="271"/>
        <v>47.21</v>
      </c>
      <c r="GH35" s="971">
        <f t="shared" si="271"/>
        <v>50.39</v>
      </c>
      <c r="GI35" s="971">
        <f t="shared" si="271"/>
        <v>51.08</v>
      </c>
      <c r="GJ35" s="971">
        <f t="shared" si="271"/>
        <v>52.47</v>
      </c>
      <c r="GK35" s="971">
        <f t="shared" si="271"/>
        <v>56.83</v>
      </c>
      <c r="GL35" s="971">
        <f t="shared" si="271"/>
        <v>59.72</v>
      </c>
      <c r="GM35" s="971">
        <f t="shared" si="271"/>
        <v>61.87</v>
      </c>
      <c r="GN35" s="971">
        <f t="shared" si="271"/>
        <v>65.33</v>
      </c>
      <c r="GO35" s="971">
        <f t="shared" si="271"/>
        <v>78.989999999999995</v>
      </c>
      <c r="GP35" s="971">
        <f t="shared" si="271"/>
        <v>80.239999999999995</v>
      </c>
      <c r="GQ35" s="971">
        <f t="shared" si="271"/>
        <v>79.56</v>
      </c>
      <c r="GR35" s="971">
        <f t="shared" si="271"/>
        <v>83.36</v>
      </c>
      <c r="GS35" s="971">
        <f t="shared" si="271"/>
        <v>80.92</v>
      </c>
      <c r="GT35" s="971">
        <f t="shared" si="271"/>
        <v>86.59</v>
      </c>
      <c r="GU35" s="971">
        <f t="shared" si="271"/>
        <v>88.3</v>
      </c>
      <c r="GV35" s="971">
        <f t="shared" si="271"/>
        <v>93.84</v>
      </c>
      <c r="GW35" s="971">
        <f t="shared" si="271"/>
        <v>99.63</v>
      </c>
      <c r="GX35" s="971">
        <f t="shared" si="271"/>
        <v>98.02</v>
      </c>
      <c r="GY35" s="971">
        <f t="shared" si="271"/>
        <v>99.22</v>
      </c>
      <c r="GZ35" s="971">
        <f t="shared" si="271"/>
        <v>112.02</v>
      </c>
      <c r="HA35" s="971">
        <f t="shared" si="271"/>
        <v>116.37</v>
      </c>
      <c r="HB35" s="971">
        <f t="shared" si="271"/>
        <v>119.85</v>
      </c>
      <c r="HC35" s="971">
        <f t="shared" ref="HC35:HH35" si="272">+ROUND((($E$10+$E$11+$E$12)*$D$35*HC24+($E$13*$D$35+$E$14)*HC25+$E$15*$C$35*HC26),2)</f>
        <v>123.52</v>
      </c>
      <c r="HD35" s="971">
        <f t="shared" si="272"/>
        <v>126.79</v>
      </c>
      <c r="HE35" s="971">
        <f t="shared" si="272"/>
        <v>130.66</v>
      </c>
      <c r="HF35" s="1938">
        <f t="shared" si="272"/>
        <v>132.19999999999999</v>
      </c>
      <c r="HG35" s="965">
        <f t="shared" si="272"/>
        <v>133.85</v>
      </c>
      <c r="HH35" s="965">
        <f t="shared" si="272"/>
        <v>136.74</v>
      </c>
      <c r="HI35" s="965">
        <f t="shared" ref="HI35:HJ35" si="273">+ROUND((($E$10+$E$11+$E$12)*$D$35*HI24+($E$13*$D$35+$E$14)*HI25+$E$15*$C$35*HI26),2)</f>
        <v>138.47</v>
      </c>
      <c r="HJ35" s="965">
        <f t="shared" si="273"/>
        <v>141.30000000000001</v>
      </c>
      <c r="HK35" s="965">
        <f t="shared" ref="HK35:HL35" si="274">+ROUND((($E$10+$E$11+$E$12)*$D$35*HK24+($E$13*$D$35+$E$14)*HK25+$E$15*$C$35*HK26),2)</f>
        <v>143.94999999999999</v>
      </c>
      <c r="HL35" s="965">
        <f t="shared" si="274"/>
        <v>147.16</v>
      </c>
      <c r="HM35" s="965">
        <f t="shared" ref="HM35:HN35" si="275">+ROUND((($E$10+$E$11+$E$12)*$D$35*HM24+($E$13*$D$35+$E$14)*HM25+$E$15*$C$35*HM26),2)</f>
        <v>151.47999999999999</v>
      </c>
      <c r="HN35" s="965">
        <f t="shared" si="275"/>
        <v>156.97999999999999</v>
      </c>
      <c r="HO35" s="965">
        <f t="shared" ref="HO35:HP35" si="276">+ROUND((($E$10+$E$11+$E$12)*$D$35*HO24+($E$13*$D$35+$E$14)*HO25+$E$15*$C$35*HO26),2)</f>
        <v>164.97</v>
      </c>
      <c r="HP35" s="965">
        <f t="shared" si="276"/>
        <v>171.74</v>
      </c>
      <c r="HQ35" s="965">
        <f t="shared" ref="HQ35:HR35" si="277">+ROUND((($E$10+$E$11+$E$12)*$D$35*HQ24+($E$13*$D$35+$E$14)*HQ25+$E$15*$C$35*HQ26),2)</f>
        <v>176.66</v>
      </c>
      <c r="HR35" s="1882">
        <f t="shared" si="277"/>
        <v>187.02</v>
      </c>
      <c r="HS35" s="1882">
        <f t="shared" ref="HS35:HT35" si="278">+ROUND((($E$10+$E$11+$E$12)*$D$35*HS24+($E$13*$D$35+$E$14)*HS25+$E$15*$C$35*HS26),2)</f>
        <v>199.01</v>
      </c>
      <c r="HT35" s="1882">
        <f t="shared" si="278"/>
        <v>208.14</v>
      </c>
      <c r="HU35" s="1882">
        <f t="shared" ref="HU35:HV35" si="279">+ROUND((($E$10+$E$11+$E$12)*$D$35*HU24+($E$13*$D$35+$E$14)*HU25+$E$15*$C$35*HU26),2)</f>
        <v>217.24</v>
      </c>
      <c r="HV35" s="1882">
        <f t="shared" si="279"/>
        <v>218.04</v>
      </c>
      <c r="HW35" s="1882">
        <f t="shared" ref="HW35:HX35" si="280">+ROUND((($E$10+$E$11+$E$12)*$D$35*HW24+($E$13*$D$35+$E$14)*HW25+$E$15*$C$35*HW26),2)</f>
        <v>221.34</v>
      </c>
      <c r="HX35" s="1882">
        <f t="shared" si="280"/>
        <v>224.37</v>
      </c>
      <c r="HY35" s="1882">
        <f t="shared" ref="HY35:HZ35" si="281">+ROUND((($E$10+$E$11+$E$12)*$D$35*HY24+($E$13*$D$35+$E$14)*HY25+$E$15*$C$35*HY26),2)</f>
        <v>224.51</v>
      </c>
      <c r="HZ35" s="1880">
        <f t="shared" si="281"/>
        <v>227.36</v>
      </c>
      <c r="IA35" s="1880">
        <f t="shared" ref="IA35:IB35" si="282">+ROUND((($E$10+$E$11+$E$12)*$D$35*IA24+($E$13*$D$35+$E$14)*IA25+$E$15*$C$35*IA26),2)</f>
        <v>228.08</v>
      </c>
      <c r="IB35" s="1880">
        <f t="shared" si="282"/>
        <v>229.84</v>
      </c>
      <c r="IC35" s="975">
        <f t="shared" ref="IC35:ID35" si="283">+ROUND((($E$10+$E$11+$E$12)*$D$35*IC24+($E$13*$D$35+$E$14)*IC25+$E$15*$C$35*IC26),2)</f>
        <v>233.73</v>
      </c>
      <c r="ID35" s="963">
        <f t="shared" si="283"/>
        <v>246.06</v>
      </c>
      <c r="IE35" s="963">
        <f t="shared" ref="IE35:IF35" si="284">+ROUND((($E$10+$E$11+$E$12)*$D$35*IE24+($E$13*$D$35+$E$14)*IE25+$E$15*$C$35*IE26),2)</f>
        <v>263</v>
      </c>
      <c r="IF35" s="963">
        <f t="shared" si="284"/>
        <v>270.70999999999998</v>
      </c>
      <c r="IG35" s="963">
        <f t="shared" ref="IG35:IH35" si="285">+ROUND((($E$10+$E$11+$E$12)*$D$35*IG24+($E$13*$D$35+$E$14)*IG25+$E$15*$C$35*IG26),2)</f>
        <v>293.82</v>
      </c>
      <c r="IH35" s="963">
        <f t="shared" si="285"/>
        <v>319.68</v>
      </c>
      <c r="II35" s="963">
        <f t="shared" ref="II35:IJ35" si="286">+ROUND((($E$10+$E$11+$E$12)*$D$35*II24+($E$13*$D$35+$E$14)*II25+$E$15*$C$35*II26),2)</f>
        <v>331.97</v>
      </c>
      <c r="IJ35" s="963">
        <f t="shared" si="286"/>
        <v>344.24</v>
      </c>
      <c r="IK35" s="963">
        <f t="shared" ref="IK35:IL35" si="287">+ROUND((($E$10+$E$11+$E$12)*$D$35*IK24+($E$13*$D$35+$E$14)*IK25+$E$15*$C$35*IK26),2)</f>
        <v>359.72</v>
      </c>
      <c r="IL35" s="963">
        <f t="shared" si="287"/>
        <v>385.21</v>
      </c>
      <c r="IM35" s="963">
        <f t="shared" ref="IM35:IN35" si="288">+ROUND((($E$10+$E$11+$E$12)*$D$35*IM24+($E$13*$D$35+$E$14)*IM25+$E$15*$C$35*IM26),2)</f>
        <v>435.28</v>
      </c>
      <c r="IN35" s="1880">
        <f t="shared" si="288"/>
        <v>465.74</v>
      </c>
      <c r="IO35" s="963">
        <f t="shared" ref="IO35:IP35" si="289">+ROUND((($E$10+$E$11+$E$12)*$D$35*IO24+($E$13*$D$35+$E$14)*IO25+$E$15*$C$35*IO26),2)</f>
        <v>481.14</v>
      </c>
      <c r="IP35" s="963">
        <f t="shared" si="289"/>
        <v>522.82000000000005</v>
      </c>
      <c r="IQ35" s="1037"/>
      <c r="IT35" s="16">
        <f>+IT34+0.28</f>
        <v>8.1308205999999998</v>
      </c>
    </row>
    <row r="36" spans="2:261" ht="16.5" thickBot="1">
      <c r="B36" s="369"/>
      <c r="C36" s="436"/>
      <c r="D36" s="436"/>
      <c r="E36" s="1753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436"/>
      <c r="BE36" s="436"/>
      <c r="BF36" s="436"/>
      <c r="BG36" s="436"/>
      <c r="BH36" s="436"/>
      <c r="BI36" s="436"/>
      <c r="BJ36" s="436"/>
      <c r="BK36" s="436"/>
      <c r="BL36" s="436"/>
      <c r="BM36" s="436"/>
      <c r="BN36" s="436"/>
      <c r="BO36" s="436"/>
      <c r="BP36" s="436"/>
      <c r="BQ36" s="436"/>
      <c r="BR36" s="436"/>
      <c r="BS36" s="436"/>
      <c r="BT36" s="436"/>
      <c r="BU36" s="436"/>
      <c r="BV36" s="436"/>
      <c r="BW36" s="436"/>
      <c r="BX36" s="436"/>
      <c r="BY36" s="436"/>
      <c r="BZ36" s="436"/>
      <c r="CA36" s="436"/>
      <c r="CB36" s="436"/>
      <c r="CC36" s="436"/>
      <c r="CD36" s="436"/>
      <c r="CE36" s="436"/>
      <c r="CF36" s="436"/>
      <c r="CG36" s="436"/>
      <c r="CH36" s="436"/>
      <c r="CI36" s="436"/>
      <c r="CJ36" s="436"/>
      <c r="CK36" s="436"/>
      <c r="CL36" s="436"/>
      <c r="CM36" s="436"/>
      <c r="CN36" s="436"/>
      <c r="CO36" s="436"/>
      <c r="CP36" s="436"/>
      <c r="CQ36" s="436"/>
      <c r="CR36" s="436"/>
      <c r="CS36" s="436"/>
      <c r="CT36" s="436"/>
      <c r="CU36" s="436"/>
      <c r="CV36" s="436"/>
      <c r="CW36" s="1754"/>
      <c r="CX36" s="436"/>
      <c r="CY36" s="436"/>
      <c r="CZ36" s="436"/>
      <c r="DA36" s="436"/>
      <c r="DB36" s="436"/>
      <c r="DC36" s="436"/>
      <c r="DD36" s="436"/>
      <c r="DE36" s="436"/>
      <c r="DF36" s="436"/>
      <c r="DG36" s="436"/>
      <c r="DH36" s="436"/>
      <c r="DI36" s="436"/>
      <c r="DJ36" s="436"/>
      <c r="DK36" s="436"/>
      <c r="DL36" s="436"/>
      <c r="DM36" s="436"/>
      <c r="DN36" s="436"/>
      <c r="DO36" s="436"/>
      <c r="DP36" s="436"/>
      <c r="DQ36" s="436"/>
      <c r="DR36" s="436"/>
      <c r="DS36" s="402"/>
      <c r="DT36" s="402"/>
      <c r="DU36" s="402"/>
      <c r="DV36" s="402"/>
      <c r="DW36" s="402"/>
      <c r="DX36" s="402"/>
      <c r="DY36" s="402"/>
      <c r="DZ36" s="402"/>
      <c r="EA36" s="436"/>
      <c r="EB36" s="436"/>
      <c r="EC36" s="436"/>
      <c r="ED36" s="436"/>
      <c r="EE36" s="436"/>
      <c r="EF36" s="436"/>
      <c r="EG36" s="436"/>
      <c r="EH36" s="436"/>
      <c r="EI36" s="436"/>
      <c r="EJ36" s="436"/>
      <c r="EK36" s="436"/>
      <c r="EL36" s="436"/>
      <c r="EM36" s="436"/>
      <c r="EN36" s="436"/>
      <c r="EO36" s="436"/>
      <c r="EP36" s="436"/>
      <c r="EQ36" s="436"/>
      <c r="ER36" s="436"/>
      <c r="ES36" s="436"/>
      <c r="ET36" s="436"/>
      <c r="EU36" s="436"/>
      <c r="EV36" s="436"/>
      <c r="EW36" s="436"/>
      <c r="EX36" s="436"/>
      <c r="EY36" s="436"/>
      <c r="EZ36" s="436"/>
      <c r="FA36" s="436"/>
      <c r="FB36" s="436"/>
      <c r="FC36" s="436"/>
      <c r="FD36" s="436"/>
      <c r="FE36" s="436"/>
      <c r="FF36" s="436"/>
      <c r="FG36" s="436"/>
      <c r="FH36" s="436"/>
      <c r="FI36" s="1944"/>
      <c r="FJ36" s="436"/>
      <c r="FK36" s="436"/>
      <c r="FL36" s="436"/>
      <c r="FM36" s="436"/>
      <c r="FN36" s="436"/>
      <c r="FO36" s="436"/>
      <c r="FP36" s="436"/>
      <c r="FQ36" s="436"/>
      <c r="FR36" s="436"/>
      <c r="FS36" s="436"/>
      <c r="FT36" s="436"/>
      <c r="FU36" s="436"/>
      <c r="FV36" s="436"/>
      <c r="FW36" s="436"/>
      <c r="FX36" s="436"/>
      <c r="FY36" s="436"/>
      <c r="FZ36" s="436"/>
      <c r="GA36" s="436"/>
      <c r="GB36" s="436"/>
      <c r="GC36" s="436"/>
      <c r="GD36" s="436"/>
      <c r="GE36" s="436"/>
      <c r="GF36" s="436"/>
      <c r="GG36" s="436"/>
      <c r="GH36" s="436"/>
      <c r="GI36" s="436"/>
      <c r="GJ36" s="436"/>
      <c r="GK36" s="436"/>
      <c r="GL36" s="436"/>
      <c r="GM36" s="436"/>
      <c r="GN36" s="436"/>
      <c r="GO36" s="436"/>
      <c r="GP36" s="436"/>
      <c r="GQ36" s="436"/>
      <c r="GR36" s="436"/>
      <c r="GS36" s="436"/>
      <c r="GT36" s="436"/>
      <c r="GU36" s="436"/>
      <c r="GV36" s="436"/>
      <c r="GW36" s="436"/>
      <c r="GX36" s="436"/>
      <c r="GY36" s="436"/>
      <c r="GZ36" s="436"/>
      <c r="HA36" s="436"/>
      <c r="HB36" s="436"/>
      <c r="HC36" s="436"/>
      <c r="HD36" s="436"/>
      <c r="HE36" s="436"/>
      <c r="HF36" s="1944"/>
      <c r="HG36" s="540"/>
      <c r="HH36" s="540"/>
      <c r="HI36" s="540"/>
      <c r="HJ36" s="540"/>
      <c r="HK36" s="540"/>
      <c r="HL36" s="540"/>
      <c r="HM36" s="540"/>
      <c r="HN36" s="540"/>
      <c r="HO36" s="540"/>
      <c r="HP36" s="540"/>
      <c r="HQ36" s="540"/>
      <c r="HR36" s="1945"/>
      <c r="HS36" s="1945"/>
      <c r="HT36" s="1945"/>
      <c r="HU36" s="1945"/>
      <c r="HV36" s="1945"/>
      <c r="HW36" s="1945"/>
      <c r="HX36" s="1945"/>
      <c r="HY36" s="1945"/>
      <c r="HZ36" s="1945"/>
      <c r="IA36" s="1945"/>
      <c r="IB36" s="1945"/>
      <c r="IC36" s="2497"/>
      <c r="ID36" s="540"/>
      <c r="IE36" s="540"/>
      <c r="IF36" s="540"/>
      <c r="IG36" s="540"/>
      <c r="IH36" s="540"/>
      <c r="II36" s="540"/>
      <c r="IJ36" s="540"/>
      <c r="IK36" s="540"/>
      <c r="IL36" s="540"/>
      <c r="IM36" s="540"/>
      <c r="IN36" s="1945"/>
      <c r="IO36" s="1945"/>
      <c r="IP36" s="1945"/>
    </row>
    <row r="37" spans="2:261" ht="35.25" customHeight="1" thickBot="1">
      <c r="B37" s="2756" t="s">
        <v>689</v>
      </c>
      <c r="C37" s="2757"/>
      <c r="D37" s="2758"/>
      <c r="E37" s="1456">
        <v>37226</v>
      </c>
      <c r="F37" s="1440">
        <v>37536</v>
      </c>
      <c r="G37" s="1236">
        <v>37562</v>
      </c>
      <c r="H37" s="1236">
        <v>37592</v>
      </c>
      <c r="I37" s="1236">
        <v>37622</v>
      </c>
      <c r="J37" s="1236">
        <v>37653</v>
      </c>
      <c r="K37" s="1236">
        <v>37681</v>
      </c>
      <c r="L37" s="1236">
        <v>37712</v>
      </c>
      <c r="M37" s="1236">
        <v>37742</v>
      </c>
      <c r="N37" s="1236">
        <v>37773</v>
      </c>
      <c r="O37" s="1236">
        <v>37803</v>
      </c>
      <c r="P37" s="1236">
        <v>37834</v>
      </c>
      <c r="Q37" s="1236">
        <v>37865</v>
      </c>
      <c r="R37" s="1236">
        <v>37895</v>
      </c>
      <c r="S37" s="1236">
        <v>37926</v>
      </c>
      <c r="T37" s="1236">
        <v>37956</v>
      </c>
      <c r="U37" s="1236">
        <v>37987</v>
      </c>
      <c r="V37" s="1236">
        <v>38018</v>
      </c>
      <c r="W37" s="1236">
        <v>38047</v>
      </c>
      <c r="X37" s="1236">
        <v>38078</v>
      </c>
      <c r="Y37" s="1236">
        <v>38108</v>
      </c>
      <c r="Z37" s="1236">
        <v>38139</v>
      </c>
      <c r="AA37" s="1236">
        <v>38169</v>
      </c>
      <c r="AB37" s="1236">
        <v>38200</v>
      </c>
      <c r="AC37" s="1236">
        <v>38231</v>
      </c>
      <c r="AD37" s="1236">
        <v>38261</v>
      </c>
      <c r="AE37" s="1236">
        <v>38292</v>
      </c>
      <c r="AF37" s="1236">
        <v>38322</v>
      </c>
      <c r="AG37" s="1236">
        <v>38353</v>
      </c>
      <c r="AH37" s="1236">
        <v>38384</v>
      </c>
      <c r="AI37" s="1236">
        <v>38412</v>
      </c>
      <c r="AJ37" s="1236">
        <v>38443</v>
      </c>
      <c r="AK37" s="1236">
        <v>38473</v>
      </c>
      <c r="AL37" s="1236">
        <v>38504</v>
      </c>
      <c r="AM37" s="1236">
        <v>38534</v>
      </c>
      <c r="AN37" s="1236">
        <v>38565</v>
      </c>
      <c r="AO37" s="1236">
        <v>38596</v>
      </c>
      <c r="AP37" s="1236">
        <v>38626</v>
      </c>
      <c r="AQ37" s="1236">
        <v>38657</v>
      </c>
      <c r="AR37" s="1236">
        <v>38687</v>
      </c>
      <c r="AS37" s="1236">
        <v>38718</v>
      </c>
      <c r="AT37" s="1236">
        <v>38749</v>
      </c>
      <c r="AU37" s="1236">
        <v>38777</v>
      </c>
      <c r="AV37" s="1236">
        <v>38808</v>
      </c>
      <c r="AW37" s="1236">
        <v>38838</v>
      </c>
      <c r="AX37" s="1236">
        <v>38869</v>
      </c>
      <c r="AY37" s="1236">
        <v>38899</v>
      </c>
      <c r="AZ37" s="1236">
        <v>38930</v>
      </c>
      <c r="BA37" s="1236">
        <v>38961</v>
      </c>
      <c r="BB37" s="1236">
        <v>38991</v>
      </c>
      <c r="BC37" s="1236">
        <v>39022</v>
      </c>
      <c r="BD37" s="1236">
        <v>39052</v>
      </c>
      <c r="BE37" s="1236">
        <v>39083</v>
      </c>
      <c r="BF37" s="1236">
        <v>39114</v>
      </c>
      <c r="BG37" s="1236">
        <v>39142</v>
      </c>
      <c r="BH37" s="1236">
        <v>39173</v>
      </c>
      <c r="BI37" s="1236">
        <v>39203</v>
      </c>
      <c r="BJ37" s="1236">
        <v>39234</v>
      </c>
      <c r="BK37" s="1236">
        <v>39264</v>
      </c>
      <c r="BL37" s="1236">
        <v>39295</v>
      </c>
      <c r="BM37" s="1236">
        <v>39326</v>
      </c>
      <c r="BN37" s="1236">
        <v>39356</v>
      </c>
      <c r="BO37" s="1236">
        <v>39387</v>
      </c>
      <c r="BP37" s="1235">
        <v>39417</v>
      </c>
      <c r="BQ37" s="1440">
        <v>39448</v>
      </c>
      <c r="BR37" s="1236">
        <v>39479</v>
      </c>
      <c r="BS37" s="1236">
        <v>39508</v>
      </c>
      <c r="BT37" s="1236">
        <v>39539</v>
      </c>
      <c r="BU37" s="1236">
        <v>39569</v>
      </c>
      <c r="BV37" s="1236">
        <v>39600</v>
      </c>
      <c r="BW37" s="1236">
        <v>39630</v>
      </c>
      <c r="BX37" s="1236">
        <v>39661</v>
      </c>
      <c r="BY37" s="1236">
        <v>39692</v>
      </c>
      <c r="BZ37" s="1236">
        <v>39722</v>
      </c>
      <c r="CA37" s="1236">
        <v>39753</v>
      </c>
      <c r="CB37" s="1235">
        <v>39783</v>
      </c>
      <c r="CC37" s="1438">
        <v>39814</v>
      </c>
      <c r="CD37" s="1233">
        <v>39845</v>
      </c>
      <c r="CE37" s="1233">
        <v>39873</v>
      </c>
      <c r="CF37" s="1233">
        <v>39904</v>
      </c>
      <c r="CG37" s="1233">
        <v>39934</v>
      </c>
      <c r="CH37" s="1233">
        <v>39965</v>
      </c>
      <c r="CI37" s="1233">
        <v>39995</v>
      </c>
      <c r="CJ37" s="1439">
        <v>40026</v>
      </c>
      <c r="CK37" s="1439">
        <v>40057</v>
      </c>
      <c r="CL37" s="1233">
        <v>40087</v>
      </c>
      <c r="CM37" s="1442">
        <v>40118</v>
      </c>
      <c r="CN37" s="1439">
        <v>40148</v>
      </c>
      <c r="CO37" s="1438">
        <v>40179</v>
      </c>
      <c r="CP37" s="1233">
        <v>40210</v>
      </c>
      <c r="CQ37" s="1233">
        <v>40238</v>
      </c>
      <c r="CR37" s="1437">
        <v>40269</v>
      </c>
      <c r="CS37" s="1437">
        <v>40299</v>
      </c>
      <c r="CT37" s="1437">
        <v>40330</v>
      </c>
      <c r="CU37" s="1437">
        <v>40360</v>
      </c>
      <c r="CV37" s="1437">
        <v>40391</v>
      </c>
      <c r="CW37" s="1436">
        <v>40422</v>
      </c>
      <c r="CX37" s="1437">
        <v>40452</v>
      </c>
      <c r="CY37" s="1435">
        <v>40483</v>
      </c>
      <c r="CZ37" s="1435">
        <v>40513</v>
      </c>
      <c r="DA37" s="1443">
        <v>40544</v>
      </c>
      <c r="DB37" s="1435">
        <v>40575</v>
      </c>
      <c r="DC37" s="1435">
        <v>40603</v>
      </c>
      <c r="DD37" s="1435">
        <v>40634</v>
      </c>
      <c r="DE37" s="1435">
        <v>40664</v>
      </c>
      <c r="DF37" s="1435">
        <v>40695</v>
      </c>
      <c r="DG37" s="1435">
        <v>40725</v>
      </c>
      <c r="DH37" s="1435">
        <v>40756</v>
      </c>
      <c r="DI37" s="1435">
        <v>40787</v>
      </c>
      <c r="DJ37" s="1435">
        <v>40817</v>
      </c>
      <c r="DK37" s="1435">
        <v>40848</v>
      </c>
      <c r="DL37" s="1445">
        <v>40878</v>
      </c>
      <c r="DM37" s="1435">
        <v>40909</v>
      </c>
      <c r="DN37" s="1435">
        <v>40940</v>
      </c>
      <c r="DO37" s="1435">
        <v>40969</v>
      </c>
      <c r="DP37" s="1435">
        <v>41000</v>
      </c>
      <c r="DQ37" s="1444">
        <v>41030</v>
      </c>
      <c r="DR37" s="1435">
        <v>41061</v>
      </c>
      <c r="DS37" s="1444">
        <v>41091</v>
      </c>
      <c r="DT37" s="1444">
        <v>41122</v>
      </c>
      <c r="DU37" s="1444">
        <v>41153</v>
      </c>
      <c r="DV37" s="1236">
        <v>41183</v>
      </c>
      <c r="DW37" s="1446">
        <v>41214</v>
      </c>
      <c r="DX37" s="1236">
        <v>41244</v>
      </c>
      <c r="DY37" s="1233">
        <v>41275</v>
      </c>
      <c r="DZ37" s="1233">
        <v>41306</v>
      </c>
      <c r="EA37" s="1233">
        <v>41334</v>
      </c>
      <c r="EB37" s="1233">
        <v>41365</v>
      </c>
      <c r="EC37" s="1233">
        <v>41395</v>
      </c>
      <c r="ED37" s="1233">
        <v>41426</v>
      </c>
      <c r="EE37" s="1233">
        <v>41456</v>
      </c>
      <c r="EF37" s="1233">
        <v>41487</v>
      </c>
      <c r="EG37" s="1233">
        <v>41518</v>
      </c>
      <c r="EH37" s="1233">
        <v>41548</v>
      </c>
      <c r="EI37" s="1233">
        <v>41579</v>
      </c>
      <c r="EJ37" s="1428">
        <v>41609</v>
      </c>
      <c r="EK37" s="1471">
        <v>41640</v>
      </c>
      <c r="EL37" s="1477">
        <v>41671</v>
      </c>
      <c r="EM37" s="1477">
        <v>41699</v>
      </c>
      <c r="EN37" s="1477">
        <v>41730</v>
      </c>
      <c r="EO37" s="1477">
        <v>41760</v>
      </c>
      <c r="EP37" s="1477">
        <v>41791</v>
      </c>
      <c r="EQ37" s="1477">
        <v>41821</v>
      </c>
      <c r="ER37" s="1477">
        <v>41852</v>
      </c>
      <c r="ES37" s="1477">
        <v>41883</v>
      </c>
      <c r="ET37" s="1477">
        <v>41913</v>
      </c>
      <c r="EU37" s="1477">
        <v>41944</v>
      </c>
      <c r="EV37" s="1249">
        <v>41974</v>
      </c>
      <c r="EW37" s="1471">
        <v>42005</v>
      </c>
      <c r="EX37" s="1477">
        <v>42036</v>
      </c>
      <c r="EY37" s="1470">
        <v>42064</v>
      </c>
      <c r="EZ37" s="1470">
        <v>42095</v>
      </c>
      <c r="FA37" s="1470">
        <v>42125</v>
      </c>
      <c r="FB37" s="1470">
        <v>42156</v>
      </c>
      <c r="FC37" s="1470">
        <v>42186</v>
      </c>
      <c r="FD37" s="1470">
        <v>42217</v>
      </c>
      <c r="FE37" s="1470">
        <v>42248</v>
      </c>
      <c r="FF37" s="1477">
        <v>42278</v>
      </c>
      <c r="FG37" s="1249">
        <v>42309</v>
      </c>
      <c r="FH37" s="1249">
        <f t="shared" ref="FH37:FM37" si="290">+FH28</f>
        <v>42339</v>
      </c>
      <c r="FI37" s="1473">
        <f t="shared" si="290"/>
        <v>42370</v>
      </c>
      <c r="FJ37" s="2512">
        <f t="shared" si="290"/>
        <v>42401</v>
      </c>
      <c r="FK37" s="1249">
        <f t="shared" si="290"/>
        <v>42430</v>
      </c>
      <c r="FL37" s="1249">
        <f t="shared" si="290"/>
        <v>42461</v>
      </c>
      <c r="FM37" s="1249">
        <f t="shared" si="290"/>
        <v>42491</v>
      </c>
      <c r="FN37" s="1249">
        <f t="shared" ref="FN37:GX37" si="291">+FN28</f>
        <v>42522</v>
      </c>
      <c r="FO37" s="1249">
        <f t="shared" si="291"/>
        <v>42552</v>
      </c>
      <c r="FP37" s="1249">
        <f t="shared" si="291"/>
        <v>42583</v>
      </c>
      <c r="FQ37" s="1249">
        <f t="shared" si="291"/>
        <v>42614</v>
      </c>
      <c r="FR37" s="1249">
        <f t="shared" si="291"/>
        <v>42644</v>
      </c>
      <c r="FS37" s="1249">
        <f t="shared" si="291"/>
        <v>42675</v>
      </c>
      <c r="FT37" s="1249">
        <f t="shared" si="291"/>
        <v>42705</v>
      </c>
      <c r="FU37" s="1249">
        <f t="shared" si="291"/>
        <v>42736</v>
      </c>
      <c r="FV37" s="1249">
        <f t="shared" si="291"/>
        <v>42767</v>
      </c>
      <c r="FW37" s="1249">
        <f t="shared" si="291"/>
        <v>42795</v>
      </c>
      <c r="FX37" s="1249">
        <f t="shared" si="291"/>
        <v>42826</v>
      </c>
      <c r="FY37" s="1249">
        <f t="shared" si="291"/>
        <v>42856</v>
      </c>
      <c r="FZ37" s="1249">
        <f t="shared" si="291"/>
        <v>42887</v>
      </c>
      <c r="GA37" s="1249">
        <f t="shared" si="291"/>
        <v>42917</v>
      </c>
      <c r="GB37" s="1249">
        <f t="shared" si="291"/>
        <v>42948</v>
      </c>
      <c r="GC37" s="1249">
        <f t="shared" si="291"/>
        <v>42979</v>
      </c>
      <c r="GD37" s="1249">
        <f t="shared" si="291"/>
        <v>43009</v>
      </c>
      <c r="GE37" s="1249">
        <f t="shared" si="291"/>
        <v>43040</v>
      </c>
      <c r="GF37" s="1249">
        <f t="shared" si="291"/>
        <v>43070</v>
      </c>
      <c r="GG37" s="1249">
        <f t="shared" si="291"/>
        <v>43101</v>
      </c>
      <c r="GH37" s="1249">
        <f t="shared" si="291"/>
        <v>43132</v>
      </c>
      <c r="GI37" s="1249">
        <f t="shared" si="291"/>
        <v>43160</v>
      </c>
      <c r="GJ37" s="1249">
        <f t="shared" si="291"/>
        <v>43191</v>
      </c>
      <c r="GK37" s="1249">
        <f t="shared" si="291"/>
        <v>43221</v>
      </c>
      <c r="GL37" s="1249">
        <f t="shared" si="291"/>
        <v>43252</v>
      </c>
      <c r="GM37" s="1249">
        <f t="shared" si="291"/>
        <v>43282</v>
      </c>
      <c r="GN37" s="1249">
        <f t="shared" si="291"/>
        <v>43313</v>
      </c>
      <c r="GO37" s="1249">
        <f t="shared" si="291"/>
        <v>43344</v>
      </c>
      <c r="GP37" s="1249">
        <f t="shared" si="291"/>
        <v>43374</v>
      </c>
      <c r="GQ37" s="1249">
        <f t="shared" si="291"/>
        <v>43405</v>
      </c>
      <c r="GR37" s="1249">
        <f t="shared" si="291"/>
        <v>43435</v>
      </c>
      <c r="GS37" s="1249">
        <f t="shared" si="291"/>
        <v>43466</v>
      </c>
      <c r="GT37" s="1249">
        <f t="shared" si="291"/>
        <v>43497</v>
      </c>
      <c r="GU37" s="1249">
        <f t="shared" si="291"/>
        <v>43525</v>
      </c>
      <c r="GV37" s="1249">
        <f t="shared" si="291"/>
        <v>43556</v>
      </c>
      <c r="GW37" s="1249">
        <f t="shared" si="291"/>
        <v>43586</v>
      </c>
      <c r="GX37" s="1249">
        <f t="shared" si="291"/>
        <v>43617</v>
      </c>
      <c r="GY37" s="1249">
        <v>43647</v>
      </c>
      <c r="GZ37" s="1249">
        <v>43678</v>
      </c>
      <c r="HA37" s="1249">
        <v>43709</v>
      </c>
      <c r="HB37" s="1249">
        <v>43739</v>
      </c>
      <c r="HC37" s="1249">
        <v>43770</v>
      </c>
      <c r="HD37" s="1249">
        <v>43800</v>
      </c>
      <c r="HE37" s="1249">
        <v>43831</v>
      </c>
      <c r="HF37" s="1473">
        <v>43862</v>
      </c>
      <c r="HG37" s="1476">
        <v>43891</v>
      </c>
      <c r="HH37" s="1476">
        <v>43922</v>
      </c>
      <c r="HI37" s="1476">
        <v>43952</v>
      </c>
      <c r="HJ37" s="1476">
        <v>43983</v>
      </c>
      <c r="HK37" s="1476">
        <v>44013</v>
      </c>
      <c r="HL37" s="1476">
        <v>44044</v>
      </c>
      <c r="HM37" s="1476">
        <v>44075</v>
      </c>
      <c r="HN37" s="1476">
        <v>44105</v>
      </c>
      <c r="HO37" s="1476">
        <v>44136</v>
      </c>
      <c r="HP37" s="1476">
        <v>44166</v>
      </c>
      <c r="HQ37" s="1476">
        <v>44197</v>
      </c>
      <c r="HR37" s="1472">
        <v>44228</v>
      </c>
      <c r="HS37" s="1472">
        <v>44256</v>
      </c>
      <c r="HT37" s="1472">
        <v>44287</v>
      </c>
      <c r="HU37" s="1472">
        <v>44317</v>
      </c>
      <c r="HV37" s="1472">
        <v>44348</v>
      </c>
      <c r="HW37" s="1472">
        <v>44378</v>
      </c>
      <c r="HX37" s="1472">
        <v>44409</v>
      </c>
      <c r="HY37" s="1476">
        <v>44440</v>
      </c>
      <c r="HZ37" s="1476">
        <v>44470</v>
      </c>
      <c r="IA37" s="1476">
        <v>44501</v>
      </c>
      <c r="IB37" s="1472">
        <v>44531</v>
      </c>
      <c r="IC37" s="1475">
        <v>44562</v>
      </c>
      <c r="ID37" s="1476">
        <v>44593</v>
      </c>
      <c r="IE37" s="1476">
        <v>44621</v>
      </c>
      <c r="IF37" s="1476">
        <v>44652</v>
      </c>
      <c r="IG37" s="1476">
        <v>44682</v>
      </c>
      <c r="IH37" s="1476">
        <v>44713</v>
      </c>
      <c r="II37" s="1476">
        <v>44743</v>
      </c>
      <c r="IJ37" s="1476">
        <v>44774</v>
      </c>
      <c r="IK37" s="1476">
        <v>44805</v>
      </c>
      <c r="IL37" s="1476">
        <v>44835</v>
      </c>
      <c r="IM37" s="1476">
        <v>44866</v>
      </c>
      <c r="IN37" s="1472">
        <f>+IN28</f>
        <v>44896</v>
      </c>
      <c r="IO37" s="1476">
        <f>+IO28</f>
        <v>44927</v>
      </c>
      <c r="IP37" s="1476">
        <f>+IP28</f>
        <v>44958</v>
      </c>
      <c r="IQ37" s="1037"/>
      <c r="IR37" s="1037"/>
    </row>
    <row r="38" spans="2:261">
      <c r="B38" s="2752" t="s">
        <v>680</v>
      </c>
      <c r="C38" s="2753"/>
      <c r="D38" s="2754"/>
      <c r="E38" s="382">
        <f>+E29/$E$29*100</f>
        <v>100</v>
      </c>
      <c r="F38" s="695">
        <f>+F29/$E$29*100</f>
        <v>267.12698993914665</v>
      </c>
      <c r="G38" s="546">
        <f>+G29/$E$29*100</f>
        <v>270.43992258199506</v>
      </c>
      <c r="H38" s="546">
        <f>+H29/$E$29*100</f>
        <v>268.26036163275273</v>
      </c>
      <c r="I38" s="546">
        <f>+I29/$E$29*100</f>
        <v>267.9334274903664</v>
      </c>
      <c r="J38" s="546">
        <f t="shared" ref="J38:P38" si="292">ROUND((+J29/$E$29*100),2)</f>
        <v>266.23</v>
      </c>
      <c r="K38" s="546">
        <f t="shared" si="292"/>
        <v>258.74</v>
      </c>
      <c r="L38" s="546">
        <f t="shared" si="292"/>
        <v>252.39</v>
      </c>
      <c r="M38" s="546">
        <f t="shared" si="292"/>
        <v>249.17</v>
      </c>
      <c r="N38" s="546">
        <f t="shared" si="292"/>
        <v>246.88</v>
      </c>
      <c r="O38" s="546">
        <f t="shared" si="292"/>
        <v>244.07</v>
      </c>
      <c r="P38" s="546">
        <f t="shared" si="292"/>
        <v>248.38</v>
      </c>
      <c r="Q38" s="421">
        <f>ROUND((+Q29/$E$29*100),2)</f>
        <v>249.39</v>
      </c>
      <c r="R38" s="421">
        <f>ROUND((+R29/$E$29*100),2)</f>
        <v>248.38</v>
      </c>
      <c r="S38" s="421">
        <f>ROUND((+S29/$E$29*100),2)</f>
        <v>249.97</v>
      </c>
      <c r="T38" s="421">
        <f>ROUND((+T29/$E$29*100),2)</f>
        <v>253.74</v>
      </c>
      <c r="U38" s="693">
        <f>+U29/$E$29*100</f>
        <v>255.09581349932867</v>
      </c>
      <c r="V38" s="693">
        <f t="shared" ref="V38:AA38" si="293">ROUND((+V29/$E$29*100),2)</f>
        <v>256.64</v>
      </c>
      <c r="W38" s="693">
        <f t="shared" si="293"/>
        <v>256.23</v>
      </c>
      <c r="X38" s="693">
        <f t="shared" si="293"/>
        <v>253.79</v>
      </c>
      <c r="Y38" s="693">
        <f t="shared" si="293"/>
        <v>257.19</v>
      </c>
      <c r="Z38" s="693">
        <f t="shared" si="293"/>
        <v>258.95</v>
      </c>
      <c r="AA38" s="693">
        <f t="shared" si="293"/>
        <v>258.63</v>
      </c>
      <c r="AB38" s="693">
        <f t="shared" ref="AB38:AG38" si="294">ROUND((+AB29/$E$29*100),2)</f>
        <v>264.99</v>
      </c>
      <c r="AC38" s="693">
        <f t="shared" si="294"/>
        <v>263.86</v>
      </c>
      <c r="AD38" s="693">
        <f t="shared" si="294"/>
        <v>263.55</v>
      </c>
      <c r="AE38" s="693">
        <f t="shared" si="294"/>
        <v>263.64</v>
      </c>
      <c r="AF38" s="693">
        <f t="shared" si="294"/>
        <v>264.79000000000002</v>
      </c>
      <c r="AG38" s="693">
        <f t="shared" si="294"/>
        <v>266.76</v>
      </c>
      <c r="AH38" s="693">
        <f t="shared" ref="AH38:AM38" si="295">ROUND((+AH29/$E$29*100),2)</f>
        <v>265.64</v>
      </c>
      <c r="AI38" s="693">
        <f t="shared" si="295"/>
        <v>279.31</v>
      </c>
      <c r="AJ38" s="693">
        <f t="shared" si="295"/>
        <v>281.39999999999998</v>
      </c>
      <c r="AK38" s="693">
        <f t="shared" si="295"/>
        <v>281.12</v>
      </c>
      <c r="AL38" s="693">
        <f t="shared" si="295"/>
        <v>279.33</v>
      </c>
      <c r="AM38" s="693">
        <f t="shared" si="295"/>
        <v>278.95999999999998</v>
      </c>
      <c r="AN38" s="693">
        <f t="shared" ref="AN38:AS38" si="296">ROUND((+AN29/$E$29*100),2)</f>
        <v>279.45999999999998</v>
      </c>
      <c r="AO38" s="693">
        <f t="shared" si="296"/>
        <v>280.10000000000002</v>
      </c>
      <c r="AP38" s="693">
        <f t="shared" si="296"/>
        <v>281.52999999999997</v>
      </c>
      <c r="AQ38" s="693">
        <f t="shared" si="296"/>
        <v>290.51</v>
      </c>
      <c r="AR38" s="693">
        <f t="shared" si="296"/>
        <v>291.91000000000003</v>
      </c>
      <c r="AS38" s="693">
        <f t="shared" si="296"/>
        <v>295.92</v>
      </c>
      <c r="AT38" s="693">
        <f t="shared" ref="AT38:AY38" si="297">ROUND((+AT29/$E$29*100),2)</f>
        <v>296.7</v>
      </c>
      <c r="AU38" s="693">
        <f t="shared" si="297"/>
        <v>300.23</v>
      </c>
      <c r="AV38" s="693">
        <f t="shared" si="297"/>
        <v>297.31</v>
      </c>
      <c r="AW38" s="693">
        <f t="shared" si="297"/>
        <v>302.26</v>
      </c>
      <c r="AX38" s="693">
        <f t="shared" si="297"/>
        <v>302.48</v>
      </c>
      <c r="AY38" s="693">
        <f t="shared" si="297"/>
        <v>305.39999999999998</v>
      </c>
      <c r="AZ38" s="693">
        <f t="shared" ref="AZ38:BE38" si="298">ROUND((+AZ29/$E$29*100),2)</f>
        <v>307.38</v>
      </c>
      <c r="BA38" s="693">
        <f t="shared" si="298"/>
        <v>294.39</v>
      </c>
      <c r="BB38" s="693">
        <f t="shared" si="298"/>
        <v>312.88</v>
      </c>
      <c r="BC38" s="693">
        <f t="shared" si="298"/>
        <v>310.54000000000002</v>
      </c>
      <c r="BD38" s="693">
        <f t="shared" si="298"/>
        <v>310.7</v>
      </c>
      <c r="BE38" s="693">
        <f t="shared" si="298"/>
        <v>316.32</v>
      </c>
      <c r="BF38" s="693">
        <f t="shared" ref="BF38:BK38" si="299">ROUND((+BF29/$E$29*100),2)</f>
        <v>317.82</v>
      </c>
      <c r="BG38" s="693">
        <f t="shared" si="299"/>
        <v>316.91000000000003</v>
      </c>
      <c r="BH38" s="693">
        <f t="shared" si="299"/>
        <v>317.24</v>
      </c>
      <c r="BI38" s="693">
        <f t="shared" si="299"/>
        <v>327.13</v>
      </c>
      <c r="BJ38" s="693">
        <f t="shared" si="299"/>
        <v>328.09</v>
      </c>
      <c r="BK38" s="693">
        <f t="shared" si="299"/>
        <v>335.48</v>
      </c>
      <c r="BL38" s="693">
        <f t="shared" ref="BL38:BR38" si="300">ROUND((+BL29/$E$29*100),2)</f>
        <v>336.02</v>
      </c>
      <c r="BM38" s="693">
        <f t="shared" si="300"/>
        <v>336.59</v>
      </c>
      <c r="BN38" s="693">
        <f t="shared" si="300"/>
        <v>338.01</v>
      </c>
      <c r="BO38" s="693">
        <f t="shared" si="300"/>
        <v>338.55</v>
      </c>
      <c r="BP38" s="694">
        <f t="shared" si="300"/>
        <v>351.58</v>
      </c>
      <c r="BQ38" s="699">
        <f t="shared" si="300"/>
        <v>339.01</v>
      </c>
      <c r="BR38" s="693">
        <f t="shared" si="300"/>
        <v>333.08</v>
      </c>
      <c r="BS38" s="693">
        <f t="shared" ref="BS38:BX38" si="301">ROUND((+BS29/$E$29*100),2)</f>
        <v>334.72</v>
      </c>
      <c r="BT38" s="693">
        <f t="shared" si="301"/>
        <v>347.03</v>
      </c>
      <c r="BU38" s="693">
        <f t="shared" si="301"/>
        <v>353.52</v>
      </c>
      <c r="BV38" s="693">
        <f t="shared" si="301"/>
        <v>353.31</v>
      </c>
      <c r="BW38" s="693">
        <f t="shared" si="301"/>
        <v>360.8</v>
      </c>
      <c r="BX38" s="693">
        <f t="shared" si="301"/>
        <v>358.8</v>
      </c>
      <c r="BY38" s="693">
        <f t="shared" ref="BY38:CD38" si="302">ROUND((+BY29/$E$29*100),2)</f>
        <v>361.98</v>
      </c>
      <c r="BZ38" s="693">
        <f t="shared" si="302"/>
        <v>366.95</v>
      </c>
      <c r="CA38" s="693">
        <f t="shared" si="302"/>
        <v>368.87</v>
      </c>
      <c r="CB38" s="694">
        <f t="shared" si="302"/>
        <v>371.99</v>
      </c>
      <c r="CC38" s="699">
        <f t="shared" si="302"/>
        <v>374.69</v>
      </c>
      <c r="CD38" s="693">
        <f t="shared" si="302"/>
        <v>379.44</v>
      </c>
      <c r="CE38" s="693">
        <f t="shared" ref="CE38:CJ38" si="303">ROUND((+CE29/$E$29*100),2)</f>
        <v>385.5</v>
      </c>
      <c r="CF38" s="693">
        <f t="shared" si="303"/>
        <v>393.93</v>
      </c>
      <c r="CG38" s="693">
        <f t="shared" si="303"/>
        <v>403.48</v>
      </c>
      <c r="CH38" s="693">
        <f t="shared" si="303"/>
        <v>414.16</v>
      </c>
      <c r="CI38" s="693">
        <f t="shared" si="303"/>
        <v>421.98</v>
      </c>
      <c r="CJ38" s="702">
        <f t="shared" si="303"/>
        <v>424.49</v>
      </c>
      <c r="CK38" s="702">
        <f t="shared" ref="CK38:CP38" si="304">ROUND((+CK29/$E$29*100),2)</f>
        <v>425.73</v>
      </c>
      <c r="CL38" s="693">
        <f t="shared" si="304"/>
        <v>437.96</v>
      </c>
      <c r="CM38" s="702">
        <f t="shared" si="304"/>
        <v>438.44</v>
      </c>
      <c r="CN38" s="702">
        <f t="shared" si="304"/>
        <v>439.2</v>
      </c>
      <c r="CO38" s="699">
        <f t="shared" si="304"/>
        <v>439.88</v>
      </c>
      <c r="CP38" s="693">
        <f t="shared" si="304"/>
        <v>441.67</v>
      </c>
      <c r="CQ38" s="693">
        <f t="shared" ref="CQ38:CV38" si="305">ROUND((+CQ29/$E$29*100),2)</f>
        <v>449.58</v>
      </c>
      <c r="CR38" s="693">
        <f t="shared" si="305"/>
        <v>455.57</v>
      </c>
      <c r="CS38" s="693">
        <f t="shared" si="305"/>
        <v>472.42</v>
      </c>
      <c r="CT38" s="693">
        <f t="shared" si="305"/>
        <v>478.57</v>
      </c>
      <c r="CU38" s="693">
        <f t="shared" si="305"/>
        <v>483.32</v>
      </c>
      <c r="CV38" s="693">
        <f t="shared" si="305"/>
        <v>494.93</v>
      </c>
      <c r="CW38" s="1125">
        <f t="shared" ref="CW38:DB38" si="306">ROUND((+CW29/$E$29*100),2)</f>
        <v>498.88</v>
      </c>
      <c r="CX38" s="693">
        <f t="shared" si="306"/>
        <v>501.5</v>
      </c>
      <c r="CY38" s="702">
        <f t="shared" si="306"/>
        <v>503.02</v>
      </c>
      <c r="CZ38" s="702">
        <f t="shared" si="306"/>
        <v>518.41</v>
      </c>
      <c r="DA38" s="1001">
        <f t="shared" si="306"/>
        <v>527.29999999999995</v>
      </c>
      <c r="DB38" s="702">
        <f t="shared" si="306"/>
        <v>528.87</v>
      </c>
      <c r="DC38" s="702">
        <f t="shared" ref="DC38:DH38" si="307">ROUND((+DC29/$E$29*100),2)</f>
        <v>530.29</v>
      </c>
      <c r="DD38" s="702">
        <f t="shared" si="307"/>
        <v>560.82000000000005</v>
      </c>
      <c r="DE38" s="702">
        <f t="shared" si="307"/>
        <v>564.75</v>
      </c>
      <c r="DF38" s="702">
        <f t="shared" si="307"/>
        <v>568.04</v>
      </c>
      <c r="DG38" s="702">
        <f t="shared" si="307"/>
        <v>574.1</v>
      </c>
      <c r="DH38" s="702">
        <f t="shared" si="307"/>
        <v>588.17999999999995</v>
      </c>
      <c r="DI38" s="702">
        <f t="shared" ref="DI38:DN38" si="308">ROUND((+DI29/$E$29*100),2)</f>
        <v>591.36</v>
      </c>
      <c r="DJ38" s="702">
        <f t="shared" si="308"/>
        <v>593.84</v>
      </c>
      <c r="DK38" s="702">
        <f t="shared" si="308"/>
        <v>604.76</v>
      </c>
      <c r="DL38" s="694">
        <f t="shared" si="308"/>
        <v>608.82000000000005</v>
      </c>
      <c r="DM38" s="702">
        <f t="shared" si="308"/>
        <v>619.05999999999995</v>
      </c>
      <c r="DN38" s="702">
        <f t="shared" si="308"/>
        <v>620.74</v>
      </c>
      <c r="DO38" s="702">
        <f t="shared" ref="DO38:DT38" si="309">ROUND((+DO29/$E$29*100),2)</f>
        <v>627.36</v>
      </c>
      <c r="DP38" s="702">
        <f t="shared" si="309"/>
        <v>630.41999999999996</v>
      </c>
      <c r="DQ38" s="702">
        <f t="shared" si="309"/>
        <v>636.95000000000005</v>
      </c>
      <c r="DR38" s="702">
        <f t="shared" si="309"/>
        <v>693.95</v>
      </c>
      <c r="DS38" s="1127">
        <f t="shared" si="309"/>
        <v>704.06</v>
      </c>
      <c r="DT38" s="1127">
        <f t="shared" si="309"/>
        <v>706.98</v>
      </c>
      <c r="DU38" s="1127">
        <f t="shared" ref="DU38:DZ38" si="310">ROUND((+DU29/$E$29*100),2)</f>
        <v>708.9</v>
      </c>
      <c r="DV38" s="1134">
        <f t="shared" si="310"/>
        <v>709.95</v>
      </c>
      <c r="DW38" s="1144">
        <f t="shared" si="310"/>
        <v>714.31</v>
      </c>
      <c r="DX38" s="1134">
        <f t="shared" si="310"/>
        <v>715.64</v>
      </c>
      <c r="DY38" s="1144">
        <f t="shared" si="310"/>
        <v>720.15</v>
      </c>
      <c r="DZ38" s="1127">
        <f t="shared" si="310"/>
        <v>724.29</v>
      </c>
      <c r="EA38" s="1127">
        <f t="shared" ref="EA38:EF38" si="311">ROUND((+EA29/$E$29*100),2)</f>
        <v>731.94</v>
      </c>
      <c r="EB38" s="1127">
        <f t="shared" si="311"/>
        <v>740.53</v>
      </c>
      <c r="EC38" s="1127">
        <f t="shared" si="311"/>
        <v>747.22</v>
      </c>
      <c r="ED38" s="1127">
        <f t="shared" si="311"/>
        <v>798.13</v>
      </c>
      <c r="EE38" s="1127">
        <f t="shared" si="311"/>
        <v>802.17</v>
      </c>
      <c r="EF38" s="1127">
        <f t="shared" si="311"/>
        <v>806.09</v>
      </c>
      <c r="EG38" s="1127">
        <f t="shared" ref="EG38:EL38" si="312">ROUND((+EG29/$E$29*100),2)</f>
        <v>826.05</v>
      </c>
      <c r="EH38" s="1127">
        <f t="shared" si="312"/>
        <v>826.95</v>
      </c>
      <c r="EI38" s="1127">
        <f t="shared" si="312"/>
        <v>829.89</v>
      </c>
      <c r="EJ38" s="1172">
        <f t="shared" si="312"/>
        <v>837.5</v>
      </c>
      <c r="EK38" s="1127">
        <f t="shared" si="312"/>
        <v>855.85</v>
      </c>
      <c r="EL38" s="1127">
        <f t="shared" si="312"/>
        <v>879.85</v>
      </c>
      <c r="EM38" s="1127">
        <f t="shared" ref="EM38:ER38" si="313">ROUND((+EM29/$E$29*100),2)</f>
        <v>901.29</v>
      </c>
      <c r="EN38" s="1127">
        <f t="shared" si="313"/>
        <v>984.81</v>
      </c>
      <c r="EO38" s="1127">
        <f t="shared" si="313"/>
        <v>989.59</v>
      </c>
      <c r="EP38" s="1127">
        <f t="shared" si="313"/>
        <v>994.01</v>
      </c>
      <c r="EQ38" s="1127">
        <f t="shared" si="313"/>
        <v>1049.31</v>
      </c>
      <c r="ER38" s="1127">
        <f t="shared" si="313"/>
        <v>1060.53</v>
      </c>
      <c r="ES38" s="1127">
        <f t="shared" ref="ES38:EZ38" si="314">ROUND((+ES29/$E$29*100),2)</f>
        <v>1070.82</v>
      </c>
      <c r="ET38" s="1127">
        <f t="shared" si="314"/>
        <v>1075.4000000000001</v>
      </c>
      <c r="EU38" s="1127">
        <f t="shared" si="314"/>
        <v>1078.8599999999999</v>
      </c>
      <c r="EV38" s="1172">
        <f t="shared" si="314"/>
        <v>1079.4100000000001</v>
      </c>
      <c r="EW38" s="1574">
        <f t="shared" si="314"/>
        <v>1063.67</v>
      </c>
      <c r="EX38" s="1127">
        <f t="shared" si="314"/>
        <v>1069.31</v>
      </c>
      <c r="EY38" s="1134">
        <f t="shared" si="314"/>
        <v>1080.8</v>
      </c>
      <c r="EZ38" s="1134">
        <f t="shared" si="314"/>
        <v>1161.44</v>
      </c>
      <c r="FA38" s="1134">
        <f t="shared" ref="FA38:FG38" si="315">ROUND((+FA29/$E$29*100),2)</f>
        <v>1173.28</v>
      </c>
      <c r="FB38" s="1134">
        <f t="shared" si="315"/>
        <v>1187.6600000000001</v>
      </c>
      <c r="FC38" s="1134">
        <f t="shared" si="315"/>
        <v>1197.8</v>
      </c>
      <c r="FD38" s="1134">
        <f t="shared" si="315"/>
        <v>1249.8499999999999</v>
      </c>
      <c r="FE38" s="1134">
        <f t="shared" si="315"/>
        <v>1252.03</v>
      </c>
      <c r="FF38" s="1127">
        <f t="shared" si="315"/>
        <v>1256.3</v>
      </c>
      <c r="FG38" s="1172" t="e">
        <f t="shared" si="315"/>
        <v>#REF!</v>
      </c>
      <c r="FH38" s="1172" t="e">
        <f t="shared" ref="FH38:FM38" si="316">ROUND((+FH29/$E$29*100),2)</f>
        <v>#REF!</v>
      </c>
      <c r="FI38" s="1942">
        <f t="shared" si="316"/>
        <v>100</v>
      </c>
      <c r="FJ38" s="2513">
        <f>ROUND((+FJ29/$E$29*100),2)</f>
        <v>106.95</v>
      </c>
      <c r="FK38" s="1172">
        <f t="shared" si="316"/>
        <v>106.12</v>
      </c>
      <c r="FL38" s="1172">
        <f t="shared" si="316"/>
        <v>110.46</v>
      </c>
      <c r="FM38" s="1172">
        <f t="shared" si="316"/>
        <v>112.94</v>
      </c>
      <c r="FN38" s="1172">
        <f t="shared" ref="FN38:HB38" si="317">ROUND((+FN29/$E$29*100),2)</f>
        <v>117.24</v>
      </c>
      <c r="FO38" s="1172">
        <f t="shared" si="317"/>
        <v>117.24</v>
      </c>
      <c r="FP38" s="1172">
        <f t="shared" si="317"/>
        <v>117.24</v>
      </c>
      <c r="FQ38" s="1172">
        <f t="shared" si="317"/>
        <v>117.61</v>
      </c>
      <c r="FR38" s="1172">
        <f t="shared" si="317"/>
        <v>120.27</v>
      </c>
      <c r="FS38" s="1172">
        <f t="shared" si="317"/>
        <v>121.4</v>
      </c>
      <c r="FT38" s="1172">
        <f t="shared" si="317"/>
        <v>122.58</v>
      </c>
      <c r="FU38" s="1172">
        <f t="shared" si="317"/>
        <v>124.54</v>
      </c>
      <c r="FV38" s="1172">
        <f t="shared" si="317"/>
        <v>124.76</v>
      </c>
      <c r="FW38" s="1172">
        <f t="shared" si="317"/>
        <v>124.91</v>
      </c>
      <c r="FX38" s="1172">
        <f t="shared" si="317"/>
        <v>127.18</v>
      </c>
      <c r="FY38" s="1172">
        <f t="shared" si="317"/>
        <v>128.03</v>
      </c>
      <c r="FZ38" s="1172">
        <f t="shared" si="317"/>
        <v>129.03</v>
      </c>
      <c r="GA38" s="1172">
        <f t="shared" si="317"/>
        <v>142.28</v>
      </c>
      <c r="GB38" s="1172">
        <f t="shared" si="317"/>
        <v>143.46</v>
      </c>
      <c r="GC38" s="1172">
        <f t="shared" si="317"/>
        <v>142.13</v>
      </c>
      <c r="GD38" s="1172">
        <f t="shared" si="317"/>
        <v>144.57</v>
      </c>
      <c r="GE38" s="1172">
        <f t="shared" si="317"/>
        <v>148.94999999999999</v>
      </c>
      <c r="GF38" s="1172">
        <f t="shared" si="317"/>
        <v>154.27000000000001</v>
      </c>
      <c r="GG38" s="1172">
        <f t="shared" si="317"/>
        <v>158.19</v>
      </c>
      <c r="GH38" s="1172">
        <f t="shared" si="317"/>
        <v>167.32</v>
      </c>
      <c r="GI38" s="1172">
        <f t="shared" si="317"/>
        <v>170.22</v>
      </c>
      <c r="GJ38" s="1172">
        <f t="shared" si="317"/>
        <v>174.06</v>
      </c>
      <c r="GK38" s="1172">
        <f t="shared" si="317"/>
        <v>193.57</v>
      </c>
      <c r="GL38" s="1172">
        <f t="shared" si="317"/>
        <v>206.97</v>
      </c>
      <c r="GM38" s="1172">
        <f t="shared" si="317"/>
        <v>211.88</v>
      </c>
      <c r="GN38" s="1172">
        <f t="shared" si="317"/>
        <v>223.38</v>
      </c>
      <c r="GO38" s="1172">
        <f t="shared" si="317"/>
        <v>277.02</v>
      </c>
      <c r="GP38" s="1172">
        <f t="shared" si="317"/>
        <v>276.64999999999998</v>
      </c>
      <c r="GQ38" s="1172">
        <f t="shared" si="317"/>
        <v>270.98</v>
      </c>
      <c r="GR38" s="1172">
        <f t="shared" si="317"/>
        <v>285.91000000000003</v>
      </c>
      <c r="GS38" s="1172">
        <f t="shared" si="317"/>
        <v>277.17</v>
      </c>
      <c r="GT38" s="1172">
        <f t="shared" si="317"/>
        <v>296.64</v>
      </c>
      <c r="GU38" s="1172">
        <f t="shared" si="317"/>
        <v>303.45999999999998</v>
      </c>
      <c r="GV38" s="1172">
        <f t="shared" si="317"/>
        <v>322.89999999999998</v>
      </c>
      <c r="GW38" s="1172">
        <f t="shared" si="317"/>
        <v>344.33</v>
      </c>
      <c r="GX38" s="1172">
        <f t="shared" si="317"/>
        <v>335.98</v>
      </c>
      <c r="GY38" s="1172">
        <f t="shared" si="317"/>
        <v>338.99</v>
      </c>
      <c r="GZ38" s="1172">
        <f t="shared" si="317"/>
        <v>395.52</v>
      </c>
      <c r="HA38" s="1172">
        <f t="shared" si="317"/>
        <v>411.48</v>
      </c>
      <c r="HB38" s="1172">
        <f t="shared" si="317"/>
        <v>425.41</v>
      </c>
      <c r="HC38" s="1172">
        <f t="shared" ref="HC38:HH38" si="318">ROUND((+HC29/$E$29*100),2)</f>
        <v>431.14</v>
      </c>
      <c r="HD38" s="1172">
        <f t="shared" si="318"/>
        <v>439.4</v>
      </c>
      <c r="HE38" s="1172">
        <f t="shared" si="318"/>
        <v>455.18</v>
      </c>
      <c r="HF38" s="1942">
        <f t="shared" si="318"/>
        <v>461.02</v>
      </c>
      <c r="HG38" s="1943">
        <f t="shared" si="318"/>
        <v>468.47</v>
      </c>
      <c r="HH38" s="1943">
        <f t="shared" si="318"/>
        <v>481.4</v>
      </c>
      <c r="HI38" s="1943">
        <f t="shared" ref="HI38:HJ38" si="319">ROUND((+HI29/$E$29*100),2)</f>
        <v>489.05</v>
      </c>
      <c r="HJ38" s="1943">
        <f t="shared" si="319"/>
        <v>501.82</v>
      </c>
      <c r="HK38" s="1943">
        <f t="shared" ref="HK38:HL38" si="320">ROUND((+HK29/$E$29*100),2)</f>
        <v>513.70000000000005</v>
      </c>
      <c r="HL38" s="1943">
        <f t="shared" si="320"/>
        <v>525.08000000000004</v>
      </c>
      <c r="HM38" s="1943">
        <f t="shared" ref="HM38:HN38" si="321">ROUND((+HM29/$E$29*100),2)</f>
        <v>539.75</v>
      </c>
      <c r="HN38" s="1943">
        <f t="shared" si="321"/>
        <v>560.19000000000005</v>
      </c>
      <c r="HO38" s="1943">
        <f t="shared" ref="HO38:HP38" si="322">ROUND((+HO29/$E$29*100),2)</f>
        <v>587.74</v>
      </c>
      <c r="HP38" s="1943">
        <f t="shared" si="322"/>
        <v>610.04</v>
      </c>
      <c r="HQ38" s="1943">
        <f t="shared" ref="HQ38:HR38" si="323">ROUND((+HQ29/$E$29*100),2)</f>
        <v>627.6</v>
      </c>
      <c r="HR38" s="1948">
        <f t="shared" si="323"/>
        <v>659.03</v>
      </c>
      <c r="HS38" s="1948">
        <f t="shared" ref="HS38:HT38" si="324">ROUND((+HS29/$E$29*100),2)</f>
        <v>694.52</v>
      </c>
      <c r="HT38" s="1948">
        <f t="shared" si="324"/>
        <v>721.02</v>
      </c>
      <c r="HU38" s="1948">
        <f t="shared" ref="HU38:HV38" si="325">ROUND((+HU29/$E$29*100),2)</f>
        <v>746.85</v>
      </c>
      <c r="HV38" s="1948">
        <f t="shared" si="325"/>
        <v>750.27</v>
      </c>
      <c r="HW38" s="1948">
        <f t="shared" ref="HW38:HX38" si="326">ROUND((+HW29/$E$29*100),2)</f>
        <v>761.39</v>
      </c>
      <c r="HX38" s="1948">
        <f t="shared" si="326"/>
        <v>770.93</v>
      </c>
      <c r="HY38" s="1948">
        <f t="shared" ref="HY38:HZ38" si="327">ROUND((+HY29/$E$29*100),2)</f>
        <v>773.64</v>
      </c>
      <c r="HZ38" s="1879">
        <f t="shared" si="327"/>
        <v>783.79</v>
      </c>
      <c r="IA38" s="1879">
        <f t="shared" ref="IA38:IB38" si="328">ROUND((+IA29/$E$29*100),2)</f>
        <v>787.06</v>
      </c>
      <c r="IB38" s="1879">
        <f t="shared" si="328"/>
        <v>795.23</v>
      </c>
      <c r="IC38" s="1785">
        <f t="shared" ref="IC38:ID38" si="329">ROUND((+IC29/$E$29*100),2)</f>
        <v>810.23</v>
      </c>
      <c r="ID38" s="1786">
        <f t="shared" si="329"/>
        <v>846.24</v>
      </c>
      <c r="IE38" s="1786">
        <f t="shared" ref="IE38:IF38" si="330">ROUND((+IE29/$E$29*100),2)</f>
        <v>896.34</v>
      </c>
      <c r="IF38" s="1786">
        <f t="shared" si="330"/>
        <v>923.83</v>
      </c>
      <c r="IG38" s="1786">
        <f t="shared" ref="IG38:IH38" si="331">ROUND((+IG29/$E$29*100),2)</f>
        <v>993.03</v>
      </c>
      <c r="IH38" s="1786">
        <f t="shared" si="331"/>
        <v>1068.25</v>
      </c>
      <c r="II38" s="1786">
        <f t="shared" ref="II38:IJ38" si="332">ROUND((+II29/$E$29*100),2)</f>
        <v>1113.3900000000001</v>
      </c>
      <c r="IJ38" s="1786">
        <f t="shared" si="332"/>
        <v>1153.97</v>
      </c>
      <c r="IK38" s="1786">
        <f t="shared" ref="IK38:IL38" si="333">ROUND((+IK29/$E$29*100),2)</f>
        <v>1215.98</v>
      </c>
      <c r="IL38" s="1786">
        <f t="shared" si="333"/>
        <v>1300.06</v>
      </c>
      <c r="IM38" s="1786">
        <f t="shared" ref="IM38:IN38" si="334">ROUND((+IM29/$E$29*100),2)</f>
        <v>1450.41</v>
      </c>
      <c r="IN38" s="1879">
        <f t="shared" si="334"/>
        <v>1544.26</v>
      </c>
      <c r="IO38" s="1786">
        <f t="shared" ref="IO38:IP38" si="335">ROUND((+IO29/$E$29*100),2)</f>
        <v>1602.63</v>
      </c>
      <c r="IP38" s="1786">
        <f t="shared" si="335"/>
        <v>1732.23</v>
      </c>
      <c r="IQ38" s="1037"/>
    </row>
    <row r="39" spans="2:261">
      <c r="B39" s="2749" t="s">
        <v>681</v>
      </c>
      <c r="C39" s="2750"/>
      <c r="D39" s="2751"/>
      <c r="E39" s="383">
        <f>+E30/$E$30*100</f>
        <v>100</v>
      </c>
      <c r="F39" s="696">
        <f>+F30/$E$30*100</f>
        <v>268.94139880925684</v>
      </c>
      <c r="G39" s="689">
        <f>+G30/$E$30*100</f>
        <v>270.66082957301296</v>
      </c>
      <c r="H39" s="689">
        <f>+H30/$E$30*100</f>
        <v>268.38071486455368</v>
      </c>
      <c r="I39" s="689">
        <f>+I30/$E$30*100</f>
        <v>266.92293660832559</v>
      </c>
      <c r="J39" s="689">
        <f t="shared" ref="J39:P39" si="336">ROUND((+J30/$E$30*100),2)</f>
        <v>265.08999999999997</v>
      </c>
      <c r="K39" s="689">
        <f t="shared" si="336"/>
        <v>256.95999999999998</v>
      </c>
      <c r="L39" s="689">
        <f t="shared" si="336"/>
        <v>250.18</v>
      </c>
      <c r="M39" s="689">
        <f t="shared" si="336"/>
        <v>246.59</v>
      </c>
      <c r="N39" s="689">
        <f t="shared" si="336"/>
        <v>244.33</v>
      </c>
      <c r="O39" s="689">
        <f t="shared" si="336"/>
        <v>241.36</v>
      </c>
      <c r="P39" s="689">
        <f t="shared" si="336"/>
        <v>245.88</v>
      </c>
      <c r="Q39" s="285">
        <f>ROUND((+Q30/$E$30*100),2)</f>
        <v>246.87</v>
      </c>
      <c r="R39" s="285">
        <f>ROUND((+R30/$E$30*100),2)</f>
        <v>245.67</v>
      </c>
      <c r="S39" s="285">
        <f>ROUND((+S30/$E$30*100),2)</f>
        <v>247.28</v>
      </c>
      <c r="T39" s="285">
        <f>ROUND((+T30/$E$30*100),2)</f>
        <v>251.22</v>
      </c>
      <c r="U39" s="525">
        <f>+U30/$E$30*100</f>
        <v>252.41991190533861</v>
      </c>
      <c r="V39" s="525">
        <f t="shared" ref="V39:AA39" si="337">ROUND((+V30/$E$30*100),2)</f>
        <v>253.99</v>
      </c>
      <c r="W39" s="525">
        <f t="shared" si="337"/>
        <v>253.52</v>
      </c>
      <c r="X39" s="525">
        <f t="shared" si="337"/>
        <v>250.89</v>
      </c>
      <c r="Y39" s="525">
        <f t="shared" si="337"/>
        <v>254.33</v>
      </c>
      <c r="Z39" s="525">
        <f t="shared" si="337"/>
        <v>256.12</v>
      </c>
      <c r="AA39" s="525">
        <f t="shared" si="337"/>
        <v>255.67</v>
      </c>
      <c r="AB39" s="525">
        <f t="shared" ref="AB39:AG39" si="338">ROUND((+AB30/$E$30*100),2)</f>
        <v>261.76</v>
      </c>
      <c r="AC39" s="525">
        <f t="shared" si="338"/>
        <v>260.33</v>
      </c>
      <c r="AD39" s="525">
        <f t="shared" si="338"/>
        <v>259.97000000000003</v>
      </c>
      <c r="AE39" s="525">
        <f t="shared" si="338"/>
        <v>260.06</v>
      </c>
      <c r="AF39" s="525">
        <f t="shared" si="338"/>
        <v>261.3</v>
      </c>
      <c r="AG39" s="525">
        <f t="shared" si="338"/>
        <v>263.14999999999998</v>
      </c>
      <c r="AH39" s="525">
        <f t="shared" ref="AH39:AM39" si="339">ROUND((+AH30/$E$30*100),2)</f>
        <v>261.93</v>
      </c>
      <c r="AI39" s="525">
        <f t="shared" si="339"/>
        <v>275.13</v>
      </c>
      <c r="AJ39" s="525">
        <f t="shared" si="339"/>
        <v>277.14999999999998</v>
      </c>
      <c r="AK39" s="525">
        <f t="shared" si="339"/>
        <v>276.88</v>
      </c>
      <c r="AL39" s="525">
        <f t="shared" si="339"/>
        <v>275.14999999999998</v>
      </c>
      <c r="AM39" s="525">
        <f t="shared" si="339"/>
        <v>274.74</v>
      </c>
      <c r="AN39" s="525">
        <f t="shared" ref="AN39:AS39" si="340">ROUND((+AN30/$E$30*100),2)</f>
        <v>275.27999999999997</v>
      </c>
      <c r="AO39" s="525">
        <f t="shared" si="340"/>
        <v>275.95</v>
      </c>
      <c r="AP39" s="525">
        <f t="shared" si="340"/>
        <v>277.45999999999998</v>
      </c>
      <c r="AQ39" s="525">
        <f t="shared" si="340"/>
        <v>286.12</v>
      </c>
      <c r="AR39" s="525">
        <f t="shared" si="340"/>
        <v>287.61</v>
      </c>
      <c r="AS39" s="525">
        <f t="shared" si="340"/>
        <v>291.58999999999997</v>
      </c>
      <c r="AT39" s="525">
        <f t="shared" ref="AT39:AY39" si="341">ROUND((+AT30/$E$30*100),2)</f>
        <v>292.45</v>
      </c>
      <c r="AU39" s="525">
        <f t="shared" si="341"/>
        <v>295.76</v>
      </c>
      <c r="AV39" s="525">
        <f t="shared" si="341"/>
        <v>292.81</v>
      </c>
      <c r="AW39" s="525">
        <f t="shared" si="341"/>
        <v>297.61</v>
      </c>
      <c r="AX39" s="525">
        <f t="shared" si="341"/>
        <v>297.83999999999997</v>
      </c>
      <c r="AY39" s="525">
        <f t="shared" si="341"/>
        <v>300.73</v>
      </c>
      <c r="AZ39" s="525">
        <f t="shared" ref="AZ39:BE39" si="342">ROUND((+AZ30/$E$30*100),2)</f>
        <v>302.86</v>
      </c>
      <c r="BA39" s="525">
        <f t="shared" si="342"/>
        <v>290.42</v>
      </c>
      <c r="BB39" s="525">
        <f t="shared" si="342"/>
        <v>308.08</v>
      </c>
      <c r="BC39" s="525">
        <f t="shared" si="342"/>
        <v>305.57</v>
      </c>
      <c r="BD39" s="525">
        <f t="shared" si="342"/>
        <v>305.74</v>
      </c>
      <c r="BE39" s="525">
        <f t="shared" si="342"/>
        <v>311.22000000000003</v>
      </c>
      <c r="BF39" s="525">
        <f t="shared" ref="BF39:BK39" si="343">ROUND((+BF30/$E$30*100),2)</f>
        <v>312.81</v>
      </c>
      <c r="BG39" s="525">
        <f t="shared" si="343"/>
        <v>311.83</v>
      </c>
      <c r="BH39" s="525">
        <f t="shared" si="343"/>
        <v>312.19</v>
      </c>
      <c r="BI39" s="525">
        <f t="shared" si="343"/>
        <v>321.77999999999997</v>
      </c>
      <c r="BJ39" s="525">
        <f t="shared" si="343"/>
        <v>322.69</v>
      </c>
      <c r="BK39" s="525">
        <f t="shared" si="343"/>
        <v>329.79</v>
      </c>
      <c r="BL39" s="525">
        <f t="shared" ref="BL39:BR39" si="344">ROUND((+BL30/$E$30*100),2)</f>
        <v>330.52</v>
      </c>
      <c r="BM39" s="525">
        <f t="shared" si="344"/>
        <v>331.03</v>
      </c>
      <c r="BN39" s="525">
        <f t="shared" si="344"/>
        <v>332.47</v>
      </c>
      <c r="BO39" s="525">
        <f t="shared" si="344"/>
        <v>332.9</v>
      </c>
      <c r="BP39" s="526">
        <f t="shared" si="344"/>
        <v>345.46</v>
      </c>
      <c r="BQ39" s="524">
        <f t="shared" si="344"/>
        <v>333.38</v>
      </c>
      <c r="BR39" s="525">
        <f t="shared" si="344"/>
        <v>328.32</v>
      </c>
      <c r="BS39" s="525">
        <f t="shared" ref="BS39:BX39" si="345">ROUND((+BS30/$E$30*100),2)</f>
        <v>330.19</v>
      </c>
      <c r="BT39" s="525">
        <f t="shared" si="345"/>
        <v>342.17</v>
      </c>
      <c r="BU39" s="525">
        <f t="shared" si="345"/>
        <v>348.24</v>
      </c>
      <c r="BV39" s="525">
        <f t="shared" si="345"/>
        <v>347.74</v>
      </c>
      <c r="BW39" s="525">
        <f t="shared" si="345"/>
        <v>354.88</v>
      </c>
      <c r="BX39" s="525">
        <f t="shared" si="345"/>
        <v>353.08</v>
      </c>
      <c r="BY39" s="525">
        <f t="shared" ref="BY39:CD39" si="346">ROUND((+BY30/$E$30*100),2)</f>
        <v>356.11</v>
      </c>
      <c r="BZ39" s="525">
        <f t="shared" si="346"/>
        <v>361.19</v>
      </c>
      <c r="CA39" s="525">
        <f t="shared" si="346"/>
        <v>363.06</v>
      </c>
      <c r="CB39" s="526">
        <f t="shared" si="346"/>
        <v>366.2</v>
      </c>
      <c r="CC39" s="524">
        <f t="shared" si="346"/>
        <v>368.74</v>
      </c>
      <c r="CD39" s="525">
        <f t="shared" si="346"/>
        <v>373.34</v>
      </c>
      <c r="CE39" s="525">
        <f t="shared" ref="CE39:CJ39" si="347">ROUND((+CE30/$E$30*100),2)</f>
        <v>379.19</v>
      </c>
      <c r="CF39" s="525">
        <f t="shared" si="347"/>
        <v>387.17</v>
      </c>
      <c r="CG39" s="525">
        <f t="shared" si="347"/>
        <v>396.22</v>
      </c>
      <c r="CH39" s="525">
        <f t="shared" si="347"/>
        <v>406.18</v>
      </c>
      <c r="CI39" s="525">
        <f t="shared" si="347"/>
        <v>413.34</v>
      </c>
      <c r="CJ39" s="528">
        <f t="shared" si="347"/>
        <v>415.92</v>
      </c>
      <c r="CK39" s="528">
        <f t="shared" ref="CK39:CP39" si="348">ROUND((+CK30/$E$30*100),2)</f>
        <v>417.17</v>
      </c>
      <c r="CL39" s="525">
        <f t="shared" si="348"/>
        <v>428.7</v>
      </c>
      <c r="CM39" s="528">
        <f t="shared" si="348"/>
        <v>429.13</v>
      </c>
      <c r="CN39" s="528">
        <f t="shared" si="348"/>
        <v>429.8</v>
      </c>
      <c r="CO39" s="524">
        <f t="shared" si="348"/>
        <v>430.53</v>
      </c>
      <c r="CP39" s="525">
        <f t="shared" si="348"/>
        <v>432.4</v>
      </c>
      <c r="CQ39" s="525">
        <f t="shared" ref="CQ39:CV39" si="349">ROUND((+CQ30/$E$30*100),2)</f>
        <v>440.01</v>
      </c>
      <c r="CR39" s="525">
        <f t="shared" si="349"/>
        <v>445.5</v>
      </c>
      <c r="CS39" s="525">
        <f t="shared" si="349"/>
        <v>461.59</v>
      </c>
      <c r="CT39" s="525">
        <f t="shared" si="349"/>
        <v>467.09</v>
      </c>
      <c r="CU39" s="525">
        <f t="shared" si="349"/>
        <v>471.55</v>
      </c>
      <c r="CV39" s="525">
        <f t="shared" si="349"/>
        <v>482.52</v>
      </c>
      <c r="CW39" s="1123">
        <f t="shared" ref="CW39:DB39" si="350">ROUND((+CW30/$E$30*100),2)</f>
        <v>486.21</v>
      </c>
      <c r="CX39" s="525">
        <f t="shared" si="350"/>
        <v>489.03</v>
      </c>
      <c r="CY39" s="528">
        <f t="shared" si="350"/>
        <v>490.41</v>
      </c>
      <c r="CZ39" s="528">
        <f t="shared" si="350"/>
        <v>504.95</v>
      </c>
      <c r="DA39" s="527">
        <f t="shared" si="350"/>
        <v>513.1</v>
      </c>
      <c r="DB39" s="528">
        <f t="shared" si="350"/>
        <v>514.69000000000005</v>
      </c>
      <c r="DC39" s="528">
        <f t="shared" ref="DC39:DH39" si="351">ROUND((+DC30/$E$30*100),2)</f>
        <v>515.9</v>
      </c>
      <c r="DD39" s="528">
        <f t="shared" si="351"/>
        <v>544.87</v>
      </c>
      <c r="DE39" s="528">
        <f t="shared" si="351"/>
        <v>548.46</v>
      </c>
      <c r="DF39" s="528">
        <f t="shared" si="351"/>
        <v>551.71</v>
      </c>
      <c r="DG39" s="528">
        <f t="shared" si="351"/>
        <v>557.47</v>
      </c>
      <c r="DH39" s="528">
        <f t="shared" si="351"/>
        <v>570.96</v>
      </c>
      <c r="DI39" s="528">
        <f t="shared" ref="DI39:DN39" si="352">ROUND((+DI30/$E$30*100),2)</f>
        <v>573.92999999999995</v>
      </c>
      <c r="DJ39" s="528">
        <f t="shared" si="352"/>
        <v>576.27</v>
      </c>
      <c r="DK39" s="528">
        <f t="shared" si="352"/>
        <v>586.79</v>
      </c>
      <c r="DL39" s="526">
        <f t="shared" si="352"/>
        <v>590.79</v>
      </c>
      <c r="DM39" s="528">
        <f t="shared" si="352"/>
        <v>600.16</v>
      </c>
      <c r="DN39" s="528">
        <f t="shared" si="352"/>
        <v>601.73</v>
      </c>
      <c r="DO39" s="528">
        <f t="shared" ref="DO39:DT39" si="353">ROUND((+DO30/$E$30*100),2)</f>
        <v>608.25</v>
      </c>
      <c r="DP39" s="528">
        <f t="shared" si="353"/>
        <v>611.30999999999995</v>
      </c>
      <c r="DQ39" s="528">
        <f t="shared" si="353"/>
        <v>617.35</v>
      </c>
      <c r="DR39" s="528">
        <f t="shared" si="353"/>
        <v>672.39</v>
      </c>
      <c r="DS39" s="979">
        <f t="shared" si="353"/>
        <v>682.03</v>
      </c>
      <c r="DT39" s="979">
        <f t="shared" si="353"/>
        <v>684.95</v>
      </c>
      <c r="DU39" s="979">
        <f t="shared" ref="DU39:DZ39" si="354">ROUND((+DU30/$E$30*100),2)</f>
        <v>686.97</v>
      </c>
      <c r="DV39" s="974">
        <f t="shared" si="354"/>
        <v>688.09</v>
      </c>
      <c r="DW39" s="1145">
        <f t="shared" si="354"/>
        <v>692.24</v>
      </c>
      <c r="DX39" s="974">
        <f t="shared" si="354"/>
        <v>693.62</v>
      </c>
      <c r="DY39" s="1145">
        <f t="shared" si="354"/>
        <v>698.11</v>
      </c>
      <c r="DZ39" s="979">
        <f t="shared" si="354"/>
        <v>702.16</v>
      </c>
      <c r="EA39" s="979">
        <f t="shared" ref="EA39:EF39" si="355">ROUND((+EA30/$E$30*100),2)</f>
        <v>709.34</v>
      </c>
      <c r="EB39" s="979">
        <f t="shared" si="355"/>
        <v>717.54</v>
      </c>
      <c r="EC39" s="979">
        <f t="shared" si="355"/>
        <v>723.99</v>
      </c>
      <c r="ED39" s="979">
        <f t="shared" si="355"/>
        <v>772.96</v>
      </c>
      <c r="EE39" s="979">
        <f t="shared" si="355"/>
        <v>776.83</v>
      </c>
      <c r="EF39" s="979">
        <f t="shared" si="355"/>
        <v>780.7</v>
      </c>
      <c r="EG39" s="979">
        <f t="shared" ref="EG39:EL39" si="356">ROUND((+EG30/$E$30*100),2)</f>
        <v>800.08</v>
      </c>
      <c r="EH39" s="979">
        <f t="shared" si="356"/>
        <v>801.07</v>
      </c>
      <c r="EI39" s="979">
        <f t="shared" si="356"/>
        <v>804.02</v>
      </c>
      <c r="EJ39" s="971">
        <f t="shared" si="356"/>
        <v>811.74</v>
      </c>
      <c r="EK39" s="979">
        <f t="shared" si="356"/>
        <v>829.31</v>
      </c>
      <c r="EL39" s="979">
        <f t="shared" si="356"/>
        <v>853.9</v>
      </c>
      <c r="EM39" s="979">
        <f t="shared" ref="EM39:ER39" si="357">ROUND((+EM30/$E$30*100),2)</f>
        <v>874.07</v>
      </c>
      <c r="EN39" s="979">
        <f t="shared" si="357"/>
        <v>953.07</v>
      </c>
      <c r="EO39" s="979">
        <f t="shared" si="357"/>
        <v>957.59</v>
      </c>
      <c r="EP39" s="979">
        <f t="shared" si="357"/>
        <v>961.91</v>
      </c>
      <c r="EQ39" s="979">
        <f t="shared" si="357"/>
        <v>1013.85</v>
      </c>
      <c r="ER39" s="979">
        <f t="shared" si="357"/>
        <v>1025.51</v>
      </c>
      <c r="ES39" s="979">
        <f t="shared" ref="ES39:EZ39" si="358">ROUND((+ES30/$E$30*100),2)</f>
        <v>1035.28</v>
      </c>
      <c r="ET39" s="979">
        <f t="shared" si="358"/>
        <v>1039.9000000000001</v>
      </c>
      <c r="EU39" s="979">
        <f t="shared" si="358"/>
        <v>1043.5999999999999</v>
      </c>
      <c r="EV39" s="971">
        <f t="shared" si="358"/>
        <v>1044.18</v>
      </c>
      <c r="EW39" s="1007">
        <f t="shared" si="358"/>
        <v>1030.3699999999999</v>
      </c>
      <c r="EX39" s="979">
        <f t="shared" si="358"/>
        <v>1035.6199999999999</v>
      </c>
      <c r="EY39" s="974">
        <f t="shared" si="358"/>
        <v>1047.1099999999999</v>
      </c>
      <c r="EZ39" s="974">
        <f t="shared" si="358"/>
        <v>1125.78</v>
      </c>
      <c r="FA39" s="974">
        <f t="shared" ref="FA39:FG39" si="359">ROUND((+FA30/$E$30*100),2)</f>
        <v>1137.44</v>
      </c>
      <c r="FB39" s="974">
        <f t="shared" si="359"/>
        <v>1151.48</v>
      </c>
      <c r="FC39" s="974">
        <f t="shared" si="359"/>
        <v>1161.57</v>
      </c>
      <c r="FD39" s="974">
        <f t="shared" si="359"/>
        <v>1211.97</v>
      </c>
      <c r="FE39" s="974">
        <f t="shared" si="359"/>
        <v>1214.1600000000001</v>
      </c>
      <c r="FF39" s="979">
        <f t="shared" si="359"/>
        <v>1218.74</v>
      </c>
      <c r="FG39" s="971" t="e">
        <f t="shared" si="359"/>
        <v>#REF!</v>
      </c>
      <c r="FH39" s="971" t="e">
        <f t="shared" ref="FH39:FM39" si="360">ROUND((+FH30/$E$30*100),2)</f>
        <v>#REF!</v>
      </c>
      <c r="FI39" s="1938">
        <f t="shared" si="360"/>
        <v>100.01</v>
      </c>
      <c r="FJ39" s="2510">
        <f t="shared" si="360"/>
        <v>107.45</v>
      </c>
      <c r="FK39" s="971">
        <f t="shared" si="360"/>
        <v>106.21</v>
      </c>
      <c r="FL39" s="971">
        <f t="shared" si="360"/>
        <v>110.17</v>
      </c>
      <c r="FM39" s="971">
        <f t="shared" si="360"/>
        <v>112.19</v>
      </c>
      <c r="FN39" s="971">
        <f t="shared" ref="FN39:HB39" si="361">ROUND((+FN30/$E$30*100),2)</f>
        <v>116.77</v>
      </c>
      <c r="FO39" s="971">
        <f t="shared" si="361"/>
        <v>116.77</v>
      </c>
      <c r="FP39" s="971">
        <f t="shared" si="361"/>
        <v>116.77</v>
      </c>
      <c r="FQ39" s="971">
        <f t="shared" si="361"/>
        <v>117.18</v>
      </c>
      <c r="FR39" s="971">
        <f t="shared" si="361"/>
        <v>119.87</v>
      </c>
      <c r="FS39" s="971">
        <f t="shared" si="361"/>
        <v>121.07</v>
      </c>
      <c r="FT39" s="971">
        <f t="shared" si="361"/>
        <v>122.32</v>
      </c>
      <c r="FU39" s="971">
        <f t="shared" si="361"/>
        <v>124.19</v>
      </c>
      <c r="FV39" s="971">
        <f t="shared" si="361"/>
        <v>124.04</v>
      </c>
      <c r="FW39" s="971">
        <f t="shared" si="361"/>
        <v>124.21</v>
      </c>
      <c r="FX39" s="971">
        <f t="shared" si="361"/>
        <v>126.4</v>
      </c>
      <c r="FY39" s="971">
        <f t="shared" si="361"/>
        <v>127.5</v>
      </c>
      <c r="FZ39" s="971">
        <f t="shared" si="361"/>
        <v>128.6</v>
      </c>
      <c r="GA39" s="971">
        <f t="shared" si="361"/>
        <v>142.13</v>
      </c>
      <c r="GB39" s="971">
        <f t="shared" si="361"/>
        <v>143.38999999999999</v>
      </c>
      <c r="GC39" s="971">
        <f t="shared" si="361"/>
        <v>141.97</v>
      </c>
      <c r="GD39" s="971">
        <f t="shared" si="361"/>
        <v>144.34</v>
      </c>
      <c r="GE39" s="971">
        <f t="shared" si="361"/>
        <v>148.53</v>
      </c>
      <c r="GF39" s="971">
        <f t="shared" si="361"/>
        <v>153.69999999999999</v>
      </c>
      <c r="GG39" s="971">
        <f t="shared" si="361"/>
        <v>157.88999999999999</v>
      </c>
      <c r="GH39" s="971">
        <f t="shared" si="361"/>
        <v>166.56</v>
      </c>
      <c r="GI39" s="971">
        <f t="shared" si="361"/>
        <v>169.64</v>
      </c>
      <c r="GJ39" s="971">
        <f t="shared" si="361"/>
        <v>173.23</v>
      </c>
      <c r="GK39" s="971">
        <f t="shared" si="361"/>
        <v>194.15</v>
      </c>
      <c r="GL39" s="971">
        <f t="shared" si="361"/>
        <v>208.63</v>
      </c>
      <c r="GM39" s="971">
        <f t="shared" si="361"/>
        <v>212.8</v>
      </c>
      <c r="GN39" s="971">
        <f t="shared" si="361"/>
        <v>224.27</v>
      </c>
      <c r="GO39" s="971">
        <f t="shared" si="361"/>
        <v>280.08</v>
      </c>
      <c r="GP39" s="971">
        <f t="shared" si="361"/>
        <v>278.38</v>
      </c>
      <c r="GQ39" s="971">
        <f t="shared" si="361"/>
        <v>271.70999999999998</v>
      </c>
      <c r="GR39" s="971">
        <f t="shared" si="361"/>
        <v>287.26</v>
      </c>
      <c r="GS39" s="971">
        <f t="shared" si="361"/>
        <v>278.39999999999998</v>
      </c>
      <c r="GT39" s="971">
        <f t="shared" si="361"/>
        <v>297.93</v>
      </c>
      <c r="GU39" s="971">
        <f t="shared" si="361"/>
        <v>305.07</v>
      </c>
      <c r="GV39" s="971">
        <f t="shared" si="361"/>
        <v>324.75</v>
      </c>
      <c r="GW39" s="971">
        <f t="shared" si="361"/>
        <v>346.73</v>
      </c>
      <c r="GX39" s="971">
        <f t="shared" si="361"/>
        <v>337.53</v>
      </c>
      <c r="GY39" s="971">
        <f t="shared" si="361"/>
        <v>340.24</v>
      </c>
      <c r="GZ39" s="971">
        <f t="shared" si="361"/>
        <v>400.7</v>
      </c>
      <c r="HA39" s="971">
        <f t="shared" si="361"/>
        <v>417.02</v>
      </c>
      <c r="HB39" s="971">
        <f t="shared" si="361"/>
        <v>431.61</v>
      </c>
      <c r="HC39" s="971">
        <f t="shared" ref="HC39:HH39" si="362">ROUND((+HC30/$E$30*100),2)</f>
        <v>435.39</v>
      </c>
      <c r="HD39" s="971">
        <f t="shared" si="362"/>
        <v>442.81</v>
      </c>
      <c r="HE39" s="971">
        <f t="shared" si="362"/>
        <v>459.42</v>
      </c>
      <c r="HF39" s="1938">
        <f t="shared" si="362"/>
        <v>465.46</v>
      </c>
      <c r="HG39" s="965">
        <f t="shared" si="362"/>
        <v>473.46</v>
      </c>
      <c r="HH39" s="965">
        <f t="shared" si="362"/>
        <v>487.33</v>
      </c>
      <c r="HI39" s="965">
        <f t="shared" ref="HI39:HJ39" si="363">ROUND((+HI30/$E$30*100),2)</f>
        <v>495.5</v>
      </c>
      <c r="HJ39" s="965">
        <f t="shared" si="363"/>
        <v>509.21</v>
      </c>
      <c r="HK39" s="965">
        <f t="shared" ref="HK39:HL39" si="364">ROUND((+HK30/$E$30*100),2)</f>
        <v>521.94000000000005</v>
      </c>
      <c r="HL39" s="965">
        <f t="shared" si="364"/>
        <v>533.49</v>
      </c>
      <c r="HM39" s="965">
        <f t="shared" ref="HM39:HN39" si="365">ROUND((+HM30/$E$30*100),2)</f>
        <v>548.14</v>
      </c>
      <c r="HN39" s="965">
        <f t="shared" si="365"/>
        <v>569.15</v>
      </c>
      <c r="HO39" s="965">
        <f t="shared" ref="HO39:HP39" si="366">ROUND((+HO30/$E$30*100),2)</f>
        <v>596.98</v>
      </c>
      <c r="HP39" s="965">
        <f t="shared" si="366"/>
        <v>619.07000000000005</v>
      </c>
      <c r="HQ39" s="965">
        <f t="shared" ref="HQ39:HR39" si="367">ROUND((+HQ30/$E$30*100),2)</f>
        <v>636.9</v>
      </c>
      <c r="HR39" s="1882">
        <f t="shared" si="367"/>
        <v>667.29</v>
      </c>
      <c r="HS39" s="1882">
        <f t="shared" ref="HS39:HT39" si="368">ROUND((+HS30/$E$30*100),2)</f>
        <v>701.23</v>
      </c>
      <c r="HT39" s="1882">
        <f t="shared" si="368"/>
        <v>726.52</v>
      </c>
      <c r="HU39" s="1882">
        <f t="shared" ref="HU39:HV39" si="369">ROUND((+HU30/$E$30*100),2)</f>
        <v>750.85</v>
      </c>
      <c r="HV39" s="1882">
        <f t="shared" si="369"/>
        <v>754.49</v>
      </c>
      <c r="HW39" s="1882">
        <f t="shared" ref="HW39:HX39" si="370">ROUND((+HW30/$E$30*100),2)</f>
        <v>765.67</v>
      </c>
      <c r="HX39" s="1882">
        <f t="shared" si="370"/>
        <v>775</v>
      </c>
      <c r="HY39" s="1882">
        <f t="shared" ref="HY39:HZ39" si="371">ROUND((+HY30/$E$30*100),2)</f>
        <v>778.4</v>
      </c>
      <c r="HZ39" s="1880">
        <f t="shared" si="371"/>
        <v>788.75</v>
      </c>
      <c r="IA39" s="1880">
        <f t="shared" ref="IA39:IB39" si="372">ROUND((+IA30/$E$30*100),2)</f>
        <v>792.27</v>
      </c>
      <c r="IB39" s="1880">
        <f t="shared" si="372"/>
        <v>801.11</v>
      </c>
      <c r="IC39" s="975">
        <f t="shared" ref="IC39:ID39" si="373">ROUND((+IC30/$E$30*100),2)</f>
        <v>816.65</v>
      </c>
      <c r="ID39" s="963">
        <f t="shared" si="373"/>
        <v>851.01</v>
      </c>
      <c r="IE39" s="963">
        <f t="shared" ref="IE39:IF39" si="374">ROUND((+IE30/$E$30*100),2)</f>
        <v>899.02</v>
      </c>
      <c r="IF39" s="963">
        <f t="shared" si="374"/>
        <v>926.9</v>
      </c>
      <c r="IG39" s="963">
        <f t="shared" ref="IG39:IH39" si="375">ROUND((+IG30/$E$30*100),2)</f>
        <v>993.51</v>
      </c>
      <c r="IH39" s="963">
        <f t="shared" si="375"/>
        <v>1065.17</v>
      </c>
      <c r="II39" s="963">
        <f t="shared" ref="II39:IJ39" si="376">ROUND((+II30/$E$30*100),2)</f>
        <v>1111.33</v>
      </c>
      <c r="IJ39" s="963">
        <f t="shared" si="376"/>
        <v>1151.7</v>
      </c>
      <c r="IK39" s="963">
        <f t="shared" ref="IK39:IL39" si="377">ROUND((+IK30/$E$30*100),2)</f>
        <v>1216.7</v>
      </c>
      <c r="IL39" s="963">
        <f t="shared" si="377"/>
        <v>1300.28</v>
      </c>
      <c r="IM39" s="963">
        <f t="shared" ref="IM39:IN39" si="378">ROUND((+IM30/$E$30*100),2)</f>
        <v>1445.01</v>
      </c>
      <c r="IN39" s="1880">
        <f t="shared" si="378"/>
        <v>1536.07</v>
      </c>
      <c r="IO39" s="963">
        <f t="shared" ref="IO39:IP39" si="379">ROUND((+IO30/$E$30*100),2)</f>
        <v>1596.34</v>
      </c>
      <c r="IP39" s="963">
        <f t="shared" si="379"/>
        <v>1722.83</v>
      </c>
      <c r="IQ39" s="1037"/>
    </row>
    <row r="40" spans="2:261">
      <c r="B40" s="2749" t="s">
        <v>682</v>
      </c>
      <c r="C40" s="2750"/>
      <c r="D40" s="2751"/>
      <c r="E40" s="383">
        <f>+E31/$E$31*100</f>
        <v>100</v>
      </c>
      <c r="F40" s="696">
        <f>+F31/$E$31*100</f>
        <v>274.66220525016695</v>
      </c>
      <c r="G40" s="689">
        <f>+G31/$E$31*100</f>
        <v>274.13703850972684</v>
      </c>
      <c r="H40" s="689">
        <f>+H31/$E$31*100</f>
        <v>271.83630802779885</v>
      </c>
      <c r="I40" s="689">
        <f>+I31/$E$31*100</f>
        <v>270.54839911671962</v>
      </c>
      <c r="J40" s="689">
        <f t="shared" ref="J40:P40" si="380">ROUND((+J31/$E$31*100),2)</f>
        <v>268.72000000000003</v>
      </c>
      <c r="K40" s="689">
        <f t="shared" si="380"/>
        <v>260.5</v>
      </c>
      <c r="L40" s="689">
        <f t="shared" si="380"/>
        <v>253.68</v>
      </c>
      <c r="M40" s="689">
        <f t="shared" si="380"/>
        <v>249.9</v>
      </c>
      <c r="N40" s="689">
        <f t="shared" si="380"/>
        <v>247.59</v>
      </c>
      <c r="O40" s="689">
        <f t="shared" si="380"/>
        <v>244.45</v>
      </c>
      <c r="P40" s="689">
        <f t="shared" si="380"/>
        <v>248.85</v>
      </c>
      <c r="Q40" s="285">
        <f>ROUND((+Q31/$E$31*100),2)</f>
        <v>249.7</v>
      </c>
      <c r="R40" s="285">
        <f>ROUND((+R31/$E$31*100),2)</f>
        <v>248.38</v>
      </c>
      <c r="S40" s="285">
        <f>ROUND((+S31/$E$31*100),2)</f>
        <v>249.84</v>
      </c>
      <c r="T40" s="285">
        <f>ROUND((+T31/$E$31*100),2)</f>
        <v>253.67</v>
      </c>
      <c r="U40" s="525">
        <f>+U31/$E$31*100</f>
        <v>254.56832544332829</v>
      </c>
      <c r="V40" s="525">
        <f t="shared" ref="V40:AA40" si="381">ROUND((+V31/$E$31*100),2)</f>
        <v>255.99</v>
      </c>
      <c r="W40" s="525">
        <f t="shared" si="381"/>
        <v>255.56</v>
      </c>
      <c r="X40" s="525">
        <f t="shared" si="381"/>
        <v>252.91</v>
      </c>
      <c r="Y40" s="525">
        <f t="shared" si="381"/>
        <v>256.41000000000003</v>
      </c>
      <c r="Z40" s="525">
        <f t="shared" si="381"/>
        <v>258.23</v>
      </c>
      <c r="AA40" s="525">
        <f t="shared" si="381"/>
        <v>257.82</v>
      </c>
      <c r="AB40" s="525">
        <f t="shared" ref="AB40:AG40" si="382">ROUND((+AB31/$E$31*100),2)</f>
        <v>264.12</v>
      </c>
      <c r="AC40" s="525">
        <f t="shared" si="382"/>
        <v>262.73</v>
      </c>
      <c r="AD40" s="525">
        <f t="shared" si="382"/>
        <v>262.39999999999998</v>
      </c>
      <c r="AE40" s="525">
        <f t="shared" si="382"/>
        <v>262.48</v>
      </c>
      <c r="AF40" s="525">
        <f t="shared" si="382"/>
        <v>263.73</v>
      </c>
      <c r="AG40" s="525">
        <f t="shared" si="382"/>
        <v>265.22000000000003</v>
      </c>
      <c r="AH40" s="525">
        <f t="shared" ref="AH40:AM40" si="383">ROUND((+AH31/$E$31*100),2)</f>
        <v>264.02</v>
      </c>
      <c r="AI40" s="525">
        <f t="shared" si="383"/>
        <v>275.57</v>
      </c>
      <c r="AJ40" s="525">
        <f t="shared" si="383"/>
        <v>277.29000000000002</v>
      </c>
      <c r="AK40" s="525">
        <f t="shared" si="383"/>
        <v>277</v>
      </c>
      <c r="AL40" s="525">
        <f t="shared" si="383"/>
        <v>275.20999999999998</v>
      </c>
      <c r="AM40" s="525">
        <f t="shared" si="383"/>
        <v>274.81</v>
      </c>
      <c r="AN40" s="525">
        <f t="shared" ref="AN40:AS40" si="384">ROUND((+AN31/$E$31*100),2)</f>
        <v>275.35000000000002</v>
      </c>
      <c r="AO40" s="525">
        <f t="shared" si="384"/>
        <v>276.02999999999997</v>
      </c>
      <c r="AP40" s="525">
        <f t="shared" si="384"/>
        <v>277.55</v>
      </c>
      <c r="AQ40" s="525">
        <f t="shared" si="384"/>
        <v>284.93</v>
      </c>
      <c r="AR40" s="525">
        <f t="shared" si="384"/>
        <v>286.43</v>
      </c>
      <c r="AS40" s="525">
        <f t="shared" si="384"/>
        <v>290.04000000000002</v>
      </c>
      <c r="AT40" s="525">
        <f t="shared" ref="AT40:AY40" si="385">ROUND((+AT31/$E$31*100),2)</f>
        <v>290.89999999999998</v>
      </c>
      <c r="AU40" s="525">
        <f t="shared" si="385"/>
        <v>294.33999999999997</v>
      </c>
      <c r="AV40" s="525">
        <f t="shared" si="385"/>
        <v>290.87</v>
      </c>
      <c r="AW40" s="525">
        <f t="shared" si="385"/>
        <v>295.01</v>
      </c>
      <c r="AX40" s="525">
        <f t="shared" si="385"/>
        <v>295.23</v>
      </c>
      <c r="AY40" s="525">
        <f t="shared" si="385"/>
        <v>297.82</v>
      </c>
      <c r="AZ40" s="525">
        <f t="shared" ref="AZ40:BE40" si="386">ROUND((+AZ31/$E$31*100),2)</f>
        <v>299.95999999999998</v>
      </c>
      <c r="BA40" s="525">
        <f t="shared" si="386"/>
        <v>289.52</v>
      </c>
      <c r="BB40" s="525">
        <f t="shared" si="386"/>
        <v>304.31</v>
      </c>
      <c r="BC40" s="525">
        <f t="shared" si="386"/>
        <v>301.77999999999997</v>
      </c>
      <c r="BD40" s="525">
        <f t="shared" si="386"/>
        <v>301.95999999999998</v>
      </c>
      <c r="BE40" s="525">
        <f t="shared" si="386"/>
        <v>306.7</v>
      </c>
      <c r="BF40" s="525">
        <f t="shared" ref="BF40:BK40" si="387">ROUND((+BF31/$E$31*100),2)</f>
        <v>308.31</v>
      </c>
      <c r="BG40" s="525">
        <f t="shared" si="387"/>
        <v>307.33999999999997</v>
      </c>
      <c r="BH40" s="525">
        <f t="shared" si="387"/>
        <v>307.67</v>
      </c>
      <c r="BI40" s="525">
        <f t="shared" si="387"/>
        <v>316.27999999999997</v>
      </c>
      <c r="BJ40" s="525">
        <f t="shared" si="387"/>
        <v>317.20999999999998</v>
      </c>
      <c r="BK40" s="525">
        <f t="shared" si="387"/>
        <v>323.69</v>
      </c>
      <c r="BL40" s="525">
        <f t="shared" ref="BL40:BR40" si="388">ROUND((+BL31/$E$31*100),2)</f>
        <v>324.38</v>
      </c>
      <c r="BM40" s="525">
        <f t="shared" si="388"/>
        <v>324.93</v>
      </c>
      <c r="BN40" s="525">
        <f t="shared" si="388"/>
        <v>326.39999999999998</v>
      </c>
      <c r="BO40" s="525">
        <f t="shared" si="388"/>
        <v>326.87</v>
      </c>
      <c r="BP40" s="526">
        <f t="shared" si="388"/>
        <v>338.14</v>
      </c>
      <c r="BQ40" s="524">
        <f t="shared" si="388"/>
        <v>327.37</v>
      </c>
      <c r="BR40" s="525">
        <f t="shared" si="388"/>
        <v>321.91000000000003</v>
      </c>
      <c r="BS40" s="525">
        <f t="shared" ref="BS40:BX40" si="389">ROUND((+BS31/$E$31*100),2)</f>
        <v>323.77</v>
      </c>
      <c r="BT40" s="525">
        <f t="shared" si="389"/>
        <v>334.57</v>
      </c>
      <c r="BU40" s="525">
        <f t="shared" si="389"/>
        <v>340.6</v>
      </c>
      <c r="BV40" s="525">
        <f t="shared" si="389"/>
        <v>340.48</v>
      </c>
      <c r="BW40" s="525">
        <f t="shared" si="389"/>
        <v>346.81</v>
      </c>
      <c r="BX40" s="525">
        <f t="shared" si="389"/>
        <v>345.23</v>
      </c>
      <c r="BY40" s="525">
        <f t="shared" ref="BY40:CD40" si="390">ROUND((+BY31/$E$31*100),2)</f>
        <v>347.95</v>
      </c>
      <c r="BZ40" s="525">
        <f t="shared" si="390"/>
        <v>352.85</v>
      </c>
      <c r="CA40" s="525">
        <f t="shared" si="390"/>
        <v>354.78</v>
      </c>
      <c r="CB40" s="526">
        <f t="shared" si="390"/>
        <v>357.98</v>
      </c>
      <c r="CC40" s="524">
        <f t="shared" si="390"/>
        <v>360.63</v>
      </c>
      <c r="CD40" s="525">
        <f t="shared" si="390"/>
        <v>365.38</v>
      </c>
      <c r="CE40" s="525">
        <f t="shared" ref="CE40:CJ40" si="391">ROUND((+CE31/$E$31*100),2)</f>
        <v>371.43</v>
      </c>
      <c r="CF40" s="525">
        <f t="shared" si="391"/>
        <v>379.73</v>
      </c>
      <c r="CG40" s="525">
        <f t="shared" si="391"/>
        <v>388.37</v>
      </c>
      <c r="CH40" s="525">
        <f t="shared" si="391"/>
        <v>397.88</v>
      </c>
      <c r="CI40" s="525">
        <f t="shared" si="391"/>
        <v>405.4</v>
      </c>
      <c r="CJ40" s="528">
        <f t="shared" si="391"/>
        <v>408.02</v>
      </c>
      <c r="CK40" s="528">
        <f t="shared" ref="CK40:CP40" si="392">ROUND((+CK31/$E$31*100),2)</f>
        <v>409.29</v>
      </c>
      <c r="CL40" s="525">
        <f t="shared" si="392"/>
        <v>420.1</v>
      </c>
      <c r="CM40" s="528">
        <f t="shared" si="392"/>
        <v>420.55</v>
      </c>
      <c r="CN40" s="528">
        <f t="shared" si="392"/>
        <v>421.26</v>
      </c>
      <c r="CO40" s="524">
        <f t="shared" si="392"/>
        <v>422</v>
      </c>
      <c r="CP40" s="525">
        <f t="shared" si="392"/>
        <v>423.88</v>
      </c>
      <c r="CQ40" s="525">
        <f t="shared" ref="CQ40:CV40" si="393">ROUND((+CQ31/$E$31*100),2)</f>
        <v>430.69</v>
      </c>
      <c r="CR40" s="525">
        <f t="shared" si="393"/>
        <v>436.45</v>
      </c>
      <c r="CS40" s="525">
        <f t="shared" si="393"/>
        <v>451.44</v>
      </c>
      <c r="CT40" s="525">
        <f t="shared" si="393"/>
        <v>457.26</v>
      </c>
      <c r="CU40" s="525">
        <f t="shared" si="393"/>
        <v>461.91</v>
      </c>
      <c r="CV40" s="525">
        <f t="shared" si="393"/>
        <v>472.1</v>
      </c>
      <c r="CW40" s="1123">
        <f t="shared" ref="CW40:DB40" si="394">ROUND((+CW31/$E$31*100),2)</f>
        <v>475.94</v>
      </c>
      <c r="CX40" s="525">
        <f t="shared" si="394"/>
        <v>478.76</v>
      </c>
      <c r="CY40" s="528">
        <f t="shared" si="394"/>
        <v>480.23</v>
      </c>
      <c r="CZ40" s="528">
        <f t="shared" si="394"/>
        <v>493.58</v>
      </c>
      <c r="DA40" s="527">
        <f t="shared" si="394"/>
        <v>502.15</v>
      </c>
      <c r="DB40" s="528">
        <f t="shared" si="394"/>
        <v>503.77</v>
      </c>
      <c r="DC40" s="528">
        <f t="shared" ref="DC40:DH40" si="395">ROUND((+DC31/$E$31*100),2)</f>
        <v>505.06</v>
      </c>
      <c r="DD40" s="528">
        <f t="shared" si="395"/>
        <v>531.91999999999996</v>
      </c>
      <c r="DE40" s="528">
        <f t="shared" si="395"/>
        <v>535.67999999999995</v>
      </c>
      <c r="DF40" s="528">
        <f t="shared" si="395"/>
        <v>539.02</v>
      </c>
      <c r="DG40" s="528">
        <f t="shared" si="395"/>
        <v>545.01</v>
      </c>
      <c r="DH40" s="528">
        <f t="shared" si="395"/>
        <v>557.16</v>
      </c>
      <c r="DI40" s="528">
        <f t="shared" ref="DI40:DN40" si="396">ROUND((+DI31/$E$31*100),2)</f>
        <v>560.28</v>
      </c>
      <c r="DJ40" s="528">
        <f t="shared" si="396"/>
        <v>562.70000000000005</v>
      </c>
      <c r="DK40" s="528">
        <f t="shared" si="396"/>
        <v>571.66999999999996</v>
      </c>
      <c r="DL40" s="526">
        <f t="shared" si="396"/>
        <v>575.78</v>
      </c>
      <c r="DM40" s="528">
        <f t="shared" si="396"/>
        <v>585.62</v>
      </c>
      <c r="DN40" s="528">
        <f t="shared" si="396"/>
        <v>587.25</v>
      </c>
      <c r="DO40" s="528">
        <f t="shared" ref="DO40:DT40" si="397">ROUND((+DO31/$E$31*100),2)</f>
        <v>593.96</v>
      </c>
      <c r="DP40" s="528">
        <f t="shared" si="397"/>
        <v>597.09</v>
      </c>
      <c r="DQ40" s="528">
        <f t="shared" si="397"/>
        <v>603.42999999999995</v>
      </c>
      <c r="DR40" s="528">
        <f t="shared" si="397"/>
        <v>650.58000000000004</v>
      </c>
      <c r="DS40" s="979">
        <f t="shared" si="397"/>
        <v>660.58</v>
      </c>
      <c r="DT40" s="979">
        <f t="shared" si="397"/>
        <v>663.57</v>
      </c>
      <c r="DU40" s="979">
        <f t="shared" ref="DU40:DZ40" si="398">ROUND((+DU31/$E$31*100),2)</f>
        <v>665.6</v>
      </c>
      <c r="DV40" s="974">
        <f t="shared" si="398"/>
        <v>666.72</v>
      </c>
      <c r="DW40" s="1145">
        <f t="shared" si="398"/>
        <v>671.04</v>
      </c>
      <c r="DX40" s="974">
        <f t="shared" si="398"/>
        <v>672.43</v>
      </c>
      <c r="DY40" s="1145">
        <f t="shared" si="398"/>
        <v>677.03</v>
      </c>
      <c r="DZ40" s="979">
        <f t="shared" si="398"/>
        <v>681.2</v>
      </c>
      <c r="EA40" s="979">
        <f t="shared" ref="EA40:EF40" si="399">ROUND((+EA31/$E$31*100),2)</f>
        <v>688.69</v>
      </c>
      <c r="EB40" s="979">
        <f t="shared" si="399"/>
        <v>697.2</v>
      </c>
      <c r="EC40" s="979">
        <f t="shared" si="399"/>
        <v>703.87</v>
      </c>
      <c r="ED40" s="979">
        <f t="shared" si="399"/>
        <v>746.66</v>
      </c>
      <c r="EE40" s="979">
        <f t="shared" si="399"/>
        <v>750.68</v>
      </c>
      <c r="EF40" s="979">
        <f t="shared" si="399"/>
        <v>754.64</v>
      </c>
      <c r="EG40" s="979">
        <f t="shared" ref="EG40:EL40" si="400">ROUND((+EG31/$E$31*100),2)</f>
        <v>771.72</v>
      </c>
      <c r="EH40" s="979">
        <f t="shared" si="400"/>
        <v>772.7</v>
      </c>
      <c r="EI40" s="979">
        <f t="shared" si="400"/>
        <v>775.55</v>
      </c>
      <c r="EJ40" s="971">
        <f t="shared" si="400"/>
        <v>783.4</v>
      </c>
      <c r="EK40" s="979">
        <f t="shared" si="400"/>
        <v>801.62</v>
      </c>
      <c r="EL40" s="979">
        <f t="shared" si="400"/>
        <v>826.6</v>
      </c>
      <c r="EM40" s="979">
        <f t="shared" ref="EM40:ER40" si="401">ROUND((+EM31/$E$31*100),2)</f>
        <v>847.62</v>
      </c>
      <c r="EN40" s="979">
        <f t="shared" si="401"/>
        <v>920.09</v>
      </c>
      <c r="EO40" s="979">
        <f t="shared" si="401"/>
        <v>924.81</v>
      </c>
      <c r="EP40" s="979">
        <f t="shared" si="401"/>
        <v>929.25</v>
      </c>
      <c r="EQ40" s="979">
        <f t="shared" si="401"/>
        <v>976.94</v>
      </c>
      <c r="ER40" s="979">
        <f t="shared" si="401"/>
        <v>988.74</v>
      </c>
      <c r="ES40" s="979">
        <f t="shared" ref="ES40:EZ40" si="402">ROUND((+ES31/$E$31*100),2)</f>
        <v>998.89</v>
      </c>
      <c r="ET40" s="979">
        <f t="shared" si="402"/>
        <v>1003.61</v>
      </c>
      <c r="EU40" s="979">
        <f t="shared" si="402"/>
        <v>1007.32</v>
      </c>
      <c r="EV40" s="971">
        <f t="shared" si="402"/>
        <v>1007.9</v>
      </c>
      <c r="EW40" s="1007">
        <f t="shared" si="402"/>
        <v>993.2</v>
      </c>
      <c r="EX40" s="979">
        <f t="shared" si="402"/>
        <v>998.7</v>
      </c>
      <c r="EY40" s="974">
        <f t="shared" si="402"/>
        <v>1010.46</v>
      </c>
      <c r="EZ40" s="974">
        <f t="shared" si="402"/>
        <v>1079.19</v>
      </c>
      <c r="FA40" s="974">
        <f t="shared" ref="FA40:FG40" si="403">ROUND((+FA31/$E$31*100),2)</f>
        <v>1091.18</v>
      </c>
      <c r="FB40" s="974">
        <f t="shared" si="403"/>
        <v>1105.6500000000001</v>
      </c>
      <c r="FC40" s="974">
        <f t="shared" si="403"/>
        <v>1115.99</v>
      </c>
      <c r="FD40" s="974">
        <f t="shared" si="403"/>
        <v>1160.94</v>
      </c>
      <c r="FE40" s="974">
        <f t="shared" si="403"/>
        <v>1163.17</v>
      </c>
      <c r="FF40" s="979">
        <f t="shared" si="403"/>
        <v>1167.78</v>
      </c>
      <c r="FG40" s="971" t="e">
        <f t="shared" si="403"/>
        <v>#REF!</v>
      </c>
      <c r="FH40" s="971" t="e">
        <f t="shared" ref="FH40:FM40" si="404">ROUND((+FH31/$E$31*100),2)</f>
        <v>#REF!</v>
      </c>
      <c r="FI40" s="1938">
        <f t="shared" si="404"/>
        <v>99.99</v>
      </c>
      <c r="FJ40" s="2510">
        <f t="shared" si="404"/>
        <v>107.48</v>
      </c>
      <c r="FK40" s="971">
        <f t="shared" si="404"/>
        <v>106.32</v>
      </c>
      <c r="FL40" s="971">
        <f t="shared" si="404"/>
        <v>109.98</v>
      </c>
      <c r="FM40" s="971">
        <f t="shared" si="404"/>
        <v>112.19</v>
      </c>
      <c r="FN40" s="971">
        <f t="shared" ref="FN40:HB40" si="405">ROUND((+FN31/$E$31*100),2)</f>
        <v>116.79</v>
      </c>
      <c r="FO40" s="971">
        <f t="shared" si="405"/>
        <v>116.79</v>
      </c>
      <c r="FP40" s="971">
        <f t="shared" si="405"/>
        <v>116.79</v>
      </c>
      <c r="FQ40" s="971">
        <f t="shared" si="405"/>
        <v>117.19</v>
      </c>
      <c r="FR40" s="971">
        <f t="shared" si="405"/>
        <v>119.65</v>
      </c>
      <c r="FS40" s="971">
        <f t="shared" si="405"/>
        <v>120.86</v>
      </c>
      <c r="FT40" s="971">
        <f t="shared" si="405"/>
        <v>122.13</v>
      </c>
      <c r="FU40" s="971">
        <f t="shared" si="405"/>
        <v>123.95</v>
      </c>
      <c r="FV40" s="971">
        <f t="shared" si="405"/>
        <v>123.9</v>
      </c>
      <c r="FW40" s="971">
        <f t="shared" si="405"/>
        <v>124.08</v>
      </c>
      <c r="FX40" s="971">
        <f t="shared" si="405"/>
        <v>125.98</v>
      </c>
      <c r="FY40" s="971">
        <f t="shared" si="405"/>
        <v>127.04</v>
      </c>
      <c r="FZ40" s="971">
        <f t="shared" si="405"/>
        <v>128.13</v>
      </c>
      <c r="GA40" s="971">
        <f t="shared" si="405"/>
        <v>141.53</v>
      </c>
      <c r="GB40" s="971">
        <f t="shared" si="405"/>
        <v>142.80000000000001</v>
      </c>
      <c r="GC40" s="971">
        <f t="shared" si="405"/>
        <v>141.36000000000001</v>
      </c>
      <c r="GD40" s="971">
        <f t="shared" si="405"/>
        <v>143.81</v>
      </c>
      <c r="GE40" s="971">
        <f t="shared" si="405"/>
        <v>148.16</v>
      </c>
      <c r="GF40" s="971">
        <f t="shared" si="405"/>
        <v>153.51</v>
      </c>
      <c r="GG40" s="971">
        <f t="shared" si="405"/>
        <v>157.69999999999999</v>
      </c>
      <c r="GH40" s="971">
        <f t="shared" si="405"/>
        <v>166.65</v>
      </c>
      <c r="GI40" s="971">
        <f t="shared" si="405"/>
        <v>169.69</v>
      </c>
      <c r="GJ40" s="971">
        <f t="shared" si="405"/>
        <v>173.03</v>
      </c>
      <c r="GK40" s="971">
        <f t="shared" si="405"/>
        <v>194.02</v>
      </c>
      <c r="GL40" s="971">
        <f t="shared" si="405"/>
        <v>208.53</v>
      </c>
      <c r="GM40" s="971">
        <f t="shared" si="405"/>
        <v>213.01</v>
      </c>
      <c r="GN40" s="971">
        <f t="shared" si="405"/>
        <v>224.53</v>
      </c>
      <c r="GO40" s="971">
        <f t="shared" si="405"/>
        <v>280.81</v>
      </c>
      <c r="GP40" s="971">
        <f t="shared" si="405"/>
        <v>279.31</v>
      </c>
      <c r="GQ40" s="971">
        <f t="shared" si="405"/>
        <v>272.64</v>
      </c>
      <c r="GR40" s="971">
        <f t="shared" si="405"/>
        <v>288.37</v>
      </c>
      <c r="GS40" s="971">
        <f t="shared" si="405"/>
        <v>279.18</v>
      </c>
      <c r="GT40" s="971">
        <f t="shared" si="405"/>
        <v>299.14</v>
      </c>
      <c r="GU40" s="971">
        <f t="shared" si="405"/>
        <v>305.98</v>
      </c>
      <c r="GV40" s="971">
        <f t="shared" si="405"/>
        <v>325.48</v>
      </c>
      <c r="GW40" s="971">
        <f t="shared" si="405"/>
        <v>347.5</v>
      </c>
      <c r="GX40" s="971">
        <f t="shared" si="405"/>
        <v>338.33</v>
      </c>
      <c r="GY40" s="971">
        <f t="shared" si="405"/>
        <v>340.92</v>
      </c>
      <c r="GZ40" s="971">
        <f t="shared" si="405"/>
        <v>401.39</v>
      </c>
      <c r="HA40" s="971">
        <f t="shared" si="405"/>
        <v>417.98</v>
      </c>
      <c r="HB40" s="971">
        <f t="shared" si="405"/>
        <v>432.16</v>
      </c>
      <c r="HC40" s="971">
        <f t="shared" ref="HC40:HH40" si="406">ROUND((+HC31/$E$31*100),2)</f>
        <v>436.14</v>
      </c>
      <c r="HD40" s="971">
        <f t="shared" si="406"/>
        <v>443.99</v>
      </c>
      <c r="HE40" s="971">
        <f t="shared" si="406"/>
        <v>460.23</v>
      </c>
      <c r="HF40" s="1938">
        <f t="shared" si="406"/>
        <v>466.01</v>
      </c>
      <c r="HG40" s="965">
        <f t="shared" si="406"/>
        <v>474.03</v>
      </c>
      <c r="HH40" s="965">
        <f t="shared" si="406"/>
        <v>487.95</v>
      </c>
      <c r="HI40" s="965">
        <f t="shared" ref="HI40:HJ40" si="407">ROUND((+HI31/$E$31*100),2)</f>
        <v>496.16</v>
      </c>
      <c r="HJ40" s="965">
        <f t="shared" si="407"/>
        <v>509.92</v>
      </c>
      <c r="HK40" s="965">
        <f t="shared" ref="HK40:HL40" si="408">ROUND((+HK31/$E$31*100),2)</f>
        <v>522.69000000000005</v>
      </c>
      <c r="HL40" s="965">
        <f t="shared" si="408"/>
        <v>534.46</v>
      </c>
      <c r="HM40" s="965">
        <f t="shared" ref="HM40:HN40" si="409">ROUND((+HM31/$E$31*100),2)</f>
        <v>549.46</v>
      </c>
      <c r="HN40" s="965">
        <f t="shared" si="409"/>
        <v>570.78</v>
      </c>
      <c r="HO40" s="965">
        <f t="shared" ref="HO40:HP40" si="410">ROUND((+HO31/$E$31*100),2)</f>
        <v>596.94000000000005</v>
      </c>
      <c r="HP40" s="965">
        <f t="shared" si="410"/>
        <v>619.61</v>
      </c>
      <c r="HQ40" s="965">
        <f t="shared" ref="HQ40:HR40" si="411">ROUND((+HQ31/$E$31*100),2)</f>
        <v>637.76</v>
      </c>
      <c r="HR40" s="1882">
        <f t="shared" si="411"/>
        <v>668.46</v>
      </c>
      <c r="HS40" s="1882">
        <f t="shared" ref="HS40:HT40" si="412">ROUND((+HS31/$E$31*100),2)</f>
        <v>703.65</v>
      </c>
      <c r="HT40" s="1882">
        <f t="shared" si="412"/>
        <v>728.43</v>
      </c>
      <c r="HU40" s="1882">
        <f t="shared" ref="HU40:HV40" si="413">ROUND((+HU31/$E$31*100),2)</f>
        <v>753.78</v>
      </c>
      <c r="HV40" s="1882">
        <f t="shared" si="413"/>
        <v>757.44</v>
      </c>
      <c r="HW40" s="1882">
        <f t="shared" ref="HW40:HX40" si="414">ROUND((+HW31/$E$31*100),2)</f>
        <v>767.67</v>
      </c>
      <c r="HX40" s="1882">
        <f t="shared" si="414"/>
        <v>777.27</v>
      </c>
      <c r="HY40" s="1882">
        <f t="shared" ref="HY40:HZ40" si="415">ROUND((+HY31/$E$31*100),2)</f>
        <v>779.95</v>
      </c>
      <c r="HZ40" s="1880">
        <f t="shared" si="415"/>
        <v>789.66</v>
      </c>
      <c r="IA40" s="1880">
        <f t="shared" ref="IA40:IB40" si="416">ROUND((+IA31/$E$31*100),2)</f>
        <v>793.16</v>
      </c>
      <c r="IB40" s="1880">
        <f t="shared" si="416"/>
        <v>802.02</v>
      </c>
      <c r="IC40" s="975">
        <f t="shared" ref="IC40:ID40" si="417">ROUND((+IC31/$E$31*100),2)</f>
        <v>817.18</v>
      </c>
      <c r="ID40" s="963">
        <f t="shared" si="417"/>
        <v>852</v>
      </c>
      <c r="IE40" s="963">
        <f t="shared" ref="IE40:IF40" si="418">ROUND((+IE31/$E$31*100),2)</f>
        <v>900.79</v>
      </c>
      <c r="IF40" s="963">
        <f t="shared" si="418"/>
        <v>929.18</v>
      </c>
      <c r="IG40" s="963">
        <f t="shared" ref="IG40:IH40" si="419">ROUND((+IG31/$E$31*100),2)</f>
        <v>996.25</v>
      </c>
      <c r="IH40" s="963">
        <f t="shared" si="419"/>
        <v>1068.8</v>
      </c>
      <c r="II40" s="963">
        <f t="shared" ref="II40:IJ40" si="420">ROUND((+II31/$E$31*100),2)</f>
        <v>1115.74</v>
      </c>
      <c r="IJ40" s="963">
        <f t="shared" si="420"/>
        <v>1155.6199999999999</v>
      </c>
      <c r="IK40" s="963">
        <f t="shared" ref="IK40:IL40" si="421">ROUND((+IK31/$E$31*100),2)</f>
        <v>1218.9000000000001</v>
      </c>
      <c r="IL40" s="963">
        <f t="shared" si="421"/>
        <v>1302.1600000000001</v>
      </c>
      <c r="IM40" s="963">
        <f t="shared" ref="IM40:IN40" si="422">ROUND((+IM31/$E$31*100),2)</f>
        <v>1449.69</v>
      </c>
      <c r="IN40" s="1880">
        <f t="shared" si="422"/>
        <v>1543.69</v>
      </c>
      <c r="IO40" s="963">
        <f t="shared" ref="IO40:IP40" si="423">ROUND((+IO31/$E$31*100),2)</f>
        <v>1603.88</v>
      </c>
      <c r="IP40" s="963">
        <f t="shared" si="423"/>
        <v>1728.9</v>
      </c>
      <c r="IQ40" s="1037"/>
    </row>
    <row r="41" spans="2:261">
      <c r="B41" s="2749" t="s">
        <v>683</v>
      </c>
      <c r="C41" s="2750"/>
      <c r="D41" s="2751"/>
      <c r="E41" s="383">
        <f>+E32/$E$32*100</f>
        <v>100</v>
      </c>
      <c r="F41" s="696">
        <f>+F32/$E$32*100</f>
        <v>262.61659626891935</v>
      </c>
      <c r="G41" s="689">
        <f>+G32/$E$32*100</f>
        <v>268.30891411474829</v>
      </c>
      <c r="H41" s="689">
        <f>+H32/$E$32*100</f>
        <v>266.24648011263633</v>
      </c>
      <c r="I41" s="689">
        <f>+I32/$E$32*100</f>
        <v>266.60396867300244</v>
      </c>
      <c r="J41" s="689">
        <f t="shared" ref="J41:P41" si="424">ROUND((+J32/$E$32*100),2)</f>
        <v>265.01</v>
      </c>
      <c r="K41" s="689">
        <f t="shared" si="424"/>
        <v>258</v>
      </c>
      <c r="L41" s="689">
        <f t="shared" si="424"/>
        <v>252</v>
      </c>
      <c r="M41" s="689">
        <f t="shared" si="424"/>
        <v>249.14</v>
      </c>
      <c r="N41" s="689">
        <f t="shared" si="424"/>
        <v>246.86</v>
      </c>
      <c r="O41" s="689">
        <f t="shared" si="424"/>
        <v>244.27</v>
      </c>
      <c r="P41" s="689">
        <f t="shared" si="424"/>
        <v>248.51</v>
      </c>
      <c r="Q41" s="285">
        <f>ROUND((+Q32/$E$32*100),2)</f>
        <v>249.61</v>
      </c>
      <c r="R41" s="285">
        <f>ROUND((+R32/$E$32*100),2)</f>
        <v>248.78</v>
      </c>
      <c r="S41" s="285">
        <f>ROUND((+S32/$E$32*100),2)</f>
        <v>250.46</v>
      </c>
      <c r="T41" s="285">
        <f>ROUND((+T32/$E$32*100),2)</f>
        <v>254.17</v>
      </c>
      <c r="U41" s="525">
        <f>+U32/$E$32*100</f>
        <v>255.7968145019359</v>
      </c>
      <c r="V41" s="525">
        <f t="shared" ref="V41:AA41" si="425">ROUND((+V32/$E$32*100),2)</f>
        <v>257.42</v>
      </c>
      <c r="W41" s="525">
        <f t="shared" si="425"/>
        <v>257.06</v>
      </c>
      <c r="X41" s="525">
        <f t="shared" si="425"/>
        <v>254.75</v>
      </c>
      <c r="Y41" s="525">
        <f t="shared" si="425"/>
        <v>258.05</v>
      </c>
      <c r="Z41" s="525">
        <f t="shared" si="425"/>
        <v>259.81</v>
      </c>
      <c r="AA41" s="525">
        <f t="shared" si="425"/>
        <v>259.54000000000002</v>
      </c>
      <c r="AB41" s="525">
        <f t="shared" ref="AB41:AG41" si="426">ROUND((+AB32/$E$32*100),2)</f>
        <v>265.97000000000003</v>
      </c>
      <c r="AC41" s="525">
        <f t="shared" si="426"/>
        <v>265.04000000000002</v>
      </c>
      <c r="AD41" s="525">
        <f t="shared" si="426"/>
        <v>264.73</v>
      </c>
      <c r="AE41" s="525">
        <f t="shared" si="426"/>
        <v>264.83999999999997</v>
      </c>
      <c r="AF41" s="525">
        <f t="shared" si="426"/>
        <v>265.92</v>
      </c>
      <c r="AG41" s="525">
        <f t="shared" si="426"/>
        <v>268.17</v>
      </c>
      <c r="AH41" s="525">
        <f t="shared" ref="AH41:AM41" si="427">ROUND((+AH32/$E$32*100),2)</f>
        <v>267.13</v>
      </c>
      <c r="AI41" s="525">
        <f t="shared" si="427"/>
        <v>282.08999999999997</v>
      </c>
      <c r="AJ41" s="525">
        <f t="shared" si="427"/>
        <v>284.37</v>
      </c>
      <c r="AK41" s="525">
        <f t="shared" si="427"/>
        <v>284.08999999999997</v>
      </c>
      <c r="AL41" s="525">
        <f t="shared" si="427"/>
        <v>282.31</v>
      </c>
      <c r="AM41" s="525">
        <f t="shared" si="427"/>
        <v>281.95</v>
      </c>
      <c r="AN41" s="525">
        <f t="shared" ref="AN41:AS41" si="428">ROUND((+AN32/$E$32*100),2)</f>
        <v>282.44</v>
      </c>
      <c r="AO41" s="525">
        <f t="shared" si="428"/>
        <v>283.05</v>
      </c>
      <c r="AP41" s="525">
        <f t="shared" si="428"/>
        <v>284.42</v>
      </c>
      <c r="AQ41" s="525">
        <f t="shared" si="428"/>
        <v>294.35000000000002</v>
      </c>
      <c r="AR41" s="525">
        <f t="shared" si="428"/>
        <v>295.67</v>
      </c>
      <c r="AS41" s="525">
        <f t="shared" si="428"/>
        <v>299.88</v>
      </c>
      <c r="AT41" s="525">
        <f t="shared" ref="AT41:AY41" si="429">ROUND((+AT32/$E$32*100),2)</f>
        <v>300.64999999999998</v>
      </c>
      <c r="AU41" s="525">
        <f t="shared" si="429"/>
        <v>304.22000000000003</v>
      </c>
      <c r="AV41" s="525">
        <f t="shared" si="429"/>
        <v>301.64</v>
      </c>
      <c r="AW41" s="525">
        <f t="shared" si="429"/>
        <v>307.08</v>
      </c>
      <c r="AX41" s="525">
        <f t="shared" si="429"/>
        <v>307.27999999999997</v>
      </c>
      <c r="AY41" s="525">
        <f t="shared" si="429"/>
        <v>310.38</v>
      </c>
      <c r="AZ41" s="525">
        <f t="shared" ref="AZ41:BE41" si="430">ROUND((+AZ32/$E$32*100),2)</f>
        <v>312.27999999999997</v>
      </c>
      <c r="BA41" s="525">
        <f t="shared" si="430"/>
        <v>297.73</v>
      </c>
      <c r="BB41" s="525">
        <f t="shared" si="430"/>
        <v>318.44</v>
      </c>
      <c r="BC41" s="525">
        <f t="shared" si="430"/>
        <v>316.20999999999998</v>
      </c>
      <c r="BD41" s="525">
        <f t="shared" si="430"/>
        <v>316.38</v>
      </c>
      <c r="BE41" s="525">
        <f t="shared" si="430"/>
        <v>322.51</v>
      </c>
      <c r="BF41" s="525">
        <f t="shared" ref="BF41:BK41" si="431">ROUND((+BF32/$E$32*100),2)</f>
        <v>323.94</v>
      </c>
      <c r="BG41" s="525">
        <f t="shared" si="431"/>
        <v>323.08999999999997</v>
      </c>
      <c r="BH41" s="525">
        <f t="shared" si="431"/>
        <v>323.39</v>
      </c>
      <c r="BI41" s="525">
        <f t="shared" si="431"/>
        <v>334.06</v>
      </c>
      <c r="BJ41" s="525">
        <f t="shared" si="431"/>
        <v>335.02</v>
      </c>
      <c r="BK41" s="525">
        <f t="shared" si="431"/>
        <v>342.97</v>
      </c>
      <c r="BL41" s="525">
        <f t="shared" ref="BL41:BR41" si="432">ROUND((+BL32/$E$32*100),2)</f>
        <v>343.41</v>
      </c>
      <c r="BM41" s="525">
        <f t="shared" si="432"/>
        <v>344.01</v>
      </c>
      <c r="BN41" s="525">
        <f t="shared" si="432"/>
        <v>345.39</v>
      </c>
      <c r="BO41" s="525">
        <f t="shared" si="432"/>
        <v>345.97</v>
      </c>
      <c r="BP41" s="526">
        <f t="shared" si="432"/>
        <v>360.07</v>
      </c>
      <c r="BQ41" s="524">
        <f t="shared" si="432"/>
        <v>346.43</v>
      </c>
      <c r="BR41" s="525">
        <f t="shared" si="432"/>
        <v>340.08</v>
      </c>
      <c r="BS41" s="525">
        <f t="shared" ref="BS41:BX41" si="433">ROUND((+BS32/$E$32*100),2)</f>
        <v>341.59</v>
      </c>
      <c r="BT41" s="525">
        <f t="shared" si="433"/>
        <v>354.77</v>
      </c>
      <c r="BU41" s="525">
        <f t="shared" si="433"/>
        <v>361.61</v>
      </c>
      <c r="BV41" s="525">
        <f t="shared" si="433"/>
        <v>361.37</v>
      </c>
      <c r="BW41" s="525">
        <f t="shared" si="433"/>
        <v>369.62</v>
      </c>
      <c r="BX41" s="525">
        <f t="shared" si="433"/>
        <v>367.33</v>
      </c>
      <c r="BY41" s="525">
        <f t="shared" ref="BY41:CD41" si="434">ROUND((+BY32/$E$32*100),2)</f>
        <v>370.77</v>
      </c>
      <c r="BZ41" s="525">
        <f t="shared" si="434"/>
        <v>375.75</v>
      </c>
      <c r="CA41" s="525">
        <f t="shared" si="434"/>
        <v>377.67</v>
      </c>
      <c r="CB41" s="526">
        <f t="shared" si="434"/>
        <v>380.75</v>
      </c>
      <c r="CC41" s="524">
        <f t="shared" si="434"/>
        <v>383.53</v>
      </c>
      <c r="CD41" s="525">
        <f t="shared" si="434"/>
        <v>388.29</v>
      </c>
      <c r="CE41" s="525">
        <f t="shared" ref="CE41:CJ41" si="435">ROUND((+CE32/$E$32*100),2)</f>
        <v>394.39</v>
      </c>
      <c r="CF41" s="525">
        <f t="shared" si="435"/>
        <v>402.94</v>
      </c>
      <c r="CG41" s="525">
        <f t="shared" si="435"/>
        <v>413.12</v>
      </c>
      <c r="CH41" s="525">
        <f t="shared" si="435"/>
        <v>424.56</v>
      </c>
      <c r="CI41" s="525">
        <f t="shared" si="435"/>
        <v>432.64</v>
      </c>
      <c r="CJ41" s="528">
        <f t="shared" si="435"/>
        <v>435.06</v>
      </c>
      <c r="CK41" s="528">
        <f t="shared" ref="CK41:CP41" si="436">ROUND((+CK32/$E$32*100),2)</f>
        <v>436.3</v>
      </c>
      <c r="CL41" s="525">
        <f t="shared" si="436"/>
        <v>449.42</v>
      </c>
      <c r="CM41" s="528">
        <f t="shared" si="436"/>
        <v>449.94</v>
      </c>
      <c r="CN41" s="528">
        <f t="shared" si="436"/>
        <v>450.74</v>
      </c>
      <c r="CO41" s="524">
        <f t="shared" si="436"/>
        <v>451.4</v>
      </c>
      <c r="CP41" s="525">
        <f t="shared" si="436"/>
        <v>453.1</v>
      </c>
      <c r="CQ41" s="525">
        <f t="shared" ref="CQ41:CV41" si="437">ROUND((+CQ32/$E$32*100),2)</f>
        <v>461.68</v>
      </c>
      <c r="CR41" s="525">
        <f t="shared" si="437"/>
        <v>467.87</v>
      </c>
      <c r="CS41" s="525">
        <f t="shared" si="437"/>
        <v>485.88</v>
      </c>
      <c r="CT41" s="525">
        <f t="shared" si="437"/>
        <v>492.32</v>
      </c>
      <c r="CU41" s="525">
        <f t="shared" si="437"/>
        <v>497.16</v>
      </c>
      <c r="CV41" s="525">
        <f t="shared" si="437"/>
        <v>509.72</v>
      </c>
      <c r="CW41" s="1123">
        <f t="shared" ref="CW41:DB41" si="438">ROUND((+CW32/$E$32*100),2)</f>
        <v>513.74</v>
      </c>
      <c r="CX41" s="525">
        <f t="shared" si="438"/>
        <v>516.21</v>
      </c>
      <c r="CY41" s="528">
        <f t="shared" si="438"/>
        <v>517.80999999999995</v>
      </c>
      <c r="CZ41" s="528">
        <f t="shared" si="438"/>
        <v>534.45000000000005</v>
      </c>
      <c r="DA41" s="527">
        <f t="shared" si="438"/>
        <v>543.63</v>
      </c>
      <c r="DB41" s="528">
        <f t="shared" si="438"/>
        <v>545.16999999999996</v>
      </c>
      <c r="DC41" s="528">
        <f t="shared" ref="DC41:DH41" si="439">ROUND((+DC32/$E$32*100),2)</f>
        <v>546.67999999999995</v>
      </c>
      <c r="DD41" s="528">
        <f t="shared" si="439"/>
        <v>579.54</v>
      </c>
      <c r="DE41" s="528">
        <f t="shared" si="439"/>
        <v>583.59</v>
      </c>
      <c r="DF41" s="528">
        <f t="shared" si="439"/>
        <v>586.91</v>
      </c>
      <c r="DG41" s="528">
        <f t="shared" si="439"/>
        <v>593.04999999999995</v>
      </c>
      <c r="DH41" s="528">
        <f t="shared" si="439"/>
        <v>608.28</v>
      </c>
      <c r="DI41" s="528">
        <f t="shared" ref="DI41:DN41" si="440">ROUND((+DI32/$E$32*100),2)</f>
        <v>611.53</v>
      </c>
      <c r="DJ41" s="528">
        <f t="shared" si="440"/>
        <v>614.05999999999995</v>
      </c>
      <c r="DK41" s="528">
        <f t="shared" si="440"/>
        <v>626.15</v>
      </c>
      <c r="DL41" s="526">
        <f t="shared" si="440"/>
        <v>630.20000000000005</v>
      </c>
      <c r="DM41" s="528">
        <f t="shared" si="440"/>
        <v>640.80999999999995</v>
      </c>
      <c r="DN41" s="528">
        <f t="shared" si="440"/>
        <v>642.52</v>
      </c>
      <c r="DO41" s="528">
        <f t="shared" ref="DO41:DT41" si="441">ROUND((+DO32/$E$32*100),2)</f>
        <v>649.09</v>
      </c>
      <c r="DP41" s="528">
        <f t="shared" si="441"/>
        <v>652.11</v>
      </c>
      <c r="DQ41" s="528">
        <f t="shared" si="441"/>
        <v>658.85</v>
      </c>
      <c r="DR41" s="528">
        <f t="shared" si="441"/>
        <v>721.69</v>
      </c>
      <c r="DS41" s="979">
        <f t="shared" si="441"/>
        <v>731.92</v>
      </c>
      <c r="DT41" s="979">
        <f t="shared" si="441"/>
        <v>734.8</v>
      </c>
      <c r="DU41" s="979">
        <f t="shared" ref="DU41:DZ41" si="442">ROUND((+DU32/$E$32*100),2)</f>
        <v>736.65</v>
      </c>
      <c r="DV41" s="974">
        <f t="shared" si="442"/>
        <v>737.64</v>
      </c>
      <c r="DW41" s="1145">
        <f t="shared" si="442"/>
        <v>742.06</v>
      </c>
      <c r="DX41" s="974">
        <f t="shared" si="442"/>
        <v>743.33</v>
      </c>
      <c r="DY41" s="1145">
        <f t="shared" si="442"/>
        <v>747.81</v>
      </c>
      <c r="DZ41" s="979">
        <f t="shared" si="442"/>
        <v>751.94</v>
      </c>
      <c r="EA41" s="979">
        <f t="shared" ref="EA41:EF41" si="443">ROUND((+EA32/$E$32*100),2)</f>
        <v>759.75</v>
      </c>
      <c r="EB41" s="979">
        <f t="shared" si="443"/>
        <v>768.46</v>
      </c>
      <c r="EC41" s="979">
        <f t="shared" si="443"/>
        <v>775.2</v>
      </c>
      <c r="ED41" s="979">
        <f t="shared" si="443"/>
        <v>831</v>
      </c>
      <c r="EE41" s="979">
        <f t="shared" si="443"/>
        <v>835.07</v>
      </c>
      <c r="EF41" s="979">
        <f t="shared" si="443"/>
        <v>838.94</v>
      </c>
      <c r="EG41" s="979">
        <f t="shared" ref="EG41:EL41" si="444">ROUND((+EG32/$E$32*100),2)</f>
        <v>860.61</v>
      </c>
      <c r="EH41" s="979">
        <f t="shared" si="444"/>
        <v>861.49</v>
      </c>
      <c r="EI41" s="979">
        <f t="shared" si="444"/>
        <v>864.46</v>
      </c>
      <c r="EJ41" s="971">
        <f t="shared" si="444"/>
        <v>871.89</v>
      </c>
      <c r="EK41" s="979">
        <f t="shared" si="444"/>
        <v>890.45</v>
      </c>
      <c r="EL41" s="979">
        <f t="shared" si="444"/>
        <v>913.8</v>
      </c>
      <c r="EM41" s="979">
        <f t="shared" ref="EM41:ER41" si="445">ROUND((+EM32/$E$32*100),2)</f>
        <v>935.66</v>
      </c>
      <c r="EN41" s="979">
        <f t="shared" si="445"/>
        <v>1026.0999999999999</v>
      </c>
      <c r="EO41" s="979">
        <f t="shared" si="445"/>
        <v>1030.97</v>
      </c>
      <c r="EP41" s="979">
        <f t="shared" si="445"/>
        <v>1035.4000000000001</v>
      </c>
      <c r="EQ41" s="979">
        <f t="shared" si="445"/>
        <v>1095.48</v>
      </c>
      <c r="ER41" s="979">
        <f t="shared" si="445"/>
        <v>1106.32</v>
      </c>
      <c r="ES41" s="979">
        <f t="shared" ref="ES41:EZ41" si="446">ROUND((+ES32/$E$32*100),2)</f>
        <v>1116.77</v>
      </c>
      <c r="ET41" s="979">
        <f t="shared" si="446"/>
        <v>1121.28</v>
      </c>
      <c r="EU41" s="979">
        <f t="shared" si="446"/>
        <v>1124.55</v>
      </c>
      <c r="EV41" s="971">
        <f t="shared" si="446"/>
        <v>1125.04</v>
      </c>
      <c r="EW41" s="1007">
        <f t="shared" si="446"/>
        <v>1108.46</v>
      </c>
      <c r="EX41" s="979">
        <f t="shared" si="446"/>
        <v>1114.24</v>
      </c>
      <c r="EY41" s="974">
        <f t="shared" si="446"/>
        <v>1125.5899999999999</v>
      </c>
      <c r="EZ41" s="974">
        <f t="shared" si="446"/>
        <v>1213.21</v>
      </c>
      <c r="FA41" s="974">
        <f t="shared" ref="FA41:FG41" si="447">ROUND((+FA32/$E$32*100),2)</f>
        <v>1224.98</v>
      </c>
      <c r="FB41" s="974">
        <f t="shared" si="447"/>
        <v>1239.3599999999999</v>
      </c>
      <c r="FC41" s="974">
        <f t="shared" si="447"/>
        <v>1249.42</v>
      </c>
      <c r="FD41" s="974">
        <f t="shared" si="447"/>
        <v>1305.71</v>
      </c>
      <c r="FE41" s="974">
        <f t="shared" si="447"/>
        <v>1307.83</v>
      </c>
      <c r="FF41" s="979">
        <f t="shared" si="447"/>
        <v>1311.87</v>
      </c>
      <c r="FG41" s="971" t="e">
        <f t="shared" si="447"/>
        <v>#REF!</v>
      </c>
      <c r="FH41" s="971" t="e">
        <f t="shared" ref="FH41:FM41" si="448">ROUND((+FH32/$E$32*100),2)</f>
        <v>#REF!</v>
      </c>
      <c r="FI41" s="1938">
        <f t="shared" si="448"/>
        <v>99.99</v>
      </c>
      <c r="FJ41" s="2510">
        <f t="shared" si="448"/>
        <v>106.59</v>
      </c>
      <c r="FK41" s="971">
        <f t="shared" si="448"/>
        <v>105.98</v>
      </c>
      <c r="FL41" s="971">
        <f t="shared" si="448"/>
        <v>110.79</v>
      </c>
      <c r="FM41" s="971">
        <f t="shared" si="448"/>
        <v>113.49</v>
      </c>
      <c r="FN41" s="971">
        <f t="shared" ref="FN41:HB41" si="449">ROUND((+FN32/$E$32*100),2)</f>
        <v>117.56</v>
      </c>
      <c r="FO41" s="971">
        <f t="shared" si="449"/>
        <v>117.56</v>
      </c>
      <c r="FP41" s="971">
        <f t="shared" si="449"/>
        <v>117.56</v>
      </c>
      <c r="FQ41" s="971">
        <f t="shared" si="449"/>
        <v>117.89</v>
      </c>
      <c r="FR41" s="971">
        <f t="shared" si="449"/>
        <v>120.69</v>
      </c>
      <c r="FS41" s="971">
        <f t="shared" si="449"/>
        <v>121.74</v>
      </c>
      <c r="FT41" s="971">
        <f t="shared" si="449"/>
        <v>122.87</v>
      </c>
      <c r="FU41" s="971">
        <f t="shared" si="449"/>
        <v>124.93</v>
      </c>
      <c r="FV41" s="971">
        <f t="shared" si="449"/>
        <v>125.37</v>
      </c>
      <c r="FW41" s="971">
        <f t="shared" si="449"/>
        <v>125.51</v>
      </c>
      <c r="FX41" s="971">
        <f t="shared" si="449"/>
        <v>127.95</v>
      </c>
      <c r="FY41" s="971">
        <f t="shared" si="449"/>
        <v>128.66999999999999</v>
      </c>
      <c r="FZ41" s="971">
        <f t="shared" si="449"/>
        <v>129.63</v>
      </c>
      <c r="GA41" s="971">
        <f t="shared" si="449"/>
        <v>142.75</v>
      </c>
      <c r="GB41" s="971">
        <f t="shared" si="449"/>
        <v>143.85</v>
      </c>
      <c r="GC41" s="971">
        <f t="shared" si="449"/>
        <v>142.58000000000001</v>
      </c>
      <c r="GD41" s="971">
        <f t="shared" si="449"/>
        <v>145.03</v>
      </c>
      <c r="GE41" s="971">
        <f t="shared" si="449"/>
        <v>149.49</v>
      </c>
      <c r="GF41" s="971">
        <f t="shared" si="449"/>
        <v>154.79</v>
      </c>
      <c r="GG41" s="971">
        <f t="shared" si="449"/>
        <v>158.5</v>
      </c>
      <c r="GH41" s="971">
        <f t="shared" si="449"/>
        <v>167.83</v>
      </c>
      <c r="GI41" s="971">
        <f t="shared" si="449"/>
        <v>170.63</v>
      </c>
      <c r="GJ41" s="971">
        <f t="shared" si="449"/>
        <v>174.76</v>
      </c>
      <c r="GK41" s="971">
        <f t="shared" si="449"/>
        <v>193.24</v>
      </c>
      <c r="GL41" s="971">
        <f t="shared" si="449"/>
        <v>205.86</v>
      </c>
      <c r="GM41" s="971">
        <f t="shared" si="449"/>
        <v>211.08</v>
      </c>
      <c r="GN41" s="971">
        <f t="shared" si="449"/>
        <v>222.61</v>
      </c>
      <c r="GO41" s="971">
        <f t="shared" si="449"/>
        <v>274.39</v>
      </c>
      <c r="GP41" s="971">
        <f t="shared" si="449"/>
        <v>274.88</v>
      </c>
      <c r="GQ41" s="971">
        <f t="shared" si="449"/>
        <v>269.93</v>
      </c>
      <c r="GR41" s="971">
        <f t="shared" si="449"/>
        <v>284.33999999999997</v>
      </c>
      <c r="GS41" s="971">
        <f t="shared" si="449"/>
        <v>275.87</v>
      </c>
      <c r="GT41" s="971">
        <f t="shared" si="449"/>
        <v>295.04000000000002</v>
      </c>
      <c r="GU41" s="971">
        <f t="shared" si="449"/>
        <v>301.77999999999997</v>
      </c>
      <c r="GV41" s="971">
        <f t="shared" si="449"/>
        <v>321.16000000000003</v>
      </c>
      <c r="GW41" s="971">
        <f t="shared" si="449"/>
        <v>342.17</v>
      </c>
      <c r="GX41" s="971">
        <f t="shared" si="449"/>
        <v>334.42</v>
      </c>
      <c r="GY41" s="971">
        <f t="shared" si="449"/>
        <v>337.72</v>
      </c>
      <c r="GZ41" s="971">
        <f t="shared" si="449"/>
        <v>391.42</v>
      </c>
      <c r="HA41" s="971">
        <f t="shared" si="449"/>
        <v>406.96</v>
      </c>
      <c r="HB41" s="971">
        <f t="shared" si="449"/>
        <v>420.65</v>
      </c>
      <c r="HC41" s="971">
        <f t="shared" ref="HC41:HH41" si="450">ROUND((+HC32/$E$32*100),2)</f>
        <v>427.67</v>
      </c>
      <c r="HD41" s="971">
        <f t="shared" si="450"/>
        <v>436.3</v>
      </c>
      <c r="HE41" s="971">
        <f t="shared" si="450"/>
        <v>451.7</v>
      </c>
      <c r="HF41" s="1938">
        <f t="shared" si="450"/>
        <v>457.53</v>
      </c>
      <c r="HG41" s="965">
        <f t="shared" si="450"/>
        <v>464.57</v>
      </c>
      <c r="HH41" s="965">
        <f t="shared" si="450"/>
        <v>476.81</v>
      </c>
      <c r="HI41" s="965">
        <f t="shared" ref="HI41:HJ41" si="451">ROUND((+HI32/$E$32*100),2)</f>
        <v>484.04</v>
      </c>
      <c r="HJ41" s="965">
        <f t="shared" si="451"/>
        <v>496.11</v>
      </c>
      <c r="HK41" s="965">
        <f t="shared" ref="HK41:HL41" si="452">ROUND((+HK32/$E$32*100),2)</f>
        <v>507.36</v>
      </c>
      <c r="HL41" s="965">
        <f t="shared" si="452"/>
        <v>518.5</v>
      </c>
      <c r="HM41" s="965">
        <f t="shared" ref="HM41:HN41" si="453">ROUND((+HM32/$E$32*100),2)</f>
        <v>532.96</v>
      </c>
      <c r="HN41" s="965">
        <f t="shared" si="453"/>
        <v>552.84</v>
      </c>
      <c r="HO41" s="965">
        <f t="shared" ref="HO41:HP41" si="454">ROUND((+HO32/$E$32*100),2)</f>
        <v>581.14</v>
      </c>
      <c r="HP41" s="965">
        <f t="shared" si="454"/>
        <v>603.25</v>
      </c>
      <c r="HQ41" s="965">
        <f t="shared" ref="HQ41:HR41" si="455">ROUND((+HQ32/$E$32*100),2)</f>
        <v>620.44000000000005</v>
      </c>
      <c r="HR41" s="1882">
        <f t="shared" si="455"/>
        <v>652.44000000000005</v>
      </c>
      <c r="HS41" s="1882">
        <f t="shared" ref="HS41:HT41" si="456">ROUND((+HS32/$E$32*100),2)</f>
        <v>688.33</v>
      </c>
      <c r="HT41" s="1882">
        <f t="shared" si="456"/>
        <v>715.99</v>
      </c>
      <c r="HU41" s="1882">
        <f t="shared" ref="HU41:HV41" si="457">ROUND((+HU32/$E$32*100),2)</f>
        <v>742.31</v>
      </c>
      <c r="HV41" s="1882">
        <f t="shared" si="457"/>
        <v>745.58</v>
      </c>
      <c r="HW41" s="1882">
        <f t="shared" ref="HW41:HX41" si="458">ROUND((+HW32/$E$32*100),2)</f>
        <v>757.19</v>
      </c>
      <c r="HX41" s="1882">
        <f t="shared" si="458"/>
        <v>766.73</v>
      </c>
      <c r="HY41" s="1882">
        <f t="shared" ref="HY41:HZ41" si="459">ROUND((+HY32/$E$32*100),2)</f>
        <v>769.34</v>
      </c>
      <c r="HZ41" s="1880">
        <f t="shared" si="459"/>
        <v>779.71</v>
      </c>
      <c r="IA41" s="1880">
        <f t="shared" ref="IA41:IB41" si="460">ROUND((+IA32/$E$32*100),2)</f>
        <v>782.79</v>
      </c>
      <c r="IB41" s="1880">
        <f t="shared" si="460"/>
        <v>790.49</v>
      </c>
      <c r="IC41" s="975">
        <f t="shared" ref="IC41:ID41" si="461">ROUND((+IC32/$E$32*100),2)</f>
        <v>805.31</v>
      </c>
      <c r="ID41" s="963">
        <f t="shared" si="461"/>
        <v>842.24</v>
      </c>
      <c r="IE41" s="963">
        <f t="shared" ref="IE41:IF41" si="462">ROUND((+IE32/$E$32*100),2)</f>
        <v>893.45</v>
      </c>
      <c r="IF41" s="963">
        <f t="shared" si="462"/>
        <v>920.34</v>
      </c>
      <c r="IG41" s="963">
        <f t="shared" ref="IG41:IH41" si="463">ROUND((+IG32/$E$32*100),2)</f>
        <v>991.12</v>
      </c>
      <c r="IH41" s="963">
        <f t="shared" si="463"/>
        <v>1068.42</v>
      </c>
      <c r="II41" s="963">
        <f t="shared" ref="II41:IJ41" si="464">ROUND((+II32/$E$32*100),2)</f>
        <v>1112.3900000000001</v>
      </c>
      <c r="IJ41" s="963">
        <f t="shared" si="464"/>
        <v>1153.3699999999999</v>
      </c>
      <c r="IK41" s="963">
        <f t="shared" ref="IK41:IL41" si="465">ROUND((+IK32/$E$32*100),2)</f>
        <v>1214.22</v>
      </c>
      <c r="IL41" s="963">
        <f t="shared" si="465"/>
        <v>1298.8699999999999</v>
      </c>
      <c r="IM41" s="963">
        <f t="shared" ref="IM41:IN41" si="466">ROUND((+IM32/$E$32*100),2)</f>
        <v>1451.65</v>
      </c>
      <c r="IN41" s="1880">
        <f t="shared" si="466"/>
        <v>1545.86</v>
      </c>
      <c r="IO41" s="963">
        <f t="shared" ref="IO41:IP41" si="467">ROUND((+IO32/$E$32*100),2)</f>
        <v>1602.9</v>
      </c>
      <c r="IP41" s="963">
        <f t="shared" si="467"/>
        <v>1735.58</v>
      </c>
      <c r="IQ41" s="1037"/>
    </row>
    <row r="42" spans="2:261">
      <c r="B42" s="2749" t="s">
        <v>684</v>
      </c>
      <c r="C42" s="2750"/>
      <c r="D42" s="2751"/>
      <c r="E42" s="383">
        <f>+E33/$E$33*100</f>
        <v>100</v>
      </c>
      <c r="F42" s="696">
        <f>+F33/$E$33*100</f>
        <v>253.05995514441005</v>
      </c>
      <c r="G42" s="689">
        <f>+G33/$E$33*100</f>
        <v>268.69797490978613</v>
      </c>
      <c r="H42" s="689">
        <f>+H33/$E$33*100</f>
        <v>267.41013798793165</v>
      </c>
      <c r="I42" s="689">
        <f>+I33/$E$33*100</f>
        <v>275.82707215576642</v>
      </c>
      <c r="J42" s="689">
        <f t="shared" ref="J42:P42" si="468">ROUND((+J33/$E$33*100),2)</f>
        <v>275.23</v>
      </c>
      <c r="K42" s="689">
        <f t="shared" si="468"/>
        <v>272.52</v>
      </c>
      <c r="L42" s="689">
        <f t="shared" si="468"/>
        <v>269.66000000000003</v>
      </c>
      <c r="M42" s="689">
        <f t="shared" si="468"/>
        <v>269.3</v>
      </c>
      <c r="N42" s="689">
        <f t="shared" si="468"/>
        <v>266.72000000000003</v>
      </c>
      <c r="O42" s="689">
        <f t="shared" si="468"/>
        <v>265.2</v>
      </c>
      <c r="P42" s="689">
        <f t="shared" si="468"/>
        <v>267.87</v>
      </c>
      <c r="Q42" s="285">
        <f>ROUND((+Q33/$E$33*100),2)</f>
        <v>269.16000000000003</v>
      </c>
      <c r="R42" s="285">
        <f>ROUND((+R33/$E$33*100),2)</f>
        <v>269.48</v>
      </c>
      <c r="S42" s="285">
        <f>ROUND((+S33/$E$33*100),2)</f>
        <v>270.95</v>
      </c>
      <c r="T42" s="285">
        <f>ROUND((+T33/$E$33*100),2)</f>
        <v>273.39</v>
      </c>
      <c r="U42" s="525">
        <f>+U33/$E$33*100</f>
        <v>275.96505468310801</v>
      </c>
      <c r="V42" s="525">
        <f t="shared" ref="V42:AA42" si="469">ROUND((+V33/$E$33*100),2)</f>
        <v>277.39</v>
      </c>
      <c r="W42" s="525">
        <f t="shared" si="469"/>
        <v>277.39</v>
      </c>
      <c r="X42" s="525">
        <f t="shared" si="469"/>
        <v>276.42</v>
      </c>
      <c r="Y42" s="525">
        <f t="shared" si="469"/>
        <v>279.51</v>
      </c>
      <c r="Z42" s="525">
        <f t="shared" si="469"/>
        <v>281.12</v>
      </c>
      <c r="AA42" s="525">
        <f t="shared" si="469"/>
        <v>281.58</v>
      </c>
      <c r="AB42" s="525">
        <f t="shared" ref="AB42:AG42" si="470">ROUND((+AB33/$E$33*100),2)</f>
        <v>290.18</v>
      </c>
      <c r="AC42" s="525">
        <f t="shared" si="470"/>
        <v>291.47000000000003</v>
      </c>
      <c r="AD42" s="525">
        <f t="shared" si="470"/>
        <v>291.42</v>
      </c>
      <c r="AE42" s="525">
        <f t="shared" si="470"/>
        <v>291.51</v>
      </c>
      <c r="AF42" s="525">
        <f t="shared" si="470"/>
        <v>292.06</v>
      </c>
      <c r="AG42" s="525">
        <f t="shared" si="470"/>
        <v>295.01</v>
      </c>
      <c r="AH42" s="525">
        <f t="shared" ref="AH42:AM42" si="471">ROUND((+AH33/$E$33*100),2)</f>
        <v>294.5</v>
      </c>
      <c r="AI42" s="525">
        <f t="shared" si="471"/>
        <v>311.98</v>
      </c>
      <c r="AJ42" s="525">
        <f t="shared" si="471"/>
        <v>314.55</v>
      </c>
      <c r="AK42" s="525">
        <f t="shared" si="471"/>
        <v>314.14</v>
      </c>
      <c r="AL42" s="525">
        <f t="shared" si="471"/>
        <v>312.12</v>
      </c>
      <c r="AM42" s="525">
        <f t="shared" si="471"/>
        <v>311.93</v>
      </c>
      <c r="AN42" s="525">
        <f t="shared" ref="AN42:AS42" si="472">ROUND((+AN33/$E$33*100),2)</f>
        <v>312.12</v>
      </c>
      <c r="AO42" s="525">
        <f t="shared" si="472"/>
        <v>312.52999999999997</v>
      </c>
      <c r="AP42" s="525">
        <f t="shared" si="472"/>
        <v>313.39999999999998</v>
      </c>
      <c r="AQ42" s="525">
        <f t="shared" si="472"/>
        <v>324.89999999999998</v>
      </c>
      <c r="AR42" s="525">
        <f t="shared" si="472"/>
        <v>325.5</v>
      </c>
      <c r="AS42" s="525">
        <f t="shared" si="472"/>
        <v>329.59</v>
      </c>
      <c r="AT42" s="525">
        <f t="shared" ref="AT42:AY42" si="473">ROUND((+AT33/$E$33*100),2)</f>
        <v>329.92</v>
      </c>
      <c r="AU42" s="525">
        <f t="shared" si="473"/>
        <v>335.07</v>
      </c>
      <c r="AV42" s="525">
        <f t="shared" si="473"/>
        <v>332.54</v>
      </c>
      <c r="AW42" s="525">
        <f t="shared" si="473"/>
        <v>338.66</v>
      </c>
      <c r="AX42" s="525">
        <f t="shared" si="473"/>
        <v>338.75</v>
      </c>
      <c r="AY42" s="525">
        <f t="shared" si="473"/>
        <v>341.87</v>
      </c>
      <c r="AZ42" s="525">
        <f t="shared" ref="AZ42:BE42" si="474">ROUND((+AZ33/$E$33*100),2)</f>
        <v>342.75</v>
      </c>
      <c r="BA42" s="525">
        <f t="shared" si="474"/>
        <v>325.45</v>
      </c>
      <c r="BB42" s="525">
        <f t="shared" si="474"/>
        <v>350.34</v>
      </c>
      <c r="BC42" s="525">
        <f t="shared" si="474"/>
        <v>349.33</v>
      </c>
      <c r="BD42" s="525">
        <f t="shared" si="474"/>
        <v>349.37</v>
      </c>
      <c r="BE42" s="525">
        <f t="shared" si="474"/>
        <v>356.18</v>
      </c>
      <c r="BF42" s="525">
        <f t="shared" ref="BF42:BK42" si="475">ROUND((+BF33/$E$33*100),2)</f>
        <v>356.87</v>
      </c>
      <c r="BG42" s="525">
        <f t="shared" si="475"/>
        <v>356.45</v>
      </c>
      <c r="BH42" s="525">
        <f t="shared" si="475"/>
        <v>356.59</v>
      </c>
      <c r="BI42" s="525">
        <f t="shared" si="475"/>
        <v>368.83</v>
      </c>
      <c r="BJ42" s="525">
        <f t="shared" si="475"/>
        <v>370.12</v>
      </c>
      <c r="BK42" s="525">
        <f t="shared" si="475"/>
        <v>379.82</v>
      </c>
      <c r="BL42" s="525">
        <f t="shared" ref="BL42:BR42" si="476">ROUND((+BL33/$E$33*100),2)</f>
        <v>378.9</v>
      </c>
      <c r="BM42" s="525">
        <f t="shared" si="476"/>
        <v>380</v>
      </c>
      <c r="BN42" s="525">
        <f t="shared" si="476"/>
        <v>381.25</v>
      </c>
      <c r="BO42" s="525">
        <f t="shared" si="476"/>
        <v>382.58</v>
      </c>
      <c r="BP42" s="526">
        <f t="shared" si="476"/>
        <v>399.37</v>
      </c>
      <c r="BQ42" s="524">
        <f t="shared" si="476"/>
        <v>382.9</v>
      </c>
      <c r="BR42" s="525">
        <f t="shared" si="476"/>
        <v>370.25</v>
      </c>
      <c r="BS42" s="525">
        <f t="shared" ref="BS42:BX42" si="477">ROUND((+BS33/$E$33*100),2)</f>
        <v>370.16</v>
      </c>
      <c r="BT42" s="525">
        <f t="shared" si="477"/>
        <v>384.88</v>
      </c>
      <c r="BU42" s="525">
        <f t="shared" si="477"/>
        <v>394.81</v>
      </c>
      <c r="BV42" s="525">
        <f t="shared" si="477"/>
        <v>396.7</v>
      </c>
      <c r="BW42" s="525">
        <f t="shared" si="477"/>
        <v>407.14</v>
      </c>
      <c r="BX42" s="525">
        <f t="shared" si="477"/>
        <v>403.46</v>
      </c>
      <c r="BY42" s="525">
        <f t="shared" ref="BY42:CD42" si="478">ROUND((+BY33/$E$33*100),2)</f>
        <v>407.78</v>
      </c>
      <c r="BZ42" s="525">
        <f t="shared" si="478"/>
        <v>411.83</v>
      </c>
      <c r="CA42" s="525">
        <f t="shared" si="478"/>
        <v>414.13</v>
      </c>
      <c r="CB42" s="526">
        <f t="shared" si="478"/>
        <v>417.08</v>
      </c>
      <c r="CC42" s="524">
        <f t="shared" si="478"/>
        <v>421.17</v>
      </c>
      <c r="CD42" s="525">
        <f t="shared" si="478"/>
        <v>427.06</v>
      </c>
      <c r="CE42" s="525">
        <f t="shared" ref="CE42:CJ42" si="479">ROUND((+CE33/$E$33*100),2)</f>
        <v>434.64</v>
      </c>
      <c r="CF42" s="525">
        <f t="shared" si="479"/>
        <v>446.56</v>
      </c>
      <c r="CG42" s="525">
        <f t="shared" si="479"/>
        <v>460.13</v>
      </c>
      <c r="CH42" s="525">
        <f t="shared" si="479"/>
        <v>476.36</v>
      </c>
      <c r="CI42" s="525">
        <f t="shared" si="479"/>
        <v>489.33</v>
      </c>
      <c r="CJ42" s="528">
        <f t="shared" si="479"/>
        <v>491.31</v>
      </c>
      <c r="CK42" s="528">
        <f t="shared" ref="CK42:CP42" si="480">ROUND((+CK33/$E$33*100),2)</f>
        <v>492.51</v>
      </c>
      <c r="CL42" s="525">
        <f t="shared" si="480"/>
        <v>510.12</v>
      </c>
      <c r="CM42" s="528">
        <f t="shared" si="480"/>
        <v>511.13</v>
      </c>
      <c r="CN42" s="528">
        <f t="shared" si="480"/>
        <v>512.41999999999996</v>
      </c>
      <c r="CO42" s="524">
        <f t="shared" si="480"/>
        <v>512.84</v>
      </c>
      <c r="CP42" s="525">
        <f t="shared" si="480"/>
        <v>513.94000000000005</v>
      </c>
      <c r="CQ42" s="525">
        <f t="shared" ref="CQ42:CV42" si="481">ROUND((+CQ33/$E$33*100),2)</f>
        <v>524.20000000000005</v>
      </c>
      <c r="CR42" s="525">
        <f t="shared" si="481"/>
        <v>534.04</v>
      </c>
      <c r="CS42" s="525">
        <f t="shared" si="481"/>
        <v>556.76</v>
      </c>
      <c r="CT42" s="525">
        <f t="shared" si="481"/>
        <v>567.98</v>
      </c>
      <c r="CU42" s="525">
        <f t="shared" si="481"/>
        <v>575.02</v>
      </c>
      <c r="CV42" s="525">
        <f t="shared" si="481"/>
        <v>591.85</v>
      </c>
      <c r="CW42" s="1123">
        <f t="shared" ref="CW42:DB42" si="482">ROUND((+CW33/$E$33*100),2)</f>
        <v>597.65</v>
      </c>
      <c r="CX42" s="525">
        <f t="shared" si="482"/>
        <v>598.79999999999995</v>
      </c>
      <c r="CY42" s="528">
        <f t="shared" si="482"/>
        <v>601.41999999999996</v>
      </c>
      <c r="CZ42" s="528">
        <f t="shared" si="482"/>
        <v>623.45000000000005</v>
      </c>
      <c r="DA42" s="527">
        <f t="shared" si="482"/>
        <v>637.99</v>
      </c>
      <c r="DB42" s="528">
        <f t="shared" si="482"/>
        <v>639.37</v>
      </c>
      <c r="DC42" s="528">
        <f t="shared" ref="DC42:DH42" si="483">ROUND((+DC33/$E$33*100),2)</f>
        <v>642.4</v>
      </c>
      <c r="DD42" s="528">
        <f t="shared" si="483"/>
        <v>685.22</v>
      </c>
      <c r="DE42" s="528">
        <f t="shared" si="483"/>
        <v>691.66</v>
      </c>
      <c r="DF42" s="528">
        <f t="shared" si="483"/>
        <v>695.48</v>
      </c>
      <c r="DG42" s="528">
        <f t="shared" si="483"/>
        <v>703.8</v>
      </c>
      <c r="DH42" s="528">
        <f t="shared" si="483"/>
        <v>722.43</v>
      </c>
      <c r="DI42" s="528">
        <f t="shared" ref="DI42:DN42" si="484">ROUND((+DI33/$E$33*100),2)</f>
        <v>727.17</v>
      </c>
      <c r="DJ42" s="528">
        <f t="shared" si="484"/>
        <v>730.85</v>
      </c>
      <c r="DK42" s="528">
        <f t="shared" si="484"/>
        <v>744.92</v>
      </c>
      <c r="DL42" s="526">
        <f t="shared" si="484"/>
        <v>749.43</v>
      </c>
      <c r="DM42" s="528">
        <f t="shared" si="484"/>
        <v>766.63</v>
      </c>
      <c r="DN42" s="528">
        <f t="shared" si="484"/>
        <v>769.11</v>
      </c>
      <c r="DO42" s="528">
        <f t="shared" ref="DO42:DT42" si="485">ROUND((+DO33/$E$33*100),2)</f>
        <v>776.38</v>
      </c>
      <c r="DP42" s="528">
        <f t="shared" si="485"/>
        <v>779.51</v>
      </c>
      <c r="DQ42" s="528">
        <f t="shared" si="485"/>
        <v>789.9</v>
      </c>
      <c r="DR42" s="528">
        <f t="shared" si="485"/>
        <v>862.11</v>
      </c>
      <c r="DS42" s="979">
        <f t="shared" si="485"/>
        <v>875.78</v>
      </c>
      <c r="DT42" s="979">
        <f t="shared" si="485"/>
        <v>878.86</v>
      </c>
      <c r="DU42" s="979">
        <f t="shared" ref="DU42:DZ42" si="486">ROUND((+DU33/$E$33*100),2)</f>
        <v>879.96</v>
      </c>
      <c r="DV42" s="974">
        <f t="shared" si="486"/>
        <v>880.47</v>
      </c>
      <c r="DW42" s="1145">
        <f t="shared" si="486"/>
        <v>886.45</v>
      </c>
      <c r="DX42" s="974">
        <f t="shared" si="486"/>
        <v>887.32</v>
      </c>
      <c r="DY42" s="1145">
        <f t="shared" si="486"/>
        <v>892.06</v>
      </c>
      <c r="DZ42" s="979">
        <f t="shared" si="486"/>
        <v>896.79</v>
      </c>
      <c r="EA42" s="979">
        <f t="shared" ref="EA42:EF42" si="487">ROUND((+EA33/$E$33*100),2)</f>
        <v>908.2</v>
      </c>
      <c r="EB42" s="979">
        <f t="shared" si="487"/>
        <v>919.79</v>
      </c>
      <c r="EC42" s="979">
        <f t="shared" si="487"/>
        <v>928.39</v>
      </c>
      <c r="ED42" s="979">
        <f t="shared" si="487"/>
        <v>994.49</v>
      </c>
      <c r="EE42" s="979">
        <f t="shared" si="487"/>
        <v>999.78</v>
      </c>
      <c r="EF42" s="979">
        <f t="shared" si="487"/>
        <v>1004.19</v>
      </c>
      <c r="EG42" s="979">
        <f t="shared" ref="EG42:EL42" si="488">ROUND((+EG33/$E$33*100),2)</f>
        <v>1028.52</v>
      </c>
      <c r="EH42" s="979">
        <f t="shared" si="488"/>
        <v>1028.94</v>
      </c>
      <c r="EI42" s="979">
        <f t="shared" si="488"/>
        <v>1031.6500000000001</v>
      </c>
      <c r="EJ42" s="971">
        <f t="shared" si="488"/>
        <v>1038.4100000000001</v>
      </c>
      <c r="EK42" s="979">
        <f t="shared" si="488"/>
        <v>1062.8800000000001</v>
      </c>
      <c r="EL42" s="979">
        <f t="shared" si="488"/>
        <v>1082.2</v>
      </c>
      <c r="EM42" s="979">
        <f t="shared" ref="EM42:ER42" si="489">ROUND((+EM33/$E$33*100),2)</f>
        <v>1113.47</v>
      </c>
      <c r="EN42" s="979">
        <f t="shared" si="489"/>
        <v>1232.3699999999999</v>
      </c>
      <c r="EO42" s="979">
        <f t="shared" si="489"/>
        <v>1239.08</v>
      </c>
      <c r="EP42" s="979">
        <f t="shared" si="489"/>
        <v>1244.46</v>
      </c>
      <c r="EQ42" s="979">
        <f t="shared" si="489"/>
        <v>1325.74</v>
      </c>
      <c r="ER42" s="979">
        <f t="shared" si="489"/>
        <v>1333.65</v>
      </c>
      <c r="ES42" s="979">
        <f t="shared" ref="ES42:EZ42" si="490">ROUND((+ES33/$E$33*100),2)</f>
        <v>1348</v>
      </c>
      <c r="ET42" s="979">
        <f t="shared" si="490"/>
        <v>1352.32</v>
      </c>
      <c r="EU42" s="979">
        <f t="shared" si="490"/>
        <v>1353.88</v>
      </c>
      <c r="EV42" s="971">
        <f t="shared" si="490"/>
        <v>1354.11</v>
      </c>
      <c r="EW42" s="1007">
        <f t="shared" si="490"/>
        <v>1323.44</v>
      </c>
      <c r="EX42" s="979">
        <f t="shared" si="490"/>
        <v>1332.08</v>
      </c>
      <c r="EY42" s="974">
        <f t="shared" si="490"/>
        <v>1343.58</v>
      </c>
      <c r="EZ42" s="974">
        <f t="shared" si="490"/>
        <v>1439.57</v>
      </c>
      <c r="FA42" s="974">
        <f t="shared" ref="FA42:FG42" si="491">ROUND((+FA33/$E$33*100),2)</f>
        <v>1452.68</v>
      </c>
      <c r="FB42" s="974">
        <f t="shared" si="491"/>
        <v>1469.74</v>
      </c>
      <c r="FC42" s="974">
        <f t="shared" si="491"/>
        <v>1480.37</v>
      </c>
      <c r="FD42" s="974">
        <f t="shared" si="491"/>
        <v>1545.13</v>
      </c>
      <c r="FE42" s="974">
        <f t="shared" si="491"/>
        <v>1547.2</v>
      </c>
      <c r="FF42" s="979">
        <f t="shared" si="491"/>
        <v>1549.08</v>
      </c>
      <c r="FG42" s="971" t="e">
        <f t="shared" si="491"/>
        <v>#REF!</v>
      </c>
      <c r="FH42" s="971" t="e">
        <f t="shared" ref="FH42:FM42" si="492">ROUND((+FH33/$E$33*100),2)</f>
        <v>#REF!</v>
      </c>
      <c r="FI42" s="1938">
        <f t="shared" si="492"/>
        <v>99.99</v>
      </c>
      <c r="FJ42" s="2510">
        <f t="shared" si="492"/>
        <v>103.07</v>
      </c>
      <c r="FK42" s="971">
        <f t="shared" si="492"/>
        <v>105.46</v>
      </c>
      <c r="FL42" s="971">
        <f t="shared" si="492"/>
        <v>112.78</v>
      </c>
      <c r="FM42" s="971">
        <f t="shared" si="492"/>
        <v>118.89</v>
      </c>
      <c r="FN42" s="971">
        <f t="shared" ref="FN42:HB42" si="493">ROUND((+FN33/$E$33*100),2)</f>
        <v>120.78</v>
      </c>
      <c r="FO42" s="971">
        <f t="shared" si="493"/>
        <v>120.78</v>
      </c>
      <c r="FP42" s="971">
        <f t="shared" si="493"/>
        <v>120.78</v>
      </c>
      <c r="FQ42" s="971">
        <f t="shared" si="493"/>
        <v>120.92</v>
      </c>
      <c r="FR42" s="971">
        <f t="shared" si="493"/>
        <v>123.45</v>
      </c>
      <c r="FS42" s="971">
        <f t="shared" si="493"/>
        <v>123.95</v>
      </c>
      <c r="FT42" s="971">
        <f t="shared" si="493"/>
        <v>124.46</v>
      </c>
      <c r="FU42" s="971">
        <f t="shared" si="493"/>
        <v>127.36</v>
      </c>
      <c r="FV42" s="971">
        <f t="shared" si="493"/>
        <v>130.44</v>
      </c>
      <c r="FW42" s="971">
        <f t="shared" si="493"/>
        <v>130.49</v>
      </c>
      <c r="FX42" s="971">
        <f t="shared" si="493"/>
        <v>133.19999999999999</v>
      </c>
      <c r="FY42" s="971">
        <f t="shared" si="493"/>
        <v>132.05000000000001</v>
      </c>
      <c r="FZ42" s="971">
        <f t="shared" si="493"/>
        <v>132.51</v>
      </c>
      <c r="GA42" s="971">
        <f t="shared" si="493"/>
        <v>143.55000000000001</v>
      </c>
      <c r="GB42" s="971">
        <f t="shared" si="493"/>
        <v>144.05000000000001</v>
      </c>
      <c r="GC42" s="971">
        <f t="shared" si="493"/>
        <v>143.46</v>
      </c>
      <c r="GD42" s="971">
        <f t="shared" si="493"/>
        <v>146.49</v>
      </c>
      <c r="GE42" s="971">
        <f t="shared" si="493"/>
        <v>152.29</v>
      </c>
      <c r="GF42" s="971">
        <f t="shared" si="493"/>
        <v>158.72999999999999</v>
      </c>
      <c r="GG42" s="971">
        <f t="shared" si="493"/>
        <v>160.43</v>
      </c>
      <c r="GH42" s="971">
        <f t="shared" si="493"/>
        <v>173.31</v>
      </c>
      <c r="GI42" s="971">
        <f t="shared" si="493"/>
        <v>174.87</v>
      </c>
      <c r="GJ42" s="971">
        <f t="shared" si="493"/>
        <v>180.53</v>
      </c>
      <c r="GK42" s="971">
        <f t="shared" si="493"/>
        <v>189.08</v>
      </c>
      <c r="GL42" s="971">
        <f t="shared" si="493"/>
        <v>194.1</v>
      </c>
      <c r="GM42" s="971">
        <f t="shared" si="493"/>
        <v>204.58</v>
      </c>
      <c r="GN42" s="971">
        <f t="shared" si="493"/>
        <v>216.45</v>
      </c>
      <c r="GO42" s="971">
        <f t="shared" si="493"/>
        <v>253.01</v>
      </c>
      <c r="GP42" s="971">
        <f t="shared" si="493"/>
        <v>263.18</v>
      </c>
      <c r="GQ42" s="971">
        <f t="shared" si="493"/>
        <v>265.29000000000002</v>
      </c>
      <c r="GR42" s="971">
        <f t="shared" si="493"/>
        <v>275.45999999999998</v>
      </c>
      <c r="GS42" s="971">
        <f t="shared" si="493"/>
        <v>267.69</v>
      </c>
      <c r="GT42" s="971">
        <f t="shared" si="493"/>
        <v>286.64</v>
      </c>
      <c r="GU42" s="971">
        <f t="shared" si="493"/>
        <v>290.87</v>
      </c>
      <c r="GV42" s="971">
        <f t="shared" si="493"/>
        <v>308.48</v>
      </c>
      <c r="GW42" s="971">
        <f t="shared" si="493"/>
        <v>325.55</v>
      </c>
      <c r="GX42" s="971">
        <f t="shared" si="493"/>
        <v>323.94</v>
      </c>
      <c r="GY42" s="971">
        <f t="shared" si="493"/>
        <v>329.23</v>
      </c>
      <c r="GZ42" s="971">
        <f t="shared" si="493"/>
        <v>355.12</v>
      </c>
      <c r="HA42" s="971">
        <f t="shared" si="493"/>
        <v>368.23</v>
      </c>
      <c r="HB42" s="971">
        <f t="shared" si="493"/>
        <v>376.97</v>
      </c>
      <c r="HC42" s="971">
        <f t="shared" ref="HC42:HH42" si="494">ROUND((+HC33/$E$33*100),2)</f>
        <v>398.03</v>
      </c>
      <c r="HD42" s="971">
        <f t="shared" si="494"/>
        <v>412.84</v>
      </c>
      <c r="HE42" s="971">
        <f t="shared" si="494"/>
        <v>422.13</v>
      </c>
      <c r="HF42" s="1938">
        <f t="shared" si="494"/>
        <v>426.37</v>
      </c>
      <c r="HG42" s="965">
        <f t="shared" si="494"/>
        <v>429.49</v>
      </c>
      <c r="HH42" s="965">
        <f t="shared" si="494"/>
        <v>435.2</v>
      </c>
      <c r="HI42" s="965">
        <f t="shared" ref="HI42:HJ42" si="495">ROUND((+HI33/$E$33*100),2)</f>
        <v>438.69</v>
      </c>
      <c r="HJ42" s="965">
        <f t="shared" si="495"/>
        <v>444.07</v>
      </c>
      <c r="HK42" s="965">
        <f t="shared" ref="HK42:HL42" si="496">ROUND((+HK33/$E$33*100),2)</f>
        <v>449.27</v>
      </c>
      <c r="HL42" s="965">
        <f t="shared" si="496"/>
        <v>459.48</v>
      </c>
      <c r="HM42" s="965">
        <f t="shared" ref="HM42:HN42" si="497">ROUND((+HM33/$E$33*100),2)</f>
        <v>474.06</v>
      </c>
      <c r="HN42" s="965">
        <f t="shared" si="497"/>
        <v>490.3</v>
      </c>
      <c r="HO42" s="965">
        <f t="shared" ref="HO42:HP42" si="498">ROUND((+HO33/$E$33*100),2)</f>
        <v>515.64</v>
      </c>
      <c r="HP42" s="965">
        <f t="shared" si="498"/>
        <v>539.51</v>
      </c>
      <c r="HQ42" s="965">
        <f t="shared" ref="HQ42:HR42" si="499">ROUND((+HQ33/$E$33*100),2)</f>
        <v>554.97</v>
      </c>
      <c r="HR42" s="1882">
        <f t="shared" si="499"/>
        <v>594.57000000000005</v>
      </c>
      <c r="HS42" s="1882">
        <f t="shared" ref="HS42:HX42" si="500">ROUND((+HS33/$E$33*100),2)</f>
        <v>642.03</v>
      </c>
      <c r="HT42" s="1882">
        <f t="shared" si="500"/>
        <v>678.09</v>
      </c>
      <c r="HU42" s="1882">
        <f t="shared" si="500"/>
        <v>715.58</v>
      </c>
      <c r="HV42" s="1882">
        <f t="shared" si="500"/>
        <v>717.33</v>
      </c>
      <c r="HW42" s="1882">
        <f t="shared" si="500"/>
        <v>727.95</v>
      </c>
      <c r="HX42" s="1882">
        <f t="shared" si="500"/>
        <v>739.17</v>
      </c>
      <c r="HY42" s="1882">
        <f t="shared" ref="HY42:HZ42" si="501">ROUND((+HY33/$E$33*100),2)</f>
        <v>736.46</v>
      </c>
      <c r="HZ42" s="1880">
        <f t="shared" si="501"/>
        <v>744.97</v>
      </c>
      <c r="IA42" s="1880">
        <f t="shared" ref="IA42:IB42" si="502">ROUND((+IA33/$E$33*100),2)</f>
        <v>746.44</v>
      </c>
      <c r="IB42" s="1880">
        <f t="shared" si="502"/>
        <v>749.43</v>
      </c>
      <c r="IC42" s="975">
        <f t="shared" ref="IC42:ID42" si="503">ROUND((+IC33/$E$33*100),2)</f>
        <v>759.92</v>
      </c>
      <c r="ID42" s="963">
        <f t="shared" si="503"/>
        <v>808.95</v>
      </c>
      <c r="IE42" s="963">
        <f t="shared" ref="IE42:IF42" si="504">ROUND((+IE33/$E$33*100),2)</f>
        <v>875.45</v>
      </c>
      <c r="IF42" s="963">
        <f t="shared" si="504"/>
        <v>899.88</v>
      </c>
      <c r="IG42" s="963">
        <f t="shared" ref="IG42:IH42" si="505">ROUND((+IG33/$E$33*100),2)</f>
        <v>989.24</v>
      </c>
      <c r="IH42" s="963">
        <f t="shared" si="505"/>
        <v>1092.3599999999999</v>
      </c>
      <c r="II42" s="963">
        <f t="shared" ref="II42:IJ42" si="506">ROUND((+II33/$E$33*100),2)</f>
        <v>1129.43</v>
      </c>
      <c r="IJ42" s="963">
        <f t="shared" si="506"/>
        <v>1171.6099999999999</v>
      </c>
      <c r="IK42" s="963">
        <f t="shared" ref="IK42:IL42" si="507">ROUND((+IK33/$E$33*100),2)</f>
        <v>1210.24</v>
      </c>
      <c r="IL42" s="963">
        <f t="shared" si="507"/>
        <v>1298.46</v>
      </c>
      <c r="IM42" s="963">
        <f t="shared" ref="IM42:IN42" si="508">ROUND((+IM33/$E$33*100),2)</f>
        <v>1492.6</v>
      </c>
      <c r="IN42" s="1880">
        <f t="shared" si="508"/>
        <v>1608.23</v>
      </c>
      <c r="IO42" s="963">
        <f t="shared" ref="IO42:IP42" si="509">ROUND((+IO33/$E$33*100),2)</f>
        <v>1651.83</v>
      </c>
      <c r="IP42" s="963">
        <f t="shared" si="509"/>
        <v>1805.73</v>
      </c>
      <c r="IQ42" s="1037"/>
    </row>
    <row r="43" spans="2:261">
      <c r="B43" s="2749" t="s">
        <v>685</v>
      </c>
      <c r="C43" s="2750"/>
      <c r="D43" s="2751"/>
      <c r="E43" s="383">
        <f>+E34/$E$34*100</f>
        <v>100</v>
      </c>
      <c r="F43" s="696">
        <f>+F34/$E$34*100</f>
        <v>265.35218136712115</v>
      </c>
      <c r="G43" s="689">
        <f>+G34/$E$34*100</f>
        <v>270.22924696614172</v>
      </c>
      <c r="H43" s="689">
        <f>+H34/$E$34*100</f>
        <v>268.163958982883</v>
      </c>
      <c r="I43" s="689">
        <f>+I34/$E$34*100</f>
        <v>268.96021459088638</v>
      </c>
      <c r="J43" s="689">
        <f t="shared" ref="J43:P43" si="510">ROUND((+J34/$E$34*100),2)</f>
        <v>267.42</v>
      </c>
      <c r="K43" s="689">
        <f t="shared" si="510"/>
        <v>260.52</v>
      </c>
      <c r="L43" s="689">
        <f t="shared" si="510"/>
        <v>254.63</v>
      </c>
      <c r="M43" s="689">
        <f t="shared" si="510"/>
        <v>251.77</v>
      </c>
      <c r="N43" s="689">
        <f t="shared" si="510"/>
        <v>249.45</v>
      </c>
      <c r="O43" s="689">
        <f t="shared" si="510"/>
        <v>246.81</v>
      </c>
      <c r="P43" s="689">
        <f t="shared" si="510"/>
        <v>250.92</v>
      </c>
      <c r="Q43" s="285">
        <f>ROUND((+Q34/$E$34*100),2)</f>
        <v>251.97</v>
      </c>
      <c r="R43" s="285">
        <f>ROUND((+R34/$E$34*100),2)</f>
        <v>251.12</v>
      </c>
      <c r="S43" s="285">
        <f>ROUND((+S34/$E$34*100),2)</f>
        <v>252.69</v>
      </c>
      <c r="T43" s="285">
        <f>ROUND((+T34/$E$34*100),2)</f>
        <v>256.29000000000002</v>
      </c>
      <c r="U43" s="525">
        <f>+U34/$E$34*100</f>
        <v>257.81263607883926</v>
      </c>
      <c r="V43" s="525">
        <f t="shared" ref="V43:AA43" si="511">ROUND((+V34/$E$34*100),2)</f>
        <v>259.33</v>
      </c>
      <c r="W43" s="525">
        <f t="shared" si="511"/>
        <v>258.98</v>
      </c>
      <c r="X43" s="525">
        <f t="shared" si="511"/>
        <v>256.72000000000003</v>
      </c>
      <c r="Y43" s="525">
        <f t="shared" si="511"/>
        <v>260.08</v>
      </c>
      <c r="Z43" s="525">
        <f t="shared" si="511"/>
        <v>261.82</v>
      </c>
      <c r="AA43" s="525">
        <f t="shared" si="511"/>
        <v>261.58999999999997</v>
      </c>
      <c r="AB43" s="525">
        <f t="shared" ref="AB43:AG43" si="512">ROUND((+AB34/$E$34*100),2)</f>
        <v>268.24</v>
      </c>
      <c r="AC43" s="525">
        <f t="shared" si="512"/>
        <v>267.44</v>
      </c>
      <c r="AD43" s="525">
        <f t="shared" si="512"/>
        <v>267.17</v>
      </c>
      <c r="AE43" s="525">
        <f t="shared" si="512"/>
        <v>267.24</v>
      </c>
      <c r="AF43" s="525">
        <f t="shared" si="512"/>
        <v>268.31</v>
      </c>
      <c r="AG43" s="525">
        <f t="shared" si="512"/>
        <v>270.39999999999998</v>
      </c>
      <c r="AH43" s="525">
        <f t="shared" ref="AH43:AM43" si="513">ROUND((+AH34/$E$34*100),2)</f>
        <v>269.38</v>
      </c>
      <c r="AI43" s="525">
        <f t="shared" si="513"/>
        <v>283.54000000000002</v>
      </c>
      <c r="AJ43" s="525">
        <f t="shared" si="513"/>
        <v>285.68</v>
      </c>
      <c r="AK43" s="525">
        <f t="shared" si="513"/>
        <v>285.38</v>
      </c>
      <c r="AL43" s="525">
        <f t="shared" si="513"/>
        <v>283.57</v>
      </c>
      <c r="AM43" s="525">
        <f t="shared" si="513"/>
        <v>283.22000000000003</v>
      </c>
      <c r="AN43" s="525">
        <f t="shared" ref="AN43:AS43" si="514">ROUND((+AN34/$E$34*100),2)</f>
        <v>283.69</v>
      </c>
      <c r="AO43" s="525">
        <f t="shared" si="514"/>
        <v>284.29000000000002</v>
      </c>
      <c r="AP43" s="525">
        <f t="shared" si="514"/>
        <v>285.66000000000003</v>
      </c>
      <c r="AQ43" s="525">
        <f t="shared" si="514"/>
        <v>294.95999999999998</v>
      </c>
      <c r="AR43" s="525">
        <f t="shared" si="514"/>
        <v>296.23</v>
      </c>
      <c r="AS43" s="525">
        <f t="shared" si="514"/>
        <v>300.24</v>
      </c>
      <c r="AT43" s="525">
        <f t="shared" ref="AT43:AY43" si="515">ROUND((+AT34/$E$34*100),2)</f>
        <v>300.98</v>
      </c>
      <c r="AU43" s="525">
        <f t="shared" si="515"/>
        <v>304.72000000000003</v>
      </c>
      <c r="AV43" s="525">
        <f t="shared" si="515"/>
        <v>301.86</v>
      </c>
      <c r="AW43" s="525">
        <f t="shared" si="515"/>
        <v>306.95999999999998</v>
      </c>
      <c r="AX43" s="525">
        <f t="shared" si="515"/>
        <v>307.16000000000003</v>
      </c>
      <c r="AY43" s="525">
        <f t="shared" si="515"/>
        <v>310.08999999999997</v>
      </c>
      <c r="AZ43" s="525">
        <f t="shared" ref="AZ43:BE43" si="516">ROUND((+AZ34/$E$34*100),2)</f>
        <v>311.93</v>
      </c>
      <c r="BA43" s="525">
        <f t="shared" si="516"/>
        <v>298.39999999999998</v>
      </c>
      <c r="BB43" s="525">
        <f t="shared" si="516"/>
        <v>317.70999999999998</v>
      </c>
      <c r="BC43" s="525">
        <f t="shared" si="516"/>
        <v>315.52</v>
      </c>
      <c r="BD43" s="525">
        <f t="shared" si="516"/>
        <v>315.67</v>
      </c>
      <c r="BE43" s="525">
        <f t="shared" si="516"/>
        <v>321.44</v>
      </c>
      <c r="BF43" s="525">
        <f t="shared" ref="BF43:BK43" si="517">ROUND((+BF34/$E$34*100),2)</f>
        <v>322.83</v>
      </c>
      <c r="BG43" s="525">
        <f t="shared" si="517"/>
        <v>321.99</v>
      </c>
      <c r="BH43" s="525">
        <f t="shared" si="517"/>
        <v>322.27999999999997</v>
      </c>
      <c r="BI43" s="525">
        <f t="shared" si="517"/>
        <v>332.49</v>
      </c>
      <c r="BJ43" s="525">
        <f t="shared" si="517"/>
        <v>333.48</v>
      </c>
      <c r="BK43" s="525">
        <f t="shared" si="517"/>
        <v>341.17</v>
      </c>
      <c r="BL43" s="525">
        <f t="shared" ref="BL43:BR43" si="518">ROUND((+BL34/$E$34*100),2)</f>
        <v>341.52</v>
      </c>
      <c r="BM43" s="525">
        <f t="shared" si="518"/>
        <v>342.17</v>
      </c>
      <c r="BN43" s="525">
        <f t="shared" si="518"/>
        <v>343.56</v>
      </c>
      <c r="BO43" s="525">
        <f t="shared" si="518"/>
        <v>344.18</v>
      </c>
      <c r="BP43" s="526">
        <f t="shared" si="518"/>
        <v>357.72</v>
      </c>
      <c r="BQ43" s="524">
        <f t="shared" si="518"/>
        <v>344.65</v>
      </c>
      <c r="BR43" s="525">
        <f t="shared" si="518"/>
        <v>337.84</v>
      </c>
      <c r="BS43" s="525">
        <f t="shared" ref="BS43:BX43" si="519">ROUND((+BS34/$E$34*100),2)</f>
        <v>339.25</v>
      </c>
      <c r="BT43" s="525">
        <f t="shared" si="519"/>
        <v>351.87</v>
      </c>
      <c r="BU43" s="525">
        <f t="shared" si="519"/>
        <v>358.81</v>
      </c>
      <c r="BV43" s="525">
        <f t="shared" si="519"/>
        <v>358.86</v>
      </c>
      <c r="BW43" s="525">
        <f t="shared" si="519"/>
        <v>366.75</v>
      </c>
      <c r="BX43" s="525">
        <f t="shared" si="519"/>
        <v>364.54</v>
      </c>
      <c r="BY43" s="525">
        <f t="shared" ref="BY43:CD43" si="520">ROUND((+BY34/$E$34*100),2)</f>
        <v>367.85</v>
      </c>
      <c r="BZ43" s="525">
        <f t="shared" si="520"/>
        <v>372.7</v>
      </c>
      <c r="CA43" s="525">
        <f t="shared" si="520"/>
        <v>374.66</v>
      </c>
      <c r="CB43" s="526">
        <f t="shared" si="520"/>
        <v>377.75</v>
      </c>
      <c r="CC43" s="524">
        <f t="shared" si="520"/>
        <v>380.64</v>
      </c>
      <c r="CD43" s="525">
        <f t="shared" si="520"/>
        <v>385.54</v>
      </c>
      <c r="CE43" s="525">
        <f t="shared" ref="CE43:CJ43" si="521">ROUND((+CE34/$E$34*100),2)</f>
        <v>391.81</v>
      </c>
      <c r="CF43" s="525">
        <f t="shared" si="521"/>
        <v>400.67</v>
      </c>
      <c r="CG43" s="525">
        <f t="shared" si="521"/>
        <v>410.74</v>
      </c>
      <c r="CH43" s="525">
        <f t="shared" si="521"/>
        <v>422.14</v>
      </c>
      <c r="CI43" s="525">
        <f t="shared" si="521"/>
        <v>430.62</v>
      </c>
      <c r="CJ43" s="528">
        <f t="shared" si="521"/>
        <v>433.06</v>
      </c>
      <c r="CK43" s="528">
        <f t="shared" ref="CK43:CP43" si="522">ROUND((+CK34/$E$34*100),2)</f>
        <v>434.31</v>
      </c>
      <c r="CL43" s="525">
        <f t="shared" si="522"/>
        <v>447.22</v>
      </c>
      <c r="CM43" s="528">
        <f t="shared" si="522"/>
        <v>447.77</v>
      </c>
      <c r="CN43" s="528">
        <f t="shared" si="522"/>
        <v>448.59</v>
      </c>
      <c r="CO43" s="524">
        <f t="shared" si="522"/>
        <v>449.24</v>
      </c>
      <c r="CP43" s="525">
        <f t="shared" si="522"/>
        <v>450.95</v>
      </c>
      <c r="CQ43" s="525">
        <f t="shared" ref="CQ43:CV43" si="523">ROUND((+CQ34/$E$34*100),2)</f>
        <v>459.17</v>
      </c>
      <c r="CR43" s="525">
        <f t="shared" si="523"/>
        <v>465.64</v>
      </c>
      <c r="CS43" s="525">
        <f t="shared" si="523"/>
        <v>483.23</v>
      </c>
      <c r="CT43" s="525">
        <f t="shared" si="523"/>
        <v>490.05</v>
      </c>
      <c r="CU43" s="525">
        <f t="shared" si="523"/>
        <v>495.1</v>
      </c>
      <c r="CV43" s="525">
        <f t="shared" si="523"/>
        <v>507.39</v>
      </c>
      <c r="CW43" s="1123">
        <f t="shared" ref="CW43:DB43" si="524">ROUND((+CW34/$E$34*100),2)</f>
        <v>511.57</v>
      </c>
      <c r="CX43" s="525">
        <f t="shared" si="524"/>
        <v>513.98</v>
      </c>
      <c r="CY43" s="528">
        <f t="shared" si="524"/>
        <v>515.67999999999995</v>
      </c>
      <c r="CZ43" s="528">
        <f t="shared" si="524"/>
        <v>531.9</v>
      </c>
      <c r="DA43" s="527">
        <f t="shared" si="524"/>
        <v>541.53</v>
      </c>
      <c r="DB43" s="528">
        <f t="shared" si="524"/>
        <v>543.04999999999995</v>
      </c>
      <c r="DC43" s="528">
        <f t="shared" ref="DC43:DH43" si="525">ROUND((+DC34/$E$34*100),2)</f>
        <v>544.69000000000005</v>
      </c>
      <c r="DD43" s="528">
        <f t="shared" si="525"/>
        <v>576.80999999999995</v>
      </c>
      <c r="DE43" s="528">
        <f t="shared" si="525"/>
        <v>581.04</v>
      </c>
      <c r="DF43" s="528">
        <f t="shared" si="525"/>
        <v>584.42999999999995</v>
      </c>
      <c r="DG43" s="528">
        <f t="shared" si="525"/>
        <v>590.77</v>
      </c>
      <c r="DH43" s="528">
        <f t="shared" si="525"/>
        <v>605.42999999999995</v>
      </c>
      <c r="DI43" s="528">
        <f t="shared" ref="DI43:DN43" si="526">ROUND((+DI34/$E$34*100),2)</f>
        <v>608.80999999999995</v>
      </c>
      <c r="DJ43" s="528">
        <f t="shared" si="526"/>
        <v>611.45000000000005</v>
      </c>
      <c r="DK43" s="528">
        <f t="shared" si="526"/>
        <v>622.77</v>
      </c>
      <c r="DL43" s="526">
        <f t="shared" si="526"/>
        <v>626.88</v>
      </c>
      <c r="DM43" s="528">
        <f t="shared" si="526"/>
        <v>638.02</v>
      </c>
      <c r="DN43" s="528">
        <f t="shared" si="526"/>
        <v>639.79</v>
      </c>
      <c r="DO43" s="528">
        <f t="shared" ref="DO43:DT43" si="527">ROUND((+DO34/$E$34*100),2)</f>
        <v>646.51</v>
      </c>
      <c r="DP43" s="528">
        <f t="shared" si="527"/>
        <v>649.57000000000005</v>
      </c>
      <c r="DQ43" s="528">
        <f t="shared" si="527"/>
        <v>656.61</v>
      </c>
      <c r="DR43" s="528">
        <f t="shared" si="527"/>
        <v>715.54</v>
      </c>
      <c r="DS43" s="979">
        <f t="shared" si="527"/>
        <v>726.09</v>
      </c>
      <c r="DT43" s="979">
        <f t="shared" si="527"/>
        <v>729.05</v>
      </c>
      <c r="DU43" s="979">
        <f t="shared" ref="DU43:DZ43" si="528">ROUND((+DU34/$E$34*100),2)</f>
        <v>730.86</v>
      </c>
      <c r="DV43" s="974">
        <f t="shared" si="528"/>
        <v>731.83</v>
      </c>
      <c r="DW43" s="1145">
        <f t="shared" si="528"/>
        <v>736.41</v>
      </c>
      <c r="DX43" s="974">
        <f t="shared" si="528"/>
        <v>737.66</v>
      </c>
      <c r="DY43" s="1145">
        <f t="shared" si="528"/>
        <v>742.21</v>
      </c>
      <c r="DZ43" s="979">
        <f t="shared" si="528"/>
        <v>746.44</v>
      </c>
      <c r="EA43" s="979">
        <f t="shared" ref="EA43:EF43" si="529">ROUND((+EA34/$E$34*100),2)</f>
        <v>754.58</v>
      </c>
      <c r="EB43" s="979">
        <f t="shared" si="529"/>
        <v>763.56</v>
      </c>
      <c r="EC43" s="979">
        <f t="shared" si="529"/>
        <v>770.5</v>
      </c>
      <c r="ED43" s="979">
        <f t="shared" si="529"/>
        <v>823.33</v>
      </c>
      <c r="EE43" s="979">
        <f t="shared" si="529"/>
        <v>827.53</v>
      </c>
      <c r="EF43" s="979">
        <f t="shared" si="529"/>
        <v>831.51</v>
      </c>
      <c r="EG43" s="979">
        <f t="shared" ref="EG43:EL43" si="530">ROUND((+EG34/$E$34*100),2)</f>
        <v>852.02</v>
      </c>
      <c r="EH43" s="979">
        <f t="shared" si="530"/>
        <v>852.86</v>
      </c>
      <c r="EI43" s="979">
        <f t="shared" si="530"/>
        <v>855.78</v>
      </c>
      <c r="EJ43" s="971">
        <f t="shared" si="530"/>
        <v>863.27</v>
      </c>
      <c r="EK43" s="979">
        <f t="shared" si="530"/>
        <v>882.4</v>
      </c>
      <c r="EL43" s="979">
        <f t="shared" si="530"/>
        <v>905.79</v>
      </c>
      <c r="EM43" s="979">
        <f t="shared" ref="EM43:ER43" si="531">ROUND((+EM34/$E$34*100),2)</f>
        <v>928.51</v>
      </c>
      <c r="EN43" s="979">
        <f t="shared" si="531"/>
        <v>1016.57</v>
      </c>
      <c r="EO43" s="979">
        <f t="shared" si="531"/>
        <v>1021.6</v>
      </c>
      <c r="EP43" s="979">
        <f t="shared" si="531"/>
        <v>1026.1500000000001</v>
      </c>
      <c r="EQ43" s="979">
        <f t="shared" si="531"/>
        <v>1084.77</v>
      </c>
      <c r="ER43" s="979">
        <f t="shared" si="531"/>
        <v>1095.57</v>
      </c>
      <c r="ES43" s="979">
        <f t="shared" ref="ES43:EZ43" si="532">ROUND((+ES34/$E$34*100),2)</f>
        <v>1106.4000000000001</v>
      </c>
      <c r="ET43" s="979">
        <f t="shared" si="532"/>
        <v>1110.93</v>
      </c>
      <c r="EU43" s="979">
        <f t="shared" si="532"/>
        <v>1114.1600000000001</v>
      </c>
      <c r="EV43" s="971">
        <f t="shared" si="532"/>
        <v>1114.6300000000001</v>
      </c>
      <c r="EW43" s="1007">
        <f t="shared" si="532"/>
        <v>1096.99</v>
      </c>
      <c r="EX43" s="979">
        <f t="shared" si="532"/>
        <v>1103.04</v>
      </c>
      <c r="EY43" s="974">
        <f t="shared" si="532"/>
        <v>1114.51</v>
      </c>
      <c r="EZ43" s="974">
        <f t="shared" si="532"/>
        <v>1197.07</v>
      </c>
      <c r="FA43" s="974">
        <f t="shared" ref="FA43:FG43" si="533">ROUND((+FA34/$E$34*100),2)</f>
        <v>1209.06</v>
      </c>
      <c r="FB43" s="974">
        <f t="shared" si="533"/>
        <v>1223.8</v>
      </c>
      <c r="FC43" s="974">
        <f t="shared" si="533"/>
        <v>1234.02</v>
      </c>
      <c r="FD43" s="974">
        <f t="shared" si="533"/>
        <v>1287.67</v>
      </c>
      <c r="FE43" s="974">
        <f t="shared" si="533"/>
        <v>1289.83</v>
      </c>
      <c r="FF43" s="979">
        <f t="shared" si="533"/>
        <v>1293.79</v>
      </c>
      <c r="FG43" s="971" t="e">
        <f t="shared" si="533"/>
        <v>#REF!</v>
      </c>
      <c r="FH43" s="971" t="e">
        <f t="shared" ref="FH43:FM43" si="534">ROUND((+FH34/$E$34*100),2)</f>
        <v>#REF!</v>
      </c>
      <c r="FI43" s="1938">
        <f t="shared" si="534"/>
        <v>100</v>
      </c>
      <c r="FJ43" s="2510">
        <f t="shared" si="534"/>
        <v>106.45</v>
      </c>
      <c r="FK43" s="971">
        <f t="shared" si="534"/>
        <v>106.03</v>
      </c>
      <c r="FL43" s="971">
        <f t="shared" si="534"/>
        <v>110.75</v>
      </c>
      <c r="FM43" s="971">
        <f t="shared" si="534"/>
        <v>113.72</v>
      </c>
      <c r="FN43" s="971">
        <f t="shared" ref="FN43:HB43" si="535">ROUND((+FN34/$E$34*100),2)</f>
        <v>117.7</v>
      </c>
      <c r="FO43" s="971">
        <f t="shared" si="535"/>
        <v>117.7</v>
      </c>
      <c r="FP43" s="971">
        <f t="shared" si="535"/>
        <v>117.7</v>
      </c>
      <c r="FQ43" s="971">
        <f t="shared" si="535"/>
        <v>118.02</v>
      </c>
      <c r="FR43" s="971">
        <f t="shared" si="535"/>
        <v>120.68</v>
      </c>
      <c r="FS43" s="971">
        <f t="shared" si="535"/>
        <v>121.73</v>
      </c>
      <c r="FT43" s="971">
        <f t="shared" si="535"/>
        <v>122.82</v>
      </c>
      <c r="FU43" s="971">
        <f t="shared" si="535"/>
        <v>124.91</v>
      </c>
      <c r="FV43" s="971">
        <f t="shared" si="535"/>
        <v>125.48</v>
      </c>
      <c r="FW43" s="971">
        <f t="shared" si="535"/>
        <v>125.63</v>
      </c>
      <c r="FX43" s="971">
        <f t="shared" si="535"/>
        <v>127.95</v>
      </c>
      <c r="FY43" s="971">
        <f t="shared" si="535"/>
        <v>128.55000000000001</v>
      </c>
      <c r="FZ43" s="971">
        <f t="shared" si="535"/>
        <v>129.49</v>
      </c>
      <c r="GA43" s="971">
        <f t="shared" si="535"/>
        <v>142.46</v>
      </c>
      <c r="GB43" s="971">
        <f t="shared" si="535"/>
        <v>143.55000000000001</v>
      </c>
      <c r="GC43" s="971">
        <f t="shared" si="535"/>
        <v>142.31</v>
      </c>
      <c r="GD43" s="971">
        <f t="shared" si="535"/>
        <v>144.82</v>
      </c>
      <c r="GE43" s="971">
        <f t="shared" si="535"/>
        <v>149.4</v>
      </c>
      <c r="GF43" s="971">
        <f t="shared" si="535"/>
        <v>154.85</v>
      </c>
      <c r="GG43" s="971">
        <f t="shared" si="535"/>
        <v>158.47999999999999</v>
      </c>
      <c r="GH43" s="971">
        <f t="shared" si="535"/>
        <v>168.11</v>
      </c>
      <c r="GI43" s="971">
        <f t="shared" si="535"/>
        <v>170.82</v>
      </c>
      <c r="GJ43" s="971">
        <f t="shared" si="535"/>
        <v>174.9</v>
      </c>
      <c r="GK43" s="971">
        <f t="shared" si="535"/>
        <v>192.99</v>
      </c>
      <c r="GL43" s="971">
        <f t="shared" si="535"/>
        <v>205.31</v>
      </c>
      <c r="GM43" s="971">
        <f t="shared" si="535"/>
        <v>210.93</v>
      </c>
      <c r="GN43" s="971">
        <f t="shared" si="535"/>
        <v>222.48</v>
      </c>
      <c r="GO43" s="971">
        <f t="shared" si="535"/>
        <v>273.91000000000003</v>
      </c>
      <c r="GP43" s="971">
        <f t="shared" si="535"/>
        <v>274.91000000000003</v>
      </c>
      <c r="GQ43" s="971">
        <f t="shared" si="535"/>
        <v>270.25</v>
      </c>
      <c r="GR43" s="971">
        <f t="shared" si="535"/>
        <v>284.58999999999997</v>
      </c>
      <c r="GS43" s="971">
        <f t="shared" si="535"/>
        <v>275.95</v>
      </c>
      <c r="GT43" s="971">
        <f t="shared" si="535"/>
        <v>295.36</v>
      </c>
      <c r="GU43" s="971">
        <f t="shared" si="535"/>
        <v>301.83</v>
      </c>
      <c r="GV43" s="971">
        <f t="shared" si="535"/>
        <v>321.04000000000002</v>
      </c>
      <c r="GW43" s="971">
        <f t="shared" si="535"/>
        <v>341.92</v>
      </c>
      <c r="GX43" s="971">
        <f t="shared" si="535"/>
        <v>334.43</v>
      </c>
      <c r="GY43" s="971">
        <f t="shared" si="535"/>
        <v>337.74</v>
      </c>
      <c r="GZ43" s="971">
        <f t="shared" si="535"/>
        <v>390.31</v>
      </c>
      <c r="HA43" s="971">
        <f t="shared" si="535"/>
        <v>405.92</v>
      </c>
      <c r="HB43" s="971">
        <f t="shared" si="535"/>
        <v>419.15</v>
      </c>
      <c r="HC43" s="971">
        <f t="shared" ref="HC43:HH43" si="536">ROUND((+HC34/$E$34*100),2)</f>
        <v>426.87</v>
      </c>
      <c r="HD43" s="971">
        <f t="shared" si="536"/>
        <v>435.97</v>
      </c>
      <c r="HE43" s="971">
        <f t="shared" si="536"/>
        <v>450.93</v>
      </c>
      <c r="HF43" s="1938">
        <f t="shared" si="536"/>
        <v>456.55</v>
      </c>
      <c r="HG43" s="965">
        <f t="shared" si="536"/>
        <v>463.45</v>
      </c>
      <c r="HH43" s="965">
        <f t="shared" si="536"/>
        <v>475.44</v>
      </c>
      <c r="HI43" s="965">
        <f t="shared" ref="HI43:HJ43" si="537">ROUND((+HI34/$E$34*100),2)</f>
        <v>482.56</v>
      </c>
      <c r="HJ43" s="965">
        <f t="shared" si="537"/>
        <v>494.38</v>
      </c>
      <c r="HK43" s="965">
        <f t="shared" ref="HK43:HL43" si="538">ROUND((+HK34/$E$34*100),2)</f>
        <v>505.37</v>
      </c>
      <c r="HL43" s="965">
        <f t="shared" si="538"/>
        <v>516.62</v>
      </c>
      <c r="HM43" s="965">
        <f t="shared" ref="HM43:HN43" si="539">ROUND((+HM34/$E$34*100),2)</f>
        <v>531.28</v>
      </c>
      <c r="HN43" s="965">
        <f t="shared" si="539"/>
        <v>551.17999999999995</v>
      </c>
      <c r="HO43" s="965">
        <f t="shared" ref="HO43:HP43" si="540">ROUND((+HO34/$E$34*100),2)</f>
        <v>578.42999999999995</v>
      </c>
      <c r="HP43" s="965">
        <f t="shared" si="540"/>
        <v>600.95000000000005</v>
      </c>
      <c r="HQ43" s="965">
        <f t="shared" ref="HQ43:HR43" si="541">ROUND((+HQ34/$E$34*100),2)</f>
        <v>618.24</v>
      </c>
      <c r="HR43" s="1882">
        <f t="shared" si="541"/>
        <v>650.72</v>
      </c>
      <c r="HS43" s="1882">
        <f t="shared" ref="HS43:HT43" si="542">ROUND((+HS34/$E$34*100),2)</f>
        <v>687.77</v>
      </c>
      <c r="HT43" s="1882">
        <f t="shared" si="542"/>
        <v>715.49</v>
      </c>
      <c r="HU43" s="1882">
        <f t="shared" ref="HU43:HV43" si="543">ROUND((+HU34/$E$34*100),2)</f>
        <v>742.83</v>
      </c>
      <c r="HV43" s="1882">
        <f t="shared" si="543"/>
        <v>746.04</v>
      </c>
      <c r="HW43" s="1882">
        <f t="shared" ref="HW43:HX43" si="544">ROUND((+HW34/$E$34*100),2)</f>
        <v>757.09</v>
      </c>
      <c r="HX43" s="1882">
        <f t="shared" si="544"/>
        <v>766.84</v>
      </c>
      <c r="HY43" s="1882">
        <f t="shared" ref="HY43:HZ43" si="545">ROUND((+HY34/$E$34*100),2)</f>
        <v>768.83</v>
      </c>
      <c r="HZ43" s="1880">
        <f t="shared" si="545"/>
        <v>778.79</v>
      </c>
      <c r="IA43" s="1880">
        <f t="shared" ref="IA43:IB43" si="546">ROUND((+IA34/$E$34*100),2)</f>
        <v>781.82</v>
      </c>
      <c r="IB43" s="1880">
        <f t="shared" si="546"/>
        <v>789.31</v>
      </c>
      <c r="IC43" s="975">
        <f t="shared" ref="IC43:ID43" si="547">ROUND((+IC34/$E$34*100),2)</f>
        <v>803.72</v>
      </c>
      <c r="ID43" s="963">
        <f t="shared" si="547"/>
        <v>841.42</v>
      </c>
      <c r="IE43" s="963">
        <f t="shared" ref="IE43:IF43" si="548">ROUND((+IE34/$E$34*100),2)</f>
        <v>893.67</v>
      </c>
      <c r="IF43" s="963">
        <f t="shared" si="548"/>
        <v>920.75</v>
      </c>
      <c r="IG43" s="963">
        <f t="shared" ref="IG43:IH43" si="549">ROUND((+IG34/$E$34*100),2)</f>
        <v>992.56</v>
      </c>
      <c r="IH43" s="963">
        <f t="shared" si="549"/>
        <v>1071.3900000000001</v>
      </c>
      <c r="II43" s="963">
        <f t="shared" ref="II43:IJ43" si="550">ROUND((+II34/$E$34*100),2)</f>
        <v>1115.48</v>
      </c>
      <c r="IJ43" s="963">
        <f t="shared" si="550"/>
        <v>1156.26</v>
      </c>
      <c r="IK43" s="963">
        <f t="shared" ref="IK43:IL43" si="551">ROUND((+IK34/$E$34*100),2)</f>
        <v>1215.26</v>
      </c>
      <c r="IL43" s="963">
        <f t="shared" si="551"/>
        <v>1299.8599999999999</v>
      </c>
      <c r="IM43" s="963">
        <f t="shared" ref="IM43:IN43" si="552">ROUND((+IM34/$E$34*100),2)</f>
        <v>1455.88</v>
      </c>
      <c r="IN43" s="1880">
        <f t="shared" si="552"/>
        <v>1552.55</v>
      </c>
      <c r="IO43" s="963">
        <f t="shared" ref="IO43:IP43" si="553">ROUND((+IO34/$E$34*100),2)</f>
        <v>1609.03</v>
      </c>
      <c r="IP43" s="963">
        <f t="shared" si="553"/>
        <v>1741.76</v>
      </c>
      <c r="IQ43" s="1037"/>
    </row>
    <row r="44" spans="2:261">
      <c r="B44" s="2746" t="s">
        <v>688</v>
      </c>
      <c r="C44" s="2747"/>
      <c r="D44" s="2748"/>
      <c r="E44" s="1461">
        <f>+E35/$E$35*100</f>
        <v>100</v>
      </c>
      <c r="F44" s="1462">
        <f>+F35/$E$35*100</f>
        <v>259.74945625600651</v>
      </c>
      <c r="G44" s="594">
        <f>+G35/$E$35*100</f>
        <v>268.92144796074928</v>
      </c>
      <c r="H44" s="594">
        <f>+H35/$E$35*100</f>
        <v>267.13425840063394</v>
      </c>
      <c r="I44" s="594">
        <f>+I35/$E$35*100</f>
        <v>270.57375528991247</v>
      </c>
      <c r="J44" s="594">
        <f t="shared" ref="J44:P44" si="554">ROUND((+J35/$E$35*100),2)</f>
        <v>269.36</v>
      </c>
      <c r="K44" s="594">
        <f t="shared" si="554"/>
        <v>263.95999999999998</v>
      </c>
      <c r="L44" s="594">
        <f t="shared" si="554"/>
        <v>259.18</v>
      </c>
      <c r="M44" s="594">
        <f t="shared" si="554"/>
        <v>257.22000000000003</v>
      </c>
      <c r="N44" s="594">
        <f t="shared" si="554"/>
        <v>254.83</v>
      </c>
      <c r="O44" s="594">
        <f t="shared" si="554"/>
        <v>252.6</v>
      </c>
      <c r="P44" s="594">
        <f t="shared" si="554"/>
        <v>256.24</v>
      </c>
      <c r="Q44" s="1155">
        <f>ROUND((+Q35/$E$35*100),2)</f>
        <v>257.39</v>
      </c>
      <c r="R44" s="1155">
        <f>ROUND((+R35/$E$35*100),2)</f>
        <v>256.98</v>
      </c>
      <c r="S44" s="1155">
        <f>ROUND((+S35/$E$35*100),2)</f>
        <v>258.57</v>
      </c>
      <c r="T44" s="1155">
        <f>ROUND((+T35/$E$35*100),2)</f>
        <v>261.81</v>
      </c>
      <c r="U44" s="569">
        <f>+U35/$E$35*100</f>
        <v>263.72848206909339</v>
      </c>
      <c r="V44" s="569">
        <f t="shared" ref="V44:AA44" si="555">ROUND((+V35/$E$35*100),2)</f>
        <v>265.25</v>
      </c>
      <c r="W44" s="569">
        <f t="shared" si="555"/>
        <v>265.04000000000002</v>
      </c>
      <c r="X44" s="569">
        <f t="shared" si="555"/>
        <v>263.22000000000003</v>
      </c>
      <c r="Y44" s="569">
        <f t="shared" si="555"/>
        <v>266.45999999999998</v>
      </c>
      <c r="Z44" s="569">
        <f t="shared" si="555"/>
        <v>268.14999999999998</v>
      </c>
      <c r="AA44" s="569">
        <f t="shared" si="555"/>
        <v>268.18</v>
      </c>
      <c r="AB44" s="569">
        <f t="shared" ref="AB44:AG44" si="556">ROUND((+AB35/$E$35*100),2)</f>
        <v>275.45999999999998</v>
      </c>
      <c r="AC44" s="569">
        <f t="shared" si="556"/>
        <v>275.36</v>
      </c>
      <c r="AD44" s="569">
        <f t="shared" si="556"/>
        <v>275.19</v>
      </c>
      <c r="AE44" s="569">
        <f t="shared" si="556"/>
        <v>275.26</v>
      </c>
      <c r="AF44" s="569">
        <f t="shared" si="556"/>
        <v>276.17</v>
      </c>
      <c r="AG44" s="569">
        <f t="shared" si="556"/>
        <v>278.63</v>
      </c>
      <c r="AH44" s="569">
        <f t="shared" ref="AH44:AM44" si="557">ROUND((+AH35/$E$35*100),2)</f>
        <v>277.79000000000002</v>
      </c>
      <c r="AI44" s="569">
        <f t="shared" si="557"/>
        <v>293.47000000000003</v>
      </c>
      <c r="AJ44" s="569">
        <f t="shared" si="557"/>
        <v>295.86</v>
      </c>
      <c r="AK44" s="569">
        <f t="shared" si="557"/>
        <v>295.49</v>
      </c>
      <c r="AL44" s="569">
        <f t="shared" si="557"/>
        <v>293.64</v>
      </c>
      <c r="AM44" s="569">
        <f t="shared" si="557"/>
        <v>293.33999999999997</v>
      </c>
      <c r="AN44" s="569">
        <f t="shared" ref="AN44:AS44" si="558">ROUND((+AN35/$E$35*100),2)</f>
        <v>293.70999999999998</v>
      </c>
      <c r="AO44" s="569">
        <f t="shared" si="558"/>
        <v>294.25</v>
      </c>
      <c r="AP44" s="569">
        <f t="shared" si="558"/>
        <v>295.43</v>
      </c>
      <c r="AQ44" s="569">
        <f t="shared" si="558"/>
        <v>305.77999999999997</v>
      </c>
      <c r="AR44" s="569">
        <f t="shared" si="558"/>
        <v>306.86</v>
      </c>
      <c r="AS44" s="569">
        <f t="shared" si="558"/>
        <v>310.94</v>
      </c>
      <c r="AT44" s="569">
        <f t="shared" ref="AT44:AY44" si="559">ROUND((+AT35/$E$35*100),2)</f>
        <v>311.54000000000002</v>
      </c>
      <c r="AU44" s="569">
        <f t="shared" si="559"/>
        <v>315.73</v>
      </c>
      <c r="AV44" s="569">
        <f t="shared" si="559"/>
        <v>313.10000000000002</v>
      </c>
      <c r="AW44" s="569">
        <f t="shared" si="559"/>
        <v>318.73</v>
      </c>
      <c r="AX44" s="569">
        <f t="shared" si="559"/>
        <v>318.89999999999998</v>
      </c>
      <c r="AY44" s="569">
        <f t="shared" si="559"/>
        <v>321.95999999999998</v>
      </c>
      <c r="AZ44" s="569">
        <f t="shared" ref="AZ44:BE44" si="560">ROUND((+AZ35/$E$35*100),2)</f>
        <v>323.45</v>
      </c>
      <c r="BA44" s="569">
        <f t="shared" si="560"/>
        <v>308.14</v>
      </c>
      <c r="BB44" s="569">
        <f t="shared" si="560"/>
        <v>330.06</v>
      </c>
      <c r="BC44" s="569">
        <f t="shared" si="560"/>
        <v>328.3</v>
      </c>
      <c r="BD44" s="569">
        <f t="shared" si="560"/>
        <v>328.4</v>
      </c>
      <c r="BE44" s="569">
        <f t="shared" si="560"/>
        <v>334.71</v>
      </c>
      <c r="BF44" s="569">
        <f t="shared" ref="BF44:BK44" si="561">ROUND((+BF35/$E$35*100),2)</f>
        <v>335.86</v>
      </c>
      <c r="BG44" s="569">
        <f t="shared" si="561"/>
        <v>335.15</v>
      </c>
      <c r="BH44" s="569">
        <f t="shared" si="561"/>
        <v>335.42</v>
      </c>
      <c r="BI44" s="569">
        <f t="shared" si="561"/>
        <v>346.55</v>
      </c>
      <c r="BJ44" s="569">
        <f t="shared" si="561"/>
        <v>347.63</v>
      </c>
      <c r="BK44" s="569">
        <f t="shared" si="561"/>
        <v>356.16</v>
      </c>
      <c r="BL44" s="569">
        <f t="shared" ref="BL44:BR44" si="562">ROUND((+BL35/$E$35*100),2)</f>
        <v>356.09</v>
      </c>
      <c r="BM44" s="569">
        <f t="shared" si="562"/>
        <v>356.86</v>
      </c>
      <c r="BN44" s="569">
        <f t="shared" si="562"/>
        <v>358.21</v>
      </c>
      <c r="BO44" s="569">
        <f t="shared" si="562"/>
        <v>359.09</v>
      </c>
      <c r="BP44" s="1158">
        <f t="shared" si="562"/>
        <v>374.03</v>
      </c>
      <c r="BQ44" s="1159">
        <f t="shared" si="562"/>
        <v>359.49</v>
      </c>
      <c r="BR44" s="569">
        <f t="shared" si="562"/>
        <v>350.69</v>
      </c>
      <c r="BS44" s="569">
        <f t="shared" ref="BS44:BX44" si="563">ROUND((+BS35/$E$35*100),2)</f>
        <v>351.6</v>
      </c>
      <c r="BT44" s="569">
        <f t="shared" si="563"/>
        <v>365.23</v>
      </c>
      <c r="BU44" s="569">
        <f t="shared" si="563"/>
        <v>373.22</v>
      </c>
      <c r="BV44" s="569">
        <f t="shared" si="563"/>
        <v>373.83</v>
      </c>
      <c r="BW44" s="569">
        <f t="shared" si="563"/>
        <v>382.83</v>
      </c>
      <c r="BX44" s="569">
        <f t="shared" si="563"/>
        <v>380.03</v>
      </c>
      <c r="BY44" s="569">
        <f t="shared" ref="BY44:CD44" si="564">ROUND((+BY35/$E$35*100),2)</f>
        <v>383.77</v>
      </c>
      <c r="BZ44" s="569">
        <f t="shared" si="564"/>
        <v>388.36</v>
      </c>
      <c r="CA44" s="569">
        <f t="shared" si="564"/>
        <v>390.45</v>
      </c>
      <c r="CB44" s="1158">
        <f t="shared" si="564"/>
        <v>393.49</v>
      </c>
      <c r="CC44" s="1159">
        <f t="shared" si="564"/>
        <v>396.76</v>
      </c>
      <c r="CD44" s="569">
        <f t="shared" si="564"/>
        <v>401.98</v>
      </c>
      <c r="CE44" s="569">
        <f t="shared" ref="CE44:CJ44" si="565">ROUND((+CE35/$E$35*100),2)</f>
        <v>408.66</v>
      </c>
      <c r="CF44" s="569">
        <f t="shared" si="565"/>
        <v>418.54</v>
      </c>
      <c r="CG44" s="569">
        <f t="shared" si="565"/>
        <v>429.94</v>
      </c>
      <c r="CH44" s="569">
        <f t="shared" si="565"/>
        <v>443.12</v>
      </c>
      <c r="CI44" s="569">
        <f t="shared" si="565"/>
        <v>453.14</v>
      </c>
      <c r="CJ44" s="1160">
        <f t="shared" si="565"/>
        <v>455.4</v>
      </c>
      <c r="CK44" s="1160">
        <f t="shared" ref="CK44:CP44" si="566">ROUND((+CK35/$E$35*100),2)</f>
        <v>456.61</v>
      </c>
      <c r="CL44" s="569">
        <f t="shared" si="566"/>
        <v>471.35</v>
      </c>
      <c r="CM44" s="1160">
        <f t="shared" si="566"/>
        <v>472.05</v>
      </c>
      <c r="CN44" s="1160">
        <f t="shared" si="566"/>
        <v>473.03</v>
      </c>
      <c r="CO44" s="1159">
        <f t="shared" si="566"/>
        <v>473.61</v>
      </c>
      <c r="CP44" s="569">
        <f t="shared" si="566"/>
        <v>475.09</v>
      </c>
      <c r="CQ44" s="569">
        <f t="shared" ref="CQ44:CV44" si="567">ROUND((+CQ35/$E$35*100),2)</f>
        <v>484.19</v>
      </c>
      <c r="CR44" s="569">
        <f t="shared" si="567"/>
        <v>491.81</v>
      </c>
      <c r="CS44" s="569">
        <f t="shared" si="567"/>
        <v>511.47</v>
      </c>
      <c r="CT44" s="569">
        <f t="shared" si="567"/>
        <v>519.73</v>
      </c>
      <c r="CU44" s="569">
        <f t="shared" si="567"/>
        <v>525.47</v>
      </c>
      <c r="CV44" s="569">
        <f t="shared" si="567"/>
        <v>539.53</v>
      </c>
      <c r="CW44" s="1161">
        <f t="shared" ref="CW44:DB44" si="568">ROUND((+CW35/$E$35*100),2)</f>
        <v>544.25</v>
      </c>
      <c r="CX44" s="569">
        <f t="shared" si="568"/>
        <v>546.24</v>
      </c>
      <c r="CY44" s="1160">
        <f t="shared" si="568"/>
        <v>548.23</v>
      </c>
      <c r="CZ44" s="1160">
        <f t="shared" si="568"/>
        <v>566.78</v>
      </c>
      <c r="DA44" s="1162">
        <f t="shared" si="568"/>
        <v>578.04</v>
      </c>
      <c r="DB44" s="1160">
        <f t="shared" si="568"/>
        <v>579.49</v>
      </c>
      <c r="DC44" s="1160">
        <f t="shared" ref="DC44:DH44" si="569">ROUND((+DC35/$E$35*100),2)</f>
        <v>581.61</v>
      </c>
      <c r="DD44" s="1160">
        <f t="shared" si="569"/>
        <v>618</v>
      </c>
      <c r="DE44" s="1160">
        <f t="shared" si="569"/>
        <v>622.95000000000005</v>
      </c>
      <c r="DF44" s="1160">
        <f t="shared" si="569"/>
        <v>626.46</v>
      </c>
      <c r="DG44" s="1160">
        <f t="shared" si="569"/>
        <v>633.47</v>
      </c>
      <c r="DH44" s="1160">
        <f t="shared" si="569"/>
        <v>649.83000000000004</v>
      </c>
      <c r="DI44" s="1160">
        <f t="shared" ref="DI44:DN44" si="570">ROUND((+DI35/$E$35*100),2)</f>
        <v>653.66999999999996</v>
      </c>
      <c r="DJ44" s="1160">
        <f t="shared" si="570"/>
        <v>656.64</v>
      </c>
      <c r="DK44" s="1160">
        <f t="shared" si="570"/>
        <v>669.25</v>
      </c>
      <c r="DL44" s="1158">
        <f t="shared" si="570"/>
        <v>673.5</v>
      </c>
      <c r="DM44" s="1160">
        <f t="shared" si="570"/>
        <v>686.69</v>
      </c>
      <c r="DN44" s="1160">
        <f t="shared" si="570"/>
        <v>688.67</v>
      </c>
      <c r="DO44" s="1160">
        <f t="shared" ref="DO44:DT44" si="571">ROUND((+DO35/$E$35*100),2)</f>
        <v>695.55</v>
      </c>
      <c r="DP44" s="1160">
        <f t="shared" si="571"/>
        <v>698.62</v>
      </c>
      <c r="DQ44" s="1160">
        <f t="shared" si="571"/>
        <v>706.78</v>
      </c>
      <c r="DR44" s="1160">
        <f t="shared" si="571"/>
        <v>772.17</v>
      </c>
      <c r="DS44" s="1163">
        <f t="shared" si="571"/>
        <v>783.73</v>
      </c>
      <c r="DT44" s="1163">
        <f t="shared" si="571"/>
        <v>786.73</v>
      </c>
      <c r="DU44" s="1163">
        <f t="shared" ref="DU44:DZ44" si="572">ROUND((+DU35/$E$35*100),2)</f>
        <v>788.29</v>
      </c>
      <c r="DV44" s="1164">
        <f t="shared" si="572"/>
        <v>789.09</v>
      </c>
      <c r="DW44" s="1165">
        <f t="shared" si="572"/>
        <v>794.12</v>
      </c>
      <c r="DX44" s="1164">
        <f t="shared" si="572"/>
        <v>795.23</v>
      </c>
      <c r="DY44" s="1165">
        <f t="shared" si="572"/>
        <v>799.85</v>
      </c>
      <c r="DZ44" s="1163">
        <f t="shared" si="572"/>
        <v>804.2</v>
      </c>
      <c r="EA44" s="1163">
        <f t="shared" ref="EA44:EF44" si="573">ROUND((+EA35/$E$35*100),2)</f>
        <v>813.41</v>
      </c>
      <c r="EB44" s="1163">
        <f t="shared" si="573"/>
        <v>823.25</v>
      </c>
      <c r="EC44" s="1163">
        <f t="shared" si="573"/>
        <v>830.74</v>
      </c>
      <c r="ED44" s="1163">
        <f t="shared" si="573"/>
        <v>889.65</v>
      </c>
      <c r="EE44" s="1163">
        <f t="shared" si="573"/>
        <v>894.2</v>
      </c>
      <c r="EF44" s="1163">
        <f t="shared" si="573"/>
        <v>898.28</v>
      </c>
      <c r="EG44" s="1163">
        <f t="shared" ref="EG44:EL44" si="574">ROUND((+EG35/$E$35*100),2)</f>
        <v>920.67</v>
      </c>
      <c r="EH44" s="1163">
        <f t="shared" si="574"/>
        <v>921.35</v>
      </c>
      <c r="EI44" s="1163">
        <f t="shared" si="574"/>
        <v>924.25</v>
      </c>
      <c r="EJ44" s="1173">
        <f t="shared" si="574"/>
        <v>931.43</v>
      </c>
      <c r="EK44" s="1163">
        <f t="shared" si="574"/>
        <v>952.3</v>
      </c>
      <c r="EL44" s="1163">
        <f t="shared" si="574"/>
        <v>974.19</v>
      </c>
      <c r="EM44" s="1163">
        <f t="shared" ref="EM44:ER44" si="575">ROUND((+EM35/$E$35*100),2)</f>
        <v>999.75</v>
      </c>
      <c r="EN44" s="979">
        <f t="shared" si="575"/>
        <v>1100.1300000000001</v>
      </c>
      <c r="EO44" s="979">
        <f t="shared" si="575"/>
        <v>1105.7</v>
      </c>
      <c r="EP44" s="979">
        <f t="shared" si="575"/>
        <v>1110.52</v>
      </c>
      <c r="EQ44" s="979">
        <f t="shared" si="575"/>
        <v>1178.0999999999999</v>
      </c>
      <c r="ER44" s="979">
        <f t="shared" si="575"/>
        <v>1187.8399999999999</v>
      </c>
      <c r="ES44" s="979">
        <f t="shared" ref="ES44:EZ44" si="576">ROUND((+ES35/$E$35*100),2)</f>
        <v>1199.8399999999999</v>
      </c>
      <c r="ET44" s="979">
        <f t="shared" si="576"/>
        <v>1204.26</v>
      </c>
      <c r="EU44" s="979">
        <f t="shared" si="576"/>
        <v>1206.8900000000001</v>
      </c>
      <c r="EV44" s="971">
        <f t="shared" si="576"/>
        <v>1207.3</v>
      </c>
      <c r="EW44" s="1007">
        <f t="shared" si="576"/>
        <v>1185.24</v>
      </c>
      <c r="EX44" s="979">
        <f t="shared" si="576"/>
        <v>1192.1600000000001</v>
      </c>
      <c r="EY44" s="974">
        <f t="shared" si="576"/>
        <v>1203.5899999999999</v>
      </c>
      <c r="EZ44" s="974">
        <f t="shared" si="576"/>
        <v>1293.1199999999999</v>
      </c>
      <c r="FA44" s="974">
        <f t="shared" ref="FA44:FG44" si="577">ROUND((+FA35/$E$35*100),2)</f>
        <v>1305.42</v>
      </c>
      <c r="FB44" s="974">
        <f t="shared" si="577"/>
        <v>1320.87</v>
      </c>
      <c r="FC44" s="974">
        <f t="shared" si="577"/>
        <v>1331.19</v>
      </c>
      <c r="FD44" s="974">
        <f t="shared" si="577"/>
        <v>1390</v>
      </c>
      <c r="FE44" s="974">
        <f t="shared" si="577"/>
        <v>1392.09</v>
      </c>
      <c r="FF44" s="979">
        <f t="shared" si="577"/>
        <v>1395.32</v>
      </c>
      <c r="FG44" s="971" t="e">
        <f t="shared" si="577"/>
        <v>#REF!</v>
      </c>
      <c r="FH44" s="971" t="e">
        <f t="shared" ref="FH44:FM44" si="578">ROUND((+FH35/$E$35*100),2)</f>
        <v>#REF!</v>
      </c>
      <c r="FI44" s="1938">
        <f t="shared" si="578"/>
        <v>100.02</v>
      </c>
      <c r="FJ44" s="2510">
        <f t="shared" si="578"/>
        <v>105.24</v>
      </c>
      <c r="FK44" s="971">
        <f t="shared" si="578"/>
        <v>105.82</v>
      </c>
      <c r="FL44" s="971">
        <f t="shared" si="578"/>
        <v>111.51</v>
      </c>
      <c r="FM44" s="971">
        <f t="shared" si="578"/>
        <v>115.53</v>
      </c>
      <c r="FN44" s="971">
        <f t="shared" ref="FN44:HB44" si="579">ROUND((+FN35/$E$35*100),2)</f>
        <v>118.76</v>
      </c>
      <c r="FO44" s="971">
        <f t="shared" si="579"/>
        <v>118.76</v>
      </c>
      <c r="FP44" s="971">
        <f t="shared" si="579"/>
        <v>118.76</v>
      </c>
      <c r="FQ44" s="971">
        <f t="shared" si="579"/>
        <v>119.03</v>
      </c>
      <c r="FR44" s="971">
        <f t="shared" si="579"/>
        <v>121.7</v>
      </c>
      <c r="FS44" s="971">
        <f t="shared" si="579"/>
        <v>122.54</v>
      </c>
      <c r="FT44" s="971">
        <f t="shared" si="579"/>
        <v>123.45</v>
      </c>
      <c r="FU44" s="971">
        <f t="shared" si="579"/>
        <v>125.85</v>
      </c>
      <c r="FV44" s="971">
        <f t="shared" si="579"/>
        <v>127.26</v>
      </c>
      <c r="FW44" s="971">
        <f t="shared" si="579"/>
        <v>127.4</v>
      </c>
      <c r="FX44" s="971">
        <f t="shared" si="579"/>
        <v>129.88999999999999</v>
      </c>
      <c r="FY44" s="971">
        <f t="shared" si="579"/>
        <v>129.88999999999999</v>
      </c>
      <c r="FZ44" s="971">
        <f t="shared" si="579"/>
        <v>130.63</v>
      </c>
      <c r="GA44" s="971">
        <f t="shared" si="579"/>
        <v>142.97999999999999</v>
      </c>
      <c r="GB44" s="971">
        <f t="shared" si="579"/>
        <v>143.85</v>
      </c>
      <c r="GC44" s="971">
        <f t="shared" si="579"/>
        <v>142.84</v>
      </c>
      <c r="GD44" s="971">
        <f t="shared" si="579"/>
        <v>145.5</v>
      </c>
      <c r="GE44" s="971">
        <f t="shared" si="579"/>
        <v>150.49</v>
      </c>
      <c r="GF44" s="971">
        <f t="shared" si="579"/>
        <v>156.26</v>
      </c>
      <c r="GG44" s="971">
        <f t="shared" si="579"/>
        <v>159.19</v>
      </c>
      <c r="GH44" s="971">
        <f t="shared" si="579"/>
        <v>169.92</v>
      </c>
      <c r="GI44" s="971">
        <f t="shared" si="579"/>
        <v>172.24</v>
      </c>
      <c r="GJ44" s="971">
        <f t="shared" si="579"/>
        <v>176.93</v>
      </c>
      <c r="GK44" s="971">
        <f t="shared" si="579"/>
        <v>191.63</v>
      </c>
      <c r="GL44" s="971">
        <f t="shared" si="579"/>
        <v>201.38</v>
      </c>
      <c r="GM44" s="971">
        <f t="shared" si="579"/>
        <v>208.63</v>
      </c>
      <c r="GN44" s="971">
        <f t="shared" si="579"/>
        <v>220.3</v>
      </c>
      <c r="GO44" s="971">
        <f t="shared" si="579"/>
        <v>266.36</v>
      </c>
      <c r="GP44" s="971">
        <f t="shared" si="579"/>
        <v>270.57</v>
      </c>
      <c r="GQ44" s="971">
        <f t="shared" si="579"/>
        <v>268.27999999999997</v>
      </c>
      <c r="GR44" s="971">
        <f t="shared" si="579"/>
        <v>281.08999999999997</v>
      </c>
      <c r="GS44" s="971">
        <f t="shared" si="579"/>
        <v>272.87</v>
      </c>
      <c r="GT44" s="971">
        <f t="shared" si="579"/>
        <v>291.99</v>
      </c>
      <c r="GU44" s="971">
        <f t="shared" si="579"/>
        <v>297.75</v>
      </c>
      <c r="GV44" s="971">
        <f t="shared" si="579"/>
        <v>316.43</v>
      </c>
      <c r="GW44" s="971">
        <f t="shared" si="579"/>
        <v>335.96</v>
      </c>
      <c r="GX44" s="971">
        <f t="shared" si="579"/>
        <v>330.53</v>
      </c>
      <c r="GY44" s="971">
        <f t="shared" si="579"/>
        <v>334.58</v>
      </c>
      <c r="GZ44" s="971">
        <f t="shared" si="579"/>
        <v>377.74</v>
      </c>
      <c r="HA44" s="971">
        <f t="shared" si="579"/>
        <v>392.41</v>
      </c>
      <c r="HB44" s="971">
        <f t="shared" si="579"/>
        <v>404.14</v>
      </c>
      <c r="HC44" s="971">
        <f t="shared" ref="HC44:HH44" si="580">ROUND((+HC35/$E$35*100),2)</f>
        <v>416.52</v>
      </c>
      <c r="HD44" s="971">
        <f t="shared" si="580"/>
        <v>427.54</v>
      </c>
      <c r="HE44" s="971">
        <f t="shared" si="580"/>
        <v>440.59</v>
      </c>
      <c r="HF44" s="1938">
        <f t="shared" si="580"/>
        <v>445.79</v>
      </c>
      <c r="HG44" s="965">
        <f t="shared" si="580"/>
        <v>451.35</v>
      </c>
      <c r="HH44" s="965">
        <f t="shared" si="580"/>
        <v>461.09</v>
      </c>
      <c r="HI44" s="965">
        <f t="shared" ref="HI44:HJ44" si="581">ROUND((+HI35/$E$35*100),2)</f>
        <v>466.93</v>
      </c>
      <c r="HJ44" s="965">
        <f t="shared" si="581"/>
        <v>476.47</v>
      </c>
      <c r="HK44" s="965">
        <f t="shared" ref="HK44:HL44" si="582">ROUND((+HK35/$E$35*100),2)</f>
        <v>485.41</v>
      </c>
      <c r="HL44" s="965">
        <f t="shared" si="582"/>
        <v>496.23</v>
      </c>
      <c r="HM44" s="965">
        <f t="shared" ref="HM44:HN44" si="583">ROUND((+HM35/$E$35*100),2)</f>
        <v>510.8</v>
      </c>
      <c r="HN44" s="965">
        <f t="shared" si="583"/>
        <v>529.35</v>
      </c>
      <c r="HO44" s="965">
        <f t="shared" ref="HO44:HP44" si="584">ROUND((+HO35/$E$35*100),2)</f>
        <v>556.29</v>
      </c>
      <c r="HP44" s="965">
        <f t="shared" si="584"/>
        <v>579.12</v>
      </c>
      <c r="HQ44" s="965">
        <f t="shared" ref="HQ44:HR44" si="585">ROUND((+HQ35/$E$35*100),2)</f>
        <v>595.71</v>
      </c>
      <c r="HR44" s="1882">
        <f t="shared" si="585"/>
        <v>630.64</v>
      </c>
      <c r="HS44" s="1882">
        <f t="shared" ref="HS44:HT44" si="586">ROUND((+HS35/$E$35*100),2)</f>
        <v>671.07</v>
      </c>
      <c r="HT44" s="1882">
        <f t="shared" si="586"/>
        <v>701.86</v>
      </c>
      <c r="HU44" s="1882">
        <f t="shared" ref="HU44:HV44" si="587">ROUND((+HU35/$E$35*100),2)</f>
        <v>732.55</v>
      </c>
      <c r="HV44" s="1882">
        <f t="shared" si="587"/>
        <v>735.24</v>
      </c>
      <c r="HW44" s="1882">
        <f t="shared" ref="HW44:HX44" si="588">ROUND((+HW35/$E$35*100),2)</f>
        <v>746.37</v>
      </c>
      <c r="HX44" s="1882">
        <f t="shared" si="588"/>
        <v>756.59</v>
      </c>
      <c r="HY44" s="1882">
        <f t="shared" ref="HY44:HZ44" si="589">ROUND((+HY35/$E$35*100),2)</f>
        <v>757.06</v>
      </c>
      <c r="HZ44" s="1880">
        <f t="shared" si="589"/>
        <v>766.67</v>
      </c>
      <c r="IA44" s="1880">
        <f t="shared" ref="IA44:IB44" si="590">ROUND((+IA35/$E$35*100),2)</f>
        <v>769.1</v>
      </c>
      <c r="IB44" s="1880">
        <f t="shared" si="590"/>
        <v>775.03</v>
      </c>
      <c r="IC44" s="975">
        <f t="shared" ref="IC44:ID44" si="591">ROUND((+IC35/$E$35*100),2)</f>
        <v>788.15</v>
      </c>
      <c r="ID44" s="963">
        <f t="shared" si="591"/>
        <v>829.73</v>
      </c>
      <c r="IE44" s="963">
        <f t="shared" ref="IE44:IF44" si="592">ROUND((+IE35/$E$35*100),2)</f>
        <v>886.85</v>
      </c>
      <c r="IF44" s="963">
        <f t="shared" si="592"/>
        <v>912.85</v>
      </c>
      <c r="IG44" s="963">
        <f t="shared" ref="IG44:IH44" si="593">ROUND((+IG35/$E$35*100),2)</f>
        <v>990.78</v>
      </c>
      <c r="IH44" s="963">
        <f t="shared" si="593"/>
        <v>1077.98</v>
      </c>
      <c r="II44" s="963">
        <f t="shared" ref="II44:IJ44" si="594">ROUND((+II35/$E$35*100),2)</f>
        <v>1119.42</v>
      </c>
      <c r="IJ44" s="963">
        <f t="shared" si="594"/>
        <v>1160.8</v>
      </c>
      <c r="IK44" s="963">
        <f t="shared" ref="IK44:IL44" si="595">ROUND((+IK35/$E$35*100),2)</f>
        <v>1213</v>
      </c>
      <c r="IL44" s="963">
        <f t="shared" si="595"/>
        <v>1298.95</v>
      </c>
      <c r="IM44" s="963">
        <f t="shared" ref="IM44:IN44" si="596">ROUND((+IM35/$E$35*100),2)</f>
        <v>1467.79</v>
      </c>
      <c r="IN44" s="1880">
        <f t="shared" si="596"/>
        <v>1570.5</v>
      </c>
      <c r="IO44" s="963">
        <f t="shared" ref="IO44:IP44" si="597">ROUND((+IO35/$E$35*100),2)</f>
        <v>1622.43</v>
      </c>
      <c r="IP44" s="963">
        <f t="shared" si="597"/>
        <v>1762.98</v>
      </c>
      <c r="IQ44" s="1037"/>
    </row>
    <row r="45" spans="2:261" ht="6.75" customHeight="1" thickBot="1">
      <c r="B45" s="990"/>
      <c r="C45" s="909"/>
      <c r="D45" s="909"/>
      <c r="E45" s="384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  <c r="AP45" s="436"/>
      <c r="AQ45" s="436"/>
      <c r="AR45" s="436"/>
      <c r="AS45" s="436"/>
      <c r="AT45" s="436"/>
      <c r="AU45" s="436"/>
      <c r="AV45" s="436"/>
      <c r="AW45" s="436"/>
      <c r="AX45" s="436"/>
      <c r="AY45" s="436"/>
      <c r="AZ45" s="436"/>
      <c r="BA45" s="436"/>
      <c r="BB45" s="436"/>
      <c r="BC45" s="436"/>
      <c r="BD45" s="436"/>
      <c r="BE45" s="436"/>
      <c r="BF45" s="436"/>
      <c r="BG45" s="436"/>
      <c r="BH45" s="436"/>
      <c r="BI45" s="436"/>
      <c r="BJ45" s="436"/>
      <c r="BK45" s="436"/>
      <c r="BL45" s="436"/>
      <c r="BM45" s="436"/>
      <c r="BN45" s="436"/>
      <c r="BO45" s="436"/>
      <c r="BP45" s="436"/>
      <c r="BQ45" s="369"/>
      <c r="BR45" s="436"/>
      <c r="BS45" s="436"/>
      <c r="BT45" s="436"/>
      <c r="BU45" s="436"/>
      <c r="BV45" s="436"/>
      <c r="BW45" s="436"/>
      <c r="BX45" s="436"/>
      <c r="BY45" s="436"/>
      <c r="BZ45" s="436"/>
      <c r="CA45" s="436"/>
      <c r="CB45" s="485"/>
      <c r="CC45" s="369"/>
      <c r="CD45" s="436"/>
      <c r="CE45" s="436"/>
      <c r="CF45" s="436"/>
      <c r="CG45" s="436"/>
      <c r="CH45" s="436"/>
      <c r="CI45" s="436"/>
      <c r="CJ45" s="436"/>
      <c r="CK45" s="436"/>
      <c r="CL45" s="436"/>
      <c r="CM45" s="436"/>
      <c r="CN45" s="436"/>
      <c r="CO45" s="373"/>
      <c r="CP45" s="380"/>
      <c r="CQ45" s="380"/>
      <c r="CR45" s="380"/>
      <c r="CS45" s="380"/>
      <c r="CT45" s="380"/>
      <c r="CU45" s="380"/>
      <c r="CV45" s="380"/>
      <c r="CW45" s="1463"/>
      <c r="CX45" s="380"/>
      <c r="CY45" s="381"/>
      <c r="CZ45" s="381"/>
      <c r="DA45" s="369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539"/>
      <c r="DM45" s="381"/>
      <c r="DN45" s="381"/>
      <c r="DO45" s="381"/>
      <c r="DP45" s="381"/>
      <c r="DQ45" s="381"/>
      <c r="DR45" s="381"/>
      <c r="DS45" s="370"/>
      <c r="DT45" s="370"/>
      <c r="DU45" s="370"/>
      <c r="DV45" s="282"/>
      <c r="DW45" s="402"/>
      <c r="DX45" s="282"/>
      <c r="DY45" s="402"/>
      <c r="DZ45" s="370"/>
      <c r="EA45" s="381"/>
      <c r="EB45" s="381"/>
      <c r="EC45" s="381"/>
      <c r="ED45" s="381"/>
      <c r="EE45" s="381"/>
      <c r="EF45" s="381"/>
      <c r="EG45" s="381"/>
      <c r="EH45" s="381"/>
      <c r="EI45" s="381"/>
      <c r="EJ45" s="539"/>
      <c r="EK45" s="381"/>
      <c r="EL45" s="381"/>
      <c r="EM45" s="381"/>
      <c r="EN45" s="445"/>
      <c r="EO45" s="445"/>
      <c r="EP45" s="445"/>
      <c r="EQ45" s="445"/>
      <c r="ER45" s="445"/>
      <c r="ES45" s="445"/>
      <c r="ET45" s="445"/>
      <c r="EU45" s="445"/>
      <c r="EV45" s="1034"/>
      <c r="EW45" s="425"/>
      <c r="EX45" s="445"/>
      <c r="EY45" s="969"/>
      <c r="EZ45" s="969"/>
      <c r="FA45" s="969"/>
      <c r="FB45" s="969"/>
      <c r="FC45" s="969"/>
      <c r="FD45" s="969"/>
      <c r="FE45" s="969"/>
      <c r="FF45" s="445"/>
      <c r="FG45" s="1034"/>
      <c r="FH45" s="1034"/>
      <c r="FI45" s="2516"/>
      <c r="FJ45" s="361"/>
      <c r="FK45" s="1034"/>
      <c r="FL45" s="1034"/>
      <c r="FM45" s="1034"/>
      <c r="FN45" s="1034"/>
      <c r="FO45" s="1034"/>
      <c r="FP45" s="1034"/>
      <c r="FQ45" s="1034"/>
      <c r="FR45" s="1034"/>
      <c r="FS45" s="1034"/>
      <c r="FT45" s="1034"/>
      <c r="FU45" s="1034"/>
      <c r="FV45" s="1034"/>
      <c r="FW45" s="1034"/>
      <c r="FX45" s="1034"/>
      <c r="FY45" s="1034"/>
      <c r="FZ45" s="1034"/>
      <c r="GA45" s="1034"/>
      <c r="GB45" s="1034"/>
      <c r="GC45" s="1034"/>
      <c r="GD45" s="1034"/>
      <c r="GE45" s="1034"/>
      <c r="GF45" s="1034"/>
      <c r="GG45" s="1034"/>
      <c r="GH45" s="1034"/>
      <c r="GI45" s="1034"/>
      <c r="GJ45" s="1034"/>
      <c r="GK45" s="1034"/>
      <c r="GL45" s="1034"/>
      <c r="GM45" s="1034"/>
      <c r="GN45" s="1034"/>
      <c r="GO45" s="1034"/>
      <c r="GP45" s="1034"/>
      <c r="GQ45" s="1034"/>
      <c r="GR45" s="1034"/>
      <c r="GS45" s="1034"/>
      <c r="GT45" s="1034"/>
      <c r="GU45" s="1034"/>
      <c r="GV45" s="1034"/>
      <c r="GW45" s="1034"/>
      <c r="GX45" s="1034"/>
      <c r="GY45" s="1034"/>
      <c r="GZ45" s="1034"/>
      <c r="HA45" s="1034"/>
      <c r="HB45" s="1034"/>
      <c r="HC45" s="1034"/>
      <c r="HD45" s="1034"/>
      <c r="HE45" s="1034"/>
      <c r="HF45" s="1946"/>
      <c r="HG45" s="1822"/>
      <c r="HH45" s="1822"/>
      <c r="HI45" s="1822"/>
      <c r="HJ45" s="1822"/>
      <c r="HK45" s="1822"/>
      <c r="HL45" s="1822"/>
      <c r="HM45" s="1822"/>
      <c r="HN45" s="1822"/>
      <c r="HO45" s="1822"/>
      <c r="HP45" s="1822"/>
      <c r="HQ45" s="1822"/>
      <c r="HR45" s="1949"/>
      <c r="HS45" s="1969"/>
      <c r="HT45" s="540"/>
      <c r="HU45" s="1969"/>
      <c r="HV45" s="1969"/>
      <c r="HW45" s="1969"/>
      <c r="HX45" s="1969"/>
      <c r="HY45" s="1969"/>
      <c r="HZ45" s="1969"/>
      <c r="IA45" s="1969"/>
      <c r="IB45" s="1969"/>
      <c r="IC45" s="2498"/>
      <c r="ID45" s="1991"/>
      <c r="IE45" s="1991"/>
      <c r="IF45" s="1991"/>
      <c r="IG45" s="1991"/>
      <c r="IH45" s="1991"/>
      <c r="II45" s="1991"/>
      <c r="IJ45" s="1991"/>
      <c r="IK45" s="1991"/>
      <c r="IL45" s="1991"/>
      <c r="IM45" s="1991"/>
      <c r="IN45" s="1969"/>
      <c r="IO45" s="1991"/>
      <c r="IP45" s="1991"/>
    </row>
    <row r="46" spans="2:261" ht="16.5" thickBot="1">
      <c r="B46" s="1458" t="s">
        <v>822</v>
      </c>
      <c r="C46" s="1459"/>
      <c r="D46" s="1460"/>
      <c r="E46" s="136">
        <f>ROUND(+SUM(E38:E44)/7,2)</f>
        <v>100</v>
      </c>
      <c r="F46" s="385">
        <f>ROUND(+SUM(F38:F44)/7,2)</f>
        <v>264.5</v>
      </c>
      <c r="G46" s="135">
        <f>ROUND(+SUM(G38:G44)/7,2)</f>
        <v>270.2</v>
      </c>
      <c r="H46" s="136">
        <f>ROUND(+SUM(H38:H44)/7,2)</f>
        <v>268.2</v>
      </c>
      <c r="I46" s="135">
        <f t="shared" ref="I46:P46" si="598">ROUND(+SUM(I38:I44)/7,2)</f>
        <v>269.62</v>
      </c>
      <c r="J46" s="135">
        <f t="shared" si="598"/>
        <v>268.14999999999998</v>
      </c>
      <c r="K46" s="135">
        <f t="shared" si="598"/>
        <v>261.60000000000002</v>
      </c>
      <c r="L46" s="135">
        <f t="shared" si="598"/>
        <v>255.96</v>
      </c>
      <c r="M46" s="135">
        <f t="shared" si="598"/>
        <v>253.3</v>
      </c>
      <c r="N46" s="135">
        <f t="shared" si="598"/>
        <v>250.95</v>
      </c>
      <c r="O46" s="135">
        <f t="shared" si="598"/>
        <v>248.39</v>
      </c>
      <c r="P46" s="135">
        <f t="shared" si="598"/>
        <v>252.38</v>
      </c>
      <c r="Q46" s="135">
        <f t="shared" ref="Q46:V46" si="599">ROUND(+SUM(Q38:Q44)/7,2)</f>
        <v>253.44</v>
      </c>
      <c r="R46" s="135">
        <f t="shared" si="599"/>
        <v>252.68</v>
      </c>
      <c r="S46" s="135">
        <f t="shared" si="599"/>
        <v>254.25</v>
      </c>
      <c r="T46" s="136">
        <f t="shared" si="599"/>
        <v>257.76</v>
      </c>
      <c r="U46" s="349">
        <f t="shared" si="599"/>
        <v>259.33999999999997</v>
      </c>
      <c r="V46" s="135">
        <f t="shared" si="599"/>
        <v>260.86</v>
      </c>
      <c r="W46" s="135">
        <f t="shared" ref="W46:AB46" si="600">ROUND(+SUM(W38:W44)/7,2)</f>
        <v>260.54000000000002</v>
      </c>
      <c r="X46" s="135">
        <f t="shared" si="600"/>
        <v>258.39</v>
      </c>
      <c r="Y46" s="136">
        <f t="shared" si="600"/>
        <v>261.72000000000003</v>
      </c>
      <c r="Z46" s="136">
        <f t="shared" si="600"/>
        <v>263.45999999999998</v>
      </c>
      <c r="AA46" s="136">
        <f t="shared" si="600"/>
        <v>263.29000000000002</v>
      </c>
      <c r="AB46" s="136">
        <f t="shared" si="600"/>
        <v>270.10000000000002</v>
      </c>
      <c r="AC46" s="136">
        <f t="shared" ref="AC46:AH46" si="601">ROUND(+SUM(AC38:AC44)/7,2)</f>
        <v>269.45999999999998</v>
      </c>
      <c r="AD46" s="136">
        <f t="shared" si="601"/>
        <v>269.2</v>
      </c>
      <c r="AE46" s="136">
        <f t="shared" si="601"/>
        <v>269.29000000000002</v>
      </c>
      <c r="AF46" s="136">
        <f t="shared" si="601"/>
        <v>270.33</v>
      </c>
      <c r="AG46" s="385">
        <f t="shared" si="601"/>
        <v>272.48</v>
      </c>
      <c r="AH46" s="386">
        <f t="shared" si="601"/>
        <v>271.48</v>
      </c>
      <c r="AI46" s="387">
        <f t="shared" ref="AI46:AN46" si="602">ROUND(+SUM(AI38:AI44)/7,2)</f>
        <v>285.87</v>
      </c>
      <c r="AJ46" s="387">
        <f t="shared" si="602"/>
        <v>288.04000000000002</v>
      </c>
      <c r="AK46" s="387">
        <f t="shared" si="602"/>
        <v>287.73</v>
      </c>
      <c r="AL46" s="387">
        <f t="shared" si="602"/>
        <v>285.89999999999998</v>
      </c>
      <c r="AM46" s="387">
        <f t="shared" si="602"/>
        <v>285.56</v>
      </c>
      <c r="AN46" s="387">
        <f t="shared" si="602"/>
        <v>286.01</v>
      </c>
      <c r="AO46" s="388">
        <f t="shared" ref="AO46:AT46" si="603">ROUND(+SUM(AO38:AO44)/7,2)</f>
        <v>286.60000000000002</v>
      </c>
      <c r="AP46" s="388">
        <f t="shared" si="603"/>
        <v>287.92</v>
      </c>
      <c r="AQ46" s="387">
        <f t="shared" si="603"/>
        <v>297.36</v>
      </c>
      <c r="AR46" s="387">
        <f t="shared" si="603"/>
        <v>298.60000000000002</v>
      </c>
      <c r="AS46" s="388">
        <f t="shared" si="603"/>
        <v>302.60000000000002</v>
      </c>
      <c r="AT46" s="386">
        <f t="shared" si="603"/>
        <v>303.31</v>
      </c>
      <c r="AU46" s="387">
        <f t="shared" ref="AU46:AZ46" si="604">ROUND(+SUM(AU38:AU44)/7,2)</f>
        <v>307.14999999999998</v>
      </c>
      <c r="AV46" s="387">
        <f t="shared" si="604"/>
        <v>304.3</v>
      </c>
      <c r="AW46" s="387">
        <f t="shared" si="604"/>
        <v>309.47000000000003</v>
      </c>
      <c r="AX46" s="387">
        <f t="shared" si="604"/>
        <v>309.66000000000003</v>
      </c>
      <c r="AY46" s="387">
        <f t="shared" si="604"/>
        <v>312.61</v>
      </c>
      <c r="AZ46" s="387">
        <f t="shared" si="604"/>
        <v>314.37</v>
      </c>
      <c r="BA46" s="387">
        <f t="shared" ref="BA46:BF46" si="605">ROUND(+SUM(BA38:BA44)/7,2)</f>
        <v>300.58</v>
      </c>
      <c r="BB46" s="387">
        <f t="shared" si="605"/>
        <v>320.26</v>
      </c>
      <c r="BC46" s="387">
        <f t="shared" si="605"/>
        <v>318.18</v>
      </c>
      <c r="BD46" s="387">
        <f t="shared" si="605"/>
        <v>318.32</v>
      </c>
      <c r="BE46" s="385">
        <f t="shared" si="605"/>
        <v>324.14999999999998</v>
      </c>
      <c r="BF46" s="387">
        <f t="shared" si="605"/>
        <v>325.49</v>
      </c>
      <c r="BG46" s="387">
        <f t="shared" ref="BG46:BL46" si="606">ROUND(+SUM(BG38:BG44)/7,2)</f>
        <v>324.68</v>
      </c>
      <c r="BH46" s="387">
        <f t="shared" si="606"/>
        <v>324.97000000000003</v>
      </c>
      <c r="BI46" s="387">
        <f t="shared" si="606"/>
        <v>335.3</v>
      </c>
      <c r="BJ46" s="387">
        <f t="shared" si="606"/>
        <v>336.32</v>
      </c>
      <c r="BK46" s="387">
        <f t="shared" si="606"/>
        <v>344.15</v>
      </c>
      <c r="BL46" s="387">
        <f t="shared" si="606"/>
        <v>344.41</v>
      </c>
      <c r="BM46" s="387">
        <f t="shared" ref="BM46:BR46" si="607">ROUND(+SUM(BM38:BM44)/7,2)</f>
        <v>345.08</v>
      </c>
      <c r="BN46" s="387">
        <f t="shared" si="607"/>
        <v>346.47</v>
      </c>
      <c r="BO46" s="337">
        <f t="shared" si="607"/>
        <v>347.16</v>
      </c>
      <c r="BP46" s="386">
        <f t="shared" si="607"/>
        <v>360.91</v>
      </c>
      <c r="BQ46" s="135">
        <f t="shared" si="607"/>
        <v>347.6</v>
      </c>
      <c r="BR46" s="337">
        <f t="shared" si="607"/>
        <v>340.31</v>
      </c>
      <c r="BS46" s="337">
        <f t="shared" ref="BS46:BX46" si="608">ROUND(+SUM(BS38:BS44)/7,2)</f>
        <v>341.61</v>
      </c>
      <c r="BT46" s="337">
        <f t="shared" si="608"/>
        <v>354.36</v>
      </c>
      <c r="BU46" s="337">
        <f t="shared" si="608"/>
        <v>361.54</v>
      </c>
      <c r="BV46" s="337">
        <f t="shared" si="608"/>
        <v>361.76</v>
      </c>
      <c r="BW46" s="337">
        <f t="shared" si="608"/>
        <v>369.83</v>
      </c>
      <c r="BX46" s="337">
        <f t="shared" si="608"/>
        <v>367.5</v>
      </c>
      <c r="BY46" s="337">
        <f t="shared" ref="BY46:CD46" si="609">ROUND(+SUM(BY38:BY44)/7,2)</f>
        <v>370.89</v>
      </c>
      <c r="BZ46" s="337">
        <f t="shared" si="609"/>
        <v>375.66</v>
      </c>
      <c r="CA46" s="337">
        <f t="shared" si="609"/>
        <v>377.66</v>
      </c>
      <c r="CB46" s="338">
        <f t="shared" si="609"/>
        <v>380.75</v>
      </c>
      <c r="CC46" s="135">
        <f t="shared" si="609"/>
        <v>383.74</v>
      </c>
      <c r="CD46" s="337">
        <f t="shared" si="609"/>
        <v>388.72</v>
      </c>
      <c r="CE46" s="337">
        <f t="shared" ref="CE46:CJ46" si="610">ROUND(+SUM(CE38:CE44)/7,2)</f>
        <v>395.09</v>
      </c>
      <c r="CF46" s="337">
        <f t="shared" si="610"/>
        <v>404.22</v>
      </c>
      <c r="CG46" s="337">
        <f t="shared" si="610"/>
        <v>414.57</v>
      </c>
      <c r="CH46" s="337">
        <f t="shared" si="610"/>
        <v>426.34</v>
      </c>
      <c r="CI46" s="337">
        <f t="shared" si="610"/>
        <v>435.21</v>
      </c>
      <c r="CJ46" s="339">
        <f t="shared" si="610"/>
        <v>437.61</v>
      </c>
      <c r="CK46" s="339">
        <f t="shared" ref="CK46:CP46" si="611">ROUND(+SUM(CK38:CK44)/7,2)</f>
        <v>438.85</v>
      </c>
      <c r="CL46" s="339">
        <f t="shared" si="611"/>
        <v>452.12</v>
      </c>
      <c r="CM46" s="338">
        <f t="shared" si="611"/>
        <v>452.72</v>
      </c>
      <c r="CN46" s="338">
        <f t="shared" si="611"/>
        <v>453.58</v>
      </c>
      <c r="CO46" s="135">
        <f t="shared" si="611"/>
        <v>454.21</v>
      </c>
      <c r="CP46" s="337">
        <f t="shared" si="611"/>
        <v>455.86</v>
      </c>
      <c r="CQ46" s="337">
        <f t="shared" ref="CQ46:CV46" si="612">ROUND(+SUM(CQ38:CQ44)/7,2)</f>
        <v>464.22</v>
      </c>
      <c r="CR46" s="337">
        <f t="shared" si="612"/>
        <v>470.98</v>
      </c>
      <c r="CS46" s="337">
        <f t="shared" si="612"/>
        <v>488.97</v>
      </c>
      <c r="CT46" s="337">
        <f t="shared" si="612"/>
        <v>496.14</v>
      </c>
      <c r="CU46" s="337">
        <f t="shared" si="612"/>
        <v>501.36</v>
      </c>
      <c r="CV46" s="337">
        <f t="shared" si="612"/>
        <v>514.01</v>
      </c>
      <c r="CW46" s="1126">
        <f t="shared" ref="CW46:DB46" si="613">ROUND(+SUM(CW38:CW44)/7,2)</f>
        <v>518.32000000000005</v>
      </c>
      <c r="CX46" s="337">
        <f t="shared" si="613"/>
        <v>520.65</v>
      </c>
      <c r="CY46" s="339">
        <f t="shared" si="613"/>
        <v>522.4</v>
      </c>
      <c r="CZ46" s="339">
        <f t="shared" si="613"/>
        <v>539.07000000000005</v>
      </c>
      <c r="DA46" s="813">
        <f t="shared" si="613"/>
        <v>549.11</v>
      </c>
      <c r="DB46" s="339">
        <f t="shared" si="613"/>
        <v>550.63</v>
      </c>
      <c r="DC46" s="339">
        <f t="shared" ref="DC46:DH46" si="614">ROUND(+SUM(DC38:DC44)/7,2)</f>
        <v>552.38</v>
      </c>
      <c r="DD46" s="339">
        <f t="shared" si="614"/>
        <v>585.30999999999995</v>
      </c>
      <c r="DE46" s="339">
        <f t="shared" si="614"/>
        <v>589.73</v>
      </c>
      <c r="DF46" s="339">
        <f t="shared" si="614"/>
        <v>593.15</v>
      </c>
      <c r="DG46" s="339">
        <f t="shared" si="614"/>
        <v>599.66999999999996</v>
      </c>
      <c r="DH46" s="339">
        <f t="shared" si="614"/>
        <v>614.61</v>
      </c>
      <c r="DI46" s="339">
        <f t="shared" ref="DI46:DO46" si="615">ROUND(+SUM(DI38:DI44)/7,2)</f>
        <v>618.11</v>
      </c>
      <c r="DJ46" s="339">
        <f t="shared" si="615"/>
        <v>620.83000000000004</v>
      </c>
      <c r="DK46" s="339">
        <f t="shared" si="615"/>
        <v>632.33000000000004</v>
      </c>
      <c r="DL46" s="338">
        <f t="shared" si="615"/>
        <v>636.49</v>
      </c>
      <c r="DM46" s="339">
        <f t="shared" si="615"/>
        <v>648.14</v>
      </c>
      <c r="DN46" s="339">
        <f t="shared" si="615"/>
        <v>649.97</v>
      </c>
      <c r="DO46" s="339">
        <f t="shared" si="615"/>
        <v>656.73</v>
      </c>
      <c r="DP46" s="339">
        <f t="shared" ref="DP46:DU46" si="616">ROUND(+SUM(DP38:DP44)/7,2)</f>
        <v>659.8</v>
      </c>
      <c r="DQ46" s="339">
        <f t="shared" si="616"/>
        <v>667.12</v>
      </c>
      <c r="DR46" s="339">
        <f t="shared" si="616"/>
        <v>726.92</v>
      </c>
      <c r="DS46" s="339">
        <f t="shared" si="616"/>
        <v>737.74</v>
      </c>
      <c r="DT46" s="339">
        <f t="shared" si="616"/>
        <v>740.71</v>
      </c>
      <c r="DU46" s="339">
        <f t="shared" si="616"/>
        <v>742.46</v>
      </c>
      <c r="DV46" s="337">
        <f t="shared" ref="DV46:EB46" si="617">ROUND(+SUM(DV38:DV44)/7,2)</f>
        <v>743.4</v>
      </c>
      <c r="DW46" s="386">
        <f t="shared" si="617"/>
        <v>748.09</v>
      </c>
      <c r="DX46" s="337">
        <f t="shared" si="617"/>
        <v>749.32</v>
      </c>
      <c r="DY46" s="386">
        <f t="shared" si="617"/>
        <v>753.89</v>
      </c>
      <c r="DZ46" s="339">
        <f t="shared" si="617"/>
        <v>758.15</v>
      </c>
      <c r="EA46" s="339">
        <f t="shared" si="617"/>
        <v>766.56</v>
      </c>
      <c r="EB46" s="339">
        <f t="shared" si="617"/>
        <v>775.76</v>
      </c>
      <c r="EC46" s="339">
        <f t="shared" ref="EC46:ER46" si="618">ROUND(+SUM(EC38:EC44)/7,2)</f>
        <v>782.84</v>
      </c>
      <c r="ED46" s="339">
        <f t="shared" si="618"/>
        <v>836.6</v>
      </c>
      <c r="EE46" s="339">
        <f t="shared" si="618"/>
        <v>840.89</v>
      </c>
      <c r="EF46" s="339">
        <f t="shared" si="618"/>
        <v>844.91</v>
      </c>
      <c r="EG46" s="339">
        <f t="shared" si="618"/>
        <v>865.67</v>
      </c>
      <c r="EH46" s="339">
        <f t="shared" si="618"/>
        <v>866.48</v>
      </c>
      <c r="EI46" s="339">
        <f t="shared" si="618"/>
        <v>869.37</v>
      </c>
      <c r="EJ46" s="338">
        <f t="shared" si="618"/>
        <v>876.81</v>
      </c>
      <c r="EK46" s="339">
        <f t="shared" si="618"/>
        <v>896.4</v>
      </c>
      <c r="EL46" s="339">
        <f t="shared" si="618"/>
        <v>919.48</v>
      </c>
      <c r="EM46" s="339">
        <f t="shared" si="618"/>
        <v>942.91</v>
      </c>
      <c r="EN46" s="339">
        <f t="shared" si="618"/>
        <v>1033.31</v>
      </c>
      <c r="EO46" s="339">
        <f t="shared" si="618"/>
        <v>1038.48</v>
      </c>
      <c r="EP46" s="339">
        <f t="shared" si="618"/>
        <v>1043.0999999999999</v>
      </c>
      <c r="EQ46" s="339">
        <f t="shared" si="618"/>
        <v>1103.46</v>
      </c>
      <c r="ER46" s="339">
        <f t="shared" si="618"/>
        <v>1114.02</v>
      </c>
      <c r="ES46" s="339">
        <f t="shared" ref="ES46:EZ46" si="619">ROUND(+SUM(ES38:ES44)/7,2)</f>
        <v>1125.1400000000001</v>
      </c>
      <c r="ET46" s="339">
        <f t="shared" si="619"/>
        <v>1129.67</v>
      </c>
      <c r="EU46" s="339">
        <f t="shared" si="619"/>
        <v>1132.75</v>
      </c>
      <c r="EV46" s="338">
        <f t="shared" si="619"/>
        <v>1133.22</v>
      </c>
      <c r="EW46" s="813">
        <f t="shared" si="619"/>
        <v>1114.48</v>
      </c>
      <c r="EX46" s="339">
        <f t="shared" si="619"/>
        <v>1120.74</v>
      </c>
      <c r="EY46" s="337">
        <f t="shared" si="619"/>
        <v>1132.23</v>
      </c>
      <c r="EZ46" s="337">
        <f t="shared" si="619"/>
        <v>1215.6300000000001</v>
      </c>
      <c r="FA46" s="337">
        <f t="shared" ref="FA46:FG46" si="620">ROUND(+SUM(FA38:FA44)/7,2)</f>
        <v>1227.72</v>
      </c>
      <c r="FB46" s="337">
        <f t="shared" si="620"/>
        <v>1242.6500000000001</v>
      </c>
      <c r="FC46" s="337">
        <f t="shared" si="620"/>
        <v>1252.9100000000001</v>
      </c>
      <c r="FD46" s="337">
        <f t="shared" si="620"/>
        <v>1307.32</v>
      </c>
      <c r="FE46" s="337">
        <f t="shared" si="620"/>
        <v>1309.47</v>
      </c>
      <c r="FF46" s="339">
        <f t="shared" si="620"/>
        <v>1313.27</v>
      </c>
      <c r="FG46" s="338" t="e">
        <f t="shared" si="620"/>
        <v>#REF!</v>
      </c>
      <c r="FH46" s="338" t="e">
        <f t="shared" ref="FH46:FM46" si="621">ROUND(+SUM(FH38:FH44)/7,2)</f>
        <v>#REF!</v>
      </c>
      <c r="FI46" s="338">
        <f t="shared" si="621"/>
        <v>100</v>
      </c>
      <c r="FJ46" s="338">
        <f t="shared" si="621"/>
        <v>106.18</v>
      </c>
      <c r="FK46" s="338">
        <f t="shared" si="621"/>
        <v>105.99</v>
      </c>
      <c r="FL46" s="338">
        <f t="shared" si="621"/>
        <v>110.92</v>
      </c>
      <c r="FM46" s="338">
        <f t="shared" si="621"/>
        <v>114.14</v>
      </c>
      <c r="FN46" s="338">
        <f t="shared" ref="FN46:HB46" si="622">ROUND(+SUM(FN38:FN44)/7,2)</f>
        <v>117.94</v>
      </c>
      <c r="FO46" s="338">
        <f t="shared" si="622"/>
        <v>117.94</v>
      </c>
      <c r="FP46" s="338">
        <f t="shared" si="622"/>
        <v>117.94</v>
      </c>
      <c r="FQ46" s="338">
        <f t="shared" si="622"/>
        <v>118.26</v>
      </c>
      <c r="FR46" s="338">
        <f t="shared" si="622"/>
        <v>120.9</v>
      </c>
      <c r="FS46" s="338">
        <f t="shared" si="622"/>
        <v>121.9</v>
      </c>
      <c r="FT46" s="338">
        <f t="shared" si="622"/>
        <v>122.95</v>
      </c>
      <c r="FU46" s="338">
        <f t="shared" si="622"/>
        <v>125.1</v>
      </c>
      <c r="FV46" s="338">
        <f t="shared" si="622"/>
        <v>125.89</v>
      </c>
      <c r="FW46" s="338">
        <f t="shared" si="622"/>
        <v>126.03</v>
      </c>
      <c r="FX46" s="338">
        <f t="shared" si="622"/>
        <v>128.36000000000001</v>
      </c>
      <c r="FY46" s="338">
        <f t="shared" si="622"/>
        <v>128.82</v>
      </c>
      <c r="FZ46" s="338">
        <f t="shared" si="622"/>
        <v>129.72</v>
      </c>
      <c r="GA46" s="338">
        <f t="shared" si="622"/>
        <v>142.53</v>
      </c>
      <c r="GB46" s="338">
        <f t="shared" si="622"/>
        <v>143.56</v>
      </c>
      <c r="GC46" s="338">
        <f t="shared" si="622"/>
        <v>142.38</v>
      </c>
      <c r="GD46" s="338">
        <f t="shared" si="622"/>
        <v>144.94</v>
      </c>
      <c r="GE46" s="338">
        <f t="shared" si="622"/>
        <v>149.62</v>
      </c>
      <c r="GF46" s="338">
        <f t="shared" si="622"/>
        <v>155.16</v>
      </c>
      <c r="GG46" s="338">
        <f t="shared" si="622"/>
        <v>158.63</v>
      </c>
      <c r="GH46" s="338">
        <f t="shared" si="622"/>
        <v>168.53</v>
      </c>
      <c r="GI46" s="338">
        <f t="shared" si="622"/>
        <v>171.16</v>
      </c>
      <c r="GJ46" s="338">
        <f t="shared" si="622"/>
        <v>175.35</v>
      </c>
      <c r="GK46" s="338">
        <f t="shared" si="622"/>
        <v>192.67</v>
      </c>
      <c r="GL46" s="338">
        <f t="shared" si="622"/>
        <v>204.4</v>
      </c>
      <c r="GM46" s="338">
        <f t="shared" si="622"/>
        <v>210.42</v>
      </c>
      <c r="GN46" s="338">
        <f t="shared" si="622"/>
        <v>222</v>
      </c>
      <c r="GO46" s="338">
        <f t="shared" si="622"/>
        <v>272.23</v>
      </c>
      <c r="GP46" s="338">
        <f t="shared" si="622"/>
        <v>273.98</v>
      </c>
      <c r="GQ46" s="338">
        <f t="shared" si="622"/>
        <v>269.87</v>
      </c>
      <c r="GR46" s="338">
        <f t="shared" si="622"/>
        <v>283.86</v>
      </c>
      <c r="GS46" s="338">
        <f t="shared" si="622"/>
        <v>275.3</v>
      </c>
      <c r="GT46" s="338">
        <f t="shared" si="622"/>
        <v>294.68</v>
      </c>
      <c r="GU46" s="338">
        <f t="shared" si="622"/>
        <v>300.95999999999998</v>
      </c>
      <c r="GV46" s="338">
        <f t="shared" si="622"/>
        <v>320.02999999999997</v>
      </c>
      <c r="GW46" s="338">
        <f t="shared" si="622"/>
        <v>340.59</v>
      </c>
      <c r="GX46" s="338">
        <f t="shared" si="622"/>
        <v>333.59</v>
      </c>
      <c r="GY46" s="338">
        <f t="shared" si="622"/>
        <v>337.06</v>
      </c>
      <c r="GZ46" s="338">
        <f t="shared" si="622"/>
        <v>387.46</v>
      </c>
      <c r="HA46" s="338">
        <f t="shared" si="622"/>
        <v>402.86</v>
      </c>
      <c r="HB46" s="338">
        <f t="shared" si="622"/>
        <v>415.73</v>
      </c>
      <c r="HC46" s="338">
        <f t="shared" ref="HC46:HH46" si="623">ROUND(+SUM(HC38:HC44)/7,2)</f>
        <v>424.54</v>
      </c>
      <c r="HD46" s="338">
        <f t="shared" si="623"/>
        <v>434.12</v>
      </c>
      <c r="HE46" s="338">
        <f t="shared" si="623"/>
        <v>448.6</v>
      </c>
      <c r="HF46" s="1947">
        <f t="shared" si="623"/>
        <v>454.1</v>
      </c>
      <c r="HG46" s="388">
        <f t="shared" si="623"/>
        <v>460.69</v>
      </c>
      <c r="HH46" s="388">
        <f t="shared" si="623"/>
        <v>472.17</v>
      </c>
      <c r="HI46" s="388">
        <f t="shared" ref="HI46:HJ46" si="624">ROUND(+SUM(HI38:HI44)/7,2)</f>
        <v>478.99</v>
      </c>
      <c r="HJ46" s="388">
        <f t="shared" si="624"/>
        <v>490.28</v>
      </c>
      <c r="HK46" s="388">
        <f t="shared" ref="HK46:HL46" si="625">ROUND(+SUM(HK38:HK44)/7,2)</f>
        <v>500.82</v>
      </c>
      <c r="HL46" s="388">
        <f t="shared" si="625"/>
        <v>511.98</v>
      </c>
      <c r="HM46" s="388">
        <f t="shared" ref="HM46:HN46" si="626">ROUND(+SUM(HM38:HM44)/7,2)</f>
        <v>526.64</v>
      </c>
      <c r="HN46" s="388">
        <f t="shared" si="626"/>
        <v>546.26</v>
      </c>
      <c r="HO46" s="388">
        <f t="shared" ref="HO46:HP46" si="627">ROUND(+SUM(HO38:HO44)/7,2)</f>
        <v>573.30999999999995</v>
      </c>
      <c r="HP46" s="388">
        <f t="shared" si="627"/>
        <v>595.94000000000005</v>
      </c>
      <c r="HQ46" s="388">
        <f t="shared" ref="HQ46:HR46" si="628">ROUND(+SUM(HQ38:HQ44)/7,2)</f>
        <v>613.09</v>
      </c>
      <c r="HR46" s="782">
        <f t="shared" si="628"/>
        <v>646.16</v>
      </c>
      <c r="HS46" s="782">
        <f t="shared" ref="HS46:HT46" si="629">ROUND(+SUM(HS38:HS44)/7,2)</f>
        <v>684.09</v>
      </c>
      <c r="HT46" s="782">
        <f t="shared" si="629"/>
        <v>712.49</v>
      </c>
      <c r="HU46" s="782">
        <f t="shared" ref="HU46:HV46" si="630">ROUND(+SUM(HU38:HU44)/7,2)</f>
        <v>740.68</v>
      </c>
      <c r="HV46" s="782">
        <f t="shared" si="630"/>
        <v>743.77</v>
      </c>
      <c r="HW46" s="782">
        <f t="shared" ref="HW46:HX46" si="631">ROUND(+SUM(HW38:HW44)/7,2)</f>
        <v>754.76</v>
      </c>
      <c r="HX46" s="782">
        <f t="shared" si="631"/>
        <v>764.65</v>
      </c>
      <c r="HY46" s="782">
        <f t="shared" ref="HY46:HZ46" si="632">ROUND(+SUM(HY38:HY44)/7,2)</f>
        <v>766.24</v>
      </c>
      <c r="HZ46" s="782">
        <f t="shared" si="632"/>
        <v>776.05</v>
      </c>
      <c r="IA46" s="782">
        <f t="shared" ref="IA46:IB46" si="633">ROUND(+SUM(IA38:IA44)/7,2)</f>
        <v>778.95</v>
      </c>
      <c r="IB46" s="387">
        <f t="shared" si="633"/>
        <v>786.09</v>
      </c>
      <c r="IC46" s="136">
        <f t="shared" ref="IC46:ID46" si="634">ROUND(+SUM(IC38:IC44)/7,2)</f>
        <v>800.17</v>
      </c>
      <c r="ID46" s="782">
        <f t="shared" si="634"/>
        <v>838.8</v>
      </c>
      <c r="IE46" s="782">
        <f t="shared" ref="IE46:IF46" si="635">ROUND(+SUM(IE38:IE44)/7,2)</f>
        <v>892.22</v>
      </c>
      <c r="IF46" s="782">
        <f t="shared" si="635"/>
        <v>919.1</v>
      </c>
      <c r="IG46" s="387">
        <f t="shared" ref="IG46:IH46" si="636">ROUND(+SUM(IG38:IG44)/7,2)</f>
        <v>992.36</v>
      </c>
      <c r="IH46" s="782">
        <f t="shared" si="636"/>
        <v>1073.2</v>
      </c>
      <c r="II46" s="782">
        <f t="shared" ref="II46:IJ46" si="637">ROUND(+SUM(II38:II44)/7,2)</f>
        <v>1116.74</v>
      </c>
      <c r="IJ46" s="782">
        <f t="shared" si="637"/>
        <v>1157.6199999999999</v>
      </c>
      <c r="IK46" s="782">
        <f t="shared" ref="IK46:IL46" si="638">ROUND(+SUM(IK38:IK44)/7,2)</f>
        <v>1214.9000000000001</v>
      </c>
      <c r="IL46" s="782">
        <f t="shared" si="638"/>
        <v>1299.81</v>
      </c>
      <c r="IM46" s="782">
        <f t="shared" ref="IM46:IN46" si="639">ROUND(+SUM(IM38:IM44)/7,2)</f>
        <v>1459</v>
      </c>
      <c r="IN46" s="782">
        <f t="shared" si="639"/>
        <v>1557.31</v>
      </c>
      <c r="IO46" s="782">
        <f t="shared" ref="IO46:IP46" si="640">ROUND(+SUM(IO38:IO44)/7,2)</f>
        <v>1612.72</v>
      </c>
      <c r="IP46" s="782">
        <f t="shared" si="640"/>
        <v>1747.14</v>
      </c>
      <c r="IQ46" s="138"/>
    </row>
    <row r="47" spans="2:261" ht="7.5" customHeight="1"/>
    <row r="49" spans="161:250">
      <c r="FE49" s="265"/>
      <c r="FF49" s="265"/>
      <c r="FG49" s="265"/>
      <c r="FH49" s="265"/>
      <c r="FI49" s="265"/>
      <c r="FJ49" s="265"/>
      <c r="FK49" s="265"/>
      <c r="FL49" s="265"/>
      <c r="FM49" s="265"/>
      <c r="FN49" s="265"/>
      <c r="FO49" s="265"/>
      <c r="FP49" s="265"/>
      <c r="FQ49" s="265"/>
      <c r="FR49" s="265"/>
      <c r="FS49" s="265"/>
      <c r="FT49" s="265"/>
      <c r="FU49" s="265"/>
      <c r="FV49" s="265"/>
      <c r="FW49" s="265"/>
      <c r="FX49" s="265"/>
      <c r="FY49" s="265"/>
      <c r="FZ49" s="265"/>
      <c r="GA49" s="265"/>
      <c r="GB49" s="265"/>
      <c r="GC49" s="265"/>
      <c r="GD49" s="265"/>
      <c r="GE49" s="265"/>
      <c r="GF49" s="265"/>
      <c r="GG49" s="265"/>
      <c r="GH49" s="265"/>
      <c r="GI49" s="265"/>
      <c r="GJ49" s="265"/>
      <c r="GK49" s="265"/>
      <c r="GL49" s="265"/>
      <c r="GM49" s="265"/>
      <c r="GN49" s="265"/>
      <c r="GO49" s="265"/>
      <c r="GP49" s="265"/>
      <c r="GQ49" s="265"/>
      <c r="GR49" s="265"/>
      <c r="GS49" s="265"/>
      <c r="GT49" s="265"/>
      <c r="GU49" s="265"/>
      <c r="GV49" s="265"/>
      <c r="GW49" s="265"/>
      <c r="GX49" s="265"/>
      <c r="GY49" s="265"/>
      <c r="GZ49" s="265"/>
      <c r="HA49" s="265"/>
      <c r="HB49" s="265"/>
      <c r="HC49" s="265"/>
      <c r="HD49" s="265"/>
      <c r="HE49" s="265"/>
      <c r="HF49" s="265"/>
      <c r="HG49" s="265"/>
      <c r="HH49" s="265"/>
      <c r="HI49" s="265"/>
      <c r="HJ49" s="265"/>
      <c r="HK49" s="265"/>
      <c r="HL49" s="265"/>
      <c r="HM49" s="265"/>
      <c r="HN49" s="265"/>
      <c r="HO49" s="265"/>
      <c r="HP49" s="265"/>
      <c r="HQ49" s="265"/>
      <c r="HR49" s="265"/>
      <c r="HS49" s="265"/>
      <c r="HT49" s="265"/>
      <c r="HU49" s="265"/>
      <c r="HV49" s="265"/>
      <c r="HW49" s="265"/>
      <c r="HX49" s="265"/>
      <c r="HY49" s="265"/>
      <c r="HZ49" s="265"/>
      <c r="IA49" s="265"/>
      <c r="IB49" s="265"/>
      <c r="IC49" s="265"/>
      <c r="ID49" s="265"/>
      <c r="IE49" s="265"/>
      <c r="IF49" s="265"/>
      <c r="IG49" s="265"/>
      <c r="IH49" s="265"/>
      <c r="II49" s="265"/>
      <c r="IJ49" s="265"/>
      <c r="IK49" s="265"/>
      <c r="IL49" s="265"/>
      <c r="IM49" s="265"/>
      <c r="IN49" s="265"/>
      <c r="IO49" s="265"/>
      <c r="IP49" s="265"/>
    </row>
  </sheetData>
  <mergeCells count="274">
    <mergeCell ref="IM17:IM19"/>
    <mergeCell ref="IK17:IK19"/>
    <mergeCell ref="II17:II19"/>
    <mergeCell ref="IG17:IG19"/>
    <mergeCell ref="IF17:IF19"/>
    <mergeCell ref="ID17:ID19"/>
    <mergeCell ref="IB17:IB19"/>
    <mergeCell ref="HY17:HY19"/>
    <mergeCell ref="HW17:HW19"/>
    <mergeCell ref="IL17:IL19"/>
    <mergeCell ref="HT17:HT19"/>
    <mergeCell ref="IJ17:IJ19"/>
    <mergeCell ref="HS17:HS19"/>
    <mergeCell ref="IH17:IH19"/>
    <mergeCell ref="HM17:HM19"/>
    <mergeCell ref="IE17:IE19"/>
    <mergeCell ref="IC17:IC19"/>
    <mergeCell ref="IA17:IA19"/>
    <mergeCell ref="HZ17:HZ19"/>
    <mergeCell ref="HV17:HV19"/>
    <mergeCell ref="HU17:HU19"/>
    <mergeCell ref="HX17:HX19"/>
    <mergeCell ref="HR17:HR19"/>
    <mergeCell ref="HQ17:HQ19"/>
    <mergeCell ref="HP17:HP19"/>
    <mergeCell ref="HO17:HO19"/>
    <mergeCell ref="HN17:HN19"/>
    <mergeCell ref="FN17:FN19"/>
    <mergeCell ref="FU17:FU19"/>
    <mergeCell ref="FT17:FT19"/>
    <mergeCell ref="FS17:FS19"/>
    <mergeCell ref="FO17:FO19"/>
    <mergeCell ref="FP17:FP19"/>
    <mergeCell ref="GX17:GX19"/>
    <mergeCell ref="GU17:GU19"/>
    <mergeCell ref="GC17:GC19"/>
    <mergeCell ref="GW17:GW19"/>
    <mergeCell ref="GV17:GV19"/>
    <mergeCell ref="GP17:GP19"/>
    <mergeCell ref="GT17:GT19"/>
    <mergeCell ref="GS17:GS19"/>
    <mergeCell ref="GI17:GI19"/>
    <mergeCell ref="GH17:GH19"/>
    <mergeCell ref="GD17:GD19"/>
    <mergeCell ref="GO17:GO19"/>
    <mergeCell ref="GM17:GM19"/>
    <mergeCell ref="GE17:GE19"/>
    <mergeCell ref="GJ17:GJ19"/>
    <mergeCell ref="GF17:GF19"/>
    <mergeCell ref="GG17:GG19"/>
    <mergeCell ref="FW17:FW19"/>
    <mergeCell ref="FY17:FY19"/>
    <mergeCell ref="FQ17:FQ19"/>
    <mergeCell ref="FR17:FR19"/>
    <mergeCell ref="HL17:HL19"/>
    <mergeCell ref="HG17:HG19"/>
    <mergeCell ref="HF17:HF19"/>
    <mergeCell ref="GK17:GK19"/>
    <mergeCell ref="GR17:GR19"/>
    <mergeCell ref="HE17:HE19"/>
    <mergeCell ref="GY17:GY19"/>
    <mergeCell ref="HA17:HA19"/>
    <mergeCell ref="GZ17:GZ19"/>
    <mergeCell ref="HD17:HD19"/>
    <mergeCell ref="HC17:HC19"/>
    <mergeCell ref="HB17:HB19"/>
    <mergeCell ref="HK17:HK19"/>
    <mergeCell ref="HJ17:HJ19"/>
    <mergeCell ref="HI17:HI19"/>
    <mergeCell ref="HH17:HH19"/>
    <mergeCell ref="CO17:CO19"/>
    <mergeCell ref="CJ17:CJ19"/>
    <mergeCell ref="DX17:DX19"/>
    <mergeCell ref="DY17:DY19"/>
    <mergeCell ref="DB17:DB19"/>
    <mergeCell ref="DI17:DI19"/>
    <mergeCell ref="EU17:EU19"/>
    <mergeCell ref="GQ17:GQ19"/>
    <mergeCell ref="GN17:GN19"/>
    <mergeCell ref="GL17:GL19"/>
    <mergeCell ref="EA17:EA19"/>
    <mergeCell ref="ET17:ET19"/>
    <mergeCell ref="ES17:ES19"/>
    <mergeCell ref="EQ17:EQ19"/>
    <mergeCell ref="ER17:ER19"/>
    <mergeCell ref="EO17:EO19"/>
    <mergeCell ref="EM17:EM19"/>
    <mergeCell ref="EL17:EL19"/>
    <mergeCell ref="EK17:EK19"/>
    <mergeCell ref="EN17:EN19"/>
    <mergeCell ref="EP17:EP19"/>
    <mergeCell ref="EJ17:EJ19"/>
    <mergeCell ref="EH17:EH19"/>
    <mergeCell ref="EB17:EB19"/>
    <mergeCell ref="CC17:CC19"/>
    <mergeCell ref="CE17:CE19"/>
    <mergeCell ref="CG17:CG19"/>
    <mergeCell ref="BT17:BT19"/>
    <mergeCell ref="BS17:BS19"/>
    <mergeCell ref="D3:O3"/>
    <mergeCell ref="C14:D14"/>
    <mergeCell ref="C15:D15"/>
    <mergeCell ref="J10:O10"/>
    <mergeCell ref="J15:O15"/>
    <mergeCell ref="C11:D11"/>
    <mergeCell ref="AE17:AE19"/>
    <mergeCell ref="AB17:AB19"/>
    <mergeCell ref="AA17:AA19"/>
    <mergeCell ref="AF17:AF19"/>
    <mergeCell ref="AC17:AC19"/>
    <mergeCell ref="AL17:AL19"/>
    <mergeCell ref="CA17:CA19"/>
    <mergeCell ref="CD17:CD19"/>
    <mergeCell ref="C9:D9"/>
    <mergeCell ref="AH17:AH19"/>
    <mergeCell ref="Z17:Z19"/>
    <mergeCell ref="AD17:AD19"/>
    <mergeCell ref="BZ17:BZ19"/>
    <mergeCell ref="AK17:AK19"/>
    <mergeCell ref="AN17:AN19"/>
    <mergeCell ref="AT17:AT19"/>
    <mergeCell ref="AR17:AR19"/>
    <mergeCell ref="N17:N19"/>
    <mergeCell ref="C10:D10"/>
    <mergeCell ref="C12:D12"/>
    <mergeCell ref="J14:O14"/>
    <mergeCell ref="C13:D13"/>
    <mergeCell ref="AG17:AG19"/>
    <mergeCell ref="Y17:Y19"/>
    <mergeCell ref="X17:X19"/>
    <mergeCell ref="C17:D19"/>
    <mergeCell ref="V17:V19"/>
    <mergeCell ref="F17:F19"/>
    <mergeCell ref="L17:L19"/>
    <mergeCell ref="J17:J19"/>
    <mergeCell ref="I17:I19"/>
    <mergeCell ref="K17:K19"/>
    <mergeCell ref="H17:H19"/>
    <mergeCell ref="G17:G19"/>
    <mergeCell ref="B44:D44"/>
    <mergeCell ref="B42:D42"/>
    <mergeCell ref="C26:D26"/>
    <mergeCell ref="C22:D22"/>
    <mergeCell ref="C24:D24"/>
    <mergeCell ref="U17:U19"/>
    <mergeCell ref="P17:P19"/>
    <mergeCell ref="R17:R19"/>
    <mergeCell ref="Q17:Q19"/>
    <mergeCell ref="T17:T19"/>
    <mergeCell ref="B24:B26"/>
    <mergeCell ref="C25:D25"/>
    <mergeCell ref="B40:D40"/>
    <mergeCell ref="B38:D38"/>
    <mergeCell ref="B41:D41"/>
    <mergeCell ref="C20:D20"/>
    <mergeCell ref="C21:D21"/>
    <mergeCell ref="B39:D39"/>
    <mergeCell ref="B43:D43"/>
    <mergeCell ref="B17:B19"/>
    <mergeCell ref="E17:E19"/>
    <mergeCell ref="B37:D37"/>
    <mergeCell ref="BM17:BM19"/>
    <mergeCell ref="O17:O19"/>
    <mergeCell ref="M17:M19"/>
    <mergeCell ref="BC17:BC19"/>
    <mergeCell ref="AW17:AW19"/>
    <mergeCell ref="AV17:AV19"/>
    <mergeCell ref="BA17:BA19"/>
    <mergeCell ref="BD17:BD19"/>
    <mergeCell ref="BN17:BN19"/>
    <mergeCell ref="BH17:BH19"/>
    <mergeCell ref="BI17:BI19"/>
    <mergeCell ref="AJ17:AJ19"/>
    <mergeCell ref="BE17:BE19"/>
    <mergeCell ref="BB17:BB19"/>
    <mergeCell ref="AP17:AP19"/>
    <mergeCell ref="AY17:AY19"/>
    <mergeCell ref="AX17:AX19"/>
    <mergeCell ref="AZ17:AZ19"/>
    <mergeCell ref="AU17:AU19"/>
    <mergeCell ref="AM17:AM19"/>
    <mergeCell ref="AO17:AO19"/>
    <mergeCell ref="AS17:AS19"/>
    <mergeCell ref="AQ17:AQ19"/>
    <mergeCell ref="AI17:AI19"/>
    <mergeCell ref="CK17:CK19"/>
    <mergeCell ref="CB17:CB19"/>
    <mergeCell ref="CF17:CF19"/>
    <mergeCell ref="CL17:CL19"/>
    <mergeCell ref="CH17:CH19"/>
    <mergeCell ref="CN17:CN19"/>
    <mergeCell ref="CM17:CM19"/>
    <mergeCell ref="W17:W19"/>
    <mergeCell ref="S17:S19"/>
    <mergeCell ref="CI17:CI19"/>
    <mergeCell ref="BX17:BX19"/>
    <mergeCell ref="BV17:BV19"/>
    <mergeCell ref="BW17:BW19"/>
    <mergeCell ref="BU17:BU19"/>
    <mergeCell ref="BF17:BF19"/>
    <mergeCell ref="BL17:BL19"/>
    <mergeCell ref="BK17:BK19"/>
    <mergeCell ref="BG17:BG19"/>
    <mergeCell ref="BJ17:BJ19"/>
    <mergeCell ref="BO17:BO19"/>
    <mergeCell ref="BP17:BP19"/>
    <mergeCell ref="BQ17:BQ19"/>
    <mergeCell ref="BY17:BY19"/>
    <mergeCell ref="BR17:BR19"/>
    <mergeCell ref="CP17:CP19"/>
    <mergeCell ref="DV17:DV19"/>
    <mergeCell ref="CT17:CT19"/>
    <mergeCell ref="DP17:DP19"/>
    <mergeCell ref="DL17:DL19"/>
    <mergeCell ref="CY17:CY19"/>
    <mergeCell ref="DA17:DA19"/>
    <mergeCell ref="DK17:DK19"/>
    <mergeCell ref="CX17:CX19"/>
    <mergeCell ref="CV17:CV19"/>
    <mergeCell ref="CW17:CW19"/>
    <mergeCell ref="CU17:CU19"/>
    <mergeCell ref="DD17:DD19"/>
    <mergeCell ref="DQ17:DQ19"/>
    <mergeCell ref="DR17:DR19"/>
    <mergeCell ref="DC17:DC19"/>
    <mergeCell ref="CR17:CR19"/>
    <mergeCell ref="CQ17:CQ19"/>
    <mergeCell ref="DS17:DS19"/>
    <mergeCell ref="DU17:DU19"/>
    <mergeCell ref="DT17:DT19"/>
    <mergeCell ref="CZ17:CZ19"/>
    <mergeCell ref="CS17:CS19"/>
    <mergeCell ref="DE17:DE19"/>
    <mergeCell ref="FM17:FM19"/>
    <mergeCell ref="FI17:FI19"/>
    <mergeCell ref="FJ17:FJ19"/>
    <mergeCell ref="DZ17:DZ19"/>
    <mergeCell ref="DO17:DO19"/>
    <mergeCell ref="DM17:DM19"/>
    <mergeCell ref="DF17:DF19"/>
    <mergeCell ref="DW17:DW19"/>
    <mergeCell ref="DG17:DG19"/>
    <mergeCell ref="DJ17:DJ19"/>
    <mergeCell ref="DH17:DH19"/>
    <mergeCell ref="DN17:DN19"/>
    <mergeCell ref="EF17:EF19"/>
    <mergeCell ref="EC17:EC19"/>
    <mergeCell ref="EE17:EE19"/>
    <mergeCell ref="ED17:ED19"/>
    <mergeCell ref="FK17:FK19"/>
    <mergeCell ref="IP17:IP19"/>
    <mergeCell ref="IO17:IO19"/>
    <mergeCell ref="IN17:IN19"/>
    <mergeCell ref="GA17:GA19"/>
    <mergeCell ref="GB17:GB19"/>
    <mergeCell ref="EG17:EG19"/>
    <mergeCell ref="EI17:EI19"/>
    <mergeCell ref="FG17:FG19"/>
    <mergeCell ref="FB17:FB19"/>
    <mergeCell ref="FC17:FC19"/>
    <mergeCell ref="EX17:EX19"/>
    <mergeCell ref="FF17:FF19"/>
    <mergeCell ref="EV17:EV19"/>
    <mergeCell ref="FE17:FE19"/>
    <mergeCell ref="EW17:EW19"/>
    <mergeCell ref="EY17:EY19"/>
    <mergeCell ref="EZ17:EZ19"/>
    <mergeCell ref="FD17:FD19"/>
    <mergeCell ref="FA17:FA19"/>
    <mergeCell ref="FZ17:FZ19"/>
    <mergeCell ref="FH17:FH19"/>
    <mergeCell ref="FX17:FX19"/>
    <mergeCell ref="FV17:FV19"/>
    <mergeCell ref="FL17:FL19"/>
  </mergeCells>
  <phoneticPr fontId="0" type="noConversion"/>
  <hyperlinks>
    <hyperlink ref="E29" r:id="rId1" display="=@REDONDEAR(+C23*$C$6+C24*$D$6+C25*$E$6+C26*$F$6+C27*$G$6;2)"/>
    <hyperlink ref="E30:E35" r:id="rId2" display="=@REDONDEAR(+C23*$C$6+C24*$D$6+C25*$E$6+C26*$F$6+C27*$G$6;2)"/>
  </hyperlinks>
  <printOptions horizontalCentered="1"/>
  <pageMargins left="0" right="0" top="0.51181102362204722" bottom="0.39370078740157483" header="0" footer="0"/>
  <pageSetup paperSize="5" scale="64" firstPageNumber="12" pageOrder="overThenDown" orientation="landscape" useFirstPageNumber="1" r:id="rId3"/>
  <headerFooter alignWithMargins="0"/>
  <ignoredErrors>
    <ignoredError sqref="AV21 AX21 BB21:BC21" emptyCellReference="1"/>
    <ignoredError sqref="GJ20 GJ38:GJ46 GJ29:GJ35 GJ23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92D050"/>
  </sheetPr>
  <dimension ref="B1:Q267"/>
  <sheetViews>
    <sheetView showGridLines="0" showZeros="0" view="pageBreakPreview" topLeftCell="A191" zoomScale="60" zoomScaleNormal="70" workbookViewId="0">
      <selection activeCell="L262" sqref="L262"/>
    </sheetView>
  </sheetViews>
  <sheetFormatPr baseColWidth="10" defaultColWidth="11.42578125" defaultRowHeight="15.75"/>
  <cols>
    <col min="1" max="1" width="2" style="1" customWidth="1"/>
    <col min="2" max="2" width="6.140625" style="132" customWidth="1"/>
    <col min="3" max="3" width="39.140625" style="132" customWidth="1"/>
    <col min="4" max="4" width="24.140625" style="132" customWidth="1"/>
    <col min="5" max="5" width="16" style="132" customWidth="1"/>
    <col min="6" max="14" width="15.5703125" style="132" customWidth="1"/>
    <col min="15" max="15" width="16" style="132" customWidth="1"/>
    <col min="16" max="16" width="15.28515625" style="132" customWidth="1"/>
    <col min="17" max="17" width="4.85546875" style="1" customWidth="1"/>
    <col min="18" max="19" width="5.85546875" style="1" bestFit="1" customWidth="1"/>
    <col min="20" max="16384" width="11.42578125" style="1"/>
  </cols>
  <sheetData>
    <row r="1" spans="3:16" ht="9.9499999999999993" customHeight="1"/>
    <row r="2" spans="3:16" ht="9.9499999999999993" customHeight="1"/>
    <row r="3" spans="3:16">
      <c r="C3" s="132" t="s">
        <v>591</v>
      </c>
      <c r="E3" s="2691" t="s">
        <v>592</v>
      </c>
      <c r="F3" s="2691"/>
      <c r="G3" s="2691"/>
      <c r="H3" s="2691"/>
      <c r="I3" s="2691"/>
      <c r="J3" s="2691"/>
      <c r="K3" s="2691"/>
      <c r="L3" s="2691"/>
      <c r="M3" s="2691"/>
      <c r="N3" s="2691"/>
      <c r="O3" s="2691"/>
      <c r="P3" s="2691"/>
    </row>
    <row r="4" spans="3:16">
      <c r="C4" s="132" t="s">
        <v>593</v>
      </c>
      <c r="E4" s="2691" t="s">
        <v>594</v>
      </c>
      <c r="F4" s="2691"/>
      <c r="G4" s="2691"/>
      <c r="H4" s="2691"/>
      <c r="I4" s="2691"/>
      <c r="J4" s="2691"/>
      <c r="K4" s="2691"/>
      <c r="L4" s="2691"/>
      <c r="M4" s="2691"/>
      <c r="N4" s="2691"/>
      <c r="O4" s="2691"/>
      <c r="P4" s="2691"/>
    </row>
    <row r="5" spans="3:16">
      <c r="C5" s="132" t="s">
        <v>595</v>
      </c>
    </row>
    <row r="6" spans="3:16">
      <c r="C6" s="2690" t="s">
        <v>704</v>
      </c>
      <c r="D6" s="2690"/>
      <c r="E6" s="2690"/>
      <c r="F6" s="2690"/>
      <c r="G6" s="2690"/>
      <c r="H6" s="2690"/>
      <c r="I6" s="2690"/>
      <c r="J6" s="2690"/>
      <c r="K6" s="2690"/>
      <c r="L6" s="2690"/>
      <c r="M6" s="2690"/>
      <c r="N6" s="2690"/>
      <c r="O6" s="2690"/>
      <c r="P6" s="2690"/>
    </row>
    <row r="7" spans="3:16" ht="9.9499999999999993" customHeight="1"/>
    <row r="8" spans="3:16">
      <c r="C8" s="3" t="s">
        <v>707</v>
      </c>
      <c r="D8" s="3"/>
      <c r="E8" s="3"/>
    </row>
    <row r="9" spans="3:16" ht="9.9499999999999993" customHeight="1" thickBot="1">
      <c r="C9" s="3"/>
    </row>
    <row r="10" spans="3:16" ht="43.5" customHeight="1">
      <c r="C10" s="1855" t="s">
        <v>655</v>
      </c>
      <c r="D10" s="1240" t="s">
        <v>831</v>
      </c>
      <c r="E10" s="548" t="s">
        <v>708</v>
      </c>
    </row>
    <row r="11" spans="3:16" ht="18" customHeight="1">
      <c r="C11" s="372" t="s">
        <v>709</v>
      </c>
      <c r="D11" s="1856">
        <v>221</v>
      </c>
      <c r="E11" s="1866">
        <v>0.1</v>
      </c>
    </row>
    <row r="12" spans="3:16" ht="18" customHeight="1">
      <c r="C12" s="372" t="s">
        <v>710</v>
      </c>
      <c r="D12" s="1856">
        <v>67</v>
      </c>
      <c r="E12" s="1866">
        <v>0.8</v>
      </c>
    </row>
    <row r="13" spans="3:16" ht="18" customHeight="1" thickBot="1">
      <c r="C13" s="373" t="s">
        <v>662</v>
      </c>
      <c r="D13" s="1854">
        <v>4</v>
      </c>
      <c r="E13" s="1865">
        <v>0.1</v>
      </c>
    </row>
    <row r="14" spans="3:16" ht="9.9499999999999993" customHeight="1"/>
    <row r="15" spans="3:16" hidden="1">
      <c r="C15" s="1855" t="s">
        <v>673</v>
      </c>
      <c r="D15" s="1240" t="s">
        <v>831</v>
      </c>
      <c r="E15" s="1849">
        <v>37226</v>
      </c>
      <c r="F15" s="1849">
        <v>37257</v>
      </c>
      <c r="G15" s="1849">
        <v>37288</v>
      </c>
      <c r="H15" s="1849">
        <v>37316</v>
      </c>
      <c r="I15" s="1849">
        <v>37347</v>
      </c>
      <c r="J15" s="1849">
        <v>37377</v>
      </c>
      <c r="K15" s="1849">
        <v>37408</v>
      </c>
      <c r="L15" s="1849">
        <v>37438</v>
      </c>
      <c r="M15" s="1849">
        <v>37469</v>
      </c>
      <c r="N15" s="1849">
        <v>37500</v>
      </c>
      <c r="O15" s="1849">
        <v>37530</v>
      </c>
      <c r="P15" s="1850">
        <v>37561</v>
      </c>
    </row>
    <row r="16" spans="3:16" hidden="1">
      <c r="C16" s="372" t="s">
        <v>709</v>
      </c>
      <c r="D16" s="1856">
        <v>221</v>
      </c>
      <c r="E16" s="285">
        <v>100</v>
      </c>
      <c r="F16" s="285">
        <v>106.95</v>
      </c>
      <c r="G16" s="285">
        <v>107.7</v>
      </c>
      <c r="H16" s="285">
        <v>108.45</v>
      </c>
      <c r="I16" s="285">
        <v>152.11000000000001</v>
      </c>
      <c r="J16" s="285">
        <v>177.42</v>
      </c>
      <c r="K16" s="285">
        <v>201.2</v>
      </c>
      <c r="L16" s="285">
        <v>206.56</v>
      </c>
      <c r="M16" s="285">
        <v>206.81</v>
      </c>
      <c r="N16" s="285">
        <v>206.23</v>
      </c>
      <c r="O16" s="285">
        <v>209.81</v>
      </c>
      <c r="P16" s="428">
        <v>209.93</v>
      </c>
    </row>
    <row r="17" spans="3:17" hidden="1">
      <c r="C17" s="372" t="s">
        <v>710</v>
      </c>
      <c r="D17" s="1856">
        <v>67</v>
      </c>
      <c r="E17" s="142">
        <v>126.2</v>
      </c>
      <c r="F17" s="142">
        <v>125.09</v>
      </c>
      <c r="G17" s="142">
        <v>125.15</v>
      </c>
      <c r="H17" s="142">
        <v>140.52000000000001</v>
      </c>
      <c r="I17" s="142">
        <v>188.01</v>
      </c>
      <c r="J17" s="142">
        <v>244.81</v>
      </c>
      <c r="K17" s="142">
        <v>297</v>
      </c>
      <c r="L17" s="142">
        <v>323.32</v>
      </c>
      <c r="M17" s="142">
        <v>343.33</v>
      </c>
      <c r="N17" s="142">
        <v>370.81</v>
      </c>
      <c r="O17" s="142">
        <v>382.18</v>
      </c>
      <c r="P17" s="141">
        <v>384.52</v>
      </c>
    </row>
    <row r="18" spans="3:17" ht="16.5" hidden="1" thickBot="1">
      <c r="C18" s="373" t="s">
        <v>662</v>
      </c>
      <c r="D18" s="1854">
        <v>4</v>
      </c>
      <c r="E18" s="380">
        <v>3.09</v>
      </c>
      <c r="F18" s="380">
        <v>3.09</v>
      </c>
      <c r="G18" s="380">
        <v>3.09</v>
      </c>
      <c r="H18" s="380">
        <v>3.09</v>
      </c>
      <c r="I18" s="380">
        <v>3.09</v>
      </c>
      <c r="J18" s="380">
        <v>3.09</v>
      </c>
      <c r="K18" s="380">
        <v>3.09</v>
      </c>
      <c r="L18" s="380">
        <v>3.66</v>
      </c>
      <c r="M18" s="380">
        <v>3.66</v>
      </c>
      <c r="N18" s="380">
        <v>3.66</v>
      </c>
      <c r="O18" s="380">
        <v>3.66</v>
      </c>
      <c r="P18" s="539">
        <v>3.66</v>
      </c>
    </row>
    <row r="19" spans="3:17" ht="16.5" hidden="1" customHeight="1" thickBot="1">
      <c r="D19" s="1847"/>
    </row>
    <row r="20" spans="3:17" ht="20.25" hidden="1" customHeight="1">
      <c r="C20" s="2623" t="s">
        <v>675</v>
      </c>
      <c r="D20" s="1863">
        <v>221</v>
      </c>
      <c r="E20" s="421">
        <v>100</v>
      </c>
      <c r="F20" s="421">
        <v>106.95</v>
      </c>
      <c r="G20" s="421">
        <v>107.7</v>
      </c>
      <c r="H20" s="421">
        <v>108.45</v>
      </c>
      <c r="I20" s="421">
        <v>152.11000000000001</v>
      </c>
      <c r="J20" s="421">
        <v>177.42</v>
      </c>
      <c r="K20" s="421">
        <v>201.2</v>
      </c>
      <c r="L20" s="421">
        <v>206.56</v>
      </c>
      <c r="M20" s="421">
        <v>206.81</v>
      </c>
      <c r="N20" s="421">
        <v>206.23</v>
      </c>
      <c r="O20" s="421">
        <v>209.81</v>
      </c>
      <c r="P20" s="422">
        <v>209.93</v>
      </c>
    </row>
    <row r="21" spans="3:17" ht="20.25" hidden="1" customHeight="1">
      <c r="C21" s="2624"/>
      <c r="D21" s="1856">
        <v>4</v>
      </c>
      <c r="E21" s="142">
        <f t="shared" ref="E21:P21" si="0">ROUND(100*E18/$E$18,2)</f>
        <v>100</v>
      </c>
      <c r="F21" s="142">
        <f t="shared" si="0"/>
        <v>100</v>
      </c>
      <c r="G21" s="142">
        <f t="shared" si="0"/>
        <v>100</v>
      </c>
      <c r="H21" s="142">
        <f t="shared" si="0"/>
        <v>100</v>
      </c>
      <c r="I21" s="142">
        <f t="shared" si="0"/>
        <v>100</v>
      </c>
      <c r="J21" s="142">
        <f t="shared" si="0"/>
        <v>100</v>
      </c>
      <c r="K21" s="142">
        <f t="shared" si="0"/>
        <v>100</v>
      </c>
      <c r="L21" s="142">
        <f t="shared" si="0"/>
        <v>118.45</v>
      </c>
      <c r="M21" s="142">
        <f t="shared" si="0"/>
        <v>118.45</v>
      </c>
      <c r="N21" s="142">
        <f t="shared" si="0"/>
        <v>118.45</v>
      </c>
      <c r="O21" s="142">
        <f t="shared" si="0"/>
        <v>118.45</v>
      </c>
      <c r="P21" s="288">
        <f t="shared" si="0"/>
        <v>118.45</v>
      </c>
    </row>
    <row r="22" spans="3:17" ht="19.899999999999999" hidden="1" customHeight="1" thickBot="1">
      <c r="C22" s="2625"/>
      <c r="D22" s="1854">
        <v>67</v>
      </c>
      <c r="E22" s="447">
        <f t="shared" ref="E22:P22" si="1">ROUND(100*E17/$E$17,2)</f>
        <v>100</v>
      </c>
      <c r="F22" s="447">
        <f t="shared" si="1"/>
        <v>99.12</v>
      </c>
      <c r="G22" s="447">
        <f t="shared" si="1"/>
        <v>99.17</v>
      </c>
      <c r="H22" s="447">
        <f t="shared" si="1"/>
        <v>111.35</v>
      </c>
      <c r="I22" s="447">
        <f t="shared" si="1"/>
        <v>148.97999999999999</v>
      </c>
      <c r="J22" s="447">
        <f t="shared" si="1"/>
        <v>193.99</v>
      </c>
      <c r="K22" s="447">
        <f t="shared" si="1"/>
        <v>235.34</v>
      </c>
      <c r="L22" s="447">
        <f t="shared" si="1"/>
        <v>256.2</v>
      </c>
      <c r="M22" s="447">
        <f t="shared" si="1"/>
        <v>272.05</v>
      </c>
      <c r="N22" s="447">
        <f t="shared" si="1"/>
        <v>293.83</v>
      </c>
      <c r="O22" s="447">
        <f t="shared" si="1"/>
        <v>302.83999999999997</v>
      </c>
      <c r="P22" s="131">
        <f t="shared" si="1"/>
        <v>304.69</v>
      </c>
    </row>
    <row r="23" spans="3:17" ht="24" hidden="1" customHeight="1" thickBot="1">
      <c r="C23" s="3" t="s">
        <v>713</v>
      </c>
    </row>
    <row r="24" spans="3:17" ht="16.5" hidden="1" customHeight="1" thickBot="1">
      <c r="C24" s="2775" t="s">
        <v>714</v>
      </c>
      <c r="D24" s="2775"/>
      <c r="E24" s="1857">
        <f t="shared" ref="E24:P24" si="2">ROUND(+$E$11*E16+$E$12*E22+$E$13*E21,2)</f>
        <v>100</v>
      </c>
      <c r="F24" s="1857">
        <f t="shared" si="2"/>
        <v>99.99</v>
      </c>
      <c r="G24" s="1857">
        <f t="shared" si="2"/>
        <v>100.11</v>
      </c>
      <c r="H24" s="1857">
        <f t="shared" si="2"/>
        <v>109.93</v>
      </c>
      <c r="I24" s="1857">
        <f t="shared" si="2"/>
        <v>144.4</v>
      </c>
      <c r="J24" s="1857">
        <f t="shared" si="2"/>
        <v>182.93</v>
      </c>
      <c r="K24" s="1857">
        <f t="shared" si="2"/>
        <v>218.39</v>
      </c>
      <c r="L24" s="1857">
        <f t="shared" si="2"/>
        <v>237.46</v>
      </c>
      <c r="M24" s="1857">
        <f t="shared" si="2"/>
        <v>250.17</v>
      </c>
      <c r="N24" s="1857">
        <f t="shared" si="2"/>
        <v>267.52999999999997</v>
      </c>
      <c r="O24" s="1857">
        <f t="shared" si="2"/>
        <v>275.10000000000002</v>
      </c>
      <c r="P24" s="1857">
        <f t="shared" si="2"/>
        <v>276.58999999999997</v>
      </c>
    </row>
    <row r="25" spans="3:17" ht="14.25" hidden="1" customHeight="1"/>
    <row r="26" spans="3:17" ht="11.25" hidden="1" customHeight="1" thickBot="1"/>
    <row r="27" spans="3:17" ht="16.5" hidden="1" customHeight="1">
      <c r="C27" s="1855" t="s">
        <v>673</v>
      </c>
      <c r="D27" s="1240" t="s">
        <v>831</v>
      </c>
      <c r="E27" s="1849">
        <v>37622</v>
      </c>
      <c r="F27" s="1849">
        <v>37653</v>
      </c>
      <c r="G27" s="1849">
        <v>37681</v>
      </c>
      <c r="H27" s="1849">
        <v>37712</v>
      </c>
      <c r="I27" s="1849">
        <v>37742</v>
      </c>
      <c r="J27" s="1849">
        <v>37773</v>
      </c>
      <c r="K27" s="1849">
        <v>37803</v>
      </c>
      <c r="L27" s="1849">
        <v>37834</v>
      </c>
      <c r="M27" s="1849">
        <v>37865</v>
      </c>
      <c r="N27" s="1849">
        <v>37895</v>
      </c>
      <c r="O27" s="1849">
        <v>37926</v>
      </c>
      <c r="P27" s="1849">
        <v>37956</v>
      </c>
      <c r="Q27" s="53"/>
    </row>
    <row r="28" spans="3:17" ht="17.25" hidden="1" customHeight="1">
      <c r="C28" s="372" t="s">
        <v>709</v>
      </c>
      <c r="D28" s="1856">
        <v>221</v>
      </c>
      <c r="E28" s="285">
        <v>204.96</v>
      </c>
      <c r="F28" s="285">
        <v>203.25</v>
      </c>
      <c r="G28" s="285">
        <v>202.15</v>
      </c>
      <c r="H28" s="285">
        <v>200.5</v>
      </c>
      <c r="I28" s="285">
        <v>198.52</v>
      </c>
      <c r="J28" s="285">
        <v>199.59</v>
      </c>
      <c r="K28" s="142">
        <v>200.97</v>
      </c>
      <c r="L28" s="142">
        <v>203.74</v>
      </c>
      <c r="M28" s="142">
        <v>202.12</v>
      </c>
      <c r="N28" s="142">
        <v>201.73</v>
      </c>
      <c r="O28" s="142">
        <v>202.19</v>
      </c>
      <c r="P28" s="142">
        <v>206.43</v>
      </c>
      <c r="Q28" s="10"/>
    </row>
    <row r="29" spans="3:17" ht="17.25" hidden="1" customHeight="1">
      <c r="C29" s="372" t="s">
        <v>710</v>
      </c>
      <c r="D29" s="1856">
        <v>67</v>
      </c>
      <c r="E29" s="127">
        <v>406.07</v>
      </c>
      <c r="F29" s="127">
        <v>406.51</v>
      </c>
      <c r="G29" s="127">
        <v>406.9</v>
      </c>
      <c r="H29" s="127">
        <v>406.68</v>
      </c>
      <c r="I29" s="127">
        <v>406.68</v>
      </c>
      <c r="J29" s="127">
        <v>402.3</v>
      </c>
      <c r="K29" s="127">
        <v>399.57</v>
      </c>
      <c r="L29" s="127">
        <v>399.57</v>
      </c>
      <c r="M29" s="142">
        <v>399.57</v>
      </c>
      <c r="N29" s="127">
        <v>399.57</v>
      </c>
      <c r="O29" s="142">
        <v>399.57</v>
      </c>
      <c r="P29" s="142">
        <v>399.57</v>
      </c>
      <c r="Q29" s="10"/>
    </row>
    <row r="30" spans="3:17" ht="17.25" hidden="1" customHeight="1" thickBot="1">
      <c r="C30" s="373" t="s">
        <v>662</v>
      </c>
      <c r="D30" s="1854">
        <v>4</v>
      </c>
      <c r="E30" s="380">
        <v>3.82</v>
      </c>
      <c r="F30" s="380">
        <v>3.82</v>
      </c>
      <c r="G30" s="380">
        <v>3.94</v>
      </c>
      <c r="H30" s="380">
        <v>3.94</v>
      </c>
      <c r="I30" s="380">
        <v>4.22</v>
      </c>
      <c r="J30" s="380">
        <v>4.22</v>
      </c>
      <c r="K30" s="448">
        <v>4.41</v>
      </c>
      <c r="L30" s="381">
        <v>4.63</v>
      </c>
      <c r="M30" s="470">
        <v>4.8499999999999996</v>
      </c>
      <c r="N30" s="448">
        <v>5.0999999999999996</v>
      </c>
      <c r="O30" s="470">
        <v>5.28</v>
      </c>
      <c r="P30" s="470">
        <v>5.5</v>
      </c>
      <c r="Q30" s="17"/>
    </row>
    <row r="31" spans="3:17" ht="12.75" hidden="1" customHeight="1">
      <c r="D31" s="1847"/>
      <c r="Q31" s="4"/>
    </row>
    <row r="32" spans="3:17" ht="8.25" hidden="1" customHeight="1" thickBot="1">
      <c r="D32" s="1847"/>
      <c r="Q32" s="4"/>
    </row>
    <row r="33" spans="3:17" ht="19.5" hidden="1" customHeight="1">
      <c r="C33" s="2623" t="s">
        <v>675</v>
      </c>
      <c r="D33" s="1863">
        <v>221</v>
      </c>
      <c r="E33" s="421">
        <v>204.96</v>
      </c>
      <c r="F33" s="421">
        <v>203.25</v>
      </c>
      <c r="G33" s="421">
        <v>204.25</v>
      </c>
      <c r="H33" s="421">
        <v>200.5</v>
      </c>
      <c r="I33" s="421">
        <v>198.52</v>
      </c>
      <c r="J33" s="421">
        <v>199.59</v>
      </c>
      <c r="K33" s="421">
        <v>200.97</v>
      </c>
      <c r="L33" s="421">
        <v>203.74</v>
      </c>
      <c r="M33" s="424">
        <v>202.12</v>
      </c>
      <c r="N33" s="424">
        <v>201.73</v>
      </c>
      <c r="O33" s="421">
        <v>202.19</v>
      </c>
      <c r="P33" s="421">
        <v>206.43</v>
      </c>
      <c r="Q33" s="10"/>
    </row>
    <row r="34" spans="3:17" ht="19.5" hidden="1" customHeight="1">
      <c r="C34" s="2624"/>
      <c r="D34" s="1856">
        <v>4</v>
      </c>
      <c r="E34" s="142">
        <f t="shared" ref="E34:P34" si="3">ROUND(100*E30/$E$18,2)</f>
        <v>123.62</v>
      </c>
      <c r="F34" s="142">
        <f t="shared" si="3"/>
        <v>123.62</v>
      </c>
      <c r="G34" s="142">
        <f t="shared" si="3"/>
        <v>127.51</v>
      </c>
      <c r="H34" s="142">
        <f t="shared" si="3"/>
        <v>127.51</v>
      </c>
      <c r="I34" s="142">
        <f t="shared" si="3"/>
        <v>136.57</v>
      </c>
      <c r="J34" s="142">
        <f t="shared" si="3"/>
        <v>136.57</v>
      </c>
      <c r="K34" s="142">
        <f t="shared" si="3"/>
        <v>142.72</v>
      </c>
      <c r="L34" s="142">
        <f t="shared" si="3"/>
        <v>149.84</v>
      </c>
      <c r="M34" s="287">
        <f t="shared" si="3"/>
        <v>156.96</v>
      </c>
      <c r="N34" s="127">
        <f t="shared" si="3"/>
        <v>165.05</v>
      </c>
      <c r="O34" s="142">
        <f t="shared" si="3"/>
        <v>170.87</v>
      </c>
      <c r="P34" s="142">
        <f t="shared" si="3"/>
        <v>177.99</v>
      </c>
      <c r="Q34" s="10"/>
    </row>
    <row r="35" spans="3:17" ht="19.5" hidden="1" customHeight="1" thickBot="1">
      <c r="C35" s="2625"/>
      <c r="D35" s="1854">
        <v>67</v>
      </c>
      <c r="E35" s="447">
        <f t="shared" ref="E35:P35" si="4">ROUND(100*E29/$E$17,2)</f>
        <v>321.77</v>
      </c>
      <c r="F35" s="447">
        <f t="shared" si="4"/>
        <v>322.12</v>
      </c>
      <c r="G35" s="447">
        <f t="shared" si="4"/>
        <v>322.42</v>
      </c>
      <c r="H35" s="447">
        <f t="shared" si="4"/>
        <v>322.25</v>
      </c>
      <c r="I35" s="447">
        <f t="shared" si="4"/>
        <v>322.25</v>
      </c>
      <c r="J35" s="447">
        <f t="shared" si="4"/>
        <v>318.77999999999997</v>
      </c>
      <c r="K35" s="447">
        <f t="shared" si="4"/>
        <v>316.62</v>
      </c>
      <c r="L35" s="447">
        <f t="shared" si="4"/>
        <v>316.62</v>
      </c>
      <c r="M35" s="448">
        <f t="shared" si="4"/>
        <v>316.62</v>
      </c>
      <c r="N35" s="381">
        <f t="shared" si="4"/>
        <v>316.62</v>
      </c>
      <c r="O35" s="470">
        <f t="shared" si="4"/>
        <v>316.62</v>
      </c>
      <c r="P35" s="470">
        <f t="shared" si="4"/>
        <v>316.62</v>
      </c>
      <c r="Q35" s="17"/>
    </row>
    <row r="36" spans="3:17" ht="15.75" hidden="1" customHeight="1">
      <c r="C36" s="1852"/>
      <c r="D36" s="120"/>
      <c r="E36" s="265"/>
      <c r="F36" s="265"/>
      <c r="G36" s="265"/>
      <c r="H36" s="265"/>
      <c r="I36" s="265"/>
      <c r="J36" s="265"/>
      <c r="K36" s="265"/>
      <c r="L36" s="265"/>
      <c r="Q36" s="4"/>
    </row>
    <row r="37" spans="3:17" ht="25.5" hidden="1" customHeight="1" thickBot="1">
      <c r="C37" s="3" t="s">
        <v>713</v>
      </c>
      <c r="Q37" s="4"/>
    </row>
    <row r="38" spans="3:17" ht="16.5" hidden="1" customHeight="1" thickBot="1">
      <c r="C38" s="2775" t="s">
        <v>714</v>
      </c>
      <c r="D38" s="2775"/>
      <c r="E38" s="1857">
        <f t="shared" ref="E38:P38" si="5">ROUND(+$E$11*E28+$E$12*E35+$E$13*E34,2)</f>
        <v>290.27</v>
      </c>
      <c r="F38" s="1857">
        <f t="shared" si="5"/>
        <v>290.38</v>
      </c>
      <c r="G38" s="1857">
        <f t="shared" si="5"/>
        <v>290.89999999999998</v>
      </c>
      <c r="H38" s="1857">
        <f t="shared" si="5"/>
        <v>290.60000000000002</v>
      </c>
      <c r="I38" s="1857">
        <f t="shared" si="5"/>
        <v>291.31</v>
      </c>
      <c r="J38" s="1857">
        <f t="shared" si="5"/>
        <v>288.64</v>
      </c>
      <c r="K38" s="1857">
        <f t="shared" si="5"/>
        <v>287.67</v>
      </c>
      <c r="L38" s="1857">
        <f t="shared" si="5"/>
        <v>288.64999999999998</v>
      </c>
      <c r="M38" s="1857">
        <f t="shared" si="5"/>
        <v>289.2</v>
      </c>
      <c r="N38" s="1857">
        <f t="shared" si="5"/>
        <v>289.97000000000003</v>
      </c>
      <c r="O38" s="1857">
        <f t="shared" si="5"/>
        <v>290.60000000000002</v>
      </c>
      <c r="P38" s="1857">
        <f t="shared" si="5"/>
        <v>291.74</v>
      </c>
      <c r="Q38" s="8"/>
    </row>
    <row r="39" spans="3:17" ht="25.5" hidden="1" customHeight="1"/>
    <row r="40" spans="3:17" ht="25.5" hidden="1" customHeight="1"/>
    <row r="41" spans="3:17" ht="15.75" hidden="1" customHeight="1" thickBot="1"/>
    <row r="42" spans="3:17" ht="25.5" hidden="1" customHeight="1">
      <c r="C42" s="1855" t="s">
        <v>673</v>
      </c>
      <c r="D42" s="1240" t="s">
        <v>831</v>
      </c>
      <c r="E42" s="1849">
        <v>37987</v>
      </c>
      <c r="F42" s="1849">
        <v>38018</v>
      </c>
      <c r="G42" s="1849">
        <v>38047</v>
      </c>
      <c r="H42" s="1849">
        <v>38078</v>
      </c>
      <c r="I42" s="1849">
        <v>38108</v>
      </c>
      <c r="J42" s="1849">
        <v>38139</v>
      </c>
      <c r="K42" s="1849">
        <v>38169</v>
      </c>
      <c r="L42" s="1849">
        <v>38200</v>
      </c>
      <c r="M42" s="1849">
        <v>38231</v>
      </c>
      <c r="N42" s="1849">
        <v>38261</v>
      </c>
      <c r="O42" s="1849">
        <v>38292</v>
      </c>
      <c r="P42" s="1850">
        <v>38322</v>
      </c>
    </row>
    <row r="43" spans="3:17" ht="18.75" hidden="1" customHeight="1">
      <c r="C43" s="372" t="s">
        <v>709</v>
      </c>
      <c r="D43" s="1856">
        <v>221</v>
      </c>
      <c r="E43" s="142">
        <v>207.76</v>
      </c>
      <c r="F43" s="142">
        <v>212.22</v>
      </c>
      <c r="G43" s="142">
        <v>217.73</v>
      </c>
      <c r="H43" s="285">
        <v>218.98</v>
      </c>
      <c r="I43" s="285">
        <v>224.86</v>
      </c>
      <c r="J43" s="285">
        <v>227.17</v>
      </c>
      <c r="K43" s="142">
        <f>+'ANEXO D'!$AB$20</f>
        <v>227.69</v>
      </c>
      <c r="L43" s="142">
        <f>+'ANEXOA-MODIFICADO'!K383</f>
        <v>230.61</v>
      </c>
      <c r="M43" s="142">
        <f>+'ANEXOA-MODIFICADO'!L383</f>
        <v>231.13</v>
      </c>
      <c r="N43" s="142">
        <f>+'ANEXOA-MODIFICADO'!M383</f>
        <v>231.66</v>
      </c>
      <c r="O43" s="142">
        <f>+'ANEXOA-MODIFICADO'!N383</f>
        <v>231.77</v>
      </c>
      <c r="P43" s="142">
        <f>+'ANEXOA-MODIFICADO'!O383</f>
        <v>234.27</v>
      </c>
    </row>
    <row r="44" spans="3:17" ht="18.75" hidden="1" customHeight="1">
      <c r="C44" s="372" t="s">
        <v>710</v>
      </c>
      <c r="D44" s="1856">
        <v>67</v>
      </c>
      <c r="E44" s="142">
        <v>399.95</v>
      </c>
      <c r="F44" s="142">
        <v>399.95</v>
      </c>
      <c r="G44" s="142">
        <v>400.47</v>
      </c>
      <c r="H44" s="127">
        <v>400.73</v>
      </c>
      <c r="I44" s="127">
        <v>405.2</v>
      </c>
      <c r="J44" s="127">
        <v>407.42</v>
      </c>
      <c r="K44" s="140">
        <f>+'ANEXO D'!$AB$23</f>
        <v>409.3</v>
      </c>
      <c r="L44" s="140">
        <f>+'ANEXO D'!AC68</f>
        <v>425.51</v>
      </c>
      <c r="M44" s="140">
        <f>+'ANEXO D'!AD68</f>
        <v>430.59</v>
      </c>
      <c r="N44" s="140">
        <f>+'ANEXO D'!AE68</f>
        <v>430.82</v>
      </c>
      <c r="O44" s="140">
        <f>+'ANEXO D'!AF68</f>
        <v>430.93</v>
      </c>
      <c r="P44" s="140">
        <f>+'ANEXO D'!AG68</f>
        <v>431.16</v>
      </c>
    </row>
    <row r="45" spans="3:17" ht="18.75" hidden="1" customHeight="1" thickBot="1">
      <c r="C45" s="373" t="s">
        <v>662</v>
      </c>
      <c r="D45" s="1854">
        <v>4</v>
      </c>
      <c r="E45" s="470">
        <v>6</v>
      </c>
      <c r="F45" s="470">
        <v>6.21</v>
      </c>
      <c r="G45" s="470">
        <v>6.21</v>
      </c>
      <c r="H45" s="380">
        <v>6.21</v>
      </c>
      <c r="I45" s="380">
        <v>6.21</v>
      </c>
      <c r="J45" s="380">
        <v>6.21</v>
      </c>
      <c r="K45" s="448">
        <v>6.21</v>
      </c>
      <c r="L45" s="448">
        <v>6.21</v>
      </c>
      <c r="M45" s="448">
        <v>6.21</v>
      </c>
      <c r="N45" s="448">
        <v>6.21</v>
      </c>
      <c r="O45" s="448">
        <v>6.21</v>
      </c>
      <c r="P45" s="478">
        <v>6.21</v>
      </c>
    </row>
    <row r="46" spans="3:17" ht="25.5" hidden="1" customHeight="1">
      <c r="D46" s="1847"/>
    </row>
    <row r="47" spans="3:17" ht="15.75" hidden="1" customHeight="1" thickBot="1">
      <c r="D47" s="1847"/>
    </row>
    <row r="48" spans="3:17" ht="20.25" hidden="1" customHeight="1">
      <c r="C48" s="2623" t="s">
        <v>675</v>
      </c>
      <c r="D48" s="1863">
        <v>221</v>
      </c>
      <c r="E48" s="421">
        <v>207.76</v>
      </c>
      <c r="F48" s="421">
        <f t="shared" ref="F48:P48" si="6">F43</f>
        <v>212.22</v>
      </c>
      <c r="G48" s="421">
        <f t="shared" si="6"/>
        <v>217.73</v>
      </c>
      <c r="H48" s="421">
        <f t="shared" si="6"/>
        <v>218.98</v>
      </c>
      <c r="I48" s="421">
        <f t="shared" si="6"/>
        <v>224.86</v>
      </c>
      <c r="J48" s="421">
        <f t="shared" si="6"/>
        <v>227.17</v>
      </c>
      <c r="K48" s="421">
        <f t="shared" si="6"/>
        <v>227.69</v>
      </c>
      <c r="L48" s="421">
        <f t="shared" si="6"/>
        <v>230.61</v>
      </c>
      <c r="M48" s="421">
        <f t="shared" si="6"/>
        <v>231.13</v>
      </c>
      <c r="N48" s="421">
        <f t="shared" si="6"/>
        <v>231.66</v>
      </c>
      <c r="O48" s="421">
        <f t="shared" si="6"/>
        <v>231.77</v>
      </c>
      <c r="P48" s="421">
        <f t="shared" si="6"/>
        <v>234.27</v>
      </c>
    </row>
    <row r="49" spans="3:16" ht="20.25" hidden="1" customHeight="1">
      <c r="C49" s="2624"/>
      <c r="D49" s="1856">
        <v>4</v>
      </c>
      <c r="E49" s="142">
        <f>ROUND(100*E45/$E$18,2)</f>
        <v>194.17</v>
      </c>
      <c r="F49" s="142">
        <f t="shared" ref="F49:P49" si="7">ROUND(100*F45/$E$18,2)</f>
        <v>200.97</v>
      </c>
      <c r="G49" s="142">
        <f t="shared" si="7"/>
        <v>200.97</v>
      </c>
      <c r="H49" s="142">
        <f t="shared" si="7"/>
        <v>200.97</v>
      </c>
      <c r="I49" s="288">
        <f t="shared" si="7"/>
        <v>200.97</v>
      </c>
      <c r="J49" s="142">
        <f t="shared" si="7"/>
        <v>200.97</v>
      </c>
      <c r="K49" s="142">
        <f t="shared" si="7"/>
        <v>200.97</v>
      </c>
      <c r="L49" s="142">
        <f t="shared" si="7"/>
        <v>200.97</v>
      </c>
      <c r="M49" s="287">
        <f t="shared" si="7"/>
        <v>200.97</v>
      </c>
      <c r="N49" s="127">
        <f t="shared" si="7"/>
        <v>200.97</v>
      </c>
      <c r="O49" s="142">
        <f t="shared" si="7"/>
        <v>200.97</v>
      </c>
      <c r="P49" s="288">
        <f t="shared" si="7"/>
        <v>200.97</v>
      </c>
    </row>
    <row r="50" spans="3:16" ht="20.25" hidden="1" customHeight="1" thickBot="1">
      <c r="C50" s="2625"/>
      <c r="D50" s="1854">
        <v>67</v>
      </c>
      <c r="E50" s="470">
        <f t="shared" ref="E50:P50" si="8">ROUND(100*E44/$E$17,2)</f>
        <v>316.92</v>
      </c>
      <c r="F50" s="470">
        <f t="shared" si="8"/>
        <v>316.92</v>
      </c>
      <c r="G50" s="470">
        <f t="shared" si="8"/>
        <v>317.33</v>
      </c>
      <c r="H50" s="470">
        <f t="shared" si="8"/>
        <v>317.54000000000002</v>
      </c>
      <c r="I50" s="447">
        <f t="shared" si="8"/>
        <v>321.08</v>
      </c>
      <c r="J50" s="447">
        <f t="shared" si="8"/>
        <v>322.83999999999997</v>
      </c>
      <c r="K50" s="447">
        <f t="shared" si="8"/>
        <v>324.33</v>
      </c>
      <c r="L50" s="447">
        <f t="shared" si="8"/>
        <v>337.17</v>
      </c>
      <c r="M50" s="448">
        <f t="shared" si="8"/>
        <v>341.2</v>
      </c>
      <c r="N50" s="381">
        <f t="shared" si="8"/>
        <v>341.38</v>
      </c>
      <c r="O50" s="350">
        <f t="shared" si="8"/>
        <v>341.47</v>
      </c>
      <c r="P50" s="354">
        <f t="shared" si="8"/>
        <v>341.65</v>
      </c>
    </row>
    <row r="51" spans="3:16" ht="15.75" hidden="1" customHeight="1">
      <c r="C51" s="1852"/>
      <c r="D51" s="120"/>
      <c r="H51" s="265"/>
      <c r="I51" s="265"/>
      <c r="J51" s="265"/>
      <c r="K51" s="265"/>
      <c r="L51" s="265"/>
    </row>
    <row r="52" spans="3:16" ht="25.5" hidden="1" customHeight="1" thickBot="1">
      <c r="C52" s="3" t="s">
        <v>713</v>
      </c>
    </row>
    <row r="53" spans="3:16" ht="22.5" hidden="1" customHeight="1" thickBot="1">
      <c r="C53" s="2775" t="s">
        <v>714</v>
      </c>
      <c r="D53" s="2775"/>
      <c r="E53" s="1857">
        <f t="shared" ref="E53:P53" si="9">ROUND(+$E$11*E43+$E$12*E50+$E$13*E49,2)</f>
        <v>293.73</v>
      </c>
      <c r="F53" s="1857">
        <f t="shared" si="9"/>
        <v>294.86</v>
      </c>
      <c r="G53" s="1857">
        <f t="shared" si="9"/>
        <v>295.73</v>
      </c>
      <c r="H53" s="1857">
        <f t="shared" si="9"/>
        <v>296.02999999999997</v>
      </c>
      <c r="I53" s="1857">
        <f t="shared" si="9"/>
        <v>299.45</v>
      </c>
      <c r="J53" s="1857">
        <f t="shared" si="9"/>
        <v>301.08999999999997</v>
      </c>
      <c r="K53" s="1857">
        <f t="shared" si="9"/>
        <v>302.33</v>
      </c>
      <c r="L53" s="1857">
        <f t="shared" si="9"/>
        <v>312.89</v>
      </c>
      <c r="M53" s="1857">
        <f t="shared" si="9"/>
        <v>316.17</v>
      </c>
      <c r="N53" s="1857">
        <f t="shared" si="9"/>
        <v>316.37</v>
      </c>
      <c r="O53" s="1857">
        <f t="shared" si="9"/>
        <v>316.45</v>
      </c>
      <c r="P53" s="1857">
        <f t="shared" si="9"/>
        <v>316.83999999999997</v>
      </c>
    </row>
    <row r="54" spans="3:16" ht="25.5" hidden="1" customHeight="1" thickBot="1"/>
    <row r="55" spans="3:16" ht="25.5" hidden="1" customHeight="1">
      <c r="C55" s="1855" t="s">
        <v>673</v>
      </c>
      <c r="D55" s="1240" t="s">
        <v>831</v>
      </c>
      <c r="E55" s="1849">
        <v>38353</v>
      </c>
      <c r="F55" s="1849">
        <v>38384</v>
      </c>
      <c r="G55" s="1849">
        <v>38412</v>
      </c>
      <c r="H55" s="1849">
        <v>38443</v>
      </c>
      <c r="I55" s="1849">
        <v>38473</v>
      </c>
      <c r="J55" s="1849">
        <v>38504</v>
      </c>
      <c r="K55" s="1849">
        <v>38534</v>
      </c>
      <c r="L55" s="1849">
        <v>38565</v>
      </c>
      <c r="M55" s="1849">
        <v>38596</v>
      </c>
      <c r="N55" s="1849">
        <v>38626</v>
      </c>
      <c r="O55" s="1849">
        <v>38657</v>
      </c>
      <c r="P55" s="1850">
        <v>38687</v>
      </c>
    </row>
    <row r="56" spans="3:16" ht="18.75" hidden="1" customHeight="1">
      <c r="C56" s="372" t="s">
        <v>709</v>
      </c>
      <c r="D56" s="1856">
        <v>221</v>
      </c>
      <c r="E56" s="142">
        <f>+'ANEXOA-MODIFICADO'!D389</f>
        <v>210.88</v>
      </c>
      <c r="F56" s="142">
        <f>+'ANEXOA-MODIFICADO'!E389</f>
        <v>244.75</v>
      </c>
      <c r="G56" s="142">
        <f>+'ANEXOA-MODIFICADO'!F389</f>
        <v>245.85</v>
      </c>
      <c r="H56" s="142">
        <f>+'ANEXOA-MODIFICADO'!G389</f>
        <v>245.73</v>
      </c>
      <c r="I56" s="142">
        <f>+'ANEXOA-MODIFICADO'!H389</f>
        <v>246.67</v>
      </c>
      <c r="J56" s="142">
        <f>+'ANEXOA-MODIFICADO'!I389</f>
        <v>247.2</v>
      </c>
      <c r="K56" s="142">
        <f>+'ANEXOA-MODIFICADO'!J389</f>
        <v>248.76</v>
      </c>
      <c r="L56" s="142">
        <f>+'ANEXOA-MODIFICADO'!K389</f>
        <v>250.77</v>
      </c>
      <c r="M56" s="142">
        <f>+'ANEXOA-MODIFICADO'!L389</f>
        <v>255.07</v>
      </c>
      <c r="N56" s="142">
        <f>+'ANEXOA-MODIFICADO'!M389</f>
        <v>257.17</v>
      </c>
      <c r="O56" s="142">
        <f>+'ANEXOA-MODIFICADO'!N389</f>
        <v>257.77</v>
      </c>
      <c r="P56" s="288">
        <f>+'ANEXOA-MODIFICADO'!O389</f>
        <v>261.87</v>
      </c>
    </row>
    <row r="57" spans="3:16" ht="18.75" hidden="1" customHeight="1">
      <c r="C57" s="372" t="s">
        <v>710</v>
      </c>
      <c r="D57" s="1856">
        <v>67</v>
      </c>
      <c r="E57" s="142">
        <f>+'TABLA FINAL '!AV87</f>
        <v>431.16</v>
      </c>
      <c r="F57" s="142">
        <f>+'TABLA FINAL '!AW87</f>
        <v>431.16</v>
      </c>
      <c r="G57" s="142">
        <f>+'TABLA FINAL '!AX87</f>
        <v>434.92</v>
      </c>
      <c r="H57" s="142">
        <f>+'TABLA FINAL '!AY87</f>
        <v>434.58</v>
      </c>
      <c r="I57" s="142">
        <f>+'TABLA FINAL '!AZ87</f>
        <v>433.74</v>
      </c>
      <c r="J57" s="142">
        <f>+'TABLA FINAL '!BA87</f>
        <v>430.24</v>
      </c>
      <c r="K57" s="142">
        <f>+'TABLA FINAL '!BB87</f>
        <v>430.24</v>
      </c>
      <c r="L57" s="142">
        <f>+'TABLA FINAL '!BC87</f>
        <v>430.08</v>
      </c>
      <c r="M57" s="142">
        <f>+'TABLA FINAL '!BD87</f>
        <v>430.42</v>
      </c>
      <c r="N57" s="142">
        <f>+'TABLA FINAL '!BE87</f>
        <v>431.1</v>
      </c>
      <c r="O57" s="142">
        <f>+'TABLA FINAL '!BF87</f>
        <v>431.1</v>
      </c>
      <c r="P57" s="288">
        <f>+'TABLA FINAL '!BG87</f>
        <v>431.1</v>
      </c>
    </row>
    <row r="58" spans="3:16" ht="18.75" hidden="1" customHeight="1" thickBot="1">
      <c r="C58" s="373" t="s">
        <v>662</v>
      </c>
      <c r="D58" s="1854">
        <v>4</v>
      </c>
      <c r="E58" s="350">
        <v>6.78</v>
      </c>
      <c r="F58" s="350">
        <v>6.78</v>
      </c>
      <c r="G58" s="350">
        <f>+'ANEXO D'!AJ22</f>
        <v>9.5618289999999995</v>
      </c>
      <c r="H58" s="350">
        <f>+'ANEXO D'!AK22</f>
        <v>10.045543</v>
      </c>
      <c r="I58" s="350">
        <f>+'ANEXO D'!AL22</f>
        <v>10.045543</v>
      </c>
      <c r="J58" s="350">
        <f>+'ANEXO D'!AM22</f>
        <v>10.050000000000001</v>
      </c>
      <c r="K58" s="350">
        <f>+'ANEXO D'!AN22</f>
        <v>10.050000000000001</v>
      </c>
      <c r="L58" s="350">
        <f>+'ANEXO D'!AO22</f>
        <v>10.050000000000001</v>
      </c>
      <c r="M58" s="350">
        <f>+'ANEXO D'!AP22</f>
        <v>10.050000000000001</v>
      </c>
      <c r="N58" s="350">
        <f>+'ANEXO D'!AQ22</f>
        <v>10.045543</v>
      </c>
      <c r="O58" s="350">
        <f>+'ANEXO D'!AR22</f>
        <v>12.129433000000001</v>
      </c>
      <c r="P58" s="354">
        <f>+'ANEXO D'!AS22</f>
        <v>12.129433000000001</v>
      </c>
    </row>
    <row r="59" spans="3:16" ht="25.5" hidden="1" customHeight="1">
      <c r="D59" s="1847"/>
    </row>
    <row r="60" spans="3:16" ht="15.75" hidden="1" customHeight="1" thickBot="1">
      <c r="D60" s="1847"/>
    </row>
    <row r="61" spans="3:16" ht="21" hidden="1" customHeight="1">
      <c r="C61" s="2623" t="s">
        <v>675</v>
      </c>
      <c r="D61" s="1863">
        <v>221</v>
      </c>
      <c r="E61" s="421">
        <f>+E56</f>
        <v>210.88</v>
      </c>
      <c r="F61" s="421">
        <f t="shared" ref="F61:P61" si="10">F56</f>
        <v>244.75</v>
      </c>
      <c r="G61" s="421">
        <f t="shared" si="10"/>
        <v>245.85</v>
      </c>
      <c r="H61" s="421">
        <f t="shared" si="10"/>
        <v>245.73</v>
      </c>
      <c r="I61" s="421">
        <f t="shared" si="10"/>
        <v>246.67</v>
      </c>
      <c r="J61" s="421">
        <f t="shared" si="10"/>
        <v>247.2</v>
      </c>
      <c r="K61" s="421">
        <f t="shared" si="10"/>
        <v>248.76</v>
      </c>
      <c r="L61" s="421">
        <f t="shared" si="10"/>
        <v>250.77</v>
      </c>
      <c r="M61" s="421">
        <f t="shared" si="10"/>
        <v>255.07</v>
      </c>
      <c r="N61" s="421">
        <f t="shared" si="10"/>
        <v>257.17</v>
      </c>
      <c r="O61" s="421">
        <f t="shared" si="10"/>
        <v>257.77</v>
      </c>
      <c r="P61" s="422">
        <f t="shared" si="10"/>
        <v>261.87</v>
      </c>
    </row>
    <row r="62" spans="3:16" ht="21" hidden="1" customHeight="1">
      <c r="C62" s="2624"/>
      <c r="D62" s="1856">
        <v>4</v>
      </c>
      <c r="E62" s="142">
        <f t="shared" ref="E62:P62" si="11">ROUND(100*E58/$E$18,2)</f>
        <v>219.42</v>
      </c>
      <c r="F62" s="142">
        <f t="shared" si="11"/>
        <v>219.42</v>
      </c>
      <c r="G62" s="142">
        <f t="shared" si="11"/>
        <v>309.44</v>
      </c>
      <c r="H62" s="142">
        <f t="shared" si="11"/>
        <v>325.10000000000002</v>
      </c>
      <c r="I62" s="142">
        <f t="shared" si="11"/>
        <v>325.10000000000002</v>
      </c>
      <c r="J62" s="289">
        <f t="shared" si="11"/>
        <v>325.24</v>
      </c>
      <c r="K62" s="142">
        <f t="shared" si="11"/>
        <v>325.24</v>
      </c>
      <c r="L62" s="142">
        <f t="shared" si="11"/>
        <v>325.24</v>
      </c>
      <c r="M62" s="287">
        <f t="shared" si="11"/>
        <v>325.24</v>
      </c>
      <c r="N62" s="127">
        <f t="shared" si="11"/>
        <v>325.10000000000002</v>
      </c>
      <c r="O62" s="142">
        <f t="shared" si="11"/>
        <v>392.54</v>
      </c>
      <c r="P62" s="288">
        <f t="shared" si="11"/>
        <v>392.54</v>
      </c>
    </row>
    <row r="63" spans="3:16" ht="21" hidden="1" customHeight="1" thickBot="1">
      <c r="C63" s="2625"/>
      <c r="D63" s="1854">
        <v>67</v>
      </c>
      <c r="E63" s="350">
        <f t="shared" ref="E63:P63" si="12">ROUND(100*E57/$E$17,2)</f>
        <v>341.65</v>
      </c>
      <c r="F63" s="350">
        <f t="shared" si="12"/>
        <v>341.65</v>
      </c>
      <c r="G63" s="350">
        <f t="shared" si="12"/>
        <v>344.63</v>
      </c>
      <c r="H63" s="350">
        <f t="shared" si="12"/>
        <v>344.36</v>
      </c>
      <c r="I63" s="447">
        <f t="shared" si="12"/>
        <v>343.69</v>
      </c>
      <c r="J63" s="447">
        <f t="shared" si="12"/>
        <v>340.92</v>
      </c>
      <c r="K63" s="447">
        <f t="shared" si="12"/>
        <v>340.92</v>
      </c>
      <c r="L63" s="447">
        <f t="shared" si="12"/>
        <v>340.79</v>
      </c>
      <c r="M63" s="448">
        <f t="shared" si="12"/>
        <v>341.06</v>
      </c>
      <c r="N63" s="381">
        <f t="shared" si="12"/>
        <v>341.6</v>
      </c>
      <c r="O63" s="350">
        <f t="shared" si="12"/>
        <v>341.6</v>
      </c>
      <c r="P63" s="354">
        <f t="shared" si="12"/>
        <v>341.6</v>
      </c>
    </row>
    <row r="64" spans="3:16" ht="15.75" hidden="1" customHeight="1">
      <c r="C64" s="1852"/>
      <c r="D64" s="120"/>
      <c r="H64" s="265"/>
      <c r="I64" s="265"/>
      <c r="J64" s="265"/>
      <c r="K64" s="265"/>
      <c r="L64" s="265"/>
    </row>
    <row r="65" spans="3:16" ht="25.5" hidden="1" customHeight="1" thickBot="1">
      <c r="C65" s="3" t="s">
        <v>713</v>
      </c>
    </row>
    <row r="66" spans="3:16" ht="21.75" hidden="1" customHeight="1" thickBot="1">
      <c r="C66" s="2775" t="s">
        <v>714</v>
      </c>
      <c r="D66" s="2775"/>
      <c r="E66" s="1857">
        <f t="shared" ref="E66:P66" si="13">ROUND(+$E$11*E56+$E$12*E63+$E$13*E62,2)</f>
        <v>316.35000000000002</v>
      </c>
      <c r="F66" s="1857">
        <f t="shared" si="13"/>
        <v>319.74</v>
      </c>
      <c r="G66" s="1857">
        <f t="shared" si="13"/>
        <v>331.23</v>
      </c>
      <c r="H66" s="1857">
        <f t="shared" si="13"/>
        <v>332.57</v>
      </c>
      <c r="I66" s="1857">
        <f t="shared" si="13"/>
        <v>332.13</v>
      </c>
      <c r="J66" s="1857">
        <f t="shared" si="13"/>
        <v>329.98</v>
      </c>
      <c r="K66" s="1857">
        <f t="shared" si="13"/>
        <v>330.14</v>
      </c>
      <c r="L66" s="1857">
        <f t="shared" si="13"/>
        <v>330.23</v>
      </c>
      <c r="M66" s="1857">
        <f t="shared" si="13"/>
        <v>330.88</v>
      </c>
      <c r="N66" s="1857">
        <f t="shared" si="13"/>
        <v>331.51</v>
      </c>
      <c r="O66" s="1857">
        <f t="shared" si="13"/>
        <v>338.31</v>
      </c>
      <c r="P66" s="1857">
        <f t="shared" si="13"/>
        <v>338.72</v>
      </c>
    </row>
    <row r="67" spans="3:16" ht="23.25" hidden="1" customHeight="1" thickBot="1"/>
    <row r="68" spans="3:16" ht="29.25" hidden="1" customHeight="1">
      <c r="C68" s="1855" t="s">
        <v>673</v>
      </c>
      <c r="D68" s="1240" t="s">
        <v>831</v>
      </c>
      <c r="E68" s="1849">
        <v>38718</v>
      </c>
      <c r="F68" s="1849">
        <v>38749</v>
      </c>
      <c r="G68" s="1849">
        <v>38777</v>
      </c>
      <c r="H68" s="1849">
        <v>38808</v>
      </c>
      <c r="I68" s="1849">
        <v>38838</v>
      </c>
      <c r="J68" s="1849">
        <v>38869</v>
      </c>
      <c r="K68" s="1849">
        <v>38899</v>
      </c>
      <c r="L68" s="1849">
        <v>38930</v>
      </c>
      <c r="M68" s="1849">
        <v>38961</v>
      </c>
      <c r="N68" s="1849">
        <v>38991</v>
      </c>
      <c r="O68" s="1849">
        <v>39022</v>
      </c>
      <c r="P68" s="1850">
        <v>39052</v>
      </c>
    </row>
    <row r="69" spans="3:16" ht="18.75" hidden="1" customHeight="1">
      <c r="C69" s="372" t="s">
        <v>709</v>
      </c>
      <c r="D69" s="1856">
        <v>221</v>
      </c>
      <c r="E69" s="142">
        <f>+'ANEXOA-MODIFICADO'!D395</f>
        <v>264.17</v>
      </c>
      <c r="F69" s="142">
        <f>+'ANEXOA-MODIFICADO'!E395</f>
        <v>266.12</v>
      </c>
      <c r="G69" s="142">
        <f>+'ANEXOA-MODIFICADO'!F395</f>
        <v>268.56</v>
      </c>
      <c r="H69" s="142">
        <f>+'ANEXOA-MODIFICADO'!G395</f>
        <v>269.23</v>
      </c>
      <c r="I69" s="142">
        <f>+'ANEXOA-MODIFICADO'!H395</f>
        <v>269.91000000000003</v>
      </c>
      <c r="J69" s="142">
        <f>+'ANEXOA-MODIFICADO'!I395</f>
        <v>273.51</v>
      </c>
      <c r="K69" s="142">
        <f>+'ANEXOA-MODIFICADO'!J395</f>
        <v>277.93</v>
      </c>
      <c r="L69" s="142">
        <f>+'ANEXOA-MODIFICADO'!K395</f>
        <v>281.19</v>
      </c>
      <c r="M69" s="142">
        <f>+'ANEXOA-MODIFICADO'!L395</f>
        <v>283.33999999999997</v>
      </c>
      <c r="N69" s="142">
        <f>+'ANEXOA-MODIFICADO'!M395</f>
        <v>285.17</v>
      </c>
      <c r="O69" s="142">
        <f>+'ANEXOA-MODIFICADO'!N395</f>
        <v>284.43</v>
      </c>
      <c r="P69" s="288">
        <f>+'ANEXOA-MODIFICADO'!O395</f>
        <v>285.69</v>
      </c>
    </row>
    <row r="70" spans="3:16" ht="18.75" hidden="1" customHeight="1">
      <c r="C70" s="372" t="s">
        <v>710</v>
      </c>
      <c r="D70" s="1856">
        <v>67</v>
      </c>
      <c r="E70" s="142">
        <f>+'TABLA FINAL '!BH87</f>
        <v>431.1</v>
      </c>
      <c r="F70" s="142">
        <f>+'TABLA FINAL '!BI87</f>
        <v>431.1</v>
      </c>
      <c r="G70" s="142">
        <f>+'TABLA FINAL '!BJ87</f>
        <v>441.23</v>
      </c>
      <c r="H70" s="142">
        <f>+'TABLA FINAL '!BK87</f>
        <v>431.2</v>
      </c>
      <c r="I70" s="142">
        <f>+'TABLA FINAL '!BL87</f>
        <v>431.2</v>
      </c>
      <c r="J70" s="142">
        <f>+'TABLA FINAL '!BM87</f>
        <v>431.25</v>
      </c>
      <c r="K70" s="142">
        <f>+'TABLA FINAL '!BN87</f>
        <v>431.25</v>
      </c>
      <c r="L70" s="142">
        <f>+'TABLA FINAL '!BO87</f>
        <v>431.25</v>
      </c>
      <c r="M70" s="142">
        <f>+'TABLA FINAL '!BP87</f>
        <v>432.07</v>
      </c>
      <c r="N70" s="142">
        <f>+'TABLA FINAL '!BQ87</f>
        <v>431.25</v>
      </c>
      <c r="O70" s="142">
        <f>+'TABLA FINAL '!BR87</f>
        <v>431.2</v>
      </c>
      <c r="P70" s="288">
        <f>+'TABLA FINAL '!BS87</f>
        <v>431.2</v>
      </c>
    </row>
    <row r="71" spans="3:16" ht="18.75" hidden="1" customHeight="1" thickBot="1">
      <c r="C71" s="373" t="s">
        <v>662</v>
      </c>
      <c r="D71" s="1854">
        <v>4</v>
      </c>
      <c r="E71" s="350">
        <f>+'ANEXO D'!AT67</f>
        <v>12.75847731818182</v>
      </c>
      <c r="F71" s="350">
        <f>+'ANEXO D'!AU67</f>
        <v>12.75847731818182</v>
      </c>
      <c r="G71" s="350">
        <f>+'ANEXO D'!AV67</f>
        <v>12.75847731818182</v>
      </c>
      <c r="H71" s="350">
        <f>+'ANEXO D'!AW67</f>
        <v>13.387248909090911</v>
      </c>
      <c r="I71" s="350">
        <f>+'ANEXO D'!AX67</f>
        <v>14.472594781818183</v>
      </c>
      <c r="J71" s="350">
        <f>+'ANEXO D'!AY67</f>
        <v>14.473413727272728</v>
      </c>
      <c r="K71" s="350">
        <f>+'ANEXO D'!AZ67</f>
        <v>14.977185318181817</v>
      </c>
      <c r="L71" s="350">
        <f>+'ANEXO D'!BA67</f>
        <v>14.977685318181818</v>
      </c>
      <c r="M71" s="350">
        <f>+'ANEXO D'!BB67</f>
        <v>11.71092</v>
      </c>
      <c r="N71" s="350">
        <f>+'ANEXO D'!BC67</f>
        <v>16.402142727272725</v>
      </c>
      <c r="O71" s="350">
        <f>+'ANEXO D'!BD67</f>
        <v>16.402142727272725</v>
      </c>
      <c r="P71" s="354">
        <f>+'ANEXO D'!BE67</f>
        <v>16.402142727272725</v>
      </c>
    </row>
    <row r="72" spans="3:16" ht="12.75" hidden="1" customHeight="1">
      <c r="D72" s="1847"/>
    </row>
    <row r="73" spans="3:16" ht="9.75" hidden="1" customHeight="1" thickBot="1">
      <c r="D73" s="1847"/>
    </row>
    <row r="74" spans="3:16" ht="21" hidden="1" customHeight="1">
      <c r="C74" s="2623" t="s">
        <v>675</v>
      </c>
      <c r="D74" s="1863">
        <v>221</v>
      </c>
      <c r="E74" s="421">
        <f t="shared" ref="E74:J74" si="14">+E69</f>
        <v>264.17</v>
      </c>
      <c r="F74" s="421">
        <f t="shared" si="14"/>
        <v>266.12</v>
      </c>
      <c r="G74" s="421">
        <f t="shared" si="14"/>
        <v>268.56</v>
      </c>
      <c r="H74" s="421">
        <f t="shared" si="14"/>
        <v>269.23</v>
      </c>
      <c r="I74" s="421">
        <f t="shared" si="14"/>
        <v>269.91000000000003</v>
      </c>
      <c r="J74" s="421">
        <f t="shared" si="14"/>
        <v>273.51</v>
      </c>
      <c r="K74" s="421">
        <f t="shared" ref="K74:P74" si="15">+K69</f>
        <v>277.93</v>
      </c>
      <c r="L74" s="421">
        <f t="shared" si="15"/>
        <v>281.19</v>
      </c>
      <c r="M74" s="421">
        <f t="shared" si="15"/>
        <v>283.33999999999997</v>
      </c>
      <c r="N74" s="421">
        <f t="shared" si="15"/>
        <v>285.17</v>
      </c>
      <c r="O74" s="421">
        <f t="shared" si="15"/>
        <v>284.43</v>
      </c>
      <c r="P74" s="422">
        <f t="shared" si="15"/>
        <v>285.69</v>
      </c>
    </row>
    <row r="75" spans="3:16" ht="21" hidden="1" customHeight="1">
      <c r="C75" s="2624"/>
      <c r="D75" s="1856">
        <v>4</v>
      </c>
      <c r="E75" s="142">
        <f t="shared" ref="E75:J75" si="16">ROUND(100*E71/$E$18,2)</f>
        <v>412.9</v>
      </c>
      <c r="F75" s="142">
        <f t="shared" si="16"/>
        <v>412.9</v>
      </c>
      <c r="G75" s="142">
        <f t="shared" si="16"/>
        <v>412.9</v>
      </c>
      <c r="H75" s="142">
        <f t="shared" si="16"/>
        <v>433.24</v>
      </c>
      <c r="I75" s="142">
        <f t="shared" si="16"/>
        <v>468.37</v>
      </c>
      <c r="J75" s="142">
        <f t="shared" si="16"/>
        <v>468.4</v>
      </c>
      <c r="K75" s="142">
        <f t="shared" ref="K75:P75" si="17">ROUND(100*K71/$E$18,2)</f>
        <v>484.7</v>
      </c>
      <c r="L75" s="142">
        <f t="shared" si="17"/>
        <v>484.71</v>
      </c>
      <c r="M75" s="142">
        <f t="shared" si="17"/>
        <v>378.99</v>
      </c>
      <c r="N75" s="142">
        <f t="shared" si="17"/>
        <v>530.80999999999995</v>
      </c>
      <c r="O75" s="142">
        <f t="shared" si="17"/>
        <v>530.80999999999995</v>
      </c>
      <c r="P75" s="288">
        <f t="shared" si="17"/>
        <v>530.80999999999995</v>
      </c>
    </row>
    <row r="76" spans="3:16" ht="21" hidden="1" customHeight="1" thickBot="1">
      <c r="C76" s="2625"/>
      <c r="D76" s="1854">
        <v>67</v>
      </c>
      <c r="E76" s="350">
        <f t="shared" ref="E76:J76" si="18">ROUND(100*E70/$E$17,2)</f>
        <v>341.6</v>
      </c>
      <c r="F76" s="350">
        <f t="shared" si="18"/>
        <v>341.6</v>
      </c>
      <c r="G76" s="350">
        <f t="shared" si="18"/>
        <v>349.63</v>
      </c>
      <c r="H76" s="350">
        <f t="shared" si="18"/>
        <v>341.68</v>
      </c>
      <c r="I76" s="350">
        <f t="shared" si="18"/>
        <v>341.68</v>
      </c>
      <c r="J76" s="350">
        <f t="shared" si="18"/>
        <v>341.72</v>
      </c>
      <c r="K76" s="350">
        <f t="shared" ref="K76:P76" si="19">ROUND(100*K70/$E$17,2)</f>
        <v>341.72</v>
      </c>
      <c r="L76" s="350">
        <f t="shared" si="19"/>
        <v>341.72</v>
      </c>
      <c r="M76" s="350">
        <f t="shared" si="19"/>
        <v>342.37</v>
      </c>
      <c r="N76" s="350">
        <f t="shared" si="19"/>
        <v>341.72</v>
      </c>
      <c r="O76" s="350">
        <f t="shared" si="19"/>
        <v>341.68</v>
      </c>
      <c r="P76" s="354">
        <f t="shared" si="19"/>
        <v>341.68</v>
      </c>
    </row>
    <row r="77" spans="3:16" ht="12" hidden="1" customHeight="1">
      <c r="C77" s="1852"/>
      <c r="D77" s="120"/>
      <c r="H77" s="265"/>
      <c r="I77" s="265"/>
      <c r="J77" s="265"/>
      <c r="K77" s="265"/>
      <c r="L77" s="265"/>
      <c r="M77" s="265"/>
    </row>
    <row r="78" spans="3:16" ht="25.5" hidden="1" customHeight="1" thickBot="1">
      <c r="C78" s="3" t="s">
        <v>713</v>
      </c>
    </row>
    <row r="79" spans="3:16" ht="22.5" hidden="1" customHeight="1" thickBot="1">
      <c r="C79" s="2775" t="s">
        <v>714</v>
      </c>
      <c r="D79" s="2775"/>
      <c r="E79" s="1355">
        <f t="shared" ref="E79:O79" si="20">ROUND(+$E$11*E69+$E$12*E76+$E$13*E75,2)</f>
        <v>340.99</v>
      </c>
      <c r="F79" s="1355">
        <f t="shared" si="20"/>
        <v>341.18</v>
      </c>
      <c r="G79" s="1355">
        <f>ROUND(+$E$11*G69+$E$12*G76+$E$13*G75,2)</f>
        <v>347.85</v>
      </c>
      <c r="H79" s="1355">
        <f t="shared" si="20"/>
        <v>343.59</v>
      </c>
      <c r="I79" s="1857">
        <f t="shared" si="20"/>
        <v>347.17</v>
      </c>
      <c r="J79" s="1857">
        <f>ROUND(+$E$11*J69+$E$12*J76+$E$13*J75,2)</f>
        <v>347.57</v>
      </c>
      <c r="K79" s="1857">
        <f t="shared" si="20"/>
        <v>349.64</v>
      </c>
      <c r="L79" s="1857">
        <f t="shared" si="20"/>
        <v>349.97</v>
      </c>
      <c r="M79" s="1857">
        <f>ROUND(+$E$11*M69+$E$12*M76+$E$13*M75,2)</f>
        <v>340.13</v>
      </c>
      <c r="N79" s="1857">
        <f t="shared" si="20"/>
        <v>354.97</v>
      </c>
      <c r="O79" s="1857">
        <f t="shared" si="20"/>
        <v>354.87</v>
      </c>
      <c r="P79" s="1857">
        <f>ROUND(+$E$11*P69+$E$12*P76+$E$13*P75,2)</f>
        <v>354.99</v>
      </c>
    </row>
    <row r="80" spans="3:16" ht="15.75" hidden="1" customHeight="1" thickBot="1"/>
    <row r="81" spans="3:16" ht="28.5" hidden="1" customHeight="1">
      <c r="C81" s="1855" t="s">
        <v>673</v>
      </c>
      <c r="D81" s="1240" t="s">
        <v>831</v>
      </c>
      <c r="E81" s="1849">
        <v>39083</v>
      </c>
      <c r="F81" s="1849">
        <v>39114</v>
      </c>
      <c r="G81" s="1849">
        <v>39142</v>
      </c>
      <c r="H81" s="1849">
        <v>39173</v>
      </c>
      <c r="I81" s="1849">
        <v>39203</v>
      </c>
      <c r="J81" s="1849">
        <v>39234</v>
      </c>
      <c r="K81" s="1849">
        <v>39264</v>
      </c>
      <c r="L81" s="1849">
        <v>39295</v>
      </c>
      <c r="M81" s="1849">
        <v>39326</v>
      </c>
      <c r="N81" s="1849">
        <v>39356</v>
      </c>
      <c r="O81" s="1849">
        <v>39387</v>
      </c>
      <c r="P81" s="1850">
        <v>39417</v>
      </c>
    </row>
    <row r="82" spans="3:16" ht="18.75" hidden="1" customHeight="1">
      <c r="C82" s="372" t="s">
        <v>709</v>
      </c>
      <c r="D82" s="1856">
        <v>221</v>
      </c>
      <c r="E82" s="142">
        <f>+'ANEXOA-MODIFICADO'!D401</f>
        <v>285.86</v>
      </c>
      <c r="F82" s="142">
        <f>+'ANEXOA-MODIFICADO'!E401</f>
        <v>288.51</v>
      </c>
      <c r="G82" s="142">
        <f>+'ANEXOA-MODIFICADO'!F401</f>
        <v>289.39</v>
      </c>
      <c r="H82" s="142">
        <f>+'ANEXOA-MODIFICADO'!G401</f>
        <v>292.55</v>
      </c>
      <c r="I82" s="142">
        <f>+'ANEXOA-MODIFICADO'!H401</f>
        <v>296.19</v>
      </c>
      <c r="J82" s="142">
        <f>+'ANEXOA-MODIFICADO'!I401</f>
        <v>298.33</v>
      </c>
      <c r="K82" s="142">
        <f>+'ANEXOA-MODIFICADO'!J401</f>
        <v>301.55</v>
      </c>
      <c r="L82" s="142">
        <f>+'ANEXOA-MODIFICADO'!K401</f>
        <v>309.32</v>
      </c>
      <c r="M82" s="142">
        <f>+'ANEXOA-MODIFICADO'!L401</f>
        <v>312.04000000000002</v>
      </c>
      <c r="N82" s="142">
        <f>+'ANEXOA-MODIFICADO'!M401</f>
        <v>316.22000000000003</v>
      </c>
      <c r="O82" s="142">
        <f>+'ANEXOA-MODIFICADO'!N401</f>
        <v>320.13</v>
      </c>
      <c r="P82" s="288">
        <f>+'ANEXOA-MODIFICADO'!O401</f>
        <v>324.36</v>
      </c>
    </row>
    <row r="83" spans="3:16" ht="18.75" hidden="1" customHeight="1">
      <c r="C83" s="372" t="s">
        <v>710</v>
      </c>
      <c r="D83" s="1856">
        <v>67</v>
      </c>
      <c r="E83" s="142">
        <f>+'TABLA FINAL '!BT87</f>
        <v>431.2</v>
      </c>
      <c r="F83" s="142">
        <f>+'TABLA FINAL '!BU87</f>
        <v>431.25</v>
      </c>
      <c r="G83" s="142">
        <f>+'TABLA FINAL '!BV87</f>
        <v>431.25</v>
      </c>
      <c r="H83" s="142">
        <f>+'TABLA FINAL '!BW87</f>
        <v>431.25</v>
      </c>
      <c r="I83" s="142">
        <f>+'TABLA FINAL '!BX87</f>
        <v>435.57</v>
      </c>
      <c r="J83" s="142">
        <f>+'TABLA FINAL '!BY87</f>
        <v>437.96</v>
      </c>
      <c r="K83" s="142">
        <f>+'TABLA FINAL '!BZ87</f>
        <v>444.17</v>
      </c>
      <c r="L83" s="142">
        <f>+'TABLA FINAL '!CA87</f>
        <v>440.98</v>
      </c>
      <c r="M83" s="142">
        <f>+'TABLA FINAL '!CB87</f>
        <v>443.35</v>
      </c>
      <c r="N83" s="142">
        <f>+'TABLA FINAL '!CC87</f>
        <v>445.21</v>
      </c>
      <c r="O83" s="142">
        <f>+'TABLA FINAL '!CD87</f>
        <v>448.22</v>
      </c>
      <c r="P83" s="288">
        <f>+'TABLA FINAL '!CE87</f>
        <v>456.08</v>
      </c>
    </row>
    <row r="84" spans="3:16" ht="18.75" hidden="1" customHeight="1" thickBot="1">
      <c r="C84" s="373" t="s">
        <v>662</v>
      </c>
      <c r="D84" s="1854">
        <v>4</v>
      </c>
      <c r="E84" s="350">
        <f>+'ANEXO D'!BF67</f>
        <v>17.59504309090909</v>
      </c>
      <c r="F84" s="350">
        <f>+'ANEXO D'!BG67</f>
        <v>17.59504309090909</v>
      </c>
      <c r="G84" s="350">
        <f>+'ANEXO D'!BH67</f>
        <v>17.59504309090909</v>
      </c>
      <c r="H84" s="350">
        <f>+'ANEXO D'!BI67</f>
        <v>17.59504309090909</v>
      </c>
      <c r="I84" s="350">
        <f>+'ANEXO D'!BJ67</f>
        <v>19.342979795454543</v>
      </c>
      <c r="J84" s="350">
        <f>+'ANEXO D'!BK67</f>
        <v>19.343286900000003</v>
      </c>
      <c r="K84" s="350">
        <f>+'ANEXO D'!BL67</f>
        <v>20.499740249999999</v>
      </c>
      <c r="L84" s="350">
        <f>+'ANEXO D'!BM67</f>
        <v>20.500866299999998</v>
      </c>
      <c r="M84" s="350">
        <f>+'ANEXO D'!BN67</f>
        <v>20.500866299999998</v>
      </c>
      <c r="N84" s="350">
        <f>+'ANEXO D'!BO67</f>
        <v>20.494109999999999</v>
      </c>
      <c r="O84" s="350">
        <f>+'ANEXO D'!BP67</f>
        <v>20.494109999999999</v>
      </c>
      <c r="P84" s="354">
        <f>+'ANEXO D'!BQ67</f>
        <v>22.766837272727273</v>
      </c>
    </row>
    <row r="85" spans="3:16" ht="7.5" hidden="1" customHeight="1">
      <c r="D85" s="1847"/>
    </row>
    <row r="86" spans="3:16" ht="7.5" hidden="1" customHeight="1" thickBot="1">
      <c r="D86" s="1847"/>
    </row>
    <row r="87" spans="3:16" ht="21" hidden="1" customHeight="1">
      <c r="C87" s="2623" t="s">
        <v>675</v>
      </c>
      <c r="D87" s="1863">
        <v>221</v>
      </c>
      <c r="E87" s="421">
        <f t="shared" ref="E87:P87" si="21">+E82</f>
        <v>285.86</v>
      </c>
      <c r="F87" s="421">
        <f t="shared" si="21"/>
        <v>288.51</v>
      </c>
      <c r="G87" s="421">
        <f>+G82</f>
        <v>289.39</v>
      </c>
      <c r="H87" s="421">
        <f t="shared" si="21"/>
        <v>292.55</v>
      </c>
      <c r="I87" s="421">
        <f t="shared" si="21"/>
        <v>296.19</v>
      </c>
      <c r="J87" s="421">
        <f t="shared" si="21"/>
        <v>298.33</v>
      </c>
      <c r="K87" s="421">
        <f>+K82</f>
        <v>301.55</v>
      </c>
      <c r="L87" s="421">
        <f>+L82</f>
        <v>309.32</v>
      </c>
      <c r="M87" s="421">
        <f t="shared" si="21"/>
        <v>312.04000000000002</v>
      </c>
      <c r="N87" s="421">
        <f t="shared" si="21"/>
        <v>316.22000000000003</v>
      </c>
      <c r="O87" s="421">
        <f t="shared" si="21"/>
        <v>320.13</v>
      </c>
      <c r="P87" s="422">
        <f t="shared" si="21"/>
        <v>324.36</v>
      </c>
    </row>
    <row r="88" spans="3:16" ht="21" hidden="1" customHeight="1">
      <c r="C88" s="2624"/>
      <c r="D88" s="1856">
        <v>4</v>
      </c>
      <c r="E88" s="142">
        <f t="shared" ref="E88:P88" si="22">ROUND(100*E84/$E$18,2)</f>
        <v>569.41999999999996</v>
      </c>
      <c r="F88" s="142">
        <f t="shared" si="22"/>
        <v>569.41999999999996</v>
      </c>
      <c r="G88" s="142">
        <f>ROUND(100*G84/$E$18,2)</f>
        <v>569.41999999999996</v>
      </c>
      <c r="H88" s="142">
        <f t="shared" si="22"/>
        <v>569.41999999999996</v>
      </c>
      <c r="I88" s="142">
        <f t="shared" si="22"/>
        <v>625.99</v>
      </c>
      <c r="J88" s="142">
        <f t="shared" si="22"/>
        <v>626</v>
      </c>
      <c r="K88" s="142">
        <f>ROUND(100*K84/$E$18,2)</f>
        <v>663.42</v>
      </c>
      <c r="L88" s="142">
        <f>ROUND(100*L84/$E$18,2)</f>
        <v>663.46</v>
      </c>
      <c r="M88" s="142">
        <f t="shared" si="22"/>
        <v>663.46</v>
      </c>
      <c r="N88" s="142">
        <f t="shared" si="22"/>
        <v>663.24</v>
      </c>
      <c r="O88" s="142">
        <f t="shared" si="22"/>
        <v>663.24</v>
      </c>
      <c r="P88" s="288">
        <f t="shared" si="22"/>
        <v>736.79</v>
      </c>
    </row>
    <row r="89" spans="3:16" ht="21" hidden="1" customHeight="1" thickBot="1">
      <c r="C89" s="2625"/>
      <c r="D89" s="1854">
        <v>67</v>
      </c>
      <c r="E89" s="350">
        <f t="shared" ref="E89:P89" si="23">ROUND(100*E83/$E$17,2)</f>
        <v>341.68</v>
      </c>
      <c r="F89" s="350">
        <f t="shared" si="23"/>
        <v>341.72</v>
      </c>
      <c r="G89" s="350">
        <f>ROUND(100*G83/$E$17,2)</f>
        <v>341.72</v>
      </c>
      <c r="H89" s="350">
        <f t="shared" si="23"/>
        <v>341.72</v>
      </c>
      <c r="I89" s="350">
        <f t="shared" si="23"/>
        <v>345.14</v>
      </c>
      <c r="J89" s="350">
        <f t="shared" si="23"/>
        <v>347.04</v>
      </c>
      <c r="K89" s="350">
        <f>ROUND(100*K83/$E$17,2)</f>
        <v>351.96</v>
      </c>
      <c r="L89" s="350">
        <f>ROUND(100*L83/$E$17,2)</f>
        <v>349.43</v>
      </c>
      <c r="M89" s="350">
        <f t="shared" si="23"/>
        <v>351.31</v>
      </c>
      <c r="N89" s="350">
        <f t="shared" si="23"/>
        <v>352.78</v>
      </c>
      <c r="O89" s="350">
        <f t="shared" si="23"/>
        <v>355.17</v>
      </c>
      <c r="P89" s="354">
        <f t="shared" si="23"/>
        <v>361.39</v>
      </c>
    </row>
    <row r="90" spans="3:16" ht="15.75" hidden="1" customHeight="1">
      <c r="C90" s="1852"/>
      <c r="D90" s="120"/>
      <c r="H90" s="265"/>
      <c r="I90" s="265"/>
      <c r="J90" s="265"/>
      <c r="K90" s="265"/>
      <c r="L90" s="265"/>
      <c r="M90" s="265"/>
    </row>
    <row r="91" spans="3:16" ht="25.5" hidden="1" customHeight="1" thickBot="1">
      <c r="C91" s="3" t="s">
        <v>713</v>
      </c>
    </row>
    <row r="92" spans="3:16" ht="22.5" hidden="1" customHeight="1" thickBot="1">
      <c r="C92" s="2775" t="s">
        <v>714</v>
      </c>
      <c r="D92" s="2775"/>
      <c r="E92" s="1857">
        <f t="shared" ref="E92:P92" si="24">ROUND(+$E$11*E82+$E$12*E89+$E$13*E88,2)</f>
        <v>358.87</v>
      </c>
      <c r="F92" s="1857">
        <f t="shared" si="24"/>
        <v>359.17</v>
      </c>
      <c r="G92" s="1857">
        <f t="shared" si="24"/>
        <v>359.26</v>
      </c>
      <c r="H92" s="1857">
        <f t="shared" si="24"/>
        <v>359.57</v>
      </c>
      <c r="I92" s="1857">
        <f>ROUND(+$E$11*I82+$E$12*I89+$E$13*I88,2)</f>
        <v>368.33</v>
      </c>
      <c r="J92" s="1857">
        <f t="shared" si="24"/>
        <v>370.07</v>
      </c>
      <c r="K92" s="1857">
        <f t="shared" si="24"/>
        <v>378.07</v>
      </c>
      <c r="L92" s="1857">
        <f>ROUND(+$E$11*L82+$E$12*L89+$E$13*L88,2)</f>
        <v>376.82</v>
      </c>
      <c r="M92" s="1857">
        <f t="shared" si="24"/>
        <v>378.6</v>
      </c>
      <c r="N92" s="1857">
        <f t="shared" si="24"/>
        <v>380.17</v>
      </c>
      <c r="O92" s="1857">
        <f t="shared" si="24"/>
        <v>382.47</v>
      </c>
      <c r="P92" s="1857">
        <f t="shared" si="24"/>
        <v>395.23</v>
      </c>
    </row>
    <row r="93" spans="3:16" ht="15.75" hidden="1" customHeight="1" thickBot="1"/>
    <row r="94" spans="3:16" ht="30.75" hidden="1" customHeight="1">
      <c r="C94" s="1855" t="s">
        <v>673</v>
      </c>
      <c r="D94" s="1240" t="s">
        <v>831</v>
      </c>
      <c r="E94" s="1849">
        <v>39448</v>
      </c>
      <c r="F94" s="1849">
        <v>39479</v>
      </c>
      <c r="G94" s="1849">
        <v>39508</v>
      </c>
      <c r="H94" s="1849">
        <v>39539</v>
      </c>
      <c r="I94" s="1849">
        <v>39569</v>
      </c>
      <c r="J94" s="1849">
        <v>39600</v>
      </c>
      <c r="K94" s="1849">
        <v>39630</v>
      </c>
      <c r="L94" s="1849">
        <v>39661</v>
      </c>
      <c r="M94" s="1849">
        <v>39692</v>
      </c>
      <c r="N94" s="1849">
        <v>39722</v>
      </c>
      <c r="O94" s="1849">
        <v>39753</v>
      </c>
      <c r="P94" s="1850">
        <v>39783</v>
      </c>
    </row>
    <row r="95" spans="3:16" ht="18.75" hidden="1" customHeight="1">
      <c r="C95" s="372" t="s">
        <v>709</v>
      </c>
      <c r="D95" s="1856">
        <v>221</v>
      </c>
      <c r="E95" s="142">
        <f>+'ANEXOA-MODIFICADO'!D407</f>
        <v>334.34</v>
      </c>
      <c r="F95" s="142">
        <f>+'ANEXOA-MODIFICADO'!E407</f>
        <v>335.32</v>
      </c>
      <c r="G95" s="142">
        <f>+'ANEXOA-MODIFICADO'!F407</f>
        <v>341.37</v>
      </c>
      <c r="H95" s="142">
        <f>+'ANEXOA-MODIFICADO'!G407</f>
        <v>345.57</v>
      </c>
      <c r="I95" s="142">
        <f>+'ANEXOA-MODIFICADO'!H407</f>
        <v>348.69</v>
      </c>
      <c r="J95" s="142">
        <f>+'ANEXOA-MODIFICADO'!I407</f>
        <v>353.86</v>
      </c>
      <c r="K95" s="142">
        <f>+'ANEXOA-MODIFICADO'!J407</f>
        <v>358.99</v>
      </c>
      <c r="L95" s="142">
        <f>+'ANEXOA-MODIFICADO'!K407</f>
        <v>364.2</v>
      </c>
      <c r="M95" s="142">
        <f>+'ANEXOA-MODIFICADO'!L407</f>
        <v>369.4</v>
      </c>
      <c r="N95" s="142">
        <f>+'ANEXOA-MODIFICADO'!M407</f>
        <v>373.73</v>
      </c>
      <c r="O95" s="142">
        <f>+'ANEXOA-MODIFICADO'!N407</f>
        <v>379.24</v>
      </c>
      <c r="P95" s="288">
        <f>+'ANEXOA-MODIFICADO'!O407</f>
        <v>381.48</v>
      </c>
    </row>
    <row r="96" spans="3:16" ht="18.75" hidden="1" customHeight="1">
      <c r="C96" s="372" t="s">
        <v>710</v>
      </c>
      <c r="D96" s="1856">
        <v>67</v>
      </c>
      <c r="E96" s="142">
        <f>+'TABLA FINAL '!CF87</f>
        <v>448.6</v>
      </c>
      <c r="F96" s="142">
        <f>+'TABLA FINAL '!CG87</f>
        <v>420.39</v>
      </c>
      <c r="G96" s="142">
        <f>+'TABLA FINAL '!CH87</f>
        <v>418.16</v>
      </c>
      <c r="H96" s="142">
        <f>+'TABLA FINAL '!CI87</f>
        <v>423.22</v>
      </c>
      <c r="I96" s="142">
        <f>+'TABLA FINAL '!CJ87</f>
        <v>438.77</v>
      </c>
      <c r="J96" s="142">
        <f>+'TABLA FINAL '!CK87</f>
        <v>448.78</v>
      </c>
      <c r="K96" s="142">
        <f>+'TABLA FINAL '!CL87</f>
        <v>454.18</v>
      </c>
      <c r="L96" s="142">
        <f>+'TABLA FINAL '!CM87</f>
        <v>450.71</v>
      </c>
      <c r="M96" s="142">
        <f>+'TABLA FINAL '!CN87</f>
        <v>453.07</v>
      </c>
      <c r="N96" s="142">
        <f>+'TABLA FINAL '!CO87</f>
        <v>454.67</v>
      </c>
      <c r="O96" s="142">
        <f>+'TABLA FINAL '!CP87</f>
        <v>458.77</v>
      </c>
      <c r="P96" s="288">
        <f>+'TABLA FINAL '!CQ87</f>
        <v>463.22</v>
      </c>
    </row>
    <row r="97" spans="3:16" ht="18.75" hidden="1" customHeight="1" thickBot="1">
      <c r="C97" s="373" t="s">
        <v>662</v>
      </c>
      <c r="D97" s="1854">
        <v>4</v>
      </c>
      <c r="E97" s="350">
        <f>+'ANEXO D'!BR67</f>
        <v>20.494109999999999</v>
      </c>
      <c r="F97" s="350">
        <f>+'ANEXO D'!BS67</f>
        <v>20.494109999999999</v>
      </c>
      <c r="G97" s="350">
        <f>+'ANEXO D'!BT67</f>
        <v>20.494109999999999</v>
      </c>
      <c r="H97" s="350">
        <f>+'ANEXO D'!BU67</f>
        <v>22.543520999999998</v>
      </c>
      <c r="I97" s="350">
        <f>+'ANEXO D'!BV67</f>
        <v>22.969520999999997</v>
      </c>
      <c r="J97" s="350">
        <f>+'ANEXO D'!BW67</f>
        <v>22.543520999999998</v>
      </c>
      <c r="K97" s="350">
        <f>+'ANEXO D'!BX67</f>
        <v>23.982966000000001</v>
      </c>
      <c r="L97" s="350">
        <f>+'ANEXO D'!BY67</f>
        <v>23.556966000000003</v>
      </c>
      <c r="M97" s="350">
        <f>+'ANEXO D'!BZ67</f>
        <v>24.124966000000004</v>
      </c>
      <c r="N97" s="350">
        <f>+'ANEXO D'!CA67</f>
        <v>24.480326999999999</v>
      </c>
      <c r="O97" s="350">
        <f>+'ANEXO D'!CB67</f>
        <v>24.480326999999999</v>
      </c>
      <c r="P97" s="354">
        <f>+'ANEXO D'!CC67</f>
        <v>24.480326999999999</v>
      </c>
    </row>
    <row r="98" spans="3:16" ht="7.5" hidden="1" customHeight="1">
      <c r="D98" s="1847"/>
    </row>
    <row r="99" spans="3:16" ht="11.25" hidden="1" customHeight="1" thickBot="1">
      <c r="D99" s="1847"/>
    </row>
    <row r="100" spans="3:16" ht="21" hidden="1" customHeight="1">
      <c r="C100" s="2623" t="s">
        <v>675</v>
      </c>
      <c r="D100" s="1863">
        <v>221</v>
      </c>
      <c r="E100" s="421">
        <f t="shared" ref="E100:P100" si="25">+E95</f>
        <v>334.34</v>
      </c>
      <c r="F100" s="421">
        <f t="shared" si="25"/>
        <v>335.32</v>
      </c>
      <c r="G100" s="421">
        <f t="shared" si="25"/>
        <v>341.37</v>
      </c>
      <c r="H100" s="421">
        <f t="shared" si="25"/>
        <v>345.57</v>
      </c>
      <c r="I100" s="421">
        <f t="shared" si="25"/>
        <v>348.69</v>
      </c>
      <c r="J100" s="421">
        <f t="shared" si="25"/>
        <v>353.86</v>
      </c>
      <c r="K100" s="421">
        <f t="shared" si="25"/>
        <v>358.99</v>
      </c>
      <c r="L100" s="421">
        <f t="shared" si="25"/>
        <v>364.2</v>
      </c>
      <c r="M100" s="421">
        <f t="shared" si="25"/>
        <v>369.4</v>
      </c>
      <c r="N100" s="421">
        <f t="shared" si="25"/>
        <v>373.73</v>
      </c>
      <c r="O100" s="421">
        <f t="shared" si="25"/>
        <v>379.24</v>
      </c>
      <c r="P100" s="422">
        <f t="shared" si="25"/>
        <v>381.48</v>
      </c>
    </row>
    <row r="101" spans="3:16" ht="21" hidden="1" customHeight="1">
      <c r="C101" s="2624"/>
      <c r="D101" s="1856">
        <v>4</v>
      </c>
      <c r="E101" s="142">
        <f t="shared" ref="E101:P101" si="26">ROUND(100*E97/$E$18,2)</f>
        <v>663.24</v>
      </c>
      <c r="F101" s="142">
        <f t="shared" si="26"/>
        <v>663.24</v>
      </c>
      <c r="G101" s="142">
        <f t="shared" si="26"/>
        <v>663.24</v>
      </c>
      <c r="H101" s="142">
        <f t="shared" si="26"/>
        <v>729.56</v>
      </c>
      <c r="I101" s="142">
        <f t="shared" si="26"/>
        <v>743.35</v>
      </c>
      <c r="J101" s="142">
        <f t="shared" si="26"/>
        <v>729.56</v>
      </c>
      <c r="K101" s="142">
        <f t="shared" si="26"/>
        <v>776.15</v>
      </c>
      <c r="L101" s="142">
        <f t="shared" si="26"/>
        <v>762.36</v>
      </c>
      <c r="M101" s="142">
        <f t="shared" si="26"/>
        <v>780.74</v>
      </c>
      <c r="N101" s="142">
        <f t="shared" si="26"/>
        <v>792.24</v>
      </c>
      <c r="O101" s="142">
        <f t="shared" si="26"/>
        <v>792.24</v>
      </c>
      <c r="P101" s="288">
        <f t="shared" si="26"/>
        <v>792.24</v>
      </c>
    </row>
    <row r="102" spans="3:16" ht="21" hidden="1" customHeight="1" thickBot="1">
      <c r="C102" s="2625"/>
      <c r="D102" s="1854">
        <v>67</v>
      </c>
      <c r="E102" s="350">
        <f t="shared" ref="E102:P102" si="27">ROUND(100*E96/$E$17,2)</f>
        <v>355.47</v>
      </c>
      <c r="F102" s="350">
        <f t="shared" si="27"/>
        <v>333.11</v>
      </c>
      <c r="G102" s="350">
        <f t="shared" si="27"/>
        <v>331.35</v>
      </c>
      <c r="H102" s="350">
        <f t="shared" si="27"/>
        <v>335.36</v>
      </c>
      <c r="I102" s="350">
        <f t="shared" si="27"/>
        <v>347.68</v>
      </c>
      <c r="J102" s="350">
        <f t="shared" si="27"/>
        <v>355.61</v>
      </c>
      <c r="K102" s="350">
        <f t="shared" si="27"/>
        <v>359.89</v>
      </c>
      <c r="L102" s="350">
        <f t="shared" si="27"/>
        <v>357.14</v>
      </c>
      <c r="M102" s="350">
        <f t="shared" si="27"/>
        <v>359.01</v>
      </c>
      <c r="N102" s="350">
        <f t="shared" si="27"/>
        <v>360.28</v>
      </c>
      <c r="O102" s="350">
        <f t="shared" si="27"/>
        <v>363.53</v>
      </c>
      <c r="P102" s="354">
        <f t="shared" si="27"/>
        <v>367.05</v>
      </c>
    </row>
    <row r="103" spans="3:16" ht="16.5" hidden="1" customHeight="1">
      <c r="C103" s="1852"/>
      <c r="D103" s="120"/>
      <c r="H103" s="265"/>
      <c r="I103" s="265"/>
      <c r="J103" s="265"/>
      <c r="K103" s="265"/>
      <c r="L103" s="265"/>
      <c r="M103" s="265"/>
    </row>
    <row r="104" spans="3:16" ht="15.75" hidden="1" customHeight="1" thickBot="1">
      <c r="C104" s="3" t="s">
        <v>713</v>
      </c>
    </row>
    <row r="105" spans="3:16" ht="22.5" hidden="1" customHeight="1" thickBot="1">
      <c r="C105" s="2775" t="s">
        <v>714</v>
      </c>
      <c r="D105" s="2775"/>
      <c r="E105" s="1857">
        <f t="shared" ref="E105:O105" si="28">ROUND(+$E$11*E95+$E$12*E102+$E$13*E101,2)</f>
        <v>384.13</v>
      </c>
      <c r="F105" s="1857">
        <f t="shared" si="28"/>
        <v>366.34</v>
      </c>
      <c r="G105" s="1857">
        <f t="shared" si="28"/>
        <v>365.54</v>
      </c>
      <c r="H105" s="1857">
        <f t="shared" si="28"/>
        <v>375.8</v>
      </c>
      <c r="I105" s="1857">
        <f t="shared" si="28"/>
        <v>387.35</v>
      </c>
      <c r="J105" s="1857">
        <f t="shared" si="28"/>
        <v>392.83</v>
      </c>
      <c r="K105" s="1857">
        <f t="shared" si="28"/>
        <v>401.43</v>
      </c>
      <c r="L105" s="1857">
        <f t="shared" si="28"/>
        <v>398.37</v>
      </c>
      <c r="M105" s="1857">
        <f t="shared" si="28"/>
        <v>402.22</v>
      </c>
      <c r="N105" s="1857">
        <f t="shared" si="28"/>
        <v>404.82</v>
      </c>
      <c r="O105" s="1857">
        <f t="shared" si="28"/>
        <v>407.97</v>
      </c>
      <c r="P105" s="1857">
        <f>ROUND(+$E$11*P100+$E$12*P102+$E$13*P101,2)</f>
        <v>411.01</v>
      </c>
    </row>
    <row r="106" spans="3:16" ht="8.25" hidden="1" customHeight="1"/>
    <row r="107" spans="3:16" ht="9.75" hidden="1" customHeight="1" thickBot="1"/>
    <row r="108" spans="3:16" ht="27" hidden="1" customHeight="1">
      <c r="C108" s="1855" t="s">
        <v>673</v>
      </c>
      <c r="D108" s="1240" t="s">
        <v>831</v>
      </c>
      <c r="E108" s="1849">
        <v>39814</v>
      </c>
      <c r="F108" s="1849">
        <v>39846</v>
      </c>
      <c r="G108" s="1849">
        <v>39873</v>
      </c>
      <c r="H108" s="1849">
        <v>39904</v>
      </c>
      <c r="I108" s="1849">
        <v>39934</v>
      </c>
      <c r="J108" s="1849">
        <v>39965</v>
      </c>
      <c r="K108" s="1849">
        <v>39995</v>
      </c>
      <c r="L108" s="1849">
        <v>40026</v>
      </c>
      <c r="M108" s="1849">
        <v>40057</v>
      </c>
      <c r="N108" s="1849">
        <v>40087</v>
      </c>
      <c r="O108" s="1849">
        <v>40118</v>
      </c>
      <c r="P108" s="1850">
        <v>40148</v>
      </c>
    </row>
    <row r="109" spans="3:16" ht="18.75" hidden="1" customHeight="1">
      <c r="C109" s="372" t="s">
        <v>709</v>
      </c>
      <c r="D109" s="1856">
        <v>221</v>
      </c>
      <c r="E109" s="142">
        <f>+'ANEXOA-MODIFICADO'!D413</f>
        <v>384.48</v>
      </c>
      <c r="F109" s="142">
        <f>+'ANEXOA-MODIFICADO'!E413</f>
        <v>385.84</v>
      </c>
      <c r="G109" s="142">
        <f>+'ANEXOA-MODIFICADO'!F413</f>
        <v>388.64</v>
      </c>
      <c r="H109" s="142">
        <f>+'ANEXOA-MODIFICADO'!G413</f>
        <v>390.67</v>
      </c>
      <c r="I109" s="142">
        <f>+'ANEXOA-MODIFICADO'!H413</f>
        <v>393.57</v>
      </c>
      <c r="J109" s="142">
        <f>+'ANEXOA-MODIFICADO'!I413</f>
        <v>395.24</v>
      </c>
      <c r="K109" s="142">
        <f>+'ANEXOA-MODIFICADO'!J413</f>
        <v>397.65</v>
      </c>
      <c r="L109" s="142">
        <f>+'ANEXOA-MODIFICADO'!K413</f>
        <v>404.51</v>
      </c>
      <c r="M109" s="142">
        <f>+'ANEXOA-MODIFICADO'!L413</f>
        <v>408.01</v>
      </c>
      <c r="N109" s="142">
        <f>+'ANEXOA-MODIFICADO'!M413</f>
        <v>409.55</v>
      </c>
      <c r="O109" s="142">
        <f>+'ANEXOA-MODIFICADO'!N413</f>
        <v>411.82</v>
      </c>
      <c r="P109" s="142">
        <f>+'ANEXOA-MODIFICADO'!O413</f>
        <v>412.89</v>
      </c>
    </row>
    <row r="110" spans="3:16" ht="18.75" hidden="1" customHeight="1">
      <c r="C110" s="372" t="s">
        <v>710</v>
      </c>
      <c r="D110" s="1856">
        <v>67</v>
      </c>
      <c r="E110" s="142">
        <f>+'TABLA FINAL '!CR87</f>
        <v>471.3</v>
      </c>
      <c r="F110" s="142">
        <f>+'TABLA FINAL '!CS87</f>
        <v>482.05</v>
      </c>
      <c r="G110" s="142">
        <f>+'TABLA FINAL '!CT87</f>
        <v>495.91</v>
      </c>
      <c r="H110" s="142">
        <f>+'TABLA FINAL '!CU87</f>
        <v>519.02</v>
      </c>
      <c r="I110" s="142">
        <f>+'TABLA FINAL '!CV87</f>
        <v>534.95000000000005</v>
      </c>
      <c r="J110" s="142">
        <f>+'TABLA FINAL '!CW87</f>
        <v>555.30999999999995</v>
      </c>
      <c r="K110" s="142">
        <f>+'TABLA FINAL '!CX87</f>
        <v>582.22</v>
      </c>
      <c r="L110" s="142">
        <f>+'TABLA FINAL '!CY87</f>
        <v>584.62</v>
      </c>
      <c r="M110" s="142">
        <f>+'TABLA FINAL '!CZ87</f>
        <v>586.39</v>
      </c>
      <c r="N110" s="142">
        <f>+'TABLA FINAL '!DA87</f>
        <v>604.54</v>
      </c>
      <c r="O110" s="142">
        <f>+'TABLA FINAL '!DB87</f>
        <v>606.80999999999995</v>
      </c>
      <c r="P110" s="142">
        <f>+'TABLA FINAL '!DC87</f>
        <v>609.45000000000005</v>
      </c>
    </row>
    <row r="111" spans="3:16" ht="18.75" hidden="1" customHeight="1" thickBot="1">
      <c r="C111" s="373" t="s">
        <v>662</v>
      </c>
      <c r="D111" s="1854">
        <v>4</v>
      </c>
      <c r="E111" s="350">
        <f>+'ANEXO D'!CD67</f>
        <v>24.480326999999999</v>
      </c>
      <c r="F111" s="350">
        <f>+'ANEXO D'!CE67</f>
        <v>24.480326999999999</v>
      </c>
      <c r="G111" s="350">
        <f>+'ANEXO D'!CF67</f>
        <v>24.480326999999999</v>
      </c>
      <c r="H111" s="350">
        <f>+'ANEXO D'!CG67</f>
        <v>24.480326999999999</v>
      </c>
      <c r="I111" s="350">
        <f>+'ANEXO D'!CH67</f>
        <v>25.503054272727272</v>
      </c>
      <c r="J111" s="350">
        <f>+'ANEXO D'!CI67</f>
        <v>26.687384999999999</v>
      </c>
      <c r="K111" s="350">
        <f>+'ANEXO D'!CJ67</f>
        <v>26.687384999999999</v>
      </c>
      <c r="L111" s="350">
        <f>+'ANEXO D'!CK67</f>
        <v>26.687384999999999</v>
      </c>
      <c r="M111" s="350">
        <f>+'ANEXO D'!CL67</f>
        <v>26.687384999999999</v>
      </c>
      <c r="N111" s="350">
        <f>+'ANEXO D'!CM67</f>
        <v>28.286376000000001</v>
      </c>
      <c r="O111" s="350">
        <f>+'ANEXO D'!CN67</f>
        <v>28.286376000000001</v>
      </c>
      <c r="P111" s="350">
        <f>+'ANEXO D'!CO67</f>
        <v>28.286376000000001</v>
      </c>
    </row>
    <row r="112" spans="3:16" ht="5.25" hidden="1" customHeight="1">
      <c r="D112" s="1847"/>
    </row>
    <row r="113" spans="3:16" ht="11.25" hidden="1" customHeight="1" thickBot="1">
      <c r="D113" s="1847"/>
    </row>
    <row r="114" spans="3:16" ht="21" hidden="1" customHeight="1">
      <c r="C114" s="2623" t="s">
        <v>675</v>
      </c>
      <c r="D114" s="1863">
        <v>221</v>
      </c>
      <c r="E114" s="421">
        <f>+E109</f>
        <v>384.48</v>
      </c>
      <c r="F114" s="421">
        <f t="shared" ref="F114:K114" si="29">+F109</f>
        <v>385.84</v>
      </c>
      <c r="G114" s="421">
        <f t="shared" si="29"/>
        <v>388.64</v>
      </c>
      <c r="H114" s="421">
        <f t="shared" si="29"/>
        <v>390.67</v>
      </c>
      <c r="I114" s="421">
        <f t="shared" si="29"/>
        <v>393.57</v>
      </c>
      <c r="J114" s="421">
        <f t="shared" si="29"/>
        <v>395.24</v>
      </c>
      <c r="K114" s="421">
        <f t="shared" si="29"/>
        <v>397.65</v>
      </c>
      <c r="L114" s="421">
        <f>+L109</f>
        <v>404.51</v>
      </c>
      <c r="M114" s="421">
        <f>+M109</f>
        <v>408.01</v>
      </c>
      <c r="N114" s="421">
        <f>+N109</f>
        <v>409.55</v>
      </c>
      <c r="O114" s="421">
        <f>+O109</f>
        <v>411.82</v>
      </c>
      <c r="P114" s="421">
        <f>+P109</f>
        <v>412.89</v>
      </c>
    </row>
    <row r="115" spans="3:16" ht="21" hidden="1" customHeight="1">
      <c r="C115" s="2624"/>
      <c r="D115" s="1856">
        <v>4</v>
      </c>
      <c r="E115" s="142">
        <f>ROUND(100*E111/$E$18,2)</f>
        <v>792.24</v>
      </c>
      <c r="F115" s="142">
        <f t="shared" ref="F115:K115" si="30">ROUND(100*F111/$E$18,2)</f>
        <v>792.24</v>
      </c>
      <c r="G115" s="142">
        <f t="shared" si="30"/>
        <v>792.24</v>
      </c>
      <c r="H115" s="142">
        <f t="shared" si="30"/>
        <v>792.24</v>
      </c>
      <c r="I115" s="142">
        <f t="shared" si="30"/>
        <v>825.34</v>
      </c>
      <c r="J115" s="142">
        <f t="shared" si="30"/>
        <v>863.67</v>
      </c>
      <c r="K115" s="142">
        <f t="shared" si="30"/>
        <v>863.67</v>
      </c>
      <c r="L115" s="142">
        <f>ROUND(100*L111/$E$18,2)</f>
        <v>863.67</v>
      </c>
      <c r="M115" s="142">
        <f>ROUND(100*M111/$E$18,2)</f>
        <v>863.67</v>
      </c>
      <c r="N115" s="142">
        <f>ROUND(100*N111/$E$18,2)</f>
        <v>915.42</v>
      </c>
      <c r="O115" s="142">
        <f>ROUND(100*O111/$E$18,2)</f>
        <v>915.42</v>
      </c>
      <c r="P115" s="142">
        <f>ROUND(100*P111/$E$18,2)</f>
        <v>915.42</v>
      </c>
    </row>
    <row r="116" spans="3:16" ht="21" hidden="1" customHeight="1" thickBot="1">
      <c r="C116" s="2625"/>
      <c r="D116" s="1854">
        <v>67</v>
      </c>
      <c r="E116" s="350">
        <f>ROUND(100*E110/$E$17,2)</f>
        <v>373.45</v>
      </c>
      <c r="F116" s="350">
        <f t="shared" ref="F116:K116" si="31">ROUND(100*F110/$E$17,2)</f>
        <v>381.97</v>
      </c>
      <c r="G116" s="350">
        <f t="shared" si="31"/>
        <v>392.96</v>
      </c>
      <c r="H116" s="350">
        <f t="shared" si="31"/>
        <v>411.27</v>
      </c>
      <c r="I116" s="350">
        <f t="shared" si="31"/>
        <v>423.89</v>
      </c>
      <c r="J116" s="350">
        <f t="shared" si="31"/>
        <v>440.02</v>
      </c>
      <c r="K116" s="350">
        <f t="shared" si="31"/>
        <v>461.35</v>
      </c>
      <c r="L116" s="350">
        <f>ROUND(100*L110/$E$17,2)</f>
        <v>463.25</v>
      </c>
      <c r="M116" s="350">
        <f>ROUND(100*M110/$E$17,2)</f>
        <v>464.65</v>
      </c>
      <c r="N116" s="350">
        <f>ROUND(100*N110/$E$17,2)</f>
        <v>479.03</v>
      </c>
      <c r="O116" s="350">
        <f>ROUND(100*O110/$E$17,2)</f>
        <v>480.83</v>
      </c>
      <c r="P116" s="350">
        <f>ROUND(100*P110/$E$17,2)</f>
        <v>482.92</v>
      </c>
    </row>
    <row r="117" spans="3:16" ht="14.25" hidden="1" customHeight="1">
      <c r="C117" s="1852"/>
      <c r="D117" s="120"/>
    </row>
    <row r="118" spans="3:16" ht="18.75" hidden="1" customHeight="1" thickBot="1">
      <c r="C118" s="3" t="s">
        <v>713</v>
      </c>
    </row>
    <row r="119" spans="3:16" ht="22.5" hidden="1" customHeight="1" thickBot="1">
      <c r="C119" s="2775" t="s">
        <v>714</v>
      </c>
      <c r="D119" s="2775"/>
      <c r="E119" s="1857">
        <f>ROUND(+$E$11*E114+$E$12*E116+$E$13*E115,2)</f>
        <v>416.43</v>
      </c>
      <c r="F119" s="1857">
        <f>ROUND(+$E$11*F109+$E$12*F116+$E$13*F115,2)</f>
        <v>423.38</v>
      </c>
      <c r="G119" s="1857">
        <f>ROUND(+$E$11*G109+$E$12*G116+$E$13*G115,2)</f>
        <v>432.46</v>
      </c>
      <c r="H119" s="1857">
        <f t="shared" ref="H119:M119" si="32">ROUND(+$E$11*H109+$E$12*H116+$E$13*H115,2)</f>
        <v>447.31</v>
      </c>
      <c r="I119" s="136">
        <f t="shared" si="32"/>
        <v>461</v>
      </c>
      <c r="J119" s="136">
        <f t="shared" si="32"/>
        <v>477.91</v>
      </c>
      <c r="K119" s="136">
        <f t="shared" si="32"/>
        <v>495.21</v>
      </c>
      <c r="L119" s="136">
        <f t="shared" si="32"/>
        <v>497.42</v>
      </c>
      <c r="M119" s="136">
        <f t="shared" si="32"/>
        <v>498.89</v>
      </c>
      <c r="N119" s="1857">
        <f>ROUND(+$E$11*N109+$E$12*N116+$E$13*N115,2)</f>
        <v>515.72</v>
      </c>
      <c r="O119" s="1857">
        <f>ROUND(+$E$11*O109+$E$12*O116+$E$13*O115,2)</f>
        <v>517.39</v>
      </c>
      <c r="P119" s="1857">
        <f>ROUND(+$E$11*P109+$E$12*P116+$E$13*P115,2)</f>
        <v>519.16999999999996</v>
      </c>
    </row>
    <row r="120" spans="3:16" ht="15.75" hidden="1" customHeight="1">
      <c r="P120" s="1356"/>
    </row>
    <row r="121" spans="3:16" ht="15.75" hidden="1" customHeight="1" thickBot="1">
      <c r="C121" s="3" t="s">
        <v>713</v>
      </c>
      <c r="P121" s="361"/>
    </row>
    <row r="122" spans="3:16" ht="22.5" hidden="1" customHeight="1" thickBot="1">
      <c r="C122" s="2775" t="s">
        <v>714</v>
      </c>
      <c r="D122" s="2775"/>
      <c r="E122" s="1857">
        <f t="shared" ref="E122:O122" si="33">ROUND(+$E$11*E112+$E$12*E119+$E$13*E118,2)</f>
        <v>333.14</v>
      </c>
      <c r="F122" s="1857">
        <f t="shared" si="33"/>
        <v>338.7</v>
      </c>
      <c r="G122" s="1857">
        <f t="shared" si="33"/>
        <v>345.97</v>
      </c>
      <c r="H122" s="1857">
        <f t="shared" si="33"/>
        <v>357.85</v>
      </c>
      <c r="I122" s="1857">
        <f t="shared" si="33"/>
        <v>368.8</v>
      </c>
      <c r="J122" s="1857">
        <f t="shared" si="33"/>
        <v>382.33</v>
      </c>
      <c r="K122" s="1857">
        <f t="shared" si="33"/>
        <v>396.17</v>
      </c>
      <c r="L122" s="1857">
        <f t="shared" si="33"/>
        <v>397.94</v>
      </c>
      <c r="M122" s="1857">
        <f t="shared" si="33"/>
        <v>399.11</v>
      </c>
      <c r="N122" s="1857">
        <f t="shared" si="33"/>
        <v>412.58</v>
      </c>
      <c r="O122" s="1857">
        <f t="shared" si="33"/>
        <v>413.91</v>
      </c>
      <c r="P122" s="1857">
        <f>ROUND(+$E$11*P117+$E$12*P119+$E$13*P118,2)</f>
        <v>415.34</v>
      </c>
    </row>
    <row r="123" spans="3:16" ht="8.25" hidden="1" customHeight="1">
      <c r="P123" s="361"/>
    </row>
    <row r="124" spans="3:16" ht="9.75" hidden="1" customHeight="1" thickBot="1">
      <c r="P124" s="361"/>
    </row>
    <row r="125" spans="3:16" ht="27" hidden="1" customHeight="1">
      <c r="C125" s="1855" t="s">
        <v>673</v>
      </c>
      <c r="D125" s="1240" t="s">
        <v>831</v>
      </c>
      <c r="E125" s="1849">
        <v>40179</v>
      </c>
      <c r="F125" s="1849">
        <v>40211</v>
      </c>
      <c r="G125" s="1849">
        <v>40243</v>
      </c>
      <c r="H125" s="1849">
        <v>40275</v>
      </c>
      <c r="I125" s="1849">
        <v>40307</v>
      </c>
      <c r="J125" s="1849">
        <v>40339</v>
      </c>
      <c r="K125" s="1849">
        <v>40371</v>
      </c>
      <c r="L125" s="1849">
        <v>40403</v>
      </c>
      <c r="M125" s="1849">
        <v>40435</v>
      </c>
      <c r="N125" s="1849">
        <v>40467</v>
      </c>
      <c r="O125" s="1849">
        <v>40499</v>
      </c>
      <c r="P125" s="1850">
        <v>40531</v>
      </c>
    </row>
    <row r="126" spans="3:16" ht="18.75" hidden="1" customHeight="1">
      <c r="C126" s="372" t="s">
        <v>709</v>
      </c>
      <c r="D126" s="1856">
        <v>221</v>
      </c>
      <c r="E126" s="142">
        <f>+'ANEXOA-MODIFICADO'!D419</f>
        <v>413.74</v>
      </c>
      <c r="F126" s="142">
        <f>+'ANEXOA-MODIFICADO'!E419</f>
        <v>420.98</v>
      </c>
      <c r="G126" s="142">
        <f>+'ANEXOA-MODIFICADO'!F419</f>
        <v>429.56</v>
      </c>
      <c r="H126" s="142">
        <f>+'ANEXOA-MODIFICADO'!G419</f>
        <v>438.05</v>
      </c>
      <c r="I126" s="142">
        <f>+'ANEXOA-MODIFICADO'!H419</f>
        <v>442.28</v>
      </c>
      <c r="J126" s="142">
        <f>+'ANEXOA-MODIFICADO'!I419</f>
        <v>447.41</v>
      </c>
      <c r="K126" s="142">
        <f>+'ANEXOA-MODIFICADO'!J419</f>
        <v>453.88</v>
      </c>
      <c r="L126" s="142">
        <f>+'ANEXOA-MODIFICADO'!K419</f>
        <v>460.09</v>
      </c>
      <c r="M126" s="142">
        <f>+'ANEXOA-MODIFICADO'!L419</f>
        <v>465.16</v>
      </c>
      <c r="N126" s="142">
        <f>+'ANEXOA-MODIFICADO'!M419</f>
        <v>470.56</v>
      </c>
      <c r="O126" s="142">
        <f>+'ANEXOA-MODIFICADO'!N419</f>
        <v>480.42</v>
      </c>
      <c r="P126" s="288">
        <f>+'ANEXOA-MODIFICADO'!O419</f>
        <v>489.71</v>
      </c>
    </row>
    <row r="127" spans="3:16" ht="18.75" hidden="1" customHeight="1">
      <c r="C127" s="372" t="s">
        <v>710</v>
      </c>
      <c r="D127" s="1856">
        <v>67</v>
      </c>
      <c r="E127" s="142">
        <f>+'TABLA FINAL '!DD87</f>
        <v>609.84</v>
      </c>
      <c r="F127" s="142">
        <f>+'TABLA FINAL '!DE87</f>
        <v>610.65</v>
      </c>
      <c r="G127" s="142">
        <f>+'TABLA FINAL '!DF87</f>
        <v>615.25</v>
      </c>
      <c r="H127" s="142">
        <f>+'TABLA FINAL '!DG87</f>
        <v>635.57000000000005</v>
      </c>
      <c r="I127" s="142">
        <f>+'TABLA FINAL '!DH87</f>
        <v>655.53</v>
      </c>
      <c r="J127" s="142">
        <f>+'TABLA FINAL '!DI87</f>
        <v>679.52</v>
      </c>
      <c r="K127" s="142">
        <f>+'TABLA FINAL '!DJ87</f>
        <v>693.53</v>
      </c>
      <c r="L127" s="142">
        <f>+'TABLA FINAL '!DK87</f>
        <v>709.66</v>
      </c>
      <c r="M127" s="142">
        <f>+'TABLA FINAL '!DL87</f>
        <v>721.1</v>
      </c>
      <c r="N127" s="142">
        <f>+'TABLA FINAL  NO'!DM92</f>
        <v>721.1</v>
      </c>
      <c r="O127" s="142">
        <f>+'TABLA FINAL  NO'!DN92</f>
        <v>726.54</v>
      </c>
      <c r="P127" s="288">
        <f>+'TABLA FINAL  NO'!DO92</f>
        <v>745.61</v>
      </c>
    </row>
    <row r="128" spans="3:16" ht="18.75" hidden="1" customHeight="1" thickBot="1">
      <c r="C128" s="373" t="s">
        <v>662</v>
      </c>
      <c r="D128" s="1854">
        <v>4</v>
      </c>
      <c r="E128" s="350">
        <f>+'ANEXO D'!CP67</f>
        <v>28.286376000000001</v>
      </c>
      <c r="F128" s="350">
        <f>+'ANEXO D'!CQ67</f>
        <v>28.286376000000001</v>
      </c>
      <c r="G128" s="350">
        <f>+'ANEXO D'!CR67</f>
        <v>29.706830545454547</v>
      </c>
      <c r="H128" s="350">
        <f>+'ANEXO D'!CS67</f>
        <v>29.706830545454547</v>
      </c>
      <c r="I128" s="350">
        <f>+'ANEXO D'!CT67</f>
        <v>31.962455818181816</v>
      </c>
      <c r="J128" s="350">
        <f>+'ANEXO D'!CU67</f>
        <v>31.962455818181816</v>
      </c>
      <c r="K128" s="350">
        <f>+'ANEXO D'!CV67</f>
        <v>31.962455818181816</v>
      </c>
      <c r="L128" s="350">
        <f>+'ANEXO D'!CW67</f>
        <v>33.601331999999999</v>
      </c>
      <c r="M128" s="350">
        <f>+'ANEXO D'!CX67</f>
        <v>33.601331999999999</v>
      </c>
      <c r="N128" s="350">
        <f>+'ANEXO D'!CY67</f>
        <v>33.601331999999999</v>
      </c>
      <c r="O128" s="350">
        <f>+'ANEXO D'!CZ67</f>
        <v>33.601331999999999</v>
      </c>
      <c r="P128" s="354">
        <f>+'ANEXO D'!DA67</f>
        <v>35.943516000000002</v>
      </c>
    </row>
    <row r="129" spans="3:16" ht="5.25" hidden="1" customHeight="1">
      <c r="D129" s="1847"/>
      <c r="P129" s="361"/>
    </row>
    <row r="130" spans="3:16" ht="11.25" hidden="1" customHeight="1" thickBot="1">
      <c r="D130" s="1847"/>
      <c r="P130" s="361"/>
    </row>
    <row r="131" spans="3:16" ht="21" hidden="1" customHeight="1">
      <c r="C131" s="2623" t="s">
        <v>675</v>
      </c>
      <c r="D131" s="1863">
        <v>221</v>
      </c>
      <c r="E131" s="421">
        <f t="shared" ref="E131:O131" si="34">+E126</f>
        <v>413.74</v>
      </c>
      <c r="F131" s="421">
        <f t="shared" si="34"/>
        <v>420.98</v>
      </c>
      <c r="G131" s="421">
        <f>+G126</f>
        <v>429.56</v>
      </c>
      <c r="H131" s="421">
        <f t="shared" si="34"/>
        <v>438.05</v>
      </c>
      <c r="I131" s="421">
        <f t="shared" si="34"/>
        <v>442.28</v>
      </c>
      <c r="J131" s="421">
        <f>+J126</f>
        <v>447.41</v>
      </c>
      <c r="K131" s="421">
        <f>+K126</f>
        <v>453.88</v>
      </c>
      <c r="L131" s="421">
        <f>+L126</f>
        <v>460.09</v>
      </c>
      <c r="M131" s="421">
        <f t="shared" si="34"/>
        <v>465.16</v>
      </c>
      <c r="N131" s="421">
        <f>+N126</f>
        <v>470.56</v>
      </c>
      <c r="O131" s="421">
        <f t="shared" si="34"/>
        <v>480.42</v>
      </c>
      <c r="P131" s="422">
        <f>+P126</f>
        <v>489.71</v>
      </c>
    </row>
    <row r="132" spans="3:16" ht="21" hidden="1" customHeight="1">
      <c r="C132" s="2624"/>
      <c r="D132" s="1856">
        <v>4</v>
      </c>
      <c r="E132" s="142">
        <f t="shared" ref="E132:O132" si="35">ROUND(100*E128/$E$18,2)</f>
        <v>915.42</v>
      </c>
      <c r="F132" s="142">
        <f t="shared" si="35"/>
        <v>915.42</v>
      </c>
      <c r="G132" s="142">
        <f>ROUND(100*G128/$E$18,2)</f>
        <v>961.39</v>
      </c>
      <c r="H132" s="142">
        <f t="shared" si="35"/>
        <v>961.39</v>
      </c>
      <c r="I132" s="142">
        <f t="shared" si="35"/>
        <v>1034.3800000000001</v>
      </c>
      <c r="J132" s="142">
        <f>ROUND(100*J128/$E$18,2)</f>
        <v>1034.3800000000001</v>
      </c>
      <c r="K132" s="142">
        <f>ROUND(100*K128/$E$18,2)</f>
        <v>1034.3800000000001</v>
      </c>
      <c r="L132" s="142">
        <f>ROUND(100*L128/$E$18,2)</f>
        <v>1087.42</v>
      </c>
      <c r="M132" s="142">
        <f t="shared" si="35"/>
        <v>1087.42</v>
      </c>
      <c r="N132" s="142">
        <f>ROUND(100*N128/$E$18,2)</f>
        <v>1087.42</v>
      </c>
      <c r="O132" s="142">
        <f t="shared" si="35"/>
        <v>1087.42</v>
      </c>
      <c r="P132" s="288">
        <f>ROUND(100*P128/$E$18,2)</f>
        <v>1163.22</v>
      </c>
    </row>
    <row r="133" spans="3:16" ht="21" hidden="1" customHeight="1" thickBot="1">
      <c r="C133" s="2625"/>
      <c r="D133" s="1854">
        <v>67</v>
      </c>
      <c r="E133" s="350">
        <f t="shared" ref="E133:O133" si="36">ROUND(100*E127/$E$17,2)</f>
        <v>483.23</v>
      </c>
      <c r="F133" s="350">
        <f t="shared" si="36"/>
        <v>483.87</v>
      </c>
      <c r="G133" s="350">
        <f>ROUND(100*G127/$E$17,2)</f>
        <v>487.52</v>
      </c>
      <c r="H133" s="350">
        <f t="shared" si="36"/>
        <v>503.62</v>
      </c>
      <c r="I133" s="350">
        <f t="shared" si="36"/>
        <v>519.44000000000005</v>
      </c>
      <c r="J133" s="350">
        <f>ROUND(100*J127/$E$17,2)</f>
        <v>538.45000000000005</v>
      </c>
      <c r="K133" s="350">
        <f>ROUND(100*K127/$E$17,2)</f>
        <v>549.54999999999995</v>
      </c>
      <c r="L133" s="350">
        <f>ROUND(100*L127/$E$17,2)</f>
        <v>562.33000000000004</v>
      </c>
      <c r="M133" s="350">
        <f t="shared" si="36"/>
        <v>571.39</v>
      </c>
      <c r="N133" s="350">
        <f>ROUND(100*N127/$E$17,2)</f>
        <v>571.39</v>
      </c>
      <c r="O133" s="350">
        <f t="shared" si="36"/>
        <v>575.71</v>
      </c>
      <c r="P133" s="354">
        <f>ROUND(100*P127/$E$17,2)</f>
        <v>590.82000000000005</v>
      </c>
    </row>
    <row r="134" spans="3:16" ht="14.25" hidden="1" customHeight="1">
      <c r="C134" s="1852"/>
      <c r="D134" s="120"/>
    </row>
    <row r="135" spans="3:16" ht="18.75" hidden="1" customHeight="1" thickBot="1">
      <c r="C135" s="3" t="s">
        <v>713</v>
      </c>
    </row>
    <row r="136" spans="3:16" ht="22.5" hidden="1" customHeight="1" thickBot="1">
      <c r="C136" s="2775" t="s">
        <v>714</v>
      </c>
      <c r="D136" s="2775"/>
      <c r="E136" s="1857">
        <f>ROUND(+$E$11*E131+$E$12*E133+$E$13*E132,2)</f>
        <v>519.5</v>
      </c>
      <c r="F136" s="1857">
        <f>ROUND(+$E$11*F126+$E$12*F133+$E$13*F132,2)</f>
        <v>520.74</v>
      </c>
      <c r="G136" s="1857">
        <f>ROUND(+$E$11*G126+$E$12*G133+$E$13*G132,2)</f>
        <v>529.11</v>
      </c>
      <c r="H136" s="1857">
        <f t="shared" ref="H136:M136" si="37">ROUND(+$E$11*H126+$E$12*H133+$E$13*H132,2)</f>
        <v>542.84</v>
      </c>
      <c r="I136" s="136">
        <f t="shared" si="37"/>
        <v>563.22</v>
      </c>
      <c r="J136" s="136">
        <f>ROUND(+$E$11*J126+$E$12*J133+$E$13*J132,2)</f>
        <v>578.94000000000005</v>
      </c>
      <c r="K136" s="136">
        <f>ROUND(+$E$11*K126+$E$12*K133+$E$13*K132,2)</f>
        <v>588.47</v>
      </c>
      <c r="L136" s="136">
        <f>ROUND(+$E$11*L126+$E$12*L133+$E$13*L132,2)</f>
        <v>604.62</v>
      </c>
      <c r="M136" s="136">
        <f t="shared" si="37"/>
        <v>612.37</v>
      </c>
      <c r="N136" s="136">
        <f>ROUND(+$E$11*N126+$E$12*N133+$E$13*N132,2)</f>
        <v>612.91</v>
      </c>
      <c r="O136" s="1857">
        <f>ROUND(+$E$11*O126+$E$12*O133+$E$13*O132,2)</f>
        <v>617.35</v>
      </c>
      <c r="P136" s="1857">
        <f>ROUND(+$E$11*P126+$E$12*P133+$E$13*P132,2)</f>
        <v>637.95000000000005</v>
      </c>
    </row>
    <row r="137" spans="3:16" ht="15.75" hidden="1" customHeight="1" thickBot="1">
      <c r="P137" s="361"/>
    </row>
    <row r="138" spans="3:16" ht="23.25" hidden="1" customHeight="1">
      <c r="C138" s="1855" t="s">
        <v>673</v>
      </c>
      <c r="D138" s="1240" t="s">
        <v>831</v>
      </c>
      <c r="E138" s="1849">
        <v>40544</v>
      </c>
      <c r="F138" s="1849">
        <v>40576</v>
      </c>
      <c r="G138" s="1849">
        <v>40608</v>
      </c>
      <c r="H138" s="1849">
        <v>40640</v>
      </c>
      <c r="I138" s="1849">
        <v>40672</v>
      </c>
      <c r="J138" s="1849">
        <v>40704</v>
      </c>
      <c r="K138" s="1849">
        <v>40736</v>
      </c>
      <c r="L138" s="1849">
        <v>40768</v>
      </c>
      <c r="M138" s="1849">
        <v>40800</v>
      </c>
      <c r="N138" s="1849">
        <v>40832</v>
      </c>
      <c r="O138" s="1849">
        <v>40864</v>
      </c>
      <c r="P138" s="1850">
        <v>40896</v>
      </c>
    </row>
    <row r="139" spans="3:16" ht="18.75" hidden="1" customHeight="1">
      <c r="C139" s="372" t="s">
        <v>709</v>
      </c>
      <c r="D139" s="1856">
        <v>221</v>
      </c>
      <c r="E139" s="142">
        <f>+'ANEXOA-MODIFICADO'!E569</f>
        <v>506.97</v>
      </c>
      <c r="F139" s="142">
        <f>+'ANEXOA-MODIFICADO'!F569</f>
        <v>512.86</v>
      </c>
      <c r="G139" s="142">
        <f>+'ANEXOA-MODIFICADO'!G569</f>
        <v>521.13</v>
      </c>
      <c r="H139" s="142">
        <f>+'ANEXOA-MODIFICADO'!H569</f>
        <v>532.46</v>
      </c>
      <c r="I139" s="142">
        <f>+'ANEXOA-MODIFICADO'!I569</f>
        <v>536.42999999999995</v>
      </c>
      <c r="J139" s="142">
        <f>+'ANEXOA-MODIFICADO'!J569</f>
        <v>543.38</v>
      </c>
      <c r="K139" s="142">
        <f>+'ANEXOA-MODIFICADO'!K569</f>
        <v>560.61</v>
      </c>
      <c r="L139" s="307">
        <f>+'ANEXOA-MODIFICADO'!L569</f>
        <v>568.12</v>
      </c>
      <c r="M139" s="307">
        <f>+'ANEXOA-MODIFICADO'!M569</f>
        <v>577.13</v>
      </c>
      <c r="N139" s="307">
        <f>+'ANEXOA-MODIFICADO'!N569</f>
        <v>588.71</v>
      </c>
      <c r="O139" s="307">
        <f>+'ANEXOA-MODIFICADO'!O569</f>
        <v>600.04999999999995</v>
      </c>
      <c r="P139" s="332">
        <f>+'ANEXOA-MODIFICADO'!P569</f>
        <v>605.79999999999995</v>
      </c>
    </row>
    <row r="140" spans="3:16" ht="18.75" hidden="1" customHeight="1">
      <c r="C140" s="372" t="s">
        <v>710</v>
      </c>
      <c r="D140" s="1856">
        <v>67</v>
      </c>
      <c r="E140" s="142">
        <f>+'TABLA FINAL  NO'!DP92</f>
        <v>775.48</v>
      </c>
      <c r="F140" s="142">
        <f>+'TABLA FINAL  NO'!DQ92</f>
        <v>777.44</v>
      </c>
      <c r="G140" s="142">
        <f>+'TABLA FINAL  NO'!DR92</f>
        <v>784.16</v>
      </c>
      <c r="H140" s="142">
        <f>+'TABLA FINAL  NO'!DS92</f>
        <v>822.74</v>
      </c>
      <c r="I140" s="142">
        <f>+'TABLA FINAL  NO'!DT92</f>
        <v>835.98</v>
      </c>
      <c r="J140" s="142">
        <f>+'TABLA FINAL  NO'!DU92</f>
        <v>842.63</v>
      </c>
      <c r="K140" s="142">
        <f>+'TABLA FINAL  NO'!DV92</f>
        <v>858.52</v>
      </c>
      <c r="L140" s="307">
        <f>+'TABLA FINAL  NO'!DW92</f>
        <v>868.83</v>
      </c>
      <c r="M140" s="307">
        <f>+'TABLA FINAL  NO'!DX92</f>
        <v>878.37</v>
      </c>
      <c r="N140" s="307">
        <f>+'TABLA FINAL  NO'!DY92</f>
        <v>885.52</v>
      </c>
      <c r="O140" s="307">
        <f>+'TABLA FINAL  NO'!DZ92</f>
        <v>885.52</v>
      </c>
      <c r="P140" s="332">
        <f>+'TABLA FINAL  NO'!EA92</f>
        <v>893.21</v>
      </c>
    </row>
    <row r="141" spans="3:16" ht="18.75" hidden="1" customHeight="1">
      <c r="C141" s="566" t="s">
        <v>662</v>
      </c>
      <c r="D141" s="1864">
        <v>4</v>
      </c>
      <c r="E141" s="703">
        <f>+'ANEXO D'!DB67</f>
        <v>35.943516000000002</v>
      </c>
      <c r="F141" s="703">
        <f>+'ANEXO D'!DC67</f>
        <v>35.943516000000002</v>
      </c>
      <c r="G141" s="703">
        <f>+'ANEXO D'!DD67</f>
        <v>35.943516000000002</v>
      </c>
      <c r="H141" s="703">
        <f>+'ANEXO D'!DE67</f>
        <v>40.267547999999998</v>
      </c>
      <c r="I141" s="703">
        <f>+'ANEXO D'!DF67</f>
        <v>40.267547999999998</v>
      </c>
      <c r="J141" s="703">
        <f>+'ANEXO D'!DG67</f>
        <v>40.267547999999998</v>
      </c>
      <c r="K141" s="703">
        <f>+'ANEXO D'!DH67</f>
        <v>40.267547999999998</v>
      </c>
      <c r="L141" s="323">
        <f>+'ANEXO D'!DI67</f>
        <v>42.677295000000001</v>
      </c>
      <c r="M141" s="323">
        <f>+'ANEXO D'!DJ67</f>
        <v>42.677295000000001</v>
      </c>
      <c r="N141" s="323">
        <f>+'ANEXO D'!DK67</f>
        <v>42.677295000000001</v>
      </c>
      <c r="O141" s="323">
        <f>+'ANEXO D'!DL67</f>
        <v>45.222167999999996</v>
      </c>
      <c r="P141" s="1012">
        <f>+'ANEXO D'!DM67</f>
        <v>45.222167999999996</v>
      </c>
    </row>
    <row r="142" spans="3:16" ht="18.75" hidden="1" customHeight="1">
      <c r="C142" s="2624" t="s">
        <v>675</v>
      </c>
      <c r="D142" s="1856">
        <v>221</v>
      </c>
      <c r="E142" s="142">
        <f t="shared" ref="E142:N142" si="38">+E139</f>
        <v>506.97</v>
      </c>
      <c r="F142" s="142">
        <f t="shared" si="38"/>
        <v>512.86</v>
      </c>
      <c r="G142" s="142">
        <f t="shared" si="38"/>
        <v>521.13</v>
      </c>
      <c r="H142" s="142">
        <f t="shared" si="38"/>
        <v>532.46</v>
      </c>
      <c r="I142" s="142">
        <f t="shared" si="38"/>
        <v>536.42999999999995</v>
      </c>
      <c r="J142" s="142">
        <f t="shared" si="38"/>
        <v>543.38</v>
      </c>
      <c r="K142" s="142">
        <f t="shared" si="38"/>
        <v>560.61</v>
      </c>
      <c r="L142" s="142">
        <f t="shared" si="38"/>
        <v>568.12</v>
      </c>
      <c r="M142" s="142">
        <f t="shared" si="38"/>
        <v>577.13</v>
      </c>
      <c r="N142" s="142">
        <f t="shared" si="38"/>
        <v>588.71</v>
      </c>
      <c r="O142" s="142">
        <f>+O139</f>
        <v>600.04999999999995</v>
      </c>
      <c r="P142" s="288">
        <f>+P139</f>
        <v>605.79999999999995</v>
      </c>
    </row>
    <row r="143" spans="3:16" ht="17.25" hidden="1" customHeight="1">
      <c r="C143" s="2624"/>
      <c r="D143" s="1856">
        <v>4</v>
      </c>
      <c r="E143" s="142">
        <f t="shared" ref="E143:N143" si="39">ROUND(100*E141/$E$18,2)</f>
        <v>1163.22</v>
      </c>
      <c r="F143" s="142">
        <f t="shared" si="39"/>
        <v>1163.22</v>
      </c>
      <c r="G143" s="142">
        <f t="shared" si="39"/>
        <v>1163.22</v>
      </c>
      <c r="H143" s="142">
        <f t="shared" si="39"/>
        <v>1303.1600000000001</v>
      </c>
      <c r="I143" s="142">
        <f t="shared" si="39"/>
        <v>1303.1600000000001</v>
      </c>
      <c r="J143" s="142">
        <f t="shared" si="39"/>
        <v>1303.1600000000001</v>
      </c>
      <c r="K143" s="142">
        <f t="shared" si="39"/>
        <v>1303.1600000000001</v>
      </c>
      <c r="L143" s="142">
        <f t="shared" si="39"/>
        <v>1381.14</v>
      </c>
      <c r="M143" s="142">
        <f t="shared" si="39"/>
        <v>1381.14</v>
      </c>
      <c r="N143" s="142">
        <f t="shared" si="39"/>
        <v>1381.14</v>
      </c>
      <c r="O143" s="142">
        <f>ROUND(100*O141/$E$18,2)</f>
        <v>1463.5</v>
      </c>
      <c r="P143" s="288">
        <f>ROUND(100*P141/$E$18,2)</f>
        <v>1463.5</v>
      </c>
    </row>
    <row r="144" spans="3:16" ht="18.75" hidden="1" customHeight="1">
      <c r="C144" s="2624"/>
      <c r="D144" s="1856">
        <v>67</v>
      </c>
      <c r="E144" s="140">
        <f t="shared" ref="E144:N144" si="40">ROUND(100*E140/$E$17,2)</f>
        <v>614.48</v>
      </c>
      <c r="F144" s="140">
        <f t="shared" si="40"/>
        <v>616.04</v>
      </c>
      <c r="G144" s="140">
        <f t="shared" si="40"/>
        <v>621.36</v>
      </c>
      <c r="H144" s="140">
        <f t="shared" si="40"/>
        <v>651.92999999999995</v>
      </c>
      <c r="I144" s="140">
        <f t="shared" si="40"/>
        <v>662.42</v>
      </c>
      <c r="J144" s="140">
        <f t="shared" si="40"/>
        <v>667.69</v>
      </c>
      <c r="K144" s="140">
        <f t="shared" si="40"/>
        <v>680.29</v>
      </c>
      <c r="L144" s="140">
        <f t="shared" si="40"/>
        <v>688.45</v>
      </c>
      <c r="M144" s="140">
        <f t="shared" si="40"/>
        <v>696.01</v>
      </c>
      <c r="N144" s="140">
        <f t="shared" si="40"/>
        <v>701.68</v>
      </c>
      <c r="O144" s="140">
        <f>ROUND(100*O140/$E$17,2)</f>
        <v>701.68</v>
      </c>
      <c r="P144" s="141">
        <f>ROUND(100*P140/$E$17,2)</f>
        <v>707.77</v>
      </c>
    </row>
    <row r="145" spans="3:16" ht="18" hidden="1" customHeight="1" thickBot="1">
      <c r="C145" s="1357" t="s">
        <v>713</v>
      </c>
      <c r="D145" s="275"/>
      <c r="E145" s="275"/>
      <c r="F145" s="1358"/>
      <c r="G145" s="818"/>
      <c r="H145" s="818"/>
      <c r="I145" s="818"/>
      <c r="J145" s="818"/>
      <c r="K145" s="818"/>
      <c r="L145" s="818"/>
      <c r="M145" s="818"/>
      <c r="N145" s="818"/>
      <c r="O145" s="818"/>
      <c r="P145" s="1152"/>
    </row>
    <row r="146" spans="3:16" ht="20.25" hidden="1" customHeight="1" thickBot="1">
      <c r="C146" s="2777" t="s">
        <v>714</v>
      </c>
      <c r="D146" s="2778"/>
      <c r="E146" s="1858">
        <f>ROUND(+$E$11*E142+$E$12*E144+$E$13*E143,2)</f>
        <v>658.6</v>
      </c>
      <c r="F146" s="1858">
        <f t="shared" ref="F146:P146" si="41">ROUND(+$E$11*F139+$E$12*F144+$E$13*F143,2)</f>
        <v>660.44</v>
      </c>
      <c r="G146" s="1858">
        <f t="shared" si="41"/>
        <v>665.52</v>
      </c>
      <c r="H146" s="1858">
        <f t="shared" si="41"/>
        <v>705.11</v>
      </c>
      <c r="I146" s="337">
        <f t="shared" si="41"/>
        <v>713.9</v>
      </c>
      <c r="J146" s="337">
        <f t="shared" si="41"/>
        <v>718.81</v>
      </c>
      <c r="K146" s="337">
        <f t="shared" si="41"/>
        <v>730.61</v>
      </c>
      <c r="L146" s="337">
        <f t="shared" si="41"/>
        <v>745.69</v>
      </c>
      <c r="M146" s="337">
        <f t="shared" si="41"/>
        <v>752.64</v>
      </c>
      <c r="N146" s="337">
        <f t="shared" si="41"/>
        <v>758.33</v>
      </c>
      <c r="O146" s="337">
        <f t="shared" si="41"/>
        <v>767.7</v>
      </c>
      <c r="P146" s="1290">
        <f t="shared" si="41"/>
        <v>773.15</v>
      </c>
    </row>
    <row r="147" spans="3:16" ht="26.25" hidden="1" customHeight="1" thickBot="1"/>
    <row r="148" spans="3:16" ht="23.25" hidden="1" customHeight="1">
      <c r="C148" s="1855" t="s">
        <v>673</v>
      </c>
      <c r="D148" s="1240" t="s">
        <v>831</v>
      </c>
      <c r="E148" s="1849">
        <v>40909</v>
      </c>
      <c r="F148" s="1849">
        <v>40941</v>
      </c>
      <c r="G148" s="1849">
        <v>40973</v>
      </c>
      <c r="H148" s="1849">
        <v>41005</v>
      </c>
      <c r="I148" s="1849">
        <v>41037</v>
      </c>
      <c r="J148" s="1849">
        <v>41069</v>
      </c>
      <c r="K148" s="1849">
        <v>41101</v>
      </c>
      <c r="L148" s="1849">
        <v>41133</v>
      </c>
      <c r="M148" s="1849">
        <v>41165</v>
      </c>
      <c r="N148" s="1849">
        <v>41197</v>
      </c>
      <c r="O148" s="1849">
        <v>41229</v>
      </c>
      <c r="P148" s="1850">
        <v>41261</v>
      </c>
    </row>
    <row r="149" spans="3:16" ht="18.75" hidden="1" customHeight="1">
      <c r="C149" s="372" t="s">
        <v>709</v>
      </c>
      <c r="D149" s="1856">
        <v>221</v>
      </c>
      <c r="E149" s="142">
        <f>'ANEXOA-MODIFICADO'!E575</f>
        <v>619.45000000000005</v>
      </c>
      <c r="F149" s="142">
        <f>'ANEXOA-MODIFICADO'!F575</f>
        <v>628.87</v>
      </c>
      <c r="G149" s="142">
        <f>'ANEXOA-MODIFICADO'!G575</f>
        <v>638.28</v>
      </c>
      <c r="H149" s="142">
        <f>'ANEXOA-MODIFICADO'!H575</f>
        <v>642.79999999999995</v>
      </c>
      <c r="I149" s="142">
        <f>'ANEXOA-MODIFICADO'!I575</f>
        <v>630.91</v>
      </c>
      <c r="J149" s="142">
        <f>'ANEXOA-MODIFICADO'!J575</f>
        <v>634.01</v>
      </c>
      <c r="K149" s="142">
        <f>'ANEXOA-MODIFICADO'!K575</f>
        <v>690.46</v>
      </c>
      <c r="L149" s="142">
        <f>'ANEXOA-MODIFICADO'!L575</f>
        <v>698.86</v>
      </c>
      <c r="M149" s="142">
        <f>'ANEXOA-MODIFICADO'!M575</f>
        <v>708.93</v>
      </c>
      <c r="N149" s="142">
        <f>'ANEXOA-MODIFICADO'!N575</f>
        <v>712.89</v>
      </c>
      <c r="O149" s="142">
        <f>'ANEXOA-MODIFICADO'!O575</f>
        <v>728.11</v>
      </c>
      <c r="P149" s="288">
        <f>'ANEXOA-MODIFICADO'!P575</f>
        <v>731.78</v>
      </c>
    </row>
    <row r="150" spans="3:16" ht="18.75" hidden="1" customHeight="1">
      <c r="C150" s="372" t="s">
        <v>710</v>
      </c>
      <c r="D150" s="1856">
        <v>67</v>
      </c>
      <c r="E150" s="142">
        <f>'TABLA FINAL  NO'!EB92</f>
        <v>928.95</v>
      </c>
      <c r="F150" s="142">
        <f>'TABLA FINAL  NO'!EC92</f>
        <v>933.84</v>
      </c>
      <c r="G150" s="142">
        <f>'TABLA FINAL  NO'!ED92</f>
        <v>946.21</v>
      </c>
      <c r="H150" s="142">
        <f>'TABLA FINAL  NO'!EE92</f>
        <v>951.2</v>
      </c>
      <c r="I150" s="142">
        <f>'TABLA FINAL  NO'!EF92</f>
        <v>972.32</v>
      </c>
      <c r="J150" s="142">
        <f>'TABLA FINAL  NO'!EG92</f>
        <v>972.59</v>
      </c>
      <c r="K150" s="142">
        <f>'TABLA FINAL  NO'!EH92</f>
        <v>998.56</v>
      </c>
      <c r="L150" s="142">
        <f>'TABLA FINAL  NO'!EI92</f>
        <v>1003.73</v>
      </c>
      <c r="M150" s="142">
        <f>'TABLA FINAL  NO'!EJ92</f>
        <v>1004.43</v>
      </c>
      <c r="N150" s="142">
        <f>'TABLA FINAL  NO'!EK92</f>
        <v>1004.6</v>
      </c>
      <c r="O150" s="142">
        <f>'TABLA FINAL  NO'!EL92</f>
        <v>1016.06</v>
      </c>
      <c r="P150" s="288">
        <f>'TABLA FINAL  NO'!EM92</f>
        <v>1016.77</v>
      </c>
    </row>
    <row r="151" spans="3:16" ht="18.75" hidden="1" customHeight="1">
      <c r="C151" s="566" t="s">
        <v>662</v>
      </c>
      <c r="D151" s="1864">
        <v>4</v>
      </c>
      <c r="E151" s="703">
        <f>'TABLA FINAL  NO'!EB8</f>
        <v>20.079999999999998</v>
      </c>
      <c r="F151" s="703">
        <f>'TABLA FINAL  NO'!EC8</f>
        <v>20.079999999999998</v>
      </c>
      <c r="G151" s="703">
        <f>'TABLA FINAL  NO'!ED8</f>
        <v>20.079999999999998</v>
      </c>
      <c r="H151" s="703">
        <f>'TABLA FINAL  NO'!EE8</f>
        <v>20.079999999999998</v>
      </c>
      <c r="I151" s="703">
        <f>'TABLA FINAL  NO'!EF8</f>
        <v>20.079999999999998</v>
      </c>
      <c r="J151" s="703">
        <f>'TABLA FINAL  NO'!EG8</f>
        <v>25.82</v>
      </c>
      <c r="K151" s="703">
        <f>'TABLA FINAL  NO'!EH8</f>
        <v>25.82</v>
      </c>
      <c r="L151" s="703">
        <f>'TABLA FINAL  NO'!EI8</f>
        <v>25.82</v>
      </c>
      <c r="M151" s="703">
        <f>'TABLA FINAL  NO'!EJ8</f>
        <v>25.82</v>
      </c>
      <c r="N151" s="703">
        <f>'TABLA FINAL  NO'!EK8</f>
        <v>25.82</v>
      </c>
      <c r="O151" s="703">
        <f>'TABLA FINAL  NO'!EL8</f>
        <v>25.82</v>
      </c>
      <c r="P151" s="575">
        <f>'TABLA FINAL  NO'!EM8</f>
        <v>25.82</v>
      </c>
    </row>
    <row r="152" spans="3:16" ht="19.5" hidden="1" customHeight="1">
      <c r="C152" s="2624" t="s">
        <v>675</v>
      </c>
      <c r="D152" s="1856">
        <v>221</v>
      </c>
      <c r="E152" s="142">
        <f t="shared" ref="E152:P152" si="42">+E149</f>
        <v>619.45000000000005</v>
      </c>
      <c r="F152" s="142">
        <f t="shared" si="42"/>
        <v>628.87</v>
      </c>
      <c r="G152" s="142">
        <f t="shared" si="42"/>
        <v>638.28</v>
      </c>
      <c r="H152" s="142">
        <f t="shared" si="42"/>
        <v>642.79999999999995</v>
      </c>
      <c r="I152" s="142">
        <f t="shared" si="42"/>
        <v>630.91</v>
      </c>
      <c r="J152" s="142">
        <f t="shared" si="42"/>
        <v>634.01</v>
      </c>
      <c r="K152" s="142">
        <f t="shared" si="42"/>
        <v>690.46</v>
      </c>
      <c r="L152" s="142">
        <f t="shared" si="42"/>
        <v>698.86</v>
      </c>
      <c r="M152" s="142">
        <f>+M149</f>
        <v>708.93</v>
      </c>
      <c r="N152" s="142">
        <f t="shared" si="42"/>
        <v>712.89</v>
      </c>
      <c r="O152" s="142">
        <f>+O149</f>
        <v>728.11</v>
      </c>
      <c r="P152" s="288">
        <f t="shared" si="42"/>
        <v>731.78</v>
      </c>
    </row>
    <row r="153" spans="3:16" ht="17.25" hidden="1" customHeight="1">
      <c r="C153" s="2624"/>
      <c r="D153" s="1856">
        <v>4</v>
      </c>
      <c r="E153" s="142">
        <f t="shared" ref="E153:P153" si="43">ROUND(100*E151/$E$18,2)</f>
        <v>649.84</v>
      </c>
      <c r="F153" s="142">
        <f t="shared" si="43"/>
        <v>649.84</v>
      </c>
      <c r="G153" s="142">
        <f t="shared" si="43"/>
        <v>649.84</v>
      </c>
      <c r="H153" s="142">
        <f t="shared" si="43"/>
        <v>649.84</v>
      </c>
      <c r="I153" s="142">
        <f t="shared" si="43"/>
        <v>649.84</v>
      </c>
      <c r="J153" s="142">
        <f t="shared" si="43"/>
        <v>835.6</v>
      </c>
      <c r="K153" s="142">
        <f t="shared" si="43"/>
        <v>835.6</v>
      </c>
      <c r="L153" s="142">
        <f t="shared" si="43"/>
        <v>835.6</v>
      </c>
      <c r="M153" s="142">
        <f>ROUND(100*M151/$E$18,2)</f>
        <v>835.6</v>
      </c>
      <c r="N153" s="142">
        <f t="shared" si="43"/>
        <v>835.6</v>
      </c>
      <c r="O153" s="142">
        <f>ROUND(100*O151/$E$18,2)</f>
        <v>835.6</v>
      </c>
      <c r="P153" s="288">
        <f t="shared" si="43"/>
        <v>835.6</v>
      </c>
    </row>
    <row r="154" spans="3:16" ht="15.75" hidden="1" customHeight="1">
      <c r="C154" s="2776"/>
      <c r="D154" s="1864">
        <v>67</v>
      </c>
      <c r="E154" s="703">
        <f t="shared" ref="E154:P154" si="44">ROUND(100*E150/$E$17,2)</f>
        <v>736.09</v>
      </c>
      <c r="F154" s="703">
        <f t="shared" si="44"/>
        <v>739.97</v>
      </c>
      <c r="G154" s="703">
        <f t="shared" si="44"/>
        <v>749.77</v>
      </c>
      <c r="H154" s="703">
        <f t="shared" si="44"/>
        <v>753.72</v>
      </c>
      <c r="I154" s="703">
        <f t="shared" si="44"/>
        <v>770.46</v>
      </c>
      <c r="J154" s="703">
        <f t="shared" si="44"/>
        <v>770.67</v>
      </c>
      <c r="K154" s="703">
        <f t="shared" si="44"/>
        <v>791.25</v>
      </c>
      <c r="L154" s="703">
        <f t="shared" si="44"/>
        <v>795.35</v>
      </c>
      <c r="M154" s="703">
        <f>ROUND(100*M150/$E$17,2)</f>
        <v>795.9</v>
      </c>
      <c r="N154" s="703">
        <f t="shared" si="44"/>
        <v>796.04</v>
      </c>
      <c r="O154" s="703">
        <f>ROUND(100*O150/$E$17,2)</f>
        <v>805.12</v>
      </c>
      <c r="P154" s="575">
        <f t="shared" si="44"/>
        <v>805.68</v>
      </c>
    </row>
    <row r="155" spans="3:16" ht="18.75" hidden="1" customHeight="1" thickBot="1">
      <c r="C155" s="1359" t="s">
        <v>713</v>
      </c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0"/>
      <c r="O155" s="380"/>
      <c r="P155" s="539"/>
    </row>
    <row r="156" spans="3:16" ht="22.5" hidden="1" customHeight="1" thickBot="1">
      <c r="C156" s="2777" t="s">
        <v>714</v>
      </c>
      <c r="D156" s="2778"/>
      <c r="E156" s="1360">
        <f>ROUND(+$E$11*E152+$E$12*E154+$E$13*E153,2)</f>
        <v>715.8</v>
      </c>
      <c r="F156" s="1858">
        <f t="shared" ref="F156:P156" si="45">ROUND(+$E$11*F149+$E$12*F154+$E$13*F153,2)</f>
        <v>719.85</v>
      </c>
      <c r="G156" s="1858">
        <f t="shared" si="45"/>
        <v>728.63</v>
      </c>
      <c r="H156" s="1858">
        <f t="shared" si="45"/>
        <v>732.24</v>
      </c>
      <c r="I156" s="337">
        <f t="shared" si="45"/>
        <v>744.44</v>
      </c>
      <c r="J156" s="337">
        <f t="shared" si="45"/>
        <v>763.5</v>
      </c>
      <c r="K156" s="337">
        <f t="shared" si="45"/>
        <v>785.61</v>
      </c>
      <c r="L156" s="337">
        <f t="shared" si="45"/>
        <v>789.73</v>
      </c>
      <c r="M156" s="337">
        <f t="shared" si="45"/>
        <v>791.17</v>
      </c>
      <c r="N156" s="337">
        <f t="shared" si="45"/>
        <v>791.68</v>
      </c>
      <c r="O156" s="337">
        <f t="shared" si="45"/>
        <v>800.47</v>
      </c>
      <c r="P156" s="1290">
        <f t="shared" si="45"/>
        <v>801.28</v>
      </c>
    </row>
    <row r="157" spans="3:16" ht="23.25" hidden="1" customHeight="1">
      <c r="C157" s="1855" t="s">
        <v>673</v>
      </c>
      <c r="D157" s="1240" t="s">
        <v>831</v>
      </c>
      <c r="E157" s="1849">
        <v>41275</v>
      </c>
      <c r="F157" s="1849">
        <v>41307</v>
      </c>
      <c r="G157" s="1849">
        <v>41339</v>
      </c>
      <c r="H157" s="1849">
        <v>41371</v>
      </c>
      <c r="I157" s="1849">
        <v>41403</v>
      </c>
      <c r="J157" s="1849">
        <v>41435</v>
      </c>
      <c r="K157" s="1849">
        <v>41467</v>
      </c>
      <c r="L157" s="1849">
        <v>41499</v>
      </c>
      <c r="M157" s="1849">
        <v>41531</v>
      </c>
      <c r="N157" s="1849">
        <v>41563</v>
      </c>
      <c r="O157" s="1849">
        <v>41595</v>
      </c>
      <c r="P157" s="1850">
        <v>41627</v>
      </c>
    </row>
    <row r="158" spans="3:16" ht="18.75" hidden="1" customHeight="1">
      <c r="C158" s="372" t="s">
        <v>709</v>
      </c>
      <c r="D158" s="1856">
        <v>221</v>
      </c>
      <c r="E158" s="142">
        <f>+'ANEXOA-MODIFICADO'!D437</f>
        <v>698.58</v>
      </c>
      <c r="F158" s="142">
        <f>+'ANEXOA-MODIFICADO'!E437</f>
        <v>707.98</v>
      </c>
      <c r="G158" s="142">
        <f>+'ANEXOA-MODIFICADO'!F437</f>
        <v>716.6</v>
      </c>
      <c r="H158" s="142">
        <f>+'ANEXOA-MODIFICADO'!G437</f>
        <v>729.18</v>
      </c>
      <c r="I158" s="142">
        <f>+'ANEXOA-MODIFICADO'!H437</f>
        <v>740.55</v>
      </c>
      <c r="J158" s="142">
        <f>+'ANEXOA-MODIFICADO'!I437</f>
        <v>758.12</v>
      </c>
      <c r="K158" s="142">
        <f>+'ANEXOA-MODIFICADO'!J437</f>
        <v>773.5</v>
      </c>
      <c r="L158" s="142">
        <f>+'ANEXOA-MODIFICADO'!K437</f>
        <v>783.05</v>
      </c>
      <c r="M158" s="142">
        <f>+'ANEXOA-MODIFICADO'!L437</f>
        <v>798.42</v>
      </c>
      <c r="N158" s="142">
        <f>+'ANEXOA-MODIFICADO'!M437</f>
        <v>807.2</v>
      </c>
      <c r="O158" s="142">
        <f>+'ANEXOA-MODIFICADO'!N437</f>
        <v>820.04</v>
      </c>
      <c r="P158" s="288">
        <f>+'ANEXOA-MODIFICADO'!O437</f>
        <v>831.39</v>
      </c>
    </row>
    <row r="159" spans="3:16" ht="18.75" hidden="1" customHeight="1">
      <c r="C159" s="372" t="s">
        <v>710</v>
      </c>
      <c r="D159" s="1856">
        <v>67</v>
      </c>
      <c r="E159" s="142">
        <f>+'TABLA FINAL  NO'!EN92</f>
        <v>1024.6099999999999</v>
      </c>
      <c r="F159" s="142">
        <f>+'TABLA FINAL  NO'!EO92</f>
        <v>1032.78</v>
      </c>
      <c r="G159" s="142">
        <f>+'TABLA FINAL  NO'!EP92</f>
        <v>1055.3499999999999</v>
      </c>
      <c r="H159" s="142">
        <f>+'TABLA FINAL  NO'!EQ92</f>
        <v>1077.53</v>
      </c>
      <c r="I159" s="142">
        <f>+'TABLA FINAL  NO'!ER92</f>
        <v>1093.44</v>
      </c>
      <c r="J159" s="142">
        <f>+'TABLA FINAL  NO'!ES92</f>
        <v>1109.21</v>
      </c>
      <c r="K159" s="142">
        <f>+'TABLA FINAL  NO'!ET92</f>
        <v>1118.96</v>
      </c>
      <c r="L159" s="142">
        <f>+'TABLA FINAL  NO'!EU92</f>
        <v>1126.55</v>
      </c>
      <c r="M159" s="142">
        <f>+'TABLA FINAL  NO'!EV92</f>
        <v>1130.51</v>
      </c>
      <c r="N159" s="142">
        <f>+'TABLA FINAL  NO'!EW92</f>
        <v>1130.51</v>
      </c>
      <c r="O159" s="142">
        <f>+'TABLA FINAL  NO'!EX92</f>
        <v>1132.25</v>
      </c>
      <c r="P159" s="288">
        <f>+'TABLA FINAL  NO'!EY92</f>
        <v>1141.83</v>
      </c>
    </row>
    <row r="160" spans="3:16" ht="18" hidden="1" customHeight="1">
      <c r="C160" s="372" t="s">
        <v>662</v>
      </c>
      <c r="D160" s="1856">
        <v>4</v>
      </c>
      <c r="E160" s="140">
        <f>+'TABLA FINAL  NO'!EN8</f>
        <v>25.82</v>
      </c>
      <c r="F160" s="140">
        <f>+'TABLA FINAL  NO'!EO8</f>
        <v>25.82</v>
      </c>
      <c r="G160" s="140">
        <f>+'TABLA FINAL  NO'!EP8</f>
        <v>25.82</v>
      </c>
      <c r="H160" s="140">
        <f>+'TABLA FINAL  NO'!EQ8</f>
        <v>25.82</v>
      </c>
      <c r="I160" s="140">
        <f>+'TABLA FINAL  NO'!ER8</f>
        <v>25.82</v>
      </c>
      <c r="J160" s="140">
        <f>+'TABLA FINAL  NO'!ES8</f>
        <v>30.47</v>
      </c>
      <c r="K160" s="140">
        <f>+'TABLA FINAL  NO'!ET8</f>
        <v>30.47</v>
      </c>
      <c r="L160" s="140">
        <f>+'TABLA FINAL  NO'!EU8</f>
        <v>30.47</v>
      </c>
      <c r="M160" s="140">
        <f>+'TABLA FINAL  NO'!EV8</f>
        <v>32.200000000000003</v>
      </c>
      <c r="N160" s="140">
        <f>+'TABLA FINAL  NO'!EW8</f>
        <v>32.200000000000003</v>
      </c>
      <c r="O160" s="140">
        <f>+'TABLA FINAL  NO'!EX8</f>
        <v>32.299999999999997</v>
      </c>
      <c r="P160" s="141">
        <f>+'TABLA FINAL  NO'!EY8</f>
        <v>32.299999999999997</v>
      </c>
    </row>
    <row r="161" spans="3:16" ht="21" hidden="1" customHeight="1">
      <c r="C161" s="2624" t="s">
        <v>675</v>
      </c>
      <c r="D161" s="1856">
        <v>221</v>
      </c>
      <c r="E161" s="142">
        <f t="shared" ref="E161:M161" si="46">+E158</f>
        <v>698.58</v>
      </c>
      <c r="F161" s="142">
        <f t="shared" si="46"/>
        <v>707.98</v>
      </c>
      <c r="G161" s="142">
        <f t="shared" si="46"/>
        <v>716.6</v>
      </c>
      <c r="H161" s="142">
        <f t="shared" si="46"/>
        <v>729.18</v>
      </c>
      <c r="I161" s="142">
        <f t="shared" si="46"/>
        <v>740.55</v>
      </c>
      <c r="J161" s="142">
        <f t="shared" si="46"/>
        <v>758.12</v>
      </c>
      <c r="K161" s="142">
        <f t="shared" si="46"/>
        <v>773.5</v>
      </c>
      <c r="L161" s="142">
        <f t="shared" si="46"/>
        <v>783.05</v>
      </c>
      <c r="M161" s="142">
        <f t="shared" si="46"/>
        <v>798.42</v>
      </c>
      <c r="N161" s="142">
        <f>+N158</f>
        <v>807.2</v>
      </c>
      <c r="O161" s="142">
        <f>+O158</f>
        <v>820.04</v>
      </c>
      <c r="P161" s="288">
        <f>+P158</f>
        <v>831.39</v>
      </c>
    </row>
    <row r="162" spans="3:16" ht="18.75" hidden="1" customHeight="1">
      <c r="C162" s="2624"/>
      <c r="D162" s="1856">
        <v>4</v>
      </c>
      <c r="E162" s="142">
        <f t="shared" ref="E162:O162" si="47">ROUND(100*E160/$E$18,2)</f>
        <v>835.6</v>
      </c>
      <c r="F162" s="142">
        <f t="shared" si="47"/>
        <v>835.6</v>
      </c>
      <c r="G162" s="142">
        <f t="shared" si="47"/>
        <v>835.6</v>
      </c>
      <c r="H162" s="142">
        <f t="shared" si="47"/>
        <v>835.6</v>
      </c>
      <c r="I162" s="142">
        <f t="shared" si="47"/>
        <v>835.6</v>
      </c>
      <c r="J162" s="142">
        <f t="shared" si="47"/>
        <v>986.08</v>
      </c>
      <c r="K162" s="142">
        <f t="shared" si="47"/>
        <v>986.08</v>
      </c>
      <c r="L162" s="142">
        <f t="shared" si="47"/>
        <v>986.08</v>
      </c>
      <c r="M162" s="142">
        <f t="shared" si="47"/>
        <v>1042.07</v>
      </c>
      <c r="N162" s="142">
        <f>ROUND(100*N160/$E$18,2)</f>
        <v>1042.07</v>
      </c>
      <c r="O162" s="142">
        <f t="shared" si="47"/>
        <v>1045.31</v>
      </c>
      <c r="P162" s="288">
        <f>ROUND(100*P160/$E$18,2)</f>
        <v>1045.31</v>
      </c>
    </row>
    <row r="163" spans="3:16" ht="17.25" hidden="1" customHeight="1">
      <c r="C163" s="2624"/>
      <c r="D163" s="1856">
        <v>67</v>
      </c>
      <c r="E163" s="140">
        <f t="shared" ref="E163:O163" si="48">ROUND(100*E159/$E$17,2)</f>
        <v>811.89</v>
      </c>
      <c r="F163" s="140">
        <f t="shared" si="48"/>
        <v>818.37</v>
      </c>
      <c r="G163" s="140">
        <f t="shared" si="48"/>
        <v>836.25</v>
      </c>
      <c r="H163" s="140">
        <f t="shared" si="48"/>
        <v>853.83</v>
      </c>
      <c r="I163" s="140">
        <f t="shared" si="48"/>
        <v>866.43</v>
      </c>
      <c r="J163" s="140">
        <f t="shared" si="48"/>
        <v>878.93</v>
      </c>
      <c r="K163" s="140">
        <f t="shared" si="48"/>
        <v>886.66</v>
      </c>
      <c r="L163" s="140">
        <f t="shared" si="48"/>
        <v>892.67</v>
      </c>
      <c r="M163" s="140">
        <f t="shared" si="48"/>
        <v>895.81</v>
      </c>
      <c r="N163" s="140">
        <f>ROUND(100*N159/$E$17,2)</f>
        <v>895.81</v>
      </c>
      <c r="O163" s="140">
        <f t="shared" si="48"/>
        <v>897.19</v>
      </c>
      <c r="P163" s="141">
        <f>ROUND(100*P159/$E$17,2)</f>
        <v>904.78</v>
      </c>
    </row>
    <row r="164" spans="3:16" ht="16.5" hidden="1" customHeight="1" thickBot="1">
      <c r="C164" s="2779" t="s">
        <v>824</v>
      </c>
      <c r="D164" s="2780"/>
      <c r="E164" s="380"/>
      <c r="F164" s="380"/>
      <c r="G164" s="380"/>
      <c r="H164" s="380"/>
      <c r="I164" s="380"/>
      <c r="J164" s="380"/>
      <c r="K164" s="380"/>
      <c r="L164" s="380"/>
      <c r="M164" s="380"/>
      <c r="N164" s="380"/>
      <c r="O164" s="380"/>
      <c r="P164" s="539"/>
    </row>
    <row r="165" spans="3:16" ht="22.5" hidden="1" customHeight="1" thickBot="1">
      <c r="C165" s="2781"/>
      <c r="D165" s="2782"/>
      <c r="E165" s="1360">
        <f t="shared" ref="E165:J165" si="49">ROUND(+$E$11*E161+$E$12*E163+$E$13*E162,2)</f>
        <v>802.93</v>
      </c>
      <c r="F165" s="1360">
        <f t="shared" si="49"/>
        <v>809.05</v>
      </c>
      <c r="G165" s="1360">
        <f t="shared" si="49"/>
        <v>824.22</v>
      </c>
      <c r="H165" s="1360">
        <f t="shared" si="49"/>
        <v>839.54</v>
      </c>
      <c r="I165" s="1360">
        <f t="shared" si="49"/>
        <v>850.76</v>
      </c>
      <c r="J165" s="1360">
        <f t="shared" si="49"/>
        <v>877.56</v>
      </c>
      <c r="K165" s="1360">
        <f t="shared" ref="K165:P165" si="50">ROUND(+$E$11*K161+$E$12*K163+$E$13*K162,2)</f>
        <v>885.29</v>
      </c>
      <c r="L165" s="1360">
        <f t="shared" si="50"/>
        <v>891.05</v>
      </c>
      <c r="M165" s="1360">
        <f t="shared" si="50"/>
        <v>900.7</v>
      </c>
      <c r="N165" s="1360">
        <f t="shared" si="50"/>
        <v>901.58</v>
      </c>
      <c r="O165" s="1360">
        <f t="shared" si="50"/>
        <v>904.29</v>
      </c>
      <c r="P165" s="1486">
        <f t="shared" si="50"/>
        <v>911.49</v>
      </c>
    </row>
    <row r="166" spans="3:16" ht="9.9499999999999993" hidden="1" customHeight="1"/>
    <row r="167" spans="3:16" ht="9.9499999999999993" hidden="1" customHeight="1" thickBot="1"/>
    <row r="168" spans="3:16" hidden="1">
      <c r="C168" s="1855" t="s">
        <v>673</v>
      </c>
      <c r="D168" s="1240" t="s">
        <v>831</v>
      </c>
      <c r="E168" s="1849">
        <v>41640</v>
      </c>
      <c r="F168" s="1849">
        <v>41672</v>
      </c>
      <c r="G168" s="1849">
        <v>41704</v>
      </c>
      <c r="H168" s="1849">
        <v>41736</v>
      </c>
      <c r="I168" s="1849">
        <v>41768</v>
      </c>
      <c r="J168" s="1849">
        <v>41800</v>
      </c>
      <c r="K168" s="1849">
        <v>41832</v>
      </c>
      <c r="L168" s="1849">
        <v>41864</v>
      </c>
      <c r="M168" s="1849">
        <v>41896</v>
      </c>
      <c r="N168" s="1849">
        <v>41928</v>
      </c>
      <c r="O168" s="1849">
        <v>41960</v>
      </c>
      <c r="P168" s="1850">
        <v>41992</v>
      </c>
    </row>
    <row r="169" spans="3:16" hidden="1">
      <c r="C169" s="372" t="s">
        <v>709</v>
      </c>
      <c r="D169" s="1856">
        <v>221</v>
      </c>
      <c r="E169" s="142">
        <f>'ANEXOA-MODIFICADO'!D443</f>
        <v>871.59</v>
      </c>
      <c r="F169" s="142">
        <f>'ANEXOA-MODIFICADO'!E443</f>
        <v>929.95</v>
      </c>
      <c r="G169" s="142">
        <f>'ANEXOA-MODIFICADO'!F443</f>
        <v>967.2</v>
      </c>
      <c r="H169" s="142">
        <f>'ANEXOA-MODIFICADO'!G443</f>
        <v>990.09</v>
      </c>
      <c r="I169" s="142">
        <f>'ANEXOA-MODIFICADO'!H443</f>
        <v>1008.38</v>
      </c>
      <c r="J169" s="142">
        <f>'ANEXOA-MODIFICADO'!I443</f>
        <v>1026.3900000000001</v>
      </c>
      <c r="K169" s="142">
        <f>'ANEXOA-MODIFICADO'!J443</f>
        <v>1044.92</v>
      </c>
      <c r="L169" s="142">
        <f>'ANEXOA-MODIFICADO'!K443</f>
        <v>1053.82</v>
      </c>
      <c r="M169" s="142">
        <f>'ANEXOA-MODIFICADO'!L443</f>
        <v>1062.6199999999999</v>
      </c>
      <c r="N169" s="142">
        <f>'ANEXOA-MODIFICADO'!M443</f>
        <v>1079.26</v>
      </c>
      <c r="O169" s="142">
        <f>'ANEXOA-MODIFICADO'!N443</f>
        <v>1088.3499999999999</v>
      </c>
      <c r="P169" s="288">
        <f>'ANEXOA-MODIFICADO'!O443</f>
        <v>1106.46</v>
      </c>
    </row>
    <row r="170" spans="3:16" hidden="1">
      <c r="C170" s="372" t="s">
        <v>710</v>
      </c>
      <c r="D170" s="1856">
        <v>67</v>
      </c>
      <c r="E170" s="142">
        <f>+'TABLA FINAL  NO'!EZ92</f>
        <v>1188</v>
      </c>
      <c r="F170" s="142">
        <f>+'TABLA FINAL  NO'!FA92</f>
        <v>1212.73</v>
      </c>
      <c r="G170" s="142">
        <f>+'TABLA FINAL  NO'!FB92</f>
        <v>1274.3499999999999</v>
      </c>
      <c r="H170" s="142">
        <f>+'TABLA FINAL  NO'!FC92</f>
        <v>1373.92</v>
      </c>
      <c r="I170" s="142">
        <f>+'TABLA FINAL  NO'!FD92</f>
        <v>1386.78</v>
      </c>
      <c r="J170" s="142">
        <f>+'TABLA FINAL  NO'!FE92</f>
        <v>1396.59</v>
      </c>
      <c r="K170" s="142">
        <f>+'TABLA FINAL  NO'!FF92</f>
        <v>1469.17</v>
      </c>
      <c r="L170" s="142">
        <f>+'TABLA FINAL  NO'!FG92</f>
        <v>1477.54</v>
      </c>
      <c r="M170" s="142">
        <f>+'TABLA FINAL  NO'!FH92</f>
        <v>1505.35</v>
      </c>
      <c r="N170" s="142">
        <f>+'TABLA FINAL  NO'!FI92</f>
        <v>1511.76</v>
      </c>
      <c r="O170" s="142">
        <f>+'TABLA FINAL  NO'!FJ92</f>
        <v>1511.91</v>
      </c>
      <c r="P170" s="288">
        <f>+'TABLA FINAL  NO'!FK92</f>
        <v>1511.84</v>
      </c>
    </row>
    <row r="171" spans="3:16" hidden="1">
      <c r="C171" s="372" t="s">
        <v>662</v>
      </c>
      <c r="D171" s="1856">
        <v>4</v>
      </c>
      <c r="E171" s="142">
        <f>+'TABLA FINAL  NO'!EZ8</f>
        <v>32.299999999999997</v>
      </c>
      <c r="F171" s="142">
        <f>+'TABLA FINAL  NO'!FA8</f>
        <v>32.299999999999997</v>
      </c>
      <c r="G171" s="142">
        <f>+'TABLA FINAL  NO'!FB8</f>
        <v>32.299999999999997</v>
      </c>
      <c r="H171" s="142">
        <f>+'TABLA FINAL  NO'!FC8</f>
        <v>38.01</v>
      </c>
      <c r="I171" s="142">
        <f>+'TABLA FINAL  NO'!FD8</f>
        <v>38.01</v>
      </c>
      <c r="J171" s="142">
        <f>+'TABLA FINAL  NO'!FE8</f>
        <v>38.01</v>
      </c>
      <c r="K171" s="142">
        <f>+'TABLA FINAL  NO'!FF8</f>
        <v>41.81</v>
      </c>
      <c r="L171" s="142">
        <f>+'TABLA FINAL  NO'!FG8</f>
        <v>41.81</v>
      </c>
      <c r="M171" s="142">
        <f>+'TABLA FINAL  NO'!FH8</f>
        <v>41.81</v>
      </c>
      <c r="N171" s="142">
        <f>+'TABLA FINAL  NO'!FI8</f>
        <v>41.81</v>
      </c>
      <c r="O171" s="142">
        <f>+'TABLA FINAL  NO'!FJ8</f>
        <v>41.81</v>
      </c>
      <c r="P171" s="288">
        <f>+'TABLA FINAL  NO'!FK8</f>
        <v>41.81</v>
      </c>
    </row>
    <row r="172" spans="3:16" hidden="1">
      <c r="C172" s="2624" t="s">
        <v>675</v>
      </c>
      <c r="D172" s="1856">
        <v>221</v>
      </c>
      <c r="E172" s="142">
        <f t="shared" ref="E172:J172" si="51">E169</f>
        <v>871.59</v>
      </c>
      <c r="F172" s="142">
        <f t="shared" si="51"/>
        <v>929.95</v>
      </c>
      <c r="G172" s="142">
        <f t="shared" si="51"/>
        <v>967.2</v>
      </c>
      <c r="H172" s="142">
        <f t="shared" si="51"/>
        <v>990.09</v>
      </c>
      <c r="I172" s="142">
        <f t="shared" si="51"/>
        <v>1008.38</v>
      </c>
      <c r="J172" s="142">
        <f t="shared" si="51"/>
        <v>1026.3900000000001</v>
      </c>
      <c r="K172" s="142">
        <f t="shared" ref="K172:P172" si="52">K169</f>
        <v>1044.92</v>
      </c>
      <c r="L172" s="142">
        <f t="shared" si="52"/>
        <v>1053.82</v>
      </c>
      <c r="M172" s="142">
        <f t="shared" si="52"/>
        <v>1062.6199999999999</v>
      </c>
      <c r="N172" s="142">
        <f t="shared" si="52"/>
        <v>1079.26</v>
      </c>
      <c r="O172" s="142">
        <f t="shared" si="52"/>
        <v>1088.3499999999999</v>
      </c>
      <c r="P172" s="288">
        <f t="shared" si="52"/>
        <v>1106.46</v>
      </c>
    </row>
    <row r="173" spans="3:16" hidden="1">
      <c r="C173" s="2624"/>
      <c r="D173" s="1856">
        <v>4</v>
      </c>
      <c r="E173" s="142">
        <f t="shared" ref="E173:J173" si="53">ROUND(100*E171/$E$18,2)</f>
        <v>1045.31</v>
      </c>
      <c r="F173" s="142">
        <f t="shared" si="53"/>
        <v>1045.31</v>
      </c>
      <c r="G173" s="142">
        <f t="shared" si="53"/>
        <v>1045.31</v>
      </c>
      <c r="H173" s="142">
        <f t="shared" si="53"/>
        <v>1230.0999999999999</v>
      </c>
      <c r="I173" s="142">
        <f t="shared" si="53"/>
        <v>1230.0999999999999</v>
      </c>
      <c r="J173" s="142">
        <f t="shared" si="53"/>
        <v>1230.0999999999999</v>
      </c>
      <c r="K173" s="142">
        <f t="shared" ref="K173:P173" si="54">ROUND(100*K171/$E$18,2)</f>
        <v>1353.07</v>
      </c>
      <c r="L173" s="142">
        <f t="shared" si="54"/>
        <v>1353.07</v>
      </c>
      <c r="M173" s="142">
        <f t="shared" si="54"/>
        <v>1353.07</v>
      </c>
      <c r="N173" s="142">
        <f t="shared" si="54"/>
        <v>1353.07</v>
      </c>
      <c r="O173" s="142">
        <f t="shared" si="54"/>
        <v>1353.07</v>
      </c>
      <c r="P173" s="288">
        <f t="shared" si="54"/>
        <v>1353.07</v>
      </c>
    </row>
    <row r="174" spans="3:16" hidden="1">
      <c r="C174" s="2624"/>
      <c r="D174" s="1856">
        <v>67</v>
      </c>
      <c r="E174" s="140">
        <f t="shared" ref="E174:J174" si="55">ROUND(100*E170/$E$17,2)</f>
        <v>941.36</v>
      </c>
      <c r="F174" s="140">
        <f t="shared" si="55"/>
        <v>960.96</v>
      </c>
      <c r="G174" s="140">
        <f t="shared" si="55"/>
        <v>1009.79</v>
      </c>
      <c r="H174" s="140">
        <f t="shared" si="55"/>
        <v>1088.68</v>
      </c>
      <c r="I174" s="140">
        <f t="shared" si="55"/>
        <v>1098.8699999999999</v>
      </c>
      <c r="J174" s="140">
        <f t="shared" si="55"/>
        <v>1106.6500000000001</v>
      </c>
      <c r="K174" s="140">
        <f t="shared" ref="K174:P174" si="56">ROUND(100*K170/$E$17,2)</f>
        <v>1164.1600000000001</v>
      </c>
      <c r="L174" s="140">
        <f t="shared" si="56"/>
        <v>1170.79</v>
      </c>
      <c r="M174" s="140">
        <f t="shared" si="56"/>
        <v>1192.83</v>
      </c>
      <c r="N174" s="140">
        <f t="shared" si="56"/>
        <v>1197.9100000000001</v>
      </c>
      <c r="O174" s="140">
        <f t="shared" si="56"/>
        <v>1198.03</v>
      </c>
      <c r="P174" s="141">
        <f t="shared" si="56"/>
        <v>1197.97</v>
      </c>
    </row>
    <row r="175" spans="3:16" ht="18" hidden="1" customHeight="1" thickBot="1">
      <c r="C175" s="2772" t="s">
        <v>824</v>
      </c>
      <c r="D175" s="2773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  <c r="O175" s="380"/>
      <c r="P175" s="539"/>
    </row>
    <row r="176" spans="3:16" ht="21" hidden="1" customHeight="1" thickBot="1">
      <c r="C176" s="2656"/>
      <c r="D176" s="2774"/>
      <c r="E176" s="1485">
        <f t="shared" ref="E176:P176" si="57">ROUND(+$E$11*E172+$E$12*E174+$E$13*E173,2)</f>
        <v>944.78</v>
      </c>
      <c r="F176" s="1485">
        <f>ROUND(+$E$11*F172+$E$12*F174+$E$13*F173,2)</f>
        <v>966.29</v>
      </c>
      <c r="G176" s="1360">
        <f t="shared" si="57"/>
        <v>1009.08</v>
      </c>
      <c r="H176" s="1360">
        <f t="shared" si="57"/>
        <v>1092.96</v>
      </c>
      <c r="I176" s="337">
        <f t="shared" si="57"/>
        <v>1102.94</v>
      </c>
      <c r="J176" s="337">
        <f t="shared" si="57"/>
        <v>1110.97</v>
      </c>
      <c r="K176" s="337">
        <f>ROUND(+$E$11*K172+$E$12*K174+$E$13*K173,2)</f>
        <v>1171.1300000000001</v>
      </c>
      <c r="L176" s="337">
        <f t="shared" si="57"/>
        <v>1177.32</v>
      </c>
      <c r="M176" s="337">
        <f t="shared" si="57"/>
        <v>1195.83</v>
      </c>
      <c r="N176" s="337">
        <f t="shared" si="57"/>
        <v>1201.56</v>
      </c>
      <c r="O176" s="337">
        <f t="shared" si="57"/>
        <v>1202.57</v>
      </c>
      <c r="P176" s="1486">
        <f t="shared" si="57"/>
        <v>1204.33</v>
      </c>
    </row>
    <row r="177" spans="3:16" ht="9.9499999999999993" hidden="1" customHeight="1"/>
    <row r="178" spans="3:16" ht="9.9499999999999993" hidden="1" customHeight="1" thickBot="1"/>
    <row r="179" spans="3:16" hidden="1">
      <c r="C179" s="1855" t="s">
        <v>673</v>
      </c>
      <c r="D179" s="1240" t="s">
        <v>831</v>
      </c>
      <c r="E179" s="1849">
        <v>42005</v>
      </c>
      <c r="F179" s="1849">
        <v>42037</v>
      </c>
      <c r="G179" s="1849">
        <v>42069</v>
      </c>
      <c r="H179" s="1849">
        <v>42101</v>
      </c>
      <c r="I179" s="1849">
        <v>42133</v>
      </c>
      <c r="J179" s="1849">
        <v>42165</v>
      </c>
      <c r="K179" s="1849">
        <v>42197</v>
      </c>
      <c r="L179" s="1849">
        <v>42229</v>
      </c>
      <c r="M179" s="1849">
        <v>42261</v>
      </c>
      <c r="N179" s="1849">
        <v>42293</v>
      </c>
      <c r="O179" s="1849">
        <v>42325</v>
      </c>
      <c r="P179" s="1850">
        <v>42357</v>
      </c>
    </row>
    <row r="180" spans="3:16" hidden="1">
      <c r="C180" s="372" t="s">
        <v>709</v>
      </c>
      <c r="D180" s="1856">
        <v>221</v>
      </c>
      <c r="E180" s="142">
        <f>+'ANEXOA-MODIFICADO'!D449</f>
        <v>1121.1400000000001</v>
      </c>
      <c r="F180" s="142">
        <f>+'ANEXOA-MODIFICADO'!E449</f>
        <v>1121.8800000000001</v>
      </c>
      <c r="G180" s="142">
        <f>+'ANEXOA-MODIFICADO'!F449</f>
        <v>1149.19</v>
      </c>
      <c r="H180" s="142">
        <f>+'ANEXOA-MODIFICADO'!G449</f>
        <v>1162.3499999999999</v>
      </c>
      <c r="I180" s="142">
        <f>+'ANEXOA-MODIFICADO'!H449</f>
        <v>1167.45</v>
      </c>
      <c r="J180" s="142">
        <f>+'ANEXOA-MODIFICADO'!I449</f>
        <v>1181.23</v>
      </c>
      <c r="K180" s="142">
        <f>+'ANEXOA-MODIFICADO'!J449</f>
        <v>1198.26</v>
      </c>
      <c r="L180" s="142">
        <f>+'ANEXOA-MODIFICADO'!K449</f>
        <v>1228.3399999999999</v>
      </c>
      <c r="M180" s="142">
        <f>+'ANEXOA-MODIFICADO'!L449</f>
        <v>1242.52</v>
      </c>
      <c r="N180" s="142">
        <f>+'ANEXOA-MODIFICADO'!M449</f>
        <v>1262.28</v>
      </c>
      <c r="O180" s="142" t="e">
        <f>+'ANEXOA-MODIFICADO'!N449</f>
        <v>#REF!</v>
      </c>
      <c r="P180" s="288" t="e">
        <f>+'ANEXOA-MODIFICADO'!O449</f>
        <v>#REF!</v>
      </c>
    </row>
    <row r="181" spans="3:16" hidden="1">
      <c r="C181" s="372" t="s">
        <v>710</v>
      </c>
      <c r="D181" s="1856">
        <v>67</v>
      </c>
      <c r="E181" s="142">
        <f>+'TABLA FINAL  NO'!FL92</f>
        <v>1445.03</v>
      </c>
      <c r="F181" s="142">
        <f>+'TABLA FINAL  NO'!FM92</f>
        <v>1462.41</v>
      </c>
      <c r="G181" s="142">
        <f>+'TABLA FINAL  NO'!FN92</f>
        <v>1480.48</v>
      </c>
      <c r="H181" s="142">
        <f>+'TABLA FINAL  NO'!FO92</f>
        <v>1483.26</v>
      </c>
      <c r="I181" s="142">
        <f>+'TABLA FINAL  NO'!FP92</f>
        <v>1505.43</v>
      </c>
      <c r="J181" s="142">
        <f>+'TABLA FINAL  NO'!FQ92</f>
        <v>1535.69</v>
      </c>
      <c r="K181" s="142">
        <f>+'TABLA FINAL  NO'!FR92</f>
        <v>1553.18</v>
      </c>
      <c r="L181" s="142">
        <f>+'TABLA FINAL  NO'!FS92</f>
        <v>1574.35</v>
      </c>
      <c r="M181" s="142">
        <f>+'TABLA FINAL  NO'!FT92</f>
        <v>1577.45</v>
      </c>
      <c r="N181" s="142">
        <f>+'TABLA FINAL  NO'!FU92</f>
        <v>1577.54</v>
      </c>
      <c r="O181" s="142" t="e">
        <f>+#REF!</f>
        <v>#REF!</v>
      </c>
      <c r="P181" s="288" t="e">
        <f>+#REF!</f>
        <v>#REF!</v>
      </c>
    </row>
    <row r="182" spans="3:16" hidden="1">
      <c r="C182" s="372" t="s">
        <v>662</v>
      </c>
      <c r="D182" s="1856">
        <v>4</v>
      </c>
      <c r="E182" s="142">
        <f>+'TABLA FINAL  NO'!FL8</f>
        <v>41.81</v>
      </c>
      <c r="F182" s="142">
        <f>+'TABLA FINAL  NO'!FM8</f>
        <v>41.81</v>
      </c>
      <c r="G182" s="142">
        <f>+'TABLA FINAL  NO'!FN8</f>
        <v>41.81</v>
      </c>
      <c r="H182" s="142">
        <f>+'TABLA FINAL  NO'!FO8</f>
        <v>49.08</v>
      </c>
      <c r="I182" s="142">
        <f>+'TABLA FINAL  NO'!FP8</f>
        <v>49.08</v>
      </c>
      <c r="J182" s="142">
        <f>+'TABLA FINAL  NO'!FQ8</f>
        <v>49.08</v>
      </c>
      <c r="K182" s="142">
        <f>+'TABLA FINAL  NO'!FR8</f>
        <v>49.08</v>
      </c>
      <c r="L182" s="142">
        <f>+'TABLA FINAL  NO'!FS8</f>
        <v>53.27</v>
      </c>
      <c r="M182" s="142">
        <f>+'TABLA FINAL  NO'!FT8</f>
        <v>53.27</v>
      </c>
      <c r="N182" s="142">
        <f>+'TABLA FINAL  NO'!FU8</f>
        <v>53.27</v>
      </c>
      <c r="O182" s="142" t="e">
        <f>+#REF!</f>
        <v>#REF!</v>
      </c>
      <c r="P182" s="288" t="e">
        <f>+#REF!</f>
        <v>#REF!</v>
      </c>
    </row>
    <row r="183" spans="3:16" hidden="1">
      <c r="C183" s="2624" t="s">
        <v>675</v>
      </c>
      <c r="D183" s="1856">
        <v>221</v>
      </c>
      <c r="E183" s="142">
        <f t="shared" ref="E183:J183" si="58">E180</f>
        <v>1121.1400000000001</v>
      </c>
      <c r="F183" s="142">
        <f t="shared" si="58"/>
        <v>1121.8800000000001</v>
      </c>
      <c r="G183" s="142">
        <f t="shared" si="58"/>
        <v>1149.19</v>
      </c>
      <c r="H183" s="142">
        <f t="shared" si="58"/>
        <v>1162.3499999999999</v>
      </c>
      <c r="I183" s="142">
        <f t="shared" si="58"/>
        <v>1167.45</v>
      </c>
      <c r="J183" s="142">
        <f t="shared" si="58"/>
        <v>1181.23</v>
      </c>
      <c r="K183" s="142">
        <f t="shared" ref="K183:P183" si="59">K180</f>
        <v>1198.26</v>
      </c>
      <c r="L183" s="142">
        <f t="shared" si="59"/>
        <v>1228.3399999999999</v>
      </c>
      <c r="M183" s="142">
        <f t="shared" si="59"/>
        <v>1242.52</v>
      </c>
      <c r="N183" s="142">
        <f t="shared" si="59"/>
        <v>1262.28</v>
      </c>
      <c r="O183" s="142" t="e">
        <f t="shared" si="59"/>
        <v>#REF!</v>
      </c>
      <c r="P183" s="288" t="e">
        <f t="shared" si="59"/>
        <v>#REF!</v>
      </c>
    </row>
    <row r="184" spans="3:16" hidden="1">
      <c r="C184" s="2624"/>
      <c r="D184" s="1856">
        <v>4</v>
      </c>
      <c r="E184" s="142">
        <f t="shared" ref="E184:J184" si="60">ROUND(100*E182/$E$18,2)</f>
        <v>1353.07</v>
      </c>
      <c r="F184" s="142">
        <f t="shared" si="60"/>
        <v>1353.07</v>
      </c>
      <c r="G184" s="142">
        <f t="shared" si="60"/>
        <v>1353.07</v>
      </c>
      <c r="H184" s="142">
        <f t="shared" si="60"/>
        <v>1588.35</v>
      </c>
      <c r="I184" s="142">
        <f t="shared" si="60"/>
        <v>1588.35</v>
      </c>
      <c r="J184" s="142">
        <f t="shared" si="60"/>
        <v>1588.35</v>
      </c>
      <c r="K184" s="142">
        <f t="shared" ref="K184:P184" si="61">ROUND(100*K182/$E$18,2)</f>
        <v>1588.35</v>
      </c>
      <c r="L184" s="142">
        <f t="shared" si="61"/>
        <v>1723.95</v>
      </c>
      <c r="M184" s="142">
        <f t="shared" si="61"/>
        <v>1723.95</v>
      </c>
      <c r="N184" s="142">
        <f t="shared" si="61"/>
        <v>1723.95</v>
      </c>
      <c r="O184" s="142" t="e">
        <f t="shared" si="61"/>
        <v>#REF!</v>
      </c>
      <c r="P184" s="288" t="e">
        <f t="shared" si="61"/>
        <v>#REF!</v>
      </c>
    </row>
    <row r="185" spans="3:16" hidden="1">
      <c r="C185" s="2624"/>
      <c r="D185" s="1856">
        <v>67</v>
      </c>
      <c r="E185" s="140">
        <f t="shared" ref="E185:J185" si="62">ROUND(100*E181/$E$17,2)</f>
        <v>1145.03</v>
      </c>
      <c r="F185" s="140">
        <f t="shared" si="62"/>
        <v>1158.8</v>
      </c>
      <c r="G185" s="140">
        <f t="shared" si="62"/>
        <v>1173.1199999999999</v>
      </c>
      <c r="H185" s="140">
        <f t="shared" si="62"/>
        <v>1175.32</v>
      </c>
      <c r="I185" s="140">
        <f t="shared" si="62"/>
        <v>1192.8900000000001</v>
      </c>
      <c r="J185" s="140">
        <f t="shared" si="62"/>
        <v>1216.8699999999999</v>
      </c>
      <c r="K185" s="140">
        <f t="shared" ref="K185:P185" si="63">ROUND(100*K181/$E$17,2)</f>
        <v>1230.73</v>
      </c>
      <c r="L185" s="140">
        <f t="shared" si="63"/>
        <v>1247.5</v>
      </c>
      <c r="M185" s="140">
        <f t="shared" si="63"/>
        <v>1249.96</v>
      </c>
      <c r="N185" s="140">
        <f t="shared" si="63"/>
        <v>1250.03</v>
      </c>
      <c r="O185" s="140" t="e">
        <f t="shared" si="63"/>
        <v>#REF!</v>
      </c>
      <c r="P185" s="141" t="e">
        <f t="shared" si="63"/>
        <v>#REF!</v>
      </c>
    </row>
    <row r="186" spans="3:16" ht="18" hidden="1" customHeight="1" thickBot="1">
      <c r="C186" s="2772" t="s">
        <v>824</v>
      </c>
      <c r="D186" s="2773"/>
      <c r="E186" s="380"/>
      <c r="F186" s="380"/>
      <c r="G186" s="380"/>
      <c r="H186" s="380"/>
      <c r="I186" s="380"/>
      <c r="J186" s="380"/>
      <c r="K186" s="380"/>
      <c r="L186" s="380"/>
      <c r="M186" s="380"/>
      <c r="N186" s="380"/>
      <c r="O186" s="380"/>
      <c r="P186" s="539"/>
    </row>
    <row r="187" spans="3:16" ht="21" hidden="1" customHeight="1" thickBot="1">
      <c r="C187" s="2656"/>
      <c r="D187" s="2774"/>
      <c r="E187" s="1485">
        <f t="shared" ref="E187:J187" si="64">ROUND(+$E$11*E183+$E$12*E185+$E$13*E184,2)</f>
        <v>1163.45</v>
      </c>
      <c r="F187" s="1485">
        <f t="shared" si="64"/>
        <v>1174.54</v>
      </c>
      <c r="G187" s="1485">
        <f t="shared" si="64"/>
        <v>1188.72</v>
      </c>
      <c r="H187" s="1485">
        <f t="shared" si="64"/>
        <v>1215.33</v>
      </c>
      <c r="I187" s="1485">
        <f t="shared" si="64"/>
        <v>1229.8900000000001</v>
      </c>
      <c r="J187" s="1485">
        <f t="shared" si="64"/>
        <v>1250.45</v>
      </c>
      <c r="K187" s="1485">
        <f t="shared" ref="K187:P187" si="65">ROUND(+$E$11*K183+$E$12*K185+$E$13*K184,2)</f>
        <v>1263.25</v>
      </c>
      <c r="L187" s="1485">
        <f t="shared" si="65"/>
        <v>1293.23</v>
      </c>
      <c r="M187" s="1485">
        <f t="shared" si="65"/>
        <v>1296.6199999999999</v>
      </c>
      <c r="N187" s="1485">
        <f t="shared" si="65"/>
        <v>1298.6500000000001</v>
      </c>
      <c r="O187" s="1485" t="e">
        <f t="shared" si="65"/>
        <v>#REF!</v>
      </c>
      <c r="P187" s="1510" t="e">
        <f t="shared" si="65"/>
        <v>#REF!</v>
      </c>
    </row>
    <row r="188" spans="3:16" ht="9.9499999999999993" customHeight="1" thickBot="1"/>
    <row r="189" spans="3:16">
      <c r="C189" s="1855" t="s">
        <v>673</v>
      </c>
      <c r="D189" s="1240" t="s">
        <v>831</v>
      </c>
      <c r="E189" s="1849">
        <v>42370</v>
      </c>
      <c r="F189" s="1849">
        <v>42402</v>
      </c>
      <c r="G189" s="1849">
        <v>42435</v>
      </c>
      <c r="H189" s="1849">
        <v>42468</v>
      </c>
      <c r="I189" s="1849">
        <v>42501</v>
      </c>
      <c r="J189" s="1849">
        <v>42534</v>
      </c>
      <c r="K189" s="1849">
        <v>42567</v>
      </c>
      <c r="L189" s="1849">
        <v>42600</v>
      </c>
      <c r="M189" s="1849">
        <v>42633</v>
      </c>
      <c r="N189" s="1849">
        <v>42666</v>
      </c>
      <c r="O189" s="1849">
        <v>42699</v>
      </c>
      <c r="P189" s="1850">
        <v>42732</v>
      </c>
    </row>
    <row r="190" spans="3:16">
      <c r="C190" s="372" t="s">
        <v>709</v>
      </c>
      <c r="D190" s="1856">
        <v>221</v>
      </c>
      <c r="E190" s="142">
        <f>+'ANEXOA-MODIFICADO'!D455</f>
        <v>100</v>
      </c>
      <c r="F190" s="142">
        <f>+'ANEXOA-MODIFICADO'!E455</f>
        <v>107.88</v>
      </c>
      <c r="G190" s="142">
        <f>+'ANEXOA-MODIFICADO'!F455</f>
        <v>115</v>
      </c>
      <c r="H190" s="142">
        <f>+'ANEXOA-MODIFICADO'!G455</f>
        <v>119.04</v>
      </c>
      <c r="I190" s="142">
        <f>+'ANEXOA-MODIFICADO'!H455</f>
        <v>125.57</v>
      </c>
      <c r="J190" s="142">
        <f>+'ANEXOA-MODIFICADO'!I455</f>
        <v>130.74</v>
      </c>
      <c r="K190" s="142">
        <f>+'ANEXOA-MODIFICADO'!J455</f>
        <v>130.74</v>
      </c>
      <c r="L190" s="142">
        <f>+'ANEXOA-MODIFICADO'!K455</f>
        <v>132.26</v>
      </c>
      <c r="M190" s="142">
        <f>+'ANEXOA-MODIFICADO'!L455</f>
        <v>134.59</v>
      </c>
      <c r="N190" s="142">
        <f>+'ANEXOA-MODIFICADO'!M455</f>
        <v>135.38999999999999</v>
      </c>
      <c r="O190" s="142">
        <f>+'ANEXOA-MODIFICADO'!N455</f>
        <v>143.74</v>
      </c>
      <c r="P190" s="288">
        <f>+'ANEXOA-MODIFICADO'!O455</f>
        <v>143.74</v>
      </c>
    </row>
    <row r="191" spans="3:16">
      <c r="C191" s="372" t="s">
        <v>710</v>
      </c>
      <c r="D191" s="1856">
        <v>67</v>
      </c>
      <c r="E191" s="142">
        <f>+'Insumos testigos '!FY91</f>
        <v>100</v>
      </c>
      <c r="F191" s="142">
        <f>+'Insumos testigos '!FZ91</f>
        <v>100</v>
      </c>
      <c r="G191" s="142">
        <f>+'Insumos testigos '!GA91</f>
        <v>106.23167753219604</v>
      </c>
      <c r="H191" s="142">
        <f>+'Insumos testigos '!GB91</f>
        <v>112.68328986332534</v>
      </c>
      <c r="I191" s="142">
        <f>+'Insumos testigos '!GC91</f>
        <v>123.90029444471372</v>
      </c>
      <c r="J191" s="142">
        <f>+'Insumos testigos '!GD91</f>
        <v>123.90029444471372</v>
      </c>
      <c r="K191" s="142">
        <f>+'Insumos testigos '!GE91</f>
        <v>123.90029444471372</v>
      </c>
      <c r="L191" s="142">
        <f>+'Insumos testigos '!GF91</f>
        <v>123.90029444471372</v>
      </c>
      <c r="M191" s="142">
        <f>+'Insumos testigos '!GG91</f>
        <v>123.90029444471372</v>
      </c>
      <c r="N191" s="142">
        <f>+'Insumos testigos '!GH91</f>
        <v>123.90029444471372</v>
      </c>
      <c r="O191" s="142">
        <f>+'Insumos testigos '!GI91</f>
        <v>123.90029444471372</v>
      </c>
      <c r="P191" s="142">
        <f>+'Insumos testigos '!GJ91</f>
        <v>123.90029444471372</v>
      </c>
    </row>
    <row r="192" spans="3:16">
      <c r="C192" s="372" t="s">
        <v>662</v>
      </c>
      <c r="D192" s="1856">
        <v>4</v>
      </c>
      <c r="E192" s="142">
        <f>+'Insumos testigos '!FY8</f>
        <v>53.27</v>
      </c>
      <c r="F192" s="142">
        <f>+'Insumos testigos '!FZ8</f>
        <v>53.27</v>
      </c>
      <c r="G192" s="142">
        <f>+'Insumos testigos '!GA8</f>
        <v>53.27</v>
      </c>
      <c r="H192" s="142">
        <f>+'Insumos testigos '!GB8</f>
        <v>64.989999999999995</v>
      </c>
      <c r="I192" s="142">
        <f>+'Insumos testigos '!GC8</f>
        <v>64.989999999999995</v>
      </c>
      <c r="J192" s="142">
        <f>+'Insumos testigos '!GD8</f>
        <v>64.989999999999995</v>
      </c>
      <c r="K192" s="142">
        <f>+'Insumos testigos '!GE8</f>
        <v>64.989999999999995</v>
      </c>
      <c r="L192" s="142">
        <f>+'Insumos testigos '!GF8</f>
        <v>64.989999999999995</v>
      </c>
      <c r="M192" s="142">
        <f>+'Insumos testigos '!GG8</f>
        <v>64.989999999999995</v>
      </c>
      <c r="N192" s="142">
        <f>+'Insumos testigos '!GH8</f>
        <v>71.38</v>
      </c>
      <c r="O192" s="142">
        <f>+'Insumos testigos '!GI8</f>
        <v>71.38</v>
      </c>
      <c r="P192" s="142">
        <f>+'Insumos testigos '!GJ8</f>
        <v>71.38</v>
      </c>
    </row>
    <row r="193" spans="3:16">
      <c r="C193" s="2624" t="s">
        <v>675</v>
      </c>
      <c r="D193" s="1856">
        <v>221</v>
      </c>
      <c r="E193" s="142">
        <f t="shared" ref="E193:P193" si="66">E190</f>
        <v>100</v>
      </c>
      <c r="F193" s="142">
        <f t="shared" si="66"/>
        <v>107.88</v>
      </c>
      <c r="G193" s="142">
        <f t="shared" si="66"/>
        <v>115</v>
      </c>
      <c r="H193" s="142">
        <f t="shared" si="66"/>
        <v>119.04</v>
      </c>
      <c r="I193" s="142">
        <f t="shared" si="66"/>
        <v>125.57</v>
      </c>
      <c r="J193" s="142">
        <f t="shared" si="66"/>
        <v>130.74</v>
      </c>
      <c r="K193" s="142">
        <f t="shared" si="66"/>
        <v>130.74</v>
      </c>
      <c r="L193" s="142">
        <f t="shared" si="66"/>
        <v>132.26</v>
      </c>
      <c r="M193" s="142">
        <f t="shared" si="66"/>
        <v>134.59</v>
      </c>
      <c r="N193" s="142">
        <f t="shared" si="66"/>
        <v>135.38999999999999</v>
      </c>
      <c r="O193" s="142">
        <f t="shared" si="66"/>
        <v>143.74</v>
      </c>
      <c r="P193" s="288">
        <f t="shared" si="66"/>
        <v>143.74</v>
      </c>
    </row>
    <row r="194" spans="3:16">
      <c r="C194" s="2624"/>
      <c r="D194" s="1856">
        <v>4</v>
      </c>
      <c r="E194" s="142">
        <v>100</v>
      </c>
      <c r="F194" s="142">
        <f>ROUND(100*F192/$E$192,2)</f>
        <v>100</v>
      </c>
      <c r="G194" s="142">
        <f t="shared" ref="G194:P194" si="67">ROUND(100*G192/$E$192,2)</f>
        <v>100</v>
      </c>
      <c r="H194" s="142">
        <f t="shared" si="67"/>
        <v>122</v>
      </c>
      <c r="I194" s="142">
        <f t="shared" si="67"/>
        <v>122</v>
      </c>
      <c r="J194" s="142">
        <f t="shared" si="67"/>
        <v>122</v>
      </c>
      <c r="K194" s="142">
        <f t="shared" si="67"/>
        <v>122</v>
      </c>
      <c r="L194" s="142">
        <f t="shared" si="67"/>
        <v>122</v>
      </c>
      <c r="M194" s="142">
        <f t="shared" si="67"/>
        <v>122</v>
      </c>
      <c r="N194" s="142">
        <f t="shared" si="67"/>
        <v>134</v>
      </c>
      <c r="O194" s="142">
        <f t="shared" si="67"/>
        <v>134</v>
      </c>
      <c r="P194" s="142">
        <f t="shared" si="67"/>
        <v>134</v>
      </c>
    </row>
    <row r="195" spans="3:16">
      <c r="C195" s="2624"/>
      <c r="D195" s="1856">
        <v>67</v>
      </c>
      <c r="E195" s="140">
        <v>100</v>
      </c>
      <c r="F195" s="140">
        <f>ROUND(100*F191/$E$191,2)</f>
        <v>100</v>
      </c>
      <c r="G195" s="140">
        <f t="shared" ref="G195:P195" si="68">ROUND(100*G191/$E$191,2)</f>
        <v>106.23</v>
      </c>
      <c r="H195" s="140">
        <f t="shared" si="68"/>
        <v>112.68</v>
      </c>
      <c r="I195" s="140">
        <f t="shared" si="68"/>
        <v>123.9</v>
      </c>
      <c r="J195" s="140">
        <f t="shared" si="68"/>
        <v>123.9</v>
      </c>
      <c r="K195" s="140">
        <f t="shared" si="68"/>
        <v>123.9</v>
      </c>
      <c r="L195" s="140">
        <f t="shared" si="68"/>
        <v>123.9</v>
      </c>
      <c r="M195" s="140">
        <f t="shared" si="68"/>
        <v>123.9</v>
      </c>
      <c r="N195" s="140">
        <f t="shared" si="68"/>
        <v>123.9</v>
      </c>
      <c r="O195" s="140">
        <f t="shared" si="68"/>
        <v>123.9</v>
      </c>
      <c r="P195" s="140">
        <f t="shared" si="68"/>
        <v>123.9</v>
      </c>
    </row>
    <row r="196" spans="3:16" ht="18" customHeight="1" thickBot="1">
      <c r="C196" s="2772" t="s">
        <v>824</v>
      </c>
      <c r="D196" s="2773"/>
      <c r="E196" s="380"/>
      <c r="F196" s="380"/>
      <c r="G196" s="380"/>
      <c r="H196" s="380"/>
      <c r="I196" s="380"/>
      <c r="J196" s="380"/>
      <c r="K196" s="380"/>
      <c r="L196" s="380"/>
      <c r="M196" s="380"/>
      <c r="N196" s="380"/>
      <c r="O196" s="380"/>
      <c r="P196" s="539"/>
    </row>
    <row r="197" spans="3:16" ht="21" customHeight="1" thickBot="1">
      <c r="C197" s="2656"/>
      <c r="D197" s="2774"/>
      <c r="E197" s="1485">
        <f t="shared" ref="E197:P197" si="69">ROUND(+$E$11*E193+$E$12*E195+$E$13*E194,2)</f>
        <v>100</v>
      </c>
      <c r="F197" s="1485">
        <f t="shared" si="69"/>
        <v>100.79</v>
      </c>
      <c r="G197" s="1485">
        <f t="shared" si="69"/>
        <v>106.48</v>
      </c>
      <c r="H197" s="1485">
        <f t="shared" si="69"/>
        <v>114.25</v>
      </c>
      <c r="I197" s="1485">
        <f t="shared" si="69"/>
        <v>123.88</v>
      </c>
      <c r="J197" s="1485">
        <f t="shared" si="69"/>
        <v>124.39</v>
      </c>
      <c r="K197" s="1485">
        <f t="shared" si="69"/>
        <v>124.39</v>
      </c>
      <c r="L197" s="1485">
        <f t="shared" si="69"/>
        <v>124.55</v>
      </c>
      <c r="M197" s="1485">
        <f t="shared" si="69"/>
        <v>124.78</v>
      </c>
      <c r="N197" s="1485">
        <f t="shared" si="69"/>
        <v>126.06</v>
      </c>
      <c r="O197" s="1485">
        <f t="shared" si="69"/>
        <v>126.89</v>
      </c>
      <c r="P197" s="1510">
        <f t="shared" si="69"/>
        <v>126.89</v>
      </c>
    </row>
    <row r="199" spans="3:16" hidden="1">
      <c r="C199" s="1855" t="s">
        <v>673</v>
      </c>
      <c r="D199" s="1240" t="s">
        <v>831</v>
      </c>
      <c r="E199" s="1849">
        <v>42736</v>
      </c>
      <c r="F199" s="1849">
        <v>42768</v>
      </c>
      <c r="G199" s="1849">
        <v>42800</v>
      </c>
      <c r="H199" s="1849">
        <v>42832</v>
      </c>
      <c r="I199" s="1849">
        <v>42864</v>
      </c>
      <c r="J199" s="1849">
        <v>42896</v>
      </c>
      <c r="K199" s="1849">
        <v>42928</v>
      </c>
      <c r="L199" s="1849">
        <v>42960</v>
      </c>
      <c r="M199" s="1849">
        <v>42992</v>
      </c>
      <c r="N199" s="1849">
        <v>43024</v>
      </c>
      <c r="O199" s="1849">
        <v>43056</v>
      </c>
      <c r="P199" s="1850">
        <v>43088</v>
      </c>
    </row>
    <row r="200" spans="3:16" hidden="1">
      <c r="C200" s="372" t="s">
        <v>709</v>
      </c>
      <c r="D200" s="1856">
        <v>221</v>
      </c>
      <c r="E200" s="142">
        <f>+'ANEXOA-MODIFICADO'!D461</f>
        <v>145.41</v>
      </c>
      <c r="F200" s="142">
        <f>+'ANEXOA-MODIFICADO'!E461</f>
        <v>150.44</v>
      </c>
      <c r="G200" s="142">
        <f>+'ANEXOA-MODIFICADO'!F461</f>
        <v>151.82</v>
      </c>
      <c r="H200" s="142">
        <f>+'ANEXOA-MODIFICADO'!G461</f>
        <v>155.37</v>
      </c>
      <c r="I200" s="142">
        <f>+'ANEXOA-MODIFICADO'!H461</f>
        <v>156.15</v>
      </c>
      <c r="J200" s="142">
        <f>+'ANEXOA-MODIFICADO'!I461</f>
        <v>156.15</v>
      </c>
      <c r="K200" s="142">
        <f>+'ANEXOA-MODIFICADO'!J461</f>
        <v>156.15</v>
      </c>
      <c r="L200" s="142">
        <f>+'ANEXOA-MODIFICADO'!K461</f>
        <v>156.15</v>
      </c>
      <c r="M200" s="142">
        <f>+'ANEXOA-MODIFICADO'!L461</f>
        <v>156.15</v>
      </c>
      <c r="N200" s="142">
        <f>+'ANEXOA-MODIFICADO'!M461</f>
        <v>156.79</v>
      </c>
      <c r="O200" s="142">
        <f>+'ANEXOA-MODIFICADO'!N461</f>
        <v>156.79</v>
      </c>
      <c r="P200" s="288">
        <f>+'ANEXOA-MODIFICADO'!O461</f>
        <v>156.79</v>
      </c>
    </row>
    <row r="201" spans="3:16" hidden="1">
      <c r="C201" s="372" t="s">
        <v>710</v>
      </c>
      <c r="D201" s="1856">
        <v>67</v>
      </c>
      <c r="E201" s="142">
        <f>+'Insumos testigos '!GK91</f>
        <v>127.19941025375421</v>
      </c>
      <c r="F201" s="142">
        <f>+'Insumos testigos '!GL91</f>
        <v>133.79765160386373</v>
      </c>
      <c r="G201" s="142">
        <f>+'Insumos testigos '!GM91</f>
        <v>133.79765160386373</v>
      </c>
      <c r="H201" s="142">
        <f>+'Insumos testigos '!GN91</f>
        <v>133.79765160386373</v>
      </c>
      <c r="I201" s="142">
        <f>+'Insumos testigos '!GO91</f>
        <v>130.35190201548548</v>
      </c>
      <c r="J201" s="142">
        <f>+'Insumos testigos '!GP91</f>
        <v>130.35190201548548</v>
      </c>
      <c r="K201" s="142">
        <f>+'Insumos testigos '!GQ91</f>
        <v>138.19647280564155</v>
      </c>
      <c r="L201" s="142">
        <f>+'Insumos testigos '!GR91</f>
        <v>138.19647280564155</v>
      </c>
      <c r="M201" s="142">
        <f>+'Insumos testigos '!GS91</f>
        <v>138.19647280564155</v>
      </c>
      <c r="N201" s="142">
        <f>+'Insumos testigos '!GT91</f>
        <v>142.52198236531129</v>
      </c>
      <c r="O201" s="142">
        <f>+'Insumos testigos '!GU91</f>
        <v>151.17300713493708</v>
      </c>
      <c r="P201" s="142">
        <f>+'Insumos testigos '!GV91</f>
        <v>160.28835989488687</v>
      </c>
    </row>
    <row r="202" spans="3:16" hidden="1">
      <c r="C202" s="372" t="s">
        <v>662</v>
      </c>
      <c r="D202" s="1856">
        <v>4</v>
      </c>
      <c r="E202" s="142">
        <f>+'Insumos testigos '!GK8</f>
        <v>74.05</v>
      </c>
      <c r="F202" s="142">
        <f>+'Insumos testigos '!GL8</f>
        <v>74.05</v>
      </c>
      <c r="G202" s="142">
        <f>+'Insumos testigos '!GM8</f>
        <v>74.05</v>
      </c>
      <c r="H202" s="142">
        <f>+'Insumos testigos '!GN8</f>
        <v>82.19</v>
      </c>
      <c r="I202" s="142">
        <f>+'Insumos testigos '!GO8</f>
        <v>82.19</v>
      </c>
      <c r="J202" s="142">
        <f>+'Insumos testigos '!GP8</f>
        <v>82.19</v>
      </c>
      <c r="K202" s="142">
        <f>+'Insumos testigos '!GQ8</f>
        <v>90.41</v>
      </c>
      <c r="L202" s="142">
        <f>+'Insumos testigos '!GR8</f>
        <v>90.41</v>
      </c>
      <c r="M202" s="142">
        <f>+'Insumos testigos '!GS8</f>
        <v>90.41</v>
      </c>
      <c r="N202" s="142">
        <f>+'Insumos testigos '!GT8</f>
        <v>90.41</v>
      </c>
      <c r="O202" s="142">
        <f>+'Insumos testigos '!GU8</f>
        <v>90.41</v>
      </c>
      <c r="P202" s="142">
        <f>+'Insumos testigos '!GV8</f>
        <v>90.41</v>
      </c>
    </row>
    <row r="203" spans="3:16" hidden="1">
      <c r="C203" s="2624" t="s">
        <v>675</v>
      </c>
      <c r="D203" s="1856">
        <v>221</v>
      </c>
      <c r="E203" s="142">
        <f t="shared" ref="E203:P203" si="70">E200</f>
        <v>145.41</v>
      </c>
      <c r="F203" s="142">
        <f t="shared" si="70"/>
        <v>150.44</v>
      </c>
      <c r="G203" s="142">
        <f t="shared" si="70"/>
        <v>151.82</v>
      </c>
      <c r="H203" s="142">
        <f t="shared" si="70"/>
        <v>155.37</v>
      </c>
      <c r="I203" s="142">
        <f t="shared" si="70"/>
        <v>156.15</v>
      </c>
      <c r="J203" s="142">
        <f t="shared" si="70"/>
        <v>156.15</v>
      </c>
      <c r="K203" s="142">
        <f t="shared" si="70"/>
        <v>156.15</v>
      </c>
      <c r="L203" s="142">
        <f t="shared" si="70"/>
        <v>156.15</v>
      </c>
      <c r="M203" s="142">
        <f t="shared" si="70"/>
        <v>156.15</v>
      </c>
      <c r="N203" s="142">
        <f t="shared" si="70"/>
        <v>156.79</v>
      </c>
      <c r="O203" s="142">
        <f t="shared" si="70"/>
        <v>156.79</v>
      </c>
      <c r="P203" s="288">
        <f t="shared" si="70"/>
        <v>156.79</v>
      </c>
    </row>
    <row r="204" spans="3:16" hidden="1">
      <c r="C204" s="2624"/>
      <c r="D204" s="1856">
        <v>4</v>
      </c>
      <c r="E204" s="142">
        <f t="shared" ref="E204:P204" si="71">ROUND(100*E202/$E$192,2)</f>
        <v>139.01</v>
      </c>
      <c r="F204" s="142">
        <f t="shared" si="71"/>
        <v>139.01</v>
      </c>
      <c r="G204" s="142">
        <f t="shared" si="71"/>
        <v>139.01</v>
      </c>
      <c r="H204" s="142">
        <f t="shared" si="71"/>
        <v>154.29</v>
      </c>
      <c r="I204" s="142">
        <f t="shared" si="71"/>
        <v>154.29</v>
      </c>
      <c r="J204" s="142">
        <f t="shared" si="71"/>
        <v>154.29</v>
      </c>
      <c r="K204" s="142">
        <f t="shared" si="71"/>
        <v>169.72</v>
      </c>
      <c r="L204" s="142">
        <f t="shared" si="71"/>
        <v>169.72</v>
      </c>
      <c r="M204" s="142">
        <f t="shared" si="71"/>
        <v>169.72</v>
      </c>
      <c r="N204" s="142">
        <f t="shared" si="71"/>
        <v>169.72</v>
      </c>
      <c r="O204" s="142">
        <f t="shared" si="71"/>
        <v>169.72</v>
      </c>
      <c r="P204" s="142">
        <f t="shared" si="71"/>
        <v>169.72</v>
      </c>
    </row>
    <row r="205" spans="3:16" hidden="1">
      <c r="C205" s="2624"/>
      <c r="D205" s="1856">
        <v>67</v>
      </c>
      <c r="E205" s="140">
        <f t="shared" ref="E205:P205" si="72">ROUND(100*E201/$E$191,2)</f>
        <v>127.2</v>
      </c>
      <c r="F205" s="140">
        <f t="shared" si="72"/>
        <v>133.80000000000001</v>
      </c>
      <c r="G205" s="140">
        <f t="shared" si="72"/>
        <v>133.80000000000001</v>
      </c>
      <c r="H205" s="140">
        <f t="shared" si="72"/>
        <v>133.80000000000001</v>
      </c>
      <c r="I205" s="140">
        <f t="shared" si="72"/>
        <v>130.35</v>
      </c>
      <c r="J205" s="140">
        <f t="shared" si="72"/>
        <v>130.35</v>
      </c>
      <c r="K205" s="140">
        <f t="shared" si="72"/>
        <v>138.19999999999999</v>
      </c>
      <c r="L205" s="140">
        <f t="shared" si="72"/>
        <v>138.19999999999999</v>
      </c>
      <c r="M205" s="140">
        <f t="shared" si="72"/>
        <v>138.19999999999999</v>
      </c>
      <c r="N205" s="140">
        <f t="shared" si="72"/>
        <v>142.52000000000001</v>
      </c>
      <c r="O205" s="140">
        <f t="shared" si="72"/>
        <v>151.16999999999999</v>
      </c>
      <c r="P205" s="140">
        <f t="shared" si="72"/>
        <v>160.29</v>
      </c>
    </row>
    <row r="206" spans="3:16" ht="18" hidden="1" customHeight="1" thickBot="1">
      <c r="C206" s="2772" t="s">
        <v>824</v>
      </c>
      <c r="D206" s="2773"/>
      <c r="E206" s="380"/>
      <c r="F206" s="380"/>
      <c r="G206" s="380"/>
      <c r="H206" s="380"/>
      <c r="I206" s="380"/>
      <c r="J206" s="380"/>
      <c r="K206" s="380"/>
      <c r="L206" s="380"/>
      <c r="M206" s="380"/>
      <c r="N206" s="380"/>
      <c r="O206" s="380"/>
      <c r="P206" s="539"/>
    </row>
    <row r="207" spans="3:16" ht="21" hidden="1" customHeight="1" thickBot="1">
      <c r="C207" s="2656"/>
      <c r="D207" s="2774"/>
      <c r="E207" s="1485">
        <f t="shared" ref="E207:P207" si="73">ROUND(+$E$11*E203+$E$12*E205+$E$13*E204,2)</f>
        <v>130.19999999999999</v>
      </c>
      <c r="F207" s="1485">
        <f t="shared" si="73"/>
        <v>135.99</v>
      </c>
      <c r="G207" s="1485">
        <f t="shared" si="73"/>
        <v>136.12</v>
      </c>
      <c r="H207" s="1485">
        <f t="shared" si="73"/>
        <v>138.01</v>
      </c>
      <c r="I207" s="1485">
        <f t="shared" si="73"/>
        <v>135.32</v>
      </c>
      <c r="J207" s="1485">
        <f t="shared" si="73"/>
        <v>135.32</v>
      </c>
      <c r="K207" s="1485">
        <f t="shared" si="73"/>
        <v>143.15</v>
      </c>
      <c r="L207" s="1485">
        <f t="shared" si="73"/>
        <v>143.15</v>
      </c>
      <c r="M207" s="1485">
        <f t="shared" si="73"/>
        <v>143.15</v>
      </c>
      <c r="N207" s="1485">
        <f t="shared" si="73"/>
        <v>146.66999999999999</v>
      </c>
      <c r="O207" s="1485">
        <f t="shared" si="73"/>
        <v>153.59</v>
      </c>
      <c r="P207" s="1510">
        <f t="shared" si="73"/>
        <v>160.88</v>
      </c>
    </row>
    <row r="208" spans="3:16" ht="16.5" hidden="1" thickBot="1"/>
    <row r="209" spans="3:16" hidden="1">
      <c r="C209" s="1855" t="s">
        <v>673</v>
      </c>
      <c r="D209" s="1240" t="s">
        <v>831</v>
      </c>
      <c r="E209" s="1849">
        <v>43101</v>
      </c>
      <c r="F209" s="1849">
        <v>43133</v>
      </c>
      <c r="G209" s="1849">
        <v>43165</v>
      </c>
      <c r="H209" s="1849">
        <v>43197</v>
      </c>
      <c r="I209" s="1849">
        <v>43229</v>
      </c>
      <c r="J209" s="1849">
        <v>43261</v>
      </c>
      <c r="K209" s="1849">
        <v>43293</v>
      </c>
      <c r="L209" s="1849">
        <v>43325</v>
      </c>
      <c r="M209" s="1849">
        <v>43357</v>
      </c>
      <c r="N209" s="1849">
        <v>43389</v>
      </c>
      <c r="O209" s="1849">
        <v>43421</v>
      </c>
      <c r="P209" s="1850">
        <v>43453</v>
      </c>
    </row>
    <row r="210" spans="3:16" hidden="1">
      <c r="C210" s="372" t="s">
        <v>709</v>
      </c>
      <c r="D210" s="1856">
        <v>221</v>
      </c>
      <c r="E210" s="142">
        <f>+'ANEXOA-MODIFICADO'!D467</f>
        <v>161.33000000000001</v>
      </c>
      <c r="F210" s="142">
        <f>+'ANEXOA-MODIFICADO'!E467</f>
        <v>162.30000000000001</v>
      </c>
      <c r="G210" s="142">
        <f>+'ANEXOA-MODIFICADO'!F467</f>
        <v>162.30000000000001</v>
      </c>
      <c r="H210" s="142">
        <f>+'ANEXOA-MODIFICADO'!G467</f>
        <v>165.01</v>
      </c>
      <c r="I210" s="142">
        <f>+'ANEXOA-MODIFICADO'!H467</f>
        <v>190.11</v>
      </c>
      <c r="J210" s="142">
        <f>+'ANEXOA-MODIFICADO'!I467</f>
        <v>191.06</v>
      </c>
      <c r="K210" s="142">
        <f>+'ANEXOA-MODIFICADO'!J467</f>
        <v>201.56</v>
      </c>
      <c r="L210" s="142">
        <f>+'ANEXOA-MODIFICADO'!K467</f>
        <v>202.56</v>
      </c>
      <c r="M210" s="142">
        <f>+'ANEXOA-MODIFICADO'!L467</f>
        <v>264.74</v>
      </c>
      <c r="N210" s="142">
        <f>+'ANEXOA-MODIFICADO'!M467</f>
        <v>264.74</v>
      </c>
      <c r="O210" s="142">
        <f>+'ANEXOA-MODIFICADO'!N467</f>
        <v>264.74</v>
      </c>
      <c r="P210" s="288">
        <f>+'ANEXOA-MODIFICADO'!O467</f>
        <v>266.5</v>
      </c>
    </row>
    <row r="211" spans="3:16" hidden="1">
      <c r="C211" s="372" t="s">
        <v>710</v>
      </c>
      <c r="D211" s="1856">
        <v>67</v>
      </c>
      <c r="E211" s="142">
        <f>+'Insumos testigos '!GW91</f>
        <v>160.28835989488687</v>
      </c>
      <c r="F211" s="142">
        <f>+'Insumos testigos '!GX91</f>
        <v>179.44769798011433</v>
      </c>
      <c r="G211" s="142">
        <f>+'Insumos testigos '!GY91</f>
        <v>179.44769798011433</v>
      </c>
      <c r="H211" s="142">
        <f>+'Insumos testigos '!GZ91</f>
        <v>183.85092862447544</v>
      </c>
      <c r="I211" s="142">
        <f>+'Insumos testigos '!HA91</f>
        <v>183.85092862447544</v>
      </c>
      <c r="J211" s="142">
        <f>+'Insumos testigos '!HB91</f>
        <v>181.94259436243931</v>
      </c>
      <c r="K211" s="142">
        <f>+'Insumos testigos '!HC91</f>
        <v>200.49050131560125</v>
      </c>
      <c r="L211" s="142">
        <f>+'Insumos testigos '!HD91</f>
        <v>213.26472286434279</v>
      </c>
      <c r="M211" s="142">
        <f>+'Insumos testigos '!HE91</f>
        <v>240.25660318625958</v>
      </c>
      <c r="N211" s="142">
        <f>+'Insumos testigos '!HF91</f>
        <v>261.83567328319305</v>
      </c>
      <c r="O211" s="142">
        <f>+'Insumos testigos '!HG91</f>
        <v>270.3518280371668</v>
      </c>
      <c r="P211" s="142">
        <f>+'Insumos testigos '!HH91</f>
        <v>278.47076528530908</v>
      </c>
    </row>
    <row r="212" spans="3:16" hidden="1">
      <c r="C212" s="372" t="s">
        <v>662</v>
      </c>
      <c r="D212" s="1856">
        <v>4</v>
      </c>
      <c r="E212" s="142">
        <f>+'Insumos testigos '!GW8</f>
        <v>90.41</v>
      </c>
      <c r="F212" s="142">
        <f>+'Insumos testigos '!GX8</f>
        <v>91.77</v>
      </c>
      <c r="G212" s="142">
        <f>+'Insumos testigos '!GY8</f>
        <v>93.12</v>
      </c>
      <c r="H212" s="142">
        <f>+'Insumos testigos '!GZ8</f>
        <v>102.43</v>
      </c>
      <c r="I212" s="142">
        <f>+'Insumos testigos '!HA8</f>
        <v>102.43</v>
      </c>
      <c r="J212" s="142">
        <f>+'Insumos testigos '!HB8</f>
        <v>102.43</v>
      </c>
      <c r="K212" s="142">
        <f>+'Insumos testigos '!HC8</f>
        <v>102.43</v>
      </c>
      <c r="L212" s="142">
        <f>+'Insumos testigos '!HD8</f>
        <v>107.56</v>
      </c>
      <c r="M212" s="142">
        <f>+'Insumos testigos '!HE8</f>
        <v>111.86</v>
      </c>
      <c r="N212" s="142">
        <f>+'Insumos testigos '!HF8</f>
        <v>115.21</v>
      </c>
      <c r="O212" s="142">
        <f>+'Insumos testigos '!HG8</f>
        <v>118.57</v>
      </c>
      <c r="P212" s="142">
        <f>+'Insumos testigos '!HH8</f>
        <v>118.57</v>
      </c>
    </row>
    <row r="213" spans="3:16" hidden="1">
      <c r="C213" s="2624" t="s">
        <v>675</v>
      </c>
      <c r="D213" s="1856">
        <v>221</v>
      </c>
      <c r="E213" s="142">
        <f t="shared" ref="E213:P213" si="74">E210</f>
        <v>161.33000000000001</v>
      </c>
      <c r="F213" s="142">
        <f t="shared" si="74"/>
        <v>162.30000000000001</v>
      </c>
      <c r="G213" s="142">
        <f t="shared" si="74"/>
        <v>162.30000000000001</v>
      </c>
      <c r="H213" s="142">
        <f t="shared" si="74"/>
        <v>165.01</v>
      </c>
      <c r="I213" s="142">
        <f t="shared" si="74"/>
        <v>190.11</v>
      </c>
      <c r="J213" s="142">
        <f t="shared" si="74"/>
        <v>191.06</v>
      </c>
      <c r="K213" s="142">
        <f t="shared" si="74"/>
        <v>201.56</v>
      </c>
      <c r="L213" s="142">
        <f t="shared" si="74"/>
        <v>202.56</v>
      </c>
      <c r="M213" s="142">
        <f t="shared" si="74"/>
        <v>264.74</v>
      </c>
      <c r="N213" s="142">
        <f t="shared" si="74"/>
        <v>264.74</v>
      </c>
      <c r="O213" s="142">
        <f t="shared" si="74"/>
        <v>264.74</v>
      </c>
      <c r="P213" s="288">
        <f t="shared" si="74"/>
        <v>266.5</v>
      </c>
    </row>
    <row r="214" spans="3:16" hidden="1">
      <c r="C214" s="2624"/>
      <c r="D214" s="1856">
        <v>4</v>
      </c>
      <c r="E214" s="142">
        <f t="shared" ref="E214:P214" si="75">ROUND(100*E212/$E$192,2)</f>
        <v>169.72</v>
      </c>
      <c r="F214" s="142">
        <f t="shared" si="75"/>
        <v>172.27</v>
      </c>
      <c r="G214" s="142">
        <f t="shared" si="75"/>
        <v>174.81</v>
      </c>
      <c r="H214" s="142">
        <f t="shared" si="75"/>
        <v>192.28</v>
      </c>
      <c r="I214" s="142">
        <f t="shared" si="75"/>
        <v>192.28</v>
      </c>
      <c r="J214" s="142">
        <f t="shared" si="75"/>
        <v>192.28</v>
      </c>
      <c r="K214" s="142">
        <f t="shared" si="75"/>
        <v>192.28</v>
      </c>
      <c r="L214" s="142">
        <f t="shared" si="75"/>
        <v>201.91</v>
      </c>
      <c r="M214" s="142">
        <f t="shared" si="75"/>
        <v>209.99</v>
      </c>
      <c r="N214" s="142">
        <f t="shared" si="75"/>
        <v>216.28</v>
      </c>
      <c r="O214" s="142">
        <f t="shared" si="75"/>
        <v>222.58</v>
      </c>
      <c r="P214" s="142">
        <f t="shared" si="75"/>
        <v>222.58</v>
      </c>
    </row>
    <row r="215" spans="3:16" hidden="1">
      <c r="C215" s="2624"/>
      <c r="D215" s="1856">
        <v>67</v>
      </c>
      <c r="E215" s="140">
        <f t="shared" ref="E215:P215" si="76">ROUND(100*E211/$E$191,2)</f>
        <v>160.29</v>
      </c>
      <c r="F215" s="140">
        <f t="shared" si="76"/>
        <v>179.45</v>
      </c>
      <c r="G215" s="140">
        <f t="shared" si="76"/>
        <v>179.45</v>
      </c>
      <c r="H215" s="140">
        <f t="shared" si="76"/>
        <v>183.85</v>
      </c>
      <c r="I215" s="140">
        <f t="shared" si="76"/>
        <v>183.85</v>
      </c>
      <c r="J215" s="140">
        <f t="shared" si="76"/>
        <v>181.94</v>
      </c>
      <c r="K215" s="140">
        <f t="shared" si="76"/>
        <v>200.49</v>
      </c>
      <c r="L215" s="140">
        <f t="shared" si="76"/>
        <v>213.26</v>
      </c>
      <c r="M215" s="140">
        <f t="shared" si="76"/>
        <v>240.26</v>
      </c>
      <c r="N215" s="140">
        <f t="shared" si="76"/>
        <v>261.83999999999997</v>
      </c>
      <c r="O215" s="140">
        <f t="shared" si="76"/>
        <v>270.35000000000002</v>
      </c>
      <c r="P215" s="140">
        <f t="shared" si="76"/>
        <v>278.47000000000003</v>
      </c>
    </row>
    <row r="216" spans="3:16" ht="22.15" hidden="1" customHeight="1" thickBot="1">
      <c r="C216" s="2772" t="s">
        <v>824</v>
      </c>
      <c r="D216" s="2773"/>
      <c r="E216" s="380"/>
      <c r="F216" s="380"/>
      <c r="G216" s="380"/>
      <c r="H216" s="380"/>
      <c r="I216" s="380"/>
      <c r="J216" s="380"/>
      <c r="K216" s="380"/>
      <c r="L216" s="380"/>
      <c r="M216" s="380"/>
      <c r="N216" s="380"/>
      <c r="O216" s="380"/>
      <c r="P216" s="539"/>
    </row>
    <row r="217" spans="3:16" ht="16.149999999999999" hidden="1" customHeight="1" thickBot="1">
      <c r="C217" s="2656"/>
      <c r="D217" s="2774"/>
      <c r="E217" s="1485">
        <f t="shared" ref="E217:P217" si="77">ROUND(+$E$11*E213+$E$12*E215+$E$13*E214,2)</f>
        <v>161.34</v>
      </c>
      <c r="F217" s="1485">
        <f t="shared" si="77"/>
        <v>177.02</v>
      </c>
      <c r="G217" s="1485">
        <f t="shared" si="77"/>
        <v>177.27</v>
      </c>
      <c r="H217" s="1485">
        <f t="shared" si="77"/>
        <v>182.81</v>
      </c>
      <c r="I217" s="1485">
        <f t="shared" si="77"/>
        <v>185.32</v>
      </c>
      <c r="J217" s="1485">
        <f t="shared" si="77"/>
        <v>183.89</v>
      </c>
      <c r="K217" s="1485">
        <f t="shared" si="77"/>
        <v>199.78</v>
      </c>
      <c r="L217" s="1485">
        <f t="shared" si="77"/>
        <v>211.06</v>
      </c>
      <c r="M217" s="1485">
        <f t="shared" si="77"/>
        <v>239.68</v>
      </c>
      <c r="N217" s="1485">
        <f t="shared" si="77"/>
        <v>257.57</v>
      </c>
      <c r="O217" s="1485">
        <f t="shared" si="77"/>
        <v>265.01</v>
      </c>
      <c r="P217" s="1510">
        <f t="shared" si="77"/>
        <v>271.68</v>
      </c>
    </row>
    <row r="218" spans="3:16" ht="16.5" hidden="1" thickBot="1"/>
    <row r="219" spans="3:16" hidden="1">
      <c r="C219" s="1855" t="s">
        <v>673</v>
      </c>
      <c r="D219" s="1240" t="s">
        <v>831</v>
      </c>
      <c r="E219" s="1849">
        <v>43466</v>
      </c>
      <c r="F219" s="1849">
        <v>43498</v>
      </c>
      <c r="G219" s="1849">
        <v>43530</v>
      </c>
      <c r="H219" s="1849">
        <v>43562</v>
      </c>
      <c r="I219" s="1849">
        <v>43594</v>
      </c>
      <c r="J219" s="1849">
        <v>43626</v>
      </c>
      <c r="K219" s="1849">
        <v>43658</v>
      </c>
      <c r="L219" s="1849">
        <v>43690</v>
      </c>
      <c r="M219" s="1849">
        <v>43722</v>
      </c>
      <c r="N219" s="1849">
        <v>43754</v>
      </c>
      <c r="O219" s="1849">
        <v>43786</v>
      </c>
      <c r="P219" s="2361">
        <v>43818</v>
      </c>
    </row>
    <row r="220" spans="3:16" hidden="1">
      <c r="C220" s="372" t="s">
        <v>709</v>
      </c>
      <c r="D220" s="1856">
        <v>221</v>
      </c>
      <c r="E220" s="142">
        <f>+'ANEXOA-MODIFICADO'!D473</f>
        <v>264.74</v>
      </c>
      <c r="F220" s="142">
        <f>+'ANEXOA-MODIFICADO'!E473</f>
        <v>266.5</v>
      </c>
      <c r="G220" s="142">
        <f>+'ANEXOA-MODIFICADO'!F473</f>
        <v>270.58999999999997</v>
      </c>
      <c r="H220" s="142">
        <f>+'ANEXOA-MODIFICADO'!G473</f>
        <v>273.29000000000002</v>
      </c>
      <c r="I220" s="142">
        <f>+'ANEXOA-MODIFICADO'!H473</f>
        <v>273.29000000000002</v>
      </c>
      <c r="J220" s="142">
        <f>+'ANEXOA-MODIFICADO'!I473</f>
        <v>277.7</v>
      </c>
      <c r="K220" s="142">
        <f>+'ANEXOA-MODIFICADO'!J473</f>
        <v>285.58</v>
      </c>
      <c r="L220" s="142">
        <f>+'ANEXOA-MODIFICADO'!K473</f>
        <v>328.41</v>
      </c>
      <c r="M220" s="142">
        <f>+'ANEXOA-MODIFICADO'!L473</f>
        <v>328.41</v>
      </c>
      <c r="N220" s="142">
        <f>+'ANEXOA-MODIFICADO'!M473</f>
        <v>354.46</v>
      </c>
      <c r="O220" s="142">
        <f>+'ANEXOA-MODIFICADO'!N473</f>
        <v>360.37</v>
      </c>
      <c r="P220" s="288">
        <f>+'ANEXOA-MODIFICADO'!O473</f>
        <v>384.02</v>
      </c>
    </row>
    <row r="221" spans="3:16" hidden="1">
      <c r="C221" s="372" t="s">
        <v>710</v>
      </c>
      <c r="D221" s="1856">
        <v>67</v>
      </c>
      <c r="E221" s="142">
        <f>+'Insumos testigos '!HI91</f>
        <v>268.00926123095763</v>
      </c>
      <c r="F221" s="142">
        <f>+'Insumos testigos '!HJ91</f>
        <v>291.23060375396875</v>
      </c>
      <c r="G221" s="142">
        <f>+'Insumos testigos '!HK91</f>
        <v>290.02776608919987</v>
      </c>
      <c r="H221" s="142">
        <f>+'Insumos testigos '!HL91</f>
        <v>304.13238791928524</v>
      </c>
      <c r="I221" s="142">
        <f>+'Insumos testigos '!HM91</f>
        <v>317.75751889806918</v>
      </c>
      <c r="J221" s="142">
        <f>+'Insumos testigos '!HN91</f>
        <v>322.33322717020138</v>
      </c>
      <c r="K221" s="142">
        <f>+'Insumos testigos '!HO91</f>
        <v>328.0959875135074</v>
      </c>
      <c r="L221" s="142">
        <f>+'Insumos testigos '!HP91</f>
        <v>328.00943768167269</v>
      </c>
      <c r="M221" s="142">
        <f>+'Insumos testigos '!HQ91</f>
        <v>341.56467053487893</v>
      </c>
      <c r="N221" s="142">
        <f>+'Insumos testigos '!HR91</f>
        <v>341.42142680640973</v>
      </c>
      <c r="O221" s="142">
        <f>+'Insumos testigos '!HS91</f>
        <v>377.84777040392208</v>
      </c>
      <c r="P221" s="142">
        <f>+'Insumos testigos '!HT91</f>
        <v>402.68392811643059</v>
      </c>
    </row>
    <row r="222" spans="3:16" hidden="1">
      <c r="C222" s="372" t="s">
        <v>662</v>
      </c>
      <c r="D222" s="1856">
        <v>4</v>
      </c>
      <c r="E222" s="142">
        <f>+'Insumos testigos '!HI8</f>
        <v>122.13</v>
      </c>
      <c r="F222" s="142">
        <f>+'Insumos testigos '!HJ8</f>
        <v>122.13</v>
      </c>
      <c r="G222" s="142">
        <f>+'Insumos testigos '!HK8</f>
        <v>130.68</v>
      </c>
      <c r="H222" s="142">
        <f>+'Insumos testigos '!HL8</f>
        <v>143.74</v>
      </c>
      <c r="I222" s="142">
        <f>+'Insumos testigos '!HM8</f>
        <v>150.93</v>
      </c>
      <c r="J222" s="142">
        <f>+'Insumos testigos '!HN8</f>
        <v>150.93</v>
      </c>
      <c r="K222" s="142">
        <f>+'Insumos testigos '!HO8</f>
        <v>157.4</v>
      </c>
      <c r="L222" s="142">
        <f>+'Insumos testigos '!HP8</f>
        <v>162.91</v>
      </c>
      <c r="M222" s="142">
        <f>+'Insumos testigos '!HQ8</f>
        <v>162.91</v>
      </c>
      <c r="N222" s="142">
        <f>+'Insumos testigos '!HR8</f>
        <v>175.63</v>
      </c>
      <c r="O222" s="142">
        <f>+'Insumos testigos '!HS8</f>
        <v>186.17</v>
      </c>
      <c r="P222" s="142">
        <f>+'Insumos testigos '!HT8</f>
        <v>186.17</v>
      </c>
    </row>
    <row r="223" spans="3:16" hidden="1">
      <c r="C223" s="2624" t="s">
        <v>675</v>
      </c>
      <c r="D223" s="1856">
        <v>221</v>
      </c>
      <c r="E223" s="142">
        <f t="shared" ref="E223:J223" si="78">E220</f>
        <v>264.74</v>
      </c>
      <c r="F223" s="142">
        <f t="shared" si="78"/>
        <v>266.5</v>
      </c>
      <c r="G223" s="142">
        <f t="shared" si="78"/>
        <v>270.58999999999997</v>
      </c>
      <c r="H223" s="142">
        <f t="shared" si="78"/>
        <v>273.29000000000002</v>
      </c>
      <c r="I223" s="142">
        <f t="shared" si="78"/>
        <v>273.29000000000002</v>
      </c>
      <c r="J223" s="142">
        <f t="shared" si="78"/>
        <v>277.7</v>
      </c>
      <c r="K223" s="142">
        <f t="shared" ref="K223:P223" si="79">K220</f>
        <v>285.58</v>
      </c>
      <c r="L223" s="142">
        <f t="shared" si="79"/>
        <v>328.41</v>
      </c>
      <c r="M223" s="142">
        <f t="shared" si="79"/>
        <v>328.41</v>
      </c>
      <c r="N223" s="142">
        <f t="shared" si="79"/>
        <v>354.46</v>
      </c>
      <c r="O223" s="142">
        <f t="shared" si="79"/>
        <v>360.37</v>
      </c>
      <c r="P223" s="288">
        <f t="shared" si="79"/>
        <v>384.02</v>
      </c>
    </row>
    <row r="224" spans="3:16" hidden="1">
      <c r="C224" s="2624"/>
      <c r="D224" s="1856">
        <v>4</v>
      </c>
      <c r="E224" s="142">
        <f t="shared" ref="E224:P224" si="80">ROUND(100*E222/$E$192,2)</f>
        <v>229.27</v>
      </c>
      <c r="F224" s="142">
        <f t="shared" si="80"/>
        <v>229.27</v>
      </c>
      <c r="G224" s="142">
        <f t="shared" si="80"/>
        <v>245.32</v>
      </c>
      <c r="H224" s="142">
        <f t="shared" si="80"/>
        <v>269.83</v>
      </c>
      <c r="I224" s="142">
        <f t="shared" si="80"/>
        <v>283.33</v>
      </c>
      <c r="J224" s="142">
        <f t="shared" si="80"/>
        <v>283.33</v>
      </c>
      <c r="K224" s="142">
        <f t="shared" si="80"/>
        <v>295.48</v>
      </c>
      <c r="L224" s="142">
        <f t="shared" si="80"/>
        <v>305.82</v>
      </c>
      <c r="M224" s="142">
        <f t="shared" si="80"/>
        <v>305.82</v>
      </c>
      <c r="N224" s="142">
        <f t="shared" si="80"/>
        <v>329.7</v>
      </c>
      <c r="O224" s="142">
        <f t="shared" si="80"/>
        <v>349.48</v>
      </c>
      <c r="P224" s="142">
        <f t="shared" si="80"/>
        <v>349.48</v>
      </c>
    </row>
    <row r="225" spans="3:16" hidden="1">
      <c r="C225" s="2624"/>
      <c r="D225" s="1856">
        <v>67</v>
      </c>
      <c r="E225" s="140">
        <f t="shared" ref="E225:P225" si="81">ROUND(100*E221/$E$191,2)</f>
        <v>268.01</v>
      </c>
      <c r="F225" s="140">
        <f t="shared" si="81"/>
        <v>291.23</v>
      </c>
      <c r="G225" s="140">
        <f t="shared" si="81"/>
        <v>290.02999999999997</v>
      </c>
      <c r="H225" s="140">
        <f t="shared" si="81"/>
        <v>304.13</v>
      </c>
      <c r="I225" s="140">
        <f t="shared" si="81"/>
        <v>317.76</v>
      </c>
      <c r="J225" s="140">
        <f t="shared" si="81"/>
        <v>322.33</v>
      </c>
      <c r="K225" s="140">
        <f t="shared" si="81"/>
        <v>328.1</v>
      </c>
      <c r="L225" s="140">
        <f t="shared" si="81"/>
        <v>328.01</v>
      </c>
      <c r="M225" s="140">
        <f t="shared" si="81"/>
        <v>341.56</v>
      </c>
      <c r="N225" s="140">
        <f t="shared" si="81"/>
        <v>341.42</v>
      </c>
      <c r="O225" s="140">
        <f t="shared" si="81"/>
        <v>377.85</v>
      </c>
      <c r="P225" s="140">
        <f t="shared" si="81"/>
        <v>402.68</v>
      </c>
    </row>
    <row r="226" spans="3:16" ht="16.5" hidden="1" thickBot="1">
      <c r="C226" s="2772" t="s">
        <v>824</v>
      </c>
      <c r="D226" s="2773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  <c r="O226" s="380"/>
      <c r="P226" s="539"/>
    </row>
    <row r="227" spans="3:16" ht="21" hidden="1" customHeight="1" thickBot="1">
      <c r="C227" s="2656"/>
      <c r="D227" s="2774"/>
      <c r="E227" s="1485">
        <f t="shared" ref="E227:J227" si="82">ROUND(+$E$11*E223+$E$12*E225+$E$13*E224,2)</f>
        <v>263.81</v>
      </c>
      <c r="F227" s="1485">
        <f t="shared" si="82"/>
        <v>282.56</v>
      </c>
      <c r="G227" s="1485">
        <f t="shared" si="82"/>
        <v>283.62</v>
      </c>
      <c r="H227" s="1485">
        <f t="shared" si="82"/>
        <v>297.62</v>
      </c>
      <c r="I227" s="1485">
        <f t="shared" si="82"/>
        <v>309.87</v>
      </c>
      <c r="J227" s="1485">
        <f t="shared" si="82"/>
        <v>313.97000000000003</v>
      </c>
      <c r="K227" s="1485">
        <f t="shared" ref="K227:P227" si="83">ROUND(+$E$11*K223+$E$12*K225+$E$13*K224,2)</f>
        <v>320.58999999999997</v>
      </c>
      <c r="L227" s="1485">
        <f t="shared" si="83"/>
        <v>325.83</v>
      </c>
      <c r="M227" s="1485">
        <f t="shared" si="83"/>
        <v>336.67</v>
      </c>
      <c r="N227" s="1485">
        <f t="shared" si="83"/>
        <v>341.55</v>
      </c>
      <c r="O227" s="1485">
        <f t="shared" si="83"/>
        <v>373.27</v>
      </c>
      <c r="P227" s="1510">
        <f t="shared" si="83"/>
        <v>395.49</v>
      </c>
    </row>
    <row r="228" spans="3:16" ht="16.5" hidden="1" thickBot="1"/>
    <row r="229" spans="3:16" hidden="1">
      <c r="C229" s="1855" t="s">
        <v>673</v>
      </c>
      <c r="D229" s="1240" t="s">
        <v>831</v>
      </c>
      <c r="E229" s="1849">
        <v>43831</v>
      </c>
      <c r="F229" s="1849">
        <v>43862</v>
      </c>
      <c r="G229" s="1849">
        <v>43891</v>
      </c>
      <c r="H229" s="1849">
        <v>43922</v>
      </c>
      <c r="I229" s="1849">
        <v>43952</v>
      </c>
      <c r="J229" s="1849">
        <v>43983</v>
      </c>
      <c r="K229" s="1849">
        <v>44013</v>
      </c>
      <c r="L229" s="1849">
        <v>44044</v>
      </c>
      <c r="M229" s="1849">
        <v>44075</v>
      </c>
      <c r="N229" s="1849">
        <v>44105</v>
      </c>
      <c r="O229" s="1849">
        <v>44136</v>
      </c>
      <c r="P229" s="2361">
        <v>44166</v>
      </c>
    </row>
    <row r="230" spans="3:16" hidden="1">
      <c r="C230" s="372" t="s">
        <v>709</v>
      </c>
      <c r="D230" s="1856">
        <v>221</v>
      </c>
      <c r="E230" s="142">
        <f>+'ANEXOA-MODIFICADO'!D479</f>
        <v>394.2</v>
      </c>
      <c r="F230" s="142">
        <f>+'ANEXOA-MODIFICADO'!E479</f>
        <v>402.45</v>
      </c>
      <c r="G230" s="142">
        <f>+'ANEXOA-MODIFICADO'!F479</f>
        <v>402.45</v>
      </c>
      <c r="H230" s="142">
        <f>+'ANEXOA-MODIFICADO'!G479</f>
        <v>402.45</v>
      </c>
      <c r="I230" s="142">
        <f>+'ANEXOA-MODIFICADO'!H479</f>
        <v>404.7</v>
      </c>
      <c r="J230" s="142">
        <f>+'ANEXOA-MODIFICADO'!I479</f>
        <v>404.7</v>
      </c>
      <c r="K230" s="142">
        <f>+'ANEXOA-MODIFICADO'!J479</f>
        <v>404.7</v>
      </c>
      <c r="L230" s="142">
        <f>+'ANEXOA-MODIFICADO'!K479</f>
        <v>404.7</v>
      </c>
      <c r="M230" s="142">
        <f>+'ANEXOA-MODIFICADO'!L479</f>
        <v>404.7</v>
      </c>
      <c r="N230" s="142">
        <f>+'ANEXOA-MODIFICADO'!M479</f>
        <v>404.7</v>
      </c>
      <c r="O230" s="142">
        <f>+'ANEXOA-MODIFICADO'!N479</f>
        <v>404.7</v>
      </c>
      <c r="P230" s="288">
        <f>+'ANEXOA-MODIFICADO'!O479</f>
        <v>404.7</v>
      </c>
    </row>
    <row r="231" spans="3:16" hidden="1">
      <c r="C231" s="372" t="s">
        <v>710</v>
      </c>
      <c r="D231" s="1856">
        <v>67</v>
      </c>
      <c r="E231" s="142">
        <f>+'Insumos testigos '!HU91</f>
        <v>402.68392811643059</v>
      </c>
      <c r="F231" s="142">
        <f>+'Insumos testigos '!HV91</f>
        <v>402.68392811643059</v>
      </c>
      <c r="G231" s="142">
        <f>+'Insumos testigos '!HW91</f>
        <v>402.39469563080206</v>
      </c>
      <c r="H231" s="142">
        <f>+'Insumos testigos '!HX91</f>
        <v>402.39469563080206</v>
      </c>
      <c r="I231" s="142">
        <f>+'Insumos testigos '!HY91</f>
        <v>402.68413615993768</v>
      </c>
      <c r="J231" s="142">
        <f>+'Insumos testigos '!HZ91</f>
        <v>402.2020817681738</v>
      </c>
      <c r="K231" s="142">
        <f>+'Insumos testigos '!IA91</f>
        <v>402.2020817681738</v>
      </c>
      <c r="L231" s="142">
        <f>+'Insumos testigos '!IB91</f>
        <v>413.77922959636226</v>
      </c>
      <c r="M231" s="142">
        <f>+'Insumos testigos '!IC91</f>
        <v>431.99998986525816</v>
      </c>
      <c r="N231" s="142">
        <f>+'Insumos testigos '!ID91</f>
        <v>448.1910950205471</v>
      </c>
      <c r="O231" s="142">
        <f>+'Insumos testigos '!IE91</f>
        <v>453.48758729160573</v>
      </c>
      <c r="P231" s="142">
        <f>+'Insumos testigos '!IF91</f>
        <v>484.92436468607491</v>
      </c>
    </row>
    <row r="232" spans="3:16" hidden="1">
      <c r="C232" s="372" t="s">
        <v>662</v>
      </c>
      <c r="D232" s="1856">
        <v>4</v>
      </c>
      <c r="E232" s="142">
        <f>+'Insumos testigos '!HU8</f>
        <v>197.55</v>
      </c>
      <c r="F232" s="142">
        <f>+'Insumos testigos '!HV8</f>
        <v>205.45</v>
      </c>
      <c r="G232" s="142">
        <f>+'Insumos testigos '!HW8</f>
        <v>205.45</v>
      </c>
      <c r="H232" s="142">
        <f>+'Insumos testigos '!HX8</f>
        <v>205.45</v>
      </c>
      <c r="I232" s="142">
        <f>+'Insumos testigos '!HY8</f>
        <v>205.45</v>
      </c>
      <c r="J232" s="142">
        <f>+'Insumos testigos '!HZ8</f>
        <v>205.45</v>
      </c>
      <c r="K232" s="142">
        <f>+'Insumos testigos '!IA8</f>
        <v>205.45</v>
      </c>
      <c r="L232" s="142">
        <f>+'Insumos testigos '!IB8</f>
        <v>205.45</v>
      </c>
      <c r="M232" s="142">
        <f>+'Insumos testigos '!IC8</f>
        <v>205.45</v>
      </c>
      <c r="N232" s="142">
        <f>+'Insumos testigos '!ID8</f>
        <v>205.45</v>
      </c>
      <c r="O232" s="142">
        <f>+'Insumos testigos '!IE8</f>
        <v>256.81</v>
      </c>
      <c r="P232" s="142">
        <f>+'Insumos testigos '!IF8</f>
        <v>256.81</v>
      </c>
    </row>
    <row r="233" spans="3:16" hidden="1">
      <c r="C233" s="2624" t="s">
        <v>675</v>
      </c>
      <c r="D233" s="1856">
        <v>221</v>
      </c>
      <c r="E233" s="142">
        <f t="shared" ref="E233:F233" si="84">E230</f>
        <v>394.2</v>
      </c>
      <c r="F233" s="142">
        <f t="shared" si="84"/>
        <v>402.45</v>
      </c>
      <c r="G233" s="142">
        <f t="shared" ref="G233:H233" si="85">G230</f>
        <v>402.45</v>
      </c>
      <c r="H233" s="142">
        <f t="shared" si="85"/>
        <v>402.45</v>
      </c>
      <c r="I233" s="142">
        <f t="shared" ref="I233:J233" si="86">I230</f>
        <v>404.7</v>
      </c>
      <c r="J233" s="142">
        <f t="shared" si="86"/>
        <v>404.7</v>
      </c>
      <c r="K233" s="142">
        <f t="shared" ref="K233:L233" si="87">K230</f>
        <v>404.7</v>
      </c>
      <c r="L233" s="142">
        <f t="shared" si="87"/>
        <v>404.7</v>
      </c>
      <c r="M233" s="142">
        <f t="shared" ref="M233:N233" si="88">M230</f>
        <v>404.7</v>
      </c>
      <c r="N233" s="142">
        <f t="shared" si="88"/>
        <v>404.7</v>
      </c>
      <c r="O233" s="142">
        <f t="shared" ref="O233:P233" si="89">O230</f>
        <v>404.7</v>
      </c>
      <c r="P233" s="288">
        <f t="shared" si="89"/>
        <v>404.7</v>
      </c>
    </row>
    <row r="234" spans="3:16" hidden="1">
      <c r="C234" s="2624"/>
      <c r="D234" s="1856">
        <v>4</v>
      </c>
      <c r="E234" s="142">
        <f t="shared" ref="E234:P234" si="90">ROUND(100*E232/$E$192,2)</f>
        <v>370.85</v>
      </c>
      <c r="F234" s="142">
        <f t="shared" si="90"/>
        <v>385.68</v>
      </c>
      <c r="G234" s="142">
        <f t="shared" si="90"/>
        <v>385.68</v>
      </c>
      <c r="H234" s="142">
        <f t="shared" si="90"/>
        <v>385.68</v>
      </c>
      <c r="I234" s="142">
        <f t="shared" si="90"/>
        <v>385.68</v>
      </c>
      <c r="J234" s="142">
        <f t="shared" si="90"/>
        <v>385.68</v>
      </c>
      <c r="K234" s="142">
        <f t="shared" si="90"/>
        <v>385.68</v>
      </c>
      <c r="L234" s="142">
        <f t="shared" si="90"/>
        <v>385.68</v>
      </c>
      <c r="M234" s="142">
        <f t="shared" si="90"/>
        <v>385.68</v>
      </c>
      <c r="N234" s="142">
        <f t="shared" si="90"/>
        <v>385.68</v>
      </c>
      <c r="O234" s="142">
        <f t="shared" si="90"/>
        <v>482.09</v>
      </c>
      <c r="P234" s="142">
        <f t="shared" si="90"/>
        <v>482.09</v>
      </c>
    </row>
    <row r="235" spans="3:16" hidden="1">
      <c r="C235" s="2624"/>
      <c r="D235" s="1856">
        <v>67</v>
      </c>
      <c r="E235" s="140">
        <f t="shared" ref="E235:P235" si="91">ROUND(100*E231/$E$191,2)</f>
        <v>402.68</v>
      </c>
      <c r="F235" s="140">
        <f t="shared" si="91"/>
        <v>402.68</v>
      </c>
      <c r="G235" s="140">
        <f t="shared" si="91"/>
        <v>402.39</v>
      </c>
      <c r="H235" s="140">
        <f t="shared" si="91"/>
        <v>402.39</v>
      </c>
      <c r="I235" s="140">
        <f t="shared" si="91"/>
        <v>402.68</v>
      </c>
      <c r="J235" s="140">
        <f t="shared" si="91"/>
        <v>402.2</v>
      </c>
      <c r="K235" s="140">
        <f t="shared" si="91"/>
        <v>402.2</v>
      </c>
      <c r="L235" s="140">
        <f t="shared" si="91"/>
        <v>413.78</v>
      </c>
      <c r="M235" s="140">
        <f t="shared" si="91"/>
        <v>432</v>
      </c>
      <c r="N235" s="140">
        <f t="shared" si="91"/>
        <v>448.19</v>
      </c>
      <c r="O235" s="140">
        <f t="shared" si="91"/>
        <v>453.49</v>
      </c>
      <c r="P235" s="140">
        <f t="shared" si="91"/>
        <v>484.92</v>
      </c>
    </row>
    <row r="236" spans="3:16" ht="16.5" hidden="1" thickBot="1">
      <c r="C236" s="2772" t="s">
        <v>824</v>
      </c>
      <c r="D236" s="2773"/>
      <c r="E236" s="380"/>
      <c r="F236" s="380"/>
      <c r="G236" s="380"/>
      <c r="H236" s="380"/>
      <c r="I236" s="380"/>
      <c r="J236" s="380"/>
      <c r="K236" s="380"/>
      <c r="L236" s="380"/>
      <c r="M236" s="380"/>
      <c r="N236" s="380"/>
      <c r="O236" s="380"/>
      <c r="P236" s="539"/>
    </row>
    <row r="237" spans="3:16" ht="21" hidden="1" customHeight="1" thickBot="1">
      <c r="C237" s="2656"/>
      <c r="D237" s="2774"/>
      <c r="E237" s="1485">
        <f t="shared" ref="E237:F237" si="92">ROUND(+$E$11*E233+$E$12*E235+$E$13*E234,2)</f>
        <v>398.65</v>
      </c>
      <c r="F237" s="1485">
        <f t="shared" si="92"/>
        <v>400.96</v>
      </c>
      <c r="G237" s="1485">
        <f t="shared" ref="G237:H237" si="93">ROUND(+$E$11*G233+$E$12*G235+$E$13*G234,2)</f>
        <v>400.73</v>
      </c>
      <c r="H237" s="1485">
        <f t="shared" si="93"/>
        <v>400.73</v>
      </c>
      <c r="I237" s="1485">
        <f t="shared" ref="I237:J237" si="94">ROUND(+$E$11*I233+$E$12*I235+$E$13*I234,2)</f>
        <v>401.18</v>
      </c>
      <c r="J237" s="1485">
        <f t="shared" si="94"/>
        <v>400.8</v>
      </c>
      <c r="K237" s="1485">
        <f t="shared" ref="K237:L237" si="95">ROUND(+$E$11*K233+$E$12*K235+$E$13*K234,2)</f>
        <v>400.8</v>
      </c>
      <c r="L237" s="1485">
        <f t="shared" si="95"/>
        <v>410.06</v>
      </c>
      <c r="M237" s="1485">
        <f t="shared" ref="M237:N237" si="96">ROUND(+$E$11*M233+$E$12*M235+$E$13*M234,2)</f>
        <v>424.64</v>
      </c>
      <c r="N237" s="1485">
        <f t="shared" si="96"/>
        <v>437.59</v>
      </c>
      <c r="O237" s="1485">
        <f t="shared" ref="O237:P237" si="97">ROUND(+$E$11*O233+$E$12*O235+$E$13*O234,2)</f>
        <v>451.47</v>
      </c>
      <c r="P237" s="1510">
        <f t="shared" si="97"/>
        <v>476.62</v>
      </c>
    </row>
    <row r="238" spans="3:16" ht="16.5" hidden="1" thickBot="1"/>
    <row r="239" spans="3:16" hidden="1">
      <c r="C239" s="1922" t="s">
        <v>673</v>
      </c>
      <c r="D239" s="1240" t="s">
        <v>831</v>
      </c>
      <c r="E239" s="1919">
        <v>44197</v>
      </c>
      <c r="F239" s="1919">
        <v>44228</v>
      </c>
      <c r="G239" s="1919">
        <v>44256</v>
      </c>
      <c r="H239" s="1919">
        <v>44287</v>
      </c>
      <c r="I239" s="1919">
        <v>44317</v>
      </c>
      <c r="J239" s="1919">
        <v>44348</v>
      </c>
      <c r="K239" s="1919">
        <v>44378</v>
      </c>
      <c r="L239" s="1919">
        <v>44409</v>
      </c>
      <c r="M239" s="1919">
        <v>44440</v>
      </c>
      <c r="N239" s="1919">
        <v>44470</v>
      </c>
      <c r="O239" s="1919">
        <v>44501</v>
      </c>
      <c r="P239" s="2361">
        <v>44531</v>
      </c>
    </row>
    <row r="240" spans="3:16" hidden="1">
      <c r="C240" s="372" t="s">
        <v>709</v>
      </c>
      <c r="D240" s="1923">
        <v>221</v>
      </c>
      <c r="E240" s="142">
        <f>+'ANEXOA-MODIFICADO'!D485</f>
        <v>429.36</v>
      </c>
      <c r="F240" s="142">
        <f>+'ANEXOA-MODIFICADO'!E485</f>
        <v>429.36</v>
      </c>
      <c r="G240" s="142">
        <f>+'ANEXOA-MODIFICADO'!F485</f>
        <v>429.36</v>
      </c>
      <c r="H240" s="142">
        <f>+'ANEXOA-MODIFICADO'!G485</f>
        <v>429.36</v>
      </c>
      <c r="I240" s="142">
        <f>+'ANEXOA-MODIFICADO'!H485</f>
        <v>435.88</v>
      </c>
      <c r="J240" s="142">
        <f>+'ANEXOA-MODIFICADO'!I485</f>
        <v>433.44</v>
      </c>
      <c r="K240" s="142">
        <f>+'ANEXOA-MODIFICADO'!J485</f>
        <v>434.79</v>
      </c>
      <c r="L240" s="142">
        <f>+'ANEXOA-MODIFICADO'!K485</f>
        <v>465.4</v>
      </c>
      <c r="M240" s="142">
        <f>+'ANEXOA-MODIFICADO'!L485</f>
        <v>481.15</v>
      </c>
      <c r="N240" s="142">
        <f>+'ANEXOA-MODIFICADO'!M485</f>
        <v>483.35</v>
      </c>
      <c r="O240" s="142">
        <f>+'ANEXOA-MODIFICADO'!N485</f>
        <v>490.34</v>
      </c>
      <c r="P240" s="288">
        <f>+'ANEXOA-MODIFICADO'!O485</f>
        <v>506.56</v>
      </c>
    </row>
    <row r="241" spans="3:16" hidden="1">
      <c r="C241" s="372" t="s">
        <v>710</v>
      </c>
      <c r="D241" s="1923">
        <v>67</v>
      </c>
      <c r="E241" s="142">
        <f>+'Insumos testigos '!IG91</f>
        <v>502.18767206889919</v>
      </c>
      <c r="F241" s="142">
        <f>+'Insumos testigos '!IH91</f>
        <v>551.98291365290049</v>
      </c>
      <c r="G241" s="142">
        <f>+'Insumos testigos '!II91</f>
        <v>623.06823285988332</v>
      </c>
      <c r="H241" s="142">
        <f>+'Insumos testigos '!IJ91</f>
        <v>662.09916262581726</v>
      </c>
      <c r="I241" s="142">
        <f>+'Insumos testigos '!IK91</f>
        <v>720.40269483344252</v>
      </c>
      <c r="J241" s="142">
        <f>+'Insumos testigos '!IL91</f>
        <v>720.86183262547115</v>
      </c>
      <c r="K241" s="142">
        <f>+'Insumos testigos '!IM91</f>
        <v>720.86183262547115</v>
      </c>
      <c r="L241" s="142">
        <f>+'Insumos testigos '!IN91</f>
        <v>736.56229420270438</v>
      </c>
      <c r="M241" s="142">
        <f>+'Insumos testigos '!IO91</f>
        <v>721.35964845036062</v>
      </c>
      <c r="N241" s="142">
        <f>+'Insumos testigos '!IP91</f>
        <v>721.51995059446062</v>
      </c>
      <c r="O241" s="142">
        <f>+'Insumos testigos '!IQ91</f>
        <v>721.51995059446062</v>
      </c>
      <c r="P241" s="142">
        <f>+'Insumos testigos '!IR91</f>
        <v>720.19703172648394</v>
      </c>
    </row>
    <row r="242" spans="3:16" hidden="1">
      <c r="C242" s="372" t="s">
        <v>662</v>
      </c>
      <c r="D242" s="1923">
        <v>4</v>
      </c>
      <c r="E242" s="142">
        <f>+'Insumos testigos '!IG8</f>
        <v>256.81</v>
      </c>
      <c r="F242" s="142">
        <f>+'Insumos testigos '!IH8</f>
        <v>273.24</v>
      </c>
      <c r="G242" s="142">
        <f>+'Insumos testigos '!II8</f>
        <v>273.24</v>
      </c>
      <c r="H242" s="142">
        <f>+'Insumos testigos '!IJ8</f>
        <v>306.02999999999997</v>
      </c>
      <c r="I242" s="142">
        <f>+'Insumos testigos '!IK8</f>
        <v>306.02999999999997</v>
      </c>
      <c r="J242" s="142">
        <f>+'Insumos testigos '!IL8</f>
        <v>306.02999999999997</v>
      </c>
      <c r="K242" s="142">
        <f>+'Insumos testigos '!IM8</f>
        <v>333.36</v>
      </c>
      <c r="L242" s="142">
        <f>+'Insumos testigos '!IN8</f>
        <v>333.36</v>
      </c>
      <c r="M242" s="142">
        <f>+'Insumos testigos '!IO8</f>
        <v>347.02</v>
      </c>
      <c r="N242" s="142">
        <f>+'Insumos testigos '!IP8</f>
        <v>366.15</v>
      </c>
      <c r="O242" s="142">
        <f>+'Insumos testigos '!IQ8</f>
        <v>366.15</v>
      </c>
      <c r="P242" s="142">
        <f>+'Insumos testigos '!IR8</f>
        <v>366.15</v>
      </c>
    </row>
    <row r="243" spans="3:16" hidden="1">
      <c r="C243" s="2624" t="s">
        <v>675</v>
      </c>
      <c r="D243" s="1923">
        <v>221</v>
      </c>
      <c r="E243" s="142">
        <f t="shared" ref="E243" si="98">E240</f>
        <v>429.36</v>
      </c>
      <c r="F243" s="142">
        <f t="shared" ref="F243:G243" si="99">F240</f>
        <v>429.36</v>
      </c>
      <c r="G243" s="142">
        <f t="shared" si="99"/>
        <v>429.36</v>
      </c>
      <c r="H243" s="142">
        <f t="shared" ref="H243:I243" si="100">H240</f>
        <v>429.36</v>
      </c>
      <c r="I243" s="142">
        <f t="shared" si="100"/>
        <v>435.88</v>
      </c>
      <c r="J243" s="142">
        <f t="shared" ref="J243:K243" si="101">J240</f>
        <v>433.44</v>
      </c>
      <c r="K243" s="142">
        <f t="shared" si="101"/>
        <v>434.79</v>
      </c>
      <c r="L243" s="142">
        <f t="shared" ref="L243:M243" si="102">L240</f>
        <v>465.4</v>
      </c>
      <c r="M243" s="142">
        <f t="shared" si="102"/>
        <v>481.15</v>
      </c>
      <c r="N243" s="142">
        <f t="shared" ref="N243:O243" si="103">N240</f>
        <v>483.35</v>
      </c>
      <c r="O243" s="142">
        <f t="shared" si="103"/>
        <v>490.34</v>
      </c>
      <c r="P243" s="288">
        <f t="shared" ref="P243" si="104">P240</f>
        <v>506.56</v>
      </c>
    </row>
    <row r="244" spans="3:16" hidden="1">
      <c r="C244" s="2624"/>
      <c r="D244" s="1923">
        <v>4</v>
      </c>
      <c r="E244" s="142">
        <f t="shared" ref="E244:P244" si="105">ROUND(100*E242/$E$192,2)</f>
        <v>482.09</v>
      </c>
      <c r="F244" s="142">
        <f t="shared" si="105"/>
        <v>512.92999999999995</v>
      </c>
      <c r="G244" s="142">
        <f t="shared" si="105"/>
        <v>512.92999999999995</v>
      </c>
      <c r="H244" s="142">
        <f t="shared" si="105"/>
        <v>574.49</v>
      </c>
      <c r="I244" s="142">
        <f t="shared" si="105"/>
        <v>574.49</v>
      </c>
      <c r="J244" s="142">
        <f t="shared" si="105"/>
        <v>574.49</v>
      </c>
      <c r="K244" s="142">
        <f t="shared" si="105"/>
        <v>625.79</v>
      </c>
      <c r="L244" s="142">
        <f t="shared" si="105"/>
        <v>625.79</v>
      </c>
      <c r="M244" s="142">
        <f t="shared" si="105"/>
        <v>651.44000000000005</v>
      </c>
      <c r="N244" s="142">
        <f t="shared" si="105"/>
        <v>687.35</v>
      </c>
      <c r="O244" s="142">
        <f t="shared" si="105"/>
        <v>687.35</v>
      </c>
      <c r="P244" s="142">
        <f t="shared" si="105"/>
        <v>687.35</v>
      </c>
    </row>
    <row r="245" spans="3:16" hidden="1">
      <c r="C245" s="2624"/>
      <c r="D245" s="1923">
        <v>67</v>
      </c>
      <c r="E245" s="140">
        <f t="shared" ref="E245:P245" si="106">ROUND(100*E241/$E$191,2)</f>
        <v>502.19</v>
      </c>
      <c r="F245" s="140">
        <f t="shared" si="106"/>
        <v>551.98</v>
      </c>
      <c r="G245" s="140">
        <f t="shared" si="106"/>
        <v>623.07000000000005</v>
      </c>
      <c r="H245" s="140">
        <f t="shared" si="106"/>
        <v>662.1</v>
      </c>
      <c r="I245" s="140">
        <f t="shared" si="106"/>
        <v>720.4</v>
      </c>
      <c r="J245" s="140">
        <f t="shared" si="106"/>
        <v>720.86</v>
      </c>
      <c r="K245" s="140">
        <f t="shared" si="106"/>
        <v>720.86</v>
      </c>
      <c r="L245" s="140">
        <f t="shared" si="106"/>
        <v>736.56</v>
      </c>
      <c r="M245" s="140">
        <f t="shared" si="106"/>
        <v>721.36</v>
      </c>
      <c r="N245" s="140">
        <f t="shared" si="106"/>
        <v>721.52</v>
      </c>
      <c r="O245" s="140">
        <f t="shared" si="106"/>
        <v>721.52</v>
      </c>
      <c r="P245" s="140">
        <f t="shared" si="106"/>
        <v>720.2</v>
      </c>
    </row>
    <row r="246" spans="3:16" ht="16.5" hidden="1" thickBot="1">
      <c r="C246" s="2772" t="s">
        <v>824</v>
      </c>
      <c r="D246" s="2773"/>
      <c r="E246" s="380"/>
      <c r="F246" s="380"/>
      <c r="G246" s="380"/>
      <c r="H246" s="380"/>
      <c r="I246" s="380"/>
      <c r="J246" s="380"/>
      <c r="K246" s="380"/>
      <c r="L246" s="380"/>
      <c r="M246" s="380"/>
      <c r="N246" s="380"/>
      <c r="O246" s="380"/>
      <c r="P246" s="539"/>
    </row>
    <row r="247" spans="3:16" ht="21" hidden="1" customHeight="1" thickBot="1">
      <c r="C247" s="2656"/>
      <c r="D247" s="2774"/>
      <c r="E247" s="1485">
        <f t="shared" ref="E247" si="107">ROUND(+$E$11*E243+$E$12*E245+$E$13*E244,2)</f>
        <v>492.9</v>
      </c>
      <c r="F247" s="1485">
        <f t="shared" ref="F247:G247" si="108">ROUND(+$E$11*F243+$E$12*F245+$E$13*F244,2)</f>
        <v>535.80999999999995</v>
      </c>
      <c r="G247" s="1485">
        <f t="shared" si="108"/>
        <v>592.69000000000005</v>
      </c>
      <c r="H247" s="1485">
        <f t="shared" ref="H247:I247" si="109">ROUND(+$E$11*H243+$E$12*H245+$E$13*H244,2)</f>
        <v>630.07000000000005</v>
      </c>
      <c r="I247" s="1485">
        <f t="shared" si="109"/>
        <v>677.36</v>
      </c>
      <c r="J247" s="1485">
        <f t="shared" ref="J247:K247" si="110">ROUND(+$E$11*J243+$E$12*J245+$E$13*J244,2)</f>
        <v>677.48</v>
      </c>
      <c r="K247" s="1485">
        <f t="shared" si="110"/>
        <v>682.75</v>
      </c>
      <c r="L247" s="1485">
        <f t="shared" ref="L247:M247" si="111">ROUND(+$E$11*L243+$E$12*L245+$E$13*L244,2)</f>
        <v>698.37</v>
      </c>
      <c r="M247" s="1485">
        <f t="shared" si="111"/>
        <v>690.35</v>
      </c>
      <c r="N247" s="1485">
        <f t="shared" ref="N247:O247" si="112">ROUND(+$E$11*N243+$E$12*N245+$E$13*N244,2)</f>
        <v>694.29</v>
      </c>
      <c r="O247" s="1485">
        <f t="shared" si="112"/>
        <v>694.99</v>
      </c>
      <c r="P247" s="1510">
        <f t="shared" ref="P247" si="113">ROUND(+$E$11*P243+$E$12*P245+$E$13*P244,2)</f>
        <v>695.55</v>
      </c>
    </row>
    <row r="248" spans="3:16" ht="16.5" thickBot="1"/>
    <row r="249" spans="3:16">
      <c r="C249" s="1982" t="s">
        <v>673</v>
      </c>
      <c r="D249" s="1240" t="s">
        <v>831</v>
      </c>
      <c r="E249" s="1979">
        <v>44562</v>
      </c>
      <c r="F249" s="1979">
        <v>44593</v>
      </c>
      <c r="G249" s="1979">
        <v>44621</v>
      </c>
      <c r="H249" s="1979">
        <v>44652</v>
      </c>
      <c r="I249" s="1979">
        <v>44682</v>
      </c>
      <c r="J249" s="1979">
        <v>44713</v>
      </c>
      <c r="K249" s="1979">
        <v>44743</v>
      </c>
      <c r="L249" s="1979">
        <v>44774</v>
      </c>
      <c r="M249" s="1979">
        <v>44805</v>
      </c>
      <c r="N249" s="1979">
        <v>44835</v>
      </c>
      <c r="O249" s="1979">
        <v>44866</v>
      </c>
      <c r="P249" s="2361">
        <v>44896</v>
      </c>
    </row>
    <row r="250" spans="3:16">
      <c r="C250" s="372" t="s">
        <v>709</v>
      </c>
      <c r="D250" s="1983">
        <v>221</v>
      </c>
      <c r="E250" s="142">
        <f>+'ANEXOA-MODIFICADO'!D491</f>
        <v>509.53</v>
      </c>
      <c r="F250" s="142">
        <f>+'ANEXOA-MODIFICADO'!E491</f>
        <v>517.83000000000004</v>
      </c>
      <c r="G250" s="142">
        <f>+'ANEXOA-MODIFICADO'!F491</f>
        <v>525.89</v>
      </c>
      <c r="H250" s="142">
        <f>+'ANEXOA-MODIFICADO'!G491</f>
        <v>555.61</v>
      </c>
      <c r="I250" s="142">
        <f>+'ANEXOA-MODIFICADO'!H491</f>
        <v>579.99</v>
      </c>
      <c r="J250" s="142">
        <f>+'ANEXOA-MODIFICADO'!I491</f>
        <v>596.80999999999995</v>
      </c>
      <c r="K250" s="142">
        <f>+'ANEXOA-MODIFICADO'!J491</f>
        <v>664.02</v>
      </c>
      <c r="L250" s="142">
        <f>+'ANEXOA-MODIFICADO'!K491</f>
        <v>696.01</v>
      </c>
      <c r="M250" s="142">
        <f>+'ANEXOA-MODIFICADO'!L491</f>
        <v>709.68</v>
      </c>
      <c r="N250" s="142">
        <f>+'ANEXOA-MODIFICADO'!M491</f>
        <v>753.43</v>
      </c>
      <c r="O250" s="142">
        <f>+'ANEXOA-MODIFICADO'!N491</f>
        <v>764.12</v>
      </c>
      <c r="P250" s="142">
        <f>+'ANEXOA-MODIFICADO'!O491</f>
        <v>830.19</v>
      </c>
    </row>
    <row r="251" spans="3:16">
      <c r="C251" s="372" t="s">
        <v>710</v>
      </c>
      <c r="D251" s="1983">
        <v>67</v>
      </c>
      <c r="E251" s="142">
        <f>+'Insumos testigos '!IS91</f>
        <v>722.47873196716534</v>
      </c>
      <c r="F251" s="142">
        <f>+'Insumos testigos '!IT91</f>
        <v>787.80211540954565</v>
      </c>
      <c r="G251" s="142">
        <f>+'Insumos testigos '!IU91</f>
        <v>876.54486341404106</v>
      </c>
      <c r="H251" s="142">
        <f>+'Insumos testigos '!IV91</f>
        <v>904.00465949773832</v>
      </c>
      <c r="I251" s="142">
        <f>+'Insumos testigos '!IW91</f>
        <v>1015.7322678977031</v>
      </c>
      <c r="J251" s="142">
        <f>+'Insumos testigos '!IX91</f>
        <v>1152.2249070713278</v>
      </c>
      <c r="K251" s="142">
        <f>+'Insumos testigos '!IY91</f>
        <v>1190.6598575097328</v>
      </c>
      <c r="L251" s="142">
        <f>+'Insumos testigos '!IZ91</f>
        <v>1228.9559347980576</v>
      </c>
      <c r="M251" s="142">
        <f>+'Insumos testigos '!JA91</f>
        <v>1228.9559347980576</v>
      </c>
      <c r="N251" s="142">
        <f>+'Insumos testigos '!JB91</f>
        <v>1317.4690357507548</v>
      </c>
      <c r="O251" s="142">
        <f>+'Insumos testigos '!JC91</f>
        <v>1579.1508115437905</v>
      </c>
      <c r="P251" s="142">
        <f>+'Insumos testigos '!JD91</f>
        <v>1745.1440670231789</v>
      </c>
    </row>
    <row r="252" spans="3:16">
      <c r="C252" s="372" t="s">
        <v>662</v>
      </c>
      <c r="D252" s="1983">
        <v>4</v>
      </c>
      <c r="E252" s="142">
        <f>+'Insumos testigos '!IS8</f>
        <v>379.81</v>
      </c>
      <c r="F252" s="142">
        <f>+'Insumos testigos '!IT8</f>
        <v>398.39</v>
      </c>
      <c r="G252" s="142">
        <f>+'Insumos testigos '!IU8</f>
        <v>420.79</v>
      </c>
      <c r="H252" s="142">
        <f>+'Insumos testigos '!IV8</f>
        <v>420.79</v>
      </c>
      <c r="I252" s="142">
        <f>+'Insumos testigos '!IW8</f>
        <v>463</v>
      </c>
      <c r="J252" s="142">
        <f>+'Insumos testigos '!IX8</f>
        <v>505</v>
      </c>
      <c r="K252" s="142">
        <f>+'Insumos testigos '!IY8</f>
        <v>505</v>
      </c>
      <c r="L252" s="142">
        <f>+'Insumos testigos '!IZ8</f>
        <v>539</v>
      </c>
      <c r="M252" s="142">
        <f>+'Insumos testigos '!JA8</f>
        <v>593</v>
      </c>
      <c r="N252" s="142">
        <f>+'Insumos testigos '!JB8</f>
        <v>648</v>
      </c>
      <c r="O252" s="142">
        <f>+'Insumos testigos '!JC8</f>
        <v>699</v>
      </c>
      <c r="P252" s="142">
        <f>+'Insumos testigos '!JD8</f>
        <v>699</v>
      </c>
    </row>
    <row r="253" spans="3:16">
      <c r="C253" s="2624" t="s">
        <v>675</v>
      </c>
      <c r="D253" s="1983">
        <v>221</v>
      </c>
      <c r="E253" s="142">
        <f t="shared" ref="E253" si="114">E250</f>
        <v>509.53</v>
      </c>
      <c r="F253" s="142">
        <f t="shared" ref="F253:G253" si="115">F250</f>
        <v>517.83000000000004</v>
      </c>
      <c r="G253" s="142">
        <f t="shared" si="115"/>
        <v>525.89</v>
      </c>
      <c r="H253" s="142">
        <f t="shared" ref="H253:I253" si="116">H250</f>
        <v>555.61</v>
      </c>
      <c r="I253" s="142">
        <f t="shared" si="116"/>
        <v>579.99</v>
      </c>
      <c r="J253" s="142">
        <f t="shared" ref="J253:K253" si="117">J250</f>
        <v>596.80999999999995</v>
      </c>
      <c r="K253" s="142">
        <f t="shared" si="117"/>
        <v>664.02</v>
      </c>
      <c r="L253" s="142">
        <f t="shared" ref="L253:M253" si="118">L250</f>
        <v>696.01</v>
      </c>
      <c r="M253" s="142">
        <f t="shared" si="118"/>
        <v>709.68</v>
      </c>
      <c r="N253" s="142">
        <f t="shared" ref="N253:O253" si="119">N250</f>
        <v>753.43</v>
      </c>
      <c r="O253" s="142">
        <f t="shared" si="119"/>
        <v>764.12</v>
      </c>
      <c r="P253" s="142">
        <f t="shared" ref="P253" si="120">P250</f>
        <v>830.19</v>
      </c>
    </row>
    <row r="254" spans="3:16">
      <c r="C254" s="2624"/>
      <c r="D254" s="1983">
        <v>4</v>
      </c>
      <c r="E254" s="142">
        <f t="shared" ref="E254:P254" si="121">ROUND(100*E252/$E$192,2)</f>
        <v>712.99</v>
      </c>
      <c r="F254" s="142">
        <f t="shared" si="121"/>
        <v>747.87</v>
      </c>
      <c r="G254" s="142">
        <f t="shared" si="121"/>
        <v>789.92</v>
      </c>
      <c r="H254" s="142">
        <f t="shared" si="121"/>
        <v>789.92</v>
      </c>
      <c r="I254" s="142">
        <f t="shared" si="121"/>
        <v>869.16</v>
      </c>
      <c r="J254" s="142">
        <f t="shared" si="121"/>
        <v>948</v>
      </c>
      <c r="K254" s="142">
        <f t="shared" si="121"/>
        <v>948</v>
      </c>
      <c r="L254" s="142">
        <f t="shared" si="121"/>
        <v>1011.83</v>
      </c>
      <c r="M254" s="142">
        <f t="shared" si="121"/>
        <v>1113.2</v>
      </c>
      <c r="N254" s="142">
        <f t="shared" si="121"/>
        <v>1216.44</v>
      </c>
      <c r="O254" s="142">
        <f t="shared" si="121"/>
        <v>1312.18</v>
      </c>
      <c r="P254" s="142">
        <f t="shared" si="121"/>
        <v>1312.18</v>
      </c>
    </row>
    <row r="255" spans="3:16">
      <c r="C255" s="2624"/>
      <c r="D255" s="1983">
        <v>67</v>
      </c>
      <c r="E255" s="140">
        <f t="shared" ref="E255:P255" si="122">ROUND(100*E251/$E$191,2)</f>
        <v>722.48</v>
      </c>
      <c r="F255" s="140">
        <f t="shared" si="122"/>
        <v>787.8</v>
      </c>
      <c r="G255" s="140">
        <f t="shared" si="122"/>
        <v>876.54</v>
      </c>
      <c r="H255" s="140">
        <f t="shared" si="122"/>
        <v>904</v>
      </c>
      <c r="I255" s="140">
        <f t="shared" si="122"/>
        <v>1015.73</v>
      </c>
      <c r="J255" s="140">
        <f t="shared" si="122"/>
        <v>1152.22</v>
      </c>
      <c r="K255" s="140">
        <f t="shared" si="122"/>
        <v>1190.6600000000001</v>
      </c>
      <c r="L255" s="140">
        <f t="shared" si="122"/>
        <v>1228.96</v>
      </c>
      <c r="M255" s="140">
        <f t="shared" si="122"/>
        <v>1228.96</v>
      </c>
      <c r="N255" s="140">
        <f t="shared" si="122"/>
        <v>1317.47</v>
      </c>
      <c r="O255" s="140">
        <f t="shared" si="122"/>
        <v>1579.15</v>
      </c>
      <c r="P255" s="140">
        <f t="shared" si="122"/>
        <v>1745.14</v>
      </c>
    </row>
    <row r="256" spans="3:16" ht="16.5" thickBot="1">
      <c r="C256" s="2772" t="s">
        <v>824</v>
      </c>
      <c r="D256" s="2773"/>
      <c r="E256" s="380"/>
      <c r="F256" s="380"/>
      <c r="G256" s="380"/>
      <c r="H256" s="380"/>
      <c r="I256" s="380"/>
      <c r="J256" s="380"/>
      <c r="K256" s="380"/>
      <c r="L256" s="380"/>
      <c r="M256" s="380"/>
      <c r="N256" s="380"/>
      <c r="O256" s="380"/>
      <c r="P256" s="380"/>
    </row>
    <row r="257" spans="3:16" ht="21" customHeight="1" thickBot="1">
      <c r="C257" s="2656"/>
      <c r="D257" s="2774"/>
      <c r="E257" s="1267">
        <f t="shared" ref="E257" si="123">ROUND(+$E$11*E253+$E$12*E255+$E$13*E254,2)</f>
        <v>700.24</v>
      </c>
      <c r="F257" s="1267">
        <f t="shared" ref="F257:G257" si="124">ROUND(+$E$11*F253+$E$12*F255+$E$13*F254,2)</f>
        <v>756.81</v>
      </c>
      <c r="G257" s="1267">
        <f t="shared" si="124"/>
        <v>832.81</v>
      </c>
      <c r="H257" s="1267">
        <f t="shared" ref="H257:I257" si="125">ROUND(+$E$11*H253+$E$12*H255+$E$13*H254,2)</f>
        <v>857.75</v>
      </c>
      <c r="I257" s="1267">
        <f t="shared" si="125"/>
        <v>957.5</v>
      </c>
      <c r="J257" s="1267">
        <f t="shared" ref="J257:K257" si="126">ROUND(+$E$11*J253+$E$12*J255+$E$13*J254,2)</f>
        <v>1076.26</v>
      </c>
      <c r="K257" s="1267">
        <f t="shared" si="126"/>
        <v>1113.73</v>
      </c>
      <c r="L257" s="1267">
        <f t="shared" ref="L257:M257" si="127">ROUND(+$E$11*L253+$E$12*L255+$E$13*L254,2)</f>
        <v>1153.95</v>
      </c>
      <c r="M257" s="1267">
        <f t="shared" si="127"/>
        <v>1165.46</v>
      </c>
      <c r="N257" s="1267">
        <f t="shared" ref="N257:O257" si="128">ROUND(+$E$11*N253+$E$12*N255+$E$13*N254,2)</f>
        <v>1250.96</v>
      </c>
      <c r="O257" s="1267">
        <f t="shared" si="128"/>
        <v>1470.95</v>
      </c>
      <c r="P257" s="1267">
        <f t="shared" ref="P257" si="129">ROUND(+$E$11*P253+$E$12*P255+$E$13*P254,2)</f>
        <v>1610.35</v>
      </c>
    </row>
    <row r="258" spans="3:16" ht="16.5" thickBot="1"/>
    <row r="259" spans="3:16">
      <c r="C259" s="2439" t="s">
        <v>673</v>
      </c>
      <c r="D259" s="1240" t="s">
        <v>831</v>
      </c>
      <c r="E259" s="2438">
        <v>44927</v>
      </c>
      <c r="F259" s="2438">
        <v>44958</v>
      </c>
      <c r="G259" s="2438">
        <v>44986</v>
      </c>
      <c r="H259" s="2438">
        <v>45017</v>
      </c>
      <c r="I259" s="2438">
        <v>45047</v>
      </c>
      <c r="J259" s="2438">
        <v>45078</v>
      </c>
      <c r="K259" s="2438">
        <v>45108</v>
      </c>
      <c r="L259" s="2438">
        <v>45139</v>
      </c>
      <c r="M259" s="2438">
        <v>45170</v>
      </c>
      <c r="N259" s="2438">
        <v>45200</v>
      </c>
      <c r="O259" s="2438">
        <v>45231</v>
      </c>
      <c r="P259" s="2438">
        <v>45261</v>
      </c>
    </row>
    <row r="260" spans="3:16">
      <c r="C260" s="372" t="s">
        <v>709</v>
      </c>
      <c r="D260" s="2441">
        <v>221</v>
      </c>
      <c r="E260" s="142">
        <f>+'Insumos testigos '!JE167</f>
        <v>872.76</v>
      </c>
      <c r="F260" s="142">
        <f>+'Insumos testigos '!JF167</f>
        <v>938.09</v>
      </c>
      <c r="G260" s="142">
        <f>+'ANEXOA-MODIFICADO'!F501</f>
        <v>0</v>
      </c>
      <c r="H260" s="142">
        <f>+'ANEXOA-MODIFICADO'!G501</f>
        <v>0</v>
      </c>
      <c r="I260" s="142">
        <f>+'ANEXOA-MODIFICADO'!H501</f>
        <v>0</v>
      </c>
      <c r="J260" s="142">
        <f>+'ANEXOA-MODIFICADO'!I501</f>
        <v>0</v>
      </c>
      <c r="K260" s="142">
        <f>+'ANEXOA-MODIFICADO'!J501</f>
        <v>0</v>
      </c>
      <c r="L260" s="142">
        <f>+'ANEXOA-MODIFICADO'!K501</f>
        <v>0</v>
      </c>
      <c r="M260" s="142">
        <f>+'ANEXOA-MODIFICADO'!L501</f>
        <v>0</v>
      </c>
      <c r="N260" s="142">
        <f>+'ANEXOA-MODIFICADO'!M501</f>
        <v>0</v>
      </c>
      <c r="O260" s="142">
        <f>+'ANEXOA-MODIFICADO'!N501</f>
        <v>0</v>
      </c>
      <c r="P260" s="142">
        <f>+'ANEXOA-MODIFICADO'!O501</f>
        <v>0</v>
      </c>
    </row>
    <row r="261" spans="3:16">
      <c r="C261" s="372" t="s">
        <v>710</v>
      </c>
      <c r="D261" s="2441">
        <v>67</v>
      </c>
      <c r="E261" s="142">
        <f>+'Insumos testigos '!JE91</f>
        <v>1775.2633047281477</v>
      </c>
      <c r="F261" s="142">
        <f>+'Insumos testigos '!JF91</f>
        <v>1934.1216942843548</v>
      </c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</row>
    <row r="262" spans="3:16">
      <c r="C262" s="372" t="s">
        <v>662</v>
      </c>
      <c r="D262" s="2441">
        <v>4</v>
      </c>
      <c r="E262" s="142">
        <f>+'Insumos testigos '!JE8</f>
        <v>720</v>
      </c>
      <c r="F262" s="142">
        <f>+'Insumos testigos '!JF8</f>
        <v>842</v>
      </c>
      <c r="G262" s="142">
        <f>+'Insumos testigos '!IU18</f>
        <v>0</v>
      </c>
      <c r="H262" s="142">
        <f>+'Insumos testigos '!IV18</f>
        <v>0</v>
      </c>
      <c r="I262" s="142">
        <f>+'Insumos testigos '!IW18</f>
        <v>0</v>
      </c>
      <c r="J262" s="142">
        <f>+'Insumos testigos '!IX18</f>
        <v>0</v>
      </c>
      <c r="K262" s="142">
        <f>+'Insumos testigos '!IY18</f>
        <v>0</v>
      </c>
      <c r="L262" s="142">
        <f>+'Insumos testigos '!IZ18</f>
        <v>0</v>
      </c>
      <c r="M262" s="142">
        <f>+'Insumos testigos '!JA18</f>
        <v>0</v>
      </c>
      <c r="N262" s="142">
        <f>+'Insumos testigos '!JB18</f>
        <v>0</v>
      </c>
      <c r="O262" s="142">
        <f>+'Insumos testigos '!JC18</f>
        <v>0</v>
      </c>
      <c r="P262" s="142">
        <f>+'Insumos testigos '!JD18</f>
        <v>0</v>
      </c>
    </row>
    <row r="263" spans="3:16">
      <c r="C263" s="2624" t="s">
        <v>675</v>
      </c>
      <c r="D263" s="2441">
        <v>221</v>
      </c>
      <c r="E263" s="142">
        <f t="shared" ref="E263:P263" si="130">E260</f>
        <v>872.76</v>
      </c>
      <c r="F263" s="142">
        <f t="shared" ref="F263" si="131">F260</f>
        <v>938.09</v>
      </c>
      <c r="G263" s="142">
        <f t="shared" si="130"/>
        <v>0</v>
      </c>
      <c r="H263" s="142">
        <f t="shared" si="130"/>
        <v>0</v>
      </c>
      <c r="I263" s="142">
        <f t="shared" si="130"/>
        <v>0</v>
      </c>
      <c r="J263" s="142">
        <f t="shared" si="130"/>
        <v>0</v>
      </c>
      <c r="K263" s="142">
        <f t="shared" si="130"/>
        <v>0</v>
      </c>
      <c r="L263" s="142">
        <f t="shared" si="130"/>
        <v>0</v>
      </c>
      <c r="M263" s="142">
        <f t="shared" si="130"/>
        <v>0</v>
      </c>
      <c r="N263" s="142">
        <f t="shared" si="130"/>
        <v>0</v>
      </c>
      <c r="O263" s="142">
        <f t="shared" si="130"/>
        <v>0</v>
      </c>
      <c r="P263" s="142">
        <f t="shared" si="130"/>
        <v>0</v>
      </c>
    </row>
    <row r="264" spans="3:16">
      <c r="C264" s="2624"/>
      <c r="D264" s="2441">
        <v>4</v>
      </c>
      <c r="E264" s="142">
        <f t="shared" ref="E264:P264" si="132">ROUND(100*E262/$E$192,2)</f>
        <v>1351.61</v>
      </c>
      <c r="F264" s="142">
        <f t="shared" ref="F264" si="133">ROUND(100*F262/$E$192,2)</f>
        <v>1580.63</v>
      </c>
      <c r="G264" s="142">
        <f t="shared" si="132"/>
        <v>0</v>
      </c>
      <c r="H264" s="142">
        <f t="shared" si="132"/>
        <v>0</v>
      </c>
      <c r="I264" s="142">
        <f t="shared" si="132"/>
        <v>0</v>
      </c>
      <c r="J264" s="142">
        <f t="shared" si="132"/>
        <v>0</v>
      </c>
      <c r="K264" s="142">
        <f t="shared" si="132"/>
        <v>0</v>
      </c>
      <c r="L264" s="142">
        <f t="shared" si="132"/>
        <v>0</v>
      </c>
      <c r="M264" s="142">
        <f t="shared" si="132"/>
        <v>0</v>
      </c>
      <c r="N264" s="142">
        <f t="shared" si="132"/>
        <v>0</v>
      </c>
      <c r="O264" s="142">
        <f t="shared" si="132"/>
        <v>0</v>
      </c>
      <c r="P264" s="142">
        <f t="shared" si="132"/>
        <v>0</v>
      </c>
    </row>
    <row r="265" spans="3:16">
      <c r="C265" s="2624"/>
      <c r="D265" s="2441">
        <v>67</v>
      </c>
      <c r="E265" s="140">
        <f t="shared" ref="E265:P265" si="134">ROUND(100*E261/$E$191,2)</f>
        <v>1775.26</v>
      </c>
      <c r="F265" s="140">
        <f t="shared" ref="F265" si="135">ROUND(100*F261/$E$191,2)</f>
        <v>1934.12</v>
      </c>
      <c r="G265" s="140">
        <f t="shared" si="134"/>
        <v>0</v>
      </c>
      <c r="H265" s="140">
        <f t="shared" si="134"/>
        <v>0</v>
      </c>
      <c r="I265" s="140">
        <f t="shared" si="134"/>
        <v>0</v>
      </c>
      <c r="J265" s="140">
        <f t="shared" si="134"/>
        <v>0</v>
      </c>
      <c r="K265" s="140">
        <f t="shared" si="134"/>
        <v>0</v>
      </c>
      <c r="L265" s="140">
        <f t="shared" si="134"/>
        <v>0</v>
      </c>
      <c r="M265" s="140">
        <f t="shared" si="134"/>
        <v>0</v>
      </c>
      <c r="N265" s="140">
        <f t="shared" si="134"/>
        <v>0</v>
      </c>
      <c r="O265" s="140">
        <f t="shared" si="134"/>
        <v>0</v>
      </c>
      <c r="P265" s="140">
        <f t="shared" si="134"/>
        <v>0</v>
      </c>
    </row>
    <row r="266" spans="3:16" ht="16.5" thickBot="1">
      <c r="C266" s="2772" t="s">
        <v>824</v>
      </c>
      <c r="D266" s="2773"/>
      <c r="E266" s="380"/>
      <c r="F266" s="380"/>
      <c r="G266" s="380"/>
      <c r="H266" s="380"/>
      <c r="I266" s="380"/>
      <c r="J266" s="380"/>
      <c r="K266" s="380"/>
      <c r="L266" s="380"/>
      <c r="M266" s="380"/>
      <c r="N266" s="380"/>
      <c r="O266" s="380"/>
      <c r="P266" s="380"/>
    </row>
    <row r="267" spans="3:16" ht="21" customHeight="1" thickBot="1">
      <c r="C267" s="2656"/>
      <c r="D267" s="2774"/>
      <c r="E267" s="1267">
        <f t="shared" ref="E267:P267" si="136">ROUND(+$E$11*E263+$E$12*E265+$E$13*E264,2)</f>
        <v>1642.65</v>
      </c>
      <c r="F267" s="1267">
        <f t="shared" si="136"/>
        <v>1799.17</v>
      </c>
      <c r="G267" s="1267">
        <f t="shared" si="136"/>
        <v>0</v>
      </c>
      <c r="H267" s="1267">
        <f t="shared" si="136"/>
        <v>0</v>
      </c>
      <c r="I267" s="1267">
        <f t="shared" si="136"/>
        <v>0</v>
      </c>
      <c r="J267" s="1267">
        <f t="shared" si="136"/>
        <v>0</v>
      </c>
      <c r="K267" s="1267">
        <f t="shared" si="136"/>
        <v>0</v>
      </c>
      <c r="L267" s="1267">
        <f t="shared" si="136"/>
        <v>0</v>
      </c>
      <c r="M267" s="1267">
        <f t="shared" si="136"/>
        <v>0</v>
      </c>
      <c r="N267" s="1267">
        <f t="shared" si="136"/>
        <v>0</v>
      </c>
      <c r="O267" s="1267">
        <f t="shared" si="136"/>
        <v>0</v>
      </c>
      <c r="P267" s="1267">
        <f t="shared" si="136"/>
        <v>0</v>
      </c>
    </row>
  </sheetData>
  <mergeCells count="48">
    <mergeCell ref="C114:C116"/>
    <mergeCell ref="C119:D119"/>
    <mergeCell ref="C38:D38"/>
    <mergeCell ref="C24:D24"/>
    <mergeCell ref="C213:C215"/>
    <mergeCell ref="C105:D105"/>
    <mergeCell ref="C161:C163"/>
    <mergeCell ref="C156:D156"/>
    <mergeCell ref="C164:D165"/>
    <mergeCell ref="C48:C50"/>
    <mergeCell ref="C53:D53"/>
    <mergeCell ref="C79:D79"/>
    <mergeCell ref="C92:D92"/>
    <mergeCell ref="C87:C89"/>
    <mergeCell ref="C66:D66"/>
    <mergeCell ref="C74:C76"/>
    <mergeCell ref="C175:D176"/>
    <mergeCell ref="C203:C205"/>
    <mergeCell ref="C206:D207"/>
    <mergeCell ref="C193:C195"/>
    <mergeCell ref="C196:D197"/>
    <mergeCell ref="E3:P3"/>
    <mergeCell ref="E4:P4"/>
    <mergeCell ref="C20:C22"/>
    <mergeCell ref="C6:P6"/>
    <mergeCell ref="C33:C35"/>
    <mergeCell ref="C61:C63"/>
    <mergeCell ref="C233:C235"/>
    <mergeCell ref="C236:D237"/>
    <mergeCell ref="C223:C225"/>
    <mergeCell ref="C226:D227"/>
    <mergeCell ref="C122:D122"/>
    <mergeCell ref="C131:C133"/>
    <mergeCell ref="C100:C102"/>
    <mergeCell ref="C152:C154"/>
    <mergeCell ref="C142:C144"/>
    <mergeCell ref="C146:D146"/>
    <mergeCell ref="C136:D136"/>
    <mergeCell ref="C216:D217"/>
    <mergeCell ref="C183:C185"/>
    <mergeCell ref="C186:D187"/>
    <mergeCell ref="C172:C174"/>
    <mergeCell ref="C263:C265"/>
    <mergeCell ref="C266:D267"/>
    <mergeCell ref="C253:C255"/>
    <mergeCell ref="C256:D257"/>
    <mergeCell ref="C243:C245"/>
    <mergeCell ref="C246:D247"/>
  </mergeCells>
  <phoneticPr fontId="0" type="noConversion"/>
  <printOptions horizontalCentered="1"/>
  <pageMargins left="0.39370078740157483" right="0.39370078740157483" top="0.59055118110236227" bottom="0.27559055118110237" header="0.23622047244094491" footer="0"/>
  <pageSetup paperSize="5" scale="54" firstPageNumber="15" orientation="landscape" useFirstPageNumber="1" r:id="rId1"/>
  <headerFooter alignWithMargins="0"/>
  <ignoredErrors>
    <ignoredError sqref="K79:L79 N79" emptyCellReferenc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CO50"/>
  <sheetViews>
    <sheetView view="pageBreakPreview" topLeftCell="A31" zoomScaleSheetLayoutView="100" workbookViewId="0">
      <selection activeCell="CO49" sqref="CO49"/>
    </sheetView>
  </sheetViews>
  <sheetFormatPr baseColWidth="10" defaultColWidth="11.42578125" defaultRowHeight="12.75"/>
  <cols>
    <col min="1" max="1" width="2.140625" style="64" customWidth="1"/>
    <col min="2" max="2" width="46.42578125" style="64" customWidth="1"/>
    <col min="3" max="3" width="8.7109375" style="64" customWidth="1"/>
    <col min="4" max="4" width="10.7109375" style="64" customWidth="1"/>
    <col min="5" max="5" width="6.85546875" style="66" hidden="1" customWidth="1"/>
    <col min="6" max="6" width="7.140625" style="66" hidden="1" customWidth="1"/>
    <col min="7" max="7" width="7" style="66" hidden="1" customWidth="1"/>
    <col min="8" max="8" width="7.85546875" style="66" customWidth="1"/>
    <col min="9" max="17" width="6.5703125" style="66" hidden="1" customWidth="1"/>
    <col min="18" max="28" width="6.85546875" style="66" hidden="1" customWidth="1"/>
    <col min="29" max="31" width="7.7109375" style="66" hidden="1" customWidth="1"/>
    <col min="32" max="43" width="8.7109375" style="66" hidden="1" customWidth="1"/>
    <col min="44" max="72" width="8.7109375" style="64" hidden="1" customWidth="1"/>
    <col min="73" max="79" width="7.42578125" style="64" hidden="1" customWidth="1"/>
    <col min="80" max="80" width="6.5703125" style="64" hidden="1" customWidth="1"/>
    <col min="81" max="93" width="6.5703125" style="64" bestFit="1" customWidth="1"/>
    <col min="94" max="16384" width="11.42578125" style="64"/>
  </cols>
  <sheetData>
    <row r="1" spans="2:93">
      <c r="B1" s="64" t="s">
        <v>591</v>
      </c>
      <c r="D1" s="64" t="s">
        <v>592</v>
      </c>
    </row>
    <row r="2" spans="2:93">
      <c r="B2" s="64" t="s">
        <v>593</v>
      </c>
      <c r="D2" s="64" t="s">
        <v>594</v>
      </c>
    </row>
    <row r="3" spans="2:93">
      <c r="B3" s="64" t="s">
        <v>595</v>
      </c>
    </row>
    <row r="4" spans="2:93">
      <c r="D4" s="1704" t="s">
        <v>1094</v>
      </c>
    </row>
    <row r="5" spans="2:93" ht="7.15" customHeight="1"/>
    <row r="6" spans="2:93">
      <c r="B6" s="64" t="s">
        <v>1095</v>
      </c>
    </row>
    <row r="7" spans="2:93" ht="7.9" customHeight="1"/>
    <row r="8" spans="2:93">
      <c r="E8" s="2783">
        <v>2015</v>
      </c>
      <c r="F8" s="2784"/>
      <c r="G8" s="2785"/>
      <c r="H8" s="2783">
        <v>2016</v>
      </c>
      <c r="I8" s="2784"/>
      <c r="J8" s="2784"/>
      <c r="K8" s="2784"/>
      <c r="L8" s="2784"/>
      <c r="M8" s="2784"/>
      <c r="N8" s="2784"/>
      <c r="O8" s="2784"/>
      <c r="P8" s="2784"/>
      <c r="Q8" s="2784"/>
      <c r="R8" s="2784"/>
      <c r="S8" s="2785"/>
      <c r="T8" s="2786">
        <v>2017</v>
      </c>
      <c r="U8" s="2787"/>
      <c r="V8" s="2787"/>
      <c r="W8" s="2787"/>
      <c r="X8" s="2787"/>
      <c r="Y8" s="2787"/>
      <c r="Z8" s="2787"/>
      <c r="AA8" s="2787"/>
      <c r="AB8" s="2787"/>
      <c r="AC8" s="2787"/>
      <c r="AD8" s="2787"/>
      <c r="AE8" s="2788"/>
      <c r="AF8" s="2786">
        <v>2018</v>
      </c>
      <c r="AG8" s="2787"/>
      <c r="AH8" s="2787"/>
      <c r="AI8" s="2787"/>
      <c r="AJ8" s="2787"/>
      <c r="AK8" s="2787"/>
      <c r="AL8" s="2787"/>
      <c r="AM8" s="2787"/>
      <c r="AN8" s="2787"/>
      <c r="AO8" s="2787"/>
      <c r="AP8" s="2787"/>
      <c r="AQ8" s="2788"/>
      <c r="AR8" s="2789">
        <v>2019</v>
      </c>
      <c r="AS8" s="2790"/>
      <c r="AT8" s="2790"/>
      <c r="AU8" s="2790"/>
      <c r="AV8" s="2790"/>
      <c r="AW8" s="2790"/>
      <c r="AX8" s="2790"/>
      <c r="AY8" s="2790"/>
      <c r="AZ8" s="2790"/>
      <c r="BA8" s="2790"/>
      <c r="BB8" s="2790"/>
      <c r="BC8" s="2791"/>
      <c r="BD8" s="1873"/>
      <c r="BE8" s="1873"/>
      <c r="BF8" s="1873"/>
      <c r="BG8" s="1873">
        <v>2020</v>
      </c>
      <c r="BH8" s="1873">
        <v>2020</v>
      </c>
      <c r="BI8" s="1873">
        <v>2020</v>
      </c>
      <c r="BJ8" s="1873"/>
      <c r="BK8" s="1873"/>
      <c r="BL8" s="1873"/>
      <c r="BM8" s="1873"/>
      <c r="BN8" s="1873"/>
      <c r="BO8" s="1873"/>
      <c r="BP8" s="1873">
        <v>2021</v>
      </c>
      <c r="BQ8" s="1873"/>
      <c r="BR8" s="1873"/>
      <c r="BS8" s="1873"/>
      <c r="BT8" s="1873"/>
      <c r="BU8" s="1873"/>
      <c r="BV8" s="1873"/>
      <c r="BW8" s="1873"/>
      <c r="BX8" s="1873"/>
      <c r="BY8" s="1873"/>
      <c r="BZ8" s="1873"/>
      <c r="CA8" s="1873"/>
      <c r="CB8" s="1873">
        <v>2022</v>
      </c>
      <c r="CC8" s="1873"/>
      <c r="CD8" s="1873"/>
      <c r="CE8" s="1873"/>
      <c r="CF8" s="1873"/>
      <c r="CG8" s="1873"/>
      <c r="CH8" s="1873"/>
      <c r="CI8" s="1873"/>
      <c r="CJ8" s="1873"/>
      <c r="CK8" s="1873"/>
      <c r="CL8" s="1873"/>
      <c r="CM8" s="1873"/>
      <c r="CN8" s="1873">
        <v>2023</v>
      </c>
      <c r="CO8" s="1873"/>
    </row>
    <row r="9" spans="2:93" s="1648" customFormat="1" ht="19.899999999999999" customHeight="1">
      <c r="B9" s="1647" t="s">
        <v>955</v>
      </c>
      <c r="C9" s="1647" t="s">
        <v>1091</v>
      </c>
      <c r="D9" s="1647" t="s">
        <v>1090</v>
      </c>
      <c r="E9" s="1664" t="s">
        <v>590</v>
      </c>
      <c r="F9" s="1664" t="s">
        <v>586</v>
      </c>
      <c r="G9" s="1664" t="s">
        <v>577</v>
      </c>
      <c r="H9" s="1664" t="s">
        <v>578</v>
      </c>
      <c r="I9" s="1664" t="s">
        <v>579</v>
      </c>
      <c r="J9" s="1664" t="s">
        <v>580</v>
      </c>
      <c r="K9" s="1664" t="s">
        <v>581</v>
      </c>
      <c r="L9" s="1664" t="s">
        <v>582</v>
      </c>
      <c r="M9" s="1664" t="s">
        <v>583</v>
      </c>
      <c r="N9" s="1664" t="s">
        <v>587</v>
      </c>
      <c r="O9" s="1664" t="s">
        <v>588</v>
      </c>
      <c r="P9" s="1664" t="s">
        <v>589</v>
      </c>
      <c r="Q9" s="1664" t="s">
        <v>590</v>
      </c>
      <c r="R9" s="1664" t="s">
        <v>586</v>
      </c>
      <c r="S9" s="1664" t="s">
        <v>577</v>
      </c>
      <c r="T9" s="1664" t="s">
        <v>578</v>
      </c>
      <c r="U9" s="1664" t="s">
        <v>579</v>
      </c>
      <c r="V9" s="1664" t="s">
        <v>580</v>
      </c>
      <c r="W9" s="1664" t="s">
        <v>581</v>
      </c>
      <c r="X9" s="1664" t="s">
        <v>582</v>
      </c>
      <c r="Y9" s="1664" t="s">
        <v>583</v>
      </c>
      <c r="Z9" s="1664" t="s">
        <v>587</v>
      </c>
      <c r="AA9" s="1664" t="s">
        <v>588</v>
      </c>
      <c r="AB9" s="1664" t="s">
        <v>589</v>
      </c>
      <c r="AC9" s="1664" t="s">
        <v>590</v>
      </c>
      <c r="AD9" s="1664" t="s">
        <v>586</v>
      </c>
      <c r="AE9" s="1664" t="s">
        <v>577</v>
      </c>
      <c r="AF9" s="1664" t="s">
        <v>578</v>
      </c>
      <c r="AG9" s="1664" t="s">
        <v>579</v>
      </c>
      <c r="AH9" s="1664" t="s">
        <v>580</v>
      </c>
      <c r="AI9" s="1664" t="s">
        <v>581</v>
      </c>
      <c r="AJ9" s="1664" t="s">
        <v>582</v>
      </c>
      <c r="AK9" s="1664" t="s">
        <v>583</v>
      </c>
      <c r="AL9" s="1664" t="s">
        <v>587</v>
      </c>
      <c r="AM9" s="1664" t="s">
        <v>588</v>
      </c>
      <c r="AN9" s="1664" t="s">
        <v>589</v>
      </c>
      <c r="AO9" s="1664" t="s">
        <v>590</v>
      </c>
      <c r="AP9" s="1664" t="s">
        <v>1104</v>
      </c>
      <c r="AQ9" s="1664" t="s">
        <v>1105</v>
      </c>
      <c r="AR9" s="1664" t="s">
        <v>578</v>
      </c>
      <c r="AS9" s="1664" t="s">
        <v>579</v>
      </c>
      <c r="AT9" s="1664" t="s">
        <v>580</v>
      </c>
      <c r="AU9" s="1664" t="s">
        <v>581</v>
      </c>
      <c r="AV9" s="1664" t="s">
        <v>582</v>
      </c>
      <c r="AW9" s="1664" t="s">
        <v>583</v>
      </c>
      <c r="AX9" s="1664" t="s">
        <v>587</v>
      </c>
      <c r="AY9" s="1664" t="s">
        <v>666</v>
      </c>
      <c r="AZ9" s="1664" t="s">
        <v>589</v>
      </c>
      <c r="BA9" s="1664" t="s">
        <v>590</v>
      </c>
      <c r="BB9" s="1664" t="s">
        <v>1104</v>
      </c>
      <c r="BC9" s="1664" t="s">
        <v>1105</v>
      </c>
      <c r="BD9" s="1664" t="s">
        <v>1106</v>
      </c>
      <c r="BE9" s="1664" t="s">
        <v>1107</v>
      </c>
      <c r="BF9" s="1664" t="s">
        <v>1108</v>
      </c>
      <c r="BG9" s="1664" t="s">
        <v>1109</v>
      </c>
      <c r="BH9" s="1664" t="s">
        <v>1110</v>
      </c>
      <c r="BI9" s="1664" t="s">
        <v>1099</v>
      </c>
      <c r="BJ9" s="1664" t="s">
        <v>1100</v>
      </c>
      <c r="BK9" s="1664" t="s">
        <v>1101</v>
      </c>
      <c r="BL9" s="1664" t="s">
        <v>1265</v>
      </c>
      <c r="BM9" s="1664" t="s">
        <v>668</v>
      </c>
      <c r="BN9" s="1664" t="s">
        <v>1104</v>
      </c>
      <c r="BO9" s="1664" t="s">
        <v>1105</v>
      </c>
      <c r="BP9" s="1664" t="s">
        <v>1106</v>
      </c>
      <c r="BQ9" s="1664" t="s">
        <v>1107</v>
      </c>
      <c r="BR9" s="1664" t="s">
        <v>1108</v>
      </c>
      <c r="BS9" s="1664" t="s">
        <v>1109</v>
      </c>
      <c r="BT9" s="1664" t="s">
        <v>1110</v>
      </c>
      <c r="BU9" s="1664" t="s">
        <v>1099</v>
      </c>
      <c r="BV9" s="1664" t="s">
        <v>1100</v>
      </c>
      <c r="BW9" s="1664" t="s">
        <v>666</v>
      </c>
      <c r="BX9" s="1664" t="s">
        <v>1265</v>
      </c>
      <c r="BY9" s="1664" t="s">
        <v>1103</v>
      </c>
      <c r="BZ9" s="1664" t="s">
        <v>669</v>
      </c>
      <c r="CA9" s="1664" t="s">
        <v>1105</v>
      </c>
      <c r="CB9" s="1664" t="s">
        <v>1106</v>
      </c>
      <c r="CC9" s="1664" t="s">
        <v>1107</v>
      </c>
      <c r="CD9" s="1664" t="s">
        <v>1108</v>
      </c>
      <c r="CE9" s="1664" t="s">
        <v>1109</v>
      </c>
      <c r="CF9" s="1664" t="s">
        <v>664</v>
      </c>
      <c r="CG9" s="1664" t="s">
        <v>665</v>
      </c>
      <c r="CH9" s="1664" t="s">
        <v>605</v>
      </c>
      <c r="CI9" s="1664" t="s">
        <v>1101</v>
      </c>
      <c r="CJ9" s="1664" t="s">
        <v>1265</v>
      </c>
      <c r="CK9" s="1664" t="s">
        <v>668</v>
      </c>
      <c r="CL9" s="1664" t="s">
        <v>669</v>
      </c>
      <c r="CM9" s="1664" t="s">
        <v>670</v>
      </c>
      <c r="CN9" s="1664" t="s">
        <v>578</v>
      </c>
      <c r="CO9" s="1664" t="s">
        <v>1352</v>
      </c>
    </row>
    <row r="10" spans="2:93" ht="7.15" customHeight="1">
      <c r="B10" s="1649"/>
      <c r="C10" s="1649"/>
      <c r="D10" s="1649"/>
      <c r="E10" s="1650"/>
      <c r="F10" s="1650"/>
      <c r="G10" s="1650"/>
      <c r="H10" s="1650"/>
      <c r="I10" s="1650"/>
      <c r="J10" s="1650"/>
      <c r="K10" s="1650"/>
      <c r="L10" s="1650"/>
      <c r="M10" s="1650"/>
      <c r="N10" s="1650"/>
      <c r="O10" s="1650"/>
      <c r="P10" s="1650"/>
      <c r="Q10" s="1650"/>
      <c r="R10" s="1650"/>
      <c r="S10" s="1650"/>
      <c r="T10" s="1650"/>
      <c r="U10" s="1650"/>
      <c r="V10" s="1650"/>
      <c r="W10" s="1650"/>
      <c r="X10" s="1650"/>
      <c r="Y10" s="1650"/>
      <c r="Z10" s="1650"/>
      <c r="AA10" s="1650"/>
      <c r="AB10" s="1650"/>
      <c r="AC10" s="1650"/>
      <c r="AD10" s="1650"/>
      <c r="AE10" s="1650"/>
      <c r="AF10" s="1650"/>
      <c r="AG10" s="1650"/>
      <c r="AH10" s="1650"/>
      <c r="AI10" s="1650"/>
      <c r="AJ10" s="1650"/>
      <c r="AK10" s="1650"/>
      <c r="AL10" s="1650"/>
      <c r="AM10" s="1650"/>
      <c r="AN10" s="1650"/>
      <c r="AO10" s="1650"/>
      <c r="AP10" s="1650"/>
      <c r="AQ10" s="1650"/>
      <c r="AR10" s="1733"/>
      <c r="AS10" s="1733"/>
      <c r="AT10" s="1733"/>
      <c r="AU10" s="1733"/>
      <c r="AV10" s="1733"/>
      <c r="AW10" s="1733"/>
      <c r="AX10" s="1733"/>
      <c r="AY10" s="1733"/>
      <c r="AZ10" s="1733"/>
      <c r="BA10" s="1733"/>
      <c r="BB10" s="1733"/>
      <c r="BC10" s="1733"/>
      <c r="BD10" s="1733"/>
      <c r="BE10" s="1733"/>
      <c r="BF10" s="1733"/>
      <c r="BG10" s="1733"/>
      <c r="BH10" s="1733"/>
      <c r="BI10" s="1733"/>
      <c r="BJ10" s="1733"/>
      <c r="BK10" s="1733"/>
      <c r="BL10" s="1733"/>
      <c r="BM10" s="1733"/>
      <c r="BN10" s="1733"/>
      <c r="BO10" s="1733"/>
      <c r="BP10" s="1733"/>
      <c r="BQ10" s="1733"/>
      <c r="BR10" s="1733"/>
      <c r="BS10" s="1733"/>
      <c r="BT10" s="1733"/>
      <c r="BU10" s="1733"/>
      <c r="BV10" s="1733"/>
      <c r="BW10" s="1733"/>
      <c r="BX10" s="1733"/>
      <c r="BY10" s="1733"/>
      <c r="BZ10" s="1733"/>
      <c r="CA10" s="1733"/>
      <c r="CB10" s="1733"/>
      <c r="CC10" s="1733"/>
      <c r="CD10" s="1733"/>
      <c r="CE10" s="1733"/>
      <c r="CF10" s="1733"/>
      <c r="CG10" s="1733"/>
      <c r="CH10" s="1733"/>
      <c r="CI10" s="1733"/>
      <c r="CJ10" s="1733"/>
      <c r="CK10" s="1733"/>
      <c r="CL10" s="1733"/>
      <c r="CM10" s="1733"/>
      <c r="CN10" s="1733"/>
      <c r="CO10" s="1733"/>
    </row>
    <row r="11" spans="2:93">
      <c r="B11" s="1651" t="s">
        <v>1055</v>
      </c>
      <c r="C11" s="1652">
        <v>33</v>
      </c>
      <c r="D11" s="1653">
        <v>2.7350242231620123E-2</v>
      </c>
      <c r="E11" s="1654">
        <v>2083.1</v>
      </c>
      <c r="F11" s="1654">
        <v>2131.6226199787511</v>
      </c>
      <c r="G11" s="1654">
        <v>2541.2898781521149</v>
      </c>
      <c r="H11" s="1654">
        <f>VLOOKUP($C11,'Insumos testigos '!$B$5:$HN$209,180,FALSE)</f>
        <v>100</v>
      </c>
      <c r="I11" s="1654">
        <f>VLOOKUP($C11,'Insumos testigos '!$B$5:$HN$209,181,FALSE)</f>
        <v>108.11868906021118</v>
      </c>
      <c r="J11" s="1654">
        <f>VLOOKUP($C11,'Insumos testigos '!$B$5:$HN$209,182,FALSE)</f>
        <v>106.63507124920172</v>
      </c>
      <c r="K11" s="1654">
        <f>VLOOKUP($C11,'Insumos testigos '!$B$5:$HN$209,183,FALSE)</f>
        <v>105.04842385155955</v>
      </c>
      <c r="L11" s="1654">
        <f>VLOOKUP($C11,'Insumos testigos '!$B$5:$HN$209,184,FALSE)</f>
        <v>103.58540998967186</v>
      </c>
      <c r="M11" s="1654">
        <f>VLOOKUP($C11,'Insumos testigos '!$B$5:$HN$209,185,FALSE)</f>
        <v>105.41932417002408</v>
      </c>
      <c r="N11" s="1654">
        <f>VLOOKUP($C11,'Insumos testigos '!$B$5:$HN$209,186,FALSE)</f>
        <v>106.32598026380872</v>
      </c>
      <c r="O11" s="1654">
        <f>VLOOKUP($C11,'Insumos testigos '!$B$5:$HN$209,187,FALSE)</f>
        <v>103.23510727066957</v>
      </c>
      <c r="P11" s="1654">
        <f>VLOOKUP($C11,'Insumos testigos '!$B$5:$HN$209,188,FALSE)</f>
        <v>103.23510727066957</v>
      </c>
      <c r="Q11" s="1654">
        <f>VLOOKUP($C11,'Insumos testigos '!$B$5:$HN$209,189,FALSE)</f>
        <v>98.145473410804996</v>
      </c>
      <c r="R11" s="1654">
        <f>VLOOKUP($C11,'Insumos testigos '!$B$5:$HN$209,190,FALSE)</f>
        <v>98.578192442865927</v>
      </c>
      <c r="S11" s="1654">
        <f>VLOOKUP($C11,'Insumos testigos '!$B$5:$HN$209,191,FALSE)</f>
        <v>98.969703294180775</v>
      </c>
      <c r="T11" s="1654">
        <f>VLOOKUP($C11,'Insumos testigos '!$B$5:$HN$209,192,FALSE)</f>
        <v>100.80362480052057</v>
      </c>
      <c r="U11" s="1654">
        <f>VLOOKUP($C11,'Insumos testigos '!$B$5:$HN$209,193,FALSE)</f>
        <v>106.07871625923549</v>
      </c>
      <c r="V11" s="1654">
        <f>VLOOKUP($C11,'Insumos testigos '!$B$5:$HN$209,194,FALSE)</f>
        <v>106.30537542726796</v>
      </c>
      <c r="W11" s="1654">
        <f>VLOOKUP($C11,'Insumos testigos '!$B$5:$HN$209,195,FALSE)</f>
        <v>107.93185144266744</v>
      </c>
      <c r="X11" s="1654">
        <f>VLOOKUP($C11,'Insumos testigos '!$B$5:$HN$209,196,FALSE)</f>
        <v>107.19005387659332</v>
      </c>
      <c r="Y11" s="1654">
        <f>VLOOKUP($C11,'Insumos testigos '!$B$5:$HN$209,197,FALSE)</f>
        <v>107.19005387659332</v>
      </c>
      <c r="Z11" s="1654">
        <f>VLOOKUP($C11,'Insumos testigos '!$B$5:$HN$209,198,FALSE)</f>
        <v>108.44699233762033</v>
      </c>
      <c r="AA11" s="1654">
        <f>VLOOKUP($C11,'Insumos testigos '!$B$5:$HN$209,199,FALSE)</f>
        <v>112.6299142177196</v>
      </c>
      <c r="AB11" s="1654">
        <f>VLOOKUP($C11,'Insumos testigos '!$B$5:$HN$209,200,FALSE)</f>
        <v>116.81284286752859</v>
      </c>
      <c r="AC11" s="1654">
        <f>VLOOKUP($C11,'Insumos testigos '!$B$5:$HN$209,201,FALSE)</f>
        <v>119.34732237733407</v>
      </c>
      <c r="AD11" s="1654">
        <f>VLOOKUP($C11,'Insumos testigos '!$B$5:$HN$209,202,FALSE)</f>
        <v>120.50122831517425</v>
      </c>
      <c r="AE11" s="1654">
        <f>VLOOKUP($C11,'Insumos testigos '!$B$5:$HN$209,203,FALSE)</f>
        <v>121.03696598583598</v>
      </c>
      <c r="AF11" s="1654">
        <f>VLOOKUP($C11,'Insumos testigos '!$B$5:$HN$209,204,FALSE)</f>
        <v>126.27077162520692</v>
      </c>
      <c r="AG11" s="1654">
        <f>VLOOKUP($C11,'Insumos testigos '!$B$5:$HN$209,205,FALSE)</f>
        <v>130.18583015014593</v>
      </c>
      <c r="AH11" s="1654">
        <f>VLOOKUP($C11,'Insumos testigos '!$B$5:$HN$209,206,FALSE)</f>
        <v>134.7602547211518</v>
      </c>
      <c r="AI11" s="1654">
        <f>VLOOKUP($C11,'Insumos testigos '!$B$5:$HN$209,207,FALSE)</f>
        <v>151.01047593344126</v>
      </c>
      <c r="AJ11" s="1654">
        <f>VLOOKUP($C11,'Insumos testigos '!$B$5:$HN$209,208,FALSE)</f>
        <v>173.08272613833242</v>
      </c>
      <c r="AK11" s="1654">
        <f>VLOOKUP($C11,'Insumos testigos '!$B$5:$HN$209,209,FALSE)</f>
        <v>183.60878936039512</v>
      </c>
      <c r="AL11" s="1654">
        <f>VLOOKUP($C11,'Insumos testigos '!$B$5:$HN$209,210,FALSE)</f>
        <v>196.1620100269385</v>
      </c>
      <c r="AM11" s="1654">
        <f>VLOOKUP($C11,'Insumos testigos '!$B$5:$HN$209,211,FALSE)</f>
        <v>199.39544769919536</v>
      </c>
      <c r="AN11" s="1654">
        <f>VLOOKUP($C11,'Insumos testigos '!$B$5:$HN$209,212,FALSE)</f>
        <v>264.83691309508458</v>
      </c>
      <c r="AO11" s="1654">
        <f>VLOOKUP($C11,'Insumos testigos '!$B$5:$HN$209,213,FALSE)</f>
        <v>287.76388008865069</v>
      </c>
      <c r="AP11" s="1654">
        <f>VLOOKUP($C11,'Insumos testigos '!$B$5:$HN$209,214,FALSE)</f>
        <v>271.63103133159501</v>
      </c>
      <c r="AQ11" s="1654">
        <f>VLOOKUP($C11,'Insumos testigos '!$B$5:$HN$209,215,FALSE)</f>
        <v>270.26417801748357</v>
      </c>
      <c r="AR11" s="1654">
        <f>VLOOKUP($C11,'Insumos testigos '!$B$5:$HN$209,216,FALSE)</f>
        <v>296.51609238981592</v>
      </c>
      <c r="AS11" s="1654">
        <f>VLOOKUP($C11,'Insumos testigos '!$B$5:$HN$209,217,FALSE)</f>
        <v>295.0240169020355</v>
      </c>
      <c r="AT11" s="1654">
        <f>VLOOKUP($C11,'Insumos testigos '!$B$5:$HN$209,218,FALSE)</f>
        <v>337.35402563394507</v>
      </c>
      <c r="AU11" s="1654">
        <f>VLOOKUP($C11,'Insumos testigos '!$B$5:$HN$209,219,FALSE)</f>
        <v>339.90228109568108</v>
      </c>
      <c r="AV11" s="1654">
        <f>VLOOKUP($C11,'Insumos testigos '!$B$5:$HN$209,220,FALSE)</f>
        <v>358.68171946281194</v>
      </c>
      <c r="AW11" s="1654">
        <f>VLOOKUP($C11,'Insumos testigos '!$B$5:$HN$209,221,FALSE)</f>
        <v>358.68171946281194</v>
      </c>
      <c r="AX11" s="1654">
        <f>VLOOKUP($C11,'Insumos testigos '!$B$5:$HO$209,222,FALSE)</f>
        <v>353.49794321700898</v>
      </c>
      <c r="AY11" s="1654">
        <f>VLOOKUP($C11,'Insumos testigos '!$B$5:$JL$209,223,FALSE)</f>
        <v>396.33576049461971</v>
      </c>
      <c r="AZ11" s="1654">
        <f>VLOOKUP($C11,'Insumos testigos '!$B$5:$JL$209,224,FALSE)</f>
        <v>450.42918899951951</v>
      </c>
      <c r="BA11" s="1654">
        <f>VLOOKUP($C11,'Insumos testigos '!$B$5:$JL$209,225,FALSE)</f>
        <v>450.42918899951951</v>
      </c>
      <c r="BB11" s="1654">
        <f>VLOOKUP($C11,'Insumos testigos '!$B$5:$JL$209,226,FALSE)</f>
        <v>506.06595853753129</v>
      </c>
      <c r="BC11" s="1654">
        <f>VLOOKUP($C11,'Insumos testigos '!$B$5:$JL$209,227,FALSE)</f>
        <v>506.07962639143227</v>
      </c>
      <c r="BD11" s="1654">
        <f>VLOOKUP($C11,'Insumos testigos '!$B$5:$JL$209,228,FALSE)</f>
        <v>509.02888954146641</v>
      </c>
      <c r="BE11" s="1654">
        <f>VLOOKUP($C11,'Insumos testigos '!$B$5:$JL$209,229,FALSE)</f>
        <v>503.39604205824168</v>
      </c>
      <c r="BF11" s="1654">
        <f>VLOOKUP($C11,'Insumos testigos '!$B$5:$JL$209,230,FALSE)</f>
        <v>503.39604205824168</v>
      </c>
      <c r="BG11" s="1654">
        <f>VLOOKUP($C11,'Insumos testigos '!$B$5:$JL$209,231,FALSE)</f>
        <v>530.1348488416711</v>
      </c>
      <c r="BH11" s="1654">
        <f>VLOOKUP($C11,'Insumos testigos '!$B$5:$JL$209,232,FALSE)</f>
        <v>549.71344653167682</v>
      </c>
      <c r="BI11" s="1654">
        <f>VLOOKUP($C11,'Insumos testigos '!$B$5:$JL$209,233,FALSE)</f>
        <v>546.95019498598356</v>
      </c>
      <c r="BJ11" s="1654">
        <f>VLOOKUP($C11,'Insumos testigos '!$B$5:$JL$209,234,FALSE)</f>
        <v>574.00806017447144</v>
      </c>
      <c r="BK11" s="1654">
        <f>VLOOKUP($C11,'Insumos testigos '!$B$5:$JL$209,235,FALSE)</f>
        <v>616.01955211893642</v>
      </c>
      <c r="BL11" s="1654">
        <f>VLOOKUP($C11,'Insumos testigos '!$B$5:$JL$209,236,FALSE)</f>
        <v>631.38275476127853</v>
      </c>
      <c r="BM11" s="1654">
        <f>VLOOKUP($C11,'Insumos testigos '!$B$5:$JL$209,237,FALSE)</f>
        <v>743.25841232753783</v>
      </c>
      <c r="BN11" s="1654">
        <f>VLOOKUP($C11,'Insumos testigos '!$B$5:$JL$209,238,FALSE)</f>
        <v>791.07270695893146</v>
      </c>
      <c r="BO11" s="1654">
        <f>VLOOKUP($C11,'Insumos testigos '!$B$5:$JL$209,239,FALSE)</f>
        <v>854.71760807997339</v>
      </c>
      <c r="BP11" s="1654">
        <f>VLOOKUP($C11,'Insumos testigos '!$B$5:$JL$209,240,FALSE)</f>
        <v>928.35438402307989</v>
      </c>
      <c r="BQ11" s="1654">
        <f>VLOOKUP($C11,'Insumos testigos '!$B$5:$JL$209,241,FALSE)</f>
        <v>971.40790762127381</v>
      </c>
      <c r="BR11" s="1654">
        <f>VLOOKUP($C11,'Insumos testigos '!$B$5:$JL$209,242,FALSE)</f>
        <v>1028.6227600228301</v>
      </c>
      <c r="BS11" s="1654">
        <f>VLOOKUP($C11,'Insumos testigos '!$B$5:$JL$209,243,FALSE)</f>
        <v>1095.7666403776213</v>
      </c>
      <c r="BT11" s="1654">
        <f>VLOOKUP($C11,'Insumos testigos '!$B$5:$JL$209,244,FALSE)</f>
        <v>1208.7086023644943</v>
      </c>
      <c r="BU11" s="1654">
        <f>VLOOKUP($C11,'Insumos testigos '!$B$5:$JL$209,245,FALSE)</f>
        <v>1241.0304903881702</v>
      </c>
      <c r="BV11" s="1654">
        <f>VLOOKUP($C11,'Insumos testigos '!$B$5:$JL$209,246,FALSE)</f>
        <v>1243.8846543026889</v>
      </c>
      <c r="BW11" s="1654">
        <f>VLOOKUP($C11,'Insumos testigos '!$B$5:$JL$209,247,FALSE)</f>
        <v>1274.3983158384824</v>
      </c>
      <c r="BX11" s="1654">
        <f>VLOOKUP($C11,'Insumos testigos '!$B$5:$JL$209,248,FALSE)</f>
        <v>1310.5660586415577</v>
      </c>
      <c r="BY11" s="1654">
        <f>VLOOKUP($C11,'Insumos testigos '!$B$5:$JL$209,249,FALSE)</f>
        <v>1349.9448639345826</v>
      </c>
      <c r="BZ11" s="1654">
        <f>VLOOKUP($C11,'Insumos testigos '!$B$5:$JL$209,250,FALSE)</f>
        <v>1453.8244711592126</v>
      </c>
      <c r="CA11" s="1654">
        <f>VLOOKUP($C11,'Insumos testigos '!$B$5:$JL$209,251,FALSE)</f>
        <v>1542.2664814844638</v>
      </c>
      <c r="CB11" s="1654">
        <f>VLOOKUP($C11,'Insumos testigos '!$B$5:$JL$209,252,FALSE)</f>
        <v>1587.429397656073</v>
      </c>
      <c r="CC11" s="1654">
        <f>VLOOKUP($C11,'Insumos testigos '!$B$5:$JL$209,253,FALSE)</f>
        <v>1660.6870761682283</v>
      </c>
      <c r="CD11" s="1654">
        <f>VLOOKUP($C11,'Insumos testigos '!$B$5:$JL$209,254,FALSE)</f>
        <v>1708.9966016670592</v>
      </c>
      <c r="CE11" s="1654">
        <f>VLOOKUP($C11,'Insumos testigos '!$B$5:$JL$209,255,FALSE)</f>
        <v>1846.17310763879</v>
      </c>
      <c r="CF11" s="1654">
        <f>VLOOKUP($C11,'Insumos testigos '!$B$5:$JL$209,256,FALSE)</f>
        <v>1926.7282285538527</v>
      </c>
      <c r="CG11" s="1654">
        <f>VLOOKUP($C11,'Insumos testigos '!$B$5:$JL$209,257,FALSE)</f>
        <v>2018.8506772910623</v>
      </c>
      <c r="CH11" s="1654">
        <f>VLOOKUP($C11,'Insumos testigos '!$B$5:$JL$209,258,FALSE)</f>
        <v>2589.1678353532461</v>
      </c>
      <c r="CI11" s="1654">
        <f>VLOOKUP($C11,'Insumos testigos '!$B$5:$JL$209,259,FALSE)</f>
        <v>3137.2567986974987</v>
      </c>
      <c r="CJ11" s="1654">
        <f>VLOOKUP($C11,'Insumos testigos '!$B$5:$JL$209,260,FALSE)</f>
        <v>4483.1000297077644</v>
      </c>
      <c r="CK11" s="1654">
        <f>VLOOKUP($C11,'Insumos testigos '!$B$5:$JL$209,261,FALSE)</f>
        <v>4485.0649315368282</v>
      </c>
      <c r="CL11" s="1654">
        <f>VLOOKUP($C11,'Insumos testigos '!$B$5:$JL$209,262,FALSE)</f>
        <v>5130.5998614451173</v>
      </c>
      <c r="CM11" s="1654">
        <f>VLOOKUP($C11,'Insumos testigos '!$B$5:$JL$209,263,FALSE)</f>
        <v>5745.3674556900269</v>
      </c>
      <c r="CN11" s="1654">
        <f>VLOOKUP($C11,'Insumos testigos '!$B$5:$JL$209,264,FALSE)</f>
        <v>6300.2372197218374</v>
      </c>
      <c r="CO11" s="1654">
        <f>VLOOKUP($C11,'Insumos testigos '!$B$5:$JL$209,265,FALSE)</f>
        <v>6708.0444108579222</v>
      </c>
    </row>
    <row r="12" spans="2:93">
      <c r="B12" s="1651" t="s">
        <v>1056</v>
      </c>
      <c r="C12" s="1652">
        <v>33</v>
      </c>
      <c r="D12" s="1653">
        <v>5.9334203188432091E-2</v>
      </c>
      <c r="E12" s="1654">
        <v>2083.1</v>
      </c>
      <c r="F12" s="1654">
        <v>2131.6226199787511</v>
      </c>
      <c r="G12" s="1654">
        <v>2541.2898781521149</v>
      </c>
      <c r="H12" s="1654">
        <f>VLOOKUP($C12,'Insumos testigos '!$B$5:$HN$209,180,FALSE)</f>
        <v>100</v>
      </c>
      <c r="I12" s="1654">
        <f>VLOOKUP($C12,'Insumos testigos '!$B$5:$HN$209,181,FALSE)</f>
        <v>108.11868906021118</v>
      </c>
      <c r="J12" s="1654">
        <f>VLOOKUP($C12,'Insumos testigos '!$B$5:$HN$209,182,FALSE)</f>
        <v>106.63507124920172</v>
      </c>
      <c r="K12" s="1654">
        <f>VLOOKUP($C12,'Insumos testigos '!$B$5:$HN$209,183,FALSE)</f>
        <v>105.04842385155955</v>
      </c>
      <c r="L12" s="1654">
        <f>VLOOKUP($C12,'Insumos testigos '!$B$5:$HN$209,184,FALSE)</f>
        <v>103.58540998967186</v>
      </c>
      <c r="M12" s="1654">
        <f>VLOOKUP($C12,'Insumos testigos '!$B$5:$HN$209,185,FALSE)</f>
        <v>105.41932417002408</v>
      </c>
      <c r="N12" s="1654">
        <f>VLOOKUP($C12,'Insumos testigos '!$B$5:$HN$209,186,FALSE)</f>
        <v>106.32598026380872</v>
      </c>
      <c r="O12" s="1654">
        <f>VLOOKUP($C12,'Insumos testigos '!$B$5:$HN$209,187,FALSE)</f>
        <v>103.23510727066957</v>
      </c>
      <c r="P12" s="1654">
        <f>VLOOKUP($C12,'Insumos testigos '!$B$5:$HN$209,188,FALSE)</f>
        <v>103.23510727066957</v>
      </c>
      <c r="Q12" s="1654">
        <f>VLOOKUP($C12,'Insumos testigos '!$B$5:$HN$209,189,FALSE)</f>
        <v>98.145473410804996</v>
      </c>
      <c r="R12" s="1654">
        <f>VLOOKUP($C12,'Insumos testigos '!$B$5:$HN$209,190,FALSE)</f>
        <v>98.578192442865927</v>
      </c>
      <c r="S12" s="1654">
        <f>VLOOKUP($C12,'Insumos testigos '!$B$5:$HN$209,191,FALSE)</f>
        <v>98.969703294180775</v>
      </c>
      <c r="T12" s="1654">
        <f>VLOOKUP($C12,'Insumos testigos '!$B$5:$HN$209,192,FALSE)</f>
        <v>100.80362480052057</v>
      </c>
      <c r="U12" s="1654">
        <f>VLOOKUP($C12,'Insumos testigos '!$B$5:$HN$209,193,FALSE)</f>
        <v>106.07871625923549</v>
      </c>
      <c r="V12" s="1654">
        <f>VLOOKUP($C12,'Insumos testigos '!$B$5:$HN$209,194,FALSE)</f>
        <v>106.30537542726796</v>
      </c>
      <c r="W12" s="1654">
        <f>VLOOKUP($C12,'Insumos testigos '!$B$5:$HN$209,195,FALSE)</f>
        <v>107.93185144266744</v>
      </c>
      <c r="X12" s="1654">
        <f>VLOOKUP($C12,'Insumos testigos '!$B$5:$HN$209,196,FALSE)</f>
        <v>107.19005387659332</v>
      </c>
      <c r="Y12" s="1654">
        <f>VLOOKUP($C12,'Insumos testigos '!$B$5:$HN$209,197,FALSE)</f>
        <v>107.19005387659332</v>
      </c>
      <c r="Z12" s="1654">
        <f>VLOOKUP($C12,'Insumos testigos '!$B$5:$HN$209,198,FALSE)</f>
        <v>108.44699233762033</v>
      </c>
      <c r="AA12" s="1654">
        <f>VLOOKUP($C12,'Insumos testigos '!$B$5:$HN$209,199,FALSE)</f>
        <v>112.6299142177196</v>
      </c>
      <c r="AB12" s="1654">
        <f>VLOOKUP($C12,'Insumos testigos '!$B$5:$HN$209,200,FALSE)</f>
        <v>116.81284286752859</v>
      </c>
      <c r="AC12" s="1654">
        <f>VLOOKUP($C12,'Insumos testigos '!$B$5:$HN$209,201,FALSE)</f>
        <v>119.34732237733407</v>
      </c>
      <c r="AD12" s="1654">
        <f>VLOOKUP($C12,'Insumos testigos '!$B$5:$HN$209,202,FALSE)</f>
        <v>120.50122831517425</v>
      </c>
      <c r="AE12" s="1654">
        <f>VLOOKUP($C12,'Insumos testigos '!$B$5:$HN$209,203,FALSE)</f>
        <v>121.03696598583598</v>
      </c>
      <c r="AF12" s="1654">
        <f>VLOOKUP($C12,'Insumos testigos '!$B$5:$HN$209,204,FALSE)</f>
        <v>126.27077162520692</v>
      </c>
      <c r="AG12" s="1654">
        <f>VLOOKUP($C12,'Insumos testigos '!$B$5:$HN$209,205,FALSE)</f>
        <v>130.18583015014593</v>
      </c>
      <c r="AH12" s="1654">
        <f>VLOOKUP($C12,'Insumos testigos '!$B$5:$HN$209,206,FALSE)</f>
        <v>134.7602547211518</v>
      </c>
      <c r="AI12" s="1654">
        <f>VLOOKUP($C12,'Insumos testigos '!$B$5:$HN$209,207,FALSE)</f>
        <v>151.01047593344126</v>
      </c>
      <c r="AJ12" s="1654">
        <f>VLOOKUP($C12,'Insumos testigos '!$B$5:$HN$209,208,FALSE)</f>
        <v>173.08272613833242</v>
      </c>
      <c r="AK12" s="1654">
        <f>VLOOKUP($C12,'Insumos testigos '!$B$5:$HN$209,209,FALSE)</f>
        <v>183.60878936039512</v>
      </c>
      <c r="AL12" s="1654">
        <f>VLOOKUP($C12,'Insumos testigos '!$B$5:$HN$209,210,FALSE)</f>
        <v>196.1620100269385</v>
      </c>
      <c r="AM12" s="1654">
        <f>VLOOKUP($C12,'Insumos testigos '!$B$5:$HN$209,211,FALSE)</f>
        <v>199.39544769919536</v>
      </c>
      <c r="AN12" s="1654">
        <f>VLOOKUP($C12,'Insumos testigos '!$B$5:$HN$209,212,FALSE)</f>
        <v>264.83691309508458</v>
      </c>
      <c r="AO12" s="1654">
        <f>VLOOKUP($C12,'Insumos testigos '!$B$5:$HN$209,213,FALSE)</f>
        <v>287.76388008865069</v>
      </c>
      <c r="AP12" s="1654">
        <f>VLOOKUP($C12,'Insumos testigos '!$B$5:$HN$209,214,FALSE)</f>
        <v>271.63103133159501</v>
      </c>
      <c r="AQ12" s="1654">
        <f>VLOOKUP($C12,'Insumos testigos '!$B$5:$HN$209,215,FALSE)</f>
        <v>270.26417801748357</v>
      </c>
      <c r="AR12" s="1654">
        <f>VLOOKUP($C12,'Insumos testigos '!$B$5:$HN$209,216,FALSE)</f>
        <v>296.51609238981592</v>
      </c>
      <c r="AS12" s="1654">
        <f>VLOOKUP($C12,'Insumos testigos '!$B$5:$HN$209,217,FALSE)</f>
        <v>295.0240169020355</v>
      </c>
      <c r="AT12" s="1654">
        <f>VLOOKUP($C12,'Insumos testigos '!$B$5:$HN$209,218,FALSE)</f>
        <v>337.35402563394507</v>
      </c>
      <c r="AU12" s="1654">
        <f>VLOOKUP($C12,'Insumos testigos '!$B$5:$HN$209,219,FALSE)</f>
        <v>339.90228109568108</v>
      </c>
      <c r="AV12" s="1654">
        <f>VLOOKUP($C12,'Insumos testigos '!$B$5:$HN$209,220,FALSE)</f>
        <v>358.68171946281194</v>
      </c>
      <c r="AW12" s="1654">
        <f>VLOOKUP($C12,'Insumos testigos '!$B$5:$HN$209,221,FALSE)</f>
        <v>358.68171946281194</v>
      </c>
      <c r="AX12" s="1654">
        <f>VLOOKUP($C12,'Insumos testigos '!$B$5:$HO$209,222,FALSE)</f>
        <v>353.49794321700898</v>
      </c>
      <c r="AY12" s="1654">
        <f>VLOOKUP($C12,'Insumos testigos '!$B$5:$JL$209,223,FALSE)</f>
        <v>396.33576049461971</v>
      </c>
      <c r="AZ12" s="1654">
        <f>VLOOKUP($C12,'Insumos testigos '!$B$5:$JL$209,224,FALSE)</f>
        <v>450.42918899951951</v>
      </c>
      <c r="BA12" s="1654">
        <f>VLOOKUP($C12,'Insumos testigos '!$B$5:$JL$209,225,FALSE)</f>
        <v>450.42918899951951</v>
      </c>
      <c r="BB12" s="1654">
        <f>VLOOKUP($C12,'Insumos testigos '!$B$5:$JL$209,226,FALSE)</f>
        <v>506.06595853753129</v>
      </c>
      <c r="BC12" s="1654">
        <f>VLOOKUP($C12,'Insumos testigos '!$B$5:$JL$209,227,FALSE)</f>
        <v>506.07962639143227</v>
      </c>
      <c r="BD12" s="1654">
        <f>VLOOKUP($C12,'Insumos testigos '!$B$5:$JL$209,228,FALSE)</f>
        <v>509.02888954146641</v>
      </c>
      <c r="BE12" s="1654">
        <f>VLOOKUP($C12,'Insumos testigos '!$B$5:$JL$209,229,FALSE)</f>
        <v>503.39604205824168</v>
      </c>
      <c r="BF12" s="1654">
        <f>VLOOKUP($C12,'Insumos testigos '!$B$5:$JL$209,230,FALSE)</f>
        <v>503.39604205824168</v>
      </c>
      <c r="BG12" s="1654">
        <f>VLOOKUP($C12,'Insumos testigos '!$B$5:$JL$209,231,FALSE)</f>
        <v>530.1348488416711</v>
      </c>
      <c r="BH12" s="1654">
        <f>VLOOKUP($C12,'Insumos testigos '!$B$5:$JL$209,232,FALSE)</f>
        <v>549.71344653167682</v>
      </c>
      <c r="BI12" s="1654">
        <f>VLOOKUP($C12,'Insumos testigos '!$B$5:$JL$209,233,FALSE)</f>
        <v>546.95019498598356</v>
      </c>
      <c r="BJ12" s="1654">
        <f>VLOOKUP($C12,'Insumos testigos '!$B$5:$JL$209,234,FALSE)</f>
        <v>574.00806017447144</v>
      </c>
      <c r="BK12" s="1654">
        <f>VLOOKUP($C12,'Insumos testigos '!$B$5:$JL$209,235,FALSE)</f>
        <v>616.01955211893642</v>
      </c>
      <c r="BL12" s="1654">
        <f>VLOOKUP($C12,'Insumos testigos '!$B$5:$JL$209,236,FALSE)</f>
        <v>631.38275476127853</v>
      </c>
      <c r="BM12" s="1654">
        <f>VLOOKUP($C12,'Insumos testigos '!$B$5:$JL$209,237,FALSE)</f>
        <v>743.25841232753783</v>
      </c>
      <c r="BN12" s="1654">
        <f>VLOOKUP($C12,'Insumos testigos '!$B$5:$JL$209,238,FALSE)</f>
        <v>791.07270695893146</v>
      </c>
      <c r="BO12" s="1654">
        <f>VLOOKUP($C12,'Insumos testigos '!$B$5:$JL$209,239,FALSE)</f>
        <v>854.71760807997339</v>
      </c>
      <c r="BP12" s="1654">
        <f>VLOOKUP($C12,'Insumos testigos '!$B$5:$JL$209,240,FALSE)</f>
        <v>928.35438402307989</v>
      </c>
      <c r="BQ12" s="1654">
        <f>VLOOKUP($C12,'Insumos testigos '!$B$5:$JL$209,241,FALSE)</f>
        <v>971.40790762127381</v>
      </c>
      <c r="BR12" s="1654">
        <f>VLOOKUP($C12,'Insumos testigos '!$B$5:$JL$209,242,FALSE)</f>
        <v>1028.6227600228301</v>
      </c>
      <c r="BS12" s="1654">
        <f>VLOOKUP($C12,'Insumos testigos '!$B$5:$JL$209,243,FALSE)</f>
        <v>1095.7666403776213</v>
      </c>
      <c r="BT12" s="1654">
        <f>VLOOKUP($C12,'Insumos testigos '!$B$5:$JL$209,244,FALSE)</f>
        <v>1208.7086023644943</v>
      </c>
      <c r="BU12" s="1654">
        <f>VLOOKUP($C12,'Insumos testigos '!$B$5:$JL$209,245,FALSE)</f>
        <v>1241.0304903881702</v>
      </c>
      <c r="BV12" s="1654">
        <f>VLOOKUP($C12,'Insumos testigos '!$B$5:$JL$209,246,FALSE)</f>
        <v>1243.8846543026889</v>
      </c>
      <c r="BW12" s="1654">
        <f>VLOOKUP($C12,'Insumos testigos '!$B$5:$JL$209,247,FALSE)</f>
        <v>1274.3983158384824</v>
      </c>
      <c r="BX12" s="1654">
        <f>VLOOKUP($C12,'Insumos testigos '!$B$5:$JL$209,248,FALSE)</f>
        <v>1310.5660586415577</v>
      </c>
      <c r="BY12" s="1654">
        <f>VLOOKUP($C12,'Insumos testigos '!$B$5:$JL$209,249,FALSE)</f>
        <v>1349.9448639345826</v>
      </c>
      <c r="BZ12" s="1654">
        <f>VLOOKUP($C12,'Insumos testigos '!$B$5:$JL$209,250,FALSE)</f>
        <v>1453.8244711592126</v>
      </c>
      <c r="CA12" s="1654">
        <f>VLOOKUP($C12,'Insumos testigos '!$B$5:$JL$209,251,FALSE)</f>
        <v>1542.2664814844638</v>
      </c>
      <c r="CB12" s="1654">
        <f>VLOOKUP($C12,'Insumos testigos '!$B$5:$JL$209,252,FALSE)</f>
        <v>1587.429397656073</v>
      </c>
      <c r="CC12" s="1654">
        <f>VLOOKUP($C12,'Insumos testigos '!$B$5:$JL$209,253,FALSE)</f>
        <v>1660.6870761682283</v>
      </c>
      <c r="CD12" s="1654">
        <f>VLOOKUP($C12,'Insumos testigos '!$B$5:$JL$209,254,FALSE)</f>
        <v>1708.9966016670592</v>
      </c>
      <c r="CE12" s="1654">
        <f>VLOOKUP($C12,'Insumos testigos '!$B$5:$JL$209,255,FALSE)</f>
        <v>1846.17310763879</v>
      </c>
      <c r="CF12" s="1654">
        <f>VLOOKUP($C12,'Insumos testigos '!$B$5:$JL$209,256,FALSE)</f>
        <v>1926.7282285538527</v>
      </c>
      <c r="CG12" s="1654">
        <f>VLOOKUP($C12,'Insumos testigos '!$B$5:$JL$209,257,FALSE)</f>
        <v>2018.8506772910623</v>
      </c>
      <c r="CH12" s="1654">
        <f>VLOOKUP($C12,'Insumos testigos '!$B$5:$JL$209,258,FALSE)</f>
        <v>2589.1678353532461</v>
      </c>
      <c r="CI12" s="1654">
        <f>VLOOKUP($C12,'Insumos testigos '!$B$5:$JL$209,259,FALSE)</f>
        <v>3137.2567986974987</v>
      </c>
      <c r="CJ12" s="1654">
        <f>VLOOKUP($C12,'Insumos testigos '!$B$5:$JL$209,260,FALSE)</f>
        <v>4483.1000297077644</v>
      </c>
      <c r="CK12" s="1654">
        <f>VLOOKUP($C12,'Insumos testigos '!$B$5:$JL$209,261,FALSE)</f>
        <v>4485.0649315368282</v>
      </c>
      <c r="CL12" s="1654">
        <f>VLOOKUP($C12,'Insumos testigos '!$B$5:$JL$209,262,FALSE)</f>
        <v>5130.5998614451173</v>
      </c>
      <c r="CM12" s="1654">
        <f>VLOOKUP($C12,'Insumos testigos '!$B$5:$JL$209,263,FALSE)</f>
        <v>5745.3674556900269</v>
      </c>
      <c r="CN12" s="1654">
        <f>VLOOKUP($C12,'Insumos testigos '!$B$5:$JL$209,264,FALSE)</f>
        <v>6300.2372197218374</v>
      </c>
      <c r="CO12" s="1654">
        <f>VLOOKUP($C12,'Insumos testigos '!$B$5:$JL$209,265,FALSE)</f>
        <v>6708.0444108579222</v>
      </c>
    </row>
    <row r="13" spans="2:93">
      <c r="B13" s="1651" t="s">
        <v>1057</v>
      </c>
      <c r="C13" s="1652">
        <v>33</v>
      </c>
      <c r="D13" s="1653">
        <v>4.746736255074567E-2</v>
      </c>
      <c r="E13" s="1654">
        <v>2083.1</v>
      </c>
      <c r="F13" s="1654">
        <v>2131.6226199787511</v>
      </c>
      <c r="G13" s="1654">
        <v>2541.2898781521149</v>
      </c>
      <c r="H13" s="1654">
        <f>VLOOKUP($C13,'Insumos testigos '!$B$5:$HN$209,180,FALSE)</f>
        <v>100</v>
      </c>
      <c r="I13" s="1654">
        <f>VLOOKUP($C13,'Insumos testigos '!$B$5:$HN$209,181,FALSE)</f>
        <v>108.11868906021118</v>
      </c>
      <c r="J13" s="1654">
        <f>VLOOKUP($C13,'Insumos testigos '!$B$5:$HN$209,182,FALSE)</f>
        <v>106.63507124920172</v>
      </c>
      <c r="K13" s="1654">
        <f>VLOOKUP($C13,'Insumos testigos '!$B$5:$HN$209,183,FALSE)</f>
        <v>105.04842385155955</v>
      </c>
      <c r="L13" s="1654">
        <f>VLOOKUP($C13,'Insumos testigos '!$B$5:$HN$209,184,FALSE)</f>
        <v>103.58540998967186</v>
      </c>
      <c r="M13" s="1654">
        <f>VLOOKUP($C13,'Insumos testigos '!$B$5:$HN$209,185,FALSE)</f>
        <v>105.41932417002408</v>
      </c>
      <c r="N13" s="1654">
        <f>VLOOKUP($C13,'Insumos testigos '!$B$5:$HN$209,186,FALSE)</f>
        <v>106.32598026380872</v>
      </c>
      <c r="O13" s="1654">
        <f>VLOOKUP($C13,'Insumos testigos '!$B$5:$HN$209,187,FALSE)</f>
        <v>103.23510727066957</v>
      </c>
      <c r="P13" s="1654">
        <f>VLOOKUP($C13,'Insumos testigos '!$B$5:$HN$209,188,FALSE)</f>
        <v>103.23510727066957</v>
      </c>
      <c r="Q13" s="1654">
        <f>VLOOKUP($C13,'Insumos testigos '!$B$5:$HN$209,189,FALSE)</f>
        <v>98.145473410804996</v>
      </c>
      <c r="R13" s="1654">
        <f>VLOOKUP($C13,'Insumos testigos '!$B$5:$HN$209,190,FALSE)</f>
        <v>98.578192442865927</v>
      </c>
      <c r="S13" s="1654">
        <f>VLOOKUP($C13,'Insumos testigos '!$B$5:$HN$209,191,FALSE)</f>
        <v>98.969703294180775</v>
      </c>
      <c r="T13" s="1654">
        <f>VLOOKUP($C13,'Insumos testigos '!$B$5:$HN$209,192,FALSE)</f>
        <v>100.80362480052057</v>
      </c>
      <c r="U13" s="1654">
        <f>VLOOKUP($C13,'Insumos testigos '!$B$5:$HN$209,193,FALSE)</f>
        <v>106.07871625923549</v>
      </c>
      <c r="V13" s="1654">
        <f>VLOOKUP($C13,'Insumos testigos '!$B$5:$HN$209,194,FALSE)</f>
        <v>106.30537542726796</v>
      </c>
      <c r="W13" s="1654">
        <f>VLOOKUP($C13,'Insumos testigos '!$B$5:$HN$209,195,FALSE)</f>
        <v>107.93185144266744</v>
      </c>
      <c r="X13" s="1654">
        <f>VLOOKUP($C13,'Insumos testigos '!$B$5:$HN$209,196,FALSE)</f>
        <v>107.19005387659332</v>
      </c>
      <c r="Y13" s="1654">
        <f>VLOOKUP($C13,'Insumos testigos '!$B$5:$HN$209,197,FALSE)</f>
        <v>107.19005387659332</v>
      </c>
      <c r="Z13" s="1654">
        <f>VLOOKUP($C13,'Insumos testigos '!$B$5:$HN$209,198,FALSE)</f>
        <v>108.44699233762033</v>
      </c>
      <c r="AA13" s="1654">
        <f>VLOOKUP($C13,'Insumos testigos '!$B$5:$HN$209,199,FALSE)</f>
        <v>112.6299142177196</v>
      </c>
      <c r="AB13" s="1654">
        <f>VLOOKUP($C13,'Insumos testigos '!$B$5:$HN$209,200,FALSE)</f>
        <v>116.81284286752859</v>
      </c>
      <c r="AC13" s="1654">
        <f>VLOOKUP($C13,'Insumos testigos '!$B$5:$HN$209,201,FALSE)</f>
        <v>119.34732237733407</v>
      </c>
      <c r="AD13" s="1654">
        <f>VLOOKUP($C13,'Insumos testigos '!$B$5:$HN$209,202,FALSE)</f>
        <v>120.50122831517425</v>
      </c>
      <c r="AE13" s="1654">
        <f>VLOOKUP($C13,'Insumos testigos '!$B$5:$HN$209,203,FALSE)</f>
        <v>121.03696598583598</v>
      </c>
      <c r="AF13" s="1654">
        <f>VLOOKUP($C13,'Insumos testigos '!$B$5:$HN$209,204,FALSE)</f>
        <v>126.27077162520692</v>
      </c>
      <c r="AG13" s="1654">
        <f>VLOOKUP($C13,'Insumos testigos '!$B$5:$HN$209,205,FALSE)</f>
        <v>130.18583015014593</v>
      </c>
      <c r="AH13" s="1654">
        <f>VLOOKUP($C13,'Insumos testigos '!$B$5:$HN$209,206,FALSE)</f>
        <v>134.7602547211518</v>
      </c>
      <c r="AI13" s="1654">
        <f>VLOOKUP($C13,'Insumos testigos '!$B$5:$HN$209,207,FALSE)</f>
        <v>151.01047593344126</v>
      </c>
      <c r="AJ13" s="1654">
        <f>VLOOKUP($C13,'Insumos testigos '!$B$5:$HN$209,208,FALSE)</f>
        <v>173.08272613833242</v>
      </c>
      <c r="AK13" s="1654">
        <f>VLOOKUP($C13,'Insumos testigos '!$B$5:$HN$209,209,FALSE)</f>
        <v>183.60878936039512</v>
      </c>
      <c r="AL13" s="1654">
        <f>VLOOKUP($C13,'Insumos testigos '!$B$5:$HN$209,210,FALSE)</f>
        <v>196.1620100269385</v>
      </c>
      <c r="AM13" s="1654">
        <f>VLOOKUP($C13,'Insumos testigos '!$B$5:$HN$209,211,FALSE)</f>
        <v>199.39544769919536</v>
      </c>
      <c r="AN13" s="1654">
        <f>VLOOKUP($C13,'Insumos testigos '!$B$5:$HN$209,212,FALSE)</f>
        <v>264.83691309508458</v>
      </c>
      <c r="AO13" s="1654">
        <f>VLOOKUP($C13,'Insumos testigos '!$B$5:$HN$209,213,FALSE)</f>
        <v>287.76388008865069</v>
      </c>
      <c r="AP13" s="1654">
        <f>VLOOKUP($C13,'Insumos testigos '!$B$5:$HN$209,214,FALSE)</f>
        <v>271.63103133159501</v>
      </c>
      <c r="AQ13" s="1654">
        <f>VLOOKUP($C13,'Insumos testigos '!$B$5:$HN$209,215,FALSE)</f>
        <v>270.26417801748357</v>
      </c>
      <c r="AR13" s="1654">
        <f>VLOOKUP($C13,'Insumos testigos '!$B$5:$HN$209,216,FALSE)</f>
        <v>296.51609238981592</v>
      </c>
      <c r="AS13" s="1654">
        <f>VLOOKUP($C13,'Insumos testigos '!$B$5:$HN$209,217,FALSE)</f>
        <v>295.0240169020355</v>
      </c>
      <c r="AT13" s="1654">
        <f>VLOOKUP($C13,'Insumos testigos '!$B$5:$HN$209,218,FALSE)</f>
        <v>337.35402563394507</v>
      </c>
      <c r="AU13" s="1654">
        <f>VLOOKUP($C13,'Insumos testigos '!$B$5:$HN$209,219,FALSE)</f>
        <v>339.90228109568108</v>
      </c>
      <c r="AV13" s="1654">
        <f>VLOOKUP($C13,'Insumos testigos '!$B$5:$HN$209,220,FALSE)</f>
        <v>358.68171946281194</v>
      </c>
      <c r="AW13" s="1654">
        <f>VLOOKUP($C13,'Insumos testigos '!$B$5:$HN$209,221,FALSE)</f>
        <v>358.68171946281194</v>
      </c>
      <c r="AX13" s="1654">
        <f>VLOOKUP($C13,'Insumos testigos '!$B$5:$HO$209,222,FALSE)</f>
        <v>353.49794321700898</v>
      </c>
      <c r="AY13" s="1654">
        <f>VLOOKUP($C13,'Insumos testigos '!$B$5:$JL$209,223,FALSE)</f>
        <v>396.33576049461971</v>
      </c>
      <c r="AZ13" s="1654">
        <f>VLOOKUP($C13,'Insumos testigos '!$B$5:$JL$209,224,FALSE)</f>
        <v>450.42918899951951</v>
      </c>
      <c r="BA13" s="1654">
        <f>VLOOKUP($C13,'Insumos testigos '!$B$5:$JL$209,225,FALSE)</f>
        <v>450.42918899951951</v>
      </c>
      <c r="BB13" s="1654">
        <f>VLOOKUP($C13,'Insumos testigos '!$B$5:$JL$209,226,FALSE)</f>
        <v>506.06595853753129</v>
      </c>
      <c r="BC13" s="1654">
        <f>VLOOKUP($C13,'Insumos testigos '!$B$5:$JL$209,227,FALSE)</f>
        <v>506.07962639143227</v>
      </c>
      <c r="BD13" s="1654">
        <f>VLOOKUP($C13,'Insumos testigos '!$B$5:$JL$209,228,FALSE)</f>
        <v>509.02888954146641</v>
      </c>
      <c r="BE13" s="1654">
        <f>VLOOKUP($C13,'Insumos testigos '!$B$5:$JL$209,229,FALSE)</f>
        <v>503.39604205824168</v>
      </c>
      <c r="BF13" s="1654">
        <f>VLOOKUP($C13,'Insumos testigos '!$B$5:$JL$209,230,FALSE)</f>
        <v>503.39604205824168</v>
      </c>
      <c r="BG13" s="1654">
        <f>VLOOKUP($C13,'Insumos testigos '!$B$5:$JL$209,231,FALSE)</f>
        <v>530.1348488416711</v>
      </c>
      <c r="BH13" s="1654">
        <f>VLOOKUP($C13,'Insumos testigos '!$B$5:$JL$209,232,FALSE)</f>
        <v>549.71344653167682</v>
      </c>
      <c r="BI13" s="1654">
        <f>VLOOKUP($C13,'Insumos testigos '!$B$5:$JL$209,233,FALSE)</f>
        <v>546.95019498598356</v>
      </c>
      <c r="BJ13" s="1654">
        <f>VLOOKUP($C13,'Insumos testigos '!$B$5:$JL$209,234,FALSE)</f>
        <v>574.00806017447144</v>
      </c>
      <c r="BK13" s="1654">
        <f>VLOOKUP($C13,'Insumos testigos '!$B$5:$JL$209,235,FALSE)</f>
        <v>616.01955211893642</v>
      </c>
      <c r="BL13" s="1654">
        <f>VLOOKUP($C13,'Insumos testigos '!$B$5:$JL$209,236,FALSE)</f>
        <v>631.38275476127853</v>
      </c>
      <c r="BM13" s="1654">
        <f>VLOOKUP($C13,'Insumos testigos '!$B$5:$JL$209,237,FALSE)</f>
        <v>743.25841232753783</v>
      </c>
      <c r="BN13" s="1654">
        <f>VLOOKUP($C13,'Insumos testigos '!$B$5:$JL$209,238,FALSE)</f>
        <v>791.07270695893146</v>
      </c>
      <c r="BO13" s="1654">
        <f>VLOOKUP($C13,'Insumos testigos '!$B$5:$JL$209,239,FALSE)</f>
        <v>854.71760807997339</v>
      </c>
      <c r="BP13" s="1654">
        <f>VLOOKUP($C13,'Insumos testigos '!$B$5:$JL$209,240,FALSE)</f>
        <v>928.35438402307989</v>
      </c>
      <c r="BQ13" s="1654">
        <f>VLOOKUP($C13,'Insumos testigos '!$B$5:$JL$209,241,FALSE)</f>
        <v>971.40790762127381</v>
      </c>
      <c r="BR13" s="1654">
        <f>VLOOKUP($C13,'Insumos testigos '!$B$5:$JL$209,242,FALSE)</f>
        <v>1028.6227600228301</v>
      </c>
      <c r="BS13" s="1654">
        <f>VLOOKUP($C13,'Insumos testigos '!$B$5:$JL$209,243,FALSE)</f>
        <v>1095.7666403776213</v>
      </c>
      <c r="BT13" s="1654">
        <f>VLOOKUP($C13,'Insumos testigos '!$B$5:$JL$209,244,FALSE)</f>
        <v>1208.7086023644943</v>
      </c>
      <c r="BU13" s="1654">
        <f>VLOOKUP($C13,'Insumos testigos '!$B$5:$JL$209,245,FALSE)</f>
        <v>1241.0304903881702</v>
      </c>
      <c r="BV13" s="1654">
        <f>VLOOKUP($C13,'Insumos testigos '!$B$5:$JL$209,246,FALSE)</f>
        <v>1243.8846543026889</v>
      </c>
      <c r="BW13" s="1654">
        <f>VLOOKUP($C13,'Insumos testigos '!$B$5:$JL$209,247,FALSE)</f>
        <v>1274.3983158384824</v>
      </c>
      <c r="BX13" s="1654">
        <f>VLOOKUP($C13,'Insumos testigos '!$B$5:$JL$209,248,FALSE)</f>
        <v>1310.5660586415577</v>
      </c>
      <c r="BY13" s="1654">
        <f>VLOOKUP($C13,'Insumos testigos '!$B$5:$JL$209,249,FALSE)</f>
        <v>1349.9448639345826</v>
      </c>
      <c r="BZ13" s="1654">
        <f>VLOOKUP($C13,'Insumos testigos '!$B$5:$JL$209,250,FALSE)</f>
        <v>1453.8244711592126</v>
      </c>
      <c r="CA13" s="1654">
        <f>VLOOKUP($C13,'Insumos testigos '!$B$5:$JL$209,251,FALSE)</f>
        <v>1542.2664814844638</v>
      </c>
      <c r="CB13" s="1654">
        <f>VLOOKUP($C13,'Insumos testigos '!$B$5:$JL$209,252,FALSE)</f>
        <v>1587.429397656073</v>
      </c>
      <c r="CC13" s="1654">
        <f>VLOOKUP($C13,'Insumos testigos '!$B$5:$JL$209,253,FALSE)</f>
        <v>1660.6870761682283</v>
      </c>
      <c r="CD13" s="1654">
        <f>VLOOKUP($C13,'Insumos testigos '!$B$5:$JL$209,254,FALSE)</f>
        <v>1708.9966016670592</v>
      </c>
      <c r="CE13" s="1654">
        <f>VLOOKUP($C13,'Insumos testigos '!$B$5:$JL$209,255,FALSE)</f>
        <v>1846.17310763879</v>
      </c>
      <c r="CF13" s="1654">
        <f>VLOOKUP($C13,'Insumos testigos '!$B$5:$JL$209,256,FALSE)</f>
        <v>1926.7282285538527</v>
      </c>
      <c r="CG13" s="1654">
        <f>VLOOKUP($C13,'Insumos testigos '!$B$5:$JL$209,257,FALSE)</f>
        <v>2018.8506772910623</v>
      </c>
      <c r="CH13" s="1654">
        <f>VLOOKUP($C13,'Insumos testigos '!$B$5:$JL$209,258,FALSE)</f>
        <v>2589.1678353532461</v>
      </c>
      <c r="CI13" s="1654">
        <f>VLOOKUP($C13,'Insumos testigos '!$B$5:$JL$209,259,FALSE)</f>
        <v>3137.2567986974987</v>
      </c>
      <c r="CJ13" s="1654">
        <f>VLOOKUP($C13,'Insumos testigos '!$B$5:$JL$209,260,FALSE)</f>
        <v>4483.1000297077644</v>
      </c>
      <c r="CK13" s="1654">
        <f>VLOOKUP($C13,'Insumos testigos '!$B$5:$JL$209,261,FALSE)</f>
        <v>4485.0649315368282</v>
      </c>
      <c r="CL13" s="1654">
        <f>VLOOKUP($C13,'Insumos testigos '!$B$5:$JL$209,262,FALSE)</f>
        <v>5130.5998614451173</v>
      </c>
      <c r="CM13" s="1654">
        <f>VLOOKUP($C13,'Insumos testigos '!$B$5:$JL$209,263,FALSE)</f>
        <v>5745.3674556900269</v>
      </c>
      <c r="CN13" s="1654">
        <f>VLOOKUP($C13,'Insumos testigos '!$B$5:$JL$209,264,FALSE)</f>
        <v>6300.2372197218374</v>
      </c>
      <c r="CO13" s="1654">
        <f>VLOOKUP($C13,'Insumos testigos '!$B$5:$JL$209,265,FALSE)</f>
        <v>6708.0444108579222</v>
      </c>
    </row>
    <row r="14" spans="2:93">
      <c r="B14" s="1651" t="s">
        <v>1058</v>
      </c>
      <c r="C14" s="1652">
        <v>33</v>
      </c>
      <c r="D14" s="1653">
        <v>6.1870407842390023E-3</v>
      </c>
      <c r="E14" s="1654">
        <v>2083.1</v>
      </c>
      <c r="F14" s="1654">
        <v>2131.6226199787511</v>
      </c>
      <c r="G14" s="1654">
        <v>2541.2898781521149</v>
      </c>
      <c r="H14" s="1654">
        <f>VLOOKUP($C14,'Insumos testigos '!$B$5:$HN$209,180,FALSE)</f>
        <v>100</v>
      </c>
      <c r="I14" s="1654">
        <f>VLOOKUP($C14,'Insumos testigos '!$B$5:$HN$209,181,FALSE)</f>
        <v>108.11868906021118</v>
      </c>
      <c r="J14" s="1654">
        <f>VLOOKUP($C14,'Insumos testigos '!$B$5:$HN$209,182,FALSE)</f>
        <v>106.63507124920172</v>
      </c>
      <c r="K14" s="1654">
        <f>VLOOKUP($C14,'Insumos testigos '!$B$5:$HN$209,183,FALSE)</f>
        <v>105.04842385155955</v>
      </c>
      <c r="L14" s="1654">
        <f>VLOOKUP($C14,'Insumos testigos '!$B$5:$HN$209,184,FALSE)</f>
        <v>103.58540998967186</v>
      </c>
      <c r="M14" s="1654">
        <f>VLOOKUP($C14,'Insumos testigos '!$B$5:$HN$209,185,FALSE)</f>
        <v>105.41932417002408</v>
      </c>
      <c r="N14" s="1654">
        <f>VLOOKUP($C14,'Insumos testigos '!$B$5:$HN$209,186,FALSE)</f>
        <v>106.32598026380872</v>
      </c>
      <c r="O14" s="1654">
        <f>VLOOKUP($C14,'Insumos testigos '!$B$5:$HN$209,187,FALSE)</f>
        <v>103.23510727066957</v>
      </c>
      <c r="P14" s="1654">
        <f>VLOOKUP($C14,'Insumos testigos '!$B$5:$HN$209,188,FALSE)</f>
        <v>103.23510727066957</v>
      </c>
      <c r="Q14" s="1654">
        <f>VLOOKUP($C14,'Insumos testigos '!$B$5:$HN$209,189,FALSE)</f>
        <v>98.145473410804996</v>
      </c>
      <c r="R14" s="1654">
        <f>VLOOKUP($C14,'Insumos testigos '!$B$5:$HN$209,190,FALSE)</f>
        <v>98.578192442865927</v>
      </c>
      <c r="S14" s="1654">
        <f>VLOOKUP($C14,'Insumos testigos '!$B$5:$HN$209,191,FALSE)</f>
        <v>98.969703294180775</v>
      </c>
      <c r="T14" s="1654">
        <f>VLOOKUP($C14,'Insumos testigos '!$B$5:$HN$209,192,FALSE)</f>
        <v>100.80362480052057</v>
      </c>
      <c r="U14" s="1654">
        <f>VLOOKUP($C14,'Insumos testigos '!$B$5:$HN$209,193,FALSE)</f>
        <v>106.07871625923549</v>
      </c>
      <c r="V14" s="1654">
        <f>VLOOKUP($C14,'Insumos testigos '!$B$5:$HN$209,194,FALSE)</f>
        <v>106.30537542726796</v>
      </c>
      <c r="W14" s="1654">
        <f>VLOOKUP($C14,'Insumos testigos '!$B$5:$HN$209,195,FALSE)</f>
        <v>107.93185144266744</v>
      </c>
      <c r="X14" s="1654">
        <f>VLOOKUP($C14,'Insumos testigos '!$B$5:$HN$209,196,FALSE)</f>
        <v>107.19005387659332</v>
      </c>
      <c r="Y14" s="1654">
        <f>VLOOKUP($C14,'Insumos testigos '!$B$5:$HN$209,197,FALSE)</f>
        <v>107.19005387659332</v>
      </c>
      <c r="Z14" s="1654">
        <f>VLOOKUP($C14,'Insumos testigos '!$B$5:$HN$209,198,FALSE)</f>
        <v>108.44699233762033</v>
      </c>
      <c r="AA14" s="1654">
        <f>VLOOKUP($C14,'Insumos testigos '!$B$5:$HN$209,199,FALSE)</f>
        <v>112.6299142177196</v>
      </c>
      <c r="AB14" s="1654">
        <f>VLOOKUP($C14,'Insumos testigos '!$B$5:$HN$209,200,FALSE)</f>
        <v>116.81284286752859</v>
      </c>
      <c r="AC14" s="1654">
        <f>VLOOKUP($C14,'Insumos testigos '!$B$5:$HN$209,201,FALSE)</f>
        <v>119.34732237733407</v>
      </c>
      <c r="AD14" s="1654">
        <f>VLOOKUP($C14,'Insumos testigos '!$B$5:$HN$209,202,FALSE)</f>
        <v>120.50122831517425</v>
      </c>
      <c r="AE14" s="1654">
        <f>VLOOKUP($C14,'Insumos testigos '!$B$5:$HN$209,203,FALSE)</f>
        <v>121.03696598583598</v>
      </c>
      <c r="AF14" s="1654">
        <f>VLOOKUP($C14,'Insumos testigos '!$B$5:$HN$209,204,FALSE)</f>
        <v>126.27077162520692</v>
      </c>
      <c r="AG14" s="1654">
        <f>VLOOKUP($C14,'Insumos testigos '!$B$5:$HN$209,205,FALSE)</f>
        <v>130.18583015014593</v>
      </c>
      <c r="AH14" s="1654">
        <f>VLOOKUP($C14,'Insumos testigos '!$B$5:$HN$209,206,FALSE)</f>
        <v>134.7602547211518</v>
      </c>
      <c r="AI14" s="1654">
        <f>VLOOKUP($C14,'Insumos testigos '!$B$5:$HN$209,207,FALSE)</f>
        <v>151.01047593344126</v>
      </c>
      <c r="AJ14" s="1654">
        <f>VLOOKUP($C14,'Insumos testigos '!$B$5:$HN$209,208,FALSE)</f>
        <v>173.08272613833242</v>
      </c>
      <c r="AK14" s="1654">
        <f>VLOOKUP($C14,'Insumos testigos '!$B$5:$HN$209,209,FALSE)</f>
        <v>183.60878936039512</v>
      </c>
      <c r="AL14" s="1654">
        <f>VLOOKUP($C14,'Insumos testigos '!$B$5:$HN$209,210,FALSE)</f>
        <v>196.1620100269385</v>
      </c>
      <c r="AM14" s="1654">
        <f>VLOOKUP($C14,'Insumos testigos '!$B$5:$HN$209,211,FALSE)</f>
        <v>199.39544769919536</v>
      </c>
      <c r="AN14" s="1654">
        <f>VLOOKUP($C14,'Insumos testigos '!$B$5:$HN$209,212,FALSE)</f>
        <v>264.83691309508458</v>
      </c>
      <c r="AO14" s="1654">
        <f>VLOOKUP($C14,'Insumos testigos '!$B$5:$HN$209,213,FALSE)</f>
        <v>287.76388008865069</v>
      </c>
      <c r="AP14" s="1654">
        <f>VLOOKUP($C14,'Insumos testigos '!$B$5:$HN$209,214,FALSE)</f>
        <v>271.63103133159501</v>
      </c>
      <c r="AQ14" s="1654">
        <f>VLOOKUP($C14,'Insumos testigos '!$B$5:$HN$209,215,FALSE)</f>
        <v>270.26417801748357</v>
      </c>
      <c r="AR14" s="1654">
        <f>VLOOKUP($C14,'Insumos testigos '!$B$5:$HN$209,216,FALSE)</f>
        <v>296.51609238981592</v>
      </c>
      <c r="AS14" s="1654">
        <f>VLOOKUP($C14,'Insumos testigos '!$B$5:$HN$209,217,FALSE)</f>
        <v>295.0240169020355</v>
      </c>
      <c r="AT14" s="1654">
        <f>VLOOKUP($C14,'Insumos testigos '!$B$5:$HN$209,218,FALSE)</f>
        <v>337.35402563394507</v>
      </c>
      <c r="AU14" s="1654">
        <f>VLOOKUP($C14,'Insumos testigos '!$B$5:$HN$209,219,FALSE)</f>
        <v>339.90228109568108</v>
      </c>
      <c r="AV14" s="1654">
        <f>VLOOKUP($C14,'Insumos testigos '!$B$5:$HN$209,220,FALSE)</f>
        <v>358.68171946281194</v>
      </c>
      <c r="AW14" s="1654">
        <f>VLOOKUP($C14,'Insumos testigos '!$B$5:$HN$209,221,FALSE)</f>
        <v>358.68171946281194</v>
      </c>
      <c r="AX14" s="1654">
        <f>VLOOKUP($C14,'Insumos testigos '!$B$5:$HO$209,222,FALSE)</f>
        <v>353.49794321700898</v>
      </c>
      <c r="AY14" s="1654">
        <f>VLOOKUP($C14,'Insumos testigos '!$B$5:$JL$209,223,FALSE)</f>
        <v>396.33576049461971</v>
      </c>
      <c r="AZ14" s="1654">
        <f>VLOOKUP($C14,'Insumos testigos '!$B$5:$JL$209,224,FALSE)</f>
        <v>450.42918899951951</v>
      </c>
      <c r="BA14" s="1654">
        <f>VLOOKUP($C14,'Insumos testigos '!$B$5:$JL$209,225,FALSE)</f>
        <v>450.42918899951951</v>
      </c>
      <c r="BB14" s="1654">
        <f>VLOOKUP($C14,'Insumos testigos '!$B$5:$JL$209,226,FALSE)</f>
        <v>506.06595853753129</v>
      </c>
      <c r="BC14" s="1654">
        <f>VLOOKUP($C14,'Insumos testigos '!$B$5:$JL$209,227,FALSE)</f>
        <v>506.07962639143227</v>
      </c>
      <c r="BD14" s="1654">
        <f>VLOOKUP($C14,'Insumos testigos '!$B$5:$JL$209,228,FALSE)</f>
        <v>509.02888954146641</v>
      </c>
      <c r="BE14" s="1654">
        <f>VLOOKUP($C14,'Insumos testigos '!$B$5:$JL$209,229,FALSE)</f>
        <v>503.39604205824168</v>
      </c>
      <c r="BF14" s="1654">
        <f>VLOOKUP($C14,'Insumos testigos '!$B$5:$JL$209,230,FALSE)</f>
        <v>503.39604205824168</v>
      </c>
      <c r="BG14" s="1654">
        <f>VLOOKUP($C14,'Insumos testigos '!$B$5:$JL$209,231,FALSE)</f>
        <v>530.1348488416711</v>
      </c>
      <c r="BH14" s="1654">
        <f>VLOOKUP($C14,'Insumos testigos '!$B$5:$JL$209,232,FALSE)</f>
        <v>549.71344653167682</v>
      </c>
      <c r="BI14" s="1654">
        <f>VLOOKUP($C14,'Insumos testigos '!$B$5:$JL$209,233,FALSE)</f>
        <v>546.95019498598356</v>
      </c>
      <c r="BJ14" s="1654">
        <f>VLOOKUP($C14,'Insumos testigos '!$B$5:$JL$209,234,FALSE)</f>
        <v>574.00806017447144</v>
      </c>
      <c r="BK14" s="1654">
        <f>VLOOKUP($C14,'Insumos testigos '!$B$5:$JL$209,235,FALSE)</f>
        <v>616.01955211893642</v>
      </c>
      <c r="BL14" s="1654">
        <f>VLOOKUP($C14,'Insumos testigos '!$B$5:$JL$209,236,FALSE)</f>
        <v>631.38275476127853</v>
      </c>
      <c r="BM14" s="1654">
        <f>VLOOKUP($C14,'Insumos testigos '!$B$5:$JL$209,237,FALSE)</f>
        <v>743.25841232753783</v>
      </c>
      <c r="BN14" s="1654">
        <f>VLOOKUP($C14,'Insumos testigos '!$B$5:$JL$209,238,FALSE)</f>
        <v>791.07270695893146</v>
      </c>
      <c r="BO14" s="1654">
        <f>VLOOKUP($C14,'Insumos testigos '!$B$5:$JL$209,239,FALSE)</f>
        <v>854.71760807997339</v>
      </c>
      <c r="BP14" s="1654">
        <f>VLOOKUP($C14,'Insumos testigos '!$B$5:$JL$209,240,FALSE)</f>
        <v>928.35438402307989</v>
      </c>
      <c r="BQ14" s="1654">
        <f>VLOOKUP($C14,'Insumos testigos '!$B$5:$JL$209,241,FALSE)</f>
        <v>971.40790762127381</v>
      </c>
      <c r="BR14" s="1654">
        <f>VLOOKUP($C14,'Insumos testigos '!$B$5:$JL$209,242,FALSE)</f>
        <v>1028.6227600228301</v>
      </c>
      <c r="BS14" s="1654">
        <f>VLOOKUP($C14,'Insumos testigos '!$B$5:$JL$209,243,FALSE)</f>
        <v>1095.7666403776213</v>
      </c>
      <c r="BT14" s="1654">
        <f>VLOOKUP($C14,'Insumos testigos '!$B$5:$JL$209,244,FALSE)</f>
        <v>1208.7086023644943</v>
      </c>
      <c r="BU14" s="1654">
        <f>VLOOKUP($C14,'Insumos testigos '!$B$5:$JL$209,245,FALSE)</f>
        <v>1241.0304903881702</v>
      </c>
      <c r="BV14" s="1654">
        <f>VLOOKUP($C14,'Insumos testigos '!$B$5:$JL$209,246,FALSE)</f>
        <v>1243.8846543026889</v>
      </c>
      <c r="BW14" s="1654">
        <f>VLOOKUP($C14,'Insumos testigos '!$B$5:$JL$209,247,FALSE)</f>
        <v>1274.3983158384824</v>
      </c>
      <c r="BX14" s="1654">
        <f>VLOOKUP($C14,'Insumos testigos '!$B$5:$JL$209,248,FALSE)</f>
        <v>1310.5660586415577</v>
      </c>
      <c r="BY14" s="1654">
        <f>VLOOKUP($C14,'Insumos testigos '!$B$5:$JL$209,249,FALSE)</f>
        <v>1349.9448639345826</v>
      </c>
      <c r="BZ14" s="1654">
        <f>VLOOKUP($C14,'Insumos testigos '!$B$5:$JL$209,250,FALSE)</f>
        <v>1453.8244711592126</v>
      </c>
      <c r="CA14" s="1654">
        <f>VLOOKUP($C14,'Insumos testigos '!$B$5:$JL$209,251,FALSE)</f>
        <v>1542.2664814844638</v>
      </c>
      <c r="CB14" s="1654">
        <f>VLOOKUP($C14,'Insumos testigos '!$B$5:$JL$209,252,FALSE)</f>
        <v>1587.429397656073</v>
      </c>
      <c r="CC14" s="1654">
        <f>VLOOKUP($C14,'Insumos testigos '!$B$5:$JL$209,253,FALSE)</f>
        <v>1660.6870761682283</v>
      </c>
      <c r="CD14" s="1654">
        <f>VLOOKUP($C14,'Insumos testigos '!$B$5:$JL$209,254,FALSE)</f>
        <v>1708.9966016670592</v>
      </c>
      <c r="CE14" s="1654">
        <f>VLOOKUP($C14,'Insumos testigos '!$B$5:$JL$209,255,FALSE)</f>
        <v>1846.17310763879</v>
      </c>
      <c r="CF14" s="1654">
        <f>VLOOKUP($C14,'Insumos testigos '!$B$5:$JL$209,256,FALSE)</f>
        <v>1926.7282285538527</v>
      </c>
      <c r="CG14" s="1654">
        <f>VLOOKUP($C14,'Insumos testigos '!$B$5:$JL$209,257,FALSE)</f>
        <v>2018.8506772910623</v>
      </c>
      <c r="CH14" s="1654">
        <f>VLOOKUP($C14,'Insumos testigos '!$B$5:$JL$209,258,FALSE)</f>
        <v>2589.1678353532461</v>
      </c>
      <c r="CI14" s="1654">
        <f>VLOOKUP($C14,'Insumos testigos '!$B$5:$JL$209,259,FALSE)</f>
        <v>3137.2567986974987</v>
      </c>
      <c r="CJ14" s="1654">
        <f>VLOOKUP($C14,'Insumos testigos '!$B$5:$JL$209,260,FALSE)</f>
        <v>4483.1000297077644</v>
      </c>
      <c r="CK14" s="1654">
        <f>VLOOKUP($C14,'Insumos testigos '!$B$5:$JL$209,261,FALSE)</f>
        <v>4485.0649315368282</v>
      </c>
      <c r="CL14" s="1654">
        <f>VLOOKUP($C14,'Insumos testigos '!$B$5:$JL$209,262,FALSE)</f>
        <v>5130.5998614451173</v>
      </c>
      <c r="CM14" s="1654">
        <f>VLOOKUP($C14,'Insumos testigos '!$B$5:$JL$209,263,FALSE)</f>
        <v>5745.3674556900269</v>
      </c>
      <c r="CN14" s="1654">
        <f>VLOOKUP($C14,'Insumos testigos '!$B$5:$JL$209,264,FALSE)</f>
        <v>6300.2372197218374</v>
      </c>
      <c r="CO14" s="1654">
        <f>VLOOKUP($C14,'Insumos testigos '!$B$5:$JL$209,265,FALSE)</f>
        <v>6708.0444108579222</v>
      </c>
    </row>
    <row r="15" spans="2:93">
      <c r="B15" s="1651" t="s">
        <v>1059</v>
      </c>
      <c r="C15" s="1652">
        <v>34</v>
      </c>
      <c r="D15" s="1653">
        <v>1.6948040640336996E-2</v>
      </c>
      <c r="E15" s="1654">
        <v>1917.6</v>
      </c>
      <c r="F15" s="1654">
        <v>2223.1853380954785</v>
      </c>
      <c r="G15" s="1654">
        <v>2585.574591567608</v>
      </c>
      <c r="H15" s="1654">
        <f>VLOOKUP($C15,'Insumos testigos '!$B$5:$HN$209,180,FALSE)</f>
        <v>100</v>
      </c>
      <c r="I15" s="1654">
        <f>VLOOKUP($C15,'Insumos testigos '!$B$5:$HN$209,181,FALSE)</f>
        <v>101.21562480926514</v>
      </c>
      <c r="J15" s="1654">
        <f>VLOOKUP($C15,'Insumos testigos '!$B$5:$HN$209,182,FALSE)</f>
        <v>99.830303175563998</v>
      </c>
      <c r="K15" s="1654">
        <f>VLOOKUP($C15,'Insumos testigos '!$B$5:$HN$209,183,FALSE)</f>
        <v>94.866574960088499</v>
      </c>
      <c r="L15" s="1654">
        <f>VLOOKUP($C15,'Insumos testigos '!$B$5:$HN$209,184,FALSE)</f>
        <v>94.234448381522768</v>
      </c>
      <c r="M15" s="1654">
        <f>VLOOKUP($C15,'Insumos testigos '!$B$5:$HN$209,185,FALSE)</f>
        <v>95.620755927592214</v>
      </c>
      <c r="N15" s="1654">
        <f>VLOOKUP($C15,'Insumos testigos '!$B$5:$HN$209,186,FALSE)</f>
        <v>95.112673543249002</v>
      </c>
      <c r="O15" s="1654">
        <f>VLOOKUP($C15,'Insumos testigos '!$B$5:$HN$209,187,FALSE)</f>
        <v>91.175035743969218</v>
      </c>
      <c r="P15" s="1654">
        <f>VLOOKUP($C15,'Insumos testigos '!$B$5:$HN$209,188,FALSE)</f>
        <v>91.175035743969218</v>
      </c>
      <c r="Q15" s="1654">
        <f>VLOOKUP($C15,'Insumos testigos '!$B$5:$HN$209,189,FALSE)</f>
        <v>90.750311299607645</v>
      </c>
      <c r="R15" s="1654">
        <f>VLOOKUP($C15,'Insumos testigos '!$B$5:$HN$209,190,FALSE)</f>
        <v>91.595792347118532</v>
      </c>
      <c r="S15" s="1654">
        <f>VLOOKUP($C15,'Insumos testigos '!$B$5:$HN$209,191,FALSE)</f>
        <v>91.595792347118532</v>
      </c>
      <c r="T15" s="1654">
        <f>VLOOKUP($C15,'Insumos testigos '!$B$5:$HN$209,192,FALSE)</f>
        <v>93.061491780699257</v>
      </c>
      <c r="U15" s="1654">
        <f>VLOOKUP($C15,'Insumos testigos '!$B$5:$HN$209,193,FALSE)</f>
        <v>90.578634049181559</v>
      </c>
      <c r="V15" s="1654">
        <f>VLOOKUP($C15,'Insumos testigos '!$B$5:$HN$209,194,FALSE)</f>
        <v>90.890226585482836</v>
      </c>
      <c r="W15" s="1654">
        <f>VLOOKUP($C15,'Insumos testigos '!$B$5:$HN$209,195,FALSE)</f>
        <v>90.27217341742417</v>
      </c>
      <c r="X15" s="1654">
        <f>VLOOKUP($C15,'Insumos testigos '!$B$5:$HN$209,196,FALSE)</f>
        <v>94.44807800403234</v>
      </c>
      <c r="Y15" s="1654">
        <f>VLOOKUP($C15,'Insumos testigos '!$B$5:$HN$209,197,FALSE)</f>
        <v>94.44807800403234</v>
      </c>
      <c r="Z15" s="1654">
        <f>VLOOKUP($C15,'Insumos testigos '!$B$5:$HN$209,198,FALSE)</f>
        <v>95.595255249619797</v>
      </c>
      <c r="AA15" s="1654">
        <f>VLOOKUP($C15,'Insumos testigos '!$B$5:$HN$209,199,FALSE)</f>
        <v>104.92356141018142</v>
      </c>
      <c r="AB15" s="1654">
        <f>VLOOKUP($C15,'Insumos testigos '!$B$5:$HN$209,200,FALSE)</f>
        <v>108.49908420393186</v>
      </c>
      <c r="AC15" s="1654">
        <f>VLOOKUP($C15,'Insumos testigos '!$B$5:$HN$209,201,FALSE)</f>
        <v>110.53542871032279</v>
      </c>
      <c r="AD15" s="1654">
        <f>VLOOKUP($C15,'Insumos testigos '!$B$5:$HN$209,202,FALSE)</f>
        <v>111.57543794449128</v>
      </c>
      <c r="AE15" s="1654">
        <f>VLOOKUP($C15,'Insumos testigos '!$B$5:$HN$209,203,FALSE)</f>
        <v>112.61644060263951</v>
      </c>
      <c r="AF15" s="1654">
        <f>VLOOKUP($C15,'Insumos testigos '!$B$5:$HN$209,204,FALSE)</f>
        <v>119.87862740539829</v>
      </c>
      <c r="AG15" s="1654">
        <f>VLOOKUP($C15,'Insumos testigos '!$B$5:$HN$209,205,FALSE)</f>
        <v>121.41382863381185</v>
      </c>
      <c r="AH15" s="1654">
        <f>VLOOKUP($C15,'Insumos testigos '!$B$5:$HN$209,206,FALSE)</f>
        <v>125.3793499213424</v>
      </c>
      <c r="AI15" s="1654">
        <f>VLOOKUP($C15,'Insumos testigos '!$B$5:$HN$209,207,FALSE)</f>
        <v>147.83303241056279</v>
      </c>
      <c r="AJ15" s="1654">
        <f>VLOOKUP($C15,'Insumos testigos '!$B$5:$HN$209,208,FALSE)</f>
        <v>162.4251288584243</v>
      </c>
      <c r="AK15" s="1654">
        <f>VLOOKUP($C15,'Insumos testigos '!$B$5:$HN$209,209,FALSE)</f>
        <v>244.95758256591625</v>
      </c>
      <c r="AL15" s="1654">
        <f>VLOOKUP($C15,'Insumos testigos '!$B$5:$HN$209,210,FALSE)</f>
        <v>262.16393387064346</v>
      </c>
      <c r="AM15" s="1654">
        <f>VLOOKUP($C15,'Insumos testigos '!$B$5:$HN$209,211,FALSE)</f>
        <v>259.45624400712694</v>
      </c>
      <c r="AN15" s="1654">
        <f>VLOOKUP($C15,'Insumos testigos '!$B$5:$HN$209,212,FALSE)</f>
        <v>333.03616755463145</v>
      </c>
      <c r="AO15" s="1654">
        <f>VLOOKUP($C15,'Insumos testigos '!$B$5:$HN$209,213,FALSE)</f>
        <v>331.56739152337792</v>
      </c>
      <c r="AP15" s="1654">
        <f>VLOOKUP($C15,'Insumos testigos '!$B$5:$HN$209,214,FALSE)</f>
        <v>327.71479060131907</v>
      </c>
      <c r="AQ15" s="1654">
        <f>VLOOKUP($C15,'Insumos testigos '!$B$5:$HN$209,215,FALSE)</f>
        <v>327.71479060131907</v>
      </c>
      <c r="AR15" s="1654">
        <f>VLOOKUP($C15,'Insumos testigos '!$B$5:$HN$209,216,FALSE)</f>
        <v>330.69197448721383</v>
      </c>
      <c r="AS15" s="1654">
        <f>VLOOKUP($C15,'Insumos testigos '!$B$5:$HN$209,217,FALSE)</f>
        <v>333.24848361239924</v>
      </c>
      <c r="AT15" s="1654">
        <f>VLOOKUP($C15,'Insumos testigos '!$B$5:$HN$209,218,FALSE)</f>
        <v>350.80157761677464</v>
      </c>
      <c r="AU15" s="1654">
        <f>VLOOKUP($C15,'Insumos testigos '!$B$5:$HN$209,219,FALSE)</f>
        <v>373.52768188364246</v>
      </c>
      <c r="AV15" s="1654">
        <f>VLOOKUP($C15,'Insumos testigos '!$B$5:$HN$209,220,FALSE)</f>
        <v>376.41113622366328</v>
      </c>
      <c r="AW15" s="1654">
        <f>VLOOKUP($C15,'Insumos testigos '!$B$5:$HN$209,221,FALSE)</f>
        <v>371.97300381487099</v>
      </c>
      <c r="AX15" s="1654">
        <f>VLOOKUP($C15,'Insumos testigos '!$B$5:$HO$209,222,FALSE)</f>
        <v>400.49247682267219</v>
      </c>
      <c r="AY15" s="1654">
        <f>VLOOKUP($C15,'Insumos testigos '!$B$5:$JL$209,223,FALSE)</f>
        <v>400.49247682267219</v>
      </c>
      <c r="AZ15" s="1654">
        <f>VLOOKUP($C15,'Insumos testigos '!$B$5:$JL$209,224,FALSE)</f>
        <v>477.4325881645936</v>
      </c>
      <c r="BA15" s="1654">
        <f>VLOOKUP($C15,'Insumos testigos '!$B$5:$JL$209,225,FALSE)</f>
        <v>457.39079513988605</v>
      </c>
      <c r="BB15" s="1654">
        <f>VLOOKUP($C15,'Insumos testigos '!$B$5:$JL$209,226,FALSE)</f>
        <v>507.65442276854759</v>
      </c>
      <c r="BC15" s="1654">
        <f>VLOOKUP($C15,'Insumos testigos '!$B$5:$JL$209,227,FALSE)</f>
        <v>499.03894011789646</v>
      </c>
      <c r="BD15" s="1654">
        <f>VLOOKUP($C15,'Insumos testigos '!$B$5:$JL$209,228,FALSE)</f>
        <v>502.80206091236482</v>
      </c>
      <c r="BE15" s="1654">
        <f>VLOOKUP($C15,'Insumos testigos '!$B$5:$JL$209,229,FALSE)</f>
        <v>493.24047966664011</v>
      </c>
      <c r="BF15" s="1654">
        <f>VLOOKUP($C15,'Insumos testigos '!$B$5:$JL$209,230,FALSE)</f>
        <v>493.24047966664011</v>
      </c>
      <c r="BG15" s="1654">
        <f>VLOOKUP($C15,'Insumos testigos '!$B$5:$JL$209,231,FALSE)</f>
        <v>519.28816450921784</v>
      </c>
      <c r="BH15" s="1654">
        <f>VLOOKUP($C15,'Insumos testigos '!$B$5:$JL$209,232,FALSE)</f>
        <v>545.17631265368652</v>
      </c>
      <c r="BI15" s="1654">
        <f>VLOOKUP($C15,'Insumos testigos '!$B$5:$JL$209,233,FALSE)</f>
        <v>550.73164953517539</v>
      </c>
      <c r="BJ15" s="1654">
        <f>VLOOKUP($C15,'Insumos testigos '!$B$5:$JL$209,234,FALSE)</f>
        <v>560.90545048381011</v>
      </c>
      <c r="BK15" s="1654">
        <f>VLOOKUP($C15,'Insumos testigos '!$B$5:$JL$209,235,FALSE)</f>
        <v>647.4614204698737</v>
      </c>
      <c r="BL15" s="1654">
        <f>VLOOKUP($C15,'Insumos testigos '!$B$5:$JL$209,236,FALSE)</f>
        <v>664.60730316556044</v>
      </c>
      <c r="BM15" s="1654">
        <f>VLOOKUP($C15,'Insumos testigos '!$B$5:$JL$209,237,FALSE)</f>
        <v>761.30030149202639</v>
      </c>
      <c r="BN15" s="1654">
        <f>VLOOKUP($C15,'Insumos testigos '!$B$5:$JL$209,238,FALSE)</f>
        <v>820.94503028893871</v>
      </c>
      <c r="BO15" s="1654">
        <f>VLOOKUP($C15,'Insumos testigos '!$B$5:$JL$209,239,FALSE)</f>
        <v>891.71659798261146</v>
      </c>
      <c r="BP15" s="1654">
        <f>VLOOKUP($C15,'Insumos testigos '!$B$5:$JL$209,240,FALSE)</f>
        <v>925.19305983467768</v>
      </c>
      <c r="BQ15" s="1654">
        <f>VLOOKUP($C15,'Insumos testigos '!$B$5:$JL$209,241,FALSE)</f>
        <v>976.03225575242436</v>
      </c>
      <c r="BR15" s="1654">
        <f>VLOOKUP($C15,'Insumos testigos '!$B$5:$JL$209,242,FALSE)</f>
        <v>1032.1733028061597</v>
      </c>
      <c r="BS15" s="1654">
        <f>VLOOKUP($C15,'Insumos testigos '!$B$5:$JL$209,243,FALSE)</f>
        <v>1114.9118121781689</v>
      </c>
      <c r="BT15" s="1654">
        <f>VLOOKUP($C15,'Insumos testigos '!$B$5:$JL$209,244,FALSE)</f>
        <v>1248.5075198698548</v>
      </c>
      <c r="BU15" s="1654">
        <f>VLOOKUP($C15,'Insumos testigos '!$B$5:$JL$209,245,FALSE)</f>
        <v>1272.9907911274604</v>
      </c>
      <c r="BV15" s="1654">
        <f>VLOOKUP($C15,'Insumos testigos '!$B$5:$JL$209,246,FALSE)</f>
        <v>1272.809580566977</v>
      </c>
      <c r="BW15" s="1654">
        <f>VLOOKUP($C15,'Insumos testigos '!$B$5:$JL$209,247,FALSE)</f>
        <v>1284.0953966550549</v>
      </c>
      <c r="BX15" s="1654">
        <f>VLOOKUP($C15,'Insumos testigos '!$B$5:$JL$209,248,FALSE)</f>
        <v>1328.8878543288747</v>
      </c>
      <c r="BY15" s="1654">
        <f>VLOOKUP($C15,'Insumos testigos '!$B$5:$JL$209,249,FALSE)</f>
        <v>1352.8350795115289</v>
      </c>
      <c r="BZ15" s="1654">
        <f>VLOOKUP($C15,'Insumos testigos '!$B$5:$JL$209,250,FALSE)</f>
        <v>1417.5355445517339</v>
      </c>
      <c r="CA15" s="1654">
        <f>VLOOKUP($C15,'Insumos testigos '!$B$5:$JL$209,251,FALSE)</f>
        <v>1495.571364889621</v>
      </c>
      <c r="CB15" s="1654">
        <f>VLOOKUP($C15,'Insumos testigos '!$B$5:$JL$209,252,FALSE)</f>
        <v>1542.1234424373602</v>
      </c>
      <c r="CC15" s="1654">
        <f>VLOOKUP($C15,'Insumos testigos '!$B$5:$JL$209,253,FALSE)</f>
        <v>1584.4045165720477</v>
      </c>
      <c r="CD15" s="1654">
        <f>VLOOKUP($C15,'Insumos testigos '!$B$5:$JL$209,254,FALSE)</f>
        <v>1688.5455040026593</v>
      </c>
      <c r="CE15" s="1654">
        <f>VLOOKUP($C15,'Insumos testigos '!$B$5:$JL$209,255,FALSE)</f>
        <v>1795.4204733076213</v>
      </c>
      <c r="CF15" s="1654">
        <f>VLOOKUP($C15,'Insumos testigos '!$B$5:$JL$209,256,FALSE)</f>
        <v>1874.3548953794977</v>
      </c>
      <c r="CG15" s="1654">
        <f>VLOOKUP($C15,'Insumos testigos '!$B$5:$JL$209,257,FALSE)</f>
        <v>1980.3903425982392</v>
      </c>
      <c r="CH15" s="1654">
        <f>VLOOKUP($C15,'Insumos testigos '!$B$5:$JL$209,258,FALSE)</f>
        <v>2316.426810807362</v>
      </c>
      <c r="CI15" s="1654">
        <f>VLOOKUP($C15,'Insumos testigos '!$B$5:$JL$209,259,FALSE)</f>
        <v>2815.2510694436623</v>
      </c>
      <c r="CJ15" s="1654">
        <f>VLOOKUP($C15,'Insumos testigos '!$B$5:$JL$209,260,FALSE)</f>
        <v>3101.8712831153625</v>
      </c>
      <c r="CK15" s="1654">
        <f>VLOOKUP($C15,'Insumos testigos '!$B$5:$JL$209,261,FALSE)</f>
        <v>3210.4000185455916</v>
      </c>
      <c r="CL15" s="1654">
        <f>VLOOKUP($C15,'Insumos testigos '!$B$5:$JL$209,262,FALSE)</f>
        <v>3518.6943330658378</v>
      </c>
      <c r="CM15" s="1654">
        <f>VLOOKUP($C15,'Insumos testigos '!$B$5:$JL$209,263,FALSE)</f>
        <v>4146.0989028495396</v>
      </c>
      <c r="CN15" s="1654">
        <f>VLOOKUP($C15,'Insumos testigos '!$B$5:$JL$209,264,FALSE)</f>
        <v>4326.1068789778083</v>
      </c>
      <c r="CO15" s="1654">
        <f>VLOOKUP($C15,'Insumos testigos '!$B$5:$JL$209,265,FALSE)</f>
        <v>4623.5045475437655</v>
      </c>
    </row>
    <row r="16" spans="2:93">
      <c r="B16" s="1651" t="s">
        <v>1060</v>
      </c>
      <c r="C16" s="1652">
        <v>34</v>
      </c>
      <c r="D16" s="1653">
        <v>3.4530364238770435E-2</v>
      </c>
      <c r="E16" s="1654">
        <v>1917.6</v>
      </c>
      <c r="F16" s="1654">
        <v>2223.1853380954785</v>
      </c>
      <c r="G16" s="1654">
        <v>2585.574591567608</v>
      </c>
      <c r="H16" s="1654">
        <f>VLOOKUP($C16,'Insumos testigos '!$B$5:$HN$209,180,FALSE)</f>
        <v>100</v>
      </c>
      <c r="I16" s="1654">
        <f>VLOOKUP($C16,'Insumos testigos '!$B$5:$HN$209,181,FALSE)</f>
        <v>101.21562480926514</v>
      </c>
      <c r="J16" s="1654">
        <f>VLOOKUP($C16,'Insumos testigos '!$B$5:$HN$209,182,FALSE)</f>
        <v>99.830303175563998</v>
      </c>
      <c r="K16" s="1654">
        <f>VLOOKUP($C16,'Insumos testigos '!$B$5:$HN$209,183,FALSE)</f>
        <v>94.866574960088499</v>
      </c>
      <c r="L16" s="1654">
        <f>VLOOKUP($C16,'Insumos testigos '!$B$5:$HN$209,184,FALSE)</f>
        <v>94.234448381522768</v>
      </c>
      <c r="M16" s="1654">
        <f>VLOOKUP($C16,'Insumos testigos '!$B$5:$HN$209,185,FALSE)</f>
        <v>95.620755927592214</v>
      </c>
      <c r="N16" s="1654">
        <f>VLOOKUP($C16,'Insumos testigos '!$B$5:$HN$209,186,FALSE)</f>
        <v>95.112673543249002</v>
      </c>
      <c r="O16" s="1654">
        <f>VLOOKUP($C16,'Insumos testigos '!$B$5:$HN$209,187,FALSE)</f>
        <v>91.175035743969218</v>
      </c>
      <c r="P16" s="1654">
        <f>VLOOKUP($C16,'Insumos testigos '!$B$5:$HN$209,188,FALSE)</f>
        <v>91.175035743969218</v>
      </c>
      <c r="Q16" s="1654">
        <f>VLOOKUP($C16,'Insumos testigos '!$B$5:$HN$209,189,FALSE)</f>
        <v>90.750311299607645</v>
      </c>
      <c r="R16" s="1654">
        <f>VLOOKUP($C16,'Insumos testigos '!$B$5:$HN$209,190,FALSE)</f>
        <v>91.595792347118532</v>
      </c>
      <c r="S16" s="1654">
        <f>VLOOKUP($C16,'Insumos testigos '!$B$5:$HN$209,191,FALSE)</f>
        <v>91.595792347118532</v>
      </c>
      <c r="T16" s="1654">
        <f>VLOOKUP($C16,'Insumos testigos '!$B$5:$HN$209,192,FALSE)</f>
        <v>93.061491780699257</v>
      </c>
      <c r="U16" s="1654">
        <f>VLOOKUP($C16,'Insumos testigos '!$B$5:$HN$209,193,FALSE)</f>
        <v>90.578634049181559</v>
      </c>
      <c r="V16" s="1654">
        <f>VLOOKUP($C16,'Insumos testigos '!$B$5:$HN$209,194,FALSE)</f>
        <v>90.890226585482836</v>
      </c>
      <c r="W16" s="1654">
        <f>VLOOKUP($C16,'Insumos testigos '!$B$5:$HN$209,195,FALSE)</f>
        <v>90.27217341742417</v>
      </c>
      <c r="X16" s="1654">
        <f>VLOOKUP($C16,'Insumos testigos '!$B$5:$HN$209,196,FALSE)</f>
        <v>94.44807800403234</v>
      </c>
      <c r="Y16" s="1654">
        <f>VLOOKUP($C16,'Insumos testigos '!$B$5:$HN$209,197,FALSE)</f>
        <v>94.44807800403234</v>
      </c>
      <c r="Z16" s="1654">
        <f>VLOOKUP($C16,'Insumos testigos '!$B$5:$HN$209,198,FALSE)</f>
        <v>95.595255249619797</v>
      </c>
      <c r="AA16" s="1654">
        <f>VLOOKUP($C16,'Insumos testigos '!$B$5:$HN$209,199,FALSE)</f>
        <v>104.92356141018142</v>
      </c>
      <c r="AB16" s="1654">
        <f>VLOOKUP($C16,'Insumos testigos '!$B$5:$HN$209,200,FALSE)</f>
        <v>108.49908420393186</v>
      </c>
      <c r="AC16" s="1654">
        <f>VLOOKUP($C16,'Insumos testigos '!$B$5:$HN$209,201,FALSE)</f>
        <v>110.53542871032279</v>
      </c>
      <c r="AD16" s="1654">
        <f>VLOOKUP($C16,'Insumos testigos '!$B$5:$HN$209,202,FALSE)</f>
        <v>111.57543794449128</v>
      </c>
      <c r="AE16" s="1654">
        <f>VLOOKUP($C16,'Insumos testigos '!$B$5:$HN$209,203,FALSE)</f>
        <v>112.61644060263951</v>
      </c>
      <c r="AF16" s="1654">
        <f>VLOOKUP($C16,'Insumos testigos '!$B$5:$HN$209,204,FALSE)</f>
        <v>119.87862740539829</v>
      </c>
      <c r="AG16" s="1654">
        <f>VLOOKUP($C16,'Insumos testigos '!$B$5:$HN$209,205,FALSE)</f>
        <v>121.41382863381185</v>
      </c>
      <c r="AH16" s="1654">
        <f>VLOOKUP($C16,'Insumos testigos '!$B$5:$HN$209,206,FALSE)</f>
        <v>125.3793499213424</v>
      </c>
      <c r="AI16" s="1654">
        <f>VLOOKUP($C16,'Insumos testigos '!$B$5:$HN$209,207,FALSE)</f>
        <v>147.83303241056279</v>
      </c>
      <c r="AJ16" s="1654">
        <f>VLOOKUP($C16,'Insumos testigos '!$B$5:$HN$209,208,FALSE)</f>
        <v>162.4251288584243</v>
      </c>
      <c r="AK16" s="1654">
        <f>VLOOKUP($C16,'Insumos testigos '!$B$5:$HN$209,209,FALSE)</f>
        <v>244.95758256591625</v>
      </c>
      <c r="AL16" s="1654">
        <f>VLOOKUP($C16,'Insumos testigos '!$B$5:$HN$209,210,FALSE)</f>
        <v>262.16393387064346</v>
      </c>
      <c r="AM16" s="1654">
        <f>VLOOKUP($C16,'Insumos testigos '!$B$5:$HN$209,211,FALSE)</f>
        <v>259.45624400712694</v>
      </c>
      <c r="AN16" s="1654">
        <f>VLOOKUP($C16,'Insumos testigos '!$B$5:$HN$209,212,FALSE)</f>
        <v>333.03616755463145</v>
      </c>
      <c r="AO16" s="1654">
        <f>VLOOKUP($C16,'Insumos testigos '!$B$5:$HN$209,213,FALSE)</f>
        <v>331.56739152337792</v>
      </c>
      <c r="AP16" s="1654">
        <f>VLOOKUP($C16,'Insumos testigos '!$B$5:$HN$209,214,FALSE)</f>
        <v>327.71479060131907</v>
      </c>
      <c r="AQ16" s="1654">
        <f>VLOOKUP($C16,'Insumos testigos '!$B$5:$HN$209,215,FALSE)</f>
        <v>327.71479060131907</v>
      </c>
      <c r="AR16" s="1654">
        <f>VLOOKUP($C16,'Insumos testigos '!$B$5:$HN$209,216,FALSE)</f>
        <v>330.69197448721383</v>
      </c>
      <c r="AS16" s="1654">
        <f>VLOOKUP($C16,'Insumos testigos '!$B$5:$HN$209,217,FALSE)</f>
        <v>333.24848361239924</v>
      </c>
      <c r="AT16" s="1654">
        <f>VLOOKUP($C16,'Insumos testigos '!$B$5:$HN$209,218,FALSE)</f>
        <v>350.80157761677464</v>
      </c>
      <c r="AU16" s="1654">
        <f>VLOOKUP($C16,'Insumos testigos '!$B$5:$HN$209,219,FALSE)</f>
        <v>373.52768188364246</v>
      </c>
      <c r="AV16" s="1654">
        <f>VLOOKUP($C16,'Insumos testigos '!$B$5:$HN$209,220,FALSE)</f>
        <v>376.41113622366328</v>
      </c>
      <c r="AW16" s="1654">
        <f>VLOOKUP($C16,'Insumos testigos '!$B$5:$HN$209,221,FALSE)</f>
        <v>371.97300381487099</v>
      </c>
      <c r="AX16" s="1654">
        <f>VLOOKUP($C16,'Insumos testigos '!$B$5:$HO$209,222,FALSE)</f>
        <v>400.49247682267219</v>
      </c>
      <c r="AY16" s="1654">
        <f>VLOOKUP($C16,'Insumos testigos '!$B$5:$JL$209,223,FALSE)</f>
        <v>400.49247682267219</v>
      </c>
      <c r="AZ16" s="1654">
        <f>VLOOKUP($C16,'Insumos testigos '!$B$5:$JL$209,224,FALSE)</f>
        <v>477.4325881645936</v>
      </c>
      <c r="BA16" s="1654">
        <f>VLOOKUP($C16,'Insumos testigos '!$B$5:$JL$209,225,FALSE)</f>
        <v>457.39079513988605</v>
      </c>
      <c r="BB16" s="1654">
        <f>VLOOKUP($C16,'Insumos testigos '!$B$5:$JL$209,226,FALSE)</f>
        <v>507.65442276854759</v>
      </c>
      <c r="BC16" s="1654">
        <f>VLOOKUP($C16,'Insumos testigos '!$B$5:$JL$209,227,FALSE)</f>
        <v>499.03894011789646</v>
      </c>
      <c r="BD16" s="1654">
        <f>VLOOKUP($C16,'Insumos testigos '!$B$5:$JL$209,228,FALSE)</f>
        <v>502.80206091236482</v>
      </c>
      <c r="BE16" s="1654">
        <f>VLOOKUP($C16,'Insumos testigos '!$B$5:$JL$209,229,FALSE)</f>
        <v>493.24047966664011</v>
      </c>
      <c r="BF16" s="1654">
        <f>VLOOKUP($C16,'Insumos testigos '!$B$5:$JL$209,230,FALSE)</f>
        <v>493.24047966664011</v>
      </c>
      <c r="BG16" s="1654">
        <f>VLOOKUP($C16,'Insumos testigos '!$B$5:$JL$209,231,FALSE)</f>
        <v>519.28816450921784</v>
      </c>
      <c r="BH16" s="1654">
        <f>VLOOKUP($C16,'Insumos testigos '!$B$5:$JL$209,232,FALSE)</f>
        <v>545.17631265368652</v>
      </c>
      <c r="BI16" s="1654">
        <f>VLOOKUP($C16,'Insumos testigos '!$B$5:$JL$209,233,FALSE)</f>
        <v>550.73164953517539</v>
      </c>
      <c r="BJ16" s="1654">
        <f>VLOOKUP($C16,'Insumos testigos '!$B$5:$JL$209,234,FALSE)</f>
        <v>560.90545048381011</v>
      </c>
      <c r="BK16" s="1654">
        <f>VLOOKUP($C16,'Insumos testigos '!$B$5:$JL$209,235,FALSE)</f>
        <v>647.4614204698737</v>
      </c>
      <c r="BL16" s="1654">
        <f>VLOOKUP($C16,'Insumos testigos '!$B$5:$JL$209,236,FALSE)</f>
        <v>664.60730316556044</v>
      </c>
      <c r="BM16" s="1654">
        <f>VLOOKUP($C16,'Insumos testigos '!$B$5:$JL$209,237,FALSE)</f>
        <v>761.30030149202639</v>
      </c>
      <c r="BN16" s="1654">
        <f>VLOOKUP($C16,'Insumos testigos '!$B$5:$JL$209,238,FALSE)</f>
        <v>820.94503028893871</v>
      </c>
      <c r="BO16" s="1654">
        <f>VLOOKUP($C16,'Insumos testigos '!$B$5:$JL$209,239,FALSE)</f>
        <v>891.71659798261146</v>
      </c>
      <c r="BP16" s="1654">
        <f>VLOOKUP($C16,'Insumos testigos '!$B$5:$JL$209,240,FALSE)</f>
        <v>925.19305983467768</v>
      </c>
      <c r="BQ16" s="1654">
        <f>VLOOKUP($C16,'Insumos testigos '!$B$5:$JL$209,241,FALSE)</f>
        <v>976.03225575242436</v>
      </c>
      <c r="BR16" s="1654">
        <f>VLOOKUP($C16,'Insumos testigos '!$B$5:$JL$209,242,FALSE)</f>
        <v>1032.1733028061597</v>
      </c>
      <c r="BS16" s="1654">
        <f>VLOOKUP($C16,'Insumos testigos '!$B$5:$JL$209,243,FALSE)</f>
        <v>1114.9118121781689</v>
      </c>
      <c r="BT16" s="1654">
        <f>VLOOKUP($C16,'Insumos testigos '!$B$5:$JL$209,244,FALSE)</f>
        <v>1248.5075198698548</v>
      </c>
      <c r="BU16" s="1654">
        <f>VLOOKUP($C16,'Insumos testigos '!$B$5:$JL$209,245,FALSE)</f>
        <v>1272.9907911274604</v>
      </c>
      <c r="BV16" s="1654">
        <f>VLOOKUP($C16,'Insumos testigos '!$B$5:$JL$209,246,FALSE)</f>
        <v>1272.809580566977</v>
      </c>
      <c r="BW16" s="1654">
        <f>VLOOKUP($C16,'Insumos testigos '!$B$5:$JL$209,247,FALSE)</f>
        <v>1284.0953966550549</v>
      </c>
      <c r="BX16" s="1654">
        <f>VLOOKUP($C16,'Insumos testigos '!$B$5:$JL$209,248,FALSE)</f>
        <v>1328.8878543288747</v>
      </c>
      <c r="BY16" s="1654">
        <f>VLOOKUP($C16,'Insumos testigos '!$B$5:$JL$209,249,FALSE)</f>
        <v>1352.8350795115289</v>
      </c>
      <c r="BZ16" s="1654">
        <f>VLOOKUP($C16,'Insumos testigos '!$B$5:$JL$209,250,FALSE)</f>
        <v>1417.5355445517339</v>
      </c>
      <c r="CA16" s="1654">
        <f>VLOOKUP($C16,'Insumos testigos '!$B$5:$JL$209,251,FALSE)</f>
        <v>1495.571364889621</v>
      </c>
      <c r="CB16" s="1654">
        <f>VLOOKUP($C16,'Insumos testigos '!$B$5:$JL$209,252,FALSE)</f>
        <v>1542.1234424373602</v>
      </c>
      <c r="CC16" s="1654">
        <f>VLOOKUP($C16,'Insumos testigos '!$B$5:$JL$209,253,FALSE)</f>
        <v>1584.4045165720477</v>
      </c>
      <c r="CD16" s="1654">
        <f>VLOOKUP($C16,'Insumos testigos '!$B$5:$JL$209,254,FALSE)</f>
        <v>1688.5455040026593</v>
      </c>
      <c r="CE16" s="1654">
        <f>VLOOKUP($C16,'Insumos testigos '!$B$5:$JL$209,255,FALSE)</f>
        <v>1795.4204733076213</v>
      </c>
      <c r="CF16" s="1654">
        <f>VLOOKUP($C16,'Insumos testigos '!$B$5:$JL$209,256,FALSE)</f>
        <v>1874.3548953794977</v>
      </c>
      <c r="CG16" s="1654">
        <f>VLOOKUP($C16,'Insumos testigos '!$B$5:$JL$209,257,FALSE)</f>
        <v>1980.3903425982392</v>
      </c>
      <c r="CH16" s="1654">
        <f>VLOOKUP($C16,'Insumos testigos '!$B$5:$JL$209,258,FALSE)</f>
        <v>2316.426810807362</v>
      </c>
      <c r="CI16" s="1654">
        <f>VLOOKUP($C16,'Insumos testigos '!$B$5:$JL$209,259,FALSE)</f>
        <v>2815.2510694436623</v>
      </c>
      <c r="CJ16" s="1654">
        <f>VLOOKUP($C16,'Insumos testigos '!$B$5:$JL$209,260,FALSE)</f>
        <v>3101.8712831153625</v>
      </c>
      <c r="CK16" s="1654">
        <f>VLOOKUP($C16,'Insumos testigos '!$B$5:$JL$209,261,FALSE)</f>
        <v>3210.4000185455916</v>
      </c>
      <c r="CL16" s="1654">
        <f>VLOOKUP($C16,'Insumos testigos '!$B$5:$JL$209,262,FALSE)</f>
        <v>3518.6943330658378</v>
      </c>
      <c r="CM16" s="1654">
        <f>VLOOKUP($C16,'Insumos testigos '!$B$5:$JL$209,263,FALSE)</f>
        <v>4146.0989028495396</v>
      </c>
      <c r="CN16" s="1654">
        <f>VLOOKUP($C16,'Insumos testigos '!$B$5:$JL$209,264,FALSE)</f>
        <v>4326.1068789778083</v>
      </c>
      <c r="CO16" s="1654">
        <f>VLOOKUP($C16,'Insumos testigos '!$B$5:$JL$209,265,FALSE)</f>
        <v>4623.5045475437655</v>
      </c>
    </row>
    <row r="17" spans="2:93">
      <c r="B17" s="1651" t="s">
        <v>1061</v>
      </c>
      <c r="C17" s="1652">
        <v>109</v>
      </c>
      <c r="D17" s="1653">
        <v>2.6122511948422963E-3</v>
      </c>
      <c r="E17" s="1654">
        <v>1581.9</v>
      </c>
      <c r="F17" s="1654">
        <v>1853.9512866941311</v>
      </c>
      <c r="G17" s="1654">
        <v>2043.9863060466128</v>
      </c>
      <c r="H17" s="1654">
        <f>VLOOKUP($C17,'Insumos testigos '!$B$5:$HN$209,180,FALSE)</f>
        <v>100</v>
      </c>
      <c r="I17" s="1654">
        <f>VLOOKUP($C17,'Insumos testigos '!$B$5:$HN$209,181,FALSE)</f>
        <v>106.75621032714844</v>
      </c>
      <c r="J17" s="1654">
        <f>VLOOKUP($C17,'Insumos testigos '!$B$5:$HN$209,182,FALSE)</f>
        <v>110.54206501967201</v>
      </c>
      <c r="K17" s="1654">
        <f>VLOOKUP($C17,'Insumos testigos '!$B$5:$HN$209,183,FALSE)</f>
        <v>113.79800974460439</v>
      </c>
      <c r="L17" s="1654">
        <f>VLOOKUP($C17,'Insumos testigos '!$B$5:$HN$209,184,FALSE)</f>
        <v>117.49259563560132</v>
      </c>
      <c r="M17" s="1654">
        <f>VLOOKUP($C17,'Insumos testigos '!$B$5:$HN$209,185,FALSE)</f>
        <v>119.9629967469194</v>
      </c>
      <c r="N17" s="1654">
        <f>VLOOKUP($C17,'Insumos testigos '!$B$5:$HN$209,186,FALSE)</f>
        <v>121.99771515790587</v>
      </c>
      <c r="O17" s="1654">
        <f>VLOOKUP($C17,'Insumos testigos '!$B$5:$HN$209,187,FALSE)</f>
        <v>120.24575395583817</v>
      </c>
      <c r="P17" s="1654">
        <f>VLOOKUP($C17,'Insumos testigos '!$B$5:$HN$209,188,FALSE)</f>
        <v>120.71727006800164</v>
      </c>
      <c r="Q17" s="1654">
        <f>VLOOKUP($C17,'Insumos testigos '!$B$5:$HN$209,189,FALSE)</f>
        <v>122.4300848324183</v>
      </c>
      <c r="R17" s="1654">
        <f>VLOOKUP($C17,'Insumos testigos '!$B$5:$HN$209,190,FALSE)</f>
        <v>122.74600394751852</v>
      </c>
      <c r="S17" s="1654">
        <f>VLOOKUP($C17,'Insumos testigos '!$B$5:$HN$209,191,FALSE)</f>
        <v>122.74600394751852</v>
      </c>
      <c r="T17" s="1654">
        <f>VLOOKUP($C17,'Insumos testigos '!$B$5:$HN$209,192,FALSE)</f>
        <v>122.69968488296146</v>
      </c>
      <c r="U17" s="1654">
        <f>VLOOKUP($C17,'Insumos testigos '!$B$5:$HN$209,193,FALSE)</f>
        <v>124.78763701017829</v>
      </c>
      <c r="V17" s="1654">
        <f>VLOOKUP($C17,'Insumos testigos '!$B$5:$HN$209,194,FALSE)</f>
        <v>125.88261824962173</v>
      </c>
      <c r="W17" s="1654">
        <f>VLOOKUP($C17,'Insumos testigos '!$B$5:$HN$209,195,FALSE)</f>
        <v>127.48013717151935</v>
      </c>
      <c r="X17" s="1654">
        <f>VLOOKUP($C17,'Insumos testigos '!$B$5:$HN$209,196,FALSE)</f>
        <v>128.20742641959896</v>
      </c>
      <c r="Y17" s="1654">
        <f>VLOOKUP($C17,'Insumos testigos '!$B$5:$HN$209,197,FALSE)</f>
        <v>129.32601168812315</v>
      </c>
      <c r="Z17" s="1654">
        <f>VLOOKUP($C17,'Insumos testigos '!$B$5:$HN$209,198,FALSE)</f>
        <v>131.39401413642364</v>
      </c>
      <c r="AA17" s="1654">
        <f>VLOOKUP($C17,'Insumos testigos '!$B$5:$HN$209,199,FALSE)</f>
        <v>132.19209503474181</v>
      </c>
      <c r="AB17" s="1654">
        <f>VLOOKUP($C17,'Insumos testigos '!$B$5:$HN$209,200,FALSE)</f>
        <v>132.9550282995948</v>
      </c>
      <c r="AC17" s="1654">
        <f>VLOOKUP($C17,'Insumos testigos '!$B$5:$HN$209,201,FALSE)</f>
        <v>133.18476643197656</v>
      </c>
      <c r="AD17" s="1654">
        <f>VLOOKUP($C17,'Insumos testigos '!$B$5:$HN$209,202,FALSE)</f>
        <v>134.18327812136215</v>
      </c>
      <c r="AE17" s="1654">
        <f>VLOOKUP($C17,'Insumos testigos '!$B$5:$HN$209,203,FALSE)</f>
        <v>137.08408537537554</v>
      </c>
      <c r="AF17" s="1654">
        <f>VLOOKUP($C17,'Insumos testigos '!$B$5:$HN$209,204,FALSE)</f>
        <v>137.96500086293258</v>
      </c>
      <c r="AG17" s="1654">
        <f>VLOOKUP($C17,'Insumos testigos '!$B$5:$HN$209,205,FALSE)</f>
        <v>142.17183895939937</v>
      </c>
      <c r="AH17" s="1654">
        <f>VLOOKUP($C17,'Insumos testigos '!$B$5:$HN$209,206,FALSE)</f>
        <v>143.89962360766472</v>
      </c>
      <c r="AI17" s="1654">
        <f>VLOOKUP($C17,'Insumos testigos '!$B$5:$HN$209,207,FALSE)</f>
        <v>151.24401076360115</v>
      </c>
      <c r="AJ17" s="1654">
        <f>VLOOKUP($C17,'Insumos testigos '!$B$5:$HN$209,208,FALSE)</f>
        <v>152.40625873917159</v>
      </c>
      <c r="AK17" s="1654">
        <f>VLOOKUP($C17,'Insumos testigos '!$B$5:$HN$209,209,FALSE)</f>
        <v>157.59897844058318</v>
      </c>
      <c r="AL17" s="1654">
        <f>VLOOKUP($C17,'Insumos testigos '!$B$5:$HN$209,210,FALSE)</f>
        <v>159.83975399685983</v>
      </c>
      <c r="AM17" s="1654">
        <f>VLOOKUP($C17,'Insumos testigos '!$B$5:$HN$209,211,FALSE)</f>
        <v>160.70749939085491</v>
      </c>
      <c r="AN17" s="1654">
        <f>VLOOKUP($C17,'Insumos testigos '!$B$5:$HN$209,212,FALSE)</f>
        <v>190.43235426086932</v>
      </c>
      <c r="AO17" s="1654">
        <f>VLOOKUP($C17,'Insumos testigos '!$B$5:$HN$209,213,FALSE)</f>
        <v>204.36933912933728</v>
      </c>
      <c r="AP17" s="1654">
        <f>VLOOKUP($C17,'Insumos testigos '!$B$5:$HN$209,214,FALSE)</f>
        <v>207.78260121739402</v>
      </c>
      <c r="AQ17" s="1654">
        <f>VLOOKUP($C17,'Insumos testigos '!$B$5:$HN$209,215,FALSE)</f>
        <v>212.30730431788407</v>
      </c>
      <c r="AR17" s="1654">
        <f>VLOOKUP($C17,'Insumos testigos '!$B$5:$HN$209,216,FALSE)</f>
        <v>207.14447226934826</v>
      </c>
      <c r="AS17" s="1654">
        <f>VLOOKUP($C17,'Insumos testigos '!$B$5:$HN$209,217,FALSE)</f>
        <v>226.44580257398854</v>
      </c>
      <c r="AT17" s="1654">
        <f>VLOOKUP($C17,'Insumos testigos '!$B$5:$HN$209,218,FALSE)</f>
        <v>232.62894101815991</v>
      </c>
      <c r="AU17" s="1654">
        <f>VLOOKUP($C17,'Insumos testigos '!$B$5:$HN$209,219,FALSE)</f>
        <v>239.01617929768528</v>
      </c>
      <c r="AV17" s="1654">
        <f>VLOOKUP($C17,'Insumos testigos '!$B$5:$HN$209,220,FALSE)</f>
        <v>245.43367008370979</v>
      </c>
      <c r="AW17" s="1654">
        <f>VLOOKUP($C17,'Insumos testigos '!$B$5:$HN$209,221,FALSE)</f>
        <v>254.38001704138787</v>
      </c>
      <c r="AX17" s="1654">
        <f>VLOOKUP($C17,'Insumos testigos '!$B$5:$HO$209,222,FALSE)</f>
        <v>256.92817075174185</v>
      </c>
      <c r="AY17" s="1654">
        <f>VLOOKUP($C17,'Insumos testigos '!$B$5:$JL$209,223,FALSE)</f>
        <v>312.71661607817589</v>
      </c>
      <c r="AZ17" s="1654">
        <f>VLOOKUP($C17,'Insumos testigos '!$B$5:$JL$209,224,FALSE)</f>
        <v>323.39007025228562</v>
      </c>
      <c r="BA17" s="1654">
        <f>VLOOKUP($C17,'Insumos testigos '!$B$5:$JL$209,225,FALSE)</f>
        <v>296.10141329778025</v>
      </c>
      <c r="BB17" s="1654">
        <f>VLOOKUP($C17,'Insumos testigos '!$B$5:$JL$209,226,FALSE)</f>
        <v>300.93287943686909</v>
      </c>
      <c r="BC17" s="1654">
        <f>VLOOKUP($C17,'Insumos testigos '!$B$5:$JL$209,227,FALSE)</f>
        <v>302.90683327480417</v>
      </c>
      <c r="BD17" s="1654">
        <f>VLOOKUP($C17,'Insumos testigos '!$B$5:$JL$209,228,FALSE)</f>
        <v>313.079601422135</v>
      </c>
      <c r="BE17" s="1654">
        <f>VLOOKUP($C17,'Insumos testigos '!$B$5:$JL$209,229,FALSE)</f>
        <v>313.85907115880201</v>
      </c>
      <c r="BF17" s="1654">
        <f>VLOOKUP($C17,'Insumos testigos '!$B$5:$JL$209,230,FALSE)</f>
        <v>313.85907115880201</v>
      </c>
      <c r="BG17" s="1654">
        <f>VLOOKUP($C17,'Insumos testigos '!$B$5:$JL$209,231,FALSE)</f>
        <v>313.85907115880201</v>
      </c>
      <c r="BH17" s="1654">
        <f>VLOOKUP($C17,'Insumos testigos '!$B$5:$JL$209,232,FALSE)</f>
        <v>313.85907115880201</v>
      </c>
      <c r="BI17" s="1654">
        <f>VLOOKUP($C17,'Insumos testigos '!$B$5:$JL$209,233,FALSE)</f>
        <v>313.85907115880201</v>
      </c>
      <c r="BJ17" s="1654">
        <f>VLOOKUP($C17,'Insumos testigos '!$B$5:$JL$209,234,FALSE)</f>
        <v>313.85907115880201</v>
      </c>
      <c r="BK17" s="1654">
        <f>VLOOKUP($C17,'Insumos testigos '!$B$5:$JL$209,235,FALSE)</f>
        <v>329.31286141793544</v>
      </c>
      <c r="BL17" s="1654">
        <f>VLOOKUP($C17,'Insumos testigos '!$B$5:$JL$209,236,FALSE)</f>
        <v>337.59047641044327</v>
      </c>
      <c r="BM17" s="1654">
        <f>VLOOKUP($C17,'Insumos testigos '!$B$5:$JL$209,237,FALSE)</f>
        <v>363.57300118626767</v>
      </c>
      <c r="BN17" s="1654">
        <f>VLOOKUP($C17,'Insumos testigos '!$B$5:$JL$209,238,FALSE)</f>
        <v>398.83735562780373</v>
      </c>
      <c r="BO17" s="1654">
        <f>VLOOKUP($C17,'Insumos testigos '!$B$5:$JL$209,239,FALSE)</f>
        <v>418.98905469047708</v>
      </c>
      <c r="BP17" s="1654">
        <f>VLOOKUP($C17,'Insumos testigos '!$B$5:$JL$209,240,FALSE)</f>
        <v>466.39639127322891</v>
      </c>
      <c r="BQ17" s="1654">
        <f>VLOOKUP($C17,'Insumos testigos '!$B$5:$JL$209,241,FALSE)</f>
        <v>524.03660900620162</v>
      </c>
      <c r="BR17" s="1654">
        <f>VLOOKUP($C17,'Insumos testigos '!$B$5:$JL$209,242,FALSE)</f>
        <v>540.72989325650349</v>
      </c>
      <c r="BS17" s="1654">
        <f>VLOOKUP($C17,'Insumos testigos '!$B$5:$JL$209,243,FALSE)</f>
        <v>573.84987512278724</v>
      </c>
      <c r="BT17" s="1654">
        <f>VLOOKUP($C17,'Insumos testigos '!$B$5:$JL$209,244,FALSE)</f>
        <v>584.74439720243038</v>
      </c>
      <c r="BU17" s="1654">
        <f>VLOOKUP($C17,'Insumos testigos '!$B$5:$JL$209,245,FALSE)</f>
        <v>595.29144973810719</v>
      </c>
      <c r="BV17" s="1654">
        <f>VLOOKUP($C17,'Insumos testigos '!$B$5:$JL$209,246,FALSE)</f>
        <v>614.99670515106243</v>
      </c>
      <c r="BW17" s="1654">
        <f>VLOOKUP($C17,'Insumos testigos '!$B$5:$JL$209,247,FALSE)</f>
        <v>620.63754208131172</v>
      </c>
      <c r="BX17" s="1654">
        <f>VLOOKUP($C17,'Insumos testigos '!$B$5:$JL$209,248,FALSE)</f>
        <v>643.93751668612833</v>
      </c>
      <c r="BY17" s="1654">
        <f>VLOOKUP($C17,'Insumos testigos '!$B$5:$JL$209,249,FALSE)</f>
        <v>660.03600809087197</v>
      </c>
      <c r="BZ17" s="1654">
        <f>VLOOKUP($C17,'Insumos testigos '!$B$5:$JL$209,250,FALSE)</f>
        <v>699.7868966901475</v>
      </c>
      <c r="CA17" s="1654">
        <f>VLOOKUP($C17,'Insumos testigos '!$B$5:$JL$209,251,FALSE)</f>
        <v>708.52997940193461</v>
      </c>
      <c r="CB17" s="1654">
        <f>VLOOKUP($C17,'Insumos testigos '!$B$5:$JL$209,252,FALSE)</f>
        <v>739.84789490800074</v>
      </c>
      <c r="CC17" s="1654">
        <f>VLOOKUP($C17,'Insumos testigos '!$B$5:$JL$209,253,FALSE)</f>
        <v>759.07609758355648</v>
      </c>
      <c r="CD17" s="1654">
        <f>VLOOKUP($C17,'Insumos testigos '!$B$5:$JL$209,254,FALSE)</f>
        <v>776.29825461466112</v>
      </c>
      <c r="CE17" s="1654">
        <f>VLOOKUP($C17,'Insumos testigos '!$B$5:$JL$209,255,FALSE)</f>
        <v>797.54408615662953</v>
      </c>
      <c r="CF17" s="1654">
        <f>VLOOKUP($C17,'Insumos testigos '!$B$5:$JL$209,256,FALSE)</f>
        <v>823.77174728647401</v>
      </c>
      <c r="CG17" s="1654">
        <f>VLOOKUP($C17,'Insumos testigos '!$B$5:$JL$209,257,FALSE)</f>
        <v>833.64304404372206</v>
      </c>
      <c r="CH17" s="1654">
        <f>VLOOKUP($C17,'Insumos testigos '!$B$5:$JL$209,258,FALSE)</f>
        <v>972.24822632087864</v>
      </c>
      <c r="CI17" s="1654">
        <f>VLOOKUP($C17,'Insumos testigos '!$B$5:$JL$209,259,FALSE)</f>
        <v>1015.0591231231066</v>
      </c>
      <c r="CJ17" s="1654">
        <f>VLOOKUP($C17,'Insumos testigos '!$B$5:$JL$209,260,FALSE)</f>
        <v>1032.0041061036777</v>
      </c>
      <c r="CK17" s="1654">
        <f>VLOOKUP($C17,'Insumos testigos '!$B$5:$JL$209,261,FALSE)</f>
        <v>1081.2513131938545</v>
      </c>
      <c r="CL17" s="1654">
        <f>VLOOKUP($C17,'Insumos testigos '!$B$5:$JL$209,262,FALSE)</f>
        <v>1130.7074162938002</v>
      </c>
      <c r="CM17" s="1654">
        <f>VLOOKUP($C17,'Insumos testigos '!$B$5:$JL$209,263,FALSE)</f>
        <v>1226.1541830415269</v>
      </c>
      <c r="CN17" s="1654">
        <f>VLOOKUP($C17,'Insumos testigos '!$B$5:$JL$209,264,FALSE)</f>
        <v>1324.9830665940715</v>
      </c>
      <c r="CO17" s="1654">
        <f>VLOOKUP($C17,'Insumos testigos '!$B$5:$JL$209,265,FALSE)</f>
        <v>1440.3322694725837</v>
      </c>
    </row>
    <row r="18" spans="2:93">
      <c r="B18" s="1651" t="s">
        <v>1062</v>
      </c>
      <c r="C18" s="1652">
        <v>109</v>
      </c>
      <c r="D18" s="1653">
        <v>3.8045650182142983E-3</v>
      </c>
      <c r="E18" s="1654">
        <v>1581.9</v>
      </c>
      <c r="F18" s="1654">
        <v>1853.9512866941311</v>
      </c>
      <c r="G18" s="1654">
        <v>2043.9863060466128</v>
      </c>
      <c r="H18" s="1654">
        <f>VLOOKUP($C18,'Insumos testigos '!$B$5:$HN$209,180,FALSE)</f>
        <v>100</v>
      </c>
      <c r="I18" s="1654">
        <f>VLOOKUP($C18,'Insumos testigos '!$B$5:$HN$209,181,FALSE)</f>
        <v>106.75621032714844</v>
      </c>
      <c r="J18" s="1654">
        <f>VLOOKUP($C18,'Insumos testigos '!$B$5:$HN$209,182,FALSE)</f>
        <v>110.54206501967201</v>
      </c>
      <c r="K18" s="1654">
        <f>VLOOKUP($C18,'Insumos testigos '!$B$5:$HN$209,183,FALSE)</f>
        <v>113.79800974460439</v>
      </c>
      <c r="L18" s="1654">
        <f>VLOOKUP($C18,'Insumos testigos '!$B$5:$HN$209,184,FALSE)</f>
        <v>117.49259563560132</v>
      </c>
      <c r="M18" s="1654">
        <f>VLOOKUP($C18,'Insumos testigos '!$B$5:$HN$209,185,FALSE)</f>
        <v>119.9629967469194</v>
      </c>
      <c r="N18" s="1654">
        <f>VLOOKUP($C18,'Insumos testigos '!$B$5:$HN$209,186,FALSE)</f>
        <v>121.99771515790587</v>
      </c>
      <c r="O18" s="1654">
        <f>VLOOKUP($C18,'Insumos testigos '!$B$5:$HN$209,187,FALSE)</f>
        <v>120.24575395583817</v>
      </c>
      <c r="P18" s="1654">
        <f>VLOOKUP($C18,'Insumos testigos '!$B$5:$HN$209,188,FALSE)</f>
        <v>120.71727006800164</v>
      </c>
      <c r="Q18" s="1654">
        <f>VLOOKUP($C18,'Insumos testigos '!$B$5:$HN$209,189,FALSE)</f>
        <v>122.4300848324183</v>
      </c>
      <c r="R18" s="1654">
        <f>VLOOKUP($C18,'Insumos testigos '!$B$5:$HN$209,190,FALSE)</f>
        <v>122.74600394751852</v>
      </c>
      <c r="S18" s="1654">
        <f>VLOOKUP($C18,'Insumos testigos '!$B$5:$HN$209,191,FALSE)</f>
        <v>122.74600394751852</v>
      </c>
      <c r="T18" s="1654">
        <f>VLOOKUP($C18,'Insumos testigos '!$B$5:$HN$209,192,FALSE)</f>
        <v>122.69968488296146</v>
      </c>
      <c r="U18" s="1654">
        <f>VLOOKUP($C18,'Insumos testigos '!$B$5:$HN$209,193,FALSE)</f>
        <v>124.78763701017829</v>
      </c>
      <c r="V18" s="1654">
        <f>VLOOKUP($C18,'Insumos testigos '!$B$5:$HN$209,194,FALSE)</f>
        <v>125.88261824962173</v>
      </c>
      <c r="W18" s="1654">
        <f>VLOOKUP($C18,'Insumos testigos '!$B$5:$HN$209,195,FALSE)</f>
        <v>127.48013717151935</v>
      </c>
      <c r="X18" s="1654">
        <f>VLOOKUP($C18,'Insumos testigos '!$B$5:$HN$209,196,FALSE)</f>
        <v>128.20742641959896</v>
      </c>
      <c r="Y18" s="1654">
        <f>VLOOKUP($C18,'Insumos testigos '!$B$5:$HN$209,197,FALSE)</f>
        <v>129.32601168812315</v>
      </c>
      <c r="Z18" s="1654">
        <f>VLOOKUP($C18,'Insumos testigos '!$B$5:$HN$209,198,FALSE)</f>
        <v>131.39401413642364</v>
      </c>
      <c r="AA18" s="1654">
        <f>VLOOKUP($C18,'Insumos testigos '!$B$5:$HN$209,199,FALSE)</f>
        <v>132.19209503474181</v>
      </c>
      <c r="AB18" s="1654">
        <f>VLOOKUP($C18,'Insumos testigos '!$B$5:$HN$209,200,FALSE)</f>
        <v>132.9550282995948</v>
      </c>
      <c r="AC18" s="1654">
        <f>VLOOKUP($C18,'Insumos testigos '!$B$5:$HN$209,201,FALSE)</f>
        <v>133.18476643197656</v>
      </c>
      <c r="AD18" s="1654">
        <f>VLOOKUP($C18,'Insumos testigos '!$B$5:$HN$209,202,FALSE)</f>
        <v>134.18327812136215</v>
      </c>
      <c r="AE18" s="1654">
        <f>VLOOKUP($C18,'Insumos testigos '!$B$5:$HN$209,203,FALSE)</f>
        <v>137.08408537537554</v>
      </c>
      <c r="AF18" s="1654">
        <f>VLOOKUP($C18,'Insumos testigos '!$B$5:$HN$209,204,FALSE)</f>
        <v>137.96500086293258</v>
      </c>
      <c r="AG18" s="1654">
        <f>VLOOKUP($C18,'Insumos testigos '!$B$5:$HN$209,205,FALSE)</f>
        <v>142.17183895939937</v>
      </c>
      <c r="AH18" s="1654">
        <f>VLOOKUP($C18,'Insumos testigos '!$B$5:$HN$209,206,FALSE)</f>
        <v>143.89962360766472</v>
      </c>
      <c r="AI18" s="1654">
        <f>VLOOKUP($C18,'Insumos testigos '!$B$5:$HN$209,207,FALSE)</f>
        <v>151.24401076360115</v>
      </c>
      <c r="AJ18" s="1654">
        <f>VLOOKUP($C18,'Insumos testigos '!$B$5:$HN$209,208,FALSE)</f>
        <v>152.40625873917159</v>
      </c>
      <c r="AK18" s="1654">
        <f>VLOOKUP($C18,'Insumos testigos '!$B$5:$HN$209,209,FALSE)</f>
        <v>157.59897844058318</v>
      </c>
      <c r="AL18" s="1654">
        <f>VLOOKUP($C18,'Insumos testigos '!$B$5:$HN$209,210,FALSE)</f>
        <v>159.83975399685983</v>
      </c>
      <c r="AM18" s="1654">
        <f>VLOOKUP($C18,'Insumos testigos '!$B$5:$HN$209,211,FALSE)</f>
        <v>160.70749939085491</v>
      </c>
      <c r="AN18" s="1654">
        <f>VLOOKUP($C18,'Insumos testigos '!$B$5:$HN$209,212,FALSE)</f>
        <v>190.43235426086932</v>
      </c>
      <c r="AO18" s="1654">
        <f>VLOOKUP($C18,'Insumos testigos '!$B$5:$HN$209,213,FALSE)</f>
        <v>204.36933912933728</v>
      </c>
      <c r="AP18" s="1654">
        <f>VLOOKUP($C18,'Insumos testigos '!$B$5:$HN$209,214,FALSE)</f>
        <v>207.78260121739402</v>
      </c>
      <c r="AQ18" s="1654">
        <f>VLOOKUP($C18,'Insumos testigos '!$B$5:$HN$209,215,FALSE)</f>
        <v>212.30730431788407</v>
      </c>
      <c r="AR18" s="1654">
        <f>VLOOKUP($C18,'Insumos testigos '!$B$5:$HN$209,216,FALSE)</f>
        <v>207.14447226934826</v>
      </c>
      <c r="AS18" s="1654">
        <f>VLOOKUP($C18,'Insumos testigos '!$B$5:$HN$209,217,FALSE)</f>
        <v>226.44580257398854</v>
      </c>
      <c r="AT18" s="1654">
        <f>VLOOKUP($C18,'Insumos testigos '!$B$5:$HN$209,218,FALSE)</f>
        <v>232.62894101815991</v>
      </c>
      <c r="AU18" s="1654">
        <f>VLOOKUP($C18,'Insumos testigos '!$B$5:$HN$209,219,FALSE)</f>
        <v>239.01617929768528</v>
      </c>
      <c r="AV18" s="1654">
        <f>VLOOKUP($C18,'Insumos testigos '!$B$5:$HN$209,220,FALSE)</f>
        <v>245.43367008370979</v>
      </c>
      <c r="AW18" s="1654">
        <f>VLOOKUP($C18,'Insumos testigos '!$B$5:$HN$209,221,FALSE)</f>
        <v>254.38001704138787</v>
      </c>
      <c r="AX18" s="1654">
        <f>VLOOKUP($C18,'Insumos testigos '!$B$5:$HO$209,222,FALSE)</f>
        <v>256.92817075174185</v>
      </c>
      <c r="AY18" s="1654">
        <f>VLOOKUP($C18,'Insumos testigos '!$B$5:$JL$209,223,FALSE)</f>
        <v>312.71661607817589</v>
      </c>
      <c r="AZ18" s="1654">
        <f>VLOOKUP($C18,'Insumos testigos '!$B$5:$JL$209,224,FALSE)</f>
        <v>323.39007025228562</v>
      </c>
      <c r="BA18" s="1654">
        <f>VLOOKUP($C18,'Insumos testigos '!$B$5:$JL$209,225,FALSE)</f>
        <v>296.10141329778025</v>
      </c>
      <c r="BB18" s="1654">
        <f>VLOOKUP($C18,'Insumos testigos '!$B$5:$JL$209,226,FALSE)</f>
        <v>300.93287943686909</v>
      </c>
      <c r="BC18" s="1654">
        <f>VLOOKUP($C18,'Insumos testigos '!$B$5:$JL$209,227,FALSE)</f>
        <v>302.90683327480417</v>
      </c>
      <c r="BD18" s="1654">
        <f>VLOOKUP($C18,'Insumos testigos '!$B$5:$JL$209,228,FALSE)</f>
        <v>313.079601422135</v>
      </c>
      <c r="BE18" s="1654">
        <f>VLOOKUP($C18,'Insumos testigos '!$B$5:$JL$209,229,FALSE)</f>
        <v>313.85907115880201</v>
      </c>
      <c r="BF18" s="1654">
        <f>VLOOKUP($C18,'Insumos testigos '!$B$5:$JL$209,230,FALSE)</f>
        <v>313.85907115880201</v>
      </c>
      <c r="BG18" s="1654">
        <f>VLOOKUP($C18,'Insumos testigos '!$B$5:$JL$209,231,FALSE)</f>
        <v>313.85907115880201</v>
      </c>
      <c r="BH18" s="1654">
        <f>VLOOKUP($C18,'Insumos testigos '!$B$5:$JL$209,232,FALSE)</f>
        <v>313.85907115880201</v>
      </c>
      <c r="BI18" s="1654">
        <f>VLOOKUP($C18,'Insumos testigos '!$B$5:$JL$209,233,FALSE)</f>
        <v>313.85907115880201</v>
      </c>
      <c r="BJ18" s="1654">
        <f>VLOOKUP($C18,'Insumos testigos '!$B$5:$JL$209,234,FALSE)</f>
        <v>313.85907115880201</v>
      </c>
      <c r="BK18" s="1654">
        <f>VLOOKUP($C18,'Insumos testigos '!$B$5:$JL$209,235,FALSE)</f>
        <v>329.31286141793544</v>
      </c>
      <c r="BL18" s="1654">
        <f>VLOOKUP($C18,'Insumos testigos '!$B$5:$JL$209,236,FALSE)</f>
        <v>337.59047641044327</v>
      </c>
      <c r="BM18" s="1654">
        <f>VLOOKUP($C18,'Insumos testigos '!$B$5:$JL$209,237,FALSE)</f>
        <v>363.57300118626767</v>
      </c>
      <c r="BN18" s="1654">
        <f>VLOOKUP($C18,'Insumos testigos '!$B$5:$JL$209,238,FALSE)</f>
        <v>398.83735562780373</v>
      </c>
      <c r="BO18" s="1654">
        <f>VLOOKUP($C18,'Insumos testigos '!$B$5:$JL$209,239,FALSE)</f>
        <v>418.98905469047708</v>
      </c>
      <c r="BP18" s="1654">
        <f>VLOOKUP($C18,'Insumos testigos '!$B$5:$JL$209,240,FALSE)</f>
        <v>466.39639127322891</v>
      </c>
      <c r="BQ18" s="1654">
        <f>VLOOKUP($C18,'Insumos testigos '!$B$5:$JL$209,241,FALSE)</f>
        <v>524.03660900620162</v>
      </c>
      <c r="BR18" s="1654">
        <f>VLOOKUP($C18,'Insumos testigos '!$B$5:$JL$209,242,FALSE)</f>
        <v>540.72989325650349</v>
      </c>
      <c r="BS18" s="1654">
        <f>VLOOKUP($C18,'Insumos testigos '!$B$5:$JL$209,243,FALSE)</f>
        <v>573.84987512278724</v>
      </c>
      <c r="BT18" s="1654">
        <f>VLOOKUP($C18,'Insumos testigos '!$B$5:$JL$209,244,FALSE)</f>
        <v>584.74439720243038</v>
      </c>
      <c r="BU18" s="1654">
        <f>VLOOKUP($C18,'Insumos testigos '!$B$5:$JL$209,245,FALSE)</f>
        <v>595.29144973810719</v>
      </c>
      <c r="BV18" s="1654">
        <f>VLOOKUP($C18,'Insumos testigos '!$B$5:$JL$209,246,FALSE)</f>
        <v>614.99670515106243</v>
      </c>
      <c r="BW18" s="1654">
        <f>VLOOKUP($C18,'Insumos testigos '!$B$5:$JL$209,247,FALSE)</f>
        <v>620.63754208131172</v>
      </c>
      <c r="BX18" s="1654">
        <f>VLOOKUP($C18,'Insumos testigos '!$B$5:$JL$209,248,FALSE)</f>
        <v>643.93751668612833</v>
      </c>
      <c r="BY18" s="1654">
        <f>VLOOKUP($C18,'Insumos testigos '!$B$5:$JL$209,249,FALSE)</f>
        <v>660.03600809087197</v>
      </c>
      <c r="BZ18" s="1654">
        <f>VLOOKUP($C18,'Insumos testigos '!$B$5:$JL$209,250,FALSE)</f>
        <v>699.7868966901475</v>
      </c>
      <c r="CA18" s="1654">
        <f>VLOOKUP($C18,'Insumos testigos '!$B$5:$JL$209,251,FALSE)</f>
        <v>708.52997940193461</v>
      </c>
      <c r="CB18" s="1654">
        <f>VLOOKUP($C18,'Insumos testigos '!$B$5:$JL$209,252,FALSE)</f>
        <v>739.84789490800074</v>
      </c>
      <c r="CC18" s="1654">
        <f>VLOOKUP($C18,'Insumos testigos '!$B$5:$JL$209,253,FALSE)</f>
        <v>759.07609758355648</v>
      </c>
      <c r="CD18" s="1654">
        <f>VLOOKUP($C18,'Insumos testigos '!$B$5:$JL$209,254,FALSE)</f>
        <v>776.29825461466112</v>
      </c>
      <c r="CE18" s="1654">
        <f>VLOOKUP($C18,'Insumos testigos '!$B$5:$JL$209,255,FALSE)</f>
        <v>797.54408615662953</v>
      </c>
      <c r="CF18" s="1654">
        <f>VLOOKUP($C18,'Insumos testigos '!$B$5:$JL$209,256,FALSE)</f>
        <v>823.77174728647401</v>
      </c>
      <c r="CG18" s="1654">
        <f>VLOOKUP($C18,'Insumos testigos '!$B$5:$JL$209,257,FALSE)</f>
        <v>833.64304404372206</v>
      </c>
      <c r="CH18" s="1654">
        <f>VLOOKUP($C18,'Insumos testigos '!$B$5:$JL$209,258,FALSE)</f>
        <v>972.24822632087864</v>
      </c>
      <c r="CI18" s="1654">
        <f>VLOOKUP($C18,'Insumos testigos '!$B$5:$JL$209,259,FALSE)</f>
        <v>1015.0591231231066</v>
      </c>
      <c r="CJ18" s="1654">
        <f>VLOOKUP($C18,'Insumos testigos '!$B$5:$JL$209,260,FALSE)</f>
        <v>1032.0041061036777</v>
      </c>
      <c r="CK18" s="1654">
        <f>VLOOKUP($C18,'Insumos testigos '!$B$5:$JL$209,261,FALSE)</f>
        <v>1081.2513131938545</v>
      </c>
      <c r="CL18" s="1654">
        <f>VLOOKUP($C18,'Insumos testigos '!$B$5:$JL$209,262,FALSE)</f>
        <v>1130.7074162938002</v>
      </c>
      <c r="CM18" s="1654">
        <f>VLOOKUP($C18,'Insumos testigos '!$B$5:$JL$209,263,FALSE)</f>
        <v>1226.1541830415269</v>
      </c>
      <c r="CN18" s="1654">
        <f>VLOOKUP($C18,'Insumos testigos '!$B$5:$JL$209,264,FALSE)</f>
        <v>1324.9830665940715</v>
      </c>
      <c r="CO18" s="1654">
        <f>VLOOKUP($C18,'Insumos testigos '!$B$5:$JL$209,265,FALSE)</f>
        <v>1440.3322694725837</v>
      </c>
    </row>
    <row r="19" spans="2:93">
      <c r="B19" s="1651" t="s">
        <v>1063</v>
      </c>
      <c r="C19" s="1652">
        <v>109</v>
      </c>
      <c r="D19" s="1653">
        <v>7.1322045070797944E-3</v>
      </c>
      <c r="E19" s="1654">
        <v>1581.9</v>
      </c>
      <c r="F19" s="1654">
        <v>1853.9512866941311</v>
      </c>
      <c r="G19" s="1654">
        <v>2043.9863060466128</v>
      </c>
      <c r="H19" s="1654">
        <f>VLOOKUP($C19,'Insumos testigos '!$B$5:$HN$209,180,FALSE)</f>
        <v>100</v>
      </c>
      <c r="I19" s="1654">
        <f>VLOOKUP($C19,'Insumos testigos '!$B$5:$HN$209,181,FALSE)</f>
        <v>106.75621032714844</v>
      </c>
      <c r="J19" s="1654">
        <f>VLOOKUP($C19,'Insumos testigos '!$B$5:$HN$209,182,FALSE)</f>
        <v>110.54206501967201</v>
      </c>
      <c r="K19" s="1654">
        <f>VLOOKUP($C19,'Insumos testigos '!$B$5:$HN$209,183,FALSE)</f>
        <v>113.79800974460439</v>
      </c>
      <c r="L19" s="1654">
        <f>VLOOKUP($C19,'Insumos testigos '!$B$5:$HN$209,184,FALSE)</f>
        <v>117.49259563560132</v>
      </c>
      <c r="M19" s="1654">
        <f>VLOOKUP($C19,'Insumos testigos '!$B$5:$HN$209,185,FALSE)</f>
        <v>119.9629967469194</v>
      </c>
      <c r="N19" s="1654">
        <f>VLOOKUP($C19,'Insumos testigos '!$B$5:$HN$209,186,FALSE)</f>
        <v>121.99771515790587</v>
      </c>
      <c r="O19" s="1654">
        <f>VLOOKUP($C19,'Insumos testigos '!$B$5:$HN$209,187,FALSE)</f>
        <v>120.24575395583817</v>
      </c>
      <c r="P19" s="1654">
        <f>VLOOKUP($C19,'Insumos testigos '!$B$5:$HN$209,188,FALSE)</f>
        <v>120.71727006800164</v>
      </c>
      <c r="Q19" s="1654">
        <f>VLOOKUP($C19,'Insumos testigos '!$B$5:$HN$209,189,FALSE)</f>
        <v>122.4300848324183</v>
      </c>
      <c r="R19" s="1654">
        <f>VLOOKUP($C19,'Insumos testigos '!$B$5:$HN$209,190,FALSE)</f>
        <v>122.74600394751852</v>
      </c>
      <c r="S19" s="1654">
        <f>VLOOKUP($C19,'Insumos testigos '!$B$5:$HN$209,191,FALSE)</f>
        <v>122.74600394751852</v>
      </c>
      <c r="T19" s="1654">
        <f>VLOOKUP($C19,'Insumos testigos '!$B$5:$HN$209,192,FALSE)</f>
        <v>122.69968488296146</v>
      </c>
      <c r="U19" s="1654">
        <f>VLOOKUP($C19,'Insumos testigos '!$B$5:$HN$209,193,FALSE)</f>
        <v>124.78763701017829</v>
      </c>
      <c r="V19" s="1654">
        <f>VLOOKUP($C19,'Insumos testigos '!$B$5:$HN$209,194,FALSE)</f>
        <v>125.88261824962173</v>
      </c>
      <c r="W19" s="1654">
        <f>VLOOKUP($C19,'Insumos testigos '!$B$5:$HN$209,195,FALSE)</f>
        <v>127.48013717151935</v>
      </c>
      <c r="X19" s="1654">
        <f>VLOOKUP($C19,'Insumos testigos '!$B$5:$HN$209,196,FALSE)</f>
        <v>128.20742641959896</v>
      </c>
      <c r="Y19" s="1654">
        <f>VLOOKUP($C19,'Insumos testigos '!$B$5:$HN$209,197,FALSE)</f>
        <v>129.32601168812315</v>
      </c>
      <c r="Z19" s="1654">
        <f>VLOOKUP($C19,'Insumos testigos '!$B$5:$HN$209,198,FALSE)</f>
        <v>131.39401413642364</v>
      </c>
      <c r="AA19" s="1654">
        <f>VLOOKUP($C19,'Insumos testigos '!$B$5:$HN$209,199,FALSE)</f>
        <v>132.19209503474181</v>
      </c>
      <c r="AB19" s="1654">
        <f>VLOOKUP($C19,'Insumos testigos '!$B$5:$HN$209,200,FALSE)</f>
        <v>132.9550282995948</v>
      </c>
      <c r="AC19" s="1654">
        <f>VLOOKUP($C19,'Insumos testigos '!$B$5:$HN$209,201,FALSE)</f>
        <v>133.18476643197656</v>
      </c>
      <c r="AD19" s="1654">
        <f>VLOOKUP($C19,'Insumos testigos '!$B$5:$HN$209,202,FALSE)</f>
        <v>134.18327812136215</v>
      </c>
      <c r="AE19" s="1654">
        <f>VLOOKUP($C19,'Insumos testigos '!$B$5:$HN$209,203,FALSE)</f>
        <v>137.08408537537554</v>
      </c>
      <c r="AF19" s="1654">
        <f>VLOOKUP($C19,'Insumos testigos '!$B$5:$HN$209,204,FALSE)</f>
        <v>137.96500086293258</v>
      </c>
      <c r="AG19" s="1654">
        <f>VLOOKUP($C19,'Insumos testigos '!$B$5:$HN$209,205,FALSE)</f>
        <v>142.17183895939937</v>
      </c>
      <c r="AH19" s="1654">
        <f>VLOOKUP($C19,'Insumos testigos '!$B$5:$HN$209,206,FALSE)</f>
        <v>143.89962360766472</v>
      </c>
      <c r="AI19" s="1654">
        <f>VLOOKUP($C19,'Insumos testigos '!$B$5:$HN$209,207,FALSE)</f>
        <v>151.24401076360115</v>
      </c>
      <c r="AJ19" s="1654">
        <f>VLOOKUP($C19,'Insumos testigos '!$B$5:$HN$209,208,FALSE)</f>
        <v>152.40625873917159</v>
      </c>
      <c r="AK19" s="1654">
        <f>VLOOKUP($C19,'Insumos testigos '!$B$5:$HN$209,209,FALSE)</f>
        <v>157.59897844058318</v>
      </c>
      <c r="AL19" s="1654">
        <f>VLOOKUP($C19,'Insumos testigos '!$B$5:$HN$209,210,FALSE)</f>
        <v>159.83975399685983</v>
      </c>
      <c r="AM19" s="1654">
        <f>VLOOKUP($C19,'Insumos testigos '!$B$5:$HN$209,211,FALSE)</f>
        <v>160.70749939085491</v>
      </c>
      <c r="AN19" s="1654">
        <f>VLOOKUP($C19,'Insumos testigos '!$B$5:$HN$209,212,FALSE)</f>
        <v>190.43235426086932</v>
      </c>
      <c r="AO19" s="1654">
        <f>VLOOKUP($C19,'Insumos testigos '!$B$5:$HN$209,213,FALSE)</f>
        <v>204.36933912933728</v>
      </c>
      <c r="AP19" s="1654">
        <f>VLOOKUP($C19,'Insumos testigos '!$B$5:$HN$209,214,FALSE)</f>
        <v>207.78260121739402</v>
      </c>
      <c r="AQ19" s="1654">
        <f>VLOOKUP($C19,'Insumos testigos '!$B$5:$HN$209,215,FALSE)</f>
        <v>212.30730431788407</v>
      </c>
      <c r="AR19" s="1654">
        <f>VLOOKUP($C19,'Insumos testigos '!$B$5:$HN$209,216,FALSE)</f>
        <v>207.14447226934826</v>
      </c>
      <c r="AS19" s="1654">
        <f>VLOOKUP($C19,'Insumos testigos '!$B$5:$HN$209,217,FALSE)</f>
        <v>226.44580257398854</v>
      </c>
      <c r="AT19" s="1654">
        <f>VLOOKUP($C19,'Insumos testigos '!$B$5:$HN$209,218,FALSE)</f>
        <v>232.62894101815991</v>
      </c>
      <c r="AU19" s="1654">
        <f>VLOOKUP($C19,'Insumos testigos '!$B$5:$HN$209,219,FALSE)</f>
        <v>239.01617929768528</v>
      </c>
      <c r="AV19" s="1654">
        <f>VLOOKUP($C19,'Insumos testigos '!$B$5:$HN$209,220,FALSE)</f>
        <v>245.43367008370979</v>
      </c>
      <c r="AW19" s="1654">
        <f>VLOOKUP($C19,'Insumos testigos '!$B$5:$HN$209,221,FALSE)</f>
        <v>254.38001704138787</v>
      </c>
      <c r="AX19" s="1654">
        <f>VLOOKUP($C19,'Insumos testigos '!$B$5:$HO$209,222,FALSE)</f>
        <v>256.92817075174185</v>
      </c>
      <c r="AY19" s="1654">
        <f>VLOOKUP($C19,'Insumos testigos '!$B$5:$JL$209,223,FALSE)</f>
        <v>312.71661607817589</v>
      </c>
      <c r="AZ19" s="1654">
        <f>VLOOKUP($C19,'Insumos testigos '!$B$5:$JL$209,224,FALSE)</f>
        <v>323.39007025228562</v>
      </c>
      <c r="BA19" s="1654">
        <f>VLOOKUP($C19,'Insumos testigos '!$B$5:$JL$209,225,FALSE)</f>
        <v>296.10141329778025</v>
      </c>
      <c r="BB19" s="1654">
        <f>VLOOKUP($C19,'Insumos testigos '!$B$5:$JL$209,226,FALSE)</f>
        <v>300.93287943686909</v>
      </c>
      <c r="BC19" s="1654">
        <f>VLOOKUP($C19,'Insumos testigos '!$B$5:$JL$209,227,FALSE)</f>
        <v>302.90683327480417</v>
      </c>
      <c r="BD19" s="1654">
        <f>VLOOKUP($C19,'Insumos testigos '!$B$5:$JL$209,228,FALSE)</f>
        <v>313.079601422135</v>
      </c>
      <c r="BE19" s="1654">
        <f>VLOOKUP($C19,'Insumos testigos '!$B$5:$JL$209,229,FALSE)</f>
        <v>313.85907115880201</v>
      </c>
      <c r="BF19" s="1654">
        <f>VLOOKUP($C19,'Insumos testigos '!$B$5:$JL$209,230,FALSE)</f>
        <v>313.85907115880201</v>
      </c>
      <c r="BG19" s="1654">
        <f>VLOOKUP($C19,'Insumos testigos '!$B$5:$JL$209,231,FALSE)</f>
        <v>313.85907115880201</v>
      </c>
      <c r="BH19" s="1654">
        <f>VLOOKUP($C19,'Insumos testigos '!$B$5:$JL$209,232,FALSE)</f>
        <v>313.85907115880201</v>
      </c>
      <c r="BI19" s="1654">
        <f>VLOOKUP($C19,'Insumos testigos '!$B$5:$JL$209,233,FALSE)</f>
        <v>313.85907115880201</v>
      </c>
      <c r="BJ19" s="1654">
        <f>VLOOKUP($C19,'Insumos testigos '!$B$5:$JL$209,234,FALSE)</f>
        <v>313.85907115880201</v>
      </c>
      <c r="BK19" s="1654">
        <f>VLOOKUP($C19,'Insumos testigos '!$B$5:$JL$209,235,FALSE)</f>
        <v>329.31286141793544</v>
      </c>
      <c r="BL19" s="1654">
        <f>VLOOKUP($C19,'Insumos testigos '!$B$5:$JL$209,236,FALSE)</f>
        <v>337.59047641044327</v>
      </c>
      <c r="BM19" s="1654">
        <f>VLOOKUP($C19,'Insumos testigos '!$B$5:$JL$209,237,FALSE)</f>
        <v>363.57300118626767</v>
      </c>
      <c r="BN19" s="1654">
        <f>VLOOKUP($C19,'Insumos testigos '!$B$5:$JL$209,238,FALSE)</f>
        <v>398.83735562780373</v>
      </c>
      <c r="BO19" s="1654">
        <f>VLOOKUP($C19,'Insumos testigos '!$B$5:$JL$209,239,FALSE)</f>
        <v>418.98905469047708</v>
      </c>
      <c r="BP19" s="1654">
        <f>VLOOKUP($C19,'Insumos testigos '!$B$5:$JL$209,240,FALSE)</f>
        <v>466.39639127322891</v>
      </c>
      <c r="BQ19" s="1654">
        <f>VLOOKUP($C19,'Insumos testigos '!$B$5:$JL$209,241,FALSE)</f>
        <v>524.03660900620162</v>
      </c>
      <c r="BR19" s="1654">
        <f>VLOOKUP($C19,'Insumos testigos '!$B$5:$JL$209,242,FALSE)</f>
        <v>540.72989325650349</v>
      </c>
      <c r="BS19" s="1654">
        <f>VLOOKUP($C19,'Insumos testigos '!$B$5:$JL$209,243,FALSE)</f>
        <v>573.84987512278724</v>
      </c>
      <c r="BT19" s="1654">
        <f>VLOOKUP($C19,'Insumos testigos '!$B$5:$JL$209,244,FALSE)</f>
        <v>584.74439720243038</v>
      </c>
      <c r="BU19" s="1654">
        <f>VLOOKUP($C19,'Insumos testigos '!$B$5:$JL$209,245,FALSE)</f>
        <v>595.29144973810719</v>
      </c>
      <c r="BV19" s="1654">
        <f>VLOOKUP($C19,'Insumos testigos '!$B$5:$JL$209,246,FALSE)</f>
        <v>614.99670515106243</v>
      </c>
      <c r="BW19" s="1654">
        <f>VLOOKUP($C19,'Insumos testigos '!$B$5:$JL$209,247,FALSE)</f>
        <v>620.63754208131172</v>
      </c>
      <c r="BX19" s="1654">
        <f>VLOOKUP($C19,'Insumos testigos '!$B$5:$JL$209,248,FALSE)</f>
        <v>643.93751668612833</v>
      </c>
      <c r="BY19" s="1654">
        <f>VLOOKUP($C19,'Insumos testigos '!$B$5:$JL$209,249,FALSE)</f>
        <v>660.03600809087197</v>
      </c>
      <c r="BZ19" s="1654">
        <f>VLOOKUP($C19,'Insumos testigos '!$B$5:$JL$209,250,FALSE)</f>
        <v>699.7868966901475</v>
      </c>
      <c r="CA19" s="1654">
        <f>VLOOKUP($C19,'Insumos testigos '!$B$5:$JL$209,251,FALSE)</f>
        <v>708.52997940193461</v>
      </c>
      <c r="CB19" s="1654">
        <f>VLOOKUP($C19,'Insumos testigos '!$B$5:$JL$209,252,FALSE)</f>
        <v>739.84789490800074</v>
      </c>
      <c r="CC19" s="1654">
        <f>VLOOKUP($C19,'Insumos testigos '!$B$5:$JL$209,253,FALSE)</f>
        <v>759.07609758355648</v>
      </c>
      <c r="CD19" s="1654">
        <f>VLOOKUP($C19,'Insumos testigos '!$B$5:$JL$209,254,FALSE)</f>
        <v>776.29825461466112</v>
      </c>
      <c r="CE19" s="1654">
        <f>VLOOKUP($C19,'Insumos testigos '!$B$5:$JL$209,255,FALSE)</f>
        <v>797.54408615662953</v>
      </c>
      <c r="CF19" s="1654">
        <f>VLOOKUP($C19,'Insumos testigos '!$B$5:$JL$209,256,FALSE)</f>
        <v>823.77174728647401</v>
      </c>
      <c r="CG19" s="1654">
        <f>VLOOKUP($C19,'Insumos testigos '!$B$5:$JL$209,257,FALSE)</f>
        <v>833.64304404372206</v>
      </c>
      <c r="CH19" s="1654">
        <f>VLOOKUP($C19,'Insumos testigos '!$B$5:$JL$209,258,FALSE)</f>
        <v>972.24822632087864</v>
      </c>
      <c r="CI19" s="1654">
        <f>VLOOKUP($C19,'Insumos testigos '!$B$5:$JL$209,259,FALSE)</f>
        <v>1015.0591231231066</v>
      </c>
      <c r="CJ19" s="1654">
        <f>VLOOKUP($C19,'Insumos testigos '!$B$5:$JL$209,260,FALSE)</f>
        <v>1032.0041061036777</v>
      </c>
      <c r="CK19" s="1654">
        <f>VLOOKUP($C19,'Insumos testigos '!$B$5:$JL$209,261,FALSE)</f>
        <v>1081.2513131938545</v>
      </c>
      <c r="CL19" s="1654">
        <f>VLOOKUP($C19,'Insumos testigos '!$B$5:$JL$209,262,FALSE)</f>
        <v>1130.7074162938002</v>
      </c>
      <c r="CM19" s="1654">
        <f>VLOOKUP($C19,'Insumos testigos '!$B$5:$JL$209,263,FALSE)</f>
        <v>1226.1541830415269</v>
      </c>
      <c r="CN19" s="1654">
        <f>VLOOKUP($C19,'Insumos testigos '!$B$5:$JL$209,264,FALSE)</f>
        <v>1324.9830665940715</v>
      </c>
      <c r="CO19" s="1654">
        <f>VLOOKUP($C19,'Insumos testigos '!$B$5:$JL$209,265,FALSE)</f>
        <v>1440.3322694725837</v>
      </c>
    </row>
    <row r="20" spans="2:93">
      <c r="B20" s="1651" t="s">
        <v>1064</v>
      </c>
      <c r="C20" s="1652">
        <v>109</v>
      </c>
      <c r="D20" s="1653">
        <v>1.5026137108972923E-2</v>
      </c>
      <c r="E20" s="1654">
        <v>1581.9</v>
      </c>
      <c r="F20" s="1654">
        <v>1853.9512866941311</v>
      </c>
      <c r="G20" s="1654">
        <v>2043.9863060466128</v>
      </c>
      <c r="H20" s="1654">
        <f>VLOOKUP($C20,'Insumos testigos '!$B$5:$HN$209,180,FALSE)</f>
        <v>100</v>
      </c>
      <c r="I20" s="1654">
        <f>VLOOKUP($C20,'Insumos testigos '!$B$5:$HN$209,181,FALSE)</f>
        <v>106.75621032714844</v>
      </c>
      <c r="J20" s="1654">
        <f>VLOOKUP($C20,'Insumos testigos '!$B$5:$HN$209,182,FALSE)</f>
        <v>110.54206501967201</v>
      </c>
      <c r="K20" s="1654">
        <f>VLOOKUP($C20,'Insumos testigos '!$B$5:$HN$209,183,FALSE)</f>
        <v>113.79800974460439</v>
      </c>
      <c r="L20" s="1654">
        <f>VLOOKUP($C20,'Insumos testigos '!$B$5:$HN$209,184,FALSE)</f>
        <v>117.49259563560132</v>
      </c>
      <c r="M20" s="1654">
        <f>VLOOKUP($C20,'Insumos testigos '!$B$5:$HN$209,185,FALSE)</f>
        <v>119.9629967469194</v>
      </c>
      <c r="N20" s="1654">
        <f>VLOOKUP($C20,'Insumos testigos '!$B$5:$HN$209,186,FALSE)</f>
        <v>121.99771515790587</v>
      </c>
      <c r="O20" s="1654">
        <f>VLOOKUP($C20,'Insumos testigos '!$B$5:$HN$209,187,FALSE)</f>
        <v>120.24575395583817</v>
      </c>
      <c r="P20" s="1654">
        <f>VLOOKUP($C20,'Insumos testigos '!$B$5:$HN$209,188,FALSE)</f>
        <v>120.71727006800164</v>
      </c>
      <c r="Q20" s="1654">
        <f>VLOOKUP($C20,'Insumos testigos '!$B$5:$HN$209,189,FALSE)</f>
        <v>122.4300848324183</v>
      </c>
      <c r="R20" s="1654">
        <f>VLOOKUP($C20,'Insumos testigos '!$B$5:$HN$209,190,FALSE)</f>
        <v>122.74600394751852</v>
      </c>
      <c r="S20" s="1654">
        <f>VLOOKUP($C20,'Insumos testigos '!$B$5:$HN$209,191,FALSE)</f>
        <v>122.74600394751852</v>
      </c>
      <c r="T20" s="1654">
        <f>VLOOKUP($C20,'Insumos testigos '!$B$5:$HN$209,192,FALSE)</f>
        <v>122.69968488296146</v>
      </c>
      <c r="U20" s="1654">
        <f>VLOOKUP($C20,'Insumos testigos '!$B$5:$HN$209,193,FALSE)</f>
        <v>124.78763701017829</v>
      </c>
      <c r="V20" s="1654">
        <f>VLOOKUP($C20,'Insumos testigos '!$B$5:$HN$209,194,FALSE)</f>
        <v>125.88261824962173</v>
      </c>
      <c r="W20" s="1654">
        <f>VLOOKUP($C20,'Insumos testigos '!$B$5:$HN$209,195,FALSE)</f>
        <v>127.48013717151935</v>
      </c>
      <c r="X20" s="1654">
        <f>VLOOKUP($C20,'Insumos testigos '!$B$5:$HN$209,196,FALSE)</f>
        <v>128.20742641959896</v>
      </c>
      <c r="Y20" s="1654">
        <f>VLOOKUP($C20,'Insumos testigos '!$B$5:$HN$209,197,FALSE)</f>
        <v>129.32601168812315</v>
      </c>
      <c r="Z20" s="1654">
        <f>VLOOKUP($C20,'Insumos testigos '!$B$5:$HN$209,198,FALSE)</f>
        <v>131.39401413642364</v>
      </c>
      <c r="AA20" s="1654">
        <f>VLOOKUP($C20,'Insumos testigos '!$B$5:$HN$209,199,FALSE)</f>
        <v>132.19209503474181</v>
      </c>
      <c r="AB20" s="1654">
        <f>VLOOKUP($C20,'Insumos testigos '!$B$5:$HN$209,200,FALSE)</f>
        <v>132.9550282995948</v>
      </c>
      <c r="AC20" s="1654">
        <f>VLOOKUP($C20,'Insumos testigos '!$B$5:$HN$209,201,FALSE)</f>
        <v>133.18476643197656</v>
      </c>
      <c r="AD20" s="1654">
        <f>VLOOKUP($C20,'Insumos testigos '!$B$5:$HN$209,202,FALSE)</f>
        <v>134.18327812136215</v>
      </c>
      <c r="AE20" s="1654">
        <f>VLOOKUP($C20,'Insumos testigos '!$B$5:$HN$209,203,FALSE)</f>
        <v>137.08408537537554</v>
      </c>
      <c r="AF20" s="1654">
        <f>VLOOKUP($C20,'Insumos testigos '!$B$5:$HN$209,204,FALSE)</f>
        <v>137.96500086293258</v>
      </c>
      <c r="AG20" s="1654">
        <f>VLOOKUP($C20,'Insumos testigos '!$B$5:$HN$209,205,FALSE)</f>
        <v>142.17183895939937</v>
      </c>
      <c r="AH20" s="1654">
        <f>VLOOKUP($C20,'Insumos testigos '!$B$5:$HN$209,206,FALSE)</f>
        <v>143.89962360766472</v>
      </c>
      <c r="AI20" s="1654">
        <f>VLOOKUP($C20,'Insumos testigos '!$B$5:$HN$209,207,FALSE)</f>
        <v>151.24401076360115</v>
      </c>
      <c r="AJ20" s="1654">
        <f>VLOOKUP($C20,'Insumos testigos '!$B$5:$HN$209,208,FALSE)</f>
        <v>152.40625873917159</v>
      </c>
      <c r="AK20" s="1654">
        <f>VLOOKUP($C20,'Insumos testigos '!$B$5:$HN$209,209,FALSE)</f>
        <v>157.59897844058318</v>
      </c>
      <c r="AL20" s="1654">
        <f>VLOOKUP($C20,'Insumos testigos '!$B$5:$HN$209,210,FALSE)</f>
        <v>159.83975399685983</v>
      </c>
      <c r="AM20" s="1654">
        <f>VLOOKUP($C20,'Insumos testigos '!$B$5:$HN$209,211,FALSE)</f>
        <v>160.70749939085491</v>
      </c>
      <c r="AN20" s="1654">
        <f>VLOOKUP($C20,'Insumos testigos '!$B$5:$HN$209,212,FALSE)</f>
        <v>190.43235426086932</v>
      </c>
      <c r="AO20" s="1654">
        <f>VLOOKUP($C20,'Insumos testigos '!$B$5:$HN$209,213,FALSE)</f>
        <v>204.36933912933728</v>
      </c>
      <c r="AP20" s="1654">
        <f>VLOOKUP($C20,'Insumos testigos '!$B$5:$HN$209,214,FALSE)</f>
        <v>207.78260121739402</v>
      </c>
      <c r="AQ20" s="1654">
        <f>VLOOKUP($C20,'Insumos testigos '!$B$5:$HN$209,215,FALSE)</f>
        <v>212.30730431788407</v>
      </c>
      <c r="AR20" s="1654">
        <f>VLOOKUP($C20,'Insumos testigos '!$B$5:$HN$209,216,FALSE)</f>
        <v>207.14447226934826</v>
      </c>
      <c r="AS20" s="1654">
        <f>VLOOKUP($C20,'Insumos testigos '!$B$5:$HN$209,217,FALSE)</f>
        <v>226.44580257398854</v>
      </c>
      <c r="AT20" s="1654">
        <f>VLOOKUP($C20,'Insumos testigos '!$B$5:$HN$209,218,FALSE)</f>
        <v>232.62894101815991</v>
      </c>
      <c r="AU20" s="1654">
        <f>VLOOKUP($C20,'Insumos testigos '!$B$5:$HN$209,219,FALSE)</f>
        <v>239.01617929768528</v>
      </c>
      <c r="AV20" s="1654">
        <f>VLOOKUP($C20,'Insumos testigos '!$B$5:$HN$209,220,FALSE)</f>
        <v>245.43367008370979</v>
      </c>
      <c r="AW20" s="1654">
        <f>VLOOKUP($C20,'Insumos testigos '!$B$5:$HN$209,221,FALSE)</f>
        <v>254.38001704138787</v>
      </c>
      <c r="AX20" s="1654">
        <f>VLOOKUP($C20,'Insumos testigos '!$B$5:$HO$209,222,FALSE)</f>
        <v>256.92817075174185</v>
      </c>
      <c r="AY20" s="1654">
        <f>VLOOKUP($C20,'Insumos testigos '!$B$5:$JL$209,223,FALSE)</f>
        <v>312.71661607817589</v>
      </c>
      <c r="AZ20" s="1654">
        <f>VLOOKUP($C20,'Insumos testigos '!$B$5:$JL$209,224,FALSE)</f>
        <v>323.39007025228562</v>
      </c>
      <c r="BA20" s="1654">
        <f>VLOOKUP($C20,'Insumos testigos '!$B$5:$JL$209,225,FALSE)</f>
        <v>296.10141329778025</v>
      </c>
      <c r="BB20" s="1654">
        <f>VLOOKUP($C20,'Insumos testigos '!$B$5:$JL$209,226,FALSE)</f>
        <v>300.93287943686909</v>
      </c>
      <c r="BC20" s="1654">
        <f>VLOOKUP($C20,'Insumos testigos '!$B$5:$JL$209,227,FALSE)</f>
        <v>302.90683327480417</v>
      </c>
      <c r="BD20" s="1654">
        <f>VLOOKUP($C20,'Insumos testigos '!$B$5:$JL$209,228,FALSE)</f>
        <v>313.079601422135</v>
      </c>
      <c r="BE20" s="1654">
        <f>VLOOKUP($C20,'Insumos testigos '!$B$5:$JL$209,229,FALSE)</f>
        <v>313.85907115880201</v>
      </c>
      <c r="BF20" s="1654">
        <f>VLOOKUP($C20,'Insumos testigos '!$B$5:$JL$209,230,FALSE)</f>
        <v>313.85907115880201</v>
      </c>
      <c r="BG20" s="1654">
        <f>VLOOKUP($C20,'Insumos testigos '!$B$5:$JL$209,231,FALSE)</f>
        <v>313.85907115880201</v>
      </c>
      <c r="BH20" s="1654">
        <f>VLOOKUP($C20,'Insumos testigos '!$B$5:$JL$209,232,FALSE)</f>
        <v>313.85907115880201</v>
      </c>
      <c r="BI20" s="1654">
        <f>VLOOKUP($C20,'Insumos testigos '!$B$5:$JL$209,233,FALSE)</f>
        <v>313.85907115880201</v>
      </c>
      <c r="BJ20" s="1654">
        <f>VLOOKUP($C20,'Insumos testigos '!$B$5:$JL$209,234,FALSE)</f>
        <v>313.85907115880201</v>
      </c>
      <c r="BK20" s="1654">
        <f>VLOOKUP($C20,'Insumos testigos '!$B$5:$JL$209,235,FALSE)</f>
        <v>329.31286141793544</v>
      </c>
      <c r="BL20" s="1654">
        <f>VLOOKUP($C20,'Insumos testigos '!$B$5:$JL$209,236,FALSE)</f>
        <v>337.59047641044327</v>
      </c>
      <c r="BM20" s="1654">
        <f>VLOOKUP($C20,'Insumos testigos '!$B$5:$JL$209,237,FALSE)</f>
        <v>363.57300118626767</v>
      </c>
      <c r="BN20" s="1654">
        <f>VLOOKUP($C20,'Insumos testigos '!$B$5:$JL$209,238,FALSE)</f>
        <v>398.83735562780373</v>
      </c>
      <c r="BO20" s="1654">
        <f>VLOOKUP($C20,'Insumos testigos '!$B$5:$JL$209,239,FALSE)</f>
        <v>418.98905469047708</v>
      </c>
      <c r="BP20" s="1654">
        <f>VLOOKUP($C20,'Insumos testigos '!$B$5:$JL$209,240,FALSE)</f>
        <v>466.39639127322891</v>
      </c>
      <c r="BQ20" s="1654">
        <f>VLOOKUP($C20,'Insumos testigos '!$B$5:$JL$209,241,FALSE)</f>
        <v>524.03660900620162</v>
      </c>
      <c r="BR20" s="1654">
        <f>VLOOKUP($C20,'Insumos testigos '!$B$5:$JL$209,242,FALSE)</f>
        <v>540.72989325650349</v>
      </c>
      <c r="BS20" s="1654">
        <f>VLOOKUP($C20,'Insumos testigos '!$B$5:$JL$209,243,FALSE)</f>
        <v>573.84987512278724</v>
      </c>
      <c r="BT20" s="1654">
        <f>VLOOKUP($C20,'Insumos testigos '!$B$5:$JL$209,244,FALSE)</f>
        <v>584.74439720243038</v>
      </c>
      <c r="BU20" s="1654">
        <f>VLOOKUP($C20,'Insumos testigos '!$B$5:$JL$209,245,FALSE)</f>
        <v>595.29144973810719</v>
      </c>
      <c r="BV20" s="1654">
        <f>VLOOKUP($C20,'Insumos testigos '!$B$5:$JL$209,246,FALSE)</f>
        <v>614.99670515106243</v>
      </c>
      <c r="BW20" s="1654">
        <f>VLOOKUP($C20,'Insumos testigos '!$B$5:$JL$209,247,FALSE)</f>
        <v>620.63754208131172</v>
      </c>
      <c r="BX20" s="1654">
        <f>VLOOKUP($C20,'Insumos testigos '!$B$5:$JL$209,248,FALSE)</f>
        <v>643.93751668612833</v>
      </c>
      <c r="BY20" s="1654">
        <f>VLOOKUP($C20,'Insumos testigos '!$B$5:$JL$209,249,FALSE)</f>
        <v>660.03600809087197</v>
      </c>
      <c r="BZ20" s="1654">
        <f>VLOOKUP($C20,'Insumos testigos '!$B$5:$JL$209,250,FALSE)</f>
        <v>699.7868966901475</v>
      </c>
      <c r="CA20" s="1654">
        <f>VLOOKUP($C20,'Insumos testigos '!$B$5:$JL$209,251,FALSE)</f>
        <v>708.52997940193461</v>
      </c>
      <c r="CB20" s="1654">
        <f>VLOOKUP($C20,'Insumos testigos '!$B$5:$JL$209,252,FALSE)</f>
        <v>739.84789490800074</v>
      </c>
      <c r="CC20" s="1654">
        <f>VLOOKUP($C20,'Insumos testigos '!$B$5:$JL$209,253,FALSE)</f>
        <v>759.07609758355648</v>
      </c>
      <c r="CD20" s="1654">
        <f>VLOOKUP($C20,'Insumos testigos '!$B$5:$JL$209,254,FALSE)</f>
        <v>776.29825461466112</v>
      </c>
      <c r="CE20" s="1654">
        <f>VLOOKUP($C20,'Insumos testigos '!$B$5:$JL$209,255,FALSE)</f>
        <v>797.54408615662953</v>
      </c>
      <c r="CF20" s="1654">
        <f>VLOOKUP($C20,'Insumos testigos '!$B$5:$JL$209,256,FALSE)</f>
        <v>823.77174728647401</v>
      </c>
      <c r="CG20" s="1654">
        <f>VLOOKUP($C20,'Insumos testigos '!$B$5:$JL$209,257,FALSE)</f>
        <v>833.64304404372206</v>
      </c>
      <c r="CH20" s="1654">
        <f>VLOOKUP($C20,'Insumos testigos '!$B$5:$JL$209,258,FALSE)</f>
        <v>972.24822632087864</v>
      </c>
      <c r="CI20" s="1654">
        <f>VLOOKUP($C20,'Insumos testigos '!$B$5:$JL$209,259,FALSE)</f>
        <v>1015.0591231231066</v>
      </c>
      <c r="CJ20" s="1654">
        <f>VLOOKUP($C20,'Insumos testigos '!$B$5:$JL$209,260,FALSE)</f>
        <v>1032.0041061036777</v>
      </c>
      <c r="CK20" s="1654">
        <f>VLOOKUP($C20,'Insumos testigos '!$B$5:$JL$209,261,FALSE)</f>
        <v>1081.2513131938545</v>
      </c>
      <c r="CL20" s="1654">
        <f>VLOOKUP($C20,'Insumos testigos '!$B$5:$JL$209,262,FALSE)</f>
        <v>1130.7074162938002</v>
      </c>
      <c r="CM20" s="1654">
        <f>VLOOKUP($C20,'Insumos testigos '!$B$5:$JL$209,263,FALSE)</f>
        <v>1226.1541830415269</v>
      </c>
      <c r="CN20" s="1654">
        <f>VLOOKUP($C20,'Insumos testigos '!$B$5:$JL$209,264,FALSE)</f>
        <v>1324.9830665940715</v>
      </c>
      <c r="CO20" s="1654">
        <f>VLOOKUP($C20,'Insumos testigos '!$B$5:$JL$209,265,FALSE)</f>
        <v>1440.3322694725837</v>
      </c>
    </row>
    <row r="21" spans="2:93">
      <c r="B21" s="1651" t="s">
        <v>1065</v>
      </c>
      <c r="C21" s="1652">
        <v>47</v>
      </c>
      <c r="D21" s="1653">
        <v>9.2235344868523111E-2</v>
      </c>
      <c r="E21" s="1654">
        <v>1505.8</v>
      </c>
      <c r="F21" s="1654">
        <v>1675.4281930800341</v>
      </c>
      <c r="G21" s="1654">
        <v>1774.3204246237256</v>
      </c>
      <c r="H21" s="1654">
        <f>VLOOKUP($C21,'Insumos testigos '!$B$5:$HN$209,180,FALSE)</f>
        <v>100</v>
      </c>
      <c r="I21" s="1654">
        <f>VLOOKUP($C21,'Insumos testigos '!$B$5:$HN$209,181,FALSE)</f>
        <v>112.24932670593262</v>
      </c>
      <c r="J21" s="1654">
        <f>VLOOKUP($C21,'Insumos testigos '!$B$5:$HN$209,182,FALSE)</f>
        <v>115.68812489169886</v>
      </c>
      <c r="K21" s="1654">
        <f>VLOOKUP($C21,'Insumos testigos '!$B$5:$HN$209,183,FALSE)</f>
        <v>120.79651352034666</v>
      </c>
      <c r="L21" s="1654">
        <f>VLOOKUP($C21,'Insumos testigos '!$B$5:$HN$209,184,FALSE)</f>
        <v>125.37066586203566</v>
      </c>
      <c r="M21" s="1654">
        <f>VLOOKUP($C21,'Insumos testigos '!$B$5:$HN$209,185,FALSE)</f>
        <v>130.391645197385</v>
      </c>
      <c r="N21" s="1654">
        <f>VLOOKUP($C21,'Insumos testigos '!$B$5:$HN$209,186,FALSE)</f>
        <v>130.391645197385</v>
      </c>
      <c r="O21" s="1654">
        <f>VLOOKUP($C21,'Insumos testigos '!$B$5:$HN$209,187,FALSE)</f>
        <v>131.76718667579206</v>
      </c>
      <c r="P21" s="1654">
        <f>VLOOKUP($C21,'Insumos testigos '!$B$5:$HN$209,188,FALSE)</f>
        <v>133.04081241084208</v>
      </c>
      <c r="Q21" s="1654">
        <f>VLOOKUP($C21,'Insumos testigos '!$B$5:$HN$209,189,FALSE)</f>
        <v>137.45261638046503</v>
      </c>
      <c r="R21" s="1654">
        <f>VLOOKUP($C21,'Insumos testigos '!$B$5:$HN$209,190,FALSE)</f>
        <v>138.37088340099783</v>
      </c>
      <c r="S21" s="1654">
        <f>VLOOKUP($C21,'Insumos testigos '!$B$5:$HN$209,191,FALSE)</f>
        <v>138.59571154182353</v>
      </c>
      <c r="T21" s="1654">
        <f>VLOOKUP($C21,'Insumos testigos '!$B$5:$HN$209,192,FALSE)</f>
        <v>139.53866572979209</v>
      </c>
      <c r="U21" s="1654">
        <f>VLOOKUP($C21,'Insumos testigos '!$B$5:$HN$209,193,FALSE)</f>
        <v>142.64510559280308</v>
      </c>
      <c r="V21" s="1654">
        <f>VLOOKUP($C21,'Insumos testigos '!$B$5:$HN$209,194,FALSE)</f>
        <v>142.9481619606623</v>
      </c>
      <c r="W21" s="1654">
        <f>VLOOKUP($C21,'Insumos testigos '!$B$5:$HN$209,195,FALSE)</f>
        <v>146.4891784452733</v>
      </c>
      <c r="X21" s="1654">
        <f>VLOOKUP($C21,'Insumos testigos '!$B$5:$HN$209,196,FALSE)</f>
        <v>146.74284410781183</v>
      </c>
      <c r="Y21" s="1654">
        <f>VLOOKUP($C21,'Insumos testigos '!$B$5:$HN$209,197,FALSE)</f>
        <v>146.93897685929298</v>
      </c>
      <c r="Z21" s="1654">
        <f>VLOOKUP($C21,'Insumos testigos '!$B$5:$HN$209,198,FALSE)</f>
        <v>147.09010914397501</v>
      </c>
      <c r="AA21" s="1654">
        <f>VLOOKUP($C21,'Insumos testigos '!$B$5:$HN$209,199,FALSE)</f>
        <v>147.18400643116092</v>
      </c>
      <c r="AB21" s="1654">
        <f>VLOOKUP($C21,'Insumos testigos '!$B$5:$HN$209,200,FALSE)</f>
        <v>146.55220328961707</v>
      </c>
      <c r="AC21" s="1654">
        <f>VLOOKUP($C21,'Insumos testigos '!$B$5:$HN$209,201,FALSE)</f>
        <v>149.64842704121077</v>
      </c>
      <c r="AD21" s="1654">
        <f>VLOOKUP($C21,'Insumos testigos '!$B$5:$HN$209,202,FALSE)</f>
        <v>150.3465930349829</v>
      </c>
      <c r="AE21" s="1654">
        <f>VLOOKUP($C21,'Insumos testigos '!$B$5:$HN$209,203,FALSE)</f>
        <v>151.1951796110188</v>
      </c>
      <c r="AF21" s="1654">
        <f>VLOOKUP($C21,'Insumos testigos '!$B$5:$HN$209,204,FALSE)</f>
        <v>152.68586179868439</v>
      </c>
      <c r="AG21" s="1654">
        <f>VLOOKUP($C21,'Insumos testigos '!$B$5:$HN$209,205,FALSE)</f>
        <v>155.61074538793756</v>
      </c>
      <c r="AH21" s="1654">
        <f>VLOOKUP($C21,'Insumos testigos '!$B$5:$HN$209,206,FALSE)</f>
        <v>155.83162317187194</v>
      </c>
      <c r="AI21" s="1654">
        <f>VLOOKUP($C21,'Insumos testigos '!$B$5:$HN$209,207,FALSE)</f>
        <v>155.40103669155235</v>
      </c>
      <c r="AJ21" s="1654">
        <f>VLOOKUP($C21,'Insumos testigos '!$B$5:$HN$209,208,FALSE)</f>
        <v>158.21418810198847</v>
      </c>
      <c r="AK21" s="1654">
        <f>VLOOKUP($C21,'Insumos testigos '!$B$5:$HN$209,209,FALSE)</f>
        <v>161.81405442551466</v>
      </c>
      <c r="AL21" s="1654">
        <f>VLOOKUP($C21,'Insumos testigos '!$B$5:$HN$209,210,FALSE)</f>
        <v>162.7141136224034</v>
      </c>
      <c r="AM21" s="1654">
        <f>VLOOKUP($C21,'Insumos testigos '!$B$5:$HN$209,211,FALSE)</f>
        <v>160.80656266992713</v>
      </c>
      <c r="AN21" s="1654">
        <f>VLOOKUP($C21,'Insumos testigos '!$B$5:$HN$209,212,FALSE)</f>
        <v>194.57991504651656</v>
      </c>
      <c r="AO21" s="1654">
        <f>VLOOKUP($C21,'Insumos testigos '!$B$5:$HN$209,213,FALSE)</f>
        <v>230.33356766573127</v>
      </c>
      <c r="AP21" s="1654">
        <f>VLOOKUP($C21,'Insumos testigos '!$B$5:$HN$209,214,FALSE)</f>
        <v>233.41510782734409</v>
      </c>
      <c r="AQ21" s="1654">
        <f>VLOOKUP($C21,'Insumos testigos '!$B$5:$HN$209,215,FALSE)</f>
        <v>240.34825182585391</v>
      </c>
      <c r="AR21" s="1654">
        <f>VLOOKUP($C21,'Insumos testigos '!$B$5:$HN$209,216,FALSE)</f>
        <v>233.41451289665176</v>
      </c>
      <c r="AS21" s="1654">
        <f>VLOOKUP($C21,'Insumos testigos '!$B$5:$HN$209,217,FALSE)</f>
        <v>263.72741307368705</v>
      </c>
      <c r="AT21" s="1654">
        <f>VLOOKUP($C21,'Insumos testigos '!$B$5:$HN$209,218,FALSE)</f>
        <v>275.45585981685946</v>
      </c>
      <c r="AU21" s="1654">
        <f>VLOOKUP($C21,'Insumos testigos '!$B$5:$HN$209,219,FALSE)</f>
        <v>289.10481801164462</v>
      </c>
      <c r="AV21" s="1654">
        <f>VLOOKUP($C21,'Insumos testigos '!$B$5:$HN$209,220,FALSE)</f>
        <v>295.72335358226707</v>
      </c>
      <c r="AW21" s="1654">
        <f>VLOOKUP($C21,'Insumos testigos '!$B$5:$HN$209,221,FALSE)</f>
        <v>306.98462673962337</v>
      </c>
      <c r="AX21" s="1654">
        <f>VLOOKUP($C21,'Insumos testigos '!$B$5:$HO$209,222,FALSE)</f>
        <v>310.05415908361272</v>
      </c>
      <c r="AY21" s="1654">
        <f>VLOOKUP($C21,'Insumos testigos '!$B$5:$JL$209,223,FALSE)</f>
        <v>381.75416782369558</v>
      </c>
      <c r="AZ21" s="1654">
        <f>VLOOKUP($C21,'Insumos testigos '!$B$5:$JL$209,224,FALSE)</f>
        <v>384.0801517171779</v>
      </c>
      <c r="BA21" s="1654">
        <f>VLOOKUP($C21,'Insumos testigos '!$B$5:$JL$209,225,FALSE)</f>
        <v>358.76255225838457</v>
      </c>
      <c r="BB21" s="1654">
        <f>VLOOKUP($C21,'Insumos testigos '!$B$5:$JL$209,226,FALSE)</f>
        <v>367.28261297571629</v>
      </c>
      <c r="BC21" s="1654">
        <f>VLOOKUP($C21,'Insumos testigos '!$B$5:$JL$209,227,FALSE)</f>
        <v>383.78383047314634</v>
      </c>
      <c r="BD21" s="1654">
        <f>VLOOKUP($C21,'Insumos testigos '!$B$5:$JL$209,228,FALSE)</f>
        <v>399.59726372865026</v>
      </c>
      <c r="BE21" s="1654">
        <f>VLOOKUP($C21,'Insumos testigos '!$B$5:$JL$209,229,FALSE)</f>
        <v>401.98718782109989</v>
      </c>
      <c r="BF21" s="1654">
        <f>VLOOKUP($C21,'Insumos testigos '!$B$5:$JL$209,230,FALSE)</f>
        <v>401.98718782109989</v>
      </c>
      <c r="BG21" s="1654">
        <f>VLOOKUP($C21,'Insumos testigos '!$B$5:$JL$209,231,FALSE)</f>
        <v>401.98718782109989</v>
      </c>
      <c r="BH21" s="1654">
        <f>VLOOKUP($C21,'Insumos testigos '!$B$5:$JL$209,232,FALSE)</f>
        <v>401.98718782109989</v>
      </c>
      <c r="BI21" s="1654">
        <f>VLOOKUP($C21,'Insumos testigos '!$B$5:$JL$209,233,FALSE)</f>
        <v>401.98718782109989</v>
      </c>
      <c r="BJ21" s="1654">
        <f>VLOOKUP($C21,'Insumos testigos '!$B$5:$JL$209,234,FALSE)</f>
        <v>401.75675664436091</v>
      </c>
      <c r="BK21" s="1654">
        <f>VLOOKUP($C21,'Insumos testigos '!$B$5:$JL$209,235,FALSE)</f>
        <v>412.73693069760498</v>
      </c>
      <c r="BL21" s="1654">
        <f>VLOOKUP($C21,'Insumos testigos '!$B$5:$JL$209,236,FALSE)</f>
        <v>422.1040294521178</v>
      </c>
      <c r="BM21" s="1654">
        <f>VLOOKUP($C21,'Insumos testigos '!$B$5:$JL$209,237,FALSE)</f>
        <v>507.85152483279199</v>
      </c>
      <c r="BN21" s="1654">
        <f>VLOOKUP($C21,'Insumos testigos '!$B$5:$JL$209,238,FALSE)</f>
        <v>517.85499637855662</v>
      </c>
      <c r="BO21" s="1654">
        <f>VLOOKUP($C21,'Insumos testigos '!$B$5:$JL$209,239,FALSE)</f>
        <v>521.24681994122068</v>
      </c>
      <c r="BP21" s="1654">
        <f>VLOOKUP($C21,'Insumos testigos '!$B$5:$JL$209,240,FALSE)</f>
        <v>537.54483070974425</v>
      </c>
      <c r="BQ21" s="1654">
        <f>VLOOKUP($C21,'Insumos testigos '!$B$5:$JL$209,241,FALSE)</f>
        <v>610.32318052890707</v>
      </c>
      <c r="BR21" s="1654">
        <f>VLOOKUP($C21,'Insumos testigos '!$B$5:$JL$209,242,FALSE)</f>
        <v>622.40050050411503</v>
      </c>
      <c r="BS21" s="1654">
        <f>VLOOKUP($C21,'Insumos testigos '!$B$5:$JL$209,243,FALSE)</f>
        <v>716.73847444896171</v>
      </c>
      <c r="BT21" s="1654">
        <f>VLOOKUP($C21,'Insumos testigos '!$B$5:$JL$209,244,FALSE)</f>
        <v>762.07728806785758</v>
      </c>
      <c r="BU21" s="1654">
        <f>VLOOKUP($C21,'Insumos testigos '!$B$5:$JL$209,245,FALSE)</f>
        <v>773.29119290916628</v>
      </c>
      <c r="BV21" s="1654">
        <f>VLOOKUP($C21,'Insumos testigos '!$B$5:$JL$209,246,FALSE)</f>
        <v>784.55089557829115</v>
      </c>
      <c r="BW21" s="1654">
        <f>VLOOKUP($C21,'Insumos testigos '!$B$5:$JL$209,247,FALSE)</f>
        <v>796.99139147847916</v>
      </c>
      <c r="BX21" s="1654">
        <f>VLOOKUP($C21,'Insumos testigos '!$B$5:$JL$209,248,FALSE)</f>
        <v>812.02238345796616</v>
      </c>
      <c r="BY21" s="1654">
        <f>VLOOKUP($C21,'Insumos testigos '!$B$5:$JL$209,249,FALSE)</f>
        <v>845.21154203096103</v>
      </c>
      <c r="BZ21" s="1654">
        <f>VLOOKUP($C21,'Insumos testigos '!$B$5:$JL$209,250,FALSE)</f>
        <v>912.6230789887245</v>
      </c>
      <c r="CA21" s="1654">
        <f>VLOOKUP($C21,'Insumos testigos '!$B$5:$JL$209,251,FALSE)</f>
        <v>911.99976960018421</v>
      </c>
      <c r="CB21" s="1654">
        <f>VLOOKUP($C21,'Insumos testigos '!$B$5:$JL$209,252,FALSE)</f>
        <v>952.59591220819118</v>
      </c>
      <c r="CC21" s="1654">
        <f>VLOOKUP($C21,'Insumos testigos '!$B$5:$JL$209,253,FALSE)</f>
        <v>983.90726822296995</v>
      </c>
      <c r="CD21" s="1654">
        <f>VLOOKUP($C21,'Insumos testigos '!$B$5:$JL$209,254,FALSE)</f>
        <v>1004.2698069254609</v>
      </c>
      <c r="CE21" s="1654">
        <f>VLOOKUP($C21,'Insumos testigos '!$B$5:$JL$209,255,FALSE)</f>
        <v>1025.4596765531076</v>
      </c>
      <c r="CF21" s="1654">
        <f>VLOOKUP($C21,'Insumos testigos '!$B$5:$JL$209,256,FALSE)</f>
        <v>1066.1721616286095</v>
      </c>
      <c r="CG21" s="1654">
        <f>VLOOKUP($C21,'Insumos testigos '!$B$5:$JL$209,257,FALSE)</f>
        <v>1113.967765587742</v>
      </c>
      <c r="CH21" s="1654">
        <f>VLOOKUP($C21,'Insumos testigos '!$B$5:$JL$209,258,FALSE)</f>
        <v>1217.9376793785702</v>
      </c>
      <c r="CI21" s="1654">
        <f>VLOOKUP($C21,'Insumos testigos '!$B$5:$JL$209,259,FALSE)</f>
        <v>1243.3198481001593</v>
      </c>
      <c r="CJ21" s="1654">
        <f>VLOOKUP($C21,'Insumos testigos '!$B$5:$JL$209,260,FALSE)</f>
        <v>1262.0364585846623</v>
      </c>
      <c r="CK21" s="1654">
        <f>VLOOKUP($C21,'Insumos testigos '!$B$5:$JL$209,261,FALSE)</f>
        <v>1314.4569145222376</v>
      </c>
      <c r="CL21" s="1654">
        <f>VLOOKUP($C21,'Insumos testigos '!$B$5:$JL$209,262,FALSE)</f>
        <v>1388.7198759159407</v>
      </c>
      <c r="CM21" s="1654">
        <f>VLOOKUP($C21,'Insumos testigos '!$B$5:$JL$209,263,FALSE)</f>
        <v>1461.9424313814241</v>
      </c>
      <c r="CN21" s="1654">
        <f>VLOOKUP($C21,'Insumos testigos '!$B$5:$JL$209,264,FALSE)</f>
        <v>1548.5985534464585</v>
      </c>
      <c r="CO21" s="1654">
        <f>VLOOKUP($C21,'Insumos testigos '!$B$5:$JL$209,265,FALSE)</f>
        <v>1713.8436166055687</v>
      </c>
    </row>
    <row r="22" spans="2:93">
      <c r="B22" s="1651" t="s">
        <v>1066</v>
      </c>
      <c r="C22" s="1652">
        <v>47</v>
      </c>
      <c r="D22" s="1653">
        <v>1.7927009159990931E-2</v>
      </c>
      <c r="E22" s="1654">
        <v>1505.8</v>
      </c>
      <c r="F22" s="1654">
        <v>1675.4281930800341</v>
      </c>
      <c r="G22" s="1654">
        <v>1774.3204246237256</v>
      </c>
      <c r="H22" s="1654">
        <f>VLOOKUP($C22,'Insumos testigos '!$B$5:$HN$209,180,FALSE)</f>
        <v>100</v>
      </c>
      <c r="I22" s="1654">
        <f>VLOOKUP($C22,'Insumos testigos '!$B$5:$HN$209,181,FALSE)</f>
        <v>112.24932670593262</v>
      </c>
      <c r="J22" s="1654">
        <f>VLOOKUP($C22,'Insumos testigos '!$B$5:$HN$209,182,FALSE)</f>
        <v>115.68812489169886</v>
      </c>
      <c r="K22" s="1654">
        <f>VLOOKUP($C22,'Insumos testigos '!$B$5:$HN$209,183,FALSE)</f>
        <v>120.79651352034666</v>
      </c>
      <c r="L22" s="1654">
        <f>VLOOKUP($C22,'Insumos testigos '!$B$5:$HN$209,184,FALSE)</f>
        <v>125.37066586203566</v>
      </c>
      <c r="M22" s="1654">
        <f>VLOOKUP($C22,'Insumos testigos '!$B$5:$HN$209,185,FALSE)</f>
        <v>130.391645197385</v>
      </c>
      <c r="N22" s="1654">
        <f>VLOOKUP($C22,'Insumos testigos '!$B$5:$HN$209,186,FALSE)</f>
        <v>130.391645197385</v>
      </c>
      <c r="O22" s="1654">
        <f>VLOOKUP($C22,'Insumos testigos '!$B$5:$HN$209,187,FALSE)</f>
        <v>131.76718667579206</v>
      </c>
      <c r="P22" s="1654">
        <f>VLOOKUP($C22,'Insumos testigos '!$B$5:$HN$209,188,FALSE)</f>
        <v>133.04081241084208</v>
      </c>
      <c r="Q22" s="1654">
        <f>VLOOKUP($C22,'Insumos testigos '!$B$5:$HN$209,189,FALSE)</f>
        <v>137.45261638046503</v>
      </c>
      <c r="R22" s="1654">
        <f>VLOOKUP($C22,'Insumos testigos '!$B$5:$HN$209,190,FALSE)</f>
        <v>138.37088340099783</v>
      </c>
      <c r="S22" s="1654">
        <f>VLOOKUP($C22,'Insumos testigos '!$B$5:$HN$209,191,FALSE)</f>
        <v>138.59571154182353</v>
      </c>
      <c r="T22" s="1654">
        <f>VLOOKUP($C22,'Insumos testigos '!$B$5:$HN$209,192,FALSE)</f>
        <v>139.53866572979209</v>
      </c>
      <c r="U22" s="1654">
        <f>VLOOKUP($C22,'Insumos testigos '!$B$5:$HN$209,193,FALSE)</f>
        <v>142.64510559280308</v>
      </c>
      <c r="V22" s="1654">
        <f>VLOOKUP($C22,'Insumos testigos '!$B$5:$HN$209,194,FALSE)</f>
        <v>142.9481619606623</v>
      </c>
      <c r="W22" s="1654">
        <f>VLOOKUP($C22,'Insumos testigos '!$B$5:$HN$209,195,FALSE)</f>
        <v>146.4891784452733</v>
      </c>
      <c r="X22" s="1654">
        <f>VLOOKUP($C22,'Insumos testigos '!$B$5:$HN$209,196,FALSE)</f>
        <v>146.74284410781183</v>
      </c>
      <c r="Y22" s="1654">
        <f>VLOOKUP($C22,'Insumos testigos '!$B$5:$HN$209,197,FALSE)</f>
        <v>146.93897685929298</v>
      </c>
      <c r="Z22" s="1654">
        <f>VLOOKUP($C22,'Insumos testigos '!$B$5:$HN$209,198,FALSE)</f>
        <v>147.09010914397501</v>
      </c>
      <c r="AA22" s="1654">
        <f>VLOOKUP($C22,'Insumos testigos '!$B$5:$HN$209,199,FALSE)</f>
        <v>147.18400643116092</v>
      </c>
      <c r="AB22" s="1654">
        <f>VLOOKUP($C22,'Insumos testigos '!$B$5:$HN$209,200,FALSE)</f>
        <v>146.55220328961707</v>
      </c>
      <c r="AC22" s="1654">
        <f>VLOOKUP($C22,'Insumos testigos '!$B$5:$HN$209,201,FALSE)</f>
        <v>149.64842704121077</v>
      </c>
      <c r="AD22" s="1654">
        <f>VLOOKUP($C22,'Insumos testigos '!$B$5:$HN$209,202,FALSE)</f>
        <v>150.3465930349829</v>
      </c>
      <c r="AE22" s="1654">
        <f>VLOOKUP($C22,'Insumos testigos '!$B$5:$HN$209,203,FALSE)</f>
        <v>151.1951796110188</v>
      </c>
      <c r="AF22" s="1654">
        <f>VLOOKUP($C22,'Insumos testigos '!$B$5:$HN$209,204,FALSE)</f>
        <v>152.68586179868439</v>
      </c>
      <c r="AG22" s="1654">
        <f>VLOOKUP($C22,'Insumos testigos '!$B$5:$HN$209,205,FALSE)</f>
        <v>155.61074538793756</v>
      </c>
      <c r="AH22" s="1654">
        <f>VLOOKUP($C22,'Insumos testigos '!$B$5:$HN$209,206,FALSE)</f>
        <v>155.83162317187194</v>
      </c>
      <c r="AI22" s="1654">
        <f>VLOOKUP($C22,'Insumos testigos '!$B$5:$HN$209,207,FALSE)</f>
        <v>155.40103669155235</v>
      </c>
      <c r="AJ22" s="1654">
        <f>VLOOKUP($C22,'Insumos testigos '!$B$5:$HN$209,208,FALSE)</f>
        <v>158.21418810198847</v>
      </c>
      <c r="AK22" s="1654">
        <f>VLOOKUP($C22,'Insumos testigos '!$B$5:$HN$209,209,FALSE)</f>
        <v>161.81405442551466</v>
      </c>
      <c r="AL22" s="1654">
        <f>VLOOKUP($C22,'Insumos testigos '!$B$5:$HN$209,210,FALSE)</f>
        <v>162.7141136224034</v>
      </c>
      <c r="AM22" s="1654">
        <f>VLOOKUP($C22,'Insumos testigos '!$B$5:$HN$209,211,FALSE)</f>
        <v>160.80656266992713</v>
      </c>
      <c r="AN22" s="1654">
        <f>VLOOKUP($C22,'Insumos testigos '!$B$5:$HN$209,212,FALSE)</f>
        <v>194.57991504651656</v>
      </c>
      <c r="AO22" s="1654">
        <f>VLOOKUP($C22,'Insumos testigos '!$B$5:$HN$209,213,FALSE)</f>
        <v>230.33356766573127</v>
      </c>
      <c r="AP22" s="1654">
        <f>VLOOKUP($C22,'Insumos testigos '!$B$5:$HN$209,214,FALSE)</f>
        <v>233.41510782734409</v>
      </c>
      <c r="AQ22" s="1654">
        <f>VLOOKUP($C22,'Insumos testigos '!$B$5:$HN$209,215,FALSE)</f>
        <v>240.34825182585391</v>
      </c>
      <c r="AR22" s="1654">
        <f>VLOOKUP($C22,'Insumos testigos '!$B$5:$HN$209,216,FALSE)</f>
        <v>233.41451289665176</v>
      </c>
      <c r="AS22" s="1654">
        <f>VLOOKUP($C22,'Insumos testigos '!$B$5:$HN$209,217,FALSE)</f>
        <v>263.72741307368705</v>
      </c>
      <c r="AT22" s="1654">
        <f>VLOOKUP($C22,'Insumos testigos '!$B$5:$HN$209,218,FALSE)</f>
        <v>275.45585981685946</v>
      </c>
      <c r="AU22" s="1654">
        <f>VLOOKUP($C22,'Insumos testigos '!$B$5:$HN$209,219,FALSE)</f>
        <v>289.10481801164462</v>
      </c>
      <c r="AV22" s="1654">
        <f>VLOOKUP($C22,'Insumos testigos '!$B$5:$HN$209,220,FALSE)</f>
        <v>295.72335358226707</v>
      </c>
      <c r="AW22" s="1654">
        <f>VLOOKUP($C22,'Insumos testigos '!$B$5:$HN$209,221,FALSE)</f>
        <v>306.98462673962337</v>
      </c>
      <c r="AX22" s="1654">
        <f>VLOOKUP($C22,'Insumos testigos '!$B$5:$HO$209,222,FALSE)</f>
        <v>310.05415908361272</v>
      </c>
      <c r="AY22" s="1654">
        <f>VLOOKUP($C22,'Insumos testigos '!$B$5:$JL$209,223,FALSE)</f>
        <v>381.75416782369558</v>
      </c>
      <c r="AZ22" s="1654">
        <f>VLOOKUP($C22,'Insumos testigos '!$B$5:$JL$209,224,FALSE)</f>
        <v>384.0801517171779</v>
      </c>
      <c r="BA22" s="1654">
        <f>VLOOKUP($C22,'Insumos testigos '!$B$5:$JL$209,225,FALSE)</f>
        <v>358.76255225838457</v>
      </c>
      <c r="BB22" s="1654">
        <f>VLOOKUP($C22,'Insumos testigos '!$B$5:$JL$209,226,FALSE)</f>
        <v>367.28261297571629</v>
      </c>
      <c r="BC22" s="1654">
        <f>VLOOKUP($C22,'Insumos testigos '!$B$5:$JL$209,227,FALSE)</f>
        <v>383.78383047314634</v>
      </c>
      <c r="BD22" s="1654">
        <f>VLOOKUP($C22,'Insumos testigos '!$B$5:$JL$209,228,FALSE)</f>
        <v>399.59726372865026</v>
      </c>
      <c r="BE22" s="1654">
        <f>VLOOKUP($C22,'Insumos testigos '!$B$5:$JL$209,229,FALSE)</f>
        <v>401.98718782109989</v>
      </c>
      <c r="BF22" s="1654">
        <f>VLOOKUP($C22,'Insumos testigos '!$B$5:$JL$209,230,FALSE)</f>
        <v>401.98718782109989</v>
      </c>
      <c r="BG22" s="1654">
        <f>VLOOKUP($C22,'Insumos testigos '!$B$5:$JL$209,231,FALSE)</f>
        <v>401.98718782109989</v>
      </c>
      <c r="BH22" s="1654">
        <f>VLOOKUP($C22,'Insumos testigos '!$B$5:$JL$209,232,FALSE)</f>
        <v>401.98718782109989</v>
      </c>
      <c r="BI22" s="1654">
        <f>VLOOKUP($C22,'Insumos testigos '!$B$5:$JL$209,233,FALSE)</f>
        <v>401.98718782109989</v>
      </c>
      <c r="BJ22" s="1654">
        <f>VLOOKUP($C22,'Insumos testigos '!$B$5:$JL$209,234,FALSE)</f>
        <v>401.75675664436091</v>
      </c>
      <c r="BK22" s="1654">
        <f>VLOOKUP($C22,'Insumos testigos '!$B$5:$JL$209,235,FALSE)</f>
        <v>412.73693069760498</v>
      </c>
      <c r="BL22" s="1654">
        <f>VLOOKUP($C22,'Insumos testigos '!$B$5:$JL$209,236,FALSE)</f>
        <v>422.1040294521178</v>
      </c>
      <c r="BM22" s="1654">
        <f>VLOOKUP($C22,'Insumos testigos '!$B$5:$JL$209,237,FALSE)</f>
        <v>507.85152483279199</v>
      </c>
      <c r="BN22" s="1654">
        <f>VLOOKUP($C22,'Insumos testigos '!$B$5:$JL$209,238,FALSE)</f>
        <v>517.85499637855662</v>
      </c>
      <c r="BO22" s="1654">
        <f>VLOOKUP($C22,'Insumos testigos '!$B$5:$JL$209,239,FALSE)</f>
        <v>521.24681994122068</v>
      </c>
      <c r="BP22" s="1654">
        <f>VLOOKUP($C22,'Insumos testigos '!$B$5:$JL$209,240,FALSE)</f>
        <v>537.54483070974425</v>
      </c>
      <c r="BQ22" s="1654">
        <f>VLOOKUP($C22,'Insumos testigos '!$B$5:$JL$209,241,FALSE)</f>
        <v>610.32318052890707</v>
      </c>
      <c r="BR22" s="1654">
        <f>VLOOKUP($C22,'Insumos testigos '!$B$5:$JL$209,242,FALSE)</f>
        <v>622.40050050411503</v>
      </c>
      <c r="BS22" s="1654">
        <f>VLOOKUP($C22,'Insumos testigos '!$B$5:$JL$209,243,FALSE)</f>
        <v>716.73847444896171</v>
      </c>
      <c r="BT22" s="1654">
        <f>VLOOKUP($C22,'Insumos testigos '!$B$5:$JL$209,244,FALSE)</f>
        <v>762.07728806785758</v>
      </c>
      <c r="BU22" s="1654">
        <f>VLOOKUP($C22,'Insumos testigos '!$B$5:$JL$209,245,FALSE)</f>
        <v>773.29119290916628</v>
      </c>
      <c r="BV22" s="1654">
        <f>VLOOKUP($C22,'Insumos testigos '!$B$5:$JL$209,246,FALSE)</f>
        <v>784.55089557829115</v>
      </c>
      <c r="BW22" s="1654">
        <f>VLOOKUP($C22,'Insumos testigos '!$B$5:$JL$209,247,FALSE)</f>
        <v>796.99139147847916</v>
      </c>
      <c r="BX22" s="1654">
        <f>VLOOKUP($C22,'Insumos testigos '!$B$5:$JL$209,248,FALSE)</f>
        <v>812.02238345796616</v>
      </c>
      <c r="BY22" s="1654">
        <f>VLOOKUP($C22,'Insumos testigos '!$B$5:$JL$209,249,FALSE)</f>
        <v>845.21154203096103</v>
      </c>
      <c r="BZ22" s="1654">
        <f>VLOOKUP($C22,'Insumos testigos '!$B$5:$JL$209,250,FALSE)</f>
        <v>912.6230789887245</v>
      </c>
      <c r="CA22" s="1654">
        <f>VLOOKUP($C22,'Insumos testigos '!$B$5:$JL$209,251,FALSE)</f>
        <v>911.99976960018421</v>
      </c>
      <c r="CB22" s="1654">
        <f>VLOOKUP($C22,'Insumos testigos '!$B$5:$JL$209,252,FALSE)</f>
        <v>952.59591220819118</v>
      </c>
      <c r="CC22" s="1654">
        <f>VLOOKUP($C22,'Insumos testigos '!$B$5:$JL$209,253,FALSE)</f>
        <v>983.90726822296995</v>
      </c>
      <c r="CD22" s="1654">
        <f>VLOOKUP($C22,'Insumos testigos '!$B$5:$JL$209,254,FALSE)</f>
        <v>1004.2698069254609</v>
      </c>
      <c r="CE22" s="1654">
        <f>VLOOKUP($C22,'Insumos testigos '!$B$5:$JL$209,255,FALSE)</f>
        <v>1025.4596765531076</v>
      </c>
      <c r="CF22" s="1654">
        <f>VLOOKUP($C22,'Insumos testigos '!$B$5:$JL$209,256,FALSE)</f>
        <v>1066.1721616286095</v>
      </c>
      <c r="CG22" s="1654">
        <f>VLOOKUP($C22,'Insumos testigos '!$B$5:$JL$209,257,FALSE)</f>
        <v>1113.967765587742</v>
      </c>
      <c r="CH22" s="1654">
        <f>VLOOKUP($C22,'Insumos testigos '!$B$5:$JL$209,258,FALSE)</f>
        <v>1217.9376793785702</v>
      </c>
      <c r="CI22" s="1654">
        <f>VLOOKUP($C22,'Insumos testigos '!$B$5:$JL$209,259,FALSE)</f>
        <v>1243.3198481001593</v>
      </c>
      <c r="CJ22" s="1654">
        <f>VLOOKUP($C22,'Insumos testigos '!$B$5:$JL$209,260,FALSE)</f>
        <v>1262.0364585846623</v>
      </c>
      <c r="CK22" s="1654">
        <f>VLOOKUP($C22,'Insumos testigos '!$B$5:$JL$209,261,FALSE)</f>
        <v>1314.4569145222376</v>
      </c>
      <c r="CL22" s="1654">
        <f>VLOOKUP($C22,'Insumos testigos '!$B$5:$JL$209,262,FALSE)</f>
        <v>1388.7198759159407</v>
      </c>
      <c r="CM22" s="1654">
        <f>VLOOKUP($C22,'Insumos testigos '!$B$5:$JL$209,263,FALSE)</f>
        <v>1461.9424313814241</v>
      </c>
      <c r="CN22" s="1654">
        <f>VLOOKUP($C22,'Insumos testigos '!$B$5:$JL$209,264,FALSE)</f>
        <v>1548.5985534464585</v>
      </c>
      <c r="CO22" s="1654">
        <f>VLOOKUP($C22,'Insumos testigos '!$B$5:$JL$209,265,FALSE)</f>
        <v>1713.8436166055687</v>
      </c>
    </row>
    <row r="23" spans="2:93">
      <c r="B23" s="1651" t="s">
        <v>1067</v>
      </c>
      <c r="C23" s="1652">
        <v>47</v>
      </c>
      <c r="D23" s="1653">
        <v>2.2759991787152409E-2</v>
      </c>
      <c r="E23" s="1654">
        <v>1505.8</v>
      </c>
      <c r="F23" s="1654">
        <v>1675.4281930800341</v>
      </c>
      <c r="G23" s="1654">
        <v>1774.3204246237256</v>
      </c>
      <c r="H23" s="1654">
        <f>VLOOKUP($C23,'Insumos testigos '!$B$5:$HN$209,180,FALSE)</f>
        <v>100</v>
      </c>
      <c r="I23" s="1654">
        <f>VLOOKUP($C23,'Insumos testigos '!$B$5:$HN$209,181,FALSE)</f>
        <v>112.24932670593262</v>
      </c>
      <c r="J23" s="1654">
        <f>VLOOKUP($C23,'Insumos testigos '!$B$5:$HN$209,182,FALSE)</f>
        <v>115.68812489169886</v>
      </c>
      <c r="K23" s="1654">
        <f>VLOOKUP($C23,'Insumos testigos '!$B$5:$HN$209,183,FALSE)</f>
        <v>120.79651352034666</v>
      </c>
      <c r="L23" s="1654">
        <f>VLOOKUP($C23,'Insumos testigos '!$B$5:$HN$209,184,FALSE)</f>
        <v>125.37066586203566</v>
      </c>
      <c r="M23" s="1654">
        <f>VLOOKUP($C23,'Insumos testigos '!$B$5:$HN$209,185,FALSE)</f>
        <v>130.391645197385</v>
      </c>
      <c r="N23" s="1654">
        <f>VLOOKUP($C23,'Insumos testigos '!$B$5:$HN$209,186,FALSE)</f>
        <v>130.391645197385</v>
      </c>
      <c r="O23" s="1654">
        <f>VLOOKUP($C23,'Insumos testigos '!$B$5:$HN$209,187,FALSE)</f>
        <v>131.76718667579206</v>
      </c>
      <c r="P23" s="1654">
        <f>VLOOKUP($C23,'Insumos testigos '!$B$5:$HN$209,188,FALSE)</f>
        <v>133.04081241084208</v>
      </c>
      <c r="Q23" s="1654">
        <f>VLOOKUP($C23,'Insumos testigos '!$B$5:$HN$209,189,FALSE)</f>
        <v>137.45261638046503</v>
      </c>
      <c r="R23" s="1654">
        <f>VLOOKUP($C23,'Insumos testigos '!$B$5:$HN$209,190,FALSE)</f>
        <v>138.37088340099783</v>
      </c>
      <c r="S23" s="1654">
        <f>VLOOKUP($C23,'Insumos testigos '!$B$5:$HN$209,191,FALSE)</f>
        <v>138.59571154182353</v>
      </c>
      <c r="T23" s="1654">
        <f>VLOOKUP($C23,'Insumos testigos '!$B$5:$HN$209,192,FALSE)</f>
        <v>139.53866572979209</v>
      </c>
      <c r="U23" s="1654">
        <f>VLOOKUP($C23,'Insumos testigos '!$B$5:$HN$209,193,FALSE)</f>
        <v>142.64510559280308</v>
      </c>
      <c r="V23" s="1654">
        <f>VLOOKUP($C23,'Insumos testigos '!$B$5:$HN$209,194,FALSE)</f>
        <v>142.9481619606623</v>
      </c>
      <c r="W23" s="1654">
        <f>VLOOKUP($C23,'Insumos testigos '!$B$5:$HN$209,195,FALSE)</f>
        <v>146.4891784452733</v>
      </c>
      <c r="X23" s="1654">
        <f>VLOOKUP($C23,'Insumos testigos '!$B$5:$HN$209,196,FALSE)</f>
        <v>146.74284410781183</v>
      </c>
      <c r="Y23" s="1654">
        <f>VLOOKUP($C23,'Insumos testigos '!$B$5:$HN$209,197,FALSE)</f>
        <v>146.93897685929298</v>
      </c>
      <c r="Z23" s="1654">
        <f>VLOOKUP($C23,'Insumos testigos '!$B$5:$HN$209,198,FALSE)</f>
        <v>147.09010914397501</v>
      </c>
      <c r="AA23" s="1654">
        <f>VLOOKUP($C23,'Insumos testigos '!$B$5:$HN$209,199,FALSE)</f>
        <v>147.18400643116092</v>
      </c>
      <c r="AB23" s="1654">
        <f>VLOOKUP($C23,'Insumos testigos '!$B$5:$HN$209,200,FALSE)</f>
        <v>146.55220328961707</v>
      </c>
      <c r="AC23" s="1654">
        <f>VLOOKUP($C23,'Insumos testigos '!$B$5:$HN$209,201,FALSE)</f>
        <v>149.64842704121077</v>
      </c>
      <c r="AD23" s="1654">
        <f>VLOOKUP($C23,'Insumos testigos '!$B$5:$HN$209,202,FALSE)</f>
        <v>150.3465930349829</v>
      </c>
      <c r="AE23" s="1654">
        <f>VLOOKUP($C23,'Insumos testigos '!$B$5:$HN$209,203,FALSE)</f>
        <v>151.1951796110188</v>
      </c>
      <c r="AF23" s="1654">
        <f>VLOOKUP($C23,'Insumos testigos '!$B$5:$HN$209,204,FALSE)</f>
        <v>152.68586179868439</v>
      </c>
      <c r="AG23" s="1654">
        <f>VLOOKUP($C23,'Insumos testigos '!$B$5:$HN$209,205,FALSE)</f>
        <v>155.61074538793756</v>
      </c>
      <c r="AH23" s="1654">
        <f>VLOOKUP($C23,'Insumos testigos '!$B$5:$HN$209,206,FALSE)</f>
        <v>155.83162317187194</v>
      </c>
      <c r="AI23" s="1654">
        <f>VLOOKUP($C23,'Insumos testigos '!$B$5:$HN$209,207,FALSE)</f>
        <v>155.40103669155235</v>
      </c>
      <c r="AJ23" s="1654">
        <f>VLOOKUP($C23,'Insumos testigos '!$B$5:$HN$209,208,FALSE)</f>
        <v>158.21418810198847</v>
      </c>
      <c r="AK23" s="1654">
        <f>VLOOKUP($C23,'Insumos testigos '!$B$5:$HN$209,209,FALSE)</f>
        <v>161.81405442551466</v>
      </c>
      <c r="AL23" s="1654">
        <f>VLOOKUP($C23,'Insumos testigos '!$B$5:$HN$209,210,FALSE)</f>
        <v>162.7141136224034</v>
      </c>
      <c r="AM23" s="1654">
        <f>VLOOKUP($C23,'Insumos testigos '!$B$5:$HN$209,211,FALSE)</f>
        <v>160.80656266992713</v>
      </c>
      <c r="AN23" s="1654">
        <f>VLOOKUP($C23,'Insumos testigos '!$B$5:$HN$209,212,FALSE)</f>
        <v>194.57991504651656</v>
      </c>
      <c r="AO23" s="1654">
        <f>VLOOKUP($C23,'Insumos testigos '!$B$5:$HN$209,213,FALSE)</f>
        <v>230.33356766573127</v>
      </c>
      <c r="AP23" s="1654">
        <f>VLOOKUP($C23,'Insumos testigos '!$B$5:$HN$209,214,FALSE)</f>
        <v>233.41510782734409</v>
      </c>
      <c r="AQ23" s="1654">
        <f>VLOOKUP($C23,'Insumos testigos '!$B$5:$HN$209,215,FALSE)</f>
        <v>240.34825182585391</v>
      </c>
      <c r="AR23" s="1654">
        <f>VLOOKUP($C23,'Insumos testigos '!$B$5:$HN$209,216,FALSE)</f>
        <v>233.41451289665176</v>
      </c>
      <c r="AS23" s="1654">
        <f>VLOOKUP($C23,'Insumos testigos '!$B$5:$HN$209,217,FALSE)</f>
        <v>263.72741307368705</v>
      </c>
      <c r="AT23" s="1654">
        <f>VLOOKUP($C23,'Insumos testigos '!$B$5:$HN$209,218,FALSE)</f>
        <v>275.45585981685946</v>
      </c>
      <c r="AU23" s="1654">
        <f>VLOOKUP($C23,'Insumos testigos '!$B$5:$HN$209,219,FALSE)</f>
        <v>289.10481801164462</v>
      </c>
      <c r="AV23" s="1654">
        <f>VLOOKUP($C23,'Insumos testigos '!$B$5:$HN$209,220,FALSE)</f>
        <v>295.72335358226707</v>
      </c>
      <c r="AW23" s="1654">
        <f>VLOOKUP($C23,'Insumos testigos '!$B$5:$HN$209,221,FALSE)</f>
        <v>306.98462673962337</v>
      </c>
      <c r="AX23" s="1654">
        <f>VLOOKUP($C23,'Insumos testigos '!$B$5:$HO$209,222,FALSE)</f>
        <v>310.05415908361272</v>
      </c>
      <c r="AY23" s="1654">
        <f>VLOOKUP($C23,'Insumos testigos '!$B$5:$JL$209,223,FALSE)</f>
        <v>381.75416782369558</v>
      </c>
      <c r="AZ23" s="1654">
        <f>VLOOKUP($C23,'Insumos testigos '!$B$5:$JL$209,224,FALSE)</f>
        <v>384.0801517171779</v>
      </c>
      <c r="BA23" s="1654">
        <f>VLOOKUP($C23,'Insumos testigos '!$B$5:$JL$209,225,FALSE)</f>
        <v>358.76255225838457</v>
      </c>
      <c r="BB23" s="1654">
        <f>VLOOKUP($C23,'Insumos testigos '!$B$5:$JL$209,226,FALSE)</f>
        <v>367.28261297571629</v>
      </c>
      <c r="BC23" s="1654">
        <f>VLOOKUP($C23,'Insumos testigos '!$B$5:$JL$209,227,FALSE)</f>
        <v>383.78383047314634</v>
      </c>
      <c r="BD23" s="1654">
        <f>VLOOKUP($C23,'Insumos testigos '!$B$5:$JL$209,228,FALSE)</f>
        <v>399.59726372865026</v>
      </c>
      <c r="BE23" s="1654">
        <f>VLOOKUP($C23,'Insumos testigos '!$B$5:$JL$209,229,FALSE)</f>
        <v>401.98718782109989</v>
      </c>
      <c r="BF23" s="1654">
        <f>VLOOKUP($C23,'Insumos testigos '!$B$5:$JL$209,230,FALSE)</f>
        <v>401.98718782109989</v>
      </c>
      <c r="BG23" s="1654">
        <f>VLOOKUP($C23,'Insumos testigos '!$B$5:$JL$209,231,FALSE)</f>
        <v>401.98718782109989</v>
      </c>
      <c r="BH23" s="1654">
        <f>VLOOKUP($C23,'Insumos testigos '!$B$5:$JL$209,232,FALSE)</f>
        <v>401.98718782109989</v>
      </c>
      <c r="BI23" s="1654">
        <f>VLOOKUP($C23,'Insumos testigos '!$B$5:$JL$209,233,FALSE)</f>
        <v>401.98718782109989</v>
      </c>
      <c r="BJ23" s="1654">
        <f>VLOOKUP($C23,'Insumos testigos '!$B$5:$JL$209,234,FALSE)</f>
        <v>401.75675664436091</v>
      </c>
      <c r="BK23" s="1654">
        <f>VLOOKUP($C23,'Insumos testigos '!$B$5:$JL$209,235,FALSE)</f>
        <v>412.73693069760498</v>
      </c>
      <c r="BL23" s="1654">
        <f>VLOOKUP($C23,'Insumos testigos '!$B$5:$JL$209,236,FALSE)</f>
        <v>422.1040294521178</v>
      </c>
      <c r="BM23" s="1654">
        <f>VLOOKUP($C23,'Insumos testigos '!$B$5:$JL$209,237,FALSE)</f>
        <v>507.85152483279199</v>
      </c>
      <c r="BN23" s="1654">
        <f>VLOOKUP($C23,'Insumos testigos '!$B$5:$JL$209,238,FALSE)</f>
        <v>517.85499637855662</v>
      </c>
      <c r="BO23" s="1654">
        <f>VLOOKUP($C23,'Insumos testigos '!$B$5:$JL$209,239,FALSE)</f>
        <v>521.24681994122068</v>
      </c>
      <c r="BP23" s="1654">
        <f>VLOOKUP($C23,'Insumos testigos '!$B$5:$JL$209,240,FALSE)</f>
        <v>537.54483070974425</v>
      </c>
      <c r="BQ23" s="1654">
        <f>VLOOKUP($C23,'Insumos testigos '!$B$5:$JL$209,241,FALSE)</f>
        <v>610.32318052890707</v>
      </c>
      <c r="BR23" s="1654">
        <f>VLOOKUP($C23,'Insumos testigos '!$B$5:$JL$209,242,FALSE)</f>
        <v>622.40050050411503</v>
      </c>
      <c r="BS23" s="1654">
        <f>VLOOKUP($C23,'Insumos testigos '!$B$5:$JL$209,243,FALSE)</f>
        <v>716.73847444896171</v>
      </c>
      <c r="BT23" s="1654">
        <f>VLOOKUP($C23,'Insumos testigos '!$B$5:$JL$209,244,FALSE)</f>
        <v>762.07728806785758</v>
      </c>
      <c r="BU23" s="1654">
        <f>VLOOKUP($C23,'Insumos testigos '!$B$5:$JL$209,245,FALSE)</f>
        <v>773.29119290916628</v>
      </c>
      <c r="BV23" s="1654">
        <f>VLOOKUP($C23,'Insumos testigos '!$B$5:$JL$209,246,FALSE)</f>
        <v>784.55089557829115</v>
      </c>
      <c r="BW23" s="1654">
        <f>VLOOKUP($C23,'Insumos testigos '!$B$5:$JL$209,247,FALSE)</f>
        <v>796.99139147847916</v>
      </c>
      <c r="BX23" s="1654">
        <f>VLOOKUP($C23,'Insumos testigos '!$B$5:$JL$209,248,FALSE)</f>
        <v>812.02238345796616</v>
      </c>
      <c r="BY23" s="1654">
        <f>VLOOKUP($C23,'Insumos testigos '!$B$5:$JL$209,249,FALSE)</f>
        <v>845.21154203096103</v>
      </c>
      <c r="BZ23" s="1654">
        <f>VLOOKUP($C23,'Insumos testigos '!$B$5:$JL$209,250,FALSE)</f>
        <v>912.6230789887245</v>
      </c>
      <c r="CA23" s="1654">
        <f>VLOOKUP($C23,'Insumos testigos '!$B$5:$JL$209,251,FALSE)</f>
        <v>911.99976960018421</v>
      </c>
      <c r="CB23" s="1654">
        <f>VLOOKUP($C23,'Insumos testigos '!$B$5:$JL$209,252,FALSE)</f>
        <v>952.59591220819118</v>
      </c>
      <c r="CC23" s="1654">
        <f>VLOOKUP($C23,'Insumos testigos '!$B$5:$JL$209,253,FALSE)</f>
        <v>983.90726822296995</v>
      </c>
      <c r="CD23" s="1654">
        <f>VLOOKUP($C23,'Insumos testigos '!$B$5:$JL$209,254,FALSE)</f>
        <v>1004.2698069254609</v>
      </c>
      <c r="CE23" s="1654">
        <f>VLOOKUP($C23,'Insumos testigos '!$B$5:$JL$209,255,FALSE)</f>
        <v>1025.4596765531076</v>
      </c>
      <c r="CF23" s="1654">
        <f>VLOOKUP($C23,'Insumos testigos '!$B$5:$JL$209,256,FALSE)</f>
        <v>1066.1721616286095</v>
      </c>
      <c r="CG23" s="1654">
        <f>VLOOKUP($C23,'Insumos testigos '!$B$5:$JL$209,257,FALSE)</f>
        <v>1113.967765587742</v>
      </c>
      <c r="CH23" s="1654">
        <f>VLOOKUP($C23,'Insumos testigos '!$B$5:$JL$209,258,FALSE)</f>
        <v>1217.9376793785702</v>
      </c>
      <c r="CI23" s="1654">
        <f>VLOOKUP($C23,'Insumos testigos '!$B$5:$JL$209,259,FALSE)</f>
        <v>1243.3198481001593</v>
      </c>
      <c r="CJ23" s="1654">
        <f>VLOOKUP($C23,'Insumos testigos '!$B$5:$JL$209,260,FALSE)</f>
        <v>1262.0364585846623</v>
      </c>
      <c r="CK23" s="1654">
        <f>VLOOKUP($C23,'Insumos testigos '!$B$5:$JL$209,261,FALSE)</f>
        <v>1314.4569145222376</v>
      </c>
      <c r="CL23" s="1654">
        <f>VLOOKUP($C23,'Insumos testigos '!$B$5:$JL$209,262,FALSE)</f>
        <v>1388.7198759159407</v>
      </c>
      <c r="CM23" s="1654">
        <f>VLOOKUP($C23,'Insumos testigos '!$B$5:$JL$209,263,FALSE)</f>
        <v>1461.9424313814241</v>
      </c>
      <c r="CN23" s="1654">
        <f>VLOOKUP($C23,'Insumos testigos '!$B$5:$JL$209,264,FALSE)</f>
        <v>1548.5985534464585</v>
      </c>
      <c r="CO23" s="1654">
        <f>VLOOKUP($C23,'Insumos testigos '!$B$5:$JL$209,265,FALSE)</f>
        <v>1713.8436166055687</v>
      </c>
    </row>
    <row r="24" spans="2:93">
      <c r="B24" s="1651" t="s">
        <v>1068</v>
      </c>
      <c r="C24" s="1652">
        <v>47</v>
      </c>
      <c r="D24" s="1653">
        <v>2.8676024793705974E-2</v>
      </c>
      <c r="E24" s="1654">
        <v>1505.8</v>
      </c>
      <c r="F24" s="1654">
        <v>1675.4281930800341</v>
      </c>
      <c r="G24" s="1654">
        <v>1774.3204246237256</v>
      </c>
      <c r="H24" s="1654">
        <f>VLOOKUP($C24,'Insumos testigos '!$B$5:$HN$209,180,FALSE)</f>
        <v>100</v>
      </c>
      <c r="I24" s="1654">
        <f>VLOOKUP($C24,'Insumos testigos '!$B$5:$HN$209,181,FALSE)</f>
        <v>112.24932670593262</v>
      </c>
      <c r="J24" s="1654">
        <f>VLOOKUP($C24,'Insumos testigos '!$B$5:$HN$209,182,FALSE)</f>
        <v>115.68812489169886</v>
      </c>
      <c r="K24" s="1654">
        <f>VLOOKUP($C24,'Insumos testigos '!$B$5:$HN$209,183,FALSE)</f>
        <v>120.79651352034666</v>
      </c>
      <c r="L24" s="1654">
        <f>VLOOKUP($C24,'Insumos testigos '!$B$5:$HN$209,184,FALSE)</f>
        <v>125.37066586203566</v>
      </c>
      <c r="M24" s="1654">
        <f>VLOOKUP($C24,'Insumos testigos '!$B$5:$HN$209,185,FALSE)</f>
        <v>130.391645197385</v>
      </c>
      <c r="N24" s="1654">
        <f>VLOOKUP($C24,'Insumos testigos '!$B$5:$HN$209,186,FALSE)</f>
        <v>130.391645197385</v>
      </c>
      <c r="O24" s="1654">
        <f>VLOOKUP($C24,'Insumos testigos '!$B$5:$HN$209,187,FALSE)</f>
        <v>131.76718667579206</v>
      </c>
      <c r="P24" s="1654">
        <f>VLOOKUP($C24,'Insumos testigos '!$B$5:$HN$209,188,FALSE)</f>
        <v>133.04081241084208</v>
      </c>
      <c r="Q24" s="1654">
        <f>VLOOKUP($C24,'Insumos testigos '!$B$5:$HN$209,189,FALSE)</f>
        <v>137.45261638046503</v>
      </c>
      <c r="R24" s="1654">
        <f>VLOOKUP($C24,'Insumos testigos '!$B$5:$HN$209,190,FALSE)</f>
        <v>138.37088340099783</v>
      </c>
      <c r="S24" s="1654">
        <f>VLOOKUP($C24,'Insumos testigos '!$B$5:$HN$209,191,FALSE)</f>
        <v>138.59571154182353</v>
      </c>
      <c r="T24" s="1654">
        <f>VLOOKUP($C24,'Insumos testigos '!$B$5:$HN$209,192,FALSE)</f>
        <v>139.53866572979209</v>
      </c>
      <c r="U24" s="1654">
        <f>VLOOKUP($C24,'Insumos testigos '!$B$5:$HN$209,193,FALSE)</f>
        <v>142.64510559280308</v>
      </c>
      <c r="V24" s="1654">
        <f>VLOOKUP($C24,'Insumos testigos '!$B$5:$HN$209,194,FALSE)</f>
        <v>142.9481619606623</v>
      </c>
      <c r="W24" s="1654">
        <f>VLOOKUP($C24,'Insumos testigos '!$B$5:$HN$209,195,FALSE)</f>
        <v>146.4891784452733</v>
      </c>
      <c r="X24" s="1654">
        <f>VLOOKUP($C24,'Insumos testigos '!$B$5:$HN$209,196,FALSE)</f>
        <v>146.74284410781183</v>
      </c>
      <c r="Y24" s="1654">
        <f>VLOOKUP($C24,'Insumos testigos '!$B$5:$HN$209,197,FALSE)</f>
        <v>146.93897685929298</v>
      </c>
      <c r="Z24" s="1654">
        <f>VLOOKUP($C24,'Insumos testigos '!$B$5:$HN$209,198,FALSE)</f>
        <v>147.09010914397501</v>
      </c>
      <c r="AA24" s="1654">
        <f>VLOOKUP($C24,'Insumos testigos '!$B$5:$HN$209,199,FALSE)</f>
        <v>147.18400643116092</v>
      </c>
      <c r="AB24" s="1654">
        <f>VLOOKUP($C24,'Insumos testigos '!$B$5:$HN$209,200,FALSE)</f>
        <v>146.55220328961707</v>
      </c>
      <c r="AC24" s="1654">
        <f>VLOOKUP($C24,'Insumos testigos '!$B$5:$HN$209,201,FALSE)</f>
        <v>149.64842704121077</v>
      </c>
      <c r="AD24" s="1654">
        <f>VLOOKUP($C24,'Insumos testigos '!$B$5:$HN$209,202,FALSE)</f>
        <v>150.3465930349829</v>
      </c>
      <c r="AE24" s="1654">
        <f>VLOOKUP($C24,'Insumos testigos '!$B$5:$HN$209,203,FALSE)</f>
        <v>151.1951796110188</v>
      </c>
      <c r="AF24" s="1654">
        <f>VLOOKUP($C24,'Insumos testigos '!$B$5:$HN$209,204,FALSE)</f>
        <v>152.68586179868439</v>
      </c>
      <c r="AG24" s="1654">
        <f>VLOOKUP($C24,'Insumos testigos '!$B$5:$HN$209,205,FALSE)</f>
        <v>155.61074538793756</v>
      </c>
      <c r="AH24" s="1654">
        <f>VLOOKUP($C24,'Insumos testigos '!$B$5:$HN$209,206,FALSE)</f>
        <v>155.83162317187194</v>
      </c>
      <c r="AI24" s="1654">
        <f>VLOOKUP($C24,'Insumos testigos '!$B$5:$HN$209,207,FALSE)</f>
        <v>155.40103669155235</v>
      </c>
      <c r="AJ24" s="1654">
        <f>VLOOKUP($C24,'Insumos testigos '!$B$5:$HN$209,208,FALSE)</f>
        <v>158.21418810198847</v>
      </c>
      <c r="AK24" s="1654">
        <f>VLOOKUP($C24,'Insumos testigos '!$B$5:$HN$209,209,FALSE)</f>
        <v>161.81405442551466</v>
      </c>
      <c r="AL24" s="1654">
        <f>VLOOKUP($C24,'Insumos testigos '!$B$5:$HN$209,210,FALSE)</f>
        <v>162.7141136224034</v>
      </c>
      <c r="AM24" s="1654">
        <f>VLOOKUP($C24,'Insumos testigos '!$B$5:$HN$209,211,FALSE)</f>
        <v>160.80656266992713</v>
      </c>
      <c r="AN24" s="1654">
        <f>VLOOKUP($C24,'Insumos testigos '!$B$5:$HN$209,212,FALSE)</f>
        <v>194.57991504651656</v>
      </c>
      <c r="AO24" s="1654">
        <f>VLOOKUP($C24,'Insumos testigos '!$B$5:$HN$209,213,FALSE)</f>
        <v>230.33356766573127</v>
      </c>
      <c r="AP24" s="1654">
        <f>VLOOKUP($C24,'Insumos testigos '!$B$5:$HN$209,214,FALSE)</f>
        <v>233.41510782734409</v>
      </c>
      <c r="AQ24" s="1654">
        <f>VLOOKUP($C24,'Insumos testigos '!$B$5:$HN$209,215,FALSE)</f>
        <v>240.34825182585391</v>
      </c>
      <c r="AR24" s="1654">
        <f>VLOOKUP($C24,'Insumos testigos '!$B$5:$HN$209,216,FALSE)</f>
        <v>233.41451289665176</v>
      </c>
      <c r="AS24" s="1654">
        <f>VLOOKUP($C24,'Insumos testigos '!$B$5:$HN$209,217,FALSE)</f>
        <v>263.72741307368705</v>
      </c>
      <c r="AT24" s="1654">
        <f>VLOOKUP($C24,'Insumos testigos '!$B$5:$HN$209,218,FALSE)</f>
        <v>275.45585981685946</v>
      </c>
      <c r="AU24" s="1654">
        <f>VLOOKUP($C24,'Insumos testigos '!$B$5:$HN$209,219,FALSE)</f>
        <v>289.10481801164462</v>
      </c>
      <c r="AV24" s="1654">
        <f>VLOOKUP($C24,'Insumos testigos '!$B$5:$HN$209,220,FALSE)</f>
        <v>295.72335358226707</v>
      </c>
      <c r="AW24" s="1654">
        <f>VLOOKUP($C24,'Insumos testigos '!$B$5:$HN$209,221,FALSE)</f>
        <v>306.98462673962337</v>
      </c>
      <c r="AX24" s="1654">
        <f>VLOOKUP($C24,'Insumos testigos '!$B$5:$HO$209,222,FALSE)</f>
        <v>310.05415908361272</v>
      </c>
      <c r="AY24" s="1654">
        <f>VLOOKUP($C24,'Insumos testigos '!$B$5:$JL$209,223,FALSE)</f>
        <v>381.75416782369558</v>
      </c>
      <c r="AZ24" s="1654">
        <f>VLOOKUP($C24,'Insumos testigos '!$B$5:$JL$209,224,FALSE)</f>
        <v>384.0801517171779</v>
      </c>
      <c r="BA24" s="1654">
        <f>VLOOKUP($C24,'Insumos testigos '!$B$5:$JL$209,225,FALSE)</f>
        <v>358.76255225838457</v>
      </c>
      <c r="BB24" s="1654">
        <f>VLOOKUP($C24,'Insumos testigos '!$B$5:$JL$209,226,FALSE)</f>
        <v>367.28261297571629</v>
      </c>
      <c r="BC24" s="1654">
        <f>VLOOKUP($C24,'Insumos testigos '!$B$5:$JL$209,227,FALSE)</f>
        <v>383.78383047314634</v>
      </c>
      <c r="BD24" s="1654">
        <f>VLOOKUP($C24,'Insumos testigos '!$B$5:$JL$209,228,FALSE)</f>
        <v>399.59726372865026</v>
      </c>
      <c r="BE24" s="1654">
        <f>VLOOKUP($C24,'Insumos testigos '!$B$5:$JL$209,229,FALSE)</f>
        <v>401.98718782109989</v>
      </c>
      <c r="BF24" s="1654">
        <f>VLOOKUP($C24,'Insumos testigos '!$B$5:$JL$209,230,FALSE)</f>
        <v>401.98718782109989</v>
      </c>
      <c r="BG24" s="1654">
        <f>VLOOKUP($C24,'Insumos testigos '!$B$5:$JL$209,231,FALSE)</f>
        <v>401.98718782109989</v>
      </c>
      <c r="BH24" s="1654">
        <f>VLOOKUP($C24,'Insumos testigos '!$B$5:$JL$209,232,FALSE)</f>
        <v>401.98718782109989</v>
      </c>
      <c r="BI24" s="1654">
        <f>VLOOKUP($C24,'Insumos testigos '!$B$5:$JL$209,233,FALSE)</f>
        <v>401.98718782109989</v>
      </c>
      <c r="BJ24" s="1654">
        <f>VLOOKUP($C24,'Insumos testigos '!$B$5:$JL$209,234,FALSE)</f>
        <v>401.75675664436091</v>
      </c>
      <c r="BK24" s="1654">
        <f>VLOOKUP($C24,'Insumos testigos '!$B$5:$JL$209,235,FALSE)</f>
        <v>412.73693069760498</v>
      </c>
      <c r="BL24" s="1654">
        <f>VLOOKUP($C24,'Insumos testigos '!$B$5:$JL$209,236,FALSE)</f>
        <v>422.1040294521178</v>
      </c>
      <c r="BM24" s="1654">
        <f>VLOOKUP($C24,'Insumos testigos '!$B$5:$JL$209,237,FALSE)</f>
        <v>507.85152483279199</v>
      </c>
      <c r="BN24" s="1654">
        <f>VLOOKUP($C24,'Insumos testigos '!$B$5:$JL$209,238,FALSE)</f>
        <v>517.85499637855662</v>
      </c>
      <c r="BO24" s="1654">
        <f>VLOOKUP($C24,'Insumos testigos '!$B$5:$JL$209,239,FALSE)</f>
        <v>521.24681994122068</v>
      </c>
      <c r="BP24" s="1654">
        <f>VLOOKUP($C24,'Insumos testigos '!$B$5:$JL$209,240,FALSE)</f>
        <v>537.54483070974425</v>
      </c>
      <c r="BQ24" s="1654">
        <f>VLOOKUP($C24,'Insumos testigos '!$B$5:$JL$209,241,FALSE)</f>
        <v>610.32318052890707</v>
      </c>
      <c r="BR24" s="1654">
        <f>VLOOKUP($C24,'Insumos testigos '!$B$5:$JL$209,242,FALSE)</f>
        <v>622.40050050411503</v>
      </c>
      <c r="BS24" s="1654">
        <f>VLOOKUP($C24,'Insumos testigos '!$B$5:$JL$209,243,FALSE)</f>
        <v>716.73847444896171</v>
      </c>
      <c r="BT24" s="1654">
        <f>VLOOKUP($C24,'Insumos testigos '!$B$5:$JL$209,244,FALSE)</f>
        <v>762.07728806785758</v>
      </c>
      <c r="BU24" s="1654">
        <f>VLOOKUP($C24,'Insumos testigos '!$B$5:$JL$209,245,FALSE)</f>
        <v>773.29119290916628</v>
      </c>
      <c r="BV24" s="1654">
        <f>VLOOKUP($C24,'Insumos testigos '!$B$5:$JL$209,246,FALSE)</f>
        <v>784.55089557829115</v>
      </c>
      <c r="BW24" s="1654">
        <f>VLOOKUP($C24,'Insumos testigos '!$B$5:$JL$209,247,FALSE)</f>
        <v>796.99139147847916</v>
      </c>
      <c r="BX24" s="1654">
        <f>VLOOKUP($C24,'Insumos testigos '!$B$5:$JL$209,248,FALSE)</f>
        <v>812.02238345796616</v>
      </c>
      <c r="BY24" s="1654">
        <f>VLOOKUP($C24,'Insumos testigos '!$B$5:$JL$209,249,FALSE)</f>
        <v>845.21154203096103</v>
      </c>
      <c r="BZ24" s="1654">
        <f>VLOOKUP($C24,'Insumos testigos '!$B$5:$JL$209,250,FALSE)</f>
        <v>912.6230789887245</v>
      </c>
      <c r="CA24" s="1654">
        <f>VLOOKUP($C24,'Insumos testigos '!$B$5:$JL$209,251,FALSE)</f>
        <v>911.99976960018421</v>
      </c>
      <c r="CB24" s="1654">
        <f>VLOOKUP($C24,'Insumos testigos '!$B$5:$JL$209,252,FALSE)</f>
        <v>952.59591220819118</v>
      </c>
      <c r="CC24" s="1654">
        <f>VLOOKUP($C24,'Insumos testigos '!$B$5:$JL$209,253,FALSE)</f>
        <v>983.90726822296995</v>
      </c>
      <c r="CD24" s="1654">
        <f>VLOOKUP($C24,'Insumos testigos '!$B$5:$JL$209,254,FALSE)</f>
        <v>1004.2698069254609</v>
      </c>
      <c r="CE24" s="1654">
        <f>VLOOKUP($C24,'Insumos testigos '!$B$5:$JL$209,255,FALSE)</f>
        <v>1025.4596765531076</v>
      </c>
      <c r="CF24" s="1654">
        <f>VLOOKUP($C24,'Insumos testigos '!$B$5:$JL$209,256,FALSE)</f>
        <v>1066.1721616286095</v>
      </c>
      <c r="CG24" s="1654">
        <f>VLOOKUP($C24,'Insumos testigos '!$B$5:$JL$209,257,FALSE)</f>
        <v>1113.967765587742</v>
      </c>
      <c r="CH24" s="1654">
        <f>VLOOKUP($C24,'Insumos testigos '!$B$5:$JL$209,258,FALSE)</f>
        <v>1217.9376793785702</v>
      </c>
      <c r="CI24" s="1654">
        <f>VLOOKUP($C24,'Insumos testigos '!$B$5:$JL$209,259,FALSE)</f>
        <v>1243.3198481001593</v>
      </c>
      <c r="CJ24" s="1654">
        <f>VLOOKUP($C24,'Insumos testigos '!$B$5:$JL$209,260,FALSE)</f>
        <v>1262.0364585846623</v>
      </c>
      <c r="CK24" s="1654">
        <f>VLOOKUP($C24,'Insumos testigos '!$B$5:$JL$209,261,FALSE)</f>
        <v>1314.4569145222376</v>
      </c>
      <c r="CL24" s="1654">
        <f>VLOOKUP($C24,'Insumos testigos '!$B$5:$JL$209,262,FALSE)</f>
        <v>1388.7198759159407</v>
      </c>
      <c r="CM24" s="1654">
        <f>VLOOKUP($C24,'Insumos testigos '!$B$5:$JL$209,263,FALSE)</f>
        <v>1461.9424313814241</v>
      </c>
      <c r="CN24" s="1654">
        <f>VLOOKUP($C24,'Insumos testigos '!$B$5:$JL$209,264,FALSE)</f>
        <v>1548.5985534464585</v>
      </c>
      <c r="CO24" s="1654">
        <f>VLOOKUP($C24,'Insumos testigos '!$B$5:$JL$209,265,FALSE)</f>
        <v>1713.8436166055687</v>
      </c>
    </row>
    <row r="25" spans="2:93">
      <c r="B25" s="1651" t="s">
        <v>1069</v>
      </c>
      <c r="C25" s="1652">
        <v>47</v>
      </c>
      <c r="D25" s="1653">
        <v>1.8261894097819843E-2</v>
      </c>
      <c r="E25" s="1654">
        <v>1505.8</v>
      </c>
      <c r="F25" s="1654">
        <v>1675.4281930800341</v>
      </c>
      <c r="G25" s="1654">
        <v>1774.3204246237256</v>
      </c>
      <c r="H25" s="1654">
        <f>VLOOKUP($C25,'Insumos testigos '!$B$5:$HN$209,180,FALSE)</f>
        <v>100</v>
      </c>
      <c r="I25" s="1654">
        <f>VLOOKUP($C25,'Insumos testigos '!$B$5:$HN$209,181,FALSE)</f>
        <v>112.24932670593262</v>
      </c>
      <c r="J25" s="1654">
        <f>VLOOKUP($C25,'Insumos testigos '!$B$5:$HN$209,182,FALSE)</f>
        <v>115.68812489169886</v>
      </c>
      <c r="K25" s="1654">
        <f>VLOOKUP($C25,'Insumos testigos '!$B$5:$HN$209,183,FALSE)</f>
        <v>120.79651352034666</v>
      </c>
      <c r="L25" s="1654">
        <f>VLOOKUP($C25,'Insumos testigos '!$B$5:$HN$209,184,FALSE)</f>
        <v>125.37066586203566</v>
      </c>
      <c r="M25" s="1654">
        <f>VLOOKUP($C25,'Insumos testigos '!$B$5:$HN$209,185,FALSE)</f>
        <v>130.391645197385</v>
      </c>
      <c r="N25" s="1654">
        <f>VLOOKUP($C25,'Insumos testigos '!$B$5:$HN$209,186,FALSE)</f>
        <v>130.391645197385</v>
      </c>
      <c r="O25" s="1654">
        <f>VLOOKUP($C25,'Insumos testigos '!$B$5:$HN$209,187,FALSE)</f>
        <v>131.76718667579206</v>
      </c>
      <c r="P25" s="1654">
        <f>VLOOKUP($C25,'Insumos testigos '!$B$5:$HN$209,188,FALSE)</f>
        <v>133.04081241084208</v>
      </c>
      <c r="Q25" s="1654">
        <f>VLOOKUP($C25,'Insumos testigos '!$B$5:$HN$209,189,FALSE)</f>
        <v>137.45261638046503</v>
      </c>
      <c r="R25" s="1654">
        <f>VLOOKUP($C25,'Insumos testigos '!$B$5:$HN$209,190,FALSE)</f>
        <v>138.37088340099783</v>
      </c>
      <c r="S25" s="1654">
        <f>VLOOKUP($C25,'Insumos testigos '!$B$5:$HN$209,191,FALSE)</f>
        <v>138.59571154182353</v>
      </c>
      <c r="T25" s="1654">
        <f>VLOOKUP($C25,'Insumos testigos '!$B$5:$HN$209,192,FALSE)</f>
        <v>139.53866572979209</v>
      </c>
      <c r="U25" s="1654">
        <f>VLOOKUP($C25,'Insumos testigos '!$B$5:$HN$209,193,FALSE)</f>
        <v>142.64510559280308</v>
      </c>
      <c r="V25" s="1654">
        <f>VLOOKUP($C25,'Insumos testigos '!$B$5:$HN$209,194,FALSE)</f>
        <v>142.9481619606623</v>
      </c>
      <c r="W25" s="1654">
        <f>VLOOKUP($C25,'Insumos testigos '!$B$5:$HN$209,195,FALSE)</f>
        <v>146.4891784452733</v>
      </c>
      <c r="X25" s="1654">
        <f>VLOOKUP($C25,'Insumos testigos '!$B$5:$HN$209,196,FALSE)</f>
        <v>146.74284410781183</v>
      </c>
      <c r="Y25" s="1654">
        <f>VLOOKUP($C25,'Insumos testigos '!$B$5:$HN$209,197,FALSE)</f>
        <v>146.93897685929298</v>
      </c>
      <c r="Z25" s="1654">
        <f>VLOOKUP($C25,'Insumos testigos '!$B$5:$HN$209,198,FALSE)</f>
        <v>147.09010914397501</v>
      </c>
      <c r="AA25" s="1654">
        <f>VLOOKUP($C25,'Insumos testigos '!$B$5:$HN$209,199,FALSE)</f>
        <v>147.18400643116092</v>
      </c>
      <c r="AB25" s="1654">
        <f>VLOOKUP($C25,'Insumos testigos '!$B$5:$HN$209,200,FALSE)</f>
        <v>146.55220328961707</v>
      </c>
      <c r="AC25" s="1654">
        <f>VLOOKUP($C25,'Insumos testigos '!$B$5:$HN$209,201,FALSE)</f>
        <v>149.64842704121077</v>
      </c>
      <c r="AD25" s="1654">
        <f>VLOOKUP($C25,'Insumos testigos '!$B$5:$HN$209,202,FALSE)</f>
        <v>150.3465930349829</v>
      </c>
      <c r="AE25" s="1654">
        <f>VLOOKUP($C25,'Insumos testigos '!$B$5:$HN$209,203,FALSE)</f>
        <v>151.1951796110188</v>
      </c>
      <c r="AF25" s="1654">
        <f>VLOOKUP($C25,'Insumos testigos '!$B$5:$HN$209,204,FALSE)</f>
        <v>152.68586179868439</v>
      </c>
      <c r="AG25" s="1654">
        <f>VLOOKUP($C25,'Insumos testigos '!$B$5:$HN$209,205,FALSE)</f>
        <v>155.61074538793756</v>
      </c>
      <c r="AH25" s="1654">
        <f>VLOOKUP($C25,'Insumos testigos '!$B$5:$HN$209,206,FALSE)</f>
        <v>155.83162317187194</v>
      </c>
      <c r="AI25" s="1654">
        <f>VLOOKUP($C25,'Insumos testigos '!$B$5:$HN$209,207,FALSE)</f>
        <v>155.40103669155235</v>
      </c>
      <c r="AJ25" s="1654">
        <f>VLOOKUP($C25,'Insumos testigos '!$B$5:$HN$209,208,FALSE)</f>
        <v>158.21418810198847</v>
      </c>
      <c r="AK25" s="1654">
        <f>VLOOKUP($C25,'Insumos testigos '!$B$5:$HN$209,209,FALSE)</f>
        <v>161.81405442551466</v>
      </c>
      <c r="AL25" s="1654">
        <f>VLOOKUP($C25,'Insumos testigos '!$B$5:$HN$209,210,FALSE)</f>
        <v>162.7141136224034</v>
      </c>
      <c r="AM25" s="1654">
        <f>VLOOKUP($C25,'Insumos testigos '!$B$5:$HN$209,211,FALSE)</f>
        <v>160.80656266992713</v>
      </c>
      <c r="AN25" s="1654">
        <f>VLOOKUP($C25,'Insumos testigos '!$B$5:$HN$209,212,FALSE)</f>
        <v>194.57991504651656</v>
      </c>
      <c r="AO25" s="1654">
        <f>VLOOKUP($C25,'Insumos testigos '!$B$5:$HN$209,213,FALSE)</f>
        <v>230.33356766573127</v>
      </c>
      <c r="AP25" s="1654">
        <f>VLOOKUP($C25,'Insumos testigos '!$B$5:$HN$209,214,FALSE)</f>
        <v>233.41510782734409</v>
      </c>
      <c r="AQ25" s="1654">
        <f>VLOOKUP($C25,'Insumos testigos '!$B$5:$HN$209,215,FALSE)</f>
        <v>240.34825182585391</v>
      </c>
      <c r="AR25" s="1654">
        <f>VLOOKUP($C25,'Insumos testigos '!$B$5:$HN$209,216,FALSE)</f>
        <v>233.41451289665176</v>
      </c>
      <c r="AS25" s="1654">
        <f>VLOOKUP($C25,'Insumos testigos '!$B$5:$HN$209,217,FALSE)</f>
        <v>263.72741307368705</v>
      </c>
      <c r="AT25" s="1654">
        <f>VLOOKUP($C25,'Insumos testigos '!$B$5:$HN$209,218,FALSE)</f>
        <v>275.45585981685946</v>
      </c>
      <c r="AU25" s="1654">
        <f>VLOOKUP($C25,'Insumos testigos '!$B$5:$HN$209,219,FALSE)</f>
        <v>289.10481801164462</v>
      </c>
      <c r="AV25" s="1654">
        <f>VLOOKUP($C25,'Insumos testigos '!$B$5:$HN$209,220,FALSE)</f>
        <v>295.72335358226707</v>
      </c>
      <c r="AW25" s="1654">
        <f>VLOOKUP($C25,'Insumos testigos '!$B$5:$HN$209,221,FALSE)</f>
        <v>306.98462673962337</v>
      </c>
      <c r="AX25" s="1654">
        <f>VLOOKUP($C25,'Insumos testigos '!$B$5:$HO$209,222,FALSE)</f>
        <v>310.05415908361272</v>
      </c>
      <c r="AY25" s="1654">
        <f>VLOOKUP($C25,'Insumos testigos '!$B$5:$JL$209,223,FALSE)</f>
        <v>381.75416782369558</v>
      </c>
      <c r="AZ25" s="1654">
        <f>VLOOKUP($C25,'Insumos testigos '!$B$5:$JL$209,224,FALSE)</f>
        <v>384.0801517171779</v>
      </c>
      <c r="BA25" s="1654">
        <f>VLOOKUP($C25,'Insumos testigos '!$B$5:$JL$209,225,FALSE)</f>
        <v>358.76255225838457</v>
      </c>
      <c r="BB25" s="1654">
        <f>VLOOKUP($C25,'Insumos testigos '!$B$5:$JL$209,226,FALSE)</f>
        <v>367.28261297571629</v>
      </c>
      <c r="BC25" s="1654">
        <f>VLOOKUP($C25,'Insumos testigos '!$B$5:$JL$209,227,FALSE)</f>
        <v>383.78383047314634</v>
      </c>
      <c r="BD25" s="1654">
        <f>VLOOKUP($C25,'Insumos testigos '!$B$5:$JL$209,228,FALSE)</f>
        <v>399.59726372865026</v>
      </c>
      <c r="BE25" s="1654">
        <f>VLOOKUP($C25,'Insumos testigos '!$B$5:$JL$209,229,FALSE)</f>
        <v>401.98718782109989</v>
      </c>
      <c r="BF25" s="1654">
        <f>VLOOKUP($C25,'Insumos testigos '!$B$5:$JL$209,230,FALSE)</f>
        <v>401.98718782109989</v>
      </c>
      <c r="BG25" s="1654">
        <f>VLOOKUP($C25,'Insumos testigos '!$B$5:$JL$209,231,FALSE)</f>
        <v>401.98718782109989</v>
      </c>
      <c r="BH25" s="1654">
        <f>VLOOKUP($C25,'Insumos testigos '!$B$5:$JL$209,232,FALSE)</f>
        <v>401.98718782109989</v>
      </c>
      <c r="BI25" s="1654">
        <f>VLOOKUP($C25,'Insumos testigos '!$B$5:$JL$209,233,FALSE)</f>
        <v>401.98718782109989</v>
      </c>
      <c r="BJ25" s="1654">
        <f>VLOOKUP($C25,'Insumos testigos '!$B$5:$JL$209,234,FALSE)</f>
        <v>401.75675664436091</v>
      </c>
      <c r="BK25" s="1654">
        <f>VLOOKUP($C25,'Insumos testigos '!$B$5:$JL$209,235,FALSE)</f>
        <v>412.73693069760498</v>
      </c>
      <c r="BL25" s="1654">
        <f>VLOOKUP($C25,'Insumos testigos '!$B$5:$JL$209,236,FALSE)</f>
        <v>422.1040294521178</v>
      </c>
      <c r="BM25" s="1654">
        <f>VLOOKUP($C25,'Insumos testigos '!$B$5:$JL$209,237,FALSE)</f>
        <v>507.85152483279199</v>
      </c>
      <c r="BN25" s="1654">
        <f>VLOOKUP($C25,'Insumos testigos '!$B$5:$JL$209,238,FALSE)</f>
        <v>517.85499637855662</v>
      </c>
      <c r="BO25" s="1654">
        <f>VLOOKUP($C25,'Insumos testigos '!$B$5:$JL$209,239,FALSE)</f>
        <v>521.24681994122068</v>
      </c>
      <c r="BP25" s="1654">
        <f>VLOOKUP($C25,'Insumos testigos '!$B$5:$JL$209,240,FALSE)</f>
        <v>537.54483070974425</v>
      </c>
      <c r="BQ25" s="1654">
        <f>VLOOKUP($C25,'Insumos testigos '!$B$5:$JL$209,241,FALSE)</f>
        <v>610.32318052890707</v>
      </c>
      <c r="BR25" s="1654">
        <f>VLOOKUP($C25,'Insumos testigos '!$B$5:$JL$209,242,FALSE)</f>
        <v>622.40050050411503</v>
      </c>
      <c r="BS25" s="1654">
        <f>VLOOKUP($C25,'Insumos testigos '!$B$5:$JL$209,243,FALSE)</f>
        <v>716.73847444896171</v>
      </c>
      <c r="BT25" s="1654">
        <f>VLOOKUP($C25,'Insumos testigos '!$B$5:$JL$209,244,FALSE)</f>
        <v>762.07728806785758</v>
      </c>
      <c r="BU25" s="1654">
        <f>VLOOKUP($C25,'Insumos testigos '!$B$5:$JL$209,245,FALSE)</f>
        <v>773.29119290916628</v>
      </c>
      <c r="BV25" s="1654">
        <f>VLOOKUP($C25,'Insumos testigos '!$B$5:$JL$209,246,FALSE)</f>
        <v>784.55089557829115</v>
      </c>
      <c r="BW25" s="1654">
        <f>VLOOKUP($C25,'Insumos testigos '!$B$5:$JL$209,247,FALSE)</f>
        <v>796.99139147847916</v>
      </c>
      <c r="BX25" s="1654">
        <f>VLOOKUP($C25,'Insumos testigos '!$B$5:$JL$209,248,FALSE)</f>
        <v>812.02238345796616</v>
      </c>
      <c r="BY25" s="1654">
        <f>VLOOKUP($C25,'Insumos testigos '!$B$5:$JL$209,249,FALSE)</f>
        <v>845.21154203096103</v>
      </c>
      <c r="BZ25" s="1654">
        <f>VLOOKUP($C25,'Insumos testigos '!$B$5:$JL$209,250,FALSE)</f>
        <v>912.6230789887245</v>
      </c>
      <c r="CA25" s="1654">
        <f>VLOOKUP($C25,'Insumos testigos '!$B$5:$JL$209,251,FALSE)</f>
        <v>911.99976960018421</v>
      </c>
      <c r="CB25" s="1654">
        <f>VLOOKUP($C25,'Insumos testigos '!$B$5:$JL$209,252,FALSE)</f>
        <v>952.59591220819118</v>
      </c>
      <c r="CC25" s="1654">
        <f>VLOOKUP($C25,'Insumos testigos '!$B$5:$JL$209,253,FALSE)</f>
        <v>983.90726822296995</v>
      </c>
      <c r="CD25" s="1654">
        <f>VLOOKUP($C25,'Insumos testigos '!$B$5:$JL$209,254,FALSE)</f>
        <v>1004.2698069254609</v>
      </c>
      <c r="CE25" s="1654">
        <f>VLOOKUP($C25,'Insumos testigos '!$B$5:$JL$209,255,FALSE)</f>
        <v>1025.4596765531076</v>
      </c>
      <c r="CF25" s="1654">
        <f>VLOOKUP($C25,'Insumos testigos '!$B$5:$JL$209,256,FALSE)</f>
        <v>1066.1721616286095</v>
      </c>
      <c r="CG25" s="1654">
        <f>VLOOKUP($C25,'Insumos testigos '!$B$5:$JL$209,257,FALSE)</f>
        <v>1113.967765587742</v>
      </c>
      <c r="CH25" s="1654">
        <f>VLOOKUP($C25,'Insumos testigos '!$B$5:$JL$209,258,FALSE)</f>
        <v>1217.9376793785702</v>
      </c>
      <c r="CI25" s="1654">
        <f>VLOOKUP($C25,'Insumos testigos '!$B$5:$JL$209,259,FALSE)</f>
        <v>1243.3198481001593</v>
      </c>
      <c r="CJ25" s="1654">
        <f>VLOOKUP($C25,'Insumos testigos '!$B$5:$JL$209,260,FALSE)</f>
        <v>1262.0364585846623</v>
      </c>
      <c r="CK25" s="1654">
        <f>VLOOKUP($C25,'Insumos testigos '!$B$5:$JL$209,261,FALSE)</f>
        <v>1314.4569145222376</v>
      </c>
      <c r="CL25" s="1654">
        <f>VLOOKUP($C25,'Insumos testigos '!$B$5:$JL$209,262,FALSE)</f>
        <v>1388.7198759159407</v>
      </c>
      <c r="CM25" s="1654">
        <f>VLOOKUP($C25,'Insumos testigos '!$B$5:$JL$209,263,FALSE)</f>
        <v>1461.9424313814241</v>
      </c>
      <c r="CN25" s="1654">
        <f>VLOOKUP($C25,'Insumos testigos '!$B$5:$JL$209,264,FALSE)</f>
        <v>1548.5985534464585</v>
      </c>
      <c r="CO25" s="1654">
        <f>VLOOKUP($C25,'Insumos testigos '!$B$5:$JL$209,265,FALSE)</f>
        <v>1713.8436166055687</v>
      </c>
    </row>
    <row r="26" spans="2:93">
      <c r="B26" s="1651" t="s">
        <v>1070</v>
      </c>
      <c r="C26" s="1652">
        <v>109</v>
      </c>
      <c r="D26" s="1653">
        <v>9.9690155012710727E-3</v>
      </c>
      <c r="E26" s="1654">
        <v>1581.9</v>
      </c>
      <c r="F26" s="1654">
        <v>1853.9512866941311</v>
      </c>
      <c r="G26" s="1654">
        <v>2043.9863060466128</v>
      </c>
      <c r="H26" s="1654">
        <f>VLOOKUP($C26,'Insumos testigos '!$B$5:$HN$209,180,FALSE)</f>
        <v>100</v>
      </c>
      <c r="I26" s="1654">
        <f>VLOOKUP($C26,'Insumos testigos '!$B$5:$HN$209,181,FALSE)</f>
        <v>106.75621032714844</v>
      </c>
      <c r="J26" s="1654">
        <f>VLOOKUP($C26,'Insumos testigos '!$B$5:$HN$209,182,FALSE)</f>
        <v>110.54206501967201</v>
      </c>
      <c r="K26" s="1654">
        <f>VLOOKUP($C26,'Insumos testigos '!$B$5:$HN$209,183,FALSE)</f>
        <v>113.79800974460439</v>
      </c>
      <c r="L26" s="1654">
        <f>VLOOKUP($C26,'Insumos testigos '!$B$5:$HN$209,184,FALSE)</f>
        <v>117.49259563560132</v>
      </c>
      <c r="M26" s="1654">
        <f>VLOOKUP($C26,'Insumos testigos '!$B$5:$HN$209,185,FALSE)</f>
        <v>119.9629967469194</v>
      </c>
      <c r="N26" s="1654">
        <f>VLOOKUP($C26,'Insumos testigos '!$B$5:$HN$209,186,FALSE)</f>
        <v>121.99771515790587</v>
      </c>
      <c r="O26" s="1654">
        <f>VLOOKUP($C26,'Insumos testigos '!$B$5:$HN$209,187,FALSE)</f>
        <v>120.24575395583817</v>
      </c>
      <c r="P26" s="1654">
        <f>VLOOKUP($C26,'Insumos testigos '!$B$5:$HN$209,188,FALSE)</f>
        <v>120.71727006800164</v>
      </c>
      <c r="Q26" s="1654">
        <f>VLOOKUP($C26,'Insumos testigos '!$B$5:$HN$209,189,FALSE)</f>
        <v>122.4300848324183</v>
      </c>
      <c r="R26" s="1654">
        <f>VLOOKUP($C26,'Insumos testigos '!$B$5:$HN$209,190,FALSE)</f>
        <v>122.74600394751852</v>
      </c>
      <c r="S26" s="1654">
        <f>VLOOKUP($C26,'Insumos testigos '!$B$5:$HN$209,191,FALSE)</f>
        <v>122.74600394751852</v>
      </c>
      <c r="T26" s="1654">
        <f>VLOOKUP($C26,'Insumos testigos '!$B$5:$HN$209,192,FALSE)</f>
        <v>122.69968488296146</v>
      </c>
      <c r="U26" s="1654">
        <f>VLOOKUP($C26,'Insumos testigos '!$B$5:$HN$209,193,FALSE)</f>
        <v>124.78763701017829</v>
      </c>
      <c r="V26" s="1654">
        <f>VLOOKUP($C26,'Insumos testigos '!$B$5:$HN$209,194,FALSE)</f>
        <v>125.88261824962173</v>
      </c>
      <c r="W26" s="1654">
        <f>VLOOKUP($C26,'Insumos testigos '!$B$5:$HN$209,195,FALSE)</f>
        <v>127.48013717151935</v>
      </c>
      <c r="X26" s="1654">
        <f>VLOOKUP($C26,'Insumos testigos '!$B$5:$HN$209,196,FALSE)</f>
        <v>128.20742641959896</v>
      </c>
      <c r="Y26" s="1654">
        <f>VLOOKUP($C26,'Insumos testigos '!$B$5:$HN$209,197,FALSE)</f>
        <v>129.32601168812315</v>
      </c>
      <c r="Z26" s="1654">
        <f>VLOOKUP($C26,'Insumos testigos '!$B$5:$HN$209,198,FALSE)</f>
        <v>131.39401413642364</v>
      </c>
      <c r="AA26" s="1654">
        <f>VLOOKUP($C26,'Insumos testigos '!$B$5:$HN$209,199,FALSE)</f>
        <v>132.19209503474181</v>
      </c>
      <c r="AB26" s="1654">
        <f>VLOOKUP($C26,'Insumos testigos '!$B$5:$HN$209,200,FALSE)</f>
        <v>132.9550282995948</v>
      </c>
      <c r="AC26" s="1654">
        <f>VLOOKUP($C26,'Insumos testigos '!$B$5:$HN$209,201,FALSE)</f>
        <v>133.18476643197656</v>
      </c>
      <c r="AD26" s="1654">
        <f>VLOOKUP($C26,'Insumos testigos '!$B$5:$HN$209,202,FALSE)</f>
        <v>134.18327812136215</v>
      </c>
      <c r="AE26" s="1654">
        <f>VLOOKUP($C26,'Insumos testigos '!$B$5:$HN$209,203,FALSE)</f>
        <v>137.08408537537554</v>
      </c>
      <c r="AF26" s="1654">
        <f>VLOOKUP($C26,'Insumos testigos '!$B$5:$HN$209,204,FALSE)</f>
        <v>137.96500086293258</v>
      </c>
      <c r="AG26" s="1654">
        <f>VLOOKUP($C26,'Insumos testigos '!$B$5:$HN$209,205,FALSE)</f>
        <v>142.17183895939937</v>
      </c>
      <c r="AH26" s="1654">
        <f>VLOOKUP($C26,'Insumos testigos '!$B$5:$HN$209,206,FALSE)</f>
        <v>143.89962360766472</v>
      </c>
      <c r="AI26" s="1654">
        <f>VLOOKUP($C26,'Insumos testigos '!$B$5:$HN$209,207,FALSE)</f>
        <v>151.24401076360115</v>
      </c>
      <c r="AJ26" s="1654">
        <f>VLOOKUP($C26,'Insumos testigos '!$B$5:$HN$209,208,FALSE)</f>
        <v>152.40625873917159</v>
      </c>
      <c r="AK26" s="1654">
        <f>VLOOKUP($C26,'Insumos testigos '!$B$5:$HN$209,209,FALSE)</f>
        <v>157.59897844058318</v>
      </c>
      <c r="AL26" s="1654">
        <f>VLOOKUP($C26,'Insumos testigos '!$B$5:$HN$209,210,FALSE)</f>
        <v>159.83975399685983</v>
      </c>
      <c r="AM26" s="1654">
        <f>VLOOKUP($C26,'Insumos testigos '!$B$5:$HN$209,211,FALSE)</f>
        <v>160.70749939085491</v>
      </c>
      <c r="AN26" s="1654">
        <f>VLOOKUP($C26,'Insumos testigos '!$B$5:$HN$209,212,FALSE)</f>
        <v>190.43235426086932</v>
      </c>
      <c r="AO26" s="1654">
        <f>VLOOKUP($C26,'Insumos testigos '!$B$5:$HN$209,213,FALSE)</f>
        <v>204.36933912933728</v>
      </c>
      <c r="AP26" s="1654">
        <f>VLOOKUP($C26,'Insumos testigos '!$B$5:$HN$209,214,FALSE)</f>
        <v>207.78260121739402</v>
      </c>
      <c r="AQ26" s="1654">
        <f>VLOOKUP($C26,'Insumos testigos '!$B$5:$HN$209,215,FALSE)</f>
        <v>212.30730431788407</v>
      </c>
      <c r="AR26" s="1654">
        <f>VLOOKUP($C26,'Insumos testigos '!$B$5:$HN$209,216,FALSE)</f>
        <v>207.14447226934826</v>
      </c>
      <c r="AS26" s="1654">
        <f>VLOOKUP($C26,'Insumos testigos '!$B$5:$HN$209,217,FALSE)</f>
        <v>226.44580257398854</v>
      </c>
      <c r="AT26" s="1654">
        <f>VLOOKUP($C26,'Insumos testigos '!$B$5:$HN$209,218,FALSE)</f>
        <v>232.62894101815991</v>
      </c>
      <c r="AU26" s="1654">
        <f>VLOOKUP($C26,'Insumos testigos '!$B$5:$HN$209,219,FALSE)</f>
        <v>239.01617929768528</v>
      </c>
      <c r="AV26" s="1654">
        <f>VLOOKUP($C26,'Insumos testigos '!$B$5:$HN$209,220,FALSE)</f>
        <v>245.43367008370979</v>
      </c>
      <c r="AW26" s="1654">
        <f>VLOOKUP($C26,'Insumos testigos '!$B$5:$HN$209,221,FALSE)</f>
        <v>254.38001704138787</v>
      </c>
      <c r="AX26" s="1654">
        <f>VLOOKUP($C26,'Insumos testigos '!$B$5:$HO$209,222,FALSE)</f>
        <v>256.92817075174185</v>
      </c>
      <c r="AY26" s="1654">
        <f>VLOOKUP($C26,'Insumos testigos '!$B$5:$JL$209,223,FALSE)</f>
        <v>312.71661607817589</v>
      </c>
      <c r="AZ26" s="1654">
        <f>VLOOKUP($C26,'Insumos testigos '!$B$5:$JL$209,224,FALSE)</f>
        <v>323.39007025228562</v>
      </c>
      <c r="BA26" s="1654">
        <f>VLOOKUP($C26,'Insumos testigos '!$B$5:$JL$209,225,FALSE)</f>
        <v>296.10141329778025</v>
      </c>
      <c r="BB26" s="1654">
        <f>VLOOKUP($C26,'Insumos testigos '!$B$5:$JL$209,226,FALSE)</f>
        <v>300.93287943686909</v>
      </c>
      <c r="BC26" s="1654">
        <f>VLOOKUP($C26,'Insumos testigos '!$B$5:$JL$209,227,FALSE)</f>
        <v>302.90683327480417</v>
      </c>
      <c r="BD26" s="1654">
        <f>VLOOKUP($C26,'Insumos testigos '!$B$5:$JL$209,228,FALSE)</f>
        <v>313.079601422135</v>
      </c>
      <c r="BE26" s="1654">
        <f>VLOOKUP($C26,'Insumos testigos '!$B$5:$JL$209,229,FALSE)</f>
        <v>313.85907115880201</v>
      </c>
      <c r="BF26" s="1654">
        <f>VLOOKUP($C26,'Insumos testigos '!$B$5:$JL$209,230,FALSE)</f>
        <v>313.85907115880201</v>
      </c>
      <c r="BG26" s="1654">
        <f>VLOOKUP($C26,'Insumos testigos '!$B$5:$JL$209,231,FALSE)</f>
        <v>313.85907115880201</v>
      </c>
      <c r="BH26" s="1654">
        <f>VLOOKUP($C26,'Insumos testigos '!$B$5:$JL$209,232,FALSE)</f>
        <v>313.85907115880201</v>
      </c>
      <c r="BI26" s="1654">
        <f>VLOOKUP($C26,'Insumos testigos '!$B$5:$JL$209,233,FALSE)</f>
        <v>313.85907115880201</v>
      </c>
      <c r="BJ26" s="1654">
        <f>VLOOKUP($C26,'Insumos testigos '!$B$5:$JL$209,234,FALSE)</f>
        <v>313.85907115880201</v>
      </c>
      <c r="BK26" s="1654">
        <f>VLOOKUP($C26,'Insumos testigos '!$B$5:$JL$209,235,FALSE)</f>
        <v>329.31286141793544</v>
      </c>
      <c r="BL26" s="1654">
        <f>VLOOKUP($C26,'Insumos testigos '!$B$5:$JL$209,236,FALSE)</f>
        <v>337.59047641044327</v>
      </c>
      <c r="BM26" s="1654">
        <f>VLOOKUP($C26,'Insumos testigos '!$B$5:$JL$209,237,FALSE)</f>
        <v>363.57300118626767</v>
      </c>
      <c r="BN26" s="1654">
        <f>VLOOKUP($C26,'Insumos testigos '!$B$5:$JL$209,238,FALSE)</f>
        <v>398.83735562780373</v>
      </c>
      <c r="BO26" s="1654">
        <f>VLOOKUP($C26,'Insumos testigos '!$B$5:$JL$209,239,FALSE)</f>
        <v>418.98905469047708</v>
      </c>
      <c r="BP26" s="1654">
        <f>VLOOKUP($C26,'Insumos testigos '!$B$5:$JL$209,240,FALSE)</f>
        <v>466.39639127322891</v>
      </c>
      <c r="BQ26" s="1654">
        <f>VLOOKUP($C26,'Insumos testigos '!$B$5:$JL$209,241,FALSE)</f>
        <v>524.03660900620162</v>
      </c>
      <c r="BR26" s="1654">
        <f>VLOOKUP($C26,'Insumos testigos '!$B$5:$JL$209,242,FALSE)</f>
        <v>540.72989325650349</v>
      </c>
      <c r="BS26" s="1654">
        <f>VLOOKUP($C26,'Insumos testigos '!$B$5:$JL$209,243,FALSE)</f>
        <v>573.84987512278724</v>
      </c>
      <c r="BT26" s="1654">
        <f>VLOOKUP($C26,'Insumos testigos '!$B$5:$JL$209,244,FALSE)</f>
        <v>584.74439720243038</v>
      </c>
      <c r="BU26" s="1654">
        <f>VLOOKUP($C26,'Insumos testigos '!$B$5:$JL$209,245,FALSE)</f>
        <v>595.29144973810719</v>
      </c>
      <c r="BV26" s="1654">
        <f>VLOOKUP($C26,'Insumos testigos '!$B$5:$JL$209,246,FALSE)</f>
        <v>614.99670515106243</v>
      </c>
      <c r="BW26" s="1654">
        <f>VLOOKUP($C26,'Insumos testigos '!$B$5:$JL$209,247,FALSE)</f>
        <v>620.63754208131172</v>
      </c>
      <c r="BX26" s="1654">
        <f>VLOOKUP($C26,'Insumos testigos '!$B$5:$JL$209,248,FALSE)</f>
        <v>643.93751668612833</v>
      </c>
      <c r="BY26" s="1654">
        <f>VLOOKUP($C26,'Insumos testigos '!$B$5:$JL$209,249,FALSE)</f>
        <v>660.03600809087197</v>
      </c>
      <c r="BZ26" s="1654">
        <f>VLOOKUP($C26,'Insumos testigos '!$B$5:$JL$209,250,FALSE)</f>
        <v>699.7868966901475</v>
      </c>
      <c r="CA26" s="1654">
        <f>VLOOKUP($C26,'Insumos testigos '!$B$5:$JL$209,251,FALSE)</f>
        <v>708.52997940193461</v>
      </c>
      <c r="CB26" s="1654">
        <f>VLOOKUP($C26,'Insumos testigos '!$B$5:$JL$209,252,FALSE)</f>
        <v>739.84789490800074</v>
      </c>
      <c r="CC26" s="1654">
        <f>VLOOKUP($C26,'Insumos testigos '!$B$5:$JL$209,253,FALSE)</f>
        <v>759.07609758355648</v>
      </c>
      <c r="CD26" s="1654">
        <f>VLOOKUP($C26,'Insumos testigos '!$B$5:$JL$209,254,FALSE)</f>
        <v>776.29825461466112</v>
      </c>
      <c r="CE26" s="1654">
        <f>VLOOKUP($C26,'Insumos testigos '!$B$5:$JL$209,255,FALSE)</f>
        <v>797.54408615662953</v>
      </c>
      <c r="CF26" s="1654">
        <f>VLOOKUP($C26,'Insumos testigos '!$B$5:$JL$209,256,FALSE)</f>
        <v>823.77174728647401</v>
      </c>
      <c r="CG26" s="1654">
        <f>VLOOKUP($C26,'Insumos testigos '!$B$5:$JL$209,257,FALSE)</f>
        <v>833.64304404372206</v>
      </c>
      <c r="CH26" s="1654">
        <f>VLOOKUP($C26,'Insumos testigos '!$B$5:$JL$209,258,FALSE)</f>
        <v>972.24822632087864</v>
      </c>
      <c r="CI26" s="1654">
        <f>VLOOKUP($C26,'Insumos testigos '!$B$5:$JL$209,259,FALSE)</f>
        <v>1015.0591231231066</v>
      </c>
      <c r="CJ26" s="1654">
        <f>VLOOKUP($C26,'Insumos testigos '!$B$5:$JL$209,260,FALSE)</f>
        <v>1032.0041061036777</v>
      </c>
      <c r="CK26" s="1654">
        <f>VLOOKUP($C26,'Insumos testigos '!$B$5:$JL$209,261,FALSE)</f>
        <v>1081.2513131938545</v>
      </c>
      <c r="CL26" s="1654">
        <f>VLOOKUP($C26,'Insumos testigos '!$B$5:$JL$209,262,FALSE)</f>
        <v>1130.7074162938002</v>
      </c>
      <c r="CM26" s="1654">
        <f>VLOOKUP($C26,'Insumos testigos '!$B$5:$JL$209,263,FALSE)</f>
        <v>1226.1541830415269</v>
      </c>
      <c r="CN26" s="1654">
        <f>VLOOKUP($C26,'Insumos testigos '!$B$5:$JL$209,264,FALSE)</f>
        <v>1324.9830665940715</v>
      </c>
      <c r="CO26" s="1654">
        <f>VLOOKUP($C26,'Insumos testigos '!$B$5:$JL$209,265,FALSE)</f>
        <v>1440.3322694725837</v>
      </c>
    </row>
    <row r="27" spans="2:93">
      <c r="B27" s="1651" t="s">
        <v>1071</v>
      </c>
      <c r="C27" s="1652">
        <v>52</v>
      </c>
      <c r="D27" s="1653">
        <v>3.0578240866784408E-2</v>
      </c>
      <c r="E27" s="1654">
        <v>1255.9000000000001</v>
      </c>
      <c r="F27" s="1654">
        <v>1510.8659760996363</v>
      </c>
      <c r="G27" s="1654">
        <v>1926.1667698751824</v>
      </c>
      <c r="H27" s="1654">
        <f>VLOOKUP($C27,'Insumos testigos '!$B$5:$HN$209,180,FALSE)</f>
        <v>100</v>
      </c>
      <c r="I27" s="1654">
        <f>VLOOKUP($C27,'Insumos testigos '!$B$5:$HN$209,181,FALSE)</f>
        <v>115.5002236366272</v>
      </c>
      <c r="J27" s="1654">
        <f>VLOOKUP($C27,'Insumos testigos '!$B$5:$HN$209,182,FALSE)</f>
        <v>109.24995687374022</v>
      </c>
      <c r="K27" s="1654">
        <f>VLOOKUP($C27,'Insumos testigos '!$B$5:$HN$209,183,FALSE)</f>
        <v>106.18663455540765</v>
      </c>
      <c r="L27" s="1654">
        <f>VLOOKUP($C27,'Insumos testigos '!$B$5:$HN$209,184,FALSE)</f>
        <v>110.79487389341503</v>
      </c>
      <c r="M27" s="1654">
        <f>VLOOKUP($C27,'Insumos testigos '!$B$5:$HN$209,185,FALSE)</f>
        <v>111.6622286879865</v>
      </c>
      <c r="N27" s="1654">
        <f>VLOOKUP($C27,'Insumos testigos '!$B$5:$HN$209,186,FALSE)</f>
        <v>111.00777811590596</v>
      </c>
      <c r="O27" s="1654">
        <f>VLOOKUP($C27,'Insumos testigos '!$B$5:$HN$209,187,FALSE)</f>
        <v>108.80171136797145</v>
      </c>
      <c r="P27" s="1654">
        <f>VLOOKUP($C27,'Insumos testigos '!$B$5:$HN$209,188,FALSE)</f>
        <v>108.80171136797145</v>
      </c>
      <c r="Q27" s="1654">
        <f>VLOOKUP($C27,'Insumos testigos '!$B$5:$HN$209,189,FALSE)</f>
        <v>109.06523937781223</v>
      </c>
      <c r="R27" s="1654">
        <f>VLOOKUP($C27,'Insumos testigos '!$B$5:$HN$209,190,FALSE)</f>
        <v>110.08293881165135</v>
      </c>
      <c r="S27" s="1654">
        <f>VLOOKUP($C27,'Insumos testigos '!$B$5:$HN$209,191,FALSE)</f>
        <v>117.03371061450004</v>
      </c>
      <c r="T27" s="1654">
        <f>VLOOKUP($C27,'Insumos testigos '!$B$5:$HN$209,192,FALSE)</f>
        <v>117.64194044809695</v>
      </c>
      <c r="U27" s="1654">
        <f>VLOOKUP($C27,'Insumos testigos '!$B$5:$HN$209,193,FALSE)</f>
        <v>113.82818747809436</v>
      </c>
      <c r="V27" s="1654">
        <f>VLOOKUP($C27,'Insumos testigos '!$B$5:$HN$209,194,FALSE)</f>
        <v>113.9847102459433</v>
      </c>
      <c r="W27" s="1654">
        <f>VLOOKUP($C27,'Insumos testigos '!$B$5:$HN$209,195,FALSE)</f>
        <v>113.41475326814424</v>
      </c>
      <c r="X27" s="1654">
        <f>VLOOKUP($C27,'Insumos testigos '!$B$5:$HN$209,196,FALSE)</f>
        <v>112.52461744040404</v>
      </c>
      <c r="Y27" s="1654">
        <f>VLOOKUP($C27,'Insumos testigos '!$B$5:$HN$209,197,FALSE)</f>
        <v>112.52461744040404</v>
      </c>
      <c r="Z27" s="1654">
        <f>VLOOKUP($C27,'Insumos testigos '!$B$5:$HN$209,198,FALSE)</f>
        <v>112.49902356713255</v>
      </c>
      <c r="AA27" s="1654">
        <f>VLOOKUP($C27,'Insumos testigos '!$B$5:$HN$209,199,FALSE)</f>
        <v>113.54900540585258</v>
      </c>
      <c r="AB27" s="1654">
        <f>VLOOKUP($C27,'Insumos testigos '!$B$5:$HN$209,200,FALSE)</f>
        <v>115.1775872917149</v>
      </c>
      <c r="AC27" s="1654">
        <f>VLOOKUP($C27,'Insumos testigos '!$B$5:$HN$209,201,FALSE)</f>
        <v>119.38234921524287</v>
      </c>
      <c r="AD27" s="1654">
        <f>VLOOKUP($C27,'Insumos testigos '!$B$5:$HN$209,202,FALSE)</f>
        <v>121.12281714055021</v>
      </c>
      <c r="AE27" s="1654">
        <f>VLOOKUP($C27,'Insumos testigos '!$B$5:$HN$209,203,FALSE)</f>
        <v>124.60138038863805</v>
      </c>
      <c r="AF27" s="1654">
        <f>VLOOKUP($C27,'Insumos testigos '!$B$5:$HN$209,204,FALSE)</f>
        <v>129.47505343706959</v>
      </c>
      <c r="AG27" s="1654">
        <f>VLOOKUP($C27,'Insumos testigos '!$B$5:$HN$209,205,FALSE)</f>
        <v>133.91061085393599</v>
      </c>
      <c r="AH27" s="1654">
        <f>VLOOKUP($C27,'Insumos testigos '!$B$5:$HN$209,206,FALSE)</f>
        <v>135.6420319281404</v>
      </c>
      <c r="AI27" s="1654">
        <f>VLOOKUP($C27,'Insumos testigos '!$B$5:$HN$209,207,FALSE)</f>
        <v>156.80974265878956</v>
      </c>
      <c r="AJ27" s="1654">
        <f>VLOOKUP($C27,'Insumos testigos '!$B$5:$HN$209,208,FALSE)</f>
        <v>174.84684620692221</v>
      </c>
      <c r="AK27" s="1654">
        <f>VLOOKUP($C27,'Insumos testigos '!$B$5:$HN$209,209,FALSE)</f>
        <v>194.82204654632434</v>
      </c>
      <c r="AL27" s="1654">
        <f>VLOOKUP($C27,'Insumos testigos '!$B$5:$HN$209,210,FALSE)</f>
        <v>204.92862507871308</v>
      </c>
      <c r="AM27" s="1654">
        <f>VLOOKUP($C27,'Insumos testigos '!$B$5:$HN$209,211,FALSE)</f>
        <v>190.51733649990535</v>
      </c>
      <c r="AN27" s="1654">
        <f>VLOOKUP($C27,'Insumos testigos '!$B$5:$HN$209,212,FALSE)</f>
        <v>263.03602974634396</v>
      </c>
      <c r="AO27" s="1654">
        <f>VLOOKUP($C27,'Insumos testigos '!$B$5:$HN$209,213,FALSE)</f>
        <v>272.62293413506245</v>
      </c>
      <c r="AP27" s="1654">
        <f>VLOOKUP($C27,'Insumos testigos '!$B$5:$HN$209,214,FALSE)</f>
        <v>258.9349809080291</v>
      </c>
      <c r="AQ27" s="1654">
        <f>VLOOKUP($C27,'Insumos testigos '!$B$5:$HN$209,215,FALSE)</f>
        <v>259.2710344176873</v>
      </c>
      <c r="AR27" s="1654">
        <f>VLOOKUP($C27,'Insumos testigos '!$B$5:$HN$209,216,FALSE)</f>
        <v>278.34987578059906</v>
      </c>
      <c r="AS27" s="1654">
        <f>VLOOKUP($C27,'Insumos testigos '!$B$5:$HN$209,217,FALSE)</f>
        <v>283.4025338884216</v>
      </c>
      <c r="AT27" s="1654">
        <f>VLOOKUP($C27,'Insumos testigos '!$B$5:$HN$209,218,FALSE)</f>
        <v>306.95945641185887</v>
      </c>
      <c r="AU27" s="1654">
        <f>VLOOKUP($C27,'Insumos testigos '!$B$5:$HN$209,219,FALSE)</f>
        <v>316.5071659733299</v>
      </c>
      <c r="AV27" s="1654">
        <f>VLOOKUP($C27,'Insumos testigos '!$B$5:$HN$209,220,FALSE)</f>
        <v>328.10678004186678</v>
      </c>
      <c r="AW27" s="1654">
        <f>VLOOKUP($C27,'Insumos testigos '!$B$5:$HN$209,221,FALSE)</f>
        <v>322.36939711456876</v>
      </c>
      <c r="AX27" s="1654">
        <f>VLOOKUP($C27,'Insumos testigos '!$B$5:$HO$209,222,FALSE)</f>
        <v>320.78348413428398</v>
      </c>
      <c r="AY27" s="1654">
        <f>VLOOKUP($C27,'Insumos testigos '!$B$5:$JL$209,223,FALSE)</f>
        <v>385.08965740079913</v>
      </c>
      <c r="AZ27" s="1654">
        <f>VLOOKUP($C27,'Insumos testigos '!$B$5:$JL$209,224,FALSE)</f>
        <v>380.64158273592665</v>
      </c>
      <c r="BA27" s="1654">
        <f>VLOOKUP($C27,'Insumos testigos '!$B$5:$JL$209,225,FALSE)</f>
        <v>383.92438303709719</v>
      </c>
      <c r="BB27" s="1654">
        <f>VLOOKUP($C27,'Insumos testigos '!$B$5:$JL$209,226,FALSE)</f>
        <v>409.46254700395934</v>
      </c>
      <c r="BC27" s="1654">
        <f>VLOOKUP($C27,'Insumos testigos '!$B$5:$JL$209,227,FALSE)</f>
        <v>398.62891575939472</v>
      </c>
      <c r="BD27" s="1654">
        <f>VLOOKUP($C27,'Insumos testigos '!$B$5:$JL$209,228,FALSE)</f>
        <v>392.74561179212395</v>
      </c>
      <c r="BE27" s="1654">
        <f>VLOOKUP($C27,'Insumos testigos '!$B$5:$JL$209,229,FALSE)</f>
        <v>392.74561179212395</v>
      </c>
      <c r="BF27" s="1654">
        <f>VLOOKUP($C27,'Insumos testigos '!$B$5:$JL$209,230,FALSE)</f>
        <v>392.74561179212395</v>
      </c>
      <c r="BG27" s="1654">
        <f>VLOOKUP($C27,'Insumos testigos '!$B$5:$JL$209,231,FALSE)</f>
        <v>392.74561179212395</v>
      </c>
      <c r="BH27" s="1654">
        <f>VLOOKUP($C27,'Insumos testigos '!$B$5:$JL$209,232,FALSE)</f>
        <v>398.83226881024069</v>
      </c>
      <c r="BI27" s="1654">
        <f>VLOOKUP($C27,'Insumos testigos '!$B$5:$JL$209,233,FALSE)</f>
        <v>404.54297162679967</v>
      </c>
      <c r="BJ27" s="1654">
        <f>VLOOKUP($C27,'Insumos testigos '!$B$5:$JL$209,234,FALSE)</f>
        <v>415.29450488862722</v>
      </c>
      <c r="BK27" s="1654">
        <f>VLOOKUP($C27,'Insumos testigos '!$B$5:$JL$209,235,FALSE)</f>
        <v>438.49641583852627</v>
      </c>
      <c r="BL27" s="1654">
        <f>VLOOKUP($C27,'Insumos testigos '!$B$5:$JL$209,236,FALSE)</f>
        <v>446.45085214874695</v>
      </c>
      <c r="BM27" s="1654">
        <f>VLOOKUP($C27,'Insumos testigos '!$B$5:$JL$209,237,FALSE)</f>
        <v>540.58630989948324</v>
      </c>
      <c r="BN27" s="1654">
        <f>VLOOKUP($C27,'Insumos testigos '!$B$5:$JL$209,238,FALSE)</f>
        <v>565.42897470920252</v>
      </c>
      <c r="BO27" s="1654">
        <f>VLOOKUP($C27,'Insumos testigos '!$B$5:$JL$209,239,FALSE)</f>
        <v>602.5763408305595</v>
      </c>
      <c r="BP27" s="1654">
        <f>VLOOKUP($C27,'Insumos testigos '!$B$5:$JL$209,240,FALSE)</f>
        <v>620.9488781763713</v>
      </c>
      <c r="BQ27" s="1654">
        <f>VLOOKUP($C27,'Insumos testigos '!$B$5:$JL$209,241,FALSE)</f>
        <v>639.26793511600522</v>
      </c>
      <c r="BR27" s="1654">
        <f>VLOOKUP($C27,'Insumos testigos '!$B$5:$JL$209,242,FALSE)</f>
        <v>660.17844697082955</v>
      </c>
      <c r="BS27" s="1654">
        <f>VLOOKUP($C27,'Insumos testigos '!$B$5:$JL$209,243,FALSE)</f>
        <v>684.78901332622956</v>
      </c>
      <c r="BT27" s="1654">
        <f>VLOOKUP($C27,'Insumos testigos '!$B$5:$JL$209,244,FALSE)</f>
        <v>732.73410729761031</v>
      </c>
      <c r="BU27" s="1654">
        <f>VLOOKUP($C27,'Insumos testigos '!$B$5:$JL$209,245,FALSE)</f>
        <v>742.28542300355628</v>
      </c>
      <c r="BV27" s="1654">
        <f>VLOOKUP($C27,'Insumos testigos '!$B$5:$JL$209,246,FALSE)</f>
        <v>734.82416740554061</v>
      </c>
      <c r="BW27" s="1654">
        <f>VLOOKUP($C27,'Insumos testigos '!$B$5:$JL$209,247,FALSE)</f>
        <v>749.92905846810379</v>
      </c>
      <c r="BX27" s="1654">
        <f>VLOOKUP($C27,'Insumos testigos '!$B$5:$JL$209,248,FALSE)</f>
        <v>758.93008199236715</v>
      </c>
      <c r="BY27" s="1654">
        <f>VLOOKUP($C27,'Insumos testigos '!$B$5:$JL$209,249,FALSE)</f>
        <v>773.67705438210635</v>
      </c>
      <c r="BZ27" s="1654">
        <f>VLOOKUP($C27,'Insumos testigos '!$B$5:$JL$209,250,FALSE)</f>
        <v>832.10243765935263</v>
      </c>
      <c r="CA27" s="1654">
        <f>VLOOKUP($C27,'Insumos testigos '!$B$5:$JL$209,251,FALSE)</f>
        <v>875.24454376913809</v>
      </c>
      <c r="CB27" s="1654">
        <f>VLOOKUP($C27,'Insumos testigos '!$B$5:$JL$209,252,FALSE)</f>
        <v>907.85950635864651</v>
      </c>
      <c r="CC27" s="1654">
        <f>VLOOKUP($C27,'Insumos testigos '!$B$5:$JL$209,253,FALSE)</f>
        <v>930.41921455677732</v>
      </c>
      <c r="CD27" s="1654">
        <f>VLOOKUP($C27,'Insumos testigos '!$B$5:$JL$209,254,FALSE)</f>
        <v>963.95301576228678</v>
      </c>
      <c r="CE27" s="1654">
        <f>VLOOKUP($C27,'Insumos testigos '!$B$5:$JL$209,255,FALSE)</f>
        <v>1076.9986914612875</v>
      </c>
      <c r="CF27" s="1654">
        <f>VLOOKUP($C27,'Insumos testigos '!$B$5:$JL$209,256,FALSE)</f>
        <v>1107.3564257289543</v>
      </c>
      <c r="CG27" s="1654">
        <f>VLOOKUP($C27,'Insumos testigos '!$B$5:$JL$209,257,FALSE)</f>
        <v>1181.87666413791</v>
      </c>
      <c r="CH27" s="1654">
        <f>VLOOKUP($C27,'Insumos testigos '!$B$5:$JL$209,258,FALSE)</f>
        <v>1249.8813250486105</v>
      </c>
      <c r="CI27" s="1654">
        <f>VLOOKUP($C27,'Insumos testigos '!$B$5:$JL$209,259,FALSE)</f>
        <v>1365.6240632643467</v>
      </c>
      <c r="CJ27" s="1654">
        <f>VLOOKUP($C27,'Insumos testigos '!$B$5:$JL$209,260,FALSE)</f>
        <v>1453.9666235908462</v>
      </c>
      <c r="CK27" s="1654">
        <f>VLOOKUP($C27,'Insumos testigos '!$B$5:$JL$209,261,FALSE)</f>
        <v>1495.5022233059078</v>
      </c>
      <c r="CL27" s="1654">
        <f>VLOOKUP($C27,'Insumos testigos '!$B$5:$JL$209,262,FALSE)</f>
        <v>1604.5225275617181</v>
      </c>
      <c r="CM27" s="1654">
        <f>VLOOKUP($C27,'Insumos testigos '!$B$5:$JL$209,263,FALSE)</f>
        <v>1743.0037408518754</v>
      </c>
      <c r="CN27" s="1654">
        <f>VLOOKUP($C27,'Insumos testigos '!$B$5:$JL$209,264,FALSE)</f>
        <v>1775.7782835345554</v>
      </c>
      <c r="CO27" s="1654">
        <f>VLOOKUP($C27,'Insumos testigos '!$B$5:$JL$209,265,FALSE)</f>
        <v>1822.8012465878533</v>
      </c>
    </row>
    <row r="28" spans="2:93">
      <c r="B28" s="1651" t="s">
        <v>1072</v>
      </c>
      <c r="C28" s="1652">
        <v>74</v>
      </c>
      <c r="D28" s="1653">
        <v>6.2418712388616078E-2</v>
      </c>
      <c r="E28" s="1654">
        <v>1266.8</v>
      </c>
      <c r="F28" s="1654">
        <v>1093.6575683626954</v>
      </c>
      <c r="G28" s="1654">
        <v>1183.8622636628018</v>
      </c>
      <c r="H28" s="1654">
        <f>VLOOKUP($C28,'Insumos testigos '!$B$5:$HN$209,180,FALSE)</f>
        <v>100</v>
      </c>
      <c r="I28" s="1654">
        <f>VLOOKUP($C28,'Insumos testigos '!$B$5:$HN$209,181,FALSE)</f>
        <v>109.56184864044189</v>
      </c>
      <c r="J28" s="1654">
        <f>VLOOKUP($C28,'Insumos testigos '!$B$5:$HN$209,182,FALSE)</f>
        <v>108.3861946769332</v>
      </c>
      <c r="K28" s="1654">
        <f>VLOOKUP($C28,'Insumos testigos '!$B$5:$HN$209,183,FALSE)</f>
        <v>107.70036057829026</v>
      </c>
      <c r="L28" s="1654">
        <f>VLOOKUP($C28,'Insumos testigos '!$B$5:$HN$209,184,FALSE)</f>
        <v>110.44477463083558</v>
      </c>
      <c r="M28" s="1654">
        <f>VLOOKUP($C28,'Insumos testigos '!$B$5:$HN$209,185,FALSE)</f>
        <v>108.9310351553909</v>
      </c>
      <c r="N28" s="1654">
        <f>VLOOKUP($C28,'Insumos testigos '!$B$5:$HN$209,186,FALSE)</f>
        <v>109.19939538542206</v>
      </c>
      <c r="O28" s="1654">
        <f>VLOOKUP($C28,'Insumos testigos '!$B$5:$HN$209,187,FALSE)</f>
        <v>109.49318920132735</v>
      </c>
      <c r="P28" s="1654">
        <f>VLOOKUP($C28,'Insumos testigos '!$B$5:$HN$209,188,FALSE)</f>
        <v>109.49318920132735</v>
      </c>
      <c r="Q28" s="1654">
        <f>VLOOKUP($C28,'Insumos testigos '!$B$5:$HN$209,189,FALSE)</f>
        <v>106.98464162112928</v>
      </c>
      <c r="R28" s="1654">
        <f>VLOOKUP($C28,'Insumos testigos '!$B$5:$HN$209,190,FALSE)</f>
        <v>106.98464162112928</v>
      </c>
      <c r="S28" s="1654">
        <f>VLOOKUP($C28,'Insumos testigos '!$B$5:$HN$209,191,FALSE)</f>
        <v>107.24518416211798</v>
      </c>
      <c r="T28" s="1654">
        <f>VLOOKUP($C28,'Insumos testigos '!$B$5:$HN$209,192,FALSE)</f>
        <v>113.20467188299497</v>
      </c>
      <c r="U28" s="1654">
        <f>VLOOKUP($C28,'Insumos testigos '!$B$5:$HN$209,193,FALSE)</f>
        <v>114.34875510549107</v>
      </c>
      <c r="V28" s="1654">
        <f>VLOOKUP($C28,'Insumos testigos '!$B$5:$HN$209,194,FALSE)</f>
        <v>114.52239230996334</v>
      </c>
      <c r="W28" s="1654">
        <f>VLOOKUP($C28,'Insumos testigos '!$B$5:$HN$209,195,FALSE)</f>
        <v>114.52239230996334</v>
      </c>
      <c r="X28" s="1654">
        <f>VLOOKUP($C28,'Insumos testigos '!$B$5:$HN$209,196,FALSE)</f>
        <v>116.23858830039383</v>
      </c>
      <c r="Y28" s="1654">
        <f>VLOOKUP($C28,'Insumos testigos '!$B$5:$HN$209,197,FALSE)</f>
        <v>116.23858830039383</v>
      </c>
      <c r="Z28" s="1654">
        <f>VLOOKUP($C28,'Insumos testigos '!$B$5:$HN$209,198,FALSE)</f>
        <v>116.23919799605314</v>
      </c>
      <c r="AA28" s="1654">
        <f>VLOOKUP($C28,'Insumos testigos '!$B$5:$HN$209,199,FALSE)</f>
        <v>116.04118443535705</v>
      </c>
      <c r="AB28" s="1654">
        <f>VLOOKUP($C28,'Insumos testigos '!$B$5:$HN$209,200,FALSE)</f>
        <v>118.47141258796449</v>
      </c>
      <c r="AC28" s="1654">
        <f>VLOOKUP($C28,'Insumos testigos '!$B$5:$HN$209,201,FALSE)</f>
        <v>114.2308798192434</v>
      </c>
      <c r="AD28" s="1654">
        <f>VLOOKUP($C28,'Insumos testigos '!$B$5:$HN$209,202,FALSE)</f>
        <v>117.10433807050246</v>
      </c>
      <c r="AE28" s="1654">
        <f>VLOOKUP($C28,'Insumos testigos '!$B$5:$HN$209,203,FALSE)</f>
        <v>117.30081005417416</v>
      </c>
      <c r="AF28" s="1654">
        <f>VLOOKUP($C28,'Insumos testigos '!$B$5:$HN$209,204,FALSE)</f>
        <v>122.12970697457241</v>
      </c>
      <c r="AG28" s="1654">
        <f>VLOOKUP($C28,'Insumos testigos '!$B$5:$HN$209,205,FALSE)</f>
        <v>123.98628465266924</v>
      </c>
      <c r="AH28" s="1654">
        <f>VLOOKUP($C28,'Insumos testigos '!$B$5:$HN$209,206,FALSE)</f>
        <v>123.23930221648182</v>
      </c>
      <c r="AI28" s="1654">
        <f>VLOOKUP($C28,'Insumos testigos '!$B$5:$HN$209,207,FALSE)</f>
        <v>127.87222348692049</v>
      </c>
      <c r="AJ28" s="1654">
        <f>VLOOKUP($C28,'Insumos testigos '!$B$5:$HN$209,208,FALSE)</f>
        <v>140.25897015704899</v>
      </c>
      <c r="AK28" s="1654">
        <f>VLOOKUP($C28,'Insumos testigos '!$B$5:$HN$209,209,FALSE)</f>
        <v>158.5520758207781</v>
      </c>
      <c r="AL28" s="1654">
        <f>VLOOKUP($C28,'Insumos testigos '!$B$5:$HN$209,210,FALSE)</f>
        <v>175.77319710078473</v>
      </c>
      <c r="AM28" s="1654">
        <f>VLOOKUP($C28,'Insumos testigos '!$B$5:$HN$209,211,FALSE)</f>
        <v>174.94495241222214</v>
      </c>
      <c r="AN28" s="1654">
        <f>VLOOKUP($C28,'Insumos testigos '!$B$5:$HN$209,212,FALSE)</f>
        <v>216.36154924113035</v>
      </c>
      <c r="AO28" s="1654">
        <f>VLOOKUP($C28,'Insumos testigos '!$B$5:$HN$209,213,FALSE)</f>
        <v>241.56153759147892</v>
      </c>
      <c r="AP28" s="1654">
        <f>VLOOKUP($C28,'Insumos testigos '!$B$5:$HN$209,214,FALSE)</f>
        <v>236.63171977234438</v>
      </c>
      <c r="AQ28" s="1654">
        <f>VLOOKUP($C28,'Insumos testigos '!$B$5:$HN$209,215,FALSE)</f>
        <v>228.4947104250532</v>
      </c>
      <c r="AR28" s="1654">
        <f>VLOOKUP($C28,'Insumos testigos '!$B$5:$HN$209,216,FALSE)</f>
        <v>241.87521546660798</v>
      </c>
      <c r="AS28" s="1654">
        <f>VLOOKUP($C28,'Insumos testigos '!$B$5:$HN$209,217,FALSE)</f>
        <v>231.48493538230727</v>
      </c>
      <c r="AT28" s="1654">
        <f>VLOOKUP($C28,'Insumos testigos '!$B$5:$HN$209,218,FALSE)</f>
        <v>254.91911917877076</v>
      </c>
      <c r="AU28" s="1654">
        <f>VLOOKUP($C28,'Insumos testigos '!$B$5:$HN$209,219,FALSE)</f>
        <v>261.93669870700887</v>
      </c>
      <c r="AV28" s="1654">
        <f>VLOOKUP($C28,'Insumos testigos '!$B$5:$HN$209,220,FALSE)</f>
        <v>277.76887177587577</v>
      </c>
      <c r="AW28" s="1654">
        <f>VLOOKUP($C28,'Insumos testigos '!$B$5:$HN$209,221,FALSE)</f>
        <v>271.19025332035739</v>
      </c>
      <c r="AX28" s="1654">
        <f>VLOOKUP($C28,'Insumos testigos '!$B$5:$HO$209,222,FALSE)</f>
        <v>272.44834793006186</v>
      </c>
      <c r="AY28" s="1654">
        <f>VLOOKUP($C28,'Insumos testigos '!$B$5:$JL$209,223,FALSE)</f>
        <v>308.41184658583859</v>
      </c>
      <c r="AZ28" s="1654">
        <f>VLOOKUP($C28,'Insumos testigos '!$B$5:$JL$209,224,FALSE)</f>
        <v>341.66044518061148</v>
      </c>
      <c r="BA28" s="1654">
        <f>VLOOKUP($C28,'Insumos testigos '!$B$5:$JL$209,225,FALSE)</f>
        <v>330.47714329944637</v>
      </c>
      <c r="BB28" s="1654">
        <f>VLOOKUP($C28,'Insumos testigos '!$B$5:$JL$209,226,FALSE)</f>
        <v>348.1418874258959</v>
      </c>
      <c r="BC28" s="1654">
        <f>VLOOKUP($C28,'Insumos testigos '!$B$5:$JL$209,227,FALSE)</f>
        <v>324.08297015563124</v>
      </c>
      <c r="BD28" s="1654">
        <f>VLOOKUP($C28,'Insumos testigos '!$B$5:$JL$209,228,FALSE)</f>
        <v>311.91522122594546</v>
      </c>
      <c r="BE28" s="1654">
        <f>VLOOKUP($C28,'Insumos testigos '!$B$5:$JL$209,229,FALSE)</f>
        <v>317.90324745926614</v>
      </c>
      <c r="BF28" s="1654">
        <f>VLOOKUP($C28,'Insumos testigos '!$B$5:$JL$209,230,FALSE)</f>
        <v>317.90324745926614</v>
      </c>
      <c r="BG28" s="1654">
        <f>VLOOKUP($C28,'Insumos testigos '!$B$5:$JL$209,231,FALSE)</f>
        <v>317.90324745926614</v>
      </c>
      <c r="BH28" s="1654">
        <f>VLOOKUP($C28,'Insumos testigos '!$B$5:$JL$209,232,FALSE)</f>
        <v>323.31173133058212</v>
      </c>
      <c r="BI28" s="1654">
        <f>VLOOKUP($C28,'Insumos testigos '!$B$5:$JL$209,233,FALSE)</f>
        <v>323.31173133058212</v>
      </c>
      <c r="BJ28" s="1654">
        <f>VLOOKUP($C28,'Insumos testigos '!$B$5:$JL$209,234,FALSE)</f>
        <v>363.06741596879505</v>
      </c>
      <c r="BK28" s="1654">
        <f>VLOOKUP($C28,'Insumos testigos '!$B$5:$JL$209,235,FALSE)</f>
        <v>380.93198819353069</v>
      </c>
      <c r="BL28" s="1654">
        <f>VLOOKUP($C28,'Insumos testigos '!$B$5:$JL$209,236,FALSE)</f>
        <v>383.65112869573306</v>
      </c>
      <c r="BM28" s="1654">
        <f>VLOOKUP($C28,'Insumos testigos '!$B$5:$JL$209,237,FALSE)</f>
        <v>399.9529801877581</v>
      </c>
      <c r="BN28" s="1654">
        <f>VLOOKUP($C28,'Insumos testigos '!$B$5:$JL$209,238,FALSE)</f>
        <v>419.93301201217713</v>
      </c>
      <c r="BO28" s="1654">
        <f>VLOOKUP($C28,'Insumos testigos '!$B$5:$JL$209,239,FALSE)</f>
        <v>437.16428497763832</v>
      </c>
      <c r="BP28" s="1654">
        <f>VLOOKUP($C28,'Insumos testigos '!$B$5:$JL$209,240,FALSE)</f>
        <v>455.07892988526089</v>
      </c>
      <c r="BQ28" s="1654">
        <f>VLOOKUP($C28,'Insumos testigos '!$B$5:$JL$209,241,FALSE)</f>
        <v>465.45897667707385</v>
      </c>
      <c r="BR28" s="1654">
        <f>VLOOKUP($C28,'Insumos testigos '!$B$5:$JL$209,242,FALSE)</f>
        <v>470.1223052294809</v>
      </c>
      <c r="BS28" s="1654">
        <f>VLOOKUP($C28,'Insumos testigos '!$B$5:$JL$209,243,FALSE)</f>
        <v>513.31879400128105</v>
      </c>
      <c r="BT28" s="1654">
        <f>VLOOKUP($C28,'Insumos testigos '!$B$5:$JL$209,244,FALSE)</f>
        <v>519.10383705710512</v>
      </c>
      <c r="BU28" s="1654">
        <f>VLOOKUP($C28,'Insumos testigos '!$B$5:$JL$209,245,FALSE)</f>
        <v>536.35863119955479</v>
      </c>
      <c r="BV28" s="1654">
        <f>VLOOKUP($C28,'Insumos testigos '!$B$5:$JL$209,246,FALSE)</f>
        <v>559.18922835703461</v>
      </c>
      <c r="BW28" s="1654">
        <f>VLOOKUP($C28,'Insumos testigos '!$B$5:$JL$209,247,FALSE)</f>
        <v>568.07894888779242</v>
      </c>
      <c r="BX28" s="1654">
        <f>VLOOKUP($C28,'Insumos testigos '!$B$5:$JL$209,248,FALSE)</f>
        <v>586.97893551728919</v>
      </c>
      <c r="BY28" s="1654">
        <f>VLOOKUP($C28,'Insumos testigos '!$B$5:$JL$209,249,FALSE)</f>
        <v>600.7744895819452</v>
      </c>
      <c r="BZ28" s="1654">
        <f>VLOOKUP($C28,'Insumos testigos '!$B$5:$JL$209,250,FALSE)</f>
        <v>601.6834613846828</v>
      </c>
      <c r="CA28" s="1654">
        <f>VLOOKUP($C28,'Insumos testigos '!$B$5:$JL$209,251,FALSE)</f>
        <v>625.20647386772168</v>
      </c>
      <c r="CB28" s="1654">
        <f>VLOOKUP($C28,'Insumos testigos '!$B$5:$JL$209,252,FALSE)</f>
        <v>637.31959461546728</v>
      </c>
      <c r="CC28" s="1654">
        <f>VLOOKUP($C28,'Insumos testigos '!$B$5:$JL$209,253,FALSE)</f>
        <v>665.41829774688392</v>
      </c>
      <c r="CD28" s="1654">
        <f>VLOOKUP($C28,'Insumos testigos '!$B$5:$JL$209,254,FALSE)</f>
        <v>690.97623869788924</v>
      </c>
      <c r="CE28" s="1654">
        <f>VLOOKUP($C28,'Insumos testigos '!$B$5:$JL$209,255,FALSE)</f>
        <v>720.37864322292353</v>
      </c>
      <c r="CF28" s="1654">
        <f>VLOOKUP($C28,'Insumos testigos '!$B$5:$JL$209,256,FALSE)</f>
        <v>753.26010069933636</v>
      </c>
      <c r="CG28" s="1654">
        <f>VLOOKUP($C28,'Insumos testigos '!$B$5:$JL$209,257,FALSE)</f>
        <v>816.61016765235911</v>
      </c>
      <c r="CH28" s="1654">
        <f>VLOOKUP($C28,'Insumos testigos '!$B$5:$JL$209,258,FALSE)</f>
        <v>970.37172864548063</v>
      </c>
      <c r="CI28" s="1654">
        <f>VLOOKUP($C28,'Insumos testigos '!$B$5:$JL$209,259,FALSE)</f>
        <v>1114.6213914223354</v>
      </c>
      <c r="CJ28" s="1654">
        <f>VLOOKUP($C28,'Insumos testigos '!$B$5:$JL$209,260,FALSE)</f>
        <v>1229.9231200040886</v>
      </c>
      <c r="CK28" s="1654">
        <f>VLOOKUP($C28,'Insumos testigos '!$B$5:$JL$209,261,FALSE)</f>
        <v>1308.6358740992328</v>
      </c>
      <c r="CL28" s="1654">
        <f>VLOOKUP($C28,'Insumos testigos '!$B$5:$JL$209,262,FALSE)</f>
        <v>1418.2098638102245</v>
      </c>
      <c r="CM28" s="1654">
        <f>VLOOKUP($C28,'Insumos testigos '!$B$5:$JL$209,263,FALSE)</f>
        <v>1516.6274389451087</v>
      </c>
      <c r="CN28" s="1654">
        <f>VLOOKUP($C28,'Insumos testigos '!$B$5:$JL$209,264,FALSE)</f>
        <v>1612.9370309669496</v>
      </c>
      <c r="CO28" s="1654">
        <f>VLOOKUP($C28,'Insumos testigos '!$B$5:$JL$209,265,FALSE)</f>
        <v>1752.5480328244671</v>
      </c>
    </row>
    <row r="29" spans="2:93">
      <c r="B29" s="1651" t="s">
        <v>1073</v>
      </c>
      <c r="C29" s="1652">
        <v>75</v>
      </c>
      <c r="D29" s="1653">
        <v>9.7670168331407594E-3</v>
      </c>
      <c r="E29" s="1654">
        <v>1318.9</v>
      </c>
      <c r="F29" s="1654">
        <v>1166.8103438622736</v>
      </c>
      <c r="G29" s="1654">
        <v>1600.2399278732707</v>
      </c>
      <c r="H29" s="1654">
        <f>VLOOKUP($C29,'Insumos testigos '!$B$5:$HN$209,180,FALSE)</f>
        <v>100</v>
      </c>
      <c r="I29" s="1654">
        <f>VLOOKUP($C29,'Insumos testigos '!$B$5:$HN$209,181,FALSE)</f>
        <v>110.54278612136841</v>
      </c>
      <c r="J29" s="1654">
        <f>VLOOKUP($C29,'Insumos testigos '!$B$5:$HN$209,182,FALSE)</f>
        <v>113.05078430144846</v>
      </c>
      <c r="K29" s="1654">
        <f>VLOOKUP($C29,'Insumos testigos '!$B$5:$HN$209,183,FALSE)</f>
        <v>111.30584766240382</v>
      </c>
      <c r="L29" s="1654">
        <f>VLOOKUP($C29,'Insumos testigos '!$B$5:$HN$209,184,FALSE)</f>
        <v>112.66124445037086</v>
      </c>
      <c r="M29" s="1654">
        <f>VLOOKUP($C29,'Insumos testigos '!$B$5:$HN$209,185,FALSE)</f>
        <v>114.90303803339445</v>
      </c>
      <c r="N29" s="1654">
        <f>VLOOKUP($C29,'Insumos testigos '!$B$5:$HN$209,186,FALSE)</f>
        <v>117.40754546611487</v>
      </c>
      <c r="O29" s="1654">
        <f>VLOOKUP($C29,'Insumos testigos '!$B$5:$HN$209,187,FALSE)</f>
        <v>117.94134158300723</v>
      </c>
      <c r="P29" s="1654">
        <f>VLOOKUP($C29,'Insumos testigos '!$B$5:$HN$209,188,FALSE)</f>
        <v>117.94134158300723</v>
      </c>
      <c r="Q29" s="1654">
        <f>VLOOKUP($C29,'Insumos testigos '!$B$5:$HN$209,189,FALSE)</f>
        <v>102.75189868577964</v>
      </c>
      <c r="R29" s="1654">
        <f>VLOOKUP($C29,'Insumos testigos '!$B$5:$HN$209,190,FALSE)</f>
        <v>102.75189868577964</v>
      </c>
      <c r="S29" s="1654">
        <f>VLOOKUP($C29,'Insumos testigos '!$B$5:$HN$209,191,FALSE)</f>
        <v>102.75189868577964</v>
      </c>
      <c r="T29" s="1654">
        <f>VLOOKUP($C29,'Insumos testigos '!$B$5:$HN$209,192,FALSE)</f>
        <v>102.75189868577964</v>
      </c>
      <c r="U29" s="1654">
        <f>VLOOKUP($C29,'Insumos testigos '!$B$5:$HN$209,193,FALSE)</f>
        <v>103.40834606708155</v>
      </c>
      <c r="V29" s="1654">
        <f>VLOOKUP($C29,'Insumos testigos '!$B$5:$HN$209,194,FALSE)</f>
        <v>103.72333158776699</v>
      </c>
      <c r="W29" s="1654">
        <f>VLOOKUP($C29,'Insumos testigos '!$B$5:$HN$209,195,FALSE)</f>
        <v>104.09673571996854</v>
      </c>
      <c r="X29" s="1654">
        <f>VLOOKUP($C29,'Insumos testigos '!$B$5:$HN$209,196,FALSE)</f>
        <v>105.07509717646978</v>
      </c>
      <c r="Y29" s="1654">
        <f>VLOOKUP($C29,'Insumos testigos '!$B$5:$HN$209,197,FALSE)</f>
        <v>105.07509717646978</v>
      </c>
      <c r="Z29" s="1654">
        <f>VLOOKUP($C29,'Insumos testigos '!$B$5:$HN$209,198,FALSE)</f>
        <v>102.35742180246308</v>
      </c>
      <c r="AA29" s="1654">
        <f>VLOOKUP($C29,'Insumos testigos '!$B$5:$HN$209,199,FALSE)</f>
        <v>106.84576472192892</v>
      </c>
      <c r="AB29" s="1654">
        <f>VLOOKUP($C29,'Insumos testigos '!$B$5:$HN$209,200,FALSE)</f>
        <v>107.56978718785572</v>
      </c>
      <c r="AC29" s="1654">
        <f>VLOOKUP($C29,'Insumos testigos '!$B$5:$HN$209,201,FALSE)</f>
        <v>101.38533178064949</v>
      </c>
      <c r="AD29" s="1654">
        <f>VLOOKUP($C29,'Insumos testigos '!$B$5:$HN$209,202,FALSE)</f>
        <v>101.38533178064949</v>
      </c>
      <c r="AE29" s="1654">
        <f>VLOOKUP($C29,'Insumos testigos '!$B$5:$HN$209,203,FALSE)</f>
        <v>101.38533178064949</v>
      </c>
      <c r="AF29" s="1654">
        <f>VLOOKUP($C29,'Insumos testigos '!$B$5:$HN$209,204,FALSE)</f>
        <v>103.72322555559445</v>
      </c>
      <c r="AG29" s="1654">
        <f>VLOOKUP($C29,'Insumos testigos '!$B$5:$HN$209,205,FALSE)</f>
        <v>103.15948468688971</v>
      </c>
      <c r="AH29" s="1654">
        <f>VLOOKUP($C29,'Insumos testigos '!$B$5:$HN$209,206,FALSE)</f>
        <v>103.71347786736253</v>
      </c>
      <c r="AI29" s="1654">
        <f>VLOOKUP($C29,'Insumos testigos '!$B$5:$HN$209,207,FALSE)</f>
        <v>111.38420770076182</v>
      </c>
      <c r="AJ29" s="1654">
        <f>VLOOKUP($C29,'Insumos testigos '!$B$5:$HN$209,208,FALSE)</f>
        <v>123.5955625237943</v>
      </c>
      <c r="AK29" s="1654">
        <f>VLOOKUP($C29,'Insumos testigos '!$B$5:$HN$209,209,FALSE)</f>
        <v>138.86992681635391</v>
      </c>
      <c r="AL29" s="1654">
        <f>VLOOKUP($C29,'Insumos testigos '!$B$5:$HN$209,210,FALSE)</f>
        <v>148.94815970155662</v>
      </c>
      <c r="AM29" s="1654">
        <f>VLOOKUP($C29,'Insumos testigos '!$B$5:$HN$209,211,FALSE)</f>
        <v>154.08322478434511</v>
      </c>
      <c r="AN29" s="1654">
        <f>VLOOKUP($C29,'Insumos testigos '!$B$5:$HN$209,212,FALSE)</f>
        <v>189.0524557129549</v>
      </c>
      <c r="AO29" s="1654">
        <f>VLOOKUP($C29,'Insumos testigos '!$B$5:$HN$209,213,FALSE)</f>
        <v>206.38759022459601</v>
      </c>
      <c r="AP29" s="1654">
        <f>VLOOKUP($C29,'Insumos testigos '!$B$5:$HN$209,214,FALSE)</f>
        <v>201.47399981139304</v>
      </c>
      <c r="AQ29" s="1654">
        <f>VLOOKUP($C29,'Insumos testigos '!$B$5:$HN$209,215,FALSE)</f>
        <v>192.36229112499217</v>
      </c>
      <c r="AR29" s="1654">
        <f>VLOOKUP($C29,'Insumos testigos '!$B$5:$HN$209,216,FALSE)</f>
        <v>211.74751667674241</v>
      </c>
      <c r="AS29" s="1654">
        <f>VLOOKUP($C29,'Insumos testigos '!$B$5:$HN$209,217,FALSE)</f>
        <v>200.14783152183557</v>
      </c>
      <c r="AT29" s="1654">
        <f>VLOOKUP($C29,'Insumos testigos '!$B$5:$HN$209,218,FALSE)</f>
        <v>219.46806536568533</v>
      </c>
      <c r="AU29" s="1654">
        <f>VLOOKUP($C29,'Insumos testigos '!$B$5:$HN$209,219,FALSE)</f>
        <v>225.59400061975651</v>
      </c>
      <c r="AV29" s="1654">
        <f>VLOOKUP($C29,'Insumos testigos '!$B$5:$HN$209,220,FALSE)</f>
        <v>229.3076122703869</v>
      </c>
      <c r="AW29" s="1654">
        <f>VLOOKUP($C29,'Insumos testigos '!$B$5:$HN$209,221,FALSE)</f>
        <v>211.51463659402933</v>
      </c>
      <c r="AX29" s="1654">
        <f>VLOOKUP($C29,'Insumos testigos '!$B$5:$HO$209,222,FALSE)</f>
        <v>215.73522006916369</v>
      </c>
      <c r="AY29" s="1654">
        <f>VLOOKUP($C29,'Insumos testigos '!$B$5:$JL$209,223,FALSE)</f>
        <v>237.11955091028449</v>
      </c>
      <c r="AZ29" s="1654">
        <f>VLOOKUP($C29,'Insumos testigos '!$B$5:$JL$209,224,FALSE)</f>
        <v>266.52248566716986</v>
      </c>
      <c r="BA29" s="1654">
        <f>VLOOKUP($C29,'Insumos testigos '!$B$5:$JL$209,225,FALSE)</f>
        <v>262.90853855228573</v>
      </c>
      <c r="BB29" s="1654">
        <f>VLOOKUP($C29,'Insumos testigos '!$B$5:$JL$209,226,FALSE)</f>
        <v>248.36901382423025</v>
      </c>
      <c r="BC29" s="1654">
        <f>VLOOKUP($C29,'Insumos testigos '!$B$5:$JL$209,227,FALSE)</f>
        <v>233.58580445228674</v>
      </c>
      <c r="BD29" s="1654">
        <f>VLOOKUP($C29,'Insumos testigos '!$B$5:$JL$209,228,FALSE)</f>
        <v>227.74577493920111</v>
      </c>
      <c r="BE29" s="1654">
        <f>VLOOKUP($C29,'Insumos testigos '!$B$5:$JL$209,229,FALSE)</f>
        <v>236.97174513352061</v>
      </c>
      <c r="BF29" s="1654">
        <f>VLOOKUP($C29,'Insumos testigos '!$B$5:$JL$209,230,FALSE)</f>
        <v>236.97174513352061</v>
      </c>
      <c r="BG29" s="1654">
        <f>VLOOKUP($C29,'Insumos testigos '!$B$5:$JL$209,231,FALSE)</f>
        <v>236.97174513352061</v>
      </c>
      <c r="BH29" s="1654">
        <f>VLOOKUP($C29,'Insumos testigos '!$B$5:$JL$209,232,FALSE)</f>
        <v>243.33829659773286</v>
      </c>
      <c r="BI29" s="1654">
        <f>VLOOKUP($C29,'Insumos testigos '!$B$5:$JL$209,233,FALSE)</f>
        <v>256.75397478561553</v>
      </c>
      <c r="BJ29" s="1654">
        <f>VLOOKUP($C29,'Insumos testigos '!$B$5:$JL$209,234,FALSE)</f>
        <v>272.56196235693687</v>
      </c>
      <c r="BK29" s="1654">
        <f>VLOOKUP($C29,'Insumos testigos '!$B$5:$JL$209,235,FALSE)</f>
        <v>286.3675366767643</v>
      </c>
      <c r="BL29" s="1654">
        <f>VLOOKUP($C29,'Insumos testigos '!$B$5:$JL$209,236,FALSE)</f>
        <v>288.48441127321979</v>
      </c>
      <c r="BM29" s="1654">
        <f>VLOOKUP($C29,'Insumos testigos '!$B$5:$JL$209,237,FALSE)</f>
        <v>302.06099909923529</v>
      </c>
      <c r="BN29" s="1654">
        <f>VLOOKUP($C29,'Insumos testigos '!$B$5:$JL$209,238,FALSE)</f>
        <v>310.96389387172854</v>
      </c>
      <c r="BO29" s="1654">
        <f>VLOOKUP($C29,'Insumos testigos '!$B$5:$JL$209,239,FALSE)</f>
        <v>319.07714465509537</v>
      </c>
      <c r="BP29" s="1654">
        <f>VLOOKUP($C29,'Insumos testigos '!$B$5:$JL$209,240,FALSE)</f>
        <v>335.96947855604498</v>
      </c>
      <c r="BQ29" s="1654">
        <f>VLOOKUP($C29,'Insumos testigos '!$B$5:$JL$209,241,FALSE)</f>
        <v>343.34257928198321</v>
      </c>
      <c r="BR29" s="1654">
        <f>VLOOKUP($C29,'Insumos testigos '!$B$5:$JL$209,242,FALSE)</f>
        <v>350.47135582633967</v>
      </c>
      <c r="BS29" s="1654">
        <f>VLOOKUP($C29,'Insumos testigos '!$B$5:$JL$209,243,FALSE)</f>
        <v>380.34474267712812</v>
      </c>
      <c r="BT29" s="1654">
        <f>VLOOKUP($C29,'Insumos testigos '!$B$5:$JL$209,244,FALSE)</f>
        <v>393.34972303413429</v>
      </c>
      <c r="BU29" s="1654">
        <f>VLOOKUP($C29,'Insumos testigos '!$B$5:$JL$209,245,FALSE)</f>
        <v>403.50711101011586</v>
      </c>
      <c r="BV29" s="1654">
        <f>VLOOKUP($C29,'Insumos testigos '!$B$5:$JL$209,246,FALSE)</f>
        <v>417.07067753500797</v>
      </c>
      <c r="BW29" s="1654">
        <f>VLOOKUP($C29,'Insumos testigos '!$B$5:$JL$209,247,FALSE)</f>
        <v>424.02648857796549</v>
      </c>
      <c r="BX29" s="1654">
        <f>VLOOKUP($C29,'Insumos testigos '!$B$5:$JL$209,248,FALSE)</f>
        <v>438.44508529557061</v>
      </c>
      <c r="BY29" s="1654">
        <f>VLOOKUP($C29,'Insumos testigos '!$B$5:$JL$209,249,FALSE)</f>
        <v>448.9858352144912</v>
      </c>
      <c r="BZ29" s="1654">
        <f>VLOOKUP($C29,'Insumos testigos '!$B$5:$JL$209,250,FALSE)</f>
        <v>452.67515182244864</v>
      </c>
      <c r="CA29" s="1654">
        <f>VLOOKUP($C29,'Insumos testigos '!$B$5:$JL$209,251,FALSE)</f>
        <v>468.57482814835595</v>
      </c>
      <c r="CB29" s="1654">
        <f>VLOOKUP($C29,'Insumos testigos '!$B$5:$JL$209,252,FALSE)</f>
        <v>476.63011700106546</v>
      </c>
      <c r="CC29" s="1654">
        <f>VLOOKUP($C29,'Insumos testigos '!$B$5:$JL$209,253,FALSE)</f>
        <v>513.34149490378707</v>
      </c>
      <c r="CD29" s="1654">
        <f>VLOOKUP($C29,'Insumos testigos '!$B$5:$JL$209,254,FALSE)</f>
        <v>522.29100239821025</v>
      </c>
      <c r="CE29" s="1654">
        <f>VLOOKUP($C29,'Insumos testigos '!$B$5:$JL$209,255,FALSE)</f>
        <v>541.95177038090105</v>
      </c>
      <c r="CF29" s="1654">
        <f>VLOOKUP($C29,'Insumos testigos '!$B$5:$JL$209,256,FALSE)</f>
        <v>563.53125656835812</v>
      </c>
      <c r="CG29" s="1654">
        <f>VLOOKUP($C29,'Insumos testigos '!$B$5:$JL$209,257,FALSE)</f>
        <v>604.58111514747043</v>
      </c>
      <c r="CH29" s="1654">
        <f>VLOOKUP($C29,'Insumos testigos '!$B$5:$JL$209,258,FALSE)</f>
        <v>733.74570210315949</v>
      </c>
      <c r="CI29" s="1654">
        <f>VLOOKUP($C29,'Insumos testigos '!$B$5:$JL$209,259,FALSE)</f>
        <v>875.52700950383917</v>
      </c>
      <c r="CJ29" s="1654">
        <f>VLOOKUP($C29,'Insumos testigos '!$B$5:$JL$209,260,FALSE)</f>
        <v>922.28946401831411</v>
      </c>
      <c r="CK29" s="1654">
        <f>VLOOKUP($C29,'Insumos testigos '!$B$5:$JL$209,261,FALSE)</f>
        <v>990.46074045804926</v>
      </c>
      <c r="CL29" s="1654">
        <f>VLOOKUP($C29,'Insumos testigos '!$B$5:$JL$209,262,FALSE)</f>
        <v>1068.1724247482348</v>
      </c>
      <c r="CM29" s="1654">
        <f>VLOOKUP($C29,'Insumos testigos '!$B$5:$JL$209,263,FALSE)</f>
        <v>1136.6030546690313</v>
      </c>
      <c r="CN29" s="1654">
        <f>VLOOKUP($C29,'Insumos testigos '!$B$5:$JL$209,264,FALSE)</f>
        <v>1200.9105792448872</v>
      </c>
      <c r="CO29" s="1654">
        <f>VLOOKUP($C29,'Insumos testigos '!$B$5:$JL$209,265,FALSE)</f>
        <v>1314.0479091672619</v>
      </c>
    </row>
    <row r="30" spans="2:93">
      <c r="B30" s="1651" t="s">
        <v>1074</v>
      </c>
      <c r="C30" s="1652">
        <v>75</v>
      </c>
      <c r="D30" s="1653">
        <v>2.3141119863350237E-2</v>
      </c>
      <c r="E30" s="1654">
        <v>1318.9</v>
      </c>
      <c r="F30" s="1654">
        <v>1166.8103438622736</v>
      </c>
      <c r="G30" s="1654">
        <v>1600.2399278732707</v>
      </c>
      <c r="H30" s="1654">
        <f>VLOOKUP($C30,'Insumos testigos '!$B$5:$HN$209,180,FALSE)</f>
        <v>100</v>
      </c>
      <c r="I30" s="1654">
        <f>VLOOKUP($C30,'Insumos testigos '!$B$5:$HN$209,181,FALSE)</f>
        <v>110.54278612136841</v>
      </c>
      <c r="J30" s="1654">
        <f>VLOOKUP($C30,'Insumos testigos '!$B$5:$HN$209,182,FALSE)</f>
        <v>113.05078430144846</v>
      </c>
      <c r="K30" s="1654">
        <f>VLOOKUP($C30,'Insumos testigos '!$B$5:$HN$209,183,FALSE)</f>
        <v>111.30584766240382</v>
      </c>
      <c r="L30" s="1654">
        <f>VLOOKUP($C30,'Insumos testigos '!$B$5:$HN$209,184,FALSE)</f>
        <v>112.66124445037086</v>
      </c>
      <c r="M30" s="1654">
        <f>VLOOKUP($C30,'Insumos testigos '!$B$5:$HN$209,185,FALSE)</f>
        <v>114.90303803339445</v>
      </c>
      <c r="N30" s="1654">
        <f>VLOOKUP($C30,'Insumos testigos '!$B$5:$HN$209,186,FALSE)</f>
        <v>117.40754546611487</v>
      </c>
      <c r="O30" s="1654">
        <f>VLOOKUP($C30,'Insumos testigos '!$B$5:$HN$209,187,FALSE)</f>
        <v>117.94134158300723</v>
      </c>
      <c r="P30" s="1654">
        <f>VLOOKUP($C30,'Insumos testigos '!$B$5:$HN$209,188,FALSE)</f>
        <v>117.94134158300723</v>
      </c>
      <c r="Q30" s="1654">
        <f>VLOOKUP($C30,'Insumos testigos '!$B$5:$HN$209,189,FALSE)</f>
        <v>102.75189868577964</v>
      </c>
      <c r="R30" s="1654">
        <f>VLOOKUP($C30,'Insumos testigos '!$B$5:$HN$209,190,FALSE)</f>
        <v>102.75189868577964</v>
      </c>
      <c r="S30" s="1654">
        <f>VLOOKUP($C30,'Insumos testigos '!$B$5:$HN$209,191,FALSE)</f>
        <v>102.75189868577964</v>
      </c>
      <c r="T30" s="1654">
        <f>VLOOKUP($C30,'Insumos testigos '!$B$5:$HN$209,192,FALSE)</f>
        <v>102.75189868577964</v>
      </c>
      <c r="U30" s="1654">
        <f>VLOOKUP($C30,'Insumos testigos '!$B$5:$HN$209,193,FALSE)</f>
        <v>103.40834606708155</v>
      </c>
      <c r="V30" s="1654">
        <f>VLOOKUP($C30,'Insumos testigos '!$B$5:$HN$209,194,FALSE)</f>
        <v>103.72333158776699</v>
      </c>
      <c r="W30" s="1654">
        <f>VLOOKUP($C30,'Insumos testigos '!$B$5:$HN$209,195,FALSE)</f>
        <v>104.09673571996854</v>
      </c>
      <c r="X30" s="1654">
        <f>VLOOKUP($C30,'Insumos testigos '!$B$5:$HN$209,196,FALSE)</f>
        <v>105.07509717646978</v>
      </c>
      <c r="Y30" s="1654">
        <f>VLOOKUP($C30,'Insumos testigos '!$B$5:$HN$209,197,FALSE)</f>
        <v>105.07509717646978</v>
      </c>
      <c r="Z30" s="1654">
        <f>VLOOKUP($C30,'Insumos testigos '!$B$5:$HN$209,198,FALSE)</f>
        <v>102.35742180246308</v>
      </c>
      <c r="AA30" s="1654">
        <f>VLOOKUP($C30,'Insumos testigos '!$B$5:$HN$209,199,FALSE)</f>
        <v>106.84576472192892</v>
      </c>
      <c r="AB30" s="1654">
        <f>VLOOKUP($C30,'Insumos testigos '!$B$5:$HN$209,200,FALSE)</f>
        <v>107.56978718785572</v>
      </c>
      <c r="AC30" s="1654">
        <f>VLOOKUP($C30,'Insumos testigos '!$B$5:$HN$209,201,FALSE)</f>
        <v>101.38533178064949</v>
      </c>
      <c r="AD30" s="1654">
        <f>VLOOKUP($C30,'Insumos testigos '!$B$5:$HN$209,202,FALSE)</f>
        <v>101.38533178064949</v>
      </c>
      <c r="AE30" s="1654">
        <f>VLOOKUP($C30,'Insumos testigos '!$B$5:$HN$209,203,FALSE)</f>
        <v>101.38533178064949</v>
      </c>
      <c r="AF30" s="1654">
        <f>VLOOKUP($C30,'Insumos testigos '!$B$5:$HN$209,204,FALSE)</f>
        <v>103.72322555559445</v>
      </c>
      <c r="AG30" s="1654">
        <f>VLOOKUP($C30,'Insumos testigos '!$B$5:$HN$209,205,FALSE)</f>
        <v>103.15948468688971</v>
      </c>
      <c r="AH30" s="1654">
        <f>VLOOKUP($C30,'Insumos testigos '!$B$5:$HN$209,206,FALSE)</f>
        <v>103.71347786736253</v>
      </c>
      <c r="AI30" s="1654">
        <f>VLOOKUP($C30,'Insumos testigos '!$B$5:$HN$209,207,FALSE)</f>
        <v>111.38420770076182</v>
      </c>
      <c r="AJ30" s="1654">
        <f>VLOOKUP($C30,'Insumos testigos '!$B$5:$HN$209,208,FALSE)</f>
        <v>123.5955625237943</v>
      </c>
      <c r="AK30" s="1654">
        <f>VLOOKUP($C30,'Insumos testigos '!$B$5:$HN$209,209,FALSE)</f>
        <v>138.86992681635391</v>
      </c>
      <c r="AL30" s="1654">
        <f>VLOOKUP($C30,'Insumos testigos '!$B$5:$HN$209,210,FALSE)</f>
        <v>148.94815970155662</v>
      </c>
      <c r="AM30" s="1654">
        <f>VLOOKUP($C30,'Insumos testigos '!$B$5:$HN$209,211,FALSE)</f>
        <v>154.08322478434511</v>
      </c>
      <c r="AN30" s="1654">
        <f>VLOOKUP($C30,'Insumos testigos '!$B$5:$HN$209,212,FALSE)</f>
        <v>189.0524557129549</v>
      </c>
      <c r="AO30" s="1654">
        <f>VLOOKUP($C30,'Insumos testigos '!$B$5:$HN$209,213,FALSE)</f>
        <v>206.38759022459601</v>
      </c>
      <c r="AP30" s="1654">
        <f>VLOOKUP($C30,'Insumos testigos '!$B$5:$HN$209,214,FALSE)</f>
        <v>201.47399981139304</v>
      </c>
      <c r="AQ30" s="1654">
        <f>VLOOKUP($C30,'Insumos testigos '!$B$5:$HN$209,215,FALSE)</f>
        <v>192.36229112499217</v>
      </c>
      <c r="AR30" s="1654">
        <f>VLOOKUP($C30,'Insumos testigos '!$B$5:$HN$209,216,FALSE)</f>
        <v>211.74751667674241</v>
      </c>
      <c r="AS30" s="1654">
        <f>VLOOKUP($C30,'Insumos testigos '!$B$5:$HN$209,217,FALSE)</f>
        <v>200.14783152183557</v>
      </c>
      <c r="AT30" s="1654">
        <f>VLOOKUP($C30,'Insumos testigos '!$B$5:$HN$209,218,FALSE)</f>
        <v>219.46806536568533</v>
      </c>
      <c r="AU30" s="1654">
        <f>VLOOKUP($C30,'Insumos testigos '!$B$5:$HN$209,219,FALSE)</f>
        <v>225.59400061975651</v>
      </c>
      <c r="AV30" s="1654">
        <f>VLOOKUP($C30,'Insumos testigos '!$B$5:$HN$209,220,FALSE)</f>
        <v>229.3076122703869</v>
      </c>
      <c r="AW30" s="1654">
        <f>VLOOKUP($C30,'Insumos testigos '!$B$5:$HN$209,221,FALSE)</f>
        <v>211.51463659402933</v>
      </c>
      <c r="AX30" s="1654">
        <f>VLOOKUP($C30,'Insumos testigos '!$B$5:$HO$209,222,FALSE)</f>
        <v>215.73522006916369</v>
      </c>
      <c r="AY30" s="1654">
        <f>VLOOKUP($C30,'Insumos testigos '!$B$5:$JL$209,223,FALSE)</f>
        <v>237.11955091028449</v>
      </c>
      <c r="AZ30" s="1654">
        <f>VLOOKUP($C30,'Insumos testigos '!$B$5:$JL$209,224,FALSE)</f>
        <v>266.52248566716986</v>
      </c>
      <c r="BA30" s="1654">
        <f>VLOOKUP($C30,'Insumos testigos '!$B$5:$JL$209,225,FALSE)</f>
        <v>262.90853855228573</v>
      </c>
      <c r="BB30" s="1654">
        <f>VLOOKUP($C30,'Insumos testigos '!$B$5:$JL$209,226,FALSE)</f>
        <v>248.36901382423025</v>
      </c>
      <c r="BC30" s="1654">
        <f>VLOOKUP($C30,'Insumos testigos '!$B$5:$JL$209,227,FALSE)</f>
        <v>233.58580445228674</v>
      </c>
      <c r="BD30" s="1654">
        <f>VLOOKUP($C30,'Insumos testigos '!$B$5:$JL$209,228,FALSE)</f>
        <v>227.74577493920111</v>
      </c>
      <c r="BE30" s="1654">
        <f>VLOOKUP($C30,'Insumos testigos '!$B$5:$JL$209,229,FALSE)</f>
        <v>236.97174513352061</v>
      </c>
      <c r="BF30" s="1654">
        <f>VLOOKUP($C30,'Insumos testigos '!$B$5:$JL$209,230,FALSE)</f>
        <v>236.97174513352061</v>
      </c>
      <c r="BG30" s="1654">
        <f>VLOOKUP($C30,'Insumos testigos '!$B$5:$JL$209,231,FALSE)</f>
        <v>236.97174513352061</v>
      </c>
      <c r="BH30" s="1654">
        <f>VLOOKUP($C30,'Insumos testigos '!$B$5:$JL$209,232,FALSE)</f>
        <v>243.33829659773286</v>
      </c>
      <c r="BI30" s="1654">
        <f>VLOOKUP($C30,'Insumos testigos '!$B$5:$JL$209,233,FALSE)</f>
        <v>256.75397478561553</v>
      </c>
      <c r="BJ30" s="1654">
        <f>VLOOKUP($C30,'Insumos testigos '!$B$5:$JL$209,234,FALSE)</f>
        <v>272.56196235693687</v>
      </c>
      <c r="BK30" s="1654">
        <f>VLOOKUP($C30,'Insumos testigos '!$B$5:$JL$209,235,FALSE)</f>
        <v>286.3675366767643</v>
      </c>
      <c r="BL30" s="1654">
        <f>VLOOKUP($C30,'Insumos testigos '!$B$5:$JL$209,236,FALSE)</f>
        <v>288.48441127321979</v>
      </c>
      <c r="BM30" s="1654">
        <f>VLOOKUP($C30,'Insumos testigos '!$B$5:$JL$209,237,FALSE)</f>
        <v>302.06099909923529</v>
      </c>
      <c r="BN30" s="1654">
        <f>VLOOKUP($C30,'Insumos testigos '!$B$5:$JL$209,238,FALSE)</f>
        <v>310.96389387172854</v>
      </c>
      <c r="BO30" s="1654">
        <f>VLOOKUP($C30,'Insumos testigos '!$B$5:$JL$209,239,FALSE)</f>
        <v>319.07714465509537</v>
      </c>
      <c r="BP30" s="1654">
        <f>VLOOKUP($C30,'Insumos testigos '!$B$5:$JL$209,240,FALSE)</f>
        <v>335.96947855604498</v>
      </c>
      <c r="BQ30" s="1654">
        <f>VLOOKUP($C30,'Insumos testigos '!$B$5:$JL$209,241,FALSE)</f>
        <v>343.34257928198321</v>
      </c>
      <c r="BR30" s="1654">
        <f>VLOOKUP($C30,'Insumos testigos '!$B$5:$JL$209,242,FALSE)</f>
        <v>350.47135582633967</v>
      </c>
      <c r="BS30" s="1654">
        <f>VLOOKUP($C30,'Insumos testigos '!$B$5:$JL$209,243,FALSE)</f>
        <v>380.34474267712812</v>
      </c>
      <c r="BT30" s="1654">
        <f>VLOOKUP($C30,'Insumos testigos '!$B$5:$JL$209,244,FALSE)</f>
        <v>393.34972303413429</v>
      </c>
      <c r="BU30" s="1654">
        <f>VLOOKUP($C30,'Insumos testigos '!$B$5:$JL$209,245,FALSE)</f>
        <v>403.50711101011586</v>
      </c>
      <c r="BV30" s="1654">
        <f>VLOOKUP($C30,'Insumos testigos '!$B$5:$JL$209,246,FALSE)</f>
        <v>417.07067753500797</v>
      </c>
      <c r="BW30" s="1654">
        <f>VLOOKUP($C30,'Insumos testigos '!$B$5:$JL$209,247,FALSE)</f>
        <v>424.02648857796549</v>
      </c>
      <c r="BX30" s="1654">
        <f>VLOOKUP($C30,'Insumos testigos '!$B$5:$JL$209,248,FALSE)</f>
        <v>438.44508529557061</v>
      </c>
      <c r="BY30" s="1654">
        <f>VLOOKUP($C30,'Insumos testigos '!$B$5:$JL$209,249,FALSE)</f>
        <v>448.9858352144912</v>
      </c>
      <c r="BZ30" s="1654">
        <f>VLOOKUP($C30,'Insumos testigos '!$B$5:$JL$209,250,FALSE)</f>
        <v>452.67515182244864</v>
      </c>
      <c r="CA30" s="1654">
        <f>VLOOKUP($C30,'Insumos testigos '!$B$5:$JL$209,251,FALSE)</f>
        <v>468.57482814835595</v>
      </c>
      <c r="CB30" s="1654">
        <f>VLOOKUP($C30,'Insumos testigos '!$B$5:$JL$209,252,FALSE)</f>
        <v>476.63011700106546</v>
      </c>
      <c r="CC30" s="1654">
        <f>VLOOKUP($C30,'Insumos testigos '!$B$5:$JL$209,253,FALSE)</f>
        <v>513.34149490378707</v>
      </c>
      <c r="CD30" s="1654">
        <f>VLOOKUP($C30,'Insumos testigos '!$B$5:$JL$209,254,FALSE)</f>
        <v>522.29100239821025</v>
      </c>
      <c r="CE30" s="1654">
        <f>VLOOKUP($C30,'Insumos testigos '!$B$5:$JL$209,255,FALSE)</f>
        <v>541.95177038090105</v>
      </c>
      <c r="CF30" s="1654">
        <f>VLOOKUP($C30,'Insumos testigos '!$B$5:$JL$209,256,FALSE)</f>
        <v>563.53125656835812</v>
      </c>
      <c r="CG30" s="1654">
        <f>VLOOKUP($C30,'Insumos testigos '!$B$5:$JL$209,257,FALSE)</f>
        <v>604.58111514747043</v>
      </c>
      <c r="CH30" s="1654">
        <f>VLOOKUP($C30,'Insumos testigos '!$B$5:$JL$209,258,FALSE)</f>
        <v>733.74570210315949</v>
      </c>
      <c r="CI30" s="1654">
        <f>VLOOKUP($C30,'Insumos testigos '!$B$5:$JL$209,259,FALSE)</f>
        <v>875.52700950383917</v>
      </c>
      <c r="CJ30" s="1654">
        <f>VLOOKUP($C30,'Insumos testigos '!$B$5:$JL$209,260,FALSE)</f>
        <v>922.28946401831411</v>
      </c>
      <c r="CK30" s="1654">
        <f>VLOOKUP($C30,'Insumos testigos '!$B$5:$JL$209,261,FALSE)</f>
        <v>990.46074045804926</v>
      </c>
      <c r="CL30" s="1654">
        <f>VLOOKUP($C30,'Insumos testigos '!$B$5:$JL$209,262,FALSE)</f>
        <v>1068.1724247482348</v>
      </c>
      <c r="CM30" s="1654">
        <f>VLOOKUP($C30,'Insumos testigos '!$B$5:$JL$209,263,FALSE)</f>
        <v>1136.6030546690313</v>
      </c>
      <c r="CN30" s="1654">
        <f>VLOOKUP($C30,'Insumos testigos '!$B$5:$JL$209,264,FALSE)</f>
        <v>1200.9105792448872</v>
      </c>
      <c r="CO30" s="1654">
        <f>VLOOKUP($C30,'Insumos testigos '!$B$5:$JL$209,265,FALSE)</f>
        <v>1314.0479091672619</v>
      </c>
    </row>
    <row r="31" spans="2:93">
      <c r="B31" s="1651" t="s">
        <v>1075</v>
      </c>
      <c r="C31" s="1652">
        <v>75</v>
      </c>
      <c r="D31" s="1653">
        <v>6.3507158137948189E-2</v>
      </c>
      <c r="E31" s="1654">
        <v>1318.9</v>
      </c>
      <c r="F31" s="1654">
        <v>1166.8103438622736</v>
      </c>
      <c r="G31" s="1654">
        <v>1600.2399278732707</v>
      </c>
      <c r="H31" s="1654">
        <f>VLOOKUP($C31,'Insumos testigos '!$B$5:$HN$209,180,FALSE)</f>
        <v>100</v>
      </c>
      <c r="I31" s="1654">
        <f>VLOOKUP($C31,'Insumos testigos '!$B$5:$HN$209,181,FALSE)</f>
        <v>110.54278612136841</v>
      </c>
      <c r="J31" s="1654">
        <f>VLOOKUP($C31,'Insumos testigos '!$B$5:$HN$209,182,FALSE)</f>
        <v>113.05078430144846</v>
      </c>
      <c r="K31" s="1654">
        <f>VLOOKUP($C31,'Insumos testigos '!$B$5:$HN$209,183,FALSE)</f>
        <v>111.30584766240382</v>
      </c>
      <c r="L31" s="1654">
        <f>VLOOKUP($C31,'Insumos testigos '!$B$5:$HN$209,184,FALSE)</f>
        <v>112.66124445037086</v>
      </c>
      <c r="M31" s="1654">
        <f>VLOOKUP($C31,'Insumos testigos '!$B$5:$HN$209,185,FALSE)</f>
        <v>114.90303803339445</v>
      </c>
      <c r="N31" s="1654">
        <f>VLOOKUP($C31,'Insumos testigos '!$B$5:$HN$209,186,FALSE)</f>
        <v>117.40754546611487</v>
      </c>
      <c r="O31" s="1654">
        <f>VLOOKUP($C31,'Insumos testigos '!$B$5:$HN$209,187,FALSE)</f>
        <v>117.94134158300723</v>
      </c>
      <c r="P31" s="1654">
        <f>VLOOKUP($C31,'Insumos testigos '!$B$5:$HN$209,188,FALSE)</f>
        <v>117.94134158300723</v>
      </c>
      <c r="Q31" s="1654">
        <f>VLOOKUP($C31,'Insumos testigos '!$B$5:$HN$209,189,FALSE)</f>
        <v>102.75189868577964</v>
      </c>
      <c r="R31" s="1654">
        <f>VLOOKUP($C31,'Insumos testigos '!$B$5:$HN$209,190,FALSE)</f>
        <v>102.75189868577964</v>
      </c>
      <c r="S31" s="1654">
        <f>VLOOKUP($C31,'Insumos testigos '!$B$5:$HN$209,191,FALSE)</f>
        <v>102.75189868577964</v>
      </c>
      <c r="T31" s="1654">
        <f>VLOOKUP($C31,'Insumos testigos '!$B$5:$HN$209,192,FALSE)</f>
        <v>102.75189868577964</v>
      </c>
      <c r="U31" s="1654">
        <f>VLOOKUP($C31,'Insumos testigos '!$B$5:$HN$209,193,FALSE)</f>
        <v>103.40834606708155</v>
      </c>
      <c r="V31" s="1654">
        <f>VLOOKUP($C31,'Insumos testigos '!$B$5:$HN$209,194,FALSE)</f>
        <v>103.72333158776699</v>
      </c>
      <c r="W31" s="1654">
        <f>VLOOKUP($C31,'Insumos testigos '!$B$5:$HN$209,195,FALSE)</f>
        <v>104.09673571996854</v>
      </c>
      <c r="X31" s="1654">
        <f>VLOOKUP($C31,'Insumos testigos '!$B$5:$HN$209,196,FALSE)</f>
        <v>105.07509717646978</v>
      </c>
      <c r="Y31" s="1654">
        <f>VLOOKUP($C31,'Insumos testigos '!$B$5:$HN$209,197,FALSE)</f>
        <v>105.07509717646978</v>
      </c>
      <c r="Z31" s="1654">
        <f>VLOOKUP($C31,'Insumos testigos '!$B$5:$HN$209,198,FALSE)</f>
        <v>102.35742180246308</v>
      </c>
      <c r="AA31" s="1654">
        <f>VLOOKUP($C31,'Insumos testigos '!$B$5:$HN$209,199,FALSE)</f>
        <v>106.84576472192892</v>
      </c>
      <c r="AB31" s="1654">
        <f>VLOOKUP($C31,'Insumos testigos '!$B$5:$HN$209,200,FALSE)</f>
        <v>107.56978718785572</v>
      </c>
      <c r="AC31" s="1654">
        <f>VLOOKUP($C31,'Insumos testigos '!$B$5:$HN$209,201,FALSE)</f>
        <v>101.38533178064949</v>
      </c>
      <c r="AD31" s="1654">
        <f>VLOOKUP($C31,'Insumos testigos '!$B$5:$HN$209,202,FALSE)</f>
        <v>101.38533178064949</v>
      </c>
      <c r="AE31" s="1654">
        <f>VLOOKUP($C31,'Insumos testigos '!$B$5:$HN$209,203,FALSE)</f>
        <v>101.38533178064949</v>
      </c>
      <c r="AF31" s="1654">
        <f>VLOOKUP($C31,'Insumos testigos '!$B$5:$HN$209,204,FALSE)</f>
        <v>103.72322555559445</v>
      </c>
      <c r="AG31" s="1654">
        <f>VLOOKUP($C31,'Insumos testigos '!$B$5:$HN$209,205,FALSE)</f>
        <v>103.15948468688971</v>
      </c>
      <c r="AH31" s="1654">
        <f>VLOOKUP($C31,'Insumos testigos '!$B$5:$HN$209,206,FALSE)</f>
        <v>103.71347786736253</v>
      </c>
      <c r="AI31" s="1654">
        <f>VLOOKUP($C31,'Insumos testigos '!$B$5:$HN$209,207,FALSE)</f>
        <v>111.38420770076182</v>
      </c>
      <c r="AJ31" s="1654">
        <f>VLOOKUP($C31,'Insumos testigos '!$B$5:$HN$209,208,FALSE)</f>
        <v>123.5955625237943</v>
      </c>
      <c r="AK31" s="1654">
        <f>VLOOKUP($C31,'Insumos testigos '!$B$5:$HN$209,209,FALSE)</f>
        <v>138.86992681635391</v>
      </c>
      <c r="AL31" s="1654">
        <f>VLOOKUP($C31,'Insumos testigos '!$B$5:$HN$209,210,FALSE)</f>
        <v>148.94815970155662</v>
      </c>
      <c r="AM31" s="1654">
        <f>VLOOKUP($C31,'Insumos testigos '!$B$5:$HN$209,211,FALSE)</f>
        <v>154.08322478434511</v>
      </c>
      <c r="AN31" s="1654">
        <f>VLOOKUP($C31,'Insumos testigos '!$B$5:$HN$209,212,FALSE)</f>
        <v>189.0524557129549</v>
      </c>
      <c r="AO31" s="1654">
        <f>VLOOKUP($C31,'Insumos testigos '!$B$5:$HN$209,213,FALSE)</f>
        <v>206.38759022459601</v>
      </c>
      <c r="AP31" s="1654">
        <f>VLOOKUP($C31,'Insumos testigos '!$B$5:$HN$209,214,FALSE)</f>
        <v>201.47399981139304</v>
      </c>
      <c r="AQ31" s="1654">
        <f>VLOOKUP($C31,'Insumos testigos '!$B$5:$HN$209,215,FALSE)</f>
        <v>192.36229112499217</v>
      </c>
      <c r="AR31" s="1654">
        <f>VLOOKUP($C31,'Insumos testigos '!$B$5:$HN$209,216,FALSE)</f>
        <v>211.74751667674241</v>
      </c>
      <c r="AS31" s="1654">
        <f>VLOOKUP($C31,'Insumos testigos '!$B$5:$HN$209,217,FALSE)</f>
        <v>200.14783152183557</v>
      </c>
      <c r="AT31" s="1654">
        <f>VLOOKUP($C31,'Insumos testigos '!$B$5:$HN$209,218,FALSE)</f>
        <v>219.46806536568533</v>
      </c>
      <c r="AU31" s="1654">
        <f>VLOOKUP($C31,'Insumos testigos '!$B$5:$HN$209,219,FALSE)</f>
        <v>225.59400061975651</v>
      </c>
      <c r="AV31" s="1654">
        <f>VLOOKUP($C31,'Insumos testigos '!$B$5:$HN$209,220,FALSE)</f>
        <v>229.3076122703869</v>
      </c>
      <c r="AW31" s="1654">
        <f>VLOOKUP($C31,'Insumos testigos '!$B$5:$HN$209,221,FALSE)</f>
        <v>211.51463659402933</v>
      </c>
      <c r="AX31" s="1654">
        <f>VLOOKUP($C31,'Insumos testigos '!$B$5:$HO$209,222,FALSE)</f>
        <v>215.73522006916369</v>
      </c>
      <c r="AY31" s="1654">
        <f>VLOOKUP($C31,'Insumos testigos '!$B$5:$JL$209,223,FALSE)</f>
        <v>237.11955091028449</v>
      </c>
      <c r="AZ31" s="1654">
        <f>VLOOKUP($C31,'Insumos testigos '!$B$5:$JL$209,224,FALSE)</f>
        <v>266.52248566716986</v>
      </c>
      <c r="BA31" s="1654">
        <f>VLOOKUP($C31,'Insumos testigos '!$B$5:$JL$209,225,FALSE)</f>
        <v>262.90853855228573</v>
      </c>
      <c r="BB31" s="1654">
        <f>VLOOKUP($C31,'Insumos testigos '!$B$5:$JL$209,226,FALSE)</f>
        <v>248.36901382423025</v>
      </c>
      <c r="BC31" s="1654">
        <f>VLOOKUP($C31,'Insumos testigos '!$B$5:$JL$209,227,FALSE)</f>
        <v>233.58580445228674</v>
      </c>
      <c r="BD31" s="1654">
        <f>VLOOKUP($C31,'Insumos testigos '!$B$5:$JL$209,228,FALSE)</f>
        <v>227.74577493920111</v>
      </c>
      <c r="BE31" s="1654">
        <f>VLOOKUP($C31,'Insumos testigos '!$B$5:$JL$209,229,FALSE)</f>
        <v>236.97174513352061</v>
      </c>
      <c r="BF31" s="1654">
        <f>VLOOKUP($C31,'Insumos testigos '!$B$5:$JL$209,230,FALSE)</f>
        <v>236.97174513352061</v>
      </c>
      <c r="BG31" s="1654">
        <f>VLOOKUP($C31,'Insumos testigos '!$B$5:$JL$209,231,FALSE)</f>
        <v>236.97174513352061</v>
      </c>
      <c r="BH31" s="1654">
        <f>VLOOKUP($C31,'Insumos testigos '!$B$5:$JL$209,232,FALSE)</f>
        <v>243.33829659773286</v>
      </c>
      <c r="BI31" s="1654">
        <f>VLOOKUP($C31,'Insumos testigos '!$B$5:$JL$209,233,FALSE)</f>
        <v>256.75397478561553</v>
      </c>
      <c r="BJ31" s="1654">
        <f>VLOOKUP($C31,'Insumos testigos '!$B$5:$JL$209,234,FALSE)</f>
        <v>272.56196235693687</v>
      </c>
      <c r="BK31" s="1654">
        <f>VLOOKUP($C31,'Insumos testigos '!$B$5:$JL$209,235,FALSE)</f>
        <v>286.3675366767643</v>
      </c>
      <c r="BL31" s="1654">
        <f>VLOOKUP($C31,'Insumos testigos '!$B$5:$JL$209,236,FALSE)</f>
        <v>288.48441127321979</v>
      </c>
      <c r="BM31" s="1654">
        <f>VLOOKUP($C31,'Insumos testigos '!$B$5:$JL$209,237,FALSE)</f>
        <v>302.06099909923529</v>
      </c>
      <c r="BN31" s="1654">
        <f>VLOOKUP($C31,'Insumos testigos '!$B$5:$JL$209,238,FALSE)</f>
        <v>310.96389387172854</v>
      </c>
      <c r="BO31" s="1654">
        <f>VLOOKUP($C31,'Insumos testigos '!$B$5:$JL$209,239,FALSE)</f>
        <v>319.07714465509537</v>
      </c>
      <c r="BP31" s="1654">
        <f>VLOOKUP($C31,'Insumos testigos '!$B$5:$JL$209,240,FALSE)</f>
        <v>335.96947855604498</v>
      </c>
      <c r="BQ31" s="1654">
        <f>VLOOKUP($C31,'Insumos testigos '!$B$5:$JL$209,241,FALSE)</f>
        <v>343.34257928198321</v>
      </c>
      <c r="BR31" s="1654">
        <f>VLOOKUP($C31,'Insumos testigos '!$B$5:$JL$209,242,FALSE)</f>
        <v>350.47135582633967</v>
      </c>
      <c r="BS31" s="1654">
        <f>VLOOKUP($C31,'Insumos testigos '!$B$5:$JL$209,243,FALSE)</f>
        <v>380.34474267712812</v>
      </c>
      <c r="BT31" s="1654">
        <f>VLOOKUP($C31,'Insumos testigos '!$B$5:$JL$209,244,FALSE)</f>
        <v>393.34972303413429</v>
      </c>
      <c r="BU31" s="1654">
        <f>VLOOKUP($C31,'Insumos testigos '!$B$5:$JL$209,245,FALSE)</f>
        <v>403.50711101011586</v>
      </c>
      <c r="BV31" s="1654">
        <f>VLOOKUP($C31,'Insumos testigos '!$B$5:$JL$209,246,FALSE)</f>
        <v>417.07067753500797</v>
      </c>
      <c r="BW31" s="1654">
        <f>VLOOKUP($C31,'Insumos testigos '!$B$5:$JL$209,247,FALSE)</f>
        <v>424.02648857796549</v>
      </c>
      <c r="BX31" s="1654">
        <f>VLOOKUP($C31,'Insumos testigos '!$B$5:$JL$209,248,FALSE)</f>
        <v>438.44508529557061</v>
      </c>
      <c r="BY31" s="1654">
        <f>VLOOKUP($C31,'Insumos testigos '!$B$5:$JL$209,249,FALSE)</f>
        <v>448.9858352144912</v>
      </c>
      <c r="BZ31" s="1654">
        <f>VLOOKUP($C31,'Insumos testigos '!$B$5:$JL$209,250,FALSE)</f>
        <v>452.67515182244864</v>
      </c>
      <c r="CA31" s="1654">
        <f>VLOOKUP($C31,'Insumos testigos '!$B$5:$JL$209,251,FALSE)</f>
        <v>468.57482814835595</v>
      </c>
      <c r="CB31" s="1654">
        <f>VLOOKUP($C31,'Insumos testigos '!$B$5:$JL$209,252,FALSE)</f>
        <v>476.63011700106546</v>
      </c>
      <c r="CC31" s="1654">
        <f>VLOOKUP($C31,'Insumos testigos '!$B$5:$JL$209,253,FALSE)</f>
        <v>513.34149490378707</v>
      </c>
      <c r="CD31" s="1654">
        <f>VLOOKUP($C31,'Insumos testigos '!$B$5:$JL$209,254,FALSE)</f>
        <v>522.29100239821025</v>
      </c>
      <c r="CE31" s="1654">
        <f>VLOOKUP($C31,'Insumos testigos '!$B$5:$JL$209,255,FALSE)</f>
        <v>541.95177038090105</v>
      </c>
      <c r="CF31" s="1654">
        <f>VLOOKUP($C31,'Insumos testigos '!$B$5:$JL$209,256,FALSE)</f>
        <v>563.53125656835812</v>
      </c>
      <c r="CG31" s="1654">
        <f>VLOOKUP($C31,'Insumos testigos '!$B$5:$JL$209,257,FALSE)</f>
        <v>604.58111514747043</v>
      </c>
      <c r="CH31" s="1654">
        <f>VLOOKUP($C31,'Insumos testigos '!$B$5:$JL$209,258,FALSE)</f>
        <v>733.74570210315949</v>
      </c>
      <c r="CI31" s="1654">
        <f>VLOOKUP($C31,'Insumos testigos '!$B$5:$JL$209,259,FALSE)</f>
        <v>875.52700950383917</v>
      </c>
      <c r="CJ31" s="1654">
        <f>VLOOKUP($C31,'Insumos testigos '!$B$5:$JL$209,260,FALSE)</f>
        <v>922.28946401831411</v>
      </c>
      <c r="CK31" s="1654">
        <f>VLOOKUP($C31,'Insumos testigos '!$B$5:$JL$209,261,FALSE)</f>
        <v>990.46074045804926</v>
      </c>
      <c r="CL31" s="1654">
        <f>VLOOKUP($C31,'Insumos testigos '!$B$5:$JL$209,262,FALSE)</f>
        <v>1068.1724247482348</v>
      </c>
      <c r="CM31" s="1654">
        <f>VLOOKUP($C31,'Insumos testigos '!$B$5:$JL$209,263,FALSE)</f>
        <v>1136.6030546690313</v>
      </c>
      <c r="CN31" s="1654">
        <f>VLOOKUP($C31,'Insumos testigos '!$B$5:$JL$209,264,FALSE)</f>
        <v>1200.9105792448872</v>
      </c>
      <c r="CO31" s="1654">
        <f>VLOOKUP($C31,'Insumos testigos '!$B$5:$JL$209,265,FALSE)</f>
        <v>1314.0479091672619</v>
      </c>
    </row>
    <row r="32" spans="2:93">
      <c r="B32" s="1651" t="s">
        <v>1076</v>
      </c>
      <c r="C32" s="1652">
        <v>76</v>
      </c>
      <c r="D32" s="1653">
        <v>3.2427337420198048E-3</v>
      </c>
      <c r="E32" s="1654">
        <v>1167.0999999999999</v>
      </c>
      <c r="F32" s="1654">
        <v>1287.0726166006307</v>
      </c>
      <c r="G32" s="1654">
        <v>1419.420213142952</v>
      </c>
      <c r="H32" s="1654">
        <f>VLOOKUP($C32,'Insumos testigos '!$B$5:$HN$209,180,FALSE)</f>
        <v>100</v>
      </c>
      <c r="I32" s="1654">
        <f>VLOOKUP($C32,'Insumos testigos '!$B$5:$HN$209,181,FALSE)</f>
        <v>101.88466310501099</v>
      </c>
      <c r="J32" s="1654">
        <f>VLOOKUP($C32,'Insumos testigos '!$B$5:$HN$209,182,FALSE)</f>
        <v>102.87983699331704</v>
      </c>
      <c r="K32" s="1654">
        <f>VLOOKUP($C32,'Insumos testigos '!$B$5:$HN$209,183,FALSE)</f>
        <v>100.35805942038905</v>
      </c>
      <c r="L32" s="1654">
        <f>VLOOKUP($C32,'Insumos testigos '!$B$5:$HN$209,184,FALSE)</f>
        <v>104.57232583231914</v>
      </c>
      <c r="M32" s="1654">
        <f>VLOOKUP($C32,'Insumos testigos '!$B$5:$HN$209,185,FALSE)</f>
        <v>105.17519370379159</v>
      </c>
      <c r="N32" s="1654">
        <f>VLOOKUP($C32,'Insumos testigos '!$B$5:$HN$209,186,FALSE)</f>
        <v>105.09753419820959</v>
      </c>
      <c r="O32" s="1654">
        <f>VLOOKUP($C32,'Insumos testigos '!$B$5:$HN$209,187,FALSE)</f>
        <v>106.35026915071649</v>
      </c>
      <c r="P32" s="1654">
        <f>VLOOKUP($C32,'Insumos testigos '!$B$5:$HN$209,188,FALSE)</f>
        <v>105.59650222629281</v>
      </c>
      <c r="Q32" s="1654">
        <f>VLOOKUP($C32,'Insumos testigos '!$B$5:$HN$209,189,FALSE)</f>
        <v>103.13972363442169</v>
      </c>
      <c r="R32" s="1654">
        <f>VLOOKUP($C32,'Insumos testigos '!$B$5:$HN$209,190,FALSE)</f>
        <v>102.89116975240317</v>
      </c>
      <c r="S32" s="1654">
        <f>VLOOKUP($C32,'Insumos testigos '!$B$5:$HN$209,191,FALSE)</f>
        <v>104.69770618097186</v>
      </c>
      <c r="T32" s="1654">
        <f>VLOOKUP($C32,'Insumos testigos '!$B$5:$HN$209,192,FALSE)</f>
        <v>105.50457393652647</v>
      </c>
      <c r="U32" s="1654">
        <f>VLOOKUP($C32,'Insumos testigos '!$B$5:$HN$209,193,FALSE)</f>
        <v>104.98243457955867</v>
      </c>
      <c r="V32" s="1654">
        <f>VLOOKUP($C32,'Insumos testigos '!$B$5:$HN$209,194,FALSE)</f>
        <v>104.98243457955867</v>
      </c>
      <c r="W32" s="1654">
        <f>VLOOKUP($C32,'Insumos testigos '!$B$5:$HN$209,195,FALSE)</f>
        <v>107.00232392934187</v>
      </c>
      <c r="X32" s="1654">
        <f>VLOOKUP($C32,'Insumos testigos '!$B$5:$HN$209,196,FALSE)</f>
        <v>107.00232392934187</v>
      </c>
      <c r="Y32" s="1654">
        <f>VLOOKUP($C32,'Insumos testigos '!$B$5:$HN$209,197,FALSE)</f>
        <v>104.77104455472117</v>
      </c>
      <c r="Z32" s="1654">
        <f>VLOOKUP($C32,'Insumos testigos '!$B$5:$HN$209,198,FALSE)</f>
        <v>105.09282871627788</v>
      </c>
      <c r="AA32" s="1654">
        <f>VLOOKUP($C32,'Insumos testigos '!$B$5:$HN$209,199,FALSE)</f>
        <v>107.10627289761722</v>
      </c>
      <c r="AB32" s="1654">
        <f>VLOOKUP($C32,'Insumos testigos '!$B$5:$HN$209,200,FALSE)</f>
        <v>106.95489474626312</v>
      </c>
      <c r="AC32" s="1654">
        <f>VLOOKUP($C32,'Insumos testigos '!$B$5:$HN$209,201,FALSE)</f>
        <v>105.13775594603727</v>
      </c>
      <c r="AD32" s="1654">
        <f>VLOOKUP($C32,'Insumos testigos '!$B$5:$HN$209,202,FALSE)</f>
        <v>105.75051373471946</v>
      </c>
      <c r="AE32" s="1654">
        <f>VLOOKUP($C32,'Insumos testigos '!$B$5:$HN$209,203,FALSE)</f>
        <v>105.75051373471946</v>
      </c>
      <c r="AF32" s="1654">
        <f>VLOOKUP($C32,'Insumos testigos '!$B$5:$HN$209,204,FALSE)</f>
        <v>107.23313235503321</v>
      </c>
      <c r="AG32" s="1654">
        <f>VLOOKUP($C32,'Insumos testigos '!$B$5:$HN$209,205,FALSE)</f>
        <v>111.9519302426767</v>
      </c>
      <c r="AH32" s="1654">
        <f>VLOOKUP($C32,'Insumos testigos '!$B$5:$HN$209,206,FALSE)</f>
        <v>112.60663074148592</v>
      </c>
      <c r="AI32" s="1654">
        <f>VLOOKUP($C32,'Insumos testigos '!$B$5:$HN$209,207,FALSE)</f>
        <v>116.95284036710805</v>
      </c>
      <c r="AJ32" s="1654">
        <f>VLOOKUP($C32,'Insumos testigos '!$B$5:$HN$209,208,FALSE)</f>
        <v>117.78894795368926</v>
      </c>
      <c r="AK32" s="1654">
        <f>VLOOKUP($C32,'Insumos testigos '!$B$5:$HN$209,209,FALSE)</f>
        <v>123.83596386075658</v>
      </c>
      <c r="AL32" s="1654">
        <f>VLOOKUP($C32,'Insumos testigos '!$B$5:$HN$209,210,FALSE)</f>
        <v>137.3951224189295</v>
      </c>
      <c r="AM32" s="1654">
        <f>VLOOKUP($C32,'Insumos testigos '!$B$5:$HN$209,211,FALSE)</f>
        <v>138.24675171040258</v>
      </c>
      <c r="AN32" s="1654">
        <f>VLOOKUP($C32,'Insumos testigos '!$B$5:$HN$209,212,FALSE)</f>
        <v>150.63277329911432</v>
      </c>
      <c r="AO32" s="1654">
        <f>VLOOKUP($C32,'Insumos testigos '!$B$5:$HN$209,213,FALSE)</f>
        <v>165.45999679374302</v>
      </c>
      <c r="AP32" s="1654">
        <f>VLOOKUP($C32,'Insumos testigos '!$B$5:$HN$209,214,FALSE)</f>
        <v>159.94466356728489</v>
      </c>
      <c r="AQ32" s="1654">
        <f>VLOOKUP($C32,'Insumos testigos '!$B$5:$HN$209,215,FALSE)</f>
        <v>167.83749422373836</v>
      </c>
      <c r="AR32" s="1654">
        <f>VLOOKUP($C32,'Insumos testigos '!$B$5:$HN$209,216,FALSE)</f>
        <v>162.84266422532858</v>
      </c>
      <c r="AS32" s="1654">
        <f>VLOOKUP($C32,'Insumos testigos '!$B$5:$HN$209,217,FALSE)</f>
        <v>170.92279010245414</v>
      </c>
      <c r="AT32" s="1654">
        <f>VLOOKUP($C32,'Insumos testigos '!$B$5:$HN$209,218,FALSE)</f>
        <v>176.60922768425723</v>
      </c>
      <c r="AU32" s="1654">
        <f>VLOOKUP($C32,'Insumos testigos '!$B$5:$HN$209,219,FALSE)</f>
        <v>206.87789309674503</v>
      </c>
      <c r="AV32" s="1654">
        <f>VLOOKUP($C32,'Insumos testigos '!$B$5:$HN$209,220,FALSE)</f>
        <v>211.9846407774192</v>
      </c>
      <c r="AW32" s="1654">
        <f>VLOOKUP($C32,'Insumos testigos '!$B$5:$HN$209,221,FALSE)</f>
        <v>209.09801698857638</v>
      </c>
      <c r="AX32" s="1654">
        <f>VLOOKUP($C32,'Insumos testigos '!$B$5:$HO$209,222,FALSE)</f>
        <v>224.77058829986191</v>
      </c>
      <c r="AY32" s="1654">
        <f>VLOOKUP($C32,'Insumos testigos '!$B$5:$JL$209,223,FALSE)</f>
        <v>232.86595274102669</v>
      </c>
      <c r="AZ32" s="1654">
        <f>VLOOKUP($C32,'Insumos testigos '!$B$5:$JL$209,224,FALSE)</f>
        <v>265.1192747339752</v>
      </c>
      <c r="BA32" s="1654">
        <f>VLOOKUP($C32,'Insumos testigos '!$B$5:$JL$209,225,FALSE)</f>
        <v>266.77621044472806</v>
      </c>
      <c r="BB32" s="1654">
        <f>VLOOKUP($C32,'Insumos testigos '!$B$5:$JL$209,226,FALSE)</f>
        <v>295.2940593840072</v>
      </c>
      <c r="BC32" s="1654">
        <f>VLOOKUP($C32,'Insumos testigos '!$B$5:$JL$209,227,FALSE)</f>
        <v>294.31923051350168</v>
      </c>
      <c r="BD32" s="1654">
        <f>VLOOKUP($C32,'Insumos testigos '!$B$5:$JL$209,228,FALSE)</f>
        <v>296.18092609341863</v>
      </c>
      <c r="BE32" s="1654">
        <f>VLOOKUP($C32,'Insumos testigos '!$B$5:$JL$209,229,FALSE)</f>
        <v>299.74427085486985</v>
      </c>
      <c r="BF32" s="1654">
        <f>VLOOKUP($C32,'Insumos testigos '!$B$5:$JL$209,230,FALSE)</f>
        <v>299.74427085486985</v>
      </c>
      <c r="BG32" s="1654">
        <f>VLOOKUP($C32,'Insumos testigos '!$B$5:$JL$209,231,FALSE)</f>
        <v>304.73197238501683</v>
      </c>
      <c r="BH32" s="1654">
        <f>VLOOKUP($C32,'Insumos testigos '!$B$5:$JL$209,232,FALSE)</f>
        <v>314.37546909520654</v>
      </c>
      <c r="BI32" s="1654">
        <f>VLOOKUP($C32,'Insumos testigos '!$B$5:$JL$209,233,FALSE)</f>
        <v>319.36112438198523</v>
      </c>
      <c r="BJ32" s="1654">
        <f>VLOOKUP($C32,'Insumos testigos '!$B$5:$JL$209,234,FALSE)</f>
        <v>323.59865004038352</v>
      </c>
      <c r="BK32" s="1654">
        <f>VLOOKUP($C32,'Insumos testigos '!$B$5:$JL$209,235,FALSE)</f>
        <v>337.6613102635535</v>
      </c>
      <c r="BL32" s="1654">
        <f>VLOOKUP($C32,'Insumos testigos '!$B$5:$JL$209,236,FALSE)</f>
        <v>341.0593744244415</v>
      </c>
      <c r="BM32" s="1654">
        <f>VLOOKUP($C32,'Insumos testigos '!$B$5:$JL$209,237,FALSE)</f>
        <v>358.4090488724139</v>
      </c>
      <c r="BN32" s="1654">
        <f>VLOOKUP($C32,'Insumos testigos '!$B$5:$JL$209,238,FALSE)</f>
        <v>405.65037729939058</v>
      </c>
      <c r="BO32" s="1654">
        <f>VLOOKUP($C32,'Insumos testigos '!$B$5:$JL$209,239,FALSE)</f>
        <v>432.7427195343933</v>
      </c>
      <c r="BP32" s="1654">
        <f>VLOOKUP($C32,'Insumos testigos '!$B$5:$JL$209,240,FALSE)</f>
        <v>447.12251617100156</v>
      </c>
      <c r="BQ32" s="1654">
        <f>VLOOKUP($C32,'Insumos testigos '!$B$5:$JL$209,241,FALSE)</f>
        <v>473.43848108799341</v>
      </c>
      <c r="BR32" s="1654">
        <f>VLOOKUP($C32,'Insumos testigos '!$B$5:$JL$209,242,FALSE)</f>
        <v>483.66356156541616</v>
      </c>
      <c r="BS32" s="1654">
        <f>VLOOKUP($C32,'Insumos testigos '!$B$5:$JL$209,243,FALSE)</f>
        <v>512.36608024844611</v>
      </c>
      <c r="BT32" s="1654">
        <f>VLOOKUP($C32,'Insumos testigos '!$B$5:$JL$209,244,FALSE)</f>
        <v>575.01633344439688</v>
      </c>
      <c r="BU32" s="1654">
        <f>VLOOKUP($C32,'Insumos testigos '!$B$5:$JL$209,245,FALSE)</f>
        <v>605.0745248235844</v>
      </c>
      <c r="BV32" s="1654">
        <f>VLOOKUP($C32,'Insumos testigos '!$B$5:$JL$209,246,FALSE)</f>
        <v>627.13031237905818</v>
      </c>
      <c r="BW32" s="1654">
        <f>VLOOKUP($C32,'Insumos testigos '!$B$5:$JL$209,247,FALSE)</f>
        <v>646.9769565365076</v>
      </c>
      <c r="BX32" s="1654">
        <f>VLOOKUP($C32,'Insumos testigos '!$B$5:$JL$209,248,FALSE)</f>
        <v>677.00552933820745</v>
      </c>
      <c r="BY32" s="1654">
        <f>VLOOKUP($C32,'Insumos testigos '!$B$5:$JL$209,249,FALSE)</f>
        <v>708.8934131810887</v>
      </c>
      <c r="BZ32" s="1654">
        <f>VLOOKUP($C32,'Insumos testigos '!$B$5:$JL$209,250,FALSE)</f>
        <v>734.18011382486691</v>
      </c>
      <c r="CA32" s="1654">
        <f>VLOOKUP($C32,'Insumos testigos '!$B$5:$JL$209,251,FALSE)</f>
        <v>750.51871857385174</v>
      </c>
      <c r="CB32" s="1654">
        <f>VLOOKUP($C32,'Insumos testigos '!$B$5:$JL$209,252,FALSE)</f>
        <v>777.75242693655582</v>
      </c>
      <c r="CC32" s="1654">
        <f>VLOOKUP($C32,'Insumos testigos '!$B$5:$JL$209,253,FALSE)</f>
        <v>812.18367736544815</v>
      </c>
      <c r="CD32" s="1654">
        <f>VLOOKUP($C32,'Insumos testigos '!$B$5:$JL$209,254,FALSE)</f>
        <v>839.95700658058286</v>
      </c>
      <c r="CE32" s="1654">
        <f>VLOOKUP($C32,'Insumos testigos '!$B$5:$JL$209,255,FALSE)</f>
        <v>841.93911480071915</v>
      </c>
      <c r="CF32" s="1654">
        <f>VLOOKUP($C32,'Insumos testigos '!$B$5:$JL$209,256,FALSE)</f>
        <v>900.24293683628241</v>
      </c>
      <c r="CG32" s="1654">
        <f>VLOOKUP($C32,'Insumos testigos '!$B$5:$JL$209,257,FALSE)</f>
        <v>943.91068349791635</v>
      </c>
      <c r="CH32" s="1654">
        <f>VLOOKUP($C32,'Insumos testigos '!$B$5:$JL$209,258,FALSE)</f>
        <v>1119.2629996899525</v>
      </c>
      <c r="CI32" s="1654">
        <f>VLOOKUP($C32,'Insumos testigos '!$B$5:$JL$209,259,FALSE)</f>
        <v>1207.6827123941575</v>
      </c>
      <c r="CJ32" s="1654">
        <f>VLOOKUP($C32,'Insumos testigos '!$B$5:$JL$209,260,FALSE)</f>
        <v>1269.6800571397494</v>
      </c>
      <c r="CK32" s="1654">
        <f>VLOOKUP($C32,'Insumos testigos '!$B$5:$JL$209,261,FALSE)</f>
        <v>1356.5630510733135</v>
      </c>
      <c r="CL32" s="1654">
        <f>VLOOKUP($C32,'Insumos testigos '!$B$5:$JL$209,262,FALSE)</f>
        <v>1403.262362811806</v>
      </c>
      <c r="CM32" s="1654">
        <f>VLOOKUP($C32,'Insumos testigos '!$B$5:$JL$209,263,FALSE)</f>
        <v>1523.796800492217</v>
      </c>
      <c r="CN32" s="1654">
        <f>VLOOKUP($C32,'Insumos testigos '!$B$5:$JL$209,264,FALSE)</f>
        <v>1581.9211561600441</v>
      </c>
      <c r="CO32" s="1654">
        <f>VLOOKUP($C32,'Insumos testigos '!$B$5:$JL$209,265,FALSE)</f>
        <v>1647.0448905139251</v>
      </c>
    </row>
    <row r="33" spans="2:93">
      <c r="B33" s="1651" t="s">
        <v>1077</v>
      </c>
      <c r="C33" s="1652">
        <v>76</v>
      </c>
      <c r="D33" s="1653">
        <v>4.8093305793173082E-3</v>
      </c>
      <c r="E33" s="1654">
        <v>1167.0999999999999</v>
      </c>
      <c r="F33" s="1654">
        <v>1287.0726166006307</v>
      </c>
      <c r="G33" s="1654">
        <v>1419.420213142952</v>
      </c>
      <c r="H33" s="1654">
        <f>VLOOKUP($C33,'Insumos testigos '!$B$5:$HN$209,180,FALSE)</f>
        <v>100</v>
      </c>
      <c r="I33" s="1654">
        <f>VLOOKUP($C33,'Insumos testigos '!$B$5:$HN$209,181,FALSE)</f>
        <v>101.88466310501099</v>
      </c>
      <c r="J33" s="1654">
        <f>VLOOKUP($C33,'Insumos testigos '!$B$5:$HN$209,182,FALSE)</f>
        <v>102.87983699331704</v>
      </c>
      <c r="K33" s="1654">
        <f>VLOOKUP($C33,'Insumos testigos '!$B$5:$HN$209,183,FALSE)</f>
        <v>100.35805942038905</v>
      </c>
      <c r="L33" s="1654">
        <f>VLOOKUP($C33,'Insumos testigos '!$B$5:$HN$209,184,FALSE)</f>
        <v>104.57232583231914</v>
      </c>
      <c r="M33" s="1654">
        <f>VLOOKUP($C33,'Insumos testigos '!$B$5:$HN$209,185,FALSE)</f>
        <v>105.17519370379159</v>
      </c>
      <c r="N33" s="1654">
        <f>VLOOKUP($C33,'Insumos testigos '!$B$5:$HN$209,186,FALSE)</f>
        <v>105.09753419820959</v>
      </c>
      <c r="O33" s="1654">
        <f>VLOOKUP($C33,'Insumos testigos '!$B$5:$HN$209,187,FALSE)</f>
        <v>106.35026915071649</v>
      </c>
      <c r="P33" s="1654">
        <f>VLOOKUP($C33,'Insumos testigos '!$B$5:$HN$209,188,FALSE)</f>
        <v>105.59650222629281</v>
      </c>
      <c r="Q33" s="1654">
        <f>VLOOKUP($C33,'Insumos testigos '!$B$5:$HN$209,189,FALSE)</f>
        <v>103.13972363442169</v>
      </c>
      <c r="R33" s="1654">
        <f>VLOOKUP($C33,'Insumos testigos '!$B$5:$HN$209,190,FALSE)</f>
        <v>102.89116975240317</v>
      </c>
      <c r="S33" s="1654">
        <f>VLOOKUP($C33,'Insumos testigos '!$B$5:$HN$209,191,FALSE)</f>
        <v>104.69770618097186</v>
      </c>
      <c r="T33" s="1654">
        <f>VLOOKUP($C33,'Insumos testigos '!$B$5:$HN$209,192,FALSE)</f>
        <v>105.50457393652647</v>
      </c>
      <c r="U33" s="1654">
        <f>VLOOKUP($C33,'Insumos testigos '!$B$5:$HN$209,193,FALSE)</f>
        <v>104.98243457955867</v>
      </c>
      <c r="V33" s="1654">
        <f>VLOOKUP($C33,'Insumos testigos '!$B$5:$HN$209,194,FALSE)</f>
        <v>104.98243457955867</v>
      </c>
      <c r="W33" s="1654">
        <f>VLOOKUP($C33,'Insumos testigos '!$B$5:$HN$209,195,FALSE)</f>
        <v>107.00232392934187</v>
      </c>
      <c r="X33" s="1654">
        <f>VLOOKUP($C33,'Insumos testigos '!$B$5:$HN$209,196,FALSE)</f>
        <v>107.00232392934187</v>
      </c>
      <c r="Y33" s="1654">
        <f>VLOOKUP($C33,'Insumos testigos '!$B$5:$HN$209,197,FALSE)</f>
        <v>104.77104455472117</v>
      </c>
      <c r="Z33" s="1654">
        <f>VLOOKUP($C33,'Insumos testigos '!$B$5:$HN$209,198,FALSE)</f>
        <v>105.09282871627788</v>
      </c>
      <c r="AA33" s="1654">
        <f>VLOOKUP($C33,'Insumos testigos '!$B$5:$HN$209,199,FALSE)</f>
        <v>107.10627289761722</v>
      </c>
      <c r="AB33" s="1654">
        <f>VLOOKUP($C33,'Insumos testigos '!$B$5:$HN$209,200,FALSE)</f>
        <v>106.95489474626312</v>
      </c>
      <c r="AC33" s="1654">
        <f>VLOOKUP($C33,'Insumos testigos '!$B$5:$HN$209,201,FALSE)</f>
        <v>105.13775594603727</v>
      </c>
      <c r="AD33" s="1654">
        <f>VLOOKUP($C33,'Insumos testigos '!$B$5:$HN$209,202,FALSE)</f>
        <v>105.75051373471946</v>
      </c>
      <c r="AE33" s="1654">
        <f>VLOOKUP($C33,'Insumos testigos '!$B$5:$HN$209,203,FALSE)</f>
        <v>105.75051373471946</v>
      </c>
      <c r="AF33" s="1654">
        <f>VLOOKUP($C33,'Insumos testigos '!$B$5:$HN$209,204,FALSE)</f>
        <v>107.23313235503321</v>
      </c>
      <c r="AG33" s="1654">
        <f>VLOOKUP($C33,'Insumos testigos '!$B$5:$HN$209,205,FALSE)</f>
        <v>111.9519302426767</v>
      </c>
      <c r="AH33" s="1654">
        <f>VLOOKUP($C33,'Insumos testigos '!$B$5:$HN$209,206,FALSE)</f>
        <v>112.60663074148592</v>
      </c>
      <c r="AI33" s="1654">
        <f>VLOOKUP($C33,'Insumos testigos '!$B$5:$HN$209,207,FALSE)</f>
        <v>116.95284036710805</v>
      </c>
      <c r="AJ33" s="1654">
        <f>VLOOKUP($C33,'Insumos testigos '!$B$5:$HN$209,208,FALSE)</f>
        <v>117.78894795368926</v>
      </c>
      <c r="AK33" s="1654">
        <f>VLOOKUP($C33,'Insumos testigos '!$B$5:$HN$209,209,FALSE)</f>
        <v>123.83596386075658</v>
      </c>
      <c r="AL33" s="1654">
        <f>VLOOKUP($C33,'Insumos testigos '!$B$5:$HN$209,210,FALSE)</f>
        <v>137.3951224189295</v>
      </c>
      <c r="AM33" s="1654">
        <f>VLOOKUP($C33,'Insumos testigos '!$B$5:$HN$209,211,FALSE)</f>
        <v>138.24675171040258</v>
      </c>
      <c r="AN33" s="1654">
        <f>VLOOKUP($C33,'Insumos testigos '!$B$5:$HN$209,212,FALSE)</f>
        <v>150.63277329911432</v>
      </c>
      <c r="AO33" s="1654">
        <f>VLOOKUP($C33,'Insumos testigos '!$B$5:$HN$209,213,FALSE)</f>
        <v>165.45999679374302</v>
      </c>
      <c r="AP33" s="1654">
        <f>VLOOKUP($C33,'Insumos testigos '!$B$5:$HN$209,214,FALSE)</f>
        <v>159.94466356728489</v>
      </c>
      <c r="AQ33" s="1654">
        <f>VLOOKUP($C33,'Insumos testigos '!$B$5:$HN$209,215,FALSE)</f>
        <v>167.83749422373836</v>
      </c>
      <c r="AR33" s="1654">
        <f>VLOOKUP($C33,'Insumos testigos '!$B$5:$HN$209,216,FALSE)</f>
        <v>162.84266422532858</v>
      </c>
      <c r="AS33" s="1654">
        <f>VLOOKUP($C33,'Insumos testigos '!$B$5:$HN$209,217,FALSE)</f>
        <v>170.92279010245414</v>
      </c>
      <c r="AT33" s="1654">
        <f>VLOOKUP($C33,'Insumos testigos '!$B$5:$HN$209,218,FALSE)</f>
        <v>176.60922768425723</v>
      </c>
      <c r="AU33" s="1654">
        <f>VLOOKUP($C33,'Insumos testigos '!$B$5:$HN$209,219,FALSE)</f>
        <v>206.87789309674503</v>
      </c>
      <c r="AV33" s="1654">
        <f>VLOOKUP($C33,'Insumos testigos '!$B$5:$HN$209,220,FALSE)</f>
        <v>211.9846407774192</v>
      </c>
      <c r="AW33" s="1654">
        <f>VLOOKUP($C33,'Insumos testigos '!$B$5:$HN$209,221,FALSE)</f>
        <v>209.09801698857638</v>
      </c>
      <c r="AX33" s="1654">
        <f>VLOOKUP($C33,'Insumos testigos '!$B$5:$HO$209,222,FALSE)</f>
        <v>224.77058829986191</v>
      </c>
      <c r="AY33" s="1654">
        <f>VLOOKUP($C33,'Insumos testigos '!$B$5:$JL$209,223,FALSE)</f>
        <v>232.86595274102669</v>
      </c>
      <c r="AZ33" s="1654">
        <f>VLOOKUP($C33,'Insumos testigos '!$B$5:$JL$209,224,FALSE)</f>
        <v>265.1192747339752</v>
      </c>
      <c r="BA33" s="1654">
        <f>VLOOKUP($C33,'Insumos testigos '!$B$5:$JL$209,225,FALSE)</f>
        <v>266.77621044472806</v>
      </c>
      <c r="BB33" s="1654">
        <f>VLOOKUP($C33,'Insumos testigos '!$B$5:$JL$209,226,FALSE)</f>
        <v>295.2940593840072</v>
      </c>
      <c r="BC33" s="1654">
        <f>VLOOKUP($C33,'Insumos testigos '!$B$5:$JL$209,227,FALSE)</f>
        <v>294.31923051350168</v>
      </c>
      <c r="BD33" s="1654">
        <f>VLOOKUP($C33,'Insumos testigos '!$B$5:$JL$209,228,FALSE)</f>
        <v>296.18092609341863</v>
      </c>
      <c r="BE33" s="1654">
        <f>VLOOKUP($C33,'Insumos testigos '!$B$5:$JL$209,229,FALSE)</f>
        <v>299.74427085486985</v>
      </c>
      <c r="BF33" s="1654">
        <f>VLOOKUP($C33,'Insumos testigos '!$B$5:$JL$209,230,FALSE)</f>
        <v>299.74427085486985</v>
      </c>
      <c r="BG33" s="1654">
        <f>VLOOKUP($C33,'Insumos testigos '!$B$5:$JL$209,231,FALSE)</f>
        <v>304.73197238501683</v>
      </c>
      <c r="BH33" s="1654">
        <f>VLOOKUP($C33,'Insumos testigos '!$B$5:$JL$209,232,FALSE)</f>
        <v>314.37546909520654</v>
      </c>
      <c r="BI33" s="1654">
        <f>VLOOKUP($C33,'Insumos testigos '!$B$5:$JL$209,233,FALSE)</f>
        <v>319.36112438198523</v>
      </c>
      <c r="BJ33" s="1654">
        <f>VLOOKUP($C33,'Insumos testigos '!$B$5:$JL$209,234,FALSE)</f>
        <v>323.59865004038352</v>
      </c>
      <c r="BK33" s="1654">
        <f>VLOOKUP($C33,'Insumos testigos '!$B$5:$JL$209,235,FALSE)</f>
        <v>337.6613102635535</v>
      </c>
      <c r="BL33" s="1654">
        <f>VLOOKUP($C33,'Insumos testigos '!$B$5:$JL$209,236,FALSE)</f>
        <v>341.0593744244415</v>
      </c>
      <c r="BM33" s="1654">
        <f>VLOOKUP($C33,'Insumos testigos '!$B$5:$JL$209,237,FALSE)</f>
        <v>358.4090488724139</v>
      </c>
      <c r="BN33" s="1654">
        <f>VLOOKUP($C33,'Insumos testigos '!$B$5:$JL$209,238,FALSE)</f>
        <v>405.65037729939058</v>
      </c>
      <c r="BO33" s="1654">
        <f>VLOOKUP($C33,'Insumos testigos '!$B$5:$JL$209,239,FALSE)</f>
        <v>432.7427195343933</v>
      </c>
      <c r="BP33" s="1654">
        <f>VLOOKUP($C33,'Insumos testigos '!$B$5:$JL$209,240,FALSE)</f>
        <v>447.12251617100156</v>
      </c>
      <c r="BQ33" s="1654">
        <f>VLOOKUP($C33,'Insumos testigos '!$B$5:$JL$209,241,FALSE)</f>
        <v>473.43848108799341</v>
      </c>
      <c r="BR33" s="1654">
        <f>VLOOKUP($C33,'Insumos testigos '!$B$5:$JL$209,242,FALSE)</f>
        <v>483.66356156541616</v>
      </c>
      <c r="BS33" s="1654">
        <f>VLOOKUP($C33,'Insumos testigos '!$B$5:$JL$209,243,FALSE)</f>
        <v>512.36608024844611</v>
      </c>
      <c r="BT33" s="1654">
        <f>VLOOKUP($C33,'Insumos testigos '!$B$5:$JL$209,244,FALSE)</f>
        <v>575.01633344439688</v>
      </c>
      <c r="BU33" s="1654">
        <f>VLOOKUP($C33,'Insumos testigos '!$B$5:$JL$209,245,FALSE)</f>
        <v>605.0745248235844</v>
      </c>
      <c r="BV33" s="1654">
        <f>VLOOKUP($C33,'Insumos testigos '!$B$5:$JL$209,246,FALSE)</f>
        <v>627.13031237905818</v>
      </c>
      <c r="BW33" s="1654">
        <f>VLOOKUP($C33,'Insumos testigos '!$B$5:$JL$209,247,FALSE)</f>
        <v>646.9769565365076</v>
      </c>
      <c r="BX33" s="1654">
        <f>VLOOKUP($C33,'Insumos testigos '!$B$5:$JL$209,248,FALSE)</f>
        <v>677.00552933820745</v>
      </c>
      <c r="BY33" s="1654">
        <f>VLOOKUP($C33,'Insumos testigos '!$B$5:$JL$209,249,FALSE)</f>
        <v>708.8934131810887</v>
      </c>
      <c r="BZ33" s="1654">
        <f>VLOOKUP($C33,'Insumos testigos '!$B$5:$JL$209,250,FALSE)</f>
        <v>734.18011382486691</v>
      </c>
      <c r="CA33" s="1654">
        <f>VLOOKUP($C33,'Insumos testigos '!$B$5:$JL$209,251,FALSE)</f>
        <v>750.51871857385174</v>
      </c>
      <c r="CB33" s="1654">
        <f>VLOOKUP($C33,'Insumos testigos '!$B$5:$JL$209,252,FALSE)</f>
        <v>777.75242693655582</v>
      </c>
      <c r="CC33" s="1654">
        <f>VLOOKUP($C33,'Insumos testigos '!$B$5:$JL$209,253,FALSE)</f>
        <v>812.18367736544815</v>
      </c>
      <c r="CD33" s="1654">
        <f>VLOOKUP($C33,'Insumos testigos '!$B$5:$JL$209,254,FALSE)</f>
        <v>839.95700658058286</v>
      </c>
      <c r="CE33" s="1654">
        <f>VLOOKUP($C33,'Insumos testigos '!$B$5:$JL$209,255,FALSE)</f>
        <v>841.93911480071915</v>
      </c>
      <c r="CF33" s="1654">
        <f>VLOOKUP($C33,'Insumos testigos '!$B$5:$JL$209,256,FALSE)</f>
        <v>900.24293683628241</v>
      </c>
      <c r="CG33" s="1654">
        <f>VLOOKUP($C33,'Insumos testigos '!$B$5:$JL$209,257,FALSE)</f>
        <v>943.91068349791635</v>
      </c>
      <c r="CH33" s="1654">
        <f>VLOOKUP($C33,'Insumos testigos '!$B$5:$JL$209,258,FALSE)</f>
        <v>1119.2629996899525</v>
      </c>
      <c r="CI33" s="1654">
        <f>VLOOKUP($C33,'Insumos testigos '!$B$5:$JL$209,259,FALSE)</f>
        <v>1207.6827123941575</v>
      </c>
      <c r="CJ33" s="1654">
        <f>VLOOKUP($C33,'Insumos testigos '!$B$5:$JL$209,260,FALSE)</f>
        <v>1269.6800571397494</v>
      </c>
      <c r="CK33" s="1654">
        <f>VLOOKUP($C33,'Insumos testigos '!$B$5:$JL$209,261,FALSE)</f>
        <v>1356.5630510733135</v>
      </c>
      <c r="CL33" s="1654">
        <f>VLOOKUP($C33,'Insumos testigos '!$B$5:$JL$209,262,FALSE)</f>
        <v>1403.262362811806</v>
      </c>
      <c r="CM33" s="1654">
        <f>VLOOKUP($C33,'Insumos testigos '!$B$5:$JL$209,263,FALSE)</f>
        <v>1523.796800492217</v>
      </c>
      <c r="CN33" s="1654">
        <f>VLOOKUP($C33,'Insumos testigos '!$B$5:$JL$209,264,FALSE)</f>
        <v>1581.9211561600441</v>
      </c>
      <c r="CO33" s="1654">
        <f>VLOOKUP($C33,'Insumos testigos '!$B$5:$JL$209,265,FALSE)</f>
        <v>1647.0448905139251</v>
      </c>
    </row>
    <row r="34" spans="2:93">
      <c r="B34" s="1651" t="s">
        <v>1078</v>
      </c>
      <c r="C34" s="1652">
        <v>76</v>
      </c>
      <c r="D34" s="1653">
        <v>6.3759274166148112E-3</v>
      </c>
      <c r="E34" s="1654">
        <v>1167.0999999999999</v>
      </c>
      <c r="F34" s="1654">
        <v>1287.0726166006307</v>
      </c>
      <c r="G34" s="1654">
        <v>1419.420213142952</v>
      </c>
      <c r="H34" s="1654">
        <f>VLOOKUP($C34,'Insumos testigos '!$B$5:$HN$209,180,FALSE)</f>
        <v>100</v>
      </c>
      <c r="I34" s="1654">
        <f>VLOOKUP($C34,'Insumos testigos '!$B$5:$HN$209,181,FALSE)</f>
        <v>101.88466310501099</v>
      </c>
      <c r="J34" s="1654">
        <f>VLOOKUP($C34,'Insumos testigos '!$B$5:$HN$209,182,FALSE)</f>
        <v>102.87983699331704</v>
      </c>
      <c r="K34" s="1654">
        <f>VLOOKUP($C34,'Insumos testigos '!$B$5:$HN$209,183,FALSE)</f>
        <v>100.35805942038905</v>
      </c>
      <c r="L34" s="1654">
        <f>VLOOKUP($C34,'Insumos testigos '!$B$5:$HN$209,184,FALSE)</f>
        <v>104.57232583231914</v>
      </c>
      <c r="M34" s="1654">
        <f>VLOOKUP($C34,'Insumos testigos '!$B$5:$HN$209,185,FALSE)</f>
        <v>105.17519370379159</v>
      </c>
      <c r="N34" s="1654">
        <f>VLOOKUP($C34,'Insumos testigos '!$B$5:$HN$209,186,FALSE)</f>
        <v>105.09753419820959</v>
      </c>
      <c r="O34" s="1654">
        <f>VLOOKUP($C34,'Insumos testigos '!$B$5:$HN$209,187,FALSE)</f>
        <v>106.35026915071649</v>
      </c>
      <c r="P34" s="1654">
        <f>VLOOKUP($C34,'Insumos testigos '!$B$5:$HN$209,188,FALSE)</f>
        <v>105.59650222629281</v>
      </c>
      <c r="Q34" s="1654">
        <f>VLOOKUP($C34,'Insumos testigos '!$B$5:$HN$209,189,FALSE)</f>
        <v>103.13972363442169</v>
      </c>
      <c r="R34" s="1654">
        <f>VLOOKUP($C34,'Insumos testigos '!$B$5:$HN$209,190,FALSE)</f>
        <v>102.89116975240317</v>
      </c>
      <c r="S34" s="1654">
        <f>VLOOKUP($C34,'Insumos testigos '!$B$5:$HN$209,191,FALSE)</f>
        <v>104.69770618097186</v>
      </c>
      <c r="T34" s="1654">
        <f>VLOOKUP($C34,'Insumos testigos '!$B$5:$HN$209,192,FALSE)</f>
        <v>105.50457393652647</v>
      </c>
      <c r="U34" s="1654">
        <f>VLOOKUP($C34,'Insumos testigos '!$B$5:$HN$209,193,FALSE)</f>
        <v>104.98243457955867</v>
      </c>
      <c r="V34" s="1654">
        <f>VLOOKUP($C34,'Insumos testigos '!$B$5:$HN$209,194,FALSE)</f>
        <v>104.98243457955867</v>
      </c>
      <c r="W34" s="1654">
        <f>VLOOKUP($C34,'Insumos testigos '!$B$5:$HN$209,195,FALSE)</f>
        <v>107.00232392934187</v>
      </c>
      <c r="X34" s="1654">
        <f>VLOOKUP($C34,'Insumos testigos '!$B$5:$HN$209,196,FALSE)</f>
        <v>107.00232392934187</v>
      </c>
      <c r="Y34" s="1654">
        <f>VLOOKUP($C34,'Insumos testigos '!$B$5:$HN$209,197,FALSE)</f>
        <v>104.77104455472117</v>
      </c>
      <c r="Z34" s="1654">
        <f>VLOOKUP($C34,'Insumos testigos '!$B$5:$HN$209,198,FALSE)</f>
        <v>105.09282871627788</v>
      </c>
      <c r="AA34" s="1654">
        <f>VLOOKUP($C34,'Insumos testigos '!$B$5:$HN$209,199,FALSE)</f>
        <v>107.10627289761722</v>
      </c>
      <c r="AB34" s="1654">
        <f>VLOOKUP($C34,'Insumos testigos '!$B$5:$HN$209,200,FALSE)</f>
        <v>106.95489474626312</v>
      </c>
      <c r="AC34" s="1654">
        <f>VLOOKUP($C34,'Insumos testigos '!$B$5:$HN$209,201,FALSE)</f>
        <v>105.13775594603727</v>
      </c>
      <c r="AD34" s="1654">
        <f>VLOOKUP($C34,'Insumos testigos '!$B$5:$HN$209,202,FALSE)</f>
        <v>105.75051373471946</v>
      </c>
      <c r="AE34" s="1654">
        <f>VLOOKUP($C34,'Insumos testigos '!$B$5:$HN$209,203,FALSE)</f>
        <v>105.75051373471946</v>
      </c>
      <c r="AF34" s="1654">
        <f>VLOOKUP($C34,'Insumos testigos '!$B$5:$HN$209,204,FALSE)</f>
        <v>107.23313235503321</v>
      </c>
      <c r="AG34" s="1654">
        <f>VLOOKUP($C34,'Insumos testigos '!$B$5:$HN$209,205,FALSE)</f>
        <v>111.9519302426767</v>
      </c>
      <c r="AH34" s="1654">
        <f>VLOOKUP($C34,'Insumos testigos '!$B$5:$HN$209,206,FALSE)</f>
        <v>112.60663074148592</v>
      </c>
      <c r="AI34" s="1654">
        <f>VLOOKUP($C34,'Insumos testigos '!$B$5:$HN$209,207,FALSE)</f>
        <v>116.95284036710805</v>
      </c>
      <c r="AJ34" s="1654">
        <f>VLOOKUP($C34,'Insumos testigos '!$B$5:$HN$209,208,FALSE)</f>
        <v>117.78894795368926</v>
      </c>
      <c r="AK34" s="1654">
        <f>VLOOKUP($C34,'Insumos testigos '!$B$5:$HN$209,209,FALSE)</f>
        <v>123.83596386075658</v>
      </c>
      <c r="AL34" s="1654">
        <f>VLOOKUP($C34,'Insumos testigos '!$B$5:$HN$209,210,FALSE)</f>
        <v>137.3951224189295</v>
      </c>
      <c r="AM34" s="1654">
        <f>VLOOKUP($C34,'Insumos testigos '!$B$5:$HN$209,211,FALSE)</f>
        <v>138.24675171040258</v>
      </c>
      <c r="AN34" s="1654">
        <f>VLOOKUP($C34,'Insumos testigos '!$B$5:$HN$209,212,FALSE)</f>
        <v>150.63277329911432</v>
      </c>
      <c r="AO34" s="1654">
        <f>VLOOKUP($C34,'Insumos testigos '!$B$5:$HN$209,213,FALSE)</f>
        <v>165.45999679374302</v>
      </c>
      <c r="AP34" s="1654">
        <f>VLOOKUP($C34,'Insumos testigos '!$B$5:$HN$209,214,FALSE)</f>
        <v>159.94466356728489</v>
      </c>
      <c r="AQ34" s="1654">
        <f>VLOOKUP($C34,'Insumos testigos '!$B$5:$HN$209,215,FALSE)</f>
        <v>167.83749422373836</v>
      </c>
      <c r="AR34" s="1654">
        <f>VLOOKUP($C34,'Insumos testigos '!$B$5:$HN$209,216,FALSE)</f>
        <v>162.84266422532858</v>
      </c>
      <c r="AS34" s="1654">
        <f>VLOOKUP($C34,'Insumos testigos '!$B$5:$HN$209,217,FALSE)</f>
        <v>170.92279010245414</v>
      </c>
      <c r="AT34" s="1654">
        <f>VLOOKUP($C34,'Insumos testigos '!$B$5:$HN$209,218,FALSE)</f>
        <v>176.60922768425723</v>
      </c>
      <c r="AU34" s="1654">
        <f>VLOOKUP($C34,'Insumos testigos '!$B$5:$HN$209,219,FALSE)</f>
        <v>206.87789309674503</v>
      </c>
      <c r="AV34" s="1654">
        <f>VLOOKUP($C34,'Insumos testigos '!$B$5:$HN$209,220,FALSE)</f>
        <v>211.9846407774192</v>
      </c>
      <c r="AW34" s="1654">
        <f>VLOOKUP($C34,'Insumos testigos '!$B$5:$HN$209,221,FALSE)</f>
        <v>209.09801698857638</v>
      </c>
      <c r="AX34" s="1654">
        <f>VLOOKUP($C34,'Insumos testigos '!$B$5:$HO$209,222,FALSE)</f>
        <v>224.77058829986191</v>
      </c>
      <c r="AY34" s="1654">
        <f>VLOOKUP($C34,'Insumos testigos '!$B$5:$JL$209,223,FALSE)</f>
        <v>232.86595274102669</v>
      </c>
      <c r="AZ34" s="1654">
        <f>VLOOKUP($C34,'Insumos testigos '!$B$5:$JL$209,224,FALSE)</f>
        <v>265.1192747339752</v>
      </c>
      <c r="BA34" s="1654">
        <f>VLOOKUP($C34,'Insumos testigos '!$B$5:$JL$209,225,FALSE)</f>
        <v>266.77621044472806</v>
      </c>
      <c r="BB34" s="1654">
        <f>VLOOKUP($C34,'Insumos testigos '!$B$5:$JL$209,226,FALSE)</f>
        <v>295.2940593840072</v>
      </c>
      <c r="BC34" s="1654">
        <f>VLOOKUP($C34,'Insumos testigos '!$B$5:$JL$209,227,FALSE)</f>
        <v>294.31923051350168</v>
      </c>
      <c r="BD34" s="1654">
        <f>VLOOKUP($C34,'Insumos testigos '!$B$5:$JL$209,228,FALSE)</f>
        <v>296.18092609341863</v>
      </c>
      <c r="BE34" s="1654">
        <f>VLOOKUP($C34,'Insumos testigos '!$B$5:$JL$209,229,FALSE)</f>
        <v>299.74427085486985</v>
      </c>
      <c r="BF34" s="1654">
        <f>VLOOKUP($C34,'Insumos testigos '!$B$5:$JL$209,230,FALSE)</f>
        <v>299.74427085486985</v>
      </c>
      <c r="BG34" s="1654">
        <f>VLOOKUP($C34,'Insumos testigos '!$B$5:$JL$209,231,FALSE)</f>
        <v>304.73197238501683</v>
      </c>
      <c r="BH34" s="1654">
        <f>VLOOKUP($C34,'Insumos testigos '!$B$5:$JL$209,232,FALSE)</f>
        <v>314.37546909520654</v>
      </c>
      <c r="BI34" s="1654">
        <f>VLOOKUP($C34,'Insumos testigos '!$B$5:$JL$209,233,FALSE)</f>
        <v>319.36112438198523</v>
      </c>
      <c r="BJ34" s="1654">
        <f>VLOOKUP($C34,'Insumos testigos '!$B$5:$JL$209,234,FALSE)</f>
        <v>323.59865004038352</v>
      </c>
      <c r="BK34" s="1654">
        <f>VLOOKUP($C34,'Insumos testigos '!$B$5:$JL$209,235,FALSE)</f>
        <v>337.6613102635535</v>
      </c>
      <c r="BL34" s="1654">
        <f>VLOOKUP($C34,'Insumos testigos '!$B$5:$JL$209,236,FALSE)</f>
        <v>341.0593744244415</v>
      </c>
      <c r="BM34" s="1654">
        <f>VLOOKUP($C34,'Insumos testigos '!$B$5:$JL$209,237,FALSE)</f>
        <v>358.4090488724139</v>
      </c>
      <c r="BN34" s="1654">
        <f>VLOOKUP($C34,'Insumos testigos '!$B$5:$JL$209,238,FALSE)</f>
        <v>405.65037729939058</v>
      </c>
      <c r="BO34" s="1654">
        <f>VLOOKUP($C34,'Insumos testigos '!$B$5:$JL$209,239,FALSE)</f>
        <v>432.7427195343933</v>
      </c>
      <c r="BP34" s="1654">
        <f>VLOOKUP($C34,'Insumos testigos '!$B$5:$JL$209,240,FALSE)</f>
        <v>447.12251617100156</v>
      </c>
      <c r="BQ34" s="1654">
        <f>VLOOKUP($C34,'Insumos testigos '!$B$5:$JL$209,241,FALSE)</f>
        <v>473.43848108799341</v>
      </c>
      <c r="BR34" s="1654">
        <f>VLOOKUP($C34,'Insumos testigos '!$B$5:$JL$209,242,FALSE)</f>
        <v>483.66356156541616</v>
      </c>
      <c r="BS34" s="1654">
        <f>VLOOKUP($C34,'Insumos testigos '!$B$5:$JL$209,243,FALSE)</f>
        <v>512.36608024844611</v>
      </c>
      <c r="BT34" s="1654">
        <f>VLOOKUP($C34,'Insumos testigos '!$B$5:$JL$209,244,FALSE)</f>
        <v>575.01633344439688</v>
      </c>
      <c r="BU34" s="1654">
        <f>VLOOKUP($C34,'Insumos testigos '!$B$5:$JL$209,245,FALSE)</f>
        <v>605.0745248235844</v>
      </c>
      <c r="BV34" s="1654">
        <f>VLOOKUP($C34,'Insumos testigos '!$B$5:$JL$209,246,FALSE)</f>
        <v>627.13031237905818</v>
      </c>
      <c r="BW34" s="1654">
        <f>VLOOKUP($C34,'Insumos testigos '!$B$5:$JL$209,247,FALSE)</f>
        <v>646.9769565365076</v>
      </c>
      <c r="BX34" s="1654">
        <f>VLOOKUP($C34,'Insumos testigos '!$B$5:$JL$209,248,FALSE)</f>
        <v>677.00552933820745</v>
      </c>
      <c r="BY34" s="1654">
        <f>VLOOKUP($C34,'Insumos testigos '!$B$5:$JL$209,249,FALSE)</f>
        <v>708.8934131810887</v>
      </c>
      <c r="BZ34" s="1654">
        <f>VLOOKUP($C34,'Insumos testigos '!$B$5:$JL$209,250,FALSE)</f>
        <v>734.18011382486691</v>
      </c>
      <c r="CA34" s="1654">
        <f>VLOOKUP($C34,'Insumos testigos '!$B$5:$JL$209,251,FALSE)</f>
        <v>750.51871857385174</v>
      </c>
      <c r="CB34" s="1654">
        <f>VLOOKUP($C34,'Insumos testigos '!$B$5:$JL$209,252,FALSE)</f>
        <v>777.75242693655582</v>
      </c>
      <c r="CC34" s="1654">
        <f>VLOOKUP($C34,'Insumos testigos '!$B$5:$JL$209,253,FALSE)</f>
        <v>812.18367736544815</v>
      </c>
      <c r="CD34" s="1654">
        <f>VLOOKUP($C34,'Insumos testigos '!$B$5:$JL$209,254,FALSE)</f>
        <v>839.95700658058286</v>
      </c>
      <c r="CE34" s="1654">
        <f>VLOOKUP($C34,'Insumos testigos '!$B$5:$JL$209,255,FALSE)</f>
        <v>841.93911480071915</v>
      </c>
      <c r="CF34" s="1654">
        <f>VLOOKUP($C34,'Insumos testigos '!$B$5:$JL$209,256,FALSE)</f>
        <v>900.24293683628241</v>
      </c>
      <c r="CG34" s="1654">
        <f>VLOOKUP($C34,'Insumos testigos '!$B$5:$JL$209,257,FALSE)</f>
        <v>943.91068349791635</v>
      </c>
      <c r="CH34" s="1654">
        <f>VLOOKUP($C34,'Insumos testigos '!$B$5:$JL$209,258,FALSE)</f>
        <v>1119.2629996899525</v>
      </c>
      <c r="CI34" s="1654">
        <f>VLOOKUP($C34,'Insumos testigos '!$B$5:$JL$209,259,FALSE)</f>
        <v>1207.6827123941575</v>
      </c>
      <c r="CJ34" s="1654">
        <f>VLOOKUP($C34,'Insumos testigos '!$B$5:$JL$209,260,FALSE)</f>
        <v>1269.6800571397494</v>
      </c>
      <c r="CK34" s="1654">
        <f>VLOOKUP($C34,'Insumos testigos '!$B$5:$JL$209,261,FALSE)</f>
        <v>1356.5630510733135</v>
      </c>
      <c r="CL34" s="1654">
        <f>VLOOKUP($C34,'Insumos testigos '!$B$5:$JL$209,262,FALSE)</f>
        <v>1403.262362811806</v>
      </c>
      <c r="CM34" s="1654">
        <f>VLOOKUP($C34,'Insumos testigos '!$B$5:$JL$209,263,FALSE)</f>
        <v>1523.796800492217</v>
      </c>
      <c r="CN34" s="1654">
        <f>VLOOKUP($C34,'Insumos testigos '!$B$5:$JL$209,264,FALSE)</f>
        <v>1581.9211561600441</v>
      </c>
      <c r="CO34" s="1654">
        <f>VLOOKUP($C34,'Insumos testigos '!$B$5:$JL$209,265,FALSE)</f>
        <v>1647.0448905139251</v>
      </c>
    </row>
    <row r="35" spans="2:93">
      <c r="B35" s="1651" t="s">
        <v>1079</v>
      </c>
      <c r="C35" s="1652">
        <v>76</v>
      </c>
      <c r="D35" s="1653">
        <v>2.7792166953746363E-2</v>
      </c>
      <c r="E35" s="1654">
        <v>1167.0999999999999</v>
      </c>
      <c r="F35" s="1654">
        <v>1287.0726166006307</v>
      </c>
      <c r="G35" s="1654">
        <v>1419.420213142952</v>
      </c>
      <c r="H35" s="1654">
        <f>VLOOKUP($C35,'Insumos testigos '!$B$5:$HN$209,180,FALSE)</f>
        <v>100</v>
      </c>
      <c r="I35" s="1654">
        <f>VLOOKUP($C35,'Insumos testigos '!$B$5:$HN$209,181,FALSE)</f>
        <v>101.88466310501099</v>
      </c>
      <c r="J35" s="1654">
        <f>VLOOKUP($C35,'Insumos testigos '!$B$5:$HN$209,182,FALSE)</f>
        <v>102.87983699331704</v>
      </c>
      <c r="K35" s="1654">
        <f>VLOOKUP($C35,'Insumos testigos '!$B$5:$HN$209,183,FALSE)</f>
        <v>100.35805942038905</v>
      </c>
      <c r="L35" s="1654">
        <f>VLOOKUP($C35,'Insumos testigos '!$B$5:$HN$209,184,FALSE)</f>
        <v>104.57232583231914</v>
      </c>
      <c r="M35" s="1654">
        <f>VLOOKUP($C35,'Insumos testigos '!$B$5:$HN$209,185,FALSE)</f>
        <v>105.17519370379159</v>
      </c>
      <c r="N35" s="1654">
        <f>VLOOKUP($C35,'Insumos testigos '!$B$5:$HN$209,186,FALSE)</f>
        <v>105.09753419820959</v>
      </c>
      <c r="O35" s="1654">
        <f>VLOOKUP($C35,'Insumos testigos '!$B$5:$HN$209,187,FALSE)</f>
        <v>106.35026915071649</v>
      </c>
      <c r="P35" s="1654">
        <f>VLOOKUP($C35,'Insumos testigos '!$B$5:$HN$209,188,FALSE)</f>
        <v>105.59650222629281</v>
      </c>
      <c r="Q35" s="1654">
        <f>VLOOKUP($C35,'Insumos testigos '!$B$5:$HN$209,189,FALSE)</f>
        <v>103.13972363442169</v>
      </c>
      <c r="R35" s="1654">
        <f>VLOOKUP($C35,'Insumos testigos '!$B$5:$HN$209,190,FALSE)</f>
        <v>102.89116975240317</v>
      </c>
      <c r="S35" s="1654">
        <f>VLOOKUP($C35,'Insumos testigos '!$B$5:$HN$209,191,FALSE)</f>
        <v>104.69770618097186</v>
      </c>
      <c r="T35" s="1654">
        <f>VLOOKUP($C35,'Insumos testigos '!$B$5:$HN$209,192,FALSE)</f>
        <v>105.50457393652647</v>
      </c>
      <c r="U35" s="1654">
        <f>VLOOKUP($C35,'Insumos testigos '!$B$5:$HN$209,193,FALSE)</f>
        <v>104.98243457955867</v>
      </c>
      <c r="V35" s="1654">
        <f>VLOOKUP($C35,'Insumos testigos '!$B$5:$HN$209,194,FALSE)</f>
        <v>104.98243457955867</v>
      </c>
      <c r="W35" s="1654">
        <f>VLOOKUP($C35,'Insumos testigos '!$B$5:$HN$209,195,FALSE)</f>
        <v>107.00232392934187</v>
      </c>
      <c r="X35" s="1654">
        <f>VLOOKUP($C35,'Insumos testigos '!$B$5:$HN$209,196,FALSE)</f>
        <v>107.00232392934187</v>
      </c>
      <c r="Y35" s="1654">
        <f>VLOOKUP($C35,'Insumos testigos '!$B$5:$HN$209,197,FALSE)</f>
        <v>104.77104455472117</v>
      </c>
      <c r="Z35" s="1654">
        <f>VLOOKUP($C35,'Insumos testigos '!$B$5:$HN$209,198,FALSE)</f>
        <v>105.09282871627788</v>
      </c>
      <c r="AA35" s="1654">
        <f>VLOOKUP($C35,'Insumos testigos '!$B$5:$HN$209,199,FALSE)</f>
        <v>107.10627289761722</v>
      </c>
      <c r="AB35" s="1654">
        <f>VLOOKUP($C35,'Insumos testigos '!$B$5:$HN$209,200,FALSE)</f>
        <v>106.95489474626312</v>
      </c>
      <c r="AC35" s="1654">
        <f>VLOOKUP($C35,'Insumos testigos '!$B$5:$HN$209,201,FALSE)</f>
        <v>105.13775594603727</v>
      </c>
      <c r="AD35" s="1654">
        <f>VLOOKUP($C35,'Insumos testigos '!$B$5:$HN$209,202,FALSE)</f>
        <v>105.75051373471946</v>
      </c>
      <c r="AE35" s="1654">
        <f>VLOOKUP($C35,'Insumos testigos '!$B$5:$HN$209,203,FALSE)</f>
        <v>105.75051373471946</v>
      </c>
      <c r="AF35" s="1654">
        <f>VLOOKUP($C35,'Insumos testigos '!$B$5:$HN$209,204,FALSE)</f>
        <v>107.23313235503321</v>
      </c>
      <c r="AG35" s="1654">
        <f>VLOOKUP($C35,'Insumos testigos '!$B$5:$HN$209,205,FALSE)</f>
        <v>111.9519302426767</v>
      </c>
      <c r="AH35" s="1654">
        <f>VLOOKUP($C35,'Insumos testigos '!$B$5:$HN$209,206,FALSE)</f>
        <v>112.60663074148592</v>
      </c>
      <c r="AI35" s="1654">
        <f>VLOOKUP($C35,'Insumos testigos '!$B$5:$HN$209,207,FALSE)</f>
        <v>116.95284036710805</v>
      </c>
      <c r="AJ35" s="1654">
        <f>VLOOKUP($C35,'Insumos testigos '!$B$5:$HN$209,208,FALSE)</f>
        <v>117.78894795368926</v>
      </c>
      <c r="AK35" s="1654">
        <f>VLOOKUP($C35,'Insumos testigos '!$B$5:$HN$209,209,FALSE)</f>
        <v>123.83596386075658</v>
      </c>
      <c r="AL35" s="1654">
        <f>VLOOKUP($C35,'Insumos testigos '!$B$5:$HN$209,210,FALSE)</f>
        <v>137.3951224189295</v>
      </c>
      <c r="AM35" s="1654">
        <f>VLOOKUP($C35,'Insumos testigos '!$B$5:$HN$209,211,FALSE)</f>
        <v>138.24675171040258</v>
      </c>
      <c r="AN35" s="1654">
        <f>VLOOKUP($C35,'Insumos testigos '!$B$5:$HN$209,212,FALSE)</f>
        <v>150.63277329911432</v>
      </c>
      <c r="AO35" s="1654">
        <f>VLOOKUP($C35,'Insumos testigos '!$B$5:$HN$209,213,FALSE)</f>
        <v>165.45999679374302</v>
      </c>
      <c r="AP35" s="1654">
        <f>VLOOKUP($C35,'Insumos testigos '!$B$5:$HN$209,214,FALSE)</f>
        <v>159.94466356728489</v>
      </c>
      <c r="AQ35" s="1654">
        <f>VLOOKUP($C35,'Insumos testigos '!$B$5:$HN$209,215,FALSE)</f>
        <v>167.83749422373836</v>
      </c>
      <c r="AR35" s="1654">
        <f>VLOOKUP($C35,'Insumos testigos '!$B$5:$HN$209,216,FALSE)</f>
        <v>162.84266422532858</v>
      </c>
      <c r="AS35" s="1654">
        <f>VLOOKUP($C35,'Insumos testigos '!$B$5:$HN$209,217,FALSE)</f>
        <v>170.92279010245414</v>
      </c>
      <c r="AT35" s="1654">
        <f>VLOOKUP($C35,'Insumos testigos '!$B$5:$HN$209,218,FALSE)</f>
        <v>176.60922768425723</v>
      </c>
      <c r="AU35" s="1654">
        <f>VLOOKUP($C35,'Insumos testigos '!$B$5:$HN$209,219,FALSE)</f>
        <v>206.87789309674503</v>
      </c>
      <c r="AV35" s="1654">
        <f>VLOOKUP($C35,'Insumos testigos '!$B$5:$HN$209,220,FALSE)</f>
        <v>211.9846407774192</v>
      </c>
      <c r="AW35" s="1654">
        <f>VLOOKUP($C35,'Insumos testigos '!$B$5:$HN$209,221,FALSE)</f>
        <v>209.09801698857638</v>
      </c>
      <c r="AX35" s="1654">
        <f>VLOOKUP($C35,'Insumos testigos '!$B$5:$HO$209,222,FALSE)</f>
        <v>224.77058829986191</v>
      </c>
      <c r="AY35" s="1654">
        <f>VLOOKUP($C35,'Insumos testigos '!$B$5:$JL$209,223,FALSE)</f>
        <v>232.86595274102669</v>
      </c>
      <c r="AZ35" s="1654">
        <f>VLOOKUP($C35,'Insumos testigos '!$B$5:$JL$209,224,FALSE)</f>
        <v>265.1192747339752</v>
      </c>
      <c r="BA35" s="1654">
        <f>VLOOKUP($C35,'Insumos testigos '!$B$5:$JL$209,225,FALSE)</f>
        <v>266.77621044472806</v>
      </c>
      <c r="BB35" s="1654">
        <f>VLOOKUP($C35,'Insumos testigos '!$B$5:$JL$209,226,FALSE)</f>
        <v>295.2940593840072</v>
      </c>
      <c r="BC35" s="1654">
        <f>VLOOKUP($C35,'Insumos testigos '!$B$5:$JL$209,227,FALSE)</f>
        <v>294.31923051350168</v>
      </c>
      <c r="BD35" s="1654">
        <f>VLOOKUP($C35,'Insumos testigos '!$B$5:$JL$209,228,FALSE)</f>
        <v>296.18092609341863</v>
      </c>
      <c r="BE35" s="1654">
        <f>VLOOKUP($C35,'Insumos testigos '!$B$5:$JL$209,229,FALSE)</f>
        <v>299.74427085486985</v>
      </c>
      <c r="BF35" s="1654">
        <f>VLOOKUP($C35,'Insumos testigos '!$B$5:$JL$209,230,FALSE)</f>
        <v>299.74427085486985</v>
      </c>
      <c r="BG35" s="1654">
        <f>VLOOKUP($C35,'Insumos testigos '!$B$5:$JL$209,231,FALSE)</f>
        <v>304.73197238501683</v>
      </c>
      <c r="BH35" s="1654">
        <f>VLOOKUP($C35,'Insumos testigos '!$B$5:$JL$209,232,FALSE)</f>
        <v>314.37546909520654</v>
      </c>
      <c r="BI35" s="1654">
        <f>VLOOKUP($C35,'Insumos testigos '!$B$5:$JL$209,233,FALSE)</f>
        <v>319.36112438198523</v>
      </c>
      <c r="BJ35" s="1654">
        <f>VLOOKUP($C35,'Insumos testigos '!$B$5:$JL$209,234,FALSE)</f>
        <v>323.59865004038352</v>
      </c>
      <c r="BK35" s="1654">
        <f>VLOOKUP($C35,'Insumos testigos '!$B$5:$JL$209,235,FALSE)</f>
        <v>337.6613102635535</v>
      </c>
      <c r="BL35" s="1654">
        <f>VLOOKUP($C35,'Insumos testigos '!$B$5:$JL$209,236,FALSE)</f>
        <v>341.0593744244415</v>
      </c>
      <c r="BM35" s="1654">
        <f>VLOOKUP($C35,'Insumos testigos '!$B$5:$JL$209,237,FALSE)</f>
        <v>358.4090488724139</v>
      </c>
      <c r="BN35" s="1654">
        <f>VLOOKUP($C35,'Insumos testigos '!$B$5:$JL$209,238,FALSE)</f>
        <v>405.65037729939058</v>
      </c>
      <c r="BO35" s="1654">
        <f>VLOOKUP($C35,'Insumos testigos '!$B$5:$JL$209,239,FALSE)</f>
        <v>432.7427195343933</v>
      </c>
      <c r="BP35" s="1654">
        <f>VLOOKUP($C35,'Insumos testigos '!$B$5:$JL$209,240,FALSE)</f>
        <v>447.12251617100156</v>
      </c>
      <c r="BQ35" s="1654">
        <f>VLOOKUP($C35,'Insumos testigos '!$B$5:$JL$209,241,FALSE)</f>
        <v>473.43848108799341</v>
      </c>
      <c r="BR35" s="1654">
        <f>VLOOKUP($C35,'Insumos testigos '!$B$5:$JL$209,242,FALSE)</f>
        <v>483.66356156541616</v>
      </c>
      <c r="BS35" s="1654">
        <f>VLOOKUP($C35,'Insumos testigos '!$B$5:$JL$209,243,FALSE)</f>
        <v>512.36608024844611</v>
      </c>
      <c r="BT35" s="1654">
        <f>VLOOKUP($C35,'Insumos testigos '!$B$5:$JL$209,244,FALSE)</f>
        <v>575.01633344439688</v>
      </c>
      <c r="BU35" s="1654">
        <f>VLOOKUP($C35,'Insumos testigos '!$B$5:$JL$209,245,FALSE)</f>
        <v>605.0745248235844</v>
      </c>
      <c r="BV35" s="1654">
        <f>VLOOKUP($C35,'Insumos testigos '!$B$5:$JL$209,246,FALSE)</f>
        <v>627.13031237905818</v>
      </c>
      <c r="BW35" s="1654">
        <f>VLOOKUP($C35,'Insumos testigos '!$B$5:$JL$209,247,FALSE)</f>
        <v>646.9769565365076</v>
      </c>
      <c r="BX35" s="1654">
        <f>VLOOKUP($C35,'Insumos testigos '!$B$5:$JL$209,248,FALSE)</f>
        <v>677.00552933820745</v>
      </c>
      <c r="BY35" s="1654">
        <f>VLOOKUP($C35,'Insumos testigos '!$B$5:$JL$209,249,FALSE)</f>
        <v>708.8934131810887</v>
      </c>
      <c r="BZ35" s="1654">
        <f>VLOOKUP($C35,'Insumos testigos '!$B$5:$JL$209,250,FALSE)</f>
        <v>734.18011382486691</v>
      </c>
      <c r="CA35" s="1654">
        <f>VLOOKUP($C35,'Insumos testigos '!$B$5:$JL$209,251,FALSE)</f>
        <v>750.51871857385174</v>
      </c>
      <c r="CB35" s="1654">
        <f>VLOOKUP($C35,'Insumos testigos '!$B$5:$JL$209,252,FALSE)</f>
        <v>777.75242693655582</v>
      </c>
      <c r="CC35" s="1654">
        <f>VLOOKUP($C35,'Insumos testigos '!$B$5:$JL$209,253,FALSE)</f>
        <v>812.18367736544815</v>
      </c>
      <c r="CD35" s="1654">
        <f>VLOOKUP($C35,'Insumos testigos '!$B$5:$JL$209,254,FALSE)</f>
        <v>839.95700658058286</v>
      </c>
      <c r="CE35" s="1654">
        <f>VLOOKUP($C35,'Insumos testigos '!$B$5:$JL$209,255,FALSE)</f>
        <v>841.93911480071915</v>
      </c>
      <c r="CF35" s="1654">
        <f>VLOOKUP($C35,'Insumos testigos '!$B$5:$JL$209,256,FALSE)</f>
        <v>900.24293683628241</v>
      </c>
      <c r="CG35" s="1654">
        <f>VLOOKUP($C35,'Insumos testigos '!$B$5:$JL$209,257,FALSE)</f>
        <v>943.91068349791635</v>
      </c>
      <c r="CH35" s="1654">
        <f>VLOOKUP($C35,'Insumos testigos '!$B$5:$JL$209,258,FALSE)</f>
        <v>1119.2629996899525</v>
      </c>
      <c r="CI35" s="1654">
        <f>VLOOKUP($C35,'Insumos testigos '!$B$5:$JL$209,259,FALSE)</f>
        <v>1207.6827123941575</v>
      </c>
      <c r="CJ35" s="1654">
        <f>VLOOKUP($C35,'Insumos testigos '!$B$5:$JL$209,260,FALSE)</f>
        <v>1269.6800571397494</v>
      </c>
      <c r="CK35" s="1654">
        <f>VLOOKUP($C35,'Insumos testigos '!$B$5:$JL$209,261,FALSE)</f>
        <v>1356.5630510733135</v>
      </c>
      <c r="CL35" s="1654">
        <f>VLOOKUP($C35,'Insumos testigos '!$B$5:$JL$209,262,FALSE)</f>
        <v>1403.262362811806</v>
      </c>
      <c r="CM35" s="1654">
        <f>VLOOKUP($C35,'Insumos testigos '!$B$5:$JL$209,263,FALSE)</f>
        <v>1523.796800492217</v>
      </c>
      <c r="CN35" s="1654">
        <f>VLOOKUP($C35,'Insumos testigos '!$B$5:$JL$209,264,FALSE)</f>
        <v>1581.9211561600441</v>
      </c>
      <c r="CO35" s="1654">
        <f>VLOOKUP($C35,'Insumos testigos '!$B$5:$JL$209,265,FALSE)</f>
        <v>1647.0448905139251</v>
      </c>
    </row>
    <row r="36" spans="2:93">
      <c r="B36" s="1651" t="s">
        <v>1080</v>
      </c>
      <c r="C36" s="1652">
        <v>76</v>
      </c>
      <c r="D36" s="1653">
        <v>3.1045046093170843E-3</v>
      </c>
      <c r="E36" s="1654">
        <v>1167.0999999999999</v>
      </c>
      <c r="F36" s="1654">
        <v>1287.0726166006307</v>
      </c>
      <c r="G36" s="1654">
        <v>1419.420213142952</v>
      </c>
      <c r="H36" s="1654">
        <f>VLOOKUP($C36,'Insumos testigos '!$B$5:$HN$209,180,FALSE)</f>
        <v>100</v>
      </c>
      <c r="I36" s="1654">
        <f>VLOOKUP($C36,'Insumos testigos '!$B$5:$HN$209,181,FALSE)</f>
        <v>101.88466310501099</v>
      </c>
      <c r="J36" s="1654">
        <f>VLOOKUP($C36,'Insumos testigos '!$B$5:$HN$209,182,FALSE)</f>
        <v>102.87983699331704</v>
      </c>
      <c r="K36" s="1654">
        <f>VLOOKUP($C36,'Insumos testigos '!$B$5:$HN$209,183,FALSE)</f>
        <v>100.35805942038905</v>
      </c>
      <c r="L36" s="1654">
        <f>VLOOKUP($C36,'Insumos testigos '!$B$5:$HN$209,184,FALSE)</f>
        <v>104.57232583231914</v>
      </c>
      <c r="M36" s="1654">
        <f>VLOOKUP($C36,'Insumos testigos '!$B$5:$HN$209,185,FALSE)</f>
        <v>105.17519370379159</v>
      </c>
      <c r="N36" s="1654">
        <f>VLOOKUP($C36,'Insumos testigos '!$B$5:$HN$209,186,FALSE)</f>
        <v>105.09753419820959</v>
      </c>
      <c r="O36" s="1654">
        <f>VLOOKUP($C36,'Insumos testigos '!$B$5:$HN$209,187,FALSE)</f>
        <v>106.35026915071649</v>
      </c>
      <c r="P36" s="1654">
        <f>VLOOKUP($C36,'Insumos testigos '!$B$5:$HN$209,188,FALSE)</f>
        <v>105.59650222629281</v>
      </c>
      <c r="Q36" s="1654">
        <f>VLOOKUP($C36,'Insumos testigos '!$B$5:$HN$209,189,FALSE)</f>
        <v>103.13972363442169</v>
      </c>
      <c r="R36" s="1654">
        <f>VLOOKUP($C36,'Insumos testigos '!$B$5:$HN$209,190,FALSE)</f>
        <v>102.89116975240317</v>
      </c>
      <c r="S36" s="1654">
        <f>VLOOKUP($C36,'Insumos testigos '!$B$5:$HN$209,191,FALSE)</f>
        <v>104.69770618097186</v>
      </c>
      <c r="T36" s="1654">
        <f>VLOOKUP($C36,'Insumos testigos '!$B$5:$HN$209,192,FALSE)</f>
        <v>105.50457393652647</v>
      </c>
      <c r="U36" s="1654">
        <f>VLOOKUP($C36,'Insumos testigos '!$B$5:$HN$209,193,FALSE)</f>
        <v>104.98243457955867</v>
      </c>
      <c r="V36" s="1654">
        <f>VLOOKUP($C36,'Insumos testigos '!$B$5:$HN$209,194,FALSE)</f>
        <v>104.98243457955867</v>
      </c>
      <c r="W36" s="1654">
        <f>VLOOKUP($C36,'Insumos testigos '!$B$5:$HN$209,195,FALSE)</f>
        <v>107.00232392934187</v>
      </c>
      <c r="X36" s="1654">
        <f>VLOOKUP($C36,'Insumos testigos '!$B$5:$HN$209,196,FALSE)</f>
        <v>107.00232392934187</v>
      </c>
      <c r="Y36" s="1654">
        <f>VLOOKUP($C36,'Insumos testigos '!$B$5:$HN$209,197,FALSE)</f>
        <v>104.77104455472117</v>
      </c>
      <c r="Z36" s="1654">
        <f>VLOOKUP($C36,'Insumos testigos '!$B$5:$HN$209,198,FALSE)</f>
        <v>105.09282871627788</v>
      </c>
      <c r="AA36" s="1654">
        <f>VLOOKUP($C36,'Insumos testigos '!$B$5:$HN$209,199,FALSE)</f>
        <v>107.10627289761722</v>
      </c>
      <c r="AB36" s="1654">
        <f>VLOOKUP($C36,'Insumos testigos '!$B$5:$HN$209,200,FALSE)</f>
        <v>106.95489474626312</v>
      </c>
      <c r="AC36" s="1654">
        <f>VLOOKUP($C36,'Insumos testigos '!$B$5:$HN$209,201,FALSE)</f>
        <v>105.13775594603727</v>
      </c>
      <c r="AD36" s="1654">
        <f>VLOOKUP($C36,'Insumos testigos '!$B$5:$HN$209,202,FALSE)</f>
        <v>105.75051373471946</v>
      </c>
      <c r="AE36" s="1654">
        <f>VLOOKUP($C36,'Insumos testigos '!$B$5:$HN$209,203,FALSE)</f>
        <v>105.75051373471946</v>
      </c>
      <c r="AF36" s="1654">
        <f>VLOOKUP($C36,'Insumos testigos '!$B$5:$HN$209,204,FALSE)</f>
        <v>107.23313235503321</v>
      </c>
      <c r="AG36" s="1654">
        <f>VLOOKUP($C36,'Insumos testigos '!$B$5:$HN$209,205,FALSE)</f>
        <v>111.9519302426767</v>
      </c>
      <c r="AH36" s="1654">
        <f>VLOOKUP($C36,'Insumos testigos '!$B$5:$HN$209,206,FALSE)</f>
        <v>112.60663074148592</v>
      </c>
      <c r="AI36" s="1654">
        <f>VLOOKUP($C36,'Insumos testigos '!$B$5:$HN$209,207,FALSE)</f>
        <v>116.95284036710805</v>
      </c>
      <c r="AJ36" s="1654">
        <f>VLOOKUP($C36,'Insumos testigos '!$B$5:$HN$209,208,FALSE)</f>
        <v>117.78894795368926</v>
      </c>
      <c r="AK36" s="1654">
        <f>VLOOKUP($C36,'Insumos testigos '!$B$5:$HN$209,209,FALSE)</f>
        <v>123.83596386075658</v>
      </c>
      <c r="AL36" s="1654">
        <f>VLOOKUP($C36,'Insumos testigos '!$B$5:$HN$209,210,FALSE)</f>
        <v>137.3951224189295</v>
      </c>
      <c r="AM36" s="1654">
        <f>VLOOKUP($C36,'Insumos testigos '!$B$5:$HN$209,211,FALSE)</f>
        <v>138.24675171040258</v>
      </c>
      <c r="AN36" s="1654">
        <f>VLOOKUP($C36,'Insumos testigos '!$B$5:$HN$209,212,FALSE)</f>
        <v>150.63277329911432</v>
      </c>
      <c r="AO36" s="1654">
        <f>VLOOKUP($C36,'Insumos testigos '!$B$5:$HN$209,213,FALSE)</f>
        <v>165.45999679374302</v>
      </c>
      <c r="AP36" s="1654">
        <f>VLOOKUP($C36,'Insumos testigos '!$B$5:$HN$209,214,FALSE)</f>
        <v>159.94466356728489</v>
      </c>
      <c r="AQ36" s="1654">
        <f>VLOOKUP($C36,'Insumos testigos '!$B$5:$HN$209,215,FALSE)</f>
        <v>167.83749422373836</v>
      </c>
      <c r="AR36" s="1654">
        <f>VLOOKUP($C36,'Insumos testigos '!$B$5:$HN$209,216,FALSE)</f>
        <v>162.84266422532858</v>
      </c>
      <c r="AS36" s="1654">
        <f>VLOOKUP($C36,'Insumos testigos '!$B$5:$HN$209,217,FALSE)</f>
        <v>170.92279010245414</v>
      </c>
      <c r="AT36" s="1654">
        <f>VLOOKUP($C36,'Insumos testigos '!$B$5:$HN$209,218,FALSE)</f>
        <v>176.60922768425723</v>
      </c>
      <c r="AU36" s="1654">
        <f>VLOOKUP($C36,'Insumos testigos '!$B$5:$HN$209,219,FALSE)</f>
        <v>206.87789309674503</v>
      </c>
      <c r="AV36" s="1654">
        <f>VLOOKUP($C36,'Insumos testigos '!$B$5:$HN$209,220,FALSE)</f>
        <v>211.9846407774192</v>
      </c>
      <c r="AW36" s="1654">
        <f>VLOOKUP($C36,'Insumos testigos '!$B$5:$HN$209,221,FALSE)</f>
        <v>209.09801698857638</v>
      </c>
      <c r="AX36" s="1654">
        <f>VLOOKUP($C36,'Insumos testigos '!$B$5:$HO$209,222,FALSE)</f>
        <v>224.77058829986191</v>
      </c>
      <c r="AY36" s="1654">
        <f>VLOOKUP($C36,'Insumos testigos '!$B$5:$JL$209,223,FALSE)</f>
        <v>232.86595274102669</v>
      </c>
      <c r="AZ36" s="1654">
        <f>VLOOKUP($C36,'Insumos testigos '!$B$5:$JL$209,224,FALSE)</f>
        <v>265.1192747339752</v>
      </c>
      <c r="BA36" s="1654">
        <f>VLOOKUP($C36,'Insumos testigos '!$B$5:$JL$209,225,FALSE)</f>
        <v>266.77621044472806</v>
      </c>
      <c r="BB36" s="1654">
        <f>VLOOKUP($C36,'Insumos testigos '!$B$5:$JL$209,226,FALSE)</f>
        <v>295.2940593840072</v>
      </c>
      <c r="BC36" s="1654">
        <f>VLOOKUP($C36,'Insumos testigos '!$B$5:$JL$209,227,FALSE)</f>
        <v>294.31923051350168</v>
      </c>
      <c r="BD36" s="1654">
        <f>VLOOKUP($C36,'Insumos testigos '!$B$5:$JL$209,228,FALSE)</f>
        <v>296.18092609341863</v>
      </c>
      <c r="BE36" s="1654">
        <f>VLOOKUP($C36,'Insumos testigos '!$B$5:$JL$209,229,FALSE)</f>
        <v>299.74427085486985</v>
      </c>
      <c r="BF36" s="1654">
        <f>VLOOKUP($C36,'Insumos testigos '!$B$5:$JL$209,230,FALSE)</f>
        <v>299.74427085486985</v>
      </c>
      <c r="BG36" s="1654">
        <f>VLOOKUP($C36,'Insumos testigos '!$B$5:$JL$209,231,FALSE)</f>
        <v>304.73197238501683</v>
      </c>
      <c r="BH36" s="1654">
        <f>VLOOKUP($C36,'Insumos testigos '!$B$5:$JL$209,232,FALSE)</f>
        <v>314.37546909520654</v>
      </c>
      <c r="BI36" s="1654">
        <f>VLOOKUP($C36,'Insumos testigos '!$B$5:$JL$209,233,FALSE)</f>
        <v>319.36112438198523</v>
      </c>
      <c r="BJ36" s="1654">
        <f>VLOOKUP($C36,'Insumos testigos '!$B$5:$JL$209,234,FALSE)</f>
        <v>323.59865004038352</v>
      </c>
      <c r="BK36" s="1654">
        <f>VLOOKUP($C36,'Insumos testigos '!$B$5:$JL$209,235,FALSE)</f>
        <v>337.6613102635535</v>
      </c>
      <c r="BL36" s="1654">
        <f>VLOOKUP($C36,'Insumos testigos '!$B$5:$JL$209,236,FALSE)</f>
        <v>341.0593744244415</v>
      </c>
      <c r="BM36" s="1654">
        <f>VLOOKUP($C36,'Insumos testigos '!$B$5:$JL$209,237,FALSE)</f>
        <v>358.4090488724139</v>
      </c>
      <c r="BN36" s="1654">
        <f>VLOOKUP($C36,'Insumos testigos '!$B$5:$JL$209,238,FALSE)</f>
        <v>405.65037729939058</v>
      </c>
      <c r="BO36" s="1654">
        <f>VLOOKUP($C36,'Insumos testigos '!$B$5:$JL$209,239,FALSE)</f>
        <v>432.7427195343933</v>
      </c>
      <c r="BP36" s="1654">
        <f>VLOOKUP($C36,'Insumos testigos '!$B$5:$JL$209,240,FALSE)</f>
        <v>447.12251617100156</v>
      </c>
      <c r="BQ36" s="1654">
        <f>VLOOKUP($C36,'Insumos testigos '!$B$5:$JL$209,241,FALSE)</f>
        <v>473.43848108799341</v>
      </c>
      <c r="BR36" s="1654">
        <f>VLOOKUP($C36,'Insumos testigos '!$B$5:$JL$209,242,FALSE)</f>
        <v>483.66356156541616</v>
      </c>
      <c r="BS36" s="1654">
        <f>VLOOKUP($C36,'Insumos testigos '!$B$5:$JL$209,243,FALSE)</f>
        <v>512.36608024844611</v>
      </c>
      <c r="BT36" s="1654">
        <f>VLOOKUP($C36,'Insumos testigos '!$B$5:$JL$209,244,FALSE)</f>
        <v>575.01633344439688</v>
      </c>
      <c r="BU36" s="1654">
        <f>VLOOKUP($C36,'Insumos testigos '!$B$5:$JL$209,245,FALSE)</f>
        <v>605.0745248235844</v>
      </c>
      <c r="BV36" s="1654">
        <f>VLOOKUP($C36,'Insumos testigos '!$B$5:$JL$209,246,FALSE)</f>
        <v>627.13031237905818</v>
      </c>
      <c r="BW36" s="1654">
        <f>VLOOKUP($C36,'Insumos testigos '!$B$5:$JL$209,247,FALSE)</f>
        <v>646.9769565365076</v>
      </c>
      <c r="BX36" s="1654">
        <f>VLOOKUP($C36,'Insumos testigos '!$B$5:$JL$209,248,FALSE)</f>
        <v>677.00552933820745</v>
      </c>
      <c r="BY36" s="1654">
        <f>VLOOKUP($C36,'Insumos testigos '!$B$5:$JL$209,249,FALSE)</f>
        <v>708.8934131810887</v>
      </c>
      <c r="BZ36" s="1654">
        <f>VLOOKUP($C36,'Insumos testigos '!$B$5:$JL$209,250,FALSE)</f>
        <v>734.18011382486691</v>
      </c>
      <c r="CA36" s="1654">
        <f>VLOOKUP($C36,'Insumos testigos '!$B$5:$JL$209,251,FALSE)</f>
        <v>750.51871857385174</v>
      </c>
      <c r="CB36" s="1654">
        <f>VLOOKUP($C36,'Insumos testigos '!$B$5:$JL$209,252,FALSE)</f>
        <v>777.75242693655582</v>
      </c>
      <c r="CC36" s="1654">
        <f>VLOOKUP($C36,'Insumos testigos '!$B$5:$JL$209,253,FALSE)</f>
        <v>812.18367736544815</v>
      </c>
      <c r="CD36" s="1654">
        <f>VLOOKUP($C36,'Insumos testigos '!$B$5:$JL$209,254,FALSE)</f>
        <v>839.95700658058286</v>
      </c>
      <c r="CE36" s="1654">
        <f>VLOOKUP($C36,'Insumos testigos '!$B$5:$JL$209,255,FALSE)</f>
        <v>841.93911480071915</v>
      </c>
      <c r="CF36" s="1654">
        <f>VLOOKUP($C36,'Insumos testigos '!$B$5:$JL$209,256,FALSE)</f>
        <v>900.24293683628241</v>
      </c>
      <c r="CG36" s="1654">
        <f>VLOOKUP($C36,'Insumos testigos '!$B$5:$JL$209,257,FALSE)</f>
        <v>943.91068349791635</v>
      </c>
      <c r="CH36" s="1654">
        <f>VLOOKUP($C36,'Insumos testigos '!$B$5:$JL$209,258,FALSE)</f>
        <v>1119.2629996899525</v>
      </c>
      <c r="CI36" s="1654">
        <f>VLOOKUP($C36,'Insumos testigos '!$B$5:$JL$209,259,FALSE)</f>
        <v>1207.6827123941575</v>
      </c>
      <c r="CJ36" s="1654">
        <f>VLOOKUP($C36,'Insumos testigos '!$B$5:$JL$209,260,FALSE)</f>
        <v>1269.6800571397494</v>
      </c>
      <c r="CK36" s="1654">
        <f>VLOOKUP($C36,'Insumos testigos '!$B$5:$JL$209,261,FALSE)</f>
        <v>1356.5630510733135</v>
      </c>
      <c r="CL36" s="1654">
        <f>VLOOKUP($C36,'Insumos testigos '!$B$5:$JL$209,262,FALSE)</f>
        <v>1403.262362811806</v>
      </c>
      <c r="CM36" s="1654">
        <f>VLOOKUP($C36,'Insumos testigos '!$B$5:$JL$209,263,FALSE)</f>
        <v>1523.796800492217</v>
      </c>
      <c r="CN36" s="1654">
        <f>VLOOKUP($C36,'Insumos testigos '!$B$5:$JL$209,264,FALSE)</f>
        <v>1581.9211561600441</v>
      </c>
      <c r="CO36" s="1654">
        <f>VLOOKUP($C36,'Insumos testigos '!$B$5:$JL$209,265,FALSE)</f>
        <v>1647.0448905139251</v>
      </c>
    </row>
    <row r="37" spans="2:93">
      <c r="B37" s="1651" t="s">
        <v>1081</v>
      </c>
      <c r="C37" s="1652">
        <v>76</v>
      </c>
      <c r="D37" s="1653">
        <v>3.520061373039729E-3</v>
      </c>
      <c r="E37" s="1654">
        <v>1167.0999999999999</v>
      </c>
      <c r="F37" s="1654">
        <v>1287.0726166006307</v>
      </c>
      <c r="G37" s="1654">
        <v>1419.420213142952</v>
      </c>
      <c r="H37" s="1654">
        <f>VLOOKUP($C37,'Insumos testigos '!$B$5:$HN$209,180,FALSE)</f>
        <v>100</v>
      </c>
      <c r="I37" s="1654">
        <f>VLOOKUP($C37,'Insumos testigos '!$B$5:$HN$209,181,FALSE)</f>
        <v>101.88466310501099</v>
      </c>
      <c r="J37" s="1654">
        <f>VLOOKUP($C37,'Insumos testigos '!$B$5:$HN$209,182,FALSE)</f>
        <v>102.87983699331704</v>
      </c>
      <c r="K37" s="1654">
        <f>VLOOKUP($C37,'Insumos testigos '!$B$5:$HN$209,183,FALSE)</f>
        <v>100.35805942038905</v>
      </c>
      <c r="L37" s="1654">
        <f>VLOOKUP($C37,'Insumos testigos '!$B$5:$HN$209,184,FALSE)</f>
        <v>104.57232583231914</v>
      </c>
      <c r="M37" s="1654">
        <f>VLOOKUP($C37,'Insumos testigos '!$B$5:$HN$209,185,FALSE)</f>
        <v>105.17519370379159</v>
      </c>
      <c r="N37" s="1654">
        <f>VLOOKUP($C37,'Insumos testigos '!$B$5:$HN$209,186,FALSE)</f>
        <v>105.09753419820959</v>
      </c>
      <c r="O37" s="1654">
        <f>VLOOKUP($C37,'Insumos testigos '!$B$5:$HN$209,187,FALSE)</f>
        <v>106.35026915071649</v>
      </c>
      <c r="P37" s="1654">
        <f>VLOOKUP($C37,'Insumos testigos '!$B$5:$HN$209,188,FALSE)</f>
        <v>105.59650222629281</v>
      </c>
      <c r="Q37" s="1654">
        <f>VLOOKUP($C37,'Insumos testigos '!$B$5:$HN$209,189,FALSE)</f>
        <v>103.13972363442169</v>
      </c>
      <c r="R37" s="1654">
        <f>VLOOKUP($C37,'Insumos testigos '!$B$5:$HN$209,190,FALSE)</f>
        <v>102.89116975240317</v>
      </c>
      <c r="S37" s="1654">
        <f>VLOOKUP($C37,'Insumos testigos '!$B$5:$HN$209,191,FALSE)</f>
        <v>104.69770618097186</v>
      </c>
      <c r="T37" s="1654">
        <f>VLOOKUP($C37,'Insumos testigos '!$B$5:$HN$209,192,FALSE)</f>
        <v>105.50457393652647</v>
      </c>
      <c r="U37" s="1654">
        <f>VLOOKUP($C37,'Insumos testigos '!$B$5:$HN$209,193,FALSE)</f>
        <v>104.98243457955867</v>
      </c>
      <c r="V37" s="1654">
        <f>VLOOKUP($C37,'Insumos testigos '!$B$5:$HN$209,194,FALSE)</f>
        <v>104.98243457955867</v>
      </c>
      <c r="W37" s="1654">
        <f>VLOOKUP($C37,'Insumos testigos '!$B$5:$HN$209,195,FALSE)</f>
        <v>107.00232392934187</v>
      </c>
      <c r="X37" s="1654">
        <f>VLOOKUP($C37,'Insumos testigos '!$B$5:$HN$209,196,FALSE)</f>
        <v>107.00232392934187</v>
      </c>
      <c r="Y37" s="1654">
        <f>VLOOKUP($C37,'Insumos testigos '!$B$5:$HN$209,197,FALSE)</f>
        <v>104.77104455472117</v>
      </c>
      <c r="Z37" s="1654">
        <f>VLOOKUP($C37,'Insumos testigos '!$B$5:$HN$209,198,FALSE)</f>
        <v>105.09282871627788</v>
      </c>
      <c r="AA37" s="1654">
        <f>VLOOKUP($C37,'Insumos testigos '!$B$5:$HN$209,199,FALSE)</f>
        <v>107.10627289761722</v>
      </c>
      <c r="AB37" s="1654">
        <f>VLOOKUP($C37,'Insumos testigos '!$B$5:$HN$209,200,FALSE)</f>
        <v>106.95489474626312</v>
      </c>
      <c r="AC37" s="1654">
        <f>VLOOKUP($C37,'Insumos testigos '!$B$5:$HN$209,201,FALSE)</f>
        <v>105.13775594603727</v>
      </c>
      <c r="AD37" s="1654">
        <f>VLOOKUP($C37,'Insumos testigos '!$B$5:$HN$209,202,FALSE)</f>
        <v>105.75051373471946</v>
      </c>
      <c r="AE37" s="1654">
        <f>VLOOKUP($C37,'Insumos testigos '!$B$5:$HN$209,203,FALSE)</f>
        <v>105.75051373471946</v>
      </c>
      <c r="AF37" s="1654">
        <f>VLOOKUP($C37,'Insumos testigos '!$B$5:$HN$209,204,FALSE)</f>
        <v>107.23313235503321</v>
      </c>
      <c r="AG37" s="1654">
        <f>VLOOKUP($C37,'Insumos testigos '!$B$5:$HN$209,205,FALSE)</f>
        <v>111.9519302426767</v>
      </c>
      <c r="AH37" s="1654">
        <f>VLOOKUP($C37,'Insumos testigos '!$B$5:$HN$209,206,FALSE)</f>
        <v>112.60663074148592</v>
      </c>
      <c r="AI37" s="1654">
        <f>VLOOKUP($C37,'Insumos testigos '!$B$5:$HN$209,207,FALSE)</f>
        <v>116.95284036710805</v>
      </c>
      <c r="AJ37" s="1654">
        <f>VLOOKUP($C37,'Insumos testigos '!$B$5:$HN$209,208,FALSE)</f>
        <v>117.78894795368926</v>
      </c>
      <c r="AK37" s="1654">
        <f>VLOOKUP($C37,'Insumos testigos '!$B$5:$HN$209,209,FALSE)</f>
        <v>123.83596386075658</v>
      </c>
      <c r="AL37" s="1654">
        <f>VLOOKUP($C37,'Insumos testigos '!$B$5:$HN$209,210,FALSE)</f>
        <v>137.3951224189295</v>
      </c>
      <c r="AM37" s="1654">
        <f>VLOOKUP($C37,'Insumos testigos '!$B$5:$HN$209,211,FALSE)</f>
        <v>138.24675171040258</v>
      </c>
      <c r="AN37" s="1654">
        <f>VLOOKUP($C37,'Insumos testigos '!$B$5:$HN$209,212,FALSE)</f>
        <v>150.63277329911432</v>
      </c>
      <c r="AO37" s="1654">
        <f>VLOOKUP($C37,'Insumos testigos '!$B$5:$HN$209,213,FALSE)</f>
        <v>165.45999679374302</v>
      </c>
      <c r="AP37" s="1654">
        <f>VLOOKUP($C37,'Insumos testigos '!$B$5:$HN$209,214,FALSE)</f>
        <v>159.94466356728489</v>
      </c>
      <c r="AQ37" s="1654">
        <f>VLOOKUP($C37,'Insumos testigos '!$B$5:$HN$209,215,FALSE)</f>
        <v>167.83749422373836</v>
      </c>
      <c r="AR37" s="1654">
        <f>VLOOKUP($C37,'Insumos testigos '!$B$5:$HN$209,216,FALSE)</f>
        <v>162.84266422532858</v>
      </c>
      <c r="AS37" s="1654">
        <f>VLOOKUP($C37,'Insumos testigos '!$B$5:$HN$209,217,FALSE)</f>
        <v>170.92279010245414</v>
      </c>
      <c r="AT37" s="1654">
        <f>VLOOKUP($C37,'Insumos testigos '!$B$5:$HN$209,218,FALSE)</f>
        <v>176.60922768425723</v>
      </c>
      <c r="AU37" s="1654">
        <f>VLOOKUP($C37,'Insumos testigos '!$B$5:$HN$209,219,FALSE)</f>
        <v>206.87789309674503</v>
      </c>
      <c r="AV37" s="1654">
        <f>VLOOKUP($C37,'Insumos testigos '!$B$5:$HN$209,220,FALSE)</f>
        <v>211.9846407774192</v>
      </c>
      <c r="AW37" s="1654">
        <f>VLOOKUP($C37,'Insumos testigos '!$B$5:$HN$209,221,FALSE)</f>
        <v>209.09801698857638</v>
      </c>
      <c r="AX37" s="1654">
        <f>VLOOKUP($C37,'Insumos testigos '!$B$5:$HO$209,222,FALSE)</f>
        <v>224.77058829986191</v>
      </c>
      <c r="AY37" s="1654">
        <f>VLOOKUP($C37,'Insumos testigos '!$B$5:$JL$209,223,FALSE)</f>
        <v>232.86595274102669</v>
      </c>
      <c r="AZ37" s="1654">
        <f>VLOOKUP($C37,'Insumos testigos '!$B$5:$JL$209,224,FALSE)</f>
        <v>265.1192747339752</v>
      </c>
      <c r="BA37" s="1654">
        <f>VLOOKUP($C37,'Insumos testigos '!$B$5:$JL$209,225,FALSE)</f>
        <v>266.77621044472806</v>
      </c>
      <c r="BB37" s="1654">
        <f>VLOOKUP($C37,'Insumos testigos '!$B$5:$JL$209,226,FALSE)</f>
        <v>295.2940593840072</v>
      </c>
      <c r="BC37" s="1654">
        <f>VLOOKUP($C37,'Insumos testigos '!$B$5:$JL$209,227,FALSE)</f>
        <v>294.31923051350168</v>
      </c>
      <c r="BD37" s="1654">
        <f>VLOOKUP($C37,'Insumos testigos '!$B$5:$JL$209,228,FALSE)</f>
        <v>296.18092609341863</v>
      </c>
      <c r="BE37" s="1654">
        <f>VLOOKUP($C37,'Insumos testigos '!$B$5:$JL$209,229,FALSE)</f>
        <v>299.74427085486985</v>
      </c>
      <c r="BF37" s="1654">
        <f>VLOOKUP($C37,'Insumos testigos '!$B$5:$JL$209,230,FALSE)</f>
        <v>299.74427085486985</v>
      </c>
      <c r="BG37" s="1654">
        <f>VLOOKUP($C37,'Insumos testigos '!$B$5:$JL$209,231,FALSE)</f>
        <v>304.73197238501683</v>
      </c>
      <c r="BH37" s="1654">
        <f>VLOOKUP($C37,'Insumos testigos '!$B$5:$JL$209,232,FALSE)</f>
        <v>314.37546909520654</v>
      </c>
      <c r="BI37" s="1654">
        <f>VLOOKUP($C37,'Insumos testigos '!$B$5:$JL$209,233,FALSE)</f>
        <v>319.36112438198523</v>
      </c>
      <c r="BJ37" s="1654">
        <f>VLOOKUP($C37,'Insumos testigos '!$B$5:$JL$209,234,FALSE)</f>
        <v>323.59865004038352</v>
      </c>
      <c r="BK37" s="1654">
        <f>VLOOKUP($C37,'Insumos testigos '!$B$5:$JL$209,235,FALSE)</f>
        <v>337.6613102635535</v>
      </c>
      <c r="BL37" s="1654">
        <f>VLOOKUP($C37,'Insumos testigos '!$B$5:$JL$209,236,FALSE)</f>
        <v>341.0593744244415</v>
      </c>
      <c r="BM37" s="1654">
        <f>VLOOKUP($C37,'Insumos testigos '!$B$5:$JL$209,237,FALSE)</f>
        <v>358.4090488724139</v>
      </c>
      <c r="BN37" s="1654">
        <f>VLOOKUP($C37,'Insumos testigos '!$B$5:$JL$209,238,FALSE)</f>
        <v>405.65037729939058</v>
      </c>
      <c r="BO37" s="1654">
        <f>VLOOKUP($C37,'Insumos testigos '!$B$5:$JL$209,239,FALSE)</f>
        <v>432.7427195343933</v>
      </c>
      <c r="BP37" s="1654">
        <f>VLOOKUP($C37,'Insumos testigos '!$B$5:$JL$209,240,FALSE)</f>
        <v>447.12251617100156</v>
      </c>
      <c r="BQ37" s="1654">
        <f>VLOOKUP($C37,'Insumos testigos '!$B$5:$JL$209,241,FALSE)</f>
        <v>473.43848108799341</v>
      </c>
      <c r="BR37" s="1654">
        <f>VLOOKUP($C37,'Insumos testigos '!$B$5:$JL$209,242,FALSE)</f>
        <v>483.66356156541616</v>
      </c>
      <c r="BS37" s="1654">
        <f>VLOOKUP($C37,'Insumos testigos '!$B$5:$JL$209,243,FALSE)</f>
        <v>512.36608024844611</v>
      </c>
      <c r="BT37" s="1654">
        <f>VLOOKUP($C37,'Insumos testigos '!$B$5:$JL$209,244,FALSE)</f>
        <v>575.01633344439688</v>
      </c>
      <c r="BU37" s="1654">
        <f>VLOOKUP($C37,'Insumos testigos '!$B$5:$JL$209,245,FALSE)</f>
        <v>605.0745248235844</v>
      </c>
      <c r="BV37" s="1654">
        <f>VLOOKUP($C37,'Insumos testigos '!$B$5:$JL$209,246,FALSE)</f>
        <v>627.13031237905818</v>
      </c>
      <c r="BW37" s="1654">
        <f>VLOOKUP($C37,'Insumos testigos '!$B$5:$JL$209,247,FALSE)</f>
        <v>646.9769565365076</v>
      </c>
      <c r="BX37" s="1654">
        <f>VLOOKUP($C37,'Insumos testigos '!$B$5:$JL$209,248,FALSE)</f>
        <v>677.00552933820745</v>
      </c>
      <c r="BY37" s="1654">
        <f>VLOOKUP($C37,'Insumos testigos '!$B$5:$JL$209,249,FALSE)</f>
        <v>708.8934131810887</v>
      </c>
      <c r="BZ37" s="1654">
        <f>VLOOKUP($C37,'Insumos testigos '!$B$5:$JL$209,250,FALSE)</f>
        <v>734.18011382486691</v>
      </c>
      <c r="CA37" s="1654">
        <f>VLOOKUP($C37,'Insumos testigos '!$B$5:$JL$209,251,FALSE)</f>
        <v>750.51871857385174</v>
      </c>
      <c r="CB37" s="1654">
        <f>VLOOKUP($C37,'Insumos testigos '!$B$5:$JL$209,252,FALSE)</f>
        <v>777.75242693655582</v>
      </c>
      <c r="CC37" s="1654">
        <f>VLOOKUP($C37,'Insumos testigos '!$B$5:$JL$209,253,FALSE)</f>
        <v>812.18367736544815</v>
      </c>
      <c r="CD37" s="1654">
        <f>VLOOKUP($C37,'Insumos testigos '!$B$5:$JL$209,254,FALSE)</f>
        <v>839.95700658058286</v>
      </c>
      <c r="CE37" s="1654">
        <f>VLOOKUP($C37,'Insumos testigos '!$B$5:$JL$209,255,FALSE)</f>
        <v>841.93911480071915</v>
      </c>
      <c r="CF37" s="1654">
        <f>VLOOKUP($C37,'Insumos testigos '!$B$5:$JL$209,256,FALSE)</f>
        <v>900.24293683628241</v>
      </c>
      <c r="CG37" s="1654">
        <f>VLOOKUP($C37,'Insumos testigos '!$B$5:$JL$209,257,FALSE)</f>
        <v>943.91068349791635</v>
      </c>
      <c r="CH37" s="1654">
        <f>VLOOKUP($C37,'Insumos testigos '!$B$5:$JL$209,258,FALSE)</f>
        <v>1119.2629996899525</v>
      </c>
      <c r="CI37" s="1654">
        <f>VLOOKUP($C37,'Insumos testigos '!$B$5:$JL$209,259,FALSE)</f>
        <v>1207.6827123941575</v>
      </c>
      <c r="CJ37" s="1654">
        <f>VLOOKUP($C37,'Insumos testigos '!$B$5:$JL$209,260,FALSE)</f>
        <v>1269.6800571397494</v>
      </c>
      <c r="CK37" s="1654">
        <f>VLOOKUP($C37,'Insumos testigos '!$B$5:$JL$209,261,FALSE)</f>
        <v>1356.5630510733135</v>
      </c>
      <c r="CL37" s="1654">
        <f>VLOOKUP($C37,'Insumos testigos '!$B$5:$JL$209,262,FALSE)</f>
        <v>1403.262362811806</v>
      </c>
      <c r="CM37" s="1654">
        <f>VLOOKUP($C37,'Insumos testigos '!$B$5:$JL$209,263,FALSE)</f>
        <v>1523.796800492217</v>
      </c>
      <c r="CN37" s="1654">
        <f>VLOOKUP($C37,'Insumos testigos '!$B$5:$JL$209,264,FALSE)</f>
        <v>1581.9211561600441</v>
      </c>
      <c r="CO37" s="1654">
        <f>VLOOKUP($C37,'Insumos testigos '!$B$5:$JL$209,265,FALSE)</f>
        <v>1647.0448905139251</v>
      </c>
    </row>
    <row r="38" spans="2:93">
      <c r="B38" s="1651" t="s">
        <v>1082</v>
      </c>
      <c r="C38" s="1652">
        <v>109</v>
      </c>
      <c r="D38" s="1653">
        <v>1.2375632228626482E-3</v>
      </c>
      <c r="E38" s="1654">
        <v>1581.9</v>
      </c>
      <c r="F38" s="1654">
        <v>1853.9512866941311</v>
      </c>
      <c r="G38" s="1654">
        <v>2043.9863060466128</v>
      </c>
      <c r="H38" s="1654">
        <f>VLOOKUP($C38,'Insumos testigos '!$B$5:$HN$209,180,FALSE)</f>
        <v>100</v>
      </c>
      <c r="I38" s="1654">
        <f>VLOOKUP($C38,'Insumos testigos '!$B$5:$HN$209,181,FALSE)</f>
        <v>106.75621032714844</v>
      </c>
      <c r="J38" s="1654">
        <f>VLOOKUP($C38,'Insumos testigos '!$B$5:$HN$209,182,FALSE)</f>
        <v>110.54206501967201</v>
      </c>
      <c r="K38" s="1654">
        <f>VLOOKUP($C38,'Insumos testigos '!$B$5:$HN$209,183,FALSE)</f>
        <v>113.79800974460439</v>
      </c>
      <c r="L38" s="1654">
        <f>VLOOKUP($C38,'Insumos testigos '!$B$5:$HN$209,184,FALSE)</f>
        <v>117.49259563560132</v>
      </c>
      <c r="M38" s="1654">
        <f>VLOOKUP($C38,'Insumos testigos '!$B$5:$HN$209,185,FALSE)</f>
        <v>119.9629967469194</v>
      </c>
      <c r="N38" s="1654">
        <f>VLOOKUP($C38,'Insumos testigos '!$B$5:$HN$209,186,FALSE)</f>
        <v>121.99771515790587</v>
      </c>
      <c r="O38" s="1654">
        <f>VLOOKUP($C38,'Insumos testigos '!$B$5:$HN$209,187,FALSE)</f>
        <v>120.24575395583817</v>
      </c>
      <c r="P38" s="1654">
        <f>VLOOKUP($C38,'Insumos testigos '!$B$5:$HN$209,188,FALSE)</f>
        <v>120.71727006800164</v>
      </c>
      <c r="Q38" s="1654">
        <f>VLOOKUP($C38,'Insumos testigos '!$B$5:$HN$209,189,FALSE)</f>
        <v>122.4300848324183</v>
      </c>
      <c r="R38" s="1654">
        <f>VLOOKUP($C38,'Insumos testigos '!$B$5:$HN$209,190,FALSE)</f>
        <v>122.74600394751852</v>
      </c>
      <c r="S38" s="1654">
        <f>VLOOKUP($C38,'Insumos testigos '!$B$5:$HN$209,191,FALSE)</f>
        <v>122.74600394751852</v>
      </c>
      <c r="T38" s="1654">
        <f>VLOOKUP($C38,'Insumos testigos '!$B$5:$HN$209,192,FALSE)</f>
        <v>122.69968488296146</v>
      </c>
      <c r="U38" s="1654">
        <f>VLOOKUP($C38,'Insumos testigos '!$B$5:$HN$209,193,FALSE)</f>
        <v>124.78763701017829</v>
      </c>
      <c r="V38" s="1654">
        <f>VLOOKUP($C38,'Insumos testigos '!$B$5:$HN$209,194,FALSE)</f>
        <v>125.88261824962173</v>
      </c>
      <c r="W38" s="1654">
        <f>VLOOKUP($C38,'Insumos testigos '!$B$5:$HN$209,195,FALSE)</f>
        <v>127.48013717151935</v>
      </c>
      <c r="X38" s="1654">
        <f>VLOOKUP($C38,'Insumos testigos '!$B$5:$HN$209,196,FALSE)</f>
        <v>128.20742641959896</v>
      </c>
      <c r="Y38" s="1654">
        <f>VLOOKUP($C38,'Insumos testigos '!$B$5:$HN$209,197,FALSE)</f>
        <v>129.32601168812315</v>
      </c>
      <c r="Z38" s="1654">
        <f>VLOOKUP($C38,'Insumos testigos '!$B$5:$HN$209,198,FALSE)</f>
        <v>131.39401413642364</v>
      </c>
      <c r="AA38" s="1654">
        <f>VLOOKUP($C38,'Insumos testigos '!$B$5:$HN$209,199,FALSE)</f>
        <v>132.19209503474181</v>
      </c>
      <c r="AB38" s="1654">
        <f>VLOOKUP($C38,'Insumos testigos '!$B$5:$HN$209,200,FALSE)</f>
        <v>132.9550282995948</v>
      </c>
      <c r="AC38" s="1654">
        <f>VLOOKUP($C38,'Insumos testigos '!$B$5:$HN$209,201,FALSE)</f>
        <v>133.18476643197656</v>
      </c>
      <c r="AD38" s="1654">
        <f>VLOOKUP($C38,'Insumos testigos '!$B$5:$HN$209,202,FALSE)</f>
        <v>134.18327812136215</v>
      </c>
      <c r="AE38" s="1654">
        <f>VLOOKUP($C38,'Insumos testigos '!$B$5:$HN$209,203,FALSE)</f>
        <v>137.08408537537554</v>
      </c>
      <c r="AF38" s="1654">
        <f>VLOOKUP($C38,'Insumos testigos '!$B$5:$HN$209,204,FALSE)</f>
        <v>137.96500086293258</v>
      </c>
      <c r="AG38" s="1654">
        <f>VLOOKUP($C38,'Insumos testigos '!$B$5:$HN$209,205,FALSE)</f>
        <v>142.17183895939937</v>
      </c>
      <c r="AH38" s="1654">
        <f>VLOOKUP($C38,'Insumos testigos '!$B$5:$HN$209,206,FALSE)</f>
        <v>143.89962360766472</v>
      </c>
      <c r="AI38" s="1654">
        <f>VLOOKUP($C38,'Insumos testigos '!$B$5:$HN$209,207,FALSE)</f>
        <v>151.24401076360115</v>
      </c>
      <c r="AJ38" s="1654">
        <f>VLOOKUP($C38,'Insumos testigos '!$B$5:$HN$209,208,FALSE)</f>
        <v>152.40625873917159</v>
      </c>
      <c r="AK38" s="1654">
        <f>VLOOKUP($C38,'Insumos testigos '!$B$5:$HN$209,209,FALSE)</f>
        <v>157.59897844058318</v>
      </c>
      <c r="AL38" s="1654">
        <f>VLOOKUP($C38,'Insumos testigos '!$B$5:$HN$209,210,FALSE)</f>
        <v>159.83975399685983</v>
      </c>
      <c r="AM38" s="1654">
        <f>VLOOKUP($C38,'Insumos testigos '!$B$5:$HN$209,211,FALSE)</f>
        <v>160.70749939085491</v>
      </c>
      <c r="AN38" s="1654">
        <f>VLOOKUP($C38,'Insumos testigos '!$B$5:$HN$209,212,FALSE)</f>
        <v>190.43235426086932</v>
      </c>
      <c r="AO38" s="1654">
        <f>VLOOKUP($C38,'Insumos testigos '!$B$5:$HN$209,213,FALSE)</f>
        <v>204.36933912933728</v>
      </c>
      <c r="AP38" s="1654">
        <f>VLOOKUP($C38,'Insumos testigos '!$B$5:$HN$209,214,FALSE)</f>
        <v>207.78260121739402</v>
      </c>
      <c r="AQ38" s="1654">
        <f>VLOOKUP($C38,'Insumos testigos '!$B$5:$HN$209,215,FALSE)</f>
        <v>212.30730431788407</v>
      </c>
      <c r="AR38" s="1654">
        <f>VLOOKUP($C38,'Insumos testigos '!$B$5:$HN$209,216,FALSE)</f>
        <v>207.14447226934826</v>
      </c>
      <c r="AS38" s="1654">
        <f>VLOOKUP($C38,'Insumos testigos '!$B$5:$HN$209,217,FALSE)</f>
        <v>226.44580257398854</v>
      </c>
      <c r="AT38" s="1654">
        <f>VLOOKUP($C38,'Insumos testigos '!$B$5:$HN$209,218,FALSE)</f>
        <v>232.62894101815991</v>
      </c>
      <c r="AU38" s="1654">
        <f>VLOOKUP($C38,'Insumos testigos '!$B$5:$HN$209,219,FALSE)</f>
        <v>239.01617929768528</v>
      </c>
      <c r="AV38" s="1654">
        <f>VLOOKUP($C38,'Insumos testigos '!$B$5:$HN$209,220,FALSE)</f>
        <v>245.43367008370979</v>
      </c>
      <c r="AW38" s="1654">
        <f>VLOOKUP($C38,'Insumos testigos '!$B$5:$HN$209,221,FALSE)</f>
        <v>254.38001704138787</v>
      </c>
      <c r="AX38" s="1654">
        <f>VLOOKUP($C38,'Insumos testigos '!$B$5:$HO$209,222,FALSE)</f>
        <v>256.92817075174185</v>
      </c>
      <c r="AY38" s="1654">
        <f>VLOOKUP($C38,'Insumos testigos '!$B$5:$JL$209,223,FALSE)</f>
        <v>312.71661607817589</v>
      </c>
      <c r="AZ38" s="1654">
        <f>VLOOKUP($C38,'Insumos testigos '!$B$5:$JL$209,224,FALSE)</f>
        <v>323.39007025228562</v>
      </c>
      <c r="BA38" s="1654">
        <f>VLOOKUP($C38,'Insumos testigos '!$B$5:$JL$209,225,FALSE)</f>
        <v>296.10141329778025</v>
      </c>
      <c r="BB38" s="1654">
        <f>VLOOKUP($C38,'Insumos testigos '!$B$5:$JL$209,226,FALSE)</f>
        <v>300.93287943686909</v>
      </c>
      <c r="BC38" s="1654">
        <f>VLOOKUP($C38,'Insumos testigos '!$B$5:$JL$209,227,FALSE)</f>
        <v>302.90683327480417</v>
      </c>
      <c r="BD38" s="1654">
        <f>VLOOKUP($C38,'Insumos testigos '!$B$5:$JL$209,228,FALSE)</f>
        <v>313.079601422135</v>
      </c>
      <c r="BE38" s="1654">
        <f>VLOOKUP($C38,'Insumos testigos '!$B$5:$JL$209,229,FALSE)</f>
        <v>313.85907115880201</v>
      </c>
      <c r="BF38" s="1654">
        <f>VLOOKUP($C38,'Insumos testigos '!$B$5:$JL$209,230,FALSE)</f>
        <v>313.85907115880201</v>
      </c>
      <c r="BG38" s="1654">
        <f>VLOOKUP($C38,'Insumos testigos '!$B$5:$JL$209,231,FALSE)</f>
        <v>313.85907115880201</v>
      </c>
      <c r="BH38" s="1654">
        <f>VLOOKUP($C38,'Insumos testigos '!$B$5:$JL$209,232,FALSE)</f>
        <v>313.85907115880201</v>
      </c>
      <c r="BI38" s="1654">
        <f>VLOOKUP($C38,'Insumos testigos '!$B$5:$JL$209,233,FALSE)</f>
        <v>313.85907115880201</v>
      </c>
      <c r="BJ38" s="1654">
        <f>VLOOKUP($C38,'Insumos testigos '!$B$5:$JL$209,234,FALSE)</f>
        <v>313.85907115880201</v>
      </c>
      <c r="BK38" s="1654">
        <f>VLOOKUP($C38,'Insumos testigos '!$B$5:$JL$209,235,FALSE)</f>
        <v>329.31286141793544</v>
      </c>
      <c r="BL38" s="1654">
        <f>VLOOKUP($C38,'Insumos testigos '!$B$5:$JL$209,236,FALSE)</f>
        <v>337.59047641044327</v>
      </c>
      <c r="BM38" s="1654">
        <f>VLOOKUP($C38,'Insumos testigos '!$B$5:$JL$209,237,FALSE)</f>
        <v>363.57300118626767</v>
      </c>
      <c r="BN38" s="1654">
        <f>VLOOKUP($C38,'Insumos testigos '!$B$5:$JL$209,238,FALSE)</f>
        <v>398.83735562780373</v>
      </c>
      <c r="BO38" s="1654">
        <f>VLOOKUP($C38,'Insumos testigos '!$B$5:$JL$209,239,FALSE)</f>
        <v>418.98905469047708</v>
      </c>
      <c r="BP38" s="1654">
        <f>VLOOKUP($C38,'Insumos testigos '!$B$5:$JL$209,240,FALSE)</f>
        <v>466.39639127322891</v>
      </c>
      <c r="BQ38" s="1654">
        <f>VLOOKUP($C38,'Insumos testigos '!$B$5:$JL$209,241,FALSE)</f>
        <v>524.03660900620162</v>
      </c>
      <c r="BR38" s="1654">
        <f>VLOOKUP($C38,'Insumos testigos '!$B$5:$JL$209,242,FALSE)</f>
        <v>540.72989325650349</v>
      </c>
      <c r="BS38" s="1654">
        <f>VLOOKUP($C38,'Insumos testigos '!$B$5:$JL$209,243,FALSE)</f>
        <v>573.84987512278724</v>
      </c>
      <c r="BT38" s="1654">
        <f>VLOOKUP($C38,'Insumos testigos '!$B$5:$JL$209,244,FALSE)</f>
        <v>584.74439720243038</v>
      </c>
      <c r="BU38" s="1654">
        <f>VLOOKUP($C38,'Insumos testigos '!$B$5:$JL$209,245,FALSE)</f>
        <v>595.29144973810719</v>
      </c>
      <c r="BV38" s="1654">
        <f>VLOOKUP($C38,'Insumos testigos '!$B$5:$JL$209,246,FALSE)</f>
        <v>614.99670515106243</v>
      </c>
      <c r="BW38" s="1654">
        <f>VLOOKUP($C38,'Insumos testigos '!$B$5:$JL$209,247,FALSE)</f>
        <v>620.63754208131172</v>
      </c>
      <c r="BX38" s="1654">
        <f>VLOOKUP($C38,'Insumos testigos '!$B$5:$JL$209,248,FALSE)</f>
        <v>643.93751668612833</v>
      </c>
      <c r="BY38" s="1654">
        <f>VLOOKUP($C38,'Insumos testigos '!$B$5:$JL$209,249,FALSE)</f>
        <v>660.03600809087197</v>
      </c>
      <c r="BZ38" s="1654">
        <f>VLOOKUP($C38,'Insumos testigos '!$B$5:$JL$209,250,FALSE)</f>
        <v>699.7868966901475</v>
      </c>
      <c r="CA38" s="1654">
        <f>VLOOKUP($C38,'Insumos testigos '!$B$5:$JL$209,251,FALSE)</f>
        <v>708.52997940193461</v>
      </c>
      <c r="CB38" s="1654">
        <f>VLOOKUP($C38,'Insumos testigos '!$B$5:$JL$209,252,FALSE)</f>
        <v>739.84789490800074</v>
      </c>
      <c r="CC38" s="1654">
        <f>VLOOKUP($C38,'Insumos testigos '!$B$5:$JL$209,253,FALSE)</f>
        <v>759.07609758355648</v>
      </c>
      <c r="CD38" s="1654">
        <f>VLOOKUP($C38,'Insumos testigos '!$B$5:$JL$209,254,FALSE)</f>
        <v>776.29825461466112</v>
      </c>
      <c r="CE38" s="1654">
        <f>VLOOKUP($C38,'Insumos testigos '!$B$5:$JL$209,255,FALSE)</f>
        <v>797.54408615662953</v>
      </c>
      <c r="CF38" s="1654">
        <f>VLOOKUP($C38,'Insumos testigos '!$B$5:$JL$209,256,FALSE)</f>
        <v>823.77174728647401</v>
      </c>
      <c r="CG38" s="1654">
        <f>VLOOKUP($C38,'Insumos testigos '!$B$5:$JL$209,257,FALSE)</f>
        <v>833.64304404372206</v>
      </c>
      <c r="CH38" s="1654">
        <f>VLOOKUP($C38,'Insumos testigos '!$B$5:$JL$209,258,FALSE)</f>
        <v>972.24822632087864</v>
      </c>
      <c r="CI38" s="1654">
        <f>VLOOKUP($C38,'Insumos testigos '!$B$5:$JL$209,259,FALSE)</f>
        <v>1015.0591231231066</v>
      </c>
      <c r="CJ38" s="1654">
        <f>VLOOKUP($C38,'Insumos testigos '!$B$5:$JL$209,260,FALSE)</f>
        <v>1032.0041061036777</v>
      </c>
      <c r="CK38" s="1654">
        <f>VLOOKUP($C38,'Insumos testigos '!$B$5:$JL$209,261,FALSE)</f>
        <v>1081.2513131938545</v>
      </c>
      <c r="CL38" s="1654">
        <f>VLOOKUP($C38,'Insumos testigos '!$B$5:$JL$209,262,FALSE)</f>
        <v>1130.7074162938002</v>
      </c>
      <c r="CM38" s="1654">
        <f>VLOOKUP($C38,'Insumos testigos '!$B$5:$JL$209,263,FALSE)</f>
        <v>1226.1541830415269</v>
      </c>
      <c r="CN38" s="1654">
        <f>VLOOKUP($C38,'Insumos testigos '!$B$5:$JL$209,264,FALSE)</f>
        <v>1324.9830665940715</v>
      </c>
      <c r="CO38" s="1654">
        <f>VLOOKUP($C38,'Insumos testigos '!$B$5:$JL$209,265,FALSE)</f>
        <v>1440.3322694725837</v>
      </c>
    </row>
    <row r="39" spans="2:93">
      <c r="B39" s="1651" t="s">
        <v>1083</v>
      </c>
      <c r="C39" s="1652">
        <v>76</v>
      </c>
      <c r="D39" s="1653">
        <v>1.6345021021692691E-3</v>
      </c>
      <c r="E39" s="1654">
        <v>1167.0999999999999</v>
      </c>
      <c r="F39" s="1654">
        <v>1287.0726166006307</v>
      </c>
      <c r="G39" s="1654">
        <v>1419.420213142952</v>
      </c>
      <c r="H39" s="1654">
        <f>VLOOKUP($C39,'Insumos testigos '!$B$5:$HN$209,180,FALSE)</f>
        <v>100</v>
      </c>
      <c r="I39" s="1654">
        <f>VLOOKUP($C39,'Insumos testigos '!$B$5:$HN$209,181,FALSE)</f>
        <v>101.88466310501099</v>
      </c>
      <c r="J39" s="1654">
        <f>VLOOKUP($C39,'Insumos testigos '!$B$5:$HN$209,182,FALSE)</f>
        <v>102.87983699331704</v>
      </c>
      <c r="K39" s="1654">
        <f>VLOOKUP($C39,'Insumos testigos '!$B$5:$HN$209,183,FALSE)</f>
        <v>100.35805942038905</v>
      </c>
      <c r="L39" s="1654">
        <f>VLOOKUP($C39,'Insumos testigos '!$B$5:$HN$209,184,FALSE)</f>
        <v>104.57232583231914</v>
      </c>
      <c r="M39" s="1654">
        <f>VLOOKUP($C39,'Insumos testigos '!$B$5:$HN$209,185,FALSE)</f>
        <v>105.17519370379159</v>
      </c>
      <c r="N39" s="1654">
        <f>VLOOKUP($C39,'Insumos testigos '!$B$5:$HN$209,186,FALSE)</f>
        <v>105.09753419820959</v>
      </c>
      <c r="O39" s="1654">
        <f>VLOOKUP($C39,'Insumos testigos '!$B$5:$HN$209,187,FALSE)</f>
        <v>106.35026915071649</v>
      </c>
      <c r="P39" s="1654">
        <f>VLOOKUP($C39,'Insumos testigos '!$B$5:$HN$209,188,FALSE)</f>
        <v>105.59650222629281</v>
      </c>
      <c r="Q39" s="1654">
        <f>VLOOKUP($C39,'Insumos testigos '!$B$5:$HN$209,189,FALSE)</f>
        <v>103.13972363442169</v>
      </c>
      <c r="R39" s="1654">
        <f>VLOOKUP($C39,'Insumos testigos '!$B$5:$HN$209,190,FALSE)</f>
        <v>102.89116975240317</v>
      </c>
      <c r="S39" s="1654">
        <f>VLOOKUP($C39,'Insumos testigos '!$B$5:$HN$209,191,FALSE)</f>
        <v>104.69770618097186</v>
      </c>
      <c r="T39" s="1654">
        <f>VLOOKUP($C39,'Insumos testigos '!$B$5:$HN$209,192,FALSE)</f>
        <v>105.50457393652647</v>
      </c>
      <c r="U39" s="1654">
        <f>VLOOKUP($C39,'Insumos testigos '!$B$5:$HN$209,193,FALSE)</f>
        <v>104.98243457955867</v>
      </c>
      <c r="V39" s="1654">
        <f>VLOOKUP($C39,'Insumos testigos '!$B$5:$HN$209,194,FALSE)</f>
        <v>104.98243457955867</v>
      </c>
      <c r="W39" s="1654">
        <f>VLOOKUP($C39,'Insumos testigos '!$B$5:$HN$209,195,FALSE)</f>
        <v>107.00232392934187</v>
      </c>
      <c r="X39" s="1654">
        <f>VLOOKUP($C39,'Insumos testigos '!$B$5:$HN$209,196,FALSE)</f>
        <v>107.00232392934187</v>
      </c>
      <c r="Y39" s="1654">
        <f>VLOOKUP($C39,'Insumos testigos '!$B$5:$HN$209,197,FALSE)</f>
        <v>104.77104455472117</v>
      </c>
      <c r="Z39" s="1654">
        <f>VLOOKUP($C39,'Insumos testigos '!$B$5:$HN$209,198,FALSE)</f>
        <v>105.09282871627788</v>
      </c>
      <c r="AA39" s="1654">
        <f>VLOOKUP($C39,'Insumos testigos '!$B$5:$HN$209,199,FALSE)</f>
        <v>107.10627289761722</v>
      </c>
      <c r="AB39" s="1654">
        <f>VLOOKUP($C39,'Insumos testigos '!$B$5:$HN$209,200,FALSE)</f>
        <v>106.95489474626312</v>
      </c>
      <c r="AC39" s="1654">
        <f>VLOOKUP($C39,'Insumos testigos '!$B$5:$HN$209,201,FALSE)</f>
        <v>105.13775594603727</v>
      </c>
      <c r="AD39" s="1654">
        <f>VLOOKUP($C39,'Insumos testigos '!$B$5:$HN$209,202,FALSE)</f>
        <v>105.75051373471946</v>
      </c>
      <c r="AE39" s="1654">
        <f>VLOOKUP($C39,'Insumos testigos '!$B$5:$HN$209,203,FALSE)</f>
        <v>105.75051373471946</v>
      </c>
      <c r="AF39" s="1654">
        <f>VLOOKUP($C39,'Insumos testigos '!$B$5:$HN$209,204,FALSE)</f>
        <v>107.23313235503321</v>
      </c>
      <c r="AG39" s="1654">
        <f>VLOOKUP($C39,'Insumos testigos '!$B$5:$HN$209,205,FALSE)</f>
        <v>111.9519302426767</v>
      </c>
      <c r="AH39" s="1654">
        <f>VLOOKUP($C39,'Insumos testigos '!$B$5:$HN$209,206,FALSE)</f>
        <v>112.60663074148592</v>
      </c>
      <c r="AI39" s="1654">
        <f>VLOOKUP($C39,'Insumos testigos '!$B$5:$HN$209,207,FALSE)</f>
        <v>116.95284036710805</v>
      </c>
      <c r="AJ39" s="1654">
        <f>VLOOKUP($C39,'Insumos testigos '!$B$5:$HN$209,208,FALSE)</f>
        <v>117.78894795368926</v>
      </c>
      <c r="AK39" s="1654">
        <f>VLOOKUP($C39,'Insumos testigos '!$B$5:$HN$209,209,FALSE)</f>
        <v>123.83596386075658</v>
      </c>
      <c r="AL39" s="1654">
        <f>VLOOKUP($C39,'Insumos testigos '!$B$5:$HN$209,210,FALSE)</f>
        <v>137.3951224189295</v>
      </c>
      <c r="AM39" s="1654">
        <f>VLOOKUP($C39,'Insumos testigos '!$B$5:$HN$209,211,FALSE)</f>
        <v>138.24675171040258</v>
      </c>
      <c r="AN39" s="1654">
        <f>VLOOKUP($C39,'Insumos testigos '!$B$5:$HN$209,212,FALSE)</f>
        <v>150.63277329911432</v>
      </c>
      <c r="AO39" s="1654">
        <f>VLOOKUP($C39,'Insumos testigos '!$B$5:$HN$209,213,FALSE)</f>
        <v>165.45999679374302</v>
      </c>
      <c r="AP39" s="1654">
        <f>VLOOKUP($C39,'Insumos testigos '!$B$5:$HN$209,214,FALSE)</f>
        <v>159.94466356728489</v>
      </c>
      <c r="AQ39" s="1654">
        <f>VLOOKUP($C39,'Insumos testigos '!$B$5:$HN$209,215,FALSE)</f>
        <v>167.83749422373836</v>
      </c>
      <c r="AR39" s="1654">
        <f>VLOOKUP($C39,'Insumos testigos '!$B$5:$HN$209,216,FALSE)</f>
        <v>162.84266422532858</v>
      </c>
      <c r="AS39" s="1654">
        <f>VLOOKUP($C39,'Insumos testigos '!$B$5:$HN$209,217,FALSE)</f>
        <v>170.92279010245414</v>
      </c>
      <c r="AT39" s="1654">
        <f>VLOOKUP($C39,'Insumos testigos '!$B$5:$HN$209,218,FALSE)</f>
        <v>176.60922768425723</v>
      </c>
      <c r="AU39" s="1654">
        <f>VLOOKUP($C39,'Insumos testigos '!$B$5:$HN$209,219,FALSE)</f>
        <v>206.87789309674503</v>
      </c>
      <c r="AV39" s="1654">
        <f>VLOOKUP($C39,'Insumos testigos '!$B$5:$HN$209,220,FALSE)</f>
        <v>211.9846407774192</v>
      </c>
      <c r="AW39" s="1654">
        <f>VLOOKUP($C39,'Insumos testigos '!$B$5:$HN$209,221,FALSE)</f>
        <v>209.09801698857638</v>
      </c>
      <c r="AX39" s="1654">
        <f>VLOOKUP($C39,'Insumos testigos '!$B$5:$HO$209,222,FALSE)</f>
        <v>224.77058829986191</v>
      </c>
      <c r="AY39" s="1654">
        <f>VLOOKUP($C39,'Insumos testigos '!$B$5:$JL$209,223,FALSE)</f>
        <v>232.86595274102669</v>
      </c>
      <c r="AZ39" s="1654">
        <f>VLOOKUP($C39,'Insumos testigos '!$B$5:$JL$209,224,FALSE)</f>
        <v>265.1192747339752</v>
      </c>
      <c r="BA39" s="1654">
        <f>VLOOKUP($C39,'Insumos testigos '!$B$5:$JL$209,225,FALSE)</f>
        <v>266.77621044472806</v>
      </c>
      <c r="BB39" s="1654">
        <f>VLOOKUP($C39,'Insumos testigos '!$B$5:$JL$209,226,FALSE)</f>
        <v>295.2940593840072</v>
      </c>
      <c r="BC39" s="1654">
        <f>VLOOKUP($C39,'Insumos testigos '!$B$5:$JL$209,227,FALSE)</f>
        <v>294.31923051350168</v>
      </c>
      <c r="BD39" s="1654">
        <f>VLOOKUP($C39,'Insumos testigos '!$B$5:$JL$209,228,FALSE)</f>
        <v>296.18092609341863</v>
      </c>
      <c r="BE39" s="1654">
        <f>VLOOKUP($C39,'Insumos testigos '!$B$5:$JL$209,229,FALSE)</f>
        <v>299.74427085486985</v>
      </c>
      <c r="BF39" s="1654">
        <f>VLOOKUP($C39,'Insumos testigos '!$B$5:$JL$209,230,FALSE)</f>
        <v>299.74427085486985</v>
      </c>
      <c r="BG39" s="1654">
        <f>VLOOKUP($C39,'Insumos testigos '!$B$5:$JL$209,231,FALSE)</f>
        <v>304.73197238501683</v>
      </c>
      <c r="BH39" s="1654">
        <f>VLOOKUP($C39,'Insumos testigos '!$B$5:$JL$209,232,FALSE)</f>
        <v>314.37546909520654</v>
      </c>
      <c r="BI39" s="1654">
        <f>VLOOKUP($C39,'Insumos testigos '!$B$5:$JL$209,233,FALSE)</f>
        <v>319.36112438198523</v>
      </c>
      <c r="BJ39" s="1654">
        <f>VLOOKUP($C39,'Insumos testigos '!$B$5:$JL$209,234,FALSE)</f>
        <v>323.59865004038352</v>
      </c>
      <c r="BK39" s="1654">
        <f>VLOOKUP($C39,'Insumos testigos '!$B$5:$JL$209,235,FALSE)</f>
        <v>337.6613102635535</v>
      </c>
      <c r="BL39" s="1654">
        <f>VLOOKUP($C39,'Insumos testigos '!$B$5:$JL$209,236,FALSE)</f>
        <v>341.0593744244415</v>
      </c>
      <c r="BM39" s="1654">
        <f>VLOOKUP($C39,'Insumos testigos '!$B$5:$JL$209,237,FALSE)</f>
        <v>358.4090488724139</v>
      </c>
      <c r="BN39" s="1654">
        <f>VLOOKUP($C39,'Insumos testigos '!$B$5:$JL$209,238,FALSE)</f>
        <v>405.65037729939058</v>
      </c>
      <c r="BO39" s="1654">
        <f>VLOOKUP($C39,'Insumos testigos '!$B$5:$JL$209,239,FALSE)</f>
        <v>432.7427195343933</v>
      </c>
      <c r="BP39" s="1654">
        <f>VLOOKUP($C39,'Insumos testigos '!$B$5:$JL$209,240,FALSE)</f>
        <v>447.12251617100156</v>
      </c>
      <c r="BQ39" s="1654">
        <f>VLOOKUP($C39,'Insumos testigos '!$B$5:$JL$209,241,FALSE)</f>
        <v>473.43848108799341</v>
      </c>
      <c r="BR39" s="1654">
        <f>VLOOKUP($C39,'Insumos testigos '!$B$5:$JL$209,242,FALSE)</f>
        <v>483.66356156541616</v>
      </c>
      <c r="BS39" s="1654">
        <f>VLOOKUP($C39,'Insumos testigos '!$B$5:$JL$209,243,FALSE)</f>
        <v>512.36608024844611</v>
      </c>
      <c r="BT39" s="1654">
        <f>VLOOKUP($C39,'Insumos testigos '!$B$5:$JL$209,244,FALSE)</f>
        <v>575.01633344439688</v>
      </c>
      <c r="BU39" s="1654">
        <f>VLOOKUP($C39,'Insumos testigos '!$B$5:$JL$209,245,FALSE)</f>
        <v>605.0745248235844</v>
      </c>
      <c r="BV39" s="1654">
        <f>VLOOKUP($C39,'Insumos testigos '!$B$5:$JL$209,246,FALSE)</f>
        <v>627.13031237905818</v>
      </c>
      <c r="BW39" s="1654">
        <f>VLOOKUP($C39,'Insumos testigos '!$B$5:$JL$209,247,FALSE)</f>
        <v>646.9769565365076</v>
      </c>
      <c r="BX39" s="1654">
        <f>VLOOKUP($C39,'Insumos testigos '!$B$5:$JL$209,248,FALSE)</f>
        <v>677.00552933820745</v>
      </c>
      <c r="BY39" s="1654">
        <f>VLOOKUP($C39,'Insumos testigos '!$B$5:$JL$209,249,FALSE)</f>
        <v>708.8934131810887</v>
      </c>
      <c r="BZ39" s="1654">
        <f>VLOOKUP($C39,'Insumos testigos '!$B$5:$JL$209,250,FALSE)</f>
        <v>734.18011382486691</v>
      </c>
      <c r="CA39" s="1654">
        <f>VLOOKUP($C39,'Insumos testigos '!$B$5:$JL$209,251,FALSE)</f>
        <v>750.51871857385174</v>
      </c>
      <c r="CB39" s="1654">
        <f>VLOOKUP($C39,'Insumos testigos '!$B$5:$JL$209,252,FALSE)</f>
        <v>777.75242693655582</v>
      </c>
      <c r="CC39" s="1654">
        <f>VLOOKUP($C39,'Insumos testigos '!$B$5:$JL$209,253,FALSE)</f>
        <v>812.18367736544815</v>
      </c>
      <c r="CD39" s="1654">
        <f>VLOOKUP($C39,'Insumos testigos '!$B$5:$JL$209,254,FALSE)</f>
        <v>839.95700658058286</v>
      </c>
      <c r="CE39" s="1654">
        <f>VLOOKUP($C39,'Insumos testigos '!$B$5:$JL$209,255,FALSE)</f>
        <v>841.93911480071915</v>
      </c>
      <c r="CF39" s="1654">
        <f>VLOOKUP($C39,'Insumos testigos '!$B$5:$JL$209,256,FALSE)</f>
        <v>900.24293683628241</v>
      </c>
      <c r="CG39" s="1654">
        <f>VLOOKUP($C39,'Insumos testigos '!$B$5:$JL$209,257,FALSE)</f>
        <v>943.91068349791635</v>
      </c>
      <c r="CH39" s="1654">
        <f>VLOOKUP($C39,'Insumos testigos '!$B$5:$JL$209,258,FALSE)</f>
        <v>1119.2629996899525</v>
      </c>
      <c r="CI39" s="1654">
        <f>VLOOKUP($C39,'Insumos testigos '!$B$5:$JL$209,259,FALSE)</f>
        <v>1207.6827123941575</v>
      </c>
      <c r="CJ39" s="1654">
        <f>VLOOKUP($C39,'Insumos testigos '!$B$5:$JL$209,260,FALSE)</f>
        <v>1269.6800571397494</v>
      </c>
      <c r="CK39" s="1654">
        <f>VLOOKUP($C39,'Insumos testigos '!$B$5:$JL$209,261,FALSE)</f>
        <v>1356.5630510733135</v>
      </c>
      <c r="CL39" s="1654">
        <f>VLOOKUP($C39,'Insumos testigos '!$B$5:$JL$209,262,FALSE)</f>
        <v>1403.262362811806</v>
      </c>
      <c r="CM39" s="1654">
        <f>VLOOKUP($C39,'Insumos testigos '!$B$5:$JL$209,263,FALSE)</f>
        <v>1523.796800492217</v>
      </c>
      <c r="CN39" s="1654">
        <f>VLOOKUP($C39,'Insumos testigos '!$B$5:$JL$209,264,FALSE)</f>
        <v>1581.9211561600441</v>
      </c>
      <c r="CO39" s="1654">
        <f>VLOOKUP($C39,'Insumos testigos '!$B$5:$JL$209,265,FALSE)</f>
        <v>1647.0448905139251</v>
      </c>
    </row>
    <row r="40" spans="2:93">
      <c r="B40" s="1651" t="s">
        <v>1084</v>
      </c>
      <c r="C40" s="1652">
        <v>76</v>
      </c>
      <c r="D40" s="1653">
        <v>9.343803619552218E-3</v>
      </c>
      <c r="E40" s="1654">
        <v>1167.0999999999999</v>
      </c>
      <c r="F40" s="1654">
        <v>1287.0726166006307</v>
      </c>
      <c r="G40" s="1654">
        <v>1419.420213142952</v>
      </c>
      <c r="H40" s="1654">
        <f>VLOOKUP($C40,'Insumos testigos '!$B$5:$HN$209,180,FALSE)</f>
        <v>100</v>
      </c>
      <c r="I40" s="1654">
        <f>VLOOKUP($C40,'Insumos testigos '!$B$5:$HN$209,181,FALSE)</f>
        <v>101.88466310501099</v>
      </c>
      <c r="J40" s="1654">
        <f>VLOOKUP($C40,'Insumos testigos '!$B$5:$HN$209,182,FALSE)</f>
        <v>102.87983699331704</v>
      </c>
      <c r="K40" s="1654">
        <f>VLOOKUP($C40,'Insumos testigos '!$B$5:$HN$209,183,FALSE)</f>
        <v>100.35805942038905</v>
      </c>
      <c r="L40" s="1654">
        <f>VLOOKUP($C40,'Insumos testigos '!$B$5:$HN$209,184,FALSE)</f>
        <v>104.57232583231914</v>
      </c>
      <c r="M40" s="1654">
        <f>VLOOKUP($C40,'Insumos testigos '!$B$5:$HN$209,185,FALSE)</f>
        <v>105.17519370379159</v>
      </c>
      <c r="N40" s="1654">
        <f>VLOOKUP($C40,'Insumos testigos '!$B$5:$HN$209,186,FALSE)</f>
        <v>105.09753419820959</v>
      </c>
      <c r="O40" s="1654">
        <f>VLOOKUP($C40,'Insumos testigos '!$B$5:$HN$209,187,FALSE)</f>
        <v>106.35026915071649</v>
      </c>
      <c r="P40" s="1654">
        <f>VLOOKUP($C40,'Insumos testigos '!$B$5:$HN$209,188,FALSE)</f>
        <v>105.59650222629281</v>
      </c>
      <c r="Q40" s="1654">
        <f>VLOOKUP($C40,'Insumos testigos '!$B$5:$HN$209,189,FALSE)</f>
        <v>103.13972363442169</v>
      </c>
      <c r="R40" s="1654">
        <f>VLOOKUP($C40,'Insumos testigos '!$B$5:$HN$209,190,FALSE)</f>
        <v>102.89116975240317</v>
      </c>
      <c r="S40" s="1654">
        <f>VLOOKUP($C40,'Insumos testigos '!$B$5:$HN$209,191,FALSE)</f>
        <v>104.69770618097186</v>
      </c>
      <c r="T40" s="1654">
        <f>VLOOKUP($C40,'Insumos testigos '!$B$5:$HN$209,192,FALSE)</f>
        <v>105.50457393652647</v>
      </c>
      <c r="U40" s="1654">
        <f>VLOOKUP($C40,'Insumos testigos '!$B$5:$HN$209,193,FALSE)</f>
        <v>104.98243457955867</v>
      </c>
      <c r="V40" s="1654">
        <f>VLOOKUP($C40,'Insumos testigos '!$B$5:$HN$209,194,FALSE)</f>
        <v>104.98243457955867</v>
      </c>
      <c r="W40" s="1654">
        <f>VLOOKUP($C40,'Insumos testigos '!$B$5:$HN$209,195,FALSE)</f>
        <v>107.00232392934187</v>
      </c>
      <c r="X40" s="1654">
        <f>VLOOKUP($C40,'Insumos testigos '!$B$5:$HN$209,196,FALSE)</f>
        <v>107.00232392934187</v>
      </c>
      <c r="Y40" s="1654">
        <f>VLOOKUP($C40,'Insumos testigos '!$B$5:$HN$209,197,FALSE)</f>
        <v>104.77104455472117</v>
      </c>
      <c r="Z40" s="1654">
        <f>VLOOKUP($C40,'Insumos testigos '!$B$5:$HN$209,198,FALSE)</f>
        <v>105.09282871627788</v>
      </c>
      <c r="AA40" s="1654">
        <f>VLOOKUP($C40,'Insumos testigos '!$B$5:$HN$209,199,FALSE)</f>
        <v>107.10627289761722</v>
      </c>
      <c r="AB40" s="1654">
        <f>VLOOKUP($C40,'Insumos testigos '!$B$5:$HN$209,200,FALSE)</f>
        <v>106.95489474626312</v>
      </c>
      <c r="AC40" s="1654">
        <f>VLOOKUP($C40,'Insumos testigos '!$B$5:$HN$209,201,FALSE)</f>
        <v>105.13775594603727</v>
      </c>
      <c r="AD40" s="1654">
        <f>VLOOKUP($C40,'Insumos testigos '!$B$5:$HN$209,202,FALSE)</f>
        <v>105.75051373471946</v>
      </c>
      <c r="AE40" s="1654">
        <f>VLOOKUP($C40,'Insumos testigos '!$B$5:$HN$209,203,FALSE)</f>
        <v>105.75051373471946</v>
      </c>
      <c r="AF40" s="1654">
        <f>VLOOKUP($C40,'Insumos testigos '!$B$5:$HN$209,204,FALSE)</f>
        <v>107.23313235503321</v>
      </c>
      <c r="AG40" s="1654">
        <f>VLOOKUP($C40,'Insumos testigos '!$B$5:$HN$209,205,FALSE)</f>
        <v>111.9519302426767</v>
      </c>
      <c r="AH40" s="1654">
        <f>VLOOKUP($C40,'Insumos testigos '!$B$5:$HN$209,206,FALSE)</f>
        <v>112.60663074148592</v>
      </c>
      <c r="AI40" s="1654">
        <f>VLOOKUP($C40,'Insumos testigos '!$B$5:$HN$209,207,FALSE)</f>
        <v>116.95284036710805</v>
      </c>
      <c r="AJ40" s="1654">
        <f>VLOOKUP($C40,'Insumos testigos '!$B$5:$HN$209,208,FALSE)</f>
        <v>117.78894795368926</v>
      </c>
      <c r="AK40" s="1654">
        <f>VLOOKUP($C40,'Insumos testigos '!$B$5:$HN$209,209,FALSE)</f>
        <v>123.83596386075658</v>
      </c>
      <c r="AL40" s="1654">
        <f>VLOOKUP($C40,'Insumos testigos '!$B$5:$HN$209,210,FALSE)</f>
        <v>137.3951224189295</v>
      </c>
      <c r="AM40" s="1654">
        <f>VLOOKUP($C40,'Insumos testigos '!$B$5:$HN$209,211,FALSE)</f>
        <v>138.24675171040258</v>
      </c>
      <c r="AN40" s="1654">
        <f>VLOOKUP($C40,'Insumos testigos '!$B$5:$HN$209,212,FALSE)</f>
        <v>150.63277329911432</v>
      </c>
      <c r="AO40" s="1654">
        <f>VLOOKUP($C40,'Insumos testigos '!$B$5:$HN$209,213,FALSE)</f>
        <v>165.45999679374302</v>
      </c>
      <c r="AP40" s="1654">
        <f>VLOOKUP($C40,'Insumos testigos '!$B$5:$HN$209,214,FALSE)</f>
        <v>159.94466356728489</v>
      </c>
      <c r="AQ40" s="1654">
        <f>VLOOKUP($C40,'Insumos testigos '!$B$5:$HN$209,215,FALSE)</f>
        <v>167.83749422373836</v>
      </c>
      <c r="AR40" s="1654">
        <f>VLOOKUP($C40,'Insumos testigos '!$B$5:$HN$209,216,FALSE)</f>
        <v>162.84266422532858</v>
      </c>
      <c r="AS40" s="1654">
        <f>VLOOKUP($C40,'Insumos testigos '!$B$5:$HN$209,217,FALSE)</f>
        <v>170.92279010245414</v>
      </c>
      <c r="AT40" s="1654">
        <f>VLOOKUP($C40,'Insumos testigos '!$B$5:$HN$209,218,FALSE)</f>
        <v>176.60922768425723</v>
      </c>
      <c r="AU40" s="1654">
        <f>VLOOKUP($C40,'Insumos testigos '!$B$5:$HN$209,219,FALSE)</f>
        <v>206.87789309674503</v>
      </c>
      <c r="AV40" s="1654">
        <f>VLOOKUP($C40,'Insumos testigos '!$B$5:$HN$209,220,FALSE)</f>
        <v>211.9846407774192</v>
      </c>
      <c r="AW40" s="1654">
        <f>VLOOKUP($C40,'Insumos testigos '!$B$5:$HN$209,221,FALSE)</f>
        <v>209.09801698857638</v>
      </c>
      <c r="AX40" s="1654">
        <f>VLOOKUP($C40,'Insumos testigos '!$B$5:$HO$209,222,FALSE)</f>
        <v>224.77058829986191</v>
      </c>
      <c r="AY40" s="1654">
        <f>VLOOKUP($C40,'Insumos testigos '!$B$5:$JL$209,223,FALSE)</f>
        <v>232.86595274102669</v>
      </c>
      <c r="AZ40" s="1654">
        <f>VLOOKUP($C40,'Insumos testigos '!$B$5:$JL$209,224,FALSE)</f>
        <v>265.1192747339752</v>
      </c>
      <c r="BA40" s="1654">
        <f>VLOOKUP($C40,'Insumos testigos '!$B$5:$JL$209,225,FALSE)</f>
        <v>266.77621044472806</v>
      </c>
      <c r="BB40" s="1654">
        <f>VLOOKUP($C40,'Insumos testigos '!$B$5:$JL$209,226,FALSE)</f>
        <v>295.2940593840072</v>
      </c>
      <c r="BC40" s="1654">
        <f>VLOOKUP($C40,'Insumos testigos '!$B$5:$JL$209,227,FALSE)</f>
        <v>294.31923051350168</v>
      </c>
      <c r="BD40" s="1654">
        <f>VLOOKUP($C40,'Insumos testigos '!$B$5:$JL$209,228,FALSE)</f>
        <v>296.18092609341863</v>
      </c>
      <c r="BE40" s="1654">
        <f>VLOOKUP($C40,'Insumos testigos '!$B$5:$JL$209,229,FALSE)</f>
        <v>299.74427085486985</v>
      </c>
      <c r="BF40" s="1654">
        <f>VLOOKUP($C40,'Insumos testigos '!$B$5:$JL$209,230,FALSE)</f>
        <v>299.74427085486985</v>
      </c>
      <c r="BG40" s="1654">
        <f>VLOOKUP($C40,'Insumos testigos '!$B$5:$JL$209,231,FALSE)</f>
        <v>304.73197238501683</v>
      </c>
      <c r="BH40" s="1654">
        <f>VLOOKUP($C40,'Insumos testigos '!$B$5:$JL$209,232,FALSE)</f>
        <v>314.37546909520654</v>
      </c>
      <c r="BI40" s="1654">
        <f>VLOOKUP($C40,'Insumos testigos '!$B$5:$JL$209,233,FALSE)</f>
        <v>319.36112438198523</v>
      </c>
      <c r="BJ40" s="1654">
        <f>VLOOKUP($C40,'Insumos testigos '!$B$5:$JL$209,234,FALSE)</f>
        <v>323.59865004038352</v>
      </c>
      <c r="BK40" s="1654">
        <f>VLOOKUP($C40,'Insumos testigos '!$B$5:$JL$209,235,FALSE)</f>
        <v>337.6613102635535</v>
      </c>
      <c r="BL40" s="1654">
        <f>VLOOKUP($C40,'Insumos testigos '!$B$5:$JL$209,236,FALSE)</f>
        <v>341.0593744244415</v>
      </c>
      <c r="BM40" s="1654">
        <f>VLOOKUP($C40,'Insumos testigos '!$B$5:$JL$209,237,FALSE)</f>
        <v>358.4090488724139</v>
      </c>
      <c r="BN40" s="1654">
        <f>VLOOKUP($C40,'Insumos testigos '!$B$5:$JL$209,238,FALSE)</f>
        <v>405.65037729939058</v>
      </c>
      <c r="BO40" s="1654">
        <f>VLOOKUP($C40,'Insumos testigos '!$B$5:$JL$209,239,FALSE)</f>
        <v>432.7427195343933</v>
      </c>
      <c r="BP40" s="1654">
        <f>VLOOKUP($C40,'Insumos testigos '!$B$5:$JL$209,240,FALSE)</f>
        <v>447.12251617100156</v>
      </c>
      <c r="BQ40" s="1654">
        <f>VLOOKUP($C40,'Insumos testigos '!$B$5:$JL$209,241,FALSE)</f>
        <v>473.43848108799341</v>
      </c>
      <c r="BR40" s="1654">
        <f>VLOOKUP($C40,'Insumos testigos '!$B$5:$JL$209,242,FALSE)</f>
        <v>483.66356156541616</v>
      </c>
      <c r="BS40" s="1654">
        <f>VLOOKUP($C40,'Insumos testigos '!$B$5:$JL$209,243,FALSE)</f>
        <v>512.36608024844611</v>
      </c>
      <c r="BT40" s="1654">
        <f>VLOOKUP($C40,'Insumos testigos '!$B$5:$JL$209,244,FALSE)</f>
        <v>575.01633344439688</v>
      </c>
      <c r="BU40" s="1654">
        <f>VLOOKUP($C40,'Insumos testigos '!$B$5:$JL$209,245,FALSE)</f>
        <v>605.0745248235844</v>
      </c>
      <c r="BV40" s="1654">
        <f>VLOOKUP($C40,'Insumos testigos '!$B$5:$JL$209,246,FALSE)</f>
        <v>627.13031237905818</v>
      </c>
      <c r="BW40" s="1654">
        <f>VLOOKUP($C40,'Insumos testigos '!$B$5:$JL$209,247,FALSE)</f>
        <v>646.9769565365076</v>
      </c>
      <c r="BX40" s="1654">
        <f>VLOOKUP($C40,'Insumos testigos '!$B$5:$JL$209,248,FALSE)</f>
        <v>677.00552933820745</v>
      </c>
      <c r="BY40" s="1654">
        <f>VLOOKUP($C40,'Insumos testigos '!$B$5:$JL$209,249,FALSE)</f>
        <v>708.8934131810887</v>
      </c>
      <c r="BZ40" s="1654">
        <f>VLOOKUP($C40,'Insumos testigos '!$B$5:$JL$209,250,FALSE)</f>
        <v>734.18011382486691</v>
      </c>
      <c r="CA40" s="1654">
        <f>VLOOKUP($C40,'Insumos testigos '!$B$5:$JL$209,251,FALSE)</f>
        <v>750.51871857385174</v>
      </c>
      <c r="CB40" s="1654">
        <f>VLOOKUP($C40,'Insumos testigos '!$B$5:$JL$209,252,FALSE)</f>
        <v>777.75242693655582</v>
      </c>
      <c r="CC40" s="1654">
        <f>VLOOKUP($C40,'Insumos testigos '!$B$5:$JL$209,253,FALSE)</f>
        <v>812.18367736544815</v>
      </c>
      <c r="CD40" s="1654">
        <f>VLOOKUP($C40,'Insumos testigos '!$B$5:$JL$209,254,FALSE)</f>
        <v>839.95700658058286</v>
      </c>
      <c r="CE40" s="1654">
        <f>VLOOKUP($C40,'Insumos testigos '!$B$5:$JL$209,255,FALSE)</f>
        <v>841.93911480071915</v>
      </c>
      <c r="CF40" s="1654">
        <f>VLOOKUP($C40,'Insumos testigos '!$B$5:$JL$209,256,FALSE)</f>
        <v>900.24293683628241</v>
      </c>
      <c r="CG40" s="1654">
        <f>VLOOKUP($C40,'Insumos testigos '!$B$5:$JL$209,257,FALSE)</f>
        <v>943.91068349791635</v>
      </c>
      <c r="CH40" s="1654">
        <f>VLOOKUP($C40,'Insumos testigos '!$B$5:$JL$209,258,FALSE)</f>
        <v>1119.2629996899525</v>
      </c>
      <c r="CI40" s="1654">
        <f>VLOOKUP($C40,'Insumos testigos '!$B$5:$JL$209,259,FALSE)</f>
        <v>1207.6827123941575</v>
      </c>
      <c r="CJ40" s="1654">
        <f>VLOOKUP($C40,'Insumos testigos '!$B$5:$JL$209,260,FALSE)</f>
        <v>1269.6800571397494</v>
      </c>
      <c r="CK40" s="1654">
        <f>VLOOKUP($C40,'Insumos testigos '!$B$5:$JL$209,261,FALSE)</f>
        <v>1356.5630510733135</v>
      </c>
      <c r="CL40" s="1654">
        <f>VLOOKUP($C40,'Insumos testigos '!$B$5:$JL$209,262,FALSE)</f>
        <v>1403.262362811806</v>
      </c>
      <c r="CM40" s="1654">
        <f>VLOOKUP($C40,'Insumos testigos '!$B$5:$JL$209,263,FALSE)</f>
        <v>1523.796800492217</v>
      </c>
      <c r="CN40" s="1654">
        <f>VLOOKUP($C40,'Insumos testigos '!$B$5:$JL$209,264,FALSE)</f>
        <v>1581.9211561600441</v>
      </c>
      <c r="CO40" s="1654">
        <f>VLOOKUP($C40,'Insumos testigos '!$B$5:$JL$209,265,FALSE)</f>
        <v>1647.0448905139251</v>
      </c>
    </row>
    <row r="41" spans="2:93">
      <c r="B41" s="1651" t="s">
        <v>1085</v>
      </c>
      <c r="C41" s="1652">
        <v>24</v>
      </c>
      <c r="D41" s="1653">
        <v>6.099846266799035E-3</v>
      </c>
      <c r="E41" s="1654">
        <v>1673.5</v>
      </c>
      <c r="F41" s="1654">
        <v>1673.5</v>
      </c>
      <c r="G41" s="1654">
        <v>1721.8312380043837</v>
      </c>
      <c r="H41" s="1654">
        <f>VLOOKUP($C41,'Insumos testigos '!$B$5:$HN$209,180,FALSE)</f>
        <v>100</v>
      </c>
      <c r="I41" s="1654">
        <f>VLOOKUP($C41,'Insumos testigos '!$B$5:$HN$209,181,FALSE)</f>
        <v>100.1292716598646</v>
      </c>
      <c r="J41" s="1654">
        <f>VLOOKUP($C41,'Insumos testigos '!$B$5:$HN$209,182,FALSE)</f>
        <v>100.45011788148179</v>
      </c>
      <c r="K41" s="1654">
        <f>VLOOKUP($C41,'Insumos testigos '!$B$5:$HN$209,183,FALSE)</f>
        <v>104.11020636741998</v>
      </c>
      <c r="L41" s="1654">
        <f>VLOOKUP($C41,'Insumos testigos '!$B$5:$HN$209,184,FALSE)</f>
        <v>113.39237928469683</v>
      </c>
      <c r="M41" s="1654">
        <f>VLOOKUP($C41,'Insumos testigos '!$B$5:$HN$209,185,FALSE)</f>
        <v>113.75274805200512</v>
      </c>
      <c r="N41" s="1654">
        <f>VLOOKUP($C41,'Insumos testigos '!$B$5:$HN$209,186,FALSE)</f>
        <v>118.26051395777128</v>
      </c>
      <c r="O41" s="1654">
        <f>VLOOKUP($C41,'Insumos testigos '!$B$5:$HN$209,187,FALSE)</f>
        <v>124.14909880361965</v>
      </c>
      <c r="P41" s="1654">
        <f>VLOOKUP($C41,'Insumos testigos '!$B$5:$HN$209,188,FALSE)</f>
        <v>127.54465952944892</v>
      </c>
      <c r="Q41" s="1654">
        <f>VLOOKUP($C41,'Insumos testigos '!$B$5:$HN$209,189,FALSE)</f>
        <v>128.31245837913013</v>
      </c>
      <c r="R41" s="1654">
        <f>VLOOKUP($C41,'Insumos testigos '!$B$5:$HN$209,190,FALSE)</f>
        <v>128.31159135883462</v>
      </c>
      <c r="S41" s="1654">
        <f>VLOOKUP($C41,'Insumos testigos '!$B$5:$HN$209,191,FALSE)</f>
        <v>128.3851472077597</v>
      </c>
      <c r="T41" s="1654">
        <f>VLOOKUP($C41,'Insumos testigos '!$B$5:$HN$209,192,FALSE)</f>
        <v>128.3851472077597</v>
      </c>
      <c r="U41" s="1654">
        <f>VLOOKUP($C41,'Insumos testigos '!$B$5:$HN$209,193,FALSE)</f>
        <v>128.74661382355936</v>
      </c>
      <c r="V41" s="1654">
        <f>VLOOKUP($C41,'Insumos testigos '!$B$5:$HN$209,194,FALSE)</f>
        <v>128.74661382355936</v>
      </c>
      <c r="W41" s="1654">
        <f>VLOOKUP($C41,'Insumos testigos '!$B$5:$HN$209,195,FALSE)</f>
        <v>128.74612254422783</v>
      </c>
      <c r="X41" s="1654">
        <f>VLOOKUP($C41,'Insumos testigos '!$B$5:$HN$209,196,FALSE)</f>
        <v>135.21156912740267</v>
      </c>
      <c r="Y41" s="1654">
        <f>VLOOKUP($C41,'Insumos testigos '!$B$5:$HN$209,197,FALSE)</f>
        <v>134.85010251160296</v>
      </c>
      <c r="Z41" s="1654">
        <f>VLOOKUP($C41,'Insumos testigos '!$B$5:$HN$209,198,FALSE)</f>
        <v>133.80714644475492</v>
      </c>
      <c r="AA41" s="1654">
        <f>VLOOKUP($C41,'Insumos testigos '!$B$5:$HN$209,199,FALSE)</f>
        <v>134.67636798783587</v>
      </c>
      <c r="AB41" s="1654">
        <f>VLOOKUP($C41,'Insumos testigos '!$B$5:$HN$209,200,FALSE)</f>
        <v>134.67636798783587</v>
      </c>
      <c r="AC41" s="1654">
        <f>VLOOKUP($C41,'Insumos testigos '!$B$5:$HN$209,201,FALSE)</f>
        <v>134.67636798783587</v>
      </c>
      <c r="AD41" s="1654">
        <f>VLOOKUP($C41,'Insumos testigos '!$B$5:$HN$209,202,FALSE)</f>
        <v>134.67636798783587</v>
      </c>
      <c r="AE41" s="1654">
        <f>VLOOKUP($C41,'Insumos testigos '!$B$5:$HN$209,203,FALSE)</f>
        <v>134.67636798783587</v>
      </c>
      <c r="AF41" s="1654">
        <f>VLOOKUP($C41,'Insumos testigos '!$B$5:$HN$209,204,FALSE)</f>
        <v>134.84763235249721</v>
      </c>
      <c r="AG41" s="1654">
        <f>VLOOKUP($C41,'Insumos testigos '!$B$5:$HN$209,205,FALSE)</f>
        <v>134.95357473191913</v>
      </c>
      <c r="AH41" s="1654">
        <f>VLOOKUP($C41,'Insumos testigos '!$B$5:$HN$209,206,FALSE)</f>
        <v>135.04469615670689</v>
      </c>
      <c r="AI41" s="1654">
        <f>VLOOKUP($C41,'Insumos testigos '!$B$5:$HN$209,207,FALSE)</f>
        <v>141.6458896165276</v>
      </c>
      <c r="AJ41" s="1654">
        <f>VLOOKUP($C41,'Insumos testigos '!$B$5:$HN$209,208,FALSE)</f>
        <v>145.08506551688893</v>
      </c>
      <c r="AK41" s="1654">
        <f>VLOOKUP($C41,'Insumos testigos '!$B$5:$HN$209,209,FALSE)</f>
        <v>142.51673709823223</v>
      </c>
      <c r="AL41" s="1654">
        <f>VLOOKUP($C41,'Insumos testigos '!$B$5:$HN$209,210,FALSE)</f>
        <v>151.60083803804883</v>
      </c>
      <c r="AM41" s="1654">
        <f>VLOOKUP($C41,'Insumos testigos '!$B$5:$HN$209,211,FALSE)</f>
        <v>159.40629618825466</v>
      </c>
      <c r="AN41" s="1654">
        <f>VLOOKUP($C41,'Insumos testigos '!$B$5:$HN$209,212,FALSE)</f>
        <v>159.40629618825466</v>
      </c>
      <c r="AO41" s="1654">
        <f>VLOOKUP($C41,'Insumos testigos '!$B$5:$HN$209,213,FALSE)</f>
        <v>159.40629618825466</v>
      </c>
      <c r="AP41" s="1654">
        <f>VLOOKUP($C41,'Insumos testigos '!$B$5:$HN$209,214,FALSE)</f>
        <v>159.40629618825466</v>
      </c>
      <c r="AQ41" s="1654">
        <f>VLOOKUP($C41,'Insumos testigos '!$B$5:$HN$209,215,FALSE)</f>
        <v>159.40629618825466</v>
      </c>
      <c r="AR41" s="1654">
        <f>VLOOKUP($C41,'Insumos testigos '!$B$5:$HN$209,216,FALSE)</f>
        <v>166.16199902875547</v>
      </c>
      <c r="AS41" s="1654">
        <f>VLOOKUP($C41,'Insumos testigos '!$B$5:$HN$209,217,FALSE)</f>
        <v>167.4477320949245</v>
      </c>
      <c r="AT41" s="1654">
        <f>VLOOKUP($C41,'Insumos testigos '!$B$5:$HN$209,218,FALSE)</f>
        <v>180.97182203426522</v>
      </c>
      <c r="AU41" s="1654">
        <f>VLOOKUP($C41,'Insumos testigos '!$B$5:$HN$209,219,FALSE)</f>
        <v>186.37898539414493</v>
      </c>
      <c r="AV41" s="1654">
        <f>VLOOKUP($C41,'Insumos testigos '!$B$5:$HN$209,220,FALSE)</f>
        <v>189.90724831001418</v>
      </c>
      <c r="AW41" s="1654">
        <f>VLOOKUP($C41,'Insumos testigos '!$B$5:$HN$209,221,FALSE)</f>
        <v>183.62812801659422</v>
      </c>
      <c r="AX41" s="1654">
        <f>VLOOKUP($C41,'Insumos testigos '!$B$5:$HO$209,222,FALSE)</f>
        <v>190.42912529821848</v>
      </c>
      <c r="AY41" s="1654">
        <f>VLOOKUP($C41,'Insumos testigos '!$B$5:$JL$209,223,FALSE)</f>
        <v>206.44080062226496</v>
      </c>
      <c r="AZ41" s="1654">
        <f>VLOOKUP($C41,'Insumos testigos '!$B$5:$JL$209,224,FALSE)</f>
        <v>237.3712914819252</v>
      </c>
      <c r="BA41" s="1654">
        <f>VLOOKUP($C41,'Insumos testigos '!$B$5:$JL$209,225,FALSE)</f>
        <v>239.41767532179563</v>
      </c>
      <c r="BB41" s="1654">
        <f>VLOOKUP($C41,'Insumos testigos '!$B$5:$JL$209,226,FALSE)</f>
        <v>259.0736854705562</v>
      </c>
      <c r="BC41" s="1654">
        <f>VLOOKUP($C41,'Insumos testigos '!$B$5:$JL$209,227,FALSE)</f>
        <v>256.37832407913425</v>
      </c>
      <c r="BD41" s="1654">
        <f>VLOOKUP($C41,'Insumos testigos '!$B$5:$JL$209,228,FALSE)</f>
        <v>252.20547960444168</v>
      </c>
      <c r="BE41" s="1654">
        <f>VLOOKUP($C41,'Insumos testigos '!$B$5:$JL$209,229,FALSE)</f>
        <v>253.16658719152039</v>
      </c>
      <c r="BF41" s="1654">
        <f>VLOOKUP($C41,'Insumos testigos '!$B$5:$JL$209,230,FALSE)</f>
        <v>253.16658719152039</v>
      </c>
      <c r="BG41" s="1654">
        <f>VLOOKUP($C41,'Insumos testigos '!$B$5:$JL$209,231,FALSE)</f>
        <v>264.13056806480057</v>
      </c>
      <c r="BH41" s="1654">
        <f>VLOOKUP($C41,'Insumos testigos '!$B$5:$JL$209,232,FALSE)</f>
        <v>307.72009000309561</v>
      </c>
      <c r="BI41" s="1654">
        <f>VLOOKUP($C41,'Insumos testigos '!$B$5:$JL$209,233,FALSE)</f>
        <v>314.32010971408988</v>
      </c>
      <c r="BJ41" s="1654">
        <f>VLOOKUP($C41,'Insumos testigos '!$B$5:$JL$209,234,FALSE)</f>
        <v>321.06168748905418</v>
      </c>
      <c r="BK41" s="1654">
        <f>VLOOKUP($C41,'Insumos testigos '!$B$5:$JL$209,235,FALSE)</f>
        <v>333.84198929053696</v>
      </c>
      <c r="BL41" s="1654">
        <f>VLOOKUP($C41,'Insumos testigos '!$B$5:$JL$209,236,FALSE)</f>
        <v>337.24717758130043</v>
      </c>
      <c r="BM41" s="1654">
        <f>VLOOKUP($C41,'Insumos testigos '!$B$5:$JL$209,237,FALSE)</f>
        <v>347.89619328759346</v>
      </c>
      <c r="BN41" s="1654">
        <f>VLOOKUP($C41,'Insumos testigos '!$B$5:$JL$209,238,FALSE)</f>
        <v>355.16722372730419</v>
      </c>
      <c r="BO41" s="1654">
        <f>VLOOKUP($C41,'Insumos testigos '!$B$5:$JL$209,239,FALSE)</f>
        <v>362.55033535000524</v>
      </c>
      <c r="BP41" s="1654">
        <f>VLOOKUP($C41,'Insumos testigos '!$B$5:$JL$209,240,FALSE)</f>
        <v>379.47621306662012</v>
      </c>
      <c r="BQ41" s="1654">
        <f>VLOOKUP($C41,'Insumos testigos '!$B$5:$JL$209,241,FALSE)</f>
        <v>387.81594191737292</v>
      </c>
      <c r="BR41" s="1654">
        <f>VLOOKUP($C41,'Insumos testigos '!$B$5:$JL$209,242,FALSE)</f>
        <v>386.7300572800043</v>
      </c>
      <c r="BS41" s="1654">
        <f>VLOOKUP($C41,'Insumos testigos '!$B$5:$JL$209,243,FALSE)</f>
        <v>392.82865838399346</v>
      </c>
      <c r="BT41" s="1654">
        <f>VLOOKUP($C41,'Insumos testigos '!$B$5:$JL$209,244,FALSE)</f>
        <v>405.77513949279995</v>
      </c>
      <c r="BU41" s="1654">
        <f>VLOOKUP($C41,'Insumos testigos '!$B$5:$JL$209,245,FALSE)</f>
        <v>429.15640683656363</v>
      </c>
      <c r="BV41" s="1654">
        <f>VLOOKUP($C41,'Insumos testigos '!$B$5:$JL$209,246,FALSE)</f>
        <v>438.51201650560074</v>
      </c>
      <c r="BW41" s="1654">
        <f>VLOOKUP($C41,'Insumos testigos '!$B$5:$JL$209,247,FALSE)</f>
        <v>440.66072538647819</v>
      </c>
      <c r="BX41" s="1654">
        <f>VLOOKUP($C41,'Insumos testigos '!$B$5:$JL$209,248,FALSE)</f>
        <v>451.94163995637206</v>
      </c>
      <c r="BY41" s="1654">
        <f>VLOOKUP($C41,'Insumos testigos '!$B$5:$JL$209,249,FALSE)</f>
        <v>458.04285209578308</v>
      </c>
      <c r="BZ41" s="1654">
        <f>VLOOKUP($C41,'Insumos testigos '!$B$5:$JL$209,250,FALSE)</f>
        <v>460.0582406450045</v>
      </c>
      <c r="CA41" s="1654">
        <f>VLOOKUP($C41,'Insumos testigos '!$B$5:$JL$209,251,FALSE)</f>
        <v>471.05363259642013</v>
      </c>
      <c r="CB41" s="1654">
        <f>VLOOKUP($C41,'Insumos testigos '!$B$5:$JL$209,252,FALSE)</f>
        <v>477.28791810857524</v>
      </c>
      <c r="CC41" s="1654">
        <f>VLOOKUP($C41,'Insumos testigos '!$B$5:$JL$209,253,FALSE)</f>
        <v>488.83828572680278</v>
      </c>
      <c r="CD41" s="1654">
        <f>VLOOKUP($C41,'Insumos testigos '!$B$5:$JL$209,254,FALSE)</f>
        <v>501.25477818426356</v>
      </c>
      <c r="CE41" s="1654">
        <f>VLOOKUP($C41,'Insumos testigos '!$B$5:$JL$209,255,FALSE)</f>
        <v>531.22981391968256</v>
      </c>
      <c r="CF41" s="1654">
        <f>VLOOKUP($C41,'Insumos testigos '!$B$5:$JL$209,256,FALSE)</f>
        <v>551.42333066481058</v>
      </c>
      <c r="CG41" s="1654">
        <f>VLOOKUP($C41,'Insumos testigos '!$B$5:$JL$209,257,FALSE)</f>
        <v>578.38793153431982</v>
      </c>
      <c r="CH41" s="1654">
        <f>VLOOKUP($C41,'Insumos testigos '!$B$5:$JL$209,258,FALSE)</f>
        <v>638.22377030346797</v>
      </c>
      <c r="CI41" s="1654">
        <f>VLOOKUP($C41,'Insumos testigos '!$B$5:$JL$209,259,FALSE)</f>
        <v>654.30700931511535</v>
      </c>
      <c r="CJ41" s="1654">
        <f>VLOOKUP($C41,'Insumos testigos '!$B$5:$JL$209,260,FALSE)</f>
        <v>697.29497982711837</v>
      </c>
      <c r="CK41" s="1654">
        <f>VLOOKUP($C41,'Insumos testigos '!$B$5:$JL$209,261,FALSE)</f>
        <v>729.57973739311399</v>
      </c>
      <c r="CL41" s="1654">
        <f>VLOOKUP($C41,'Insumos testigos '!$B$5:$JL$209,262,FALSE)</f>
        <v>761.9730777333682</v>
      </c>
      <c r="CM41" s="1654">
        <f>VLOOKUP($C41,'Insumos testigos '!$B$5:$JL$209,263,FALSE)</f>
        <v>811.12034124717047</v>
      </c>
      <c r="CN41" s="1654">
        <f>VLOOKUP($C41,'Insumos testigos '!$B$5:$JL$209,264,FALSE)</f>
        <v>842.34847438518659</v>
      </c>
      <c r="CO41" s="1654">
        <f>VLOOKUP($C41,'Insumos testigos '!$B$5:$JL$209,265,FALSE)</f>
        <v>878.82216332606515</v>
      </c>
    </row>
    <row r="42" spans="2:93">
      <c r="B42" s="1651" t="s">
        <v>1086</v>
      </c>
      <c r="C42" s="1652">
        <v>24</v>
      </c>
      <c r="D42" s="1653">
        <v>1.7372979873794723E-3</v>
      </c>
      <c r="E42" s="1654">
        <v>1673.5</v>
      </c>
      <c r="F42" s="1654">
        <v>1673.5</v>
      </c>
      <c r="G42" s="1654">
        <v>1721.8312380043837</v>
      </c>
      <c r="H42" s="1654">
        <f>VLOOKUP($C42,'Insumos testigos '!$B$5:$HN$209,180,FALSE)</f>
        <v>100</v>
      </c>
      <c r="I42" s="1654">
        <f>VLOOKUP($C42,'Insumos testigos '!$B$5:$HN$209,181,FALSE)</f>
        <v>100.1292716598646</v>
      </c>
      <c r="J42" s="1654">
        <f>VLOOKUP($C42,'Insumos testigos '!$B$5:$HN$209,182,FALSE)</f>
        <v>100.45011788148179</v>
      </c>
      <c r="K42" s="1654">
        <f>VLOOKUP($C42,'Insumos testigos '!$B$5:$HN$209,183,FALSE)</f>
        <v>104.11020636741998</v>
      </c>
      <c r="L42" s="1654">
        <f>VLOOKUP($C42,'Insumos testigos '!$B$5:$HN$209,184,FALSE)</f>
        <v>113.39237928469683</v>
      </c>
      <c r="M42" s="1654">
        <f>VLOOKUP($C42,'Insumos testigos '!$B$5:$HN$209,185,FALSE)</f>
        <v>113.75274805200512</v>
      </c>
      <c r="N42" s="1654">
        <f>VLOOKUP($C42,'Insumos testigos '!$B$5:$HN$209,186,FALSE)</f>
        <v>118.26051395777128</v>
      </c>
      <c r="O42" s="1654">
        <f>VLOOKUP($C42,'Insumos testigos '!$B$5:$HN$209,187,FALSE)</f>
        <v>124.14909880361965</v>
      </c>
      <c r="P42" s="1654">
        <f>VLOOKUP($C42,'Insumos testigos '!$B$5:$HN$209,188,FALSE)</f>
        <v>127.54465952944892</v>
      </c>
      <c r="Q42" s="1654">
        <f>VLOOKUP($C42,'Insumos testigos '!$B$5:$HN$209,189,FALSE)</f>
        <v>128.31245837913013</v>
      </c>
      <c r="R42" s="1654">
        <f>VLOOKUP($C42,'Insumos testigos '!$B$5:$HN$209,190,FALSE)</f>
        <v>128.31159135883462</v>
      </c>
      <c r="S42" s="1654">
        <f>VLOOKUP($C42,'Insumos testigos '!$B$5:$HN$209,191,FALSE)</f>
        <v>128.3851472077597</v>
      </c>
      <c r="T42" s="1654">
        <f>VLOOKUP($C42,'Insumos testigos '!$B$5:$HN$209,192,FALSE)</f>
        <v>128.3851472077597</v>
      </c>
      <c r="U42" s="1654">
        <f>VLOOKUP($C42,'Insumos testigos '!$B$5:$HN$209,193,FALSE)</f>
        <v>128.74661382355936</v>
      </c>
      <c r="V42" s="1654">
        <f>VLOOKUP($C42,'Insumos testigos '!$B$5:$HN$209,194,FALSE)</f>
        <v>128.74661382355936</v>
      </c>
      <c r="W42" s="1654">
        <f>VLOOKUP($C42,'Insumos testigos '!$B$5:$HN$209,195,FALSE)</f>
        <v>128.74612254422783</v>
      </c>
      <c r="X42" s="1654">
        <f>VLOOKUP($C42,'Insumos testigos '!$B$5:$HN$209,196,FALSE)</f>
        <v>135.21156912740267</v>
      </c>
      <c r="Y42" s="1654">
        <f>VLOOKUP($C42,'Insumos testigos '!$B$5:$HN$209,197,FALSE)</f>
        <v>134.85010251160296</v>
      </c>
      <c r="Z42" s="1654">
        <f>VLOOKUP($C42,'Insumos testigos '!$B$5:$HN$209,198,FALSE)</f>
        <v>133.80714644475492</v>
      </c>
      <c r="AA42" s="1654">
        <f>VLOOKUP($C42,'Insumos testigos '!$B$5:$HN$209,199,FALSE)</f>
        <v>134.67636798783587</v>
      </c>
      <c r="AB42" s="1654">
        <f>VLOOKUP($C42,'Insumos testigos '!$B$5:$HN$209,200,FALSE)</f>
        <v>134.67636798783587</v>
      </c>
      <c r="AC42" s="1654">
        <f>VLOOKUP($C42,'Insumos testigos '!$B$5:$HN$209,201,FALSE)</f>
        <v>134.67636798783587</v>
      </c>
      <c r="AD42" s="1654">
        <f>VLOOKUP($C42,'Insumos testigos '!$B$5:$HN$209,202,FALSE)</f>
        <v>134.67636798783587</v>
      </c>
      <c r="AE42" s="1654">
        <f>VLOOKUP($C42,'Insumos testigos '!$B$5:$HN$209,203,FALSE)</f>
        <v>134.67636798783587</v>
      </c>
      <c r="AF42" s="1654">
        <f>VLOOKUP($C42,'Insumos testigos '!$B$5:$HN$209,204,FALSE)</f>
        <v>134.84763235249721</v>
      </c>
      <c r="AG42" s="1654">
        <f>VLOOKUP($C42,'Insumos testigos '!$B$5:$HN$209,205,FALSE)</f>
        <v>134.95357473191913</v>
      </c>
      <c r="AH42" s="1654">
        <f>VLOOKUP($C42,'Insumos testigos '!$B$5:$HN$209,206,FALSE)</f>
        <v>135.04469615670689</v>
      </c>
      <c r="AI42" s="1654">
        <f>VLOOKUP($C42,'Insumos testigos '!$B$5:$HN$209,207,FALSE)</f>
        <v>141.6458896165276</v>
      </c>
      <c r="AJ42" s="1654">
        <f>VLOOKUP($C42,'Insumos testigos '!$B$5:$HN$209,208,FALSE)</f>
        <v>145.08506551688893</v>
      </c>
      <c r="AK42" s="1654">
        <f>VLOOKUP($C42,'Insumos testigos '!$B$5:$HN$209,209,FALSE)</f>
        <v>142.51673709823223</v>
      </c>
      <c r="AL42" s="1654">
        <f>VLOOKUP($C42,'Insumos testigos '!$B$5:$HN$209,210,FALSE)</f>
        <v>151.60083803804883</v>
      </c>
      <c r="AM42" s="1654">
        <f>VLOOKUP($C42,'Insumos testigos '!$B$5:$HN$209,211,FALSE)</f>
        <v>159.40629618825466</v>
      </c>
      <c r="AN42" s="1654">
        <f>VLOOKUP($C42,'Insumos testigos '!$B$5:$HN$209,212,FALSE)</f>
        <v>159.40629618825466</v>
      </c>
      <c r="AO42" s="1654">
        <f>VLOOKUP($C42,'Insumos testigos '!$B$5:$HN$209,213,FALSE)</f>
        <v>159.40629618825466</v>
      </c>
      <c r="AP42" s="1654">
        <f>VLOOKUP($C42,'Insumos testigos '!$B$5:$HN$209,214,FALSE)</f>
        <v>159.40629618825466</v>
      </c>
      <c r="AQ42" s="1654">
        <f>VLOOKUP($C42,'Insumos testigos '!$B$5:$HN$209,215,FALSE)</f>
        <v>159.40629618825466</v>
      </c>
      <c r="AR42" s="1654">
        <f>VLOOKUP($C42,'Insumos testigos '!$B$5:$HN$209,216,FALSE)</f>
        <v>166.16199902875547</v>
      </c>
      <c r="AS42" s="1654">
        <f>VLOOKUP($C42,'Insumos testigos '!$B$5:$HN$209,217,FALSE)</f>
        <v>167.4477320949245</v>
      </c>
      <c r="AT42" s="1654">
        <f>VLOOKUP($C42,'Insumos testigos '!$B$5:$HN$209,218,FALSE)</f>
        <v>180.97182203426522</v>
      </c>
      <c r="AU42" s="1654">
        <f>VLOOKUP($C42,'Insumos testigos '!$B$5:$HN$209,219,FALSE)</f>
        <v>186.37898539414493</v>
      </c>
      <c r="AV42" s="1654">
        <f>VLOOKUP($C42,'Insumos testigos '!$B$5:$HN$209,220,FALSE)</f>
        <v>189.90724831001418</v>
      </c>
      <c r="AW42" s="1654">
        <f>VLOOKUP($C42,'Insumos testigos '!$B$5:$HN$209,221,FALSE)</f>
        <v>183.62812801659422</v>
      </c>
      <c r="AX42" s="1654">
        <f>VLOOKUP($C42,'Insumos testigos '!$B$5:$HO$209,222,FALSE)</f>
        <v>190.42912529821848</v>
      </c>
      <c r="AY42" s="1654">
        <f>VLOOKUP($C42,'Insumos testigos '!$B$5:$JL$209,223,FALSE)</f>
        <v>206.44080062226496</v>
      </c>
      <c r="AZ42" s="1654">
        <f>VLOOKUP($C42,'Insumos testigos '!$B$5:$JL$209,224,FALSE)</f>
        <v>237.3712914819252</v>
      </c>
      <c r="BA42" s="1654">
        <f>VLOOKUP($C42,'Insumos testigos '!$B$5:$JL$209,225,FALSE)</f>
        <v>239.41767532179563</v>
      </c>
      <c r="BB42" s="1654">
        <f>VLOOKUP($C42,'Insumos testigos '!$B$5:$JL$209,226,FALSE)</f>
        <v>259.0736854705562</v>
      </c>
      <c r="BC42" s="1654">
        <f>VLOOKUP($C42,'Insumos testigos '!$B$5:$JL$209,227,FALSE)</f>
        <v>256.37832407913425</v>
      </c>
      <c r="BD42" s="1654">
        <f>VLOOKUP($C42,'Insumos testigos '!$B$5:$JL$209,228,FALSE)</f>
        <v>252.20547960444168</v>
      </c>
      <c r="BE42" s="1654">
        <f>VLOOKUP($C42,'Insumos testigos '!$B$5:$JL$209,229,FALSE)</f>
        <v>253.16658719152039</v>
      </c>
      <c r="BF42" s="1654">
        <f>VLOOKUP($C42,'Insumos testigos '!$B$5:$JL$209,230,FALSE)</f>
        <v>253.16658719152039</v>
      </c>
      <c r="BG42" s="1654">
        <f>VLOOKUP($C42,'Insumos testigos '!$B$5:$JL$209,231,FALSE)</f>
        <v>264.13056806480057</v>
      </c>
      <c r="BH42" s="1654">
        <f>VLOOKUP($C42,'Insumos testigos '!$B$5:$JL$209,232,FALSE)</f>
        <v>307.72009000309561</v>
      </c>
      <c r="BI42" s="1654">
        <f>VLOOKUP($C42,'Insumos testigos '!$B$5:$JL$209,233,FALSE)</f>
        <v>314.32010971408988</v>
      </c>
      <c r="BJ42" s="1654">
        <f>VLOOKUP($C42,'Insumos testigos '!$B$5:$JL$209,234,FALSE)</f>
        <v>321.06168748905418</v>
      </c>
      <c r="BK42" s="1654">
        <f>VLOOKUP($C42,'Insumos testigos '!$B$5:$JL$209,235,FALSE)</f>
        <v>333.84198929053696</v>
      </c>
      <c r="BL42" s="1654">
        <f>VLOOKUP($C42,'Insumos testigos '!$B$5:$JL$209,236,FALSE)</f>
        <v>337.24717758130043</v>
      </c>
      <c r="BM42" s="1654">
        <f>VLOOKUP($C42,'Insumos testigos '!$B$5:$JL$209,237,FALSE)</f>
        <v>347.89619328759346</v>
      </c>
      <c r="BN42" s="1654">
        <f>VLOOKUP($C42,'Insumos testigos '!$B$5:$JL$209,238,FALSE)</f>
        <v>355.16722372730419</v>
      </c>
      <c r="BO42" s="1654">
        <f>VLOOKUP($C42,'Insumos testigos '!$B$5:$JL$209,239,FALSE)</f>
        <v>362.55033535000524</v>
      </c>
      <c r="BP42" s="1654">
        <f>VLOOKUP($C42,'Insumos testigos '!$B$5:$JL$209,240,FALSE)</f>
        <v>379.47621306662012</v>
      </c>
      <c r="BQ42" s="1654">
        <f>VLOOKUP($C42,'Insumos testigos '!$B$5:$JL$209,241,FALSE)</f>
        <v>387.81594191737292</v>
      </c>
      <c r="BR42" s="1654">
        <f>VLOOKUP($C42,'Insumos testigos '!$B$5:$JL$209,242,FALSE)</f>
        <v>386.7300572800043</v>
      </c>
      <c r="BS42" s="1654">
        <f>VLOOKUP($C42,'Insumos testigos '!$B$5:$JL$209,243,FALSE)</f>
        <v>392.82865838399346</v>
      </c>
      <c r="BT42" s="1654">
        <f>VLOOKUP($C42,'Insumos testigos '!$B$5:$JL$209,244,FALSE)</f>
        <v>405.77513949279995</v>
      </c>
      <c r="BU42" s="1654">
        <f>VLOOKUP($C42,'Insumos testigos '!$B$5:$JL$209,245,FALSE)</f>
        <v>429.15640683656363</v>
      </c>
      <c r="BV42" s="1654">
        <f>VLOOKUP($C42,'Insumos testigos '!$B$5:$JL$209,246,FALSE)</f>
        <v>438.51201650560074</v>
      </c>
      <c r="BW42" s="1654">
        <f>VLOOKUP($C42,'Insumos testigos '!$B$5:$JL$209,247,FALSE)</f>
        <v>440.66072538647819</v>
      </c>
      <c r="BX42" s="1654">
        <f>VLOOKUP($C42,'Insumos testigos '!$B$5:$JL$209,248,FALSE)</f>
        <v>451.94163995637206</v>
      </c>
      <c r="BY42" s="1654">
        <f>VLOOKUP($C42,'Insumos testigos '!$B$5:$JL$209,249,FALSE)</f>
        <v>458.04285209578308</v>
      </c>
      <c r="BZ42" s="1654">
        <f>VLOOKUP($C42,'Insumos testigos '!$B$5:$JL$209,250,FALSE)</f>
        <v>460.0582406450045</v>
      </c>
      <c r="CA42" s="1654">
        <f>VLOOKUP($C42,'Insumos testigos '!$B$5:$JL$209,251,FALSE)</f>
        <v>471.05363259642013</v>
      </c>
      <c r="CB42" s="1654">
        <f>VLOOKUP($C42,'Insumos testigos '!$B$5:$JL$209,252,FALSE)</f>
        <v>477.28791810857524</v>
      </c>
      <c r="CC42" s="1654">
        <f>VLOOKUP($C42,'Insumos testigos '!$B$5:$JL$209,253,FALSE)</f>
        <v>488.83828572680278</v>
      </c>
      <c r="CD42" s="1654">
        <f>VLOOKUP($C42,'Insumos testigos '!$B$5:$JL$209,254,FALSE)</f>
        <v>501.25477818426356</v>
      </c>
      <c r="CE42" s="1654">
        <f>VLOOKUP($C42,'Insumos testigos '!$B$5:$JL$209,255,FALSE)</f>
        <v>531.22981391968256</v>
      </c>
      <c r="CF42" s="1654">
        <f>VLOOKUP($C42,'Insumos testigos '!$B$5:$JL$209,256,FALSE)</f>
        <v>551.42333066481058</v>
      </c>
      <c r="CG42" s="1654">
        <f>VLOOKUP($C42,'Insumos testigos '!$B$5:$JL$209,257,FALSE)</f>
        <v>578.38793153431982</v>
      </c>
      <c r="CH42" s="1654">
        <f>VLOOKUP($C42,'Insumos testigos '!$B$5:$JL$209,258,FALSE)</f>
        <v>638.22377030346797</v>
      </c>
      <c r="CI42" s="1654">
        <f>VLOOKUP($C42,'Insumos testigos '!$B$5:$JL$209,259,FALSE)</f>
        <v>654.30700931511535</v>
      </c>
      <c r="CJ42" s="1654">
        <f>VLOOKUP($C42,'Insumos testigos '!$B$5:$JL$209,260,FALSE)</f>
        <v>697.29497982711837</v>
      </c>
      <c r="CK42" s="1654">
        <f>VLOOKUP($C42,'Insumos testigos '!$B$5:$JL$209,261,FALSE)</f>
        <v>729.57973739311399</v>
      </c>
      <c r="CL42" s="1654">
        <f>VLOOKUP($C42,'Insumos testigos '!$B$5:$JL$209,262,FALSE)</f>
        <v>761.9730777333682</v>
      </c>
      <c r="CM42" s="1654">
        <f>VLOOKUP($C42,'Insumos testigos '!$B$5:$JL$209,263,FALSE)</f>
        <v>811.12034124717047</v>
      </c>
      <c r="CN42" s="1654">
        <f>VLOOKUP($C42,'Insumos testigos '!$B$5:$JL$209,264,FALSE)</f>
        <v>842.34847438518659</v>
      </c>
      <c r="CO42" s="1654">
        <f>VLOOKUP($C42,'Insumos testigos '!$B$5:$JL$209,265,FALSE)</f>
        <v>878.82216332606515</v>
      </c>
    </row>
    <row r="43" spans="2:93">
      <c r="B43" s="1651" t="s">
        <v>1087</v>
      </c>
      <c r="C43" s="1652">
        <v>24</v>
      </c>
      <c r="D43" s="1653">
        <v>9.1667563138529296E-3</v>
      </c>
      <c r="E43" s="1654">
        <v>1673.5</v>
      </c>
      <c r="F43" s="1654">
        <v>1673.5</v>
      </c>
      <c r="G43" s="1654">
        <v>1721.8312380043837</v>
      </c>
      <c r="H43" s="1654">
        <f>VLOOKUP($C43,'Insumos testigos '!$B$5:$HN$209,180,FALSE)</f>
        <v>100</v>
      </c>
      <c r="I43" s="1654">
        <f>VLOOKUP($C43,'Insumos testigos '!$B$5:$HN$209,181,FALSE)</f>
        <v>100.1292716598646</v>
      </c>
      <c r="J43" s="1654">
        <f>VLOOKUP($C43,'Insumos testigos '!$B$5:$HN$209,182,FALSE)</f>
        <v>100.45011788148179</v>
      </c>
      <c r="K43" s="1654">
        <f>VLOOKUP($C43,'Insumos testigos '!$B$5:$HN$209,183,FALSE)</f>
        <v>104.11020636741998</v>
      </c>
      <c r="L43" s="1654">
        <f>VLOOKUP($C43,'Insumos testigos '!$B$5:$HN$209,184,FALSE)</f>
        <v>113.39237928469683</v>
      </c>
      <c r="M43" s="1654">
        <f>VLOOKUP($C43,'Insumos testigos '!$B$5:$HN$209,185,FALSE)</f>
        <v>113.75274805200512</v>
      </c>
      <c r="N43" s="1654">
        <f>VLOOKUP($C43,'Insumos testigos '!$B$5:$HN$209,186,FALSE)</f>
        <v>118.26051395777128</v>
      </c>
      <c r="O43" s="1654">
        <f>VLOOKUP($C43,'Insumos testigos '!$B$5:$HN$209,187,FALSE)</f>
        <v>124.14909880361965</v>
      </c>
      <c r="P43" s="1654">
        <f>VLOOKUP($C43,'Insumos testigos '!$B$5:$HN$209,188,FALSE)</f>
        <v>127.54465952944892</v>
      </c>
      <c r="Q43" s="1654">
        <f>VLOOKUP($C43,'Insumos testigos '!$B$5:$HN$209,189,FALSE)</f>
        <v>128.31245837913013</v>
      </c>
      <c r="R43" s="1654">
        <f>VLOOKUP($C43,'Insumos testigos '!$B$5:$HN$209,190,FALSE)</f>
        <v>128.31159135883462</v>
      </c>
      <c r="S43" s="1654">
        <f>VLOOKUP($C43,'Insumos testigos '!$B$5:$HN$209,191,FALSE)</f>
        <v>128.3851472077597</v>
      </c>
      <c r="T43" s="1654">
        <f>VLOOKUP($C43,'Insumos testigos '!$B$5:$HN$209,192,FALSE)</f>
        <v>128.3851472077597</v>
      </c>
      <c r="U43" s="1654">
        <f>VLOOKUP($C43,'Insumos testigos '!$B$5:$HN$209,193,FALSE)</f>
        <v>128.74661382355936</v>
      </c>
      <c r="V43" s="1654">
        <f>VLOOKUP($C43,'Insumos testigos '!$B$5:$HN$209,194,FALSE)</f>
        <v>128.74661382355936</v>
      </c>
      <c r="W43" s="1654">
        <f>VLOOKUP($C43,'Insumos testigos '!$B$5:$HN$209,195,FALSE)</f>
        <v>128.74612254422783</v>
      </c>
      <c r="X43" s="1654">
        <f>VLOOKUP($C43,'Insumos testigos '!$B$5:$HN$209,196,FALSE)</f>
        <v>135.21156912740267</v>
      </c>
      <c r="Y43" s="1654">
        <f>VLOOKUP($C43,'Insumos testigos '!$B$5:$HN$209,197,FALSE)</f>
        <v>134.85010251160296</v>
      </c>
      <c r="Z43" s="1654">
        <f>VLOOKUP($C43,'Insumos testigos '!$B$5:$HN$209,198,FALSE)</f>
        <v>133.80714644475492</v>
      </c>
      <c r="AA43" s="1654">
        <f>VLOOKUP($C43,'Insumos testigos '!$B$5:$HN$209,199,FALSE)</f>
        <v>134.67636798783587</v>
      </c>
      <c r="AB43" s="1654">
        <f>VLOOKUP($C43,'Insumos testigos '!$B$5:$HN$209,200,FALSE)</f>
        <v>134.67636798783587</v>
      </c>
      <c r="AC43" s="1654">
        <f>VLOOKUP($C43,'Insumos testigos '!$B$5:$HN$209,201,FALSE)</f>
        <v>134.67636798783587</v>
      </c>
      <c r="AD43" s="1654">
        <f>VLOOKUP($C43,'Insumos testigos '!$B$5:$HN$209,202,FALSE)</f>
        <v>134.67636798783587</v>
      </c>
      <c r="AE43" s="1654">
        <f>VLOOKUP($C43,'Insumos testigos '!$B$5:$HN$209,203,FALSE)</f>
        <v>134.67636798783587</v>
      </c>
      <c r="AF43" s="1654">
        <f>VLOOKUP($C43,'Insumos testigos '!$B$5:$HN$209,204,FALSE)</f>
        <v>134.84763235249721</v>
      </c>
      <c r="AG43" s="1654">
        <f>VLOOKUP($C43,'Insumos testigos '!$B$5:$HN$209,205,FALSE)</f>
        <v>134.95357473191913</v>
      </c>
      <c r="AH43" s="1654">
        <f>VLOOKUP($C43,'Insumos testigos '!$B$5:$HN$209,206,FALSE)</f>
        <v>135.04469615670689</v>
      </c>
      <c r="AI43" s="1654">
        <f>VLOOKUP($C43,'Insumos testigos '!$B$5:$HN$209,207,FALSE)</f>
        <v>141.6458896165276</v>
      </c>
      <c r="AJ43" s="1654">
        <f>VLOOKUP($C43,'Insumos testigos '!$B$5:$HN$209,208,FALSE)</f>
        <v>145.08506551688893</v>
      </c>
      <c r="AK43" s="1654">
        <f>VLOOKUP($C43,'Insumos testigos '!$B$5:$HN$209,209,FALSE)</f>
        <v>142.51673709823223</v>
      </c>
      <c r="AL43" s="1654">
        <f>VLOOKUP($C43,'Insumos testigos '!$B$5:$HN$209,210,FALSE)</f>
        <v>151.60083803804883</v>
      </c>
      <c r="AM43" s="1654">
        <f>VLOOKUP($C43,'Insumos testigos '!$B$5:$HN$209,211,FALSE)</f>
        <v>159.40629618825466</v>
      </c>
      <c r="AN43" s="1654">
        <f>VLOOKUP($C43,'Insumos testigos '!$B$5:$HN$209,212,FALSE)</f>
        <v>159.40629618825466</v>
      </c>
      <c r="AO43" s="1654">
        <f>VLOOKUP($C43,'Insumos testigos '!$B$5:$HN$209,213,FALSE)</f>
        <v>159.40629618825466</v>
      </c>
      <c r="AP43" s="1654">
        <f>VLOOKUP($C43,'Insumos testigos '!$B$5:$HN$209,214,FALSE)</f>
        <v>159.40629618825466</v>
      </c>
      <c r="AQ43" s="1654">
        <f>VLOOKUP($C43,'Insumos testigos '!$B$5:$HN$209,215,FALSE)</f>
        <v>159.40629618825466</v>
      </c>
      <c r="AR43" s="1654">
        <f>VLOOKUP($C43,'Insumos testigos '!$B$5:$HN$209,216,FALSE)</f>
        <v>166.16199902875547</v>
      </c>
      <c r="AS43" s="1654">
        <f>VLOOKUP($C43,'Insumos testigos '!$B$5:$HN$209,217,FALSE)</f>
        <v>167.4477320949245</v>
      </c>
      <c r="AT43" s="1654">
        <f>VLOOKUP($C43,'Insumos testigos '!$B$5:$HN$209,218,FALSE)</f>
        <v>180.97182203426522</v>
      </c>
      <c r="AU43" s="1654">
        <f>VLOOKUP($C43,'Insumos testigos '!$B$5:$HN$209,219,FALSE)</f>
        <v>186.37898539414493</v>
      </c>
      <c r="AV43" s="1654">
        <f>VLOOKUP($C43,'Insumos testigos '!$B$5:$HN$209,220,FALSE)</f>
        <v>189.90724831001418</v>
      </c>
      <c r="AW43" s="1654">
        <f>VLOOKUP($C43,'Insumos testigos '!$B$5:$HN$209,221,FALSE)</f>
        <v>183.62812801659422</v>
      </c>
      <c r="AX43" s="1654">
        <f>VLOOKUP($C43,'Insumos testigos '!$B$5:$HO$209,222,FALSE)</f>
        <v>190.42912529821848</v>
      </c>
      <c r="AY43" s="1654">
        <f>VLOOKUP($C43,'Insumos testigos '!$B$5:$JL$209,223,FALSE)</f>
        <v>206.44080062226496</v>
      </c>
      <c r="AZ43" s="1654">
        <f>VLOOKUP($C43,'Insumos testigos '!$B$5:$JL$209,224,FALSE)</f>
        <v>237.3712914819252</v>
      </c>
      <c r="BA43" s="1654">
        <f>VLOOKUP($C43,'Insumos testigos '!$B$5:$JL$209,225,FALSE)</f>
        <v>239.41767532179563</v>
      </c>
      <c r="BB43" s="1654">
        <f>VLOOKUP($C43,'Insumos testigos '!$B$5:$JL$209,226,FALSE)</f>
        <v>259.0736854705562</v>
      </c>
      <c r="BC43" s="1654">
        <f>VLOOKUP($C43,'Insumos testigos '!$B$5:$JL$209,227,FALSE)</f>
        <v>256.37832407913425</v>
      </c>
      <c r="BD43" s="1654">
        <f>VLOOKUP($C43,'Insumos testigos '!$B$5:$JL$209,228,FALSE)</f>
        <v>252.20547960444168</v>
      </c>
      <c r="BE43" s="1654">
        <f>VLOOKUP($C43,'Insumos testigos '!$B$5:$JL$209,229,FALSE)</f>
        <v>253.16658719152039</v>
      </c>
      <c r="BF43" s="1654">
        <f>VLOOKUP($C43,'Insumos testigos '!$B$5:$JL$209,230,FALSE)</f>
        <v>253.16658719152039</v>
      </c>
      <c r="BG43" s="1654">
        <f>VLOOKUP($C43,'Insumos testigos '!$B$5:$JL$209,231,FALSE)</f>
        <v>264.13056806480057</v>
      </c>
      <c r="BH43" s="1654">
        <f>VLOOKUP($C43,'Insumos testigos '!$B$5:$JL$209,232,FALSE)</f>
        <v>307.72009000309561</v>
      </c>
      <c r="BI43" s="1654">
        <f>VLOOKUP($C43,'Insumos testigos '!$B$5:$JL$209,233,FALSE)</f>
        <v>314.32010971408988</v>
      </c>
      <c r="BJ43" s="1654">
        <f>VLOOKUP($C43,'Insumos testigos '!$B$5:$JL$209,234,FALSE)</f>
        <v>321.06168748905418</v>
      </c>
      <c r="BK43" s="1654">
        <f>VLOOKUP($C43,'Insumos testigos '!$B$5:$JL$209,235,FALSE)</f>
        <v>333.84198929053696</v>
      </c>
      <c r="BL43" s="1654">
        <f>VLOOKUP($C43,'Insumos testigos '!$B$5:$JL$209,236,FALSE)</f>
        <v>337.24717758130043</v>
      </c>
      <c r="BM43" s="1654">
        <f>VLOOKUP($C43,'Insumos testigos '!$B$5:$JL$209,237,FALSE)</f>
        <v>347.89619328759346</v>
      </c>
      <c r="BN43" s="1654">
        <f>VLOOKUP($C43,'Insumos testigos '!$B$5:$JL$209,238,FALSE)</f>
        <v>355.16722372730419</v>
      </c>
      <c r="BO43" s="1654">
        <f>VLOOKUP($C43,'Insumos testigos '!$B$5:$JL$209,239,FALSE)</f>
        <v>362.55033535000524</v>
      </c>
      <c r="BP43" s="1654">
        <f>VLOOKUP($C43,'Insumos testigos '!$B$5:$JL$209,240,FALSE)</f>
        <v>379.47621306662012</v>
      </c>
      <c r="BQ43" s="1654">
        <f>VLOOKUP($C43,'Insumos testigos '!$B$5:$JL$209,241,FALSE)</f>
        <v>387.81594191737292</v>
      </c>
      <c r="BR43" s="1654">
        <f>VLOOKUP($C43,'Insumos testigos '!$B$5:$JL$209,242,FALSE)</f>
        <v>386.7300572800043</v>
      </c>
      <c r="BS43" s="1654">
        <f>VLOOKUP($C43,'Insumos testigos '!$B$5:$JL$209,243,FALSE)</f>
        <v>392.82865838399346</v>
      </c>
      <c r="BT43" s="1654">
        <f>VLOOKUP($C43,'Insumos testigos '!$B$5:$JL$209,244,FALSE)</f>
        <v>405.77513949279995</v>
      </c>
      <c r="BU43" s="1654">
        <f>VLOOKUP($C43,'Insumos testigos '!$B$5:$JL$209,245,FALSE)</f>
        <v>429.15640683656363</v>
      </c>
      <c r="BV43" s="1654">
        <f>VLOOKUP($C43,'Insumos testigos '!$B$5:$JL$209,246,FALSE)</f>
        <v>438.51201650560074</v>
      </c>
      <c r="BW43" s="1654">
        <f>VLOOKUP($C43,'Insumos testigos '!$B$5:$JL$209,247,FALSE)</f>
        <v>440.66072538647819</v>
      </c>
      <c r="BX43" s="1654">
        <f>VLOOKUP($C43,'Insumos testigos '!$B$5:$JL$209,248,FALSE)</f>
        <v>451.94163995637206</v>
      </c>
      <c r="BY43" s="1654">
        <f>VLOOKUP($C43,'Insumos testigos '!$B$5:$JL$209,249,FALSE)</f>
        <v>458.04285209578308</v>
      </c>
      <c r="BZ43" s="1654">
        <f>VLOOKUP($C43,'Insumos testigos '!$B$5:$JL$209,250,FALSE)</f>
        <v>460.0582406450045</v>
      </c>
      <c r="CA43" s="1654">
        <f>VLOOKUP($C43,'Insumos testigos '!$B$5:$JL$209,251,FALSE)</f>
        <v>471.05363259642013</v>
      </c>
      <c r="CB43" s="1654">
        <f>VLOOKUP($C43,'Insumos testigos '!$B$5:$JL$209,252,FALSE)</f>
        <v>477.28791810857524</v>
      </c>
      <c r="CC43" s="1654">
        <f>VLOOKUP($C43,'Insumos testigos '!$B$5:$JL$209,253,FALSE)</f>
        <v>488.83828572680278</v>
      </c>
      <c r="CD43" s="1654">
        <f>VLOOKUP($C43,'Insumos testigos '!$B$5:$JL$209,254,FALSE)</f>
        <v>501.25477818426356</v>
      </c>
      <c r="CE43" s="1654">
        <f>VLOOKUP($C43,'Insumos testigos '!$B$5:$JL$209,255,FALSE)</f>
        <v>531.22981391968256</v>
      </c>
      <c r="CF43" s="1654">
        <f>VLOOKUP($C43,'Insumos testigos '!$B$5:$JL$209,256,FALSE)</f>
        <v>551.42333066481058</v>
      </c>
      <c r="CG43" s="1654">
        <f>VLOOKUP($C43,'Insumos testigos '!$B$5:$JL$209,257,FALSE)</f>
        <v>578.38793153431982</v>
      </c>
      <c r="CH43" s="1654">
        <f>VLOOKUP($C43,'Insumos testigos '!$B$5:$JL$209,258,FALSE)</f>
        <v>638.22377030346797</v>
      </c>
      <c r="CI43" s="1654">
        <f>VLOOKUP($C43,'Insumos testigos '!$B$5:$JL$209,259,FALSE)</f>
        <v>654.30700931511535</v>
      </c>
      <c r="CJ43" s="1654">
        <f>VLOOKUP($C43,'Insumos testigos '!$B$5:$JL$209,260,FALSE)</f>
        <v>697.29497982711837</v>
      </c>
      <c r="CK43" s="1654">
        <f>VLOOKUP($C43,'Insumos testigos '!$B$5:$JL$209,261,FALSE)</f>
        <v>729.57973739311399</v>
      </c>
      <c r="CL43" s="1654">
        <f>VLOOKUP($C43,'Insumos testigos '!$B$5:$JL$209,262,FALSE)</f>
        <v>761.9730777333682</v>
      </c>
      <c r="CM43" s="1654">
        <f>VLOOKUP($C43,'Insumos testigos '!$B$5:$JL$209,263,FALSE)</f>
        <v>811.12034124717047</v>
      </c>
      <c r="CN43" s="1654">
        <f>VLOOKUP($C43,'Insumos testigos '!$B$5:$JL$209,264,FALSE)</f>
        <v>842.34847438518659</v>
      </c>
      <c r="CO43" s="1654">
        <f>VLOOKUP($C43,'Insumos testigos '!$B$5:$JL$209,265,FALSE)</f>
        <v>878.82216332606515</v>
      </c>
    </row>
    <row r="44" spans="2:93" ht="9" customHeight="1">
      <c r="B44" s="1651"/>
      <c r="C44" s="1651"/>
      <c r="D44" s="1652"/>
      <c r="E44" s="1654"/>
      <c r="F44" s="1654"/>
      <c r="G44" s="1654"/>
      <c r="H44" s="1654"/>
      <c r="I44" s="1654"/>
      <c r="J44" s="1654"/>
      <c r="K44" s="1654"/>
      <c r="L44" s="1654"/>
      <c r="M44" s="1654"/>
      <c r="N44" s="1654"/>
      <c r="O44" s="1654"/>
      <c r="P44" s="1654"/>
      <c r="Q44" s="1654"/>
      <c r="R44" s="1654"/>
      <c r="S44" s="1654"/>
      <c r="T44" s="1654"/>
      <c r="U44" s="1654"/>
      <c r="V44" s="1654"/>
      <c r="W44" s="1654"/>
      <c r="X44" s="1654"/>
      <c r="Y44" s="1654"/>
      <c r="Z44" s="1654"/>
      <c r="AA44" s="1654"/>
      <c r="AB44" s="1654"/>
      <c r="AC44" s="1654"/>
      <c r="AD44" s="1654"/>
      <c r="AE44" s="1654"/>
      <c r="AF44" s="1654"/>
      <c r="AG44" s="1654"/>
      <c r="AH44" s="1654"/>
      <c r="AI44" s="1654"/>
      <c r="AJ44" s="1654"/>
      <c r="AK44" s="1654"/>
      <c r="AL44" s="1654"/>
      <c r="AM44" s="1654"/>
      <c r="AN44" s="1654"/>
      <c r="AO44" s="1654"/>
      <c r="AP44" s="1654"/>
      <c r="AQ44" s="1654"/>
      <c r="AR44" s="1654"/>
      <c r="AS44" s="1654"/>
      <c r="AT44" s="1654"/>
      <c r="AU44" s="1654"/>
      <c r="AV44" s="1654"/>
      <c r="AW44" s="1654"/>
      <c r="AX44" s="1654"/>
      <c r="AY44" s="1654"/>
      <c r="AZ44" s="1654"/>
      <c r="BA44" s="1654"/>
      <c r="BB44" s="1654"/>
      <c r="BC44" s="1654"/>
      <c r="BD44" s="1654"/>
      <c r="BE44" s="1654"/>
      <c r="BF44" s="1654"/>
      <c r="BG44" s="1654"/>
      <c r="BH44" s="1654"/>
      <c r="BI44" s="1654"/>
      <c r="BJ44" s="1654"/>
      <c r="BK44" s="1654"/>
      <c r="BL44" s="1654"/>
      <c r="BM44" s="1654"/>
      <c r="BN44" s="1654"/>
      <c r="BO44" s="1654"/>
      <c r="BP44" s="1654"/>
      <c r="BQ44" s="1654"/>
      <c r="BR44" s="1654"/>
      <c r="BS44" s="1654"/>
      <c r="BT44" s="1654"/>
      <c r="BU44" s="1654"/>
      <c r="BV44" s="1654"/>
      <c r="BW44" s="1654"/>
      <c r="BX44" s="1654"/>
      <c r="BY44" s="1654"/>
      <c r="BZ44" s="1654"/>
      <c r="CA44" s="1654"/>
      <c r="CB44" s="1654"/>
      <c r="CC44" s="1654"/>
      <c r="CD44" s="1654"/>
      <c r="CE44" s="1654"/>
      <c r="CF44" s="1654"/>
      <c r="CG44" s="1654"/>
      <c r="CH44" s="1654"/>
      <c r="CI44" s="1654"/>
      <c r="CJ44" s="1654"/>
      <c r="CK44" s="1654"/>
      <c r="CL44" s="1654"/>
      <c r="CM44" s="1654"/>
      <c r="CN44" s="1654"/>
      <c r="CO44" s="1654"/>
    </row>
    <row r="45" spans="2:93">
      <c r="B45" s="1651" t="s">
        <v>1088</v>
      </c>
      <c r="C45" s="1652">
        <v>4</v>
      </c>
      <c r="D45" s="1653">
        <v>0.13194388011969663</v>
      </c>
      <c r="E45" s="1654">
        <v>53.27</v>
      </c>
      <c r="F45" s="1654">
        <v>53.27</v>
      </c>
      <c r="G45" s="1654">
        <v>53.27</v>
      </c>
      <c r="H45" s="1654">
        <f>VLOOKUP($C45,'Insumos testigos '!$B$5:$HN$209,180,FALSE)</f>
        <v>53.27</v>
      </c>
      <c r="I45" s="1654">
        <f>VLOOKUP($C45,'Insumos testigos '!$B$5:$HN$209,181,FALSE)</f>
        <v>53.27</v>
      </c>
      <c r="J45" s="1654">
        <f>VLOOKUP($C45,'Insumos testigos '!$B$5:$HN$209,182,FALSE)</f>
        <v>53.27</v>
      </c>
      <c r="K45" s="1654">
        <f>VLOOKUP($C45,'Insumos testigos '!$B$5:$HN$209,183,FALSE)</f>
        <v>64.989999999999995</v>
      </c>
      <c r="L45" s="1654">
        <f>VLOOKUP($C45,'Insumos testigos '!$B$5:$HN$209,184,FALSE)</f>
        <v>64.989999999999995</v>
      </c>
      <c r="M45" s="1654">
        <f>VLOOKUP($C45,'Insumos testigos '!$B$5:$HN$209,185,FALSE)</f>
        <v>64.989999999999995</v>
      </c>
      <c r="N45" s="1654">
        <f>VLOOKUP($C45,'Insumos testigos '!$B$5:$HN$209,186,FALSE)</f>
        <v>64.989999999999995</v>
      </c>
      <c r="O45" s="1654">
        <f>VLOOKUP($C45,'Insumos testigos '!$B$5:$HN$209,187,FALSE)</f>
        <v>64.989999999999995</v>
      </c>
      <c r="P45" s="1654">
        <f>VLOOKUP($C45,'Insumos testigos '!$B$5:$HN$209,188,FALSE)</f>
        <v>64.989999999999995</v>
      </c>
      <c r="Q45" s="1654">
        <f>VLOOKUP($C45,'Insumos testigos '!$B$5:$HN$209,189,FALSE)</f>
        <v>71.38</v>
      </c>
      <c r="R45" s="1654">
        <f>VLOOKUP($C45,'Insumos testigos '!$B$5:$HN$209,190,FALSE)</f>
        <v>71.38</v>
      </c>
      <c r="S45" s="1654">
        <f>VLOOKUP($C45,'Insumos testigos '!$B$5:$HN$209,191,FALSE)</f>
        <v>71.38</v>
      </c>
      <c r="T45" s="1654">
        <f>VLOOKUP($C45,'Insumos testigos '!$B$5:$HN$209,192,FALSE)</f>
        <v>74.05</v>
      </c>
      <c r="U45" s="1654">
        <f>VLOOKUP($C45,'Insumos testigos '!$B$5:$HN$209,193,FALSE)</f>
        <v>74.05</v>
      </c>
      <c r="V45" s="1654">
        <f>VLOOKUP($C45,'Insumos testigos '!$B$5:$HN$209,194,FALSE)</f>
        <v>74.05</v>
      </c>
      <c r="W45" s="1654">
        <f>VLOOKUP($C45,'Insumos testigos '!$B$5:$HN$209,195,FALSE)</f>
        <v>82.19</v>
      </c>
      <c r="X45" s="1654">
        <f>VLOOKUP($C45,'Insumos testigos '!$B$5:$HN$209,196,FALSE)</f>
        <v>82.19</v>
      </c>
      <c r="Y45" s="1654">
        <f>VLOOKUP($C45,'Insumos testigos '!$B$5:$HN$209,197,FALSE)</f>
        <v>82.19</v>
      </c>
      <c r="Z45" s="1654">
        <f>VLOOKUP($C45,'Insumos testigos '!$B$5:$HN$209,198,FALSE)</f>
        <v>90.41</v>
      </c>
      <c r="AA45" s="1654">
        <f>VLOOKUP($C45,'Insumos testigos '!$B$5:$HN$209,199,FALSE)</f>
        <v>90.41</v>
      </c>
      <c r="AB45" s="1654">
        <f>VLOOKUP($C45,'Insumos testigos '!$B$5:$HN$209,200,FALSE)</f>
        <v>90.41</v>
      </c>
      <c r="AC45" s="1654">
        <f>VLOOKUP($C45,'Insumos testigos '!$B$5:$HN$209,201,FALSE)</f>
        <v>90.41</v>
      </c>
      <c r="AD45" s="1654">
        <f>VLOOKUP($C45,'Insumos testigos '!$B$5:$HN$209,202,FALSE)</f>
        <v>90.41</v>
      </c>
      <c r="AE45" s="1654">
        <f>VLOOKUP($C45,'Insumos testigos '!$B$5:$HN$209,203,FALSE)</f>
        <v>90.41</v>
      </c>
      <c r="AF45" s="1654">
        <f>VLOOKUP($C45,'Insumos testigos '!$B$5:$HN$209,204,FALSE)</f>
        <v>90.41</v>
      </c>
      <c r="AG45" s="1654">
        <f>VLOOKUP($C45,'Insumos testigos '!$B$5:$HN$209,205,FALSE)</f>
        <v>91.77</v>
      </c>
      <c r="AH45" s="1654">
        <f>VLOOKUP($C45,'Insumos testigos '!$B$5:$HN$209,206,FALSE)</f>
        <v>93.12</v>
      </c>
      <c r="AI45" s="1654">
        <f>VLOOKUP($C45,'Insumos testigos '!$B$5:$HN$209,207,FALSE)</f>
        <v>102.43</v>
      </c>
      <c r="AJ45" s="1654">
        <f>VLOOKUP($C45,'Insumos testigos '!$B$5:$HN$209,208,FALSE)</f>
        <v>102.43</v>
      </c>
      <c r="AK45" s="1654">
        <f>VLOOKUP($C45,'Insumos testigos '!$B$5:$HN$209,209,FALSE)</f>
        <v>102.43</v>
      </c>
      <c r="AL45" s="1654">
        <f>VLOOKUP($C45,'Insumos testigos '!$B$5:$HN$209,210,FALSE)</f>
        <v>102.43</v>
      </c>
      <c r="AM45" s="1654">
        <f>VLOOKUP($C45,'Insumos testigos '!$B$5:$HN$209,211,FALSE)</f>
        <v>107.56</v>
      </c>
      <c r="AN45" s="1654">
        <f>VLOOKUP($C45,'Insumos testigos '!$B$5:$HN$209,212,FALSE)</f>
        <v>111.86</v>
      </c>
      <c r="AO45" s="1654">
        <f>VLOOKUP($C45,'Insumos testigos '!$B$5:$HN$209,213,FALSE)</f>
        <v>115.21</v>
      </c>
      <c r="AP45" s="1654">
        <f>VLOOKUP($C45,'Insumos testigos '!$B$5:$HN$209,214,FALSE)</f>
        <v>118.57</v>
      </c>
      <c r="AQ45" s="1654">
        <f>VLOOKUP($C45,'Insumos testigos '!$B$5:$HN$209,215,FALSE)</f>
        <v>118.57</v>
      </c>
      <c r="AR45" s="1654">
        <f>VLOOKUP($C45,'Insumos testigos '!$B$5:$HN$209,216,FALSE)</f>
        <v>122.13</v>
      </c>
      <c r="AS45" s="1654">
        <f>VLOOKUP($C45,'Insumos testigos '!$B$5:$HN$209,217,FALSE)</f>
        <v>122.13</v>
      </c>
      <c r="AT45" s="1654">
        <f>VLOOKUP($C45,'Insumos testigos '!$B$5:$HN$209,218,FALSE)</f>
        <v>130.68</v>
      </c>
      <c r="AU45" s="1654">
        <f>VLOOKUP($C45,'Insumos testigos '!$B$5:$HN$209,219,FALSE)</f>
        <v>143.74</v>
      </c>
      <c r="AV45" s="1654">
        <f>VLOOKUP($C45,'Insumos testigos '!$B$5:$HN$209,220,FALSE)</f>
        <v>150.93</v>
      </c>
      <c r="AW45" s="1654">
        <f>VLOOKUP($C45,'Insumos testigos '!$B$5:$HN$209,221,FALSE)</f>
        <v>150.93</v>
      </c>
      <c r="AX45" s="1654">
        <f>VLOOKUP($C45,'Insumos testigos '!$B$5:$HO$209,222,FALSE)</f>
        <v>157.4</v>
      </c>
      <c r="AY45" s="1654">
        <f>VLOOKUP($C45,'Insumos testigos '!$B$5:$JL$209,223,FALSE)</f>
        <v>162.91</v>
      </c>
      <c r="AZ45" s="1654">
        <f>VLOOKUP($C45,'Insumos testigos '!$B$5:$JL$209,224,FALSE)</f>
        <v>162.91</v>
      </c>
      <c r="BA45" s="1654">
        <f>VLOOKUP($C45,'Insumos testigos '!$B$5:$JL$209,225,FALSE)</f>
        <v>175.63</v>
      </c>
      <c r="BB45" s="1654">
        <f>VLOOKUP($C45,'Insumos testigos '!$B$5:$JL$209,226,FALSE)</f>
        <v>186.17</v>
      </c>
      <c r="BC45" s="1654">
        <f>VLOOKUP($C45,'Insumos testigos '!$B$5:$JL$209,227,FALSE)</f>
        <v>186.17</v>
      </c>
      <c r="BD45" s="1654">
        <f>VLOOKUP($C45,'Insumos testigos '!$B$5:$JL$209,228,FALSE)</f>
        <v>197.55</v>
      </c>
      <c r="BE45" s="1654">
        <f>VLOOKUP($C45,'Insumos testigos '!$B$5:$JL$209,229,FALSE)</f>
        <v>205.45</v>
      </c>
      <c r="BF45" s="1654">
        <f>VLOOKUP($C45,'Insumos testigos '!$B$5:$JL$209,230,FALSE)</f>
        <v>205.45</v>
      </c>
      <c r="BG45" s="1654">
        <f>VLOOKUP($C45,'Insumos testigos '!$B$5:$JL$209,231,FALSE)</f>
        <v>205.45</v>
      </c>
      <c r="BH45" s="1654">
        <f>VLOOKUP($C45,'Insumos testigos '!$B$5:$JL$209,232,FALSE)</f>
        <v>205.45</v>
      </c>
      <c r="BI45" s="1654">
        <f>VLOOKUP($C45,'Insumos testigos '!$B$5:$JL$209,233,FALSE)</f>
        <v>205.45</v>
      </c>
      <c r="BJ45" s="1654">
        <f>VLOOKUP($C45,'Insumos testigos '!$B$5:$JL$209,234,FALSE)</f>
        <v>205.45</v>
      </c>
      <c r="BK45" s="1654">
        <f>VLOOKUP($C45,'Insumos testigos '!$B$5:$JL$209,235,FALSE)</f>
        <v>205.45</v>
      </c>
      <c r="BL45" s="1654">
        <f>VLOOKUP($C45,'Insumos testigos '!$B$5:$JL$209,236,FALSE)</f>
        <v>205.45</v>
      </c>
      <c r="BM45" s="1654">
        <f>VLOOKUP($C45,'Insumos testigos '!$B$5:$JL$209,237,FALSE)</f>
        <v>205.45</v>
      </c>
      <c r="BN45" s="1654">
        <f>VLOOKUP($C45,'Insumos testigos '!$B$5:$JL$209,238,FALSE)</f>
        <v>256.81</v>
      </c>
      <c r="BO45" s="1654">
        <f>VLOOKUP($C45,'Insumos testigos '!$B$5:$JL$209,239,FALSE)</f>
        <v>256.81</v>
      </c>
      <c r="BP45" s="1654">
        <f>VLOOKUP($C45,'Insumos testigos '!$B$5:$JL$209,240,FALSE)</f>
        <v>256.81</v>
      </c>
      <c r="BQ45" s="1654">
        <f>VLOOKUP($C45,'Insumos testigos '!$B$5:$JL$209,241,FALSE)</f>
        <v>273.24</v>
      </c>
      <c r="BR45" s="1654">
        <f>VLOOKUP($C45,'Insumos testigos '!$B$5:$JL$209,242,FALSE)</f>
        <v>273.24</v>
      </c>
      <c r="BS45" s="1654">
        <f>VLOOKUP($C45,'Insumos testigos '!$B$5:$JL$209,243,FALSE)</f>
        <v>306.02999999999997</v>
      </c>
      <c r="BT45" s="1654">
        <f>VLOOKUP($C45,'Insumos testigos '!$B$5:$JL$209,244,FALSE)</f>
        <v>306.02999999999997</v>
      </c>
      <c r="BU45" s="1654">
        <f>VLOOKUP($C45,'Insumos testigos '!$B$5:$JL$209,245,FALSE)</f>
        <v>306.02999999999997</v>
      </c>
      <c r="BV45" s="1654">
        <f>VLOOKUP($C45,'Insumos testigos '!$B$5:$JL$209,246,FALSE)</f>
        <v>333.36</v>
      </c>
      <c r="BW45" s="1654">
        <f>VLOOKUP($C45,'Insumos testigos '!$B$5:$JL$209,247,FALSE)</f>
        <v>333.36</v>
      </c>
      <c r="BX45" s="1654">
        <f>VLOOKUP($C45,'Insumos testigos '!$B$5:$JL$209,248,FALSE)</f>
        <v>347.02</v>
      </c>
      <c r="BY45" s="1654">
        <f>VLOOKUP($C45,'Insumos testigos '!$B$5:$JL$209,249,FALSE)</f>
        <v>366.15</v>
      </c>
      <c r="BZ45" s="1654">
        <f>VLOOKUP($C45,'Insumos testigos '!$B$5:$JL$209,250,FALSE)</f>
        <v>366.15</v>
      </c>
      <c r="CA45" s="1654">
        <f>VLOOKUP($C45,'Insumos testigos '!$B$5:$JL$209,251,FALSE)</f>
        <v>366.15</v>
      </c>
      <c r="CB45" s="1654">
        <f>VLOOKUP($C45,'Insumos testigos '!$B$5:$JL$209,252,FALSE)</f>
        <v>379.81</v>
      </c>
      <c r="CC45" s="1654">
        <f>VLOOKUP($C45,'Insumos testigos '!$B$5:$JL$209,253,FALSE)</f>
        <v>398.39</v>
      </c>
      <c r="CD45" s="1654">
        <f>VLOOKUP($C45,'Insumos testigos '!$B$5:$JL$209,254,FALSE)</f>
        <v>420.79</v>
      </c>
      <c r="CE45" s="1654">
        <f>VLOOKUP($C45,'Insumos testigos '!$B$5:$JL$209,255,FALSE)</f>
        <v>420.79</v>
      </c>
      <c r="CF45" s="1654">
        <f>VLOOKUP($C45,'Insumos testigos '!$B$5:$JL$209,256,FALSE)</f>
        <v>463</v>
      </c>
      <c r="CG45" s="1654">
        <f>VLOOKUP($C45,'Insumos testigos '!$B$5:$JL$209,257,FALSE)</f>
        <v>505</v>
      </c>
      <c r="CH45" s="1654">
        <f>VLOOKUP($C45,'Insumos testigos '!$B$5:$JL$209,258,FALSE)</f>
        <v>505</v>
      </c>
      <c r="CI45" s="1654">
        <f>VLOOKUP($C45,'Insumos testigos '!$B$5:$JL$209,259,FALSE)</f>
        <v>539</v>
      </c>
      <c r="CJ45" s="1654">
        <f>VLOOKUP($C45,'Insumos testigos '!$B$5:$JL$209,260,FALSE)</f>
        <v>593</v>
      </c>
      <c r="CK45" s="1654">
        <f>VLOOKUP($C45,'Insumos testigos '!$B$5:$JL$209,261,FALSE)</f>
        <v>648</v>
      </c>
      <c r="CL45" s="1654">
        <f>VLOOKUP($C45,'Insumos testigos '!$B$5:$JL$209,262,FALSE)</f>
        <v>699</v>
      </c>
      <c r="CM45" s="1654">
        <f>VLOOKUP($C45,'Insumos testigos '!$B$5:$JL$209,263,FALSE)</f>
        <v>699</v>
      </c>
      <c r="CN45" s="1654">
        <f>VLOOKUP($C45,'Insumos testigos '!$B$5:$JL$209,264,FALSE)</f>
        <v>720</v>
      </c>
      <c r="CO45" s="1654">
        <f>VLOOKUP($C45,'Insumos testigos '!$B$5:$JL$209,265,FALSE)</f>
        <v>842</v>
      </c>
    </row>
    <row r="46" spans="2:93">
      <c r="B46" s="1655" t="s">
        <v>1089</v>
      </c>
      <c r="C46" s="1656">
        <v>1</v>
      </c>
      <c r="D46" s="1657">
        <v>0.19035768593207605</v>
      </c>
      <c r="E46" s="1658">
        <v>38.42</v>
      </c>
      <c r="F46" s="1658">
        <v>38.42</v>
      </c>
      <c r="G46" s="1658">
        <v>38.42</v>
      </c>
      <c r="H46" s="1658">
        <f>VLOOKUP($C46,'Insumos testigos '!$B$5:$HN$209,180,FALSE)</f>
        <v>38.42</v>
      </c>
      <c r="I46" s="1658">
        <f>VLOOKUP($C46,'Insumos testigos '!$B$5:$HN$209,181,FALSE)</f>
        <v>38.42</v>
      </c>
      <c r="J46" s="1658">
        <f>VLOOKUP($C46,'Insumos testigos '!$B$5:$HN$209,182,FALSE)</f>
        <v>38.42</v>
      </c>
      <c r="K46" s="1658">
        <f>VLOOKUP($C46,'Insumos testigos '!$B$5:$HN$209,183,FALSE)</f>
        <v>46.87</v>
      </c>
      <c r="L46" s="1658">
        <f>VLOOKUP($C46,'Insumos testigos '!$B$5:$HN$209,184,FALSE)</f>
        <v>46.87</v>
      </c>
      <c r="M46" s="1658">
        <f>VLOOKUP($C46,'Insumos testigos '!$B$5:$HN$209,185,FALSE)</f>
        <v>46.87</v>
      </c>
      <c r="N46" s="1658">
        <f>VLOOKUP($C46,'Insumos testigos '!$B$5:$HN$209,186,FALSE)</f>
        <v>46.87</v>
      </c>
      <c r="O46" s="1658">
        <f>VLOOKUP($C46,'Insumos testigos '!$B$5:$HN$209,187,FALSE)</f>
        <v>46.87</v>
      </c>
      <c r="P46" s="1658">
        <f>VLOOKUP($C46,'Insumos testigos '!$B$5:$HN$209,188,FALSE)</f>
        <v>46.87</v>
      </c>
      <c r="Q46" s="1658">
        <f>VLOOKUP($C46,'Insumos testigos '!$B$5:$HN$209,189,FALSE)</f>
        <v>51.48</v>
      </c>
      <c r="R46" s="1658">
        <f>VLOOKUP($C46,'Insumos testigos '!$B$5:$HN$209,190,FALSE)</f>
        <v>51.48</v>
      </c>
      <c r="S46" s="1658">
        <f>VLOOKUP($C46,'Insumos testigos '!$B$5:$HN$209,191,FALSE)</f>
        <v>51.48</v>
      </c>
      <c r="T46" s="1658">
        <f>VLOOKUP($C46,'Insumos testigos '!$B$5:$HN$209,192,FALSE)</f>
        <v>53.4</v>
      </c>
      <c r="U46" s="1658">
        <f>VLOOKUP($C46,'Insumos testigos '!$B$5:$HN$209,193,FALSE)</f>
        <v>53.4</v>
      </c>
      <c r="V46" s="1658">
        <f>VLOOKUP($C46,'Insumos testigos '!$B$5:$HN$209,194,FALSE)</f>
        <v>53.4</v>
      </c>
      <c r="W46" s="1658">
        <f>VLOOKUP($C46,'Insumos testigos '!$B$5:$HN$209,195,FALSE)</f>
        <v>59.28</v>
      </c>
      <c r="X46" s="1658">
        <f>VLOOKUP($C46,'Insumos testigos '!$B$5:$HN$209,196,FALSE)</f>
        <v>59.28</v>
      </c>
      <c r="Y46" s="1658">
        <f>VLOOKUP($C46,'Insumos testigos '!$B$5:$HN$209,197,FALSE)</f>
        <v>59.28</v>
      </c>
      <c r="Z46" s="1658">
        <f>VLOOKUP($C46,'Insumos testigos '!$B$5:$HN$209,198,FALSE)</f>
        <v>65.209999999999994</v>
      </c>
      <c r="AA46" s="1658">
        <f>VLOOKUP($C46,'Insumos testigos '!$B$5:$HN$209,199,FALSE)</f>
        <v>65.209999999999994</v>
      </c>
      <c r="AB46" s="1658">
        <f>VLOOKUP($C46,'Insumos testigos '!$B$5:$HN$209,200,FALSE)</f>
        <v>65.209999999999994</v>
      </c>
      <c r="AC46" s="1658">
        <f>VLOOKUP($C46,'Insumos testigos '!$B$5:$HN$209,201,FALSE)</f>
        <v>65.209999999999994</v>
      </c>
      <c r="AD46" s="1658">
        <f>VLOOKUP($C46,'Insumos testigos '!$B$5:$HN$209,202,FALSE)</f>
        <v>65.209999999999994</v>
      </c>
      <c r="AE46" s="1658">
        <f>VLOOKUP($C46,'Insumos testigos '!$B$5:$HN$209,203,FALSE)</f>
        <v>65.209999999999994</v>
      </c>
      <c r="AF46" s="1658">
        <f>VLOOKUP($C46,'Insumos testigos '!$B$5:$HN$209,204,FALSE)</f>
        <v>65.209999999999994</v>
      </c>
      <c r="AG46" s="1658">
        <f>VLOOKUP($C46,'Insumos testigos '!$B$5:$HN$209,205,FALSE)</f>
        <v>66.180000000000007</v>
      </c>
      <c r="AH46" s="1658">
        <f>VLOOKUP($C46,'Insumos testigos '!$B$5:$HN$209,206,FALSE)</f>
        <v>67.16</v>
      </c>
      <c r="AI46" s="1658">
        <f>VLOOKUP($C46,'Insumos testigos '!$B$5:$HN$209,207,FALSE)</f>
        <v>73.88</v>
      </c>
      <c r="AJ46" s="1658">
        <f>VLOOKUP($C46,'Insumos testigos '!$B$5:$HN$209,208,FALSE)</f>
        <v>73.88</v>
      </c>
      <c r="AK46" s="1658">
        <f>VLOOKUP($C46,'Insumos testigos '!$B$5:$HN$209,209,FALSE)</f>
        <v>73.88</v>
      </c>
      <c r="AL46" s="1658">
        <f>VLOOKUP($C46,'Insumos testigos '!$B$5:$HN$209,210,FALSE)</f>
        <v>73.88</v>
      </c>
      <c r="AM46" s="1658">
        <f>VLOOKUP($C46,'Insumos testigos '!$B$5:$HN$209,211,FALSE)</f>
        <v>77.569999999999993</v>
      </c>
      <c r="AN46" s="1658">
        <f>VLOOKUP($C46,'Insumos testigos '!$B$5:$HN$209,212,FALSE)</f>
        <v>80.680000000000007</v>
      </c>
      <c r="AO46" s="1658">
        <f>VLOOKUP($C46,'Insumos testigos '!$B$5:$HN$209,213,FALSE)</f>
        <v>83.1</v>
      </c>
      <c r="AP46" s="1658">
        <f>VLOOKUP($C46,'Insumos testigos '!$B$5:$HN$209,214,FALSE)</f>
        <v>85.52</v>
      </c>
      <c r="AQ46" s="1658">
        <f>VLOOKUP($C46,'Insumos testigos '!$B$5:$HN$209,215,FALSE)</f>
        <v>85.52</v>
      </c>
      <c r="AR46" s="1658">
        <f>VLOOKUP($C46,'Insumos testigos '!$B$5:$HN$209,216,FALSE)</f>
        <v>88.08</v>
      </c>
      <c r="AS46" s="1658">
        <f>VLOOKUP($C46,'Insumos testigos '!$B$5:$HN$209,217,FALSE)</f>
        <v>88.08</v>
      </c>
      <c r="AT46" s="1658">
        <f>VLOOKUP($C46,'Insumos testigos '!$B$5:$HN$209,218,FALSE)</f>
        <v>94.25</v>
      </c>
      <c r="AU46" s="1658">
        <f>VLOOKUP($C46,'Insumos testigos '!$B$5:$HN$209,219,FALSE)</f>
        <v>103.67</v>
      </c>
      <c r="AV46" s="1658">
        <f>VLOOKUP($C46,'Insumos testigos '!$B$5:$HN$209,220,FALSE)</f>
        <v>108.86</v>
      </c>
      <c r="AW46" s="1658">
        <f>VLOOKUP($C46,'Insumos testigos '!$B$5:$HN$209,221,FALSE)</f>
        <v>108.86</v>
      </c>
      <c r="AX46" s="1658">
        <f>VLOOKUP($C46,'Insumos testigos '!$B$5:$HO$209,222,FALSE)</f>
        <v>113.52</v>
      </c>
      <c r="AY46" s="1658">
        <f>VLOOKUP($C46,'Insumos testigos '!$B$5:$JL$209,223,FALSE)</f>
        <v>117.49</v>
      </c>
      <c r="AZ46" s="1658">
        <f>VLOOKUP($C46,'Insumos testigos '!$B$5:$JL$209,224,FALSE)</f>
        <v>117.49</v>
      </c>
      <c r="BA46" s="1658">
        <f>VLOOKUP($C46,'Insumos testigos '!$B$5:$JL$209,225,FALSE)</f>
        <v>126.67</v>
      </c>
      <c r="BB46" s="1658">
        <f>VLOOKUP($C46,'Insumos testigos '!$B$5:$JL$209,226,FALSE)</f>
        <v>134.27000000000001</v>
      </c>
      <c r="BC46" s="1658">
        <f>VLOOKUP($C46,'Insumos testigos '!$B$5:$JL$209,227,FALSE)</f>
        <v>134.27000000000001</v>
      </c>
      <c r="BD46" s="1658">
        <f>VLOOKUP($C46,'Insumos testigos '!$B$5:$JL$209,228,FALSE)</f>
        <v>142.47999999999999</v>
      </c>
      <c r="BE46" s="1658">
        <f>VLOOKUP($C46,'Insumos testigos '!$B$5:$JL$209,229,FALSE)</f>
        <v>148.16999999999999</v>
      </c>
      <c r="BF46" s="1658">
        <f>VLOOKUP($C46,'Insumos testigos '!$B$5:$JL$209,230,FALSE)</f>
        <v>148.16999999999999</v>
      </c>
      <c r="BG46" s="1658">
        <f>VLOOKUP($C46,'Insumos testigos '!$B$5:$JL$209,231,FALSE)</f>
        <v>148.16999999999999</v>
      </c>
      <c r="BH46" s="1658">
        <f>VLOOKUP($C46,'Insumos testigos '!$B$5:$JL$209,232,FALSE)</f>
        <v>148.16999999999999</v>
      </c>
      <c r="BI46" s="1658">
        <f>VLOOKUP($C46,'Insumos testigos '!$B$5:$JL$209,233,FALSE)</f>
        <v>148.16999999999999</v>
      </c>
      <c r="BJ46" s="1658">
        <f>VLOOKUP($C46,'Insumos testigos '!$B$5:$JL$209,234,FALSE)</f>
        <v>148.16999999999999</v>
      </c>
      <c r="BK46" s="1658">
        <f>VLOOKUP($C46,'Insumos testigos '!$B$5:$JL$209,235,FALSE)</f>
        <v>148.16999999999999</v>
      </c>
      <c r="BL46" s="1658">
        <f>VLOOKUP($C46,'Insumos testigos '!$B$5:$JL$209,236,FALSE)</f>
        <v>148.16999999999999</v>
      </c>
      <c r="BM46" s="1658">
        <f>VLOOKUP($C46,'Insumos testigos '!$B$5:$JL$209,237,FALSE)</f>
        <v>148.16999999999999</v>
      </c>
      <c r="BN46" s="1658">
        <f>VLOOKUP($C46,'Insumos testigos '!$B$5:$JL$209,238,FALSE)</f>
        <v>185.22</v>
      </c>
      <c r="BO46" s="1658">
        <f>VLOOKUP($C46,'Insumos testigos '!$B$5:$JL$209,239,FALSE)</f>
        <v>185.22</v>
      </c>
      <c r="BP46" s="1658">
        <f>VLOOKUP($C46,'Insumos testigos '!$B$5:$JL$209,240,FALSE)</f>
        <v>185.22</v>
      </c>
      <c r="BQ46" s="1658">
        <f>VLOOKUP($C46,'Insumos testigos '!$B$5:$JL$209,241,FALSE)</f>
        <v>197.07</v>
      </c>
      <c r="BR46" s="1658">
        <f>VLOOKUP($C46,'Insumos testigos '!$B$5:$JL$209,242,FALSE)</f>
        <v>197.07</v>
      </c>
      <c r="BS46" s="1658">
        <f>VLOOKUP($C46,'Insumos testigos '!$B$5:$JL$209,243,FALSE)</f>
        <v>220.72</v>
      </c>
      <c r="BT46" s="1658">
        <f>VLOOKUP($C46,'Insumos testigos '!$B$5:$JL$209,244,FALSE)</f>
        <v>220.72</v>
      </c>
      <c r="BU46" s="1658">
        <f>VLOOKUP($C46,'Insumos testigos '!$B$5:$JL$209,245,FALSE)</f>
        <v>220.72</v>
      </c>
      <c r="BV46" s="1658">
        <f>VLOOKUP($C46,'Insumos testigos '!$B$5:$JL$209,246,FALSE)</f>
        <v>240.43</v>
      </c>
      <c r="BW46" s="1658">
        <f>VLOOKUP($C46,'Insumos testigos '!$B$5:$JL$209,247,FALSE)</f>
        <v>240.43</v>
      </c>
      <c r="BX46" s="1658">
        <f>VLOOKUP($C46,'Insumos testigos '!$B$5:$JL$209,248,FALSE)</f>
        <v>250.28</v>
      </c>
      <c r="BY46" s="1658">
        <f>VLOOKUP($C46,'Insumos testigos '!$B$5:$JL$209,249,FALSE)</f>
        <v>264.08</v>
      </c>
      <c r="BZ46" s="1658">
        <f>VLOOKUP($C46,'Insumos testigos '!$B$5:$JL$209,250,FALSE)</f>
        <v>264.08</v>
      </c>
      <c r="CA46" s="1658">
        <f>VLOOKUP($C46,'Insumos testigos '!$B$5:$JL$209,251,FALSE)</f>
        <v>264.08</v>
      </c>
      <c r="CB46" s="1658">
        <f>VLOOKUP($C46,'Insumos testigos '!$B$5:$JL$209,252,FALSE)</f>
        <v>273.93</v>
      </c>
      <c r="CC46" s="1658">
        <f>VLOOKUP($C46,'Insumos testigos '!$B$5:$JL$209,253,FALSE)</f>
        <v>287.33</v>
      </c>
      <c r="CD46" s="1658">
        <f>VLOOKUP($C46,'Insumos testigos '!$B$5:$JL$209,254,FALSE)</f>
        <v>303.49</v>
      </c>
      <c r="CE46" s="1658">
        <f>VLOOKUP($C46,'Insumos testigos '!$B$5:$JL$209,255,FALSE)</f>
        <v>303.49</v>
      </c>
      <c r="CF46" s="1658">
        <f>VLOOKUP($C46,'Insumos testigos '!$B$5:$JL$209,256,FALSE)</f>
        <v>334</v>
      </c>
      <c r="CG46" s="1658">
        <f>VLOOKUP($C46,'Insumos testigos '!$B$5:$JL$209,257,FALSE)</f>
        <v>364</v>
      </c>
      <c r="CH46" s="1658">
        <f>VLOOKUP($C46,'Insumos testigos '!$B$5:$JL$209,258,FALSE)</f>
        <v>364</v>
      </c>
      <c r="CI46" s="1658">
        <f>VLOOKUP($C46,'Insumos testigos '!$B$5:$JL$209,259,FALSE)</f>
        <v>388</v>
      </c>
      <c r="CJ46" s="1658">
        <f>VLOOKUP($C46,'Insumos testigos '!$B$5:$JL$209,260,FALSE)</f>
        <v>428</v>
      </c>
      <c r="CK46" s="1658">
        <f>VLOOKUP($C46,'Insumos testigos '!$B$5:$JL$209,261,FALSE)</f>
        <v>467</v>
      </c>
      <c r="CL46" s="1658">
        <f>VLOOKUP($C46,'Insumos testigos '!$B$5:$JL$209,262,FALSE)</f>
        <v>504</v>
      </c>
      <c r="CM46" s="1658">
        <f>VLOOKUP($C46,'Insumos testigos '!$B$5:$JL$209,263,FALSE)</f>
        <v>504</v>
      </c>
      <c r="CN46" s="1654">
        <f>VLOOKUP($C46,'Insumos testigos '!$B$5:$JL$209,264,FALSE)</f>
        <v>519</v>
      </c>
      <c r="CO46" s="1654">
        <f>VLOOKUP($C46,'Insumos testigos '!$B$5:$JL$209,265,FALSE)</f>
        <v>607</v>
      </c>
    </row>
    <row r="47" spans="2:93">
      <c r="C47" s="64" t="s">
        <v>1093</v>
      </c>
      <c r="D47" s="1659">
        <f>SUM(D11:D46)</f>
        <v>0.99999999999999978</v>
      </c>
      <c r="E47" s="1659"/>
      <c r="F47" s="1659"/>
      <c r="G47" s="1659"/>
      <c r="H47" s="1659"/>
      <c r="I47" s="1659"/>
      <c r="J47" s="1659"/>
      <c r="K47" s="1659"/>
      <c r="L47" s="1659"/>
      <c r="M47" s="1659"/>
      <c r="N47" s="1659"/>
      <c r="O47" s="1659"/>
      <c r="P47" s="1659"/>
      <c r="Q47" s="1659"/>
      <c r="R47" s="1659"/>
      <c r="S47" s="1659"/>
      <c r="T47" s="1659"/>
      <c r="U47" s="1659"/>
      <c r="V47" s="1659"/>
      <c r="W47" s="1659"/>
      <c r="X47" s="1659"/>
      <c r="Y47" s="1659"/>
      <c r="Z47" s="1659"/>
      <c r="AA47" s="1659"/>
      <c r="AB47" s="1659"/>
      <c r="AC47" s="1659"/>
      <c r="AD47" s="1659"/>
      <c r="AE47" s="1659"/>
      <c r="AF47" s="1659"/>
      <c r="AG47" s="1659"/>
      <c r="AH47" s="1659"/>
      <c r="AI47" s="1659"/>
      <c r="AJ47" s="1659"/>
      <c r="AK47" s="1659"/>
      <c r="AL47" s="1771"/>
      <c r="AM47" s="1770"/>
      <c r="AN47" s="1770"/>
      <c r="AO47" s="1770"/>
      <c r="AP47" s="1770"/>
      <c r="AQ47" s="1770"/>
      <c r="AR47" s="1770"/>
      <c r="AS47" s="1770"/>
      <c r="AT47" s="1770"/>
      <c r="AU47" s="1770"/>
      <c r="AV47" s="1770"/>
      <c r="AW47" s="1770"/>
      <c r="AX47" s="1770"/>
      <c r="AY47" s="1770"/>
      <c r="AZ47" s="1770"/>
      <c r="BA47" s="1770"/>
      <c r="BB47" s="1770"/>
      <c r="BC47" s="1770"/>
      <c r="BD47" s="1770"/>
      <c r="BE47" s="1770"/>
      <c r="BF47" s="1770"/>
      <c r="BG47" s="1770"/>
      <c r="BH47" s="1770"/>
      <c r="BI47" s="1770"/>
      <c r="BJ47" s="1770"/>
      <c r="BK47" s="1770"/>
      <c r="BL47" s="1770"/>
      <c r="BM47" s="1770"/>
      <c r="BN47" s="1770"/>
      <c r="BO47" s="1770"/>
      <c r="BP47" s="1770"/>
      <c r="BQ47" s="1770"/>
      <c r="BR47" s="1770"/>
      <c r="BS47" s="1770"/>
      <c r="BT47" s="1770"/>
      <c r="BU47" s="1770"/>
      <c r="BV47" s="1770"/>
      <c r="BW47" s="1770"/>
      <c r="BX47" s="1770"/>
      <c r="BY47" s="1770"/>
      <c r="BZ47" s="1770"/>
      <c r="CA47" s="1770"/>
      <c r="CB47" s="1770"/>
      <c r="CC47" s="1770"/>
      <c r="CD47" s="1770"/>
      <c r="CE47" s="1770"/>
      <c r="CF47" s="1770"/>
      <c r="CG47" s="1770"/>
      <c r="CH47" s="1770"/>
      <c r="CI47" s="1770"/>
      <c r="CJ47" s="1770"/>
      <c r="CK47" s="1770"/>
      <c r="CL47" s="1770"/>
      <c r="CM47" s="1770"/>
      <c r="CN47" s="1770"/>
      <c r="CO47" s="1770"/>
    </row>
    <row r="48" spans="2:93" ht="9.6" customHeight="1"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</row>
    <row r="49" spans="2:93">
      <c r="B49" s="1665" t="s">
        <v>996</v>
      </c>
      <c r="C49" s="1660"/>
      <c r="D49" s="1660"/>
      <c r="E49" s="1661"/>
      <c r="F49" s="1662">
        <f t="shared" ref="F49:CO49" si="0">+F11/E11*$D$11+F12/E12*$D$12+F13/E13*$D$13+F14/E14*$D$14+F15/E15*$D$15+F16/E16*$D$16+F17/E17*$D$17+F18/E18*$D$18+F19/E19*$D$19+F20/E20*$D$20+F21/E21*$D$21+F22/E22*$D$22+F23/E23*$D$23+F24/E24*$D$24+F25/E25*$D$25+F26/E26*$D$26+F27/E27*$D$27+F28/E28*$D$28+F29/E29*$D$29+F30/E30*$D$30+F31/E31*$D$31+F32/E32*$D$32+F33/E33*$D$33+F34/E34*$D$34+F35/E35*$D$35+F36/E36*$D$36+F37/E37*$D$37+F38/E38*$D$38+F39/E39*$D$39+F40/E40*$D$40+F41/E41*$D$41+F42/E42*$D$42+F43/E43*$D$43+F45/E45*$D$45+F46/E46*$D$46</f>
        <v>1.0312832707060962</v>
      </c>
      <c r="G49" s="1662">
        <f t="shared" si="0"/>
        <v>1.1060673528452074</v>
      </c>
      <c r="H49" s="1662">
        <f t="shared" si="0"/>
        <v>0.35998522596364785</v>
      </c>
      <c r="I49" s="1662">
        <f t="shared" si="0"/>
        <v>1.0587612489034612</v>
      </c>
      <c r="J49" s="1662">
        <f t="shared" si="0"/>
        <v>1.0047922959184277</v>
      </c>
      <c r="K49" s="1662">
        <f t="shared" si="0"/>
        <v>1.0717746277496227</v>
      </c>
      <c r="L49" s="1662">
        <f t="shared" si="0"/>
        <v>1.0139245022771333</v>
      </c>
      <c r="M49" s="1662">
        <f t="shared" si="0"/>
        <v>1.0129829382670787</v>
      </c>
      <c r="N49" s="1662">
        <f t="shared" si="0"/>
        <v>1.004313940435543</v>
      </c>
      <c r="O49" s="1662">
        <f t="shared" si="0"/>
        <v>0.99667365973367572</v>
      </c>
      <c r="P49" s="1662">
        <f t="shared" si="0"/>
        <v>1.0019355422925926</v>
      </c>
      <c r="Q49" s="1662">
        <f t="shared" si="0"/>
        <v>1.0160036859018926</v>
      </c>
      <c r="R49" s="1662">
        <f t="shared" si="0"/>
        <v>1.0025436263284588</v>
      </c>
      <c r="S49" s="1662">
        <f t="shared" si="0"/>
        <v>1.0039924699915614</v>
      </c>
      <c r="T49" s="1662">
        <f t="shared" si="0"/>
        <v>1.0207564272524108</v>
      </c>
      <c r="U49" s="1662">
        <f t="shared" si="0"/>
        <v>1.0106589034291584</v>
      </c>
      <c r="V49" s="1662">
        <f t="shared" si="0"/>
        <v>1.0016386607571746</v>
      </c>
      <c r="W49" s="1662">
        <f t="shared" si="0"/>
        <v>1.0435672683216761</v>
      </c>
      <c r="X49" s="1662">
        <f t="shared" si="0"/>
        <v>1.0044107000972093</v>
      </c>
      <c r="Y49" s="1662">
        <f t="shared" si="0"/>
        <v>0.99929456023013619</v>
      </c>
      <c r="Z49" s="1662">
        <f t="shared" si="0"/>
        <v>1.0328821230394754</v>
      </c>
      <c r="AA49" s="1662">
        <f t="shared" si="0"/>
        <v>1.0164562413714593</v>
      </c>
      <c r="AB49" s="1662">
        <f t="shared" si="0"/>
        <v>1.0087383641684087</v>
      </c>
      <c r="AC49" s="1662">
        <f t="shared" si="0"/>
        <v>1.000202330896389</v>
      </c>
      <c r="AD49" s="1662">
        <f t="shared" si="0"/>
        <v>1.0053431678007396</v>
      </c>
      <c r="AE49" s="1662">
        <f t="shared" si="0"/>
        <v>1.0039623172985288</v>
      </c>
      <c r="AF49" s="1662">
        <f t="shared" si="0"/>
        <v>1.0182662713040362</v>
      </c>
      <c r="AG49" s="1662">
        <f t="shared" si="0"/>
        <v>1.0186035826764741</v>
      </c>
      <c r="AH49" s="1662">
        <f t="shared" si="0"/>
        <v>1.0130095185252759</v>
      </c>
      <c r="AI49" s="1662">
        <f t="shared" si="0"/>
        <v>1.0773035410331917</v>
      </c>
      <c r="AJ49" s="1662">
        <f t="shared" si="0"/>
        <v>1.0501298049613979</v>
      </c>
      <c r="AK49" s="1662">
        <f t="shared" si="0"/>
        <v>1.066459837741683</v>
      </c>
      <c r="AL49" s="1662">
        <f t="shared" si="0"/>
        <v>1.0377739782928594</v>
      </c>
      <c r="AM49" s="1662">
        <f t="shared" si="0"/>
        <v>1.0181304919086964</v>
      </c>
      <c r="AN49" s="1662">
        <f t="shared" si="0"/>
        <v>1.1723556657273844</v>
      </c>
      <c r="AO49" s="1662">
        <f t="shared" si="0"/>
        <v>1.0806576359741249</v>
      </c>
      <c r="AP49" s="1662">
        <f t="shared" si="0"/>
        <v>0.99689764472222364</v>
      </c>
      <c r="AQ49" s="1662">
        <f t="shared" si="0"/>
        <v>1.0019875089898456</v>
      </c>
      <c r="AR49" s="1662">
        <f t="shared" si="0"/>
        <v>1.0321649041266063</v>
      </c>
      <c r="AS49" s="1662">
        <f t="shared" si="0"/>
        <v>1.0224484984056386</v>
      </c>
      <c r="AT49" s="1662">
        <f t="shared" si="0"/>
        <v>1.0760350308339548</v>
      </c>
      <c r="AU49" s="1662">
        <f t="shared" si="0"/>
        <v>1.0627330351356259</v>
      </c>
      <c r="AV49" s="1662">
        <f t="shared" si="0"/>
        <v>1.037745681010052</v>
      </c>
      <c r="AW49" s="1662">
        <f t="shared" si="0"/>
        <v>0.99682115127563697</v>
      </c>
      <c r="AX49" s="1662">
        <f t="shared" si="0"/>
        <v>1.0250971125462509</v>
      </c>
      <c r="AY49" s="1662">
        <f t="shared" si="0"/>
        <v>1.106023932034168</v>
      </c>
      <c r="AZ49" s="1662">
        <f t="shared" si="0"/>
        <v>1.0606623071553796</v>
      </c>
      <c r="BA49" s="1662">
        <f t="shared" si="0"/>
        <v>1.0052355479796253</v>
      </c>
      <c r="BB49" s="1662">
        <f t="shared" si="0"/>
        <v>1.0550810162076276</v>
      </c>
      <c r="BC49" s="1662">
        <f t="shared" si="0"/>
        <v>0.99623608730492974</v>
      </c>
      <c r="BD49" s="1662">
        <f t="shared" si="0"/>
        <v>1.024554138150142</v>
      </c>
      <c r="BE49" s="1662">
        <f t="shared" si="0"/>
        <v>1.0174098749590039</v>
      </c>
      <c r="BF49" s="1662">
        <f t="shared" si="0"/>
        <v>0.99999999999999978</v>
      </c>
      <c r="BG49" s="1662">
        <f t="shared" si="0"/>
        <v>1.0119047356262683</v>
      </c>
      <c r="BH49" s="1662">
        <f t="shared" si="0"/>
        <v>1.0165747134432754</v>
      </c>
      <c r="BI49" s="1662">
        <f t="shared" si="0"/>
        <v>1.0068859364227993</v>
      </c>
      <c r="BJ49" s="1662">
        <f t="shared" si="0"/>
        <v>1.0233730601346125</v>
      </c>
      <c r="BK49" s="1662">
        <f t="shared" si="0"/>
        <v>1.0380294557478378</v>
      </c>
      <c r="BL49" s="1662">
        <f t="shared" si="0"/>
        <v>1.0124335484452118</v>
      </c>
      <c r="BM49" s="1662">
        <f t="shared" si="0"/>
        <v>1.0891728912445278</v>
      </c>
      <c r="BN49" s="1662">
        <f t="shared" si="0"/>
        <v>1.1166517350030294</v>
      </c>
      <c r="BO49" s="1662">
        <f t="shared" si="0"/>
        <v>1.0303512951848663</v>
      </c>
      <c r="BP49" s="1662">
        <f t="shared" si="0"/>
        <v>1.0355244447330323</v>
      </c>
      <c r="BQ49" s="1662">
        <f t="shared" si="0"/>
        <v>1.0675614262740112</v>
      </c>
      <c r="BR49" s="1662">
        <f t="shared" si="0"/>
        <v>1.0209250755170884</v>
      </c>
      <c r="BS49" s="1662">
        <f t="shared" si="0"/>
        <v>1.1005754408311197</v>
      </c>
      <c r="BT49" s="1662">
        <f t="shared" si="0"/>
        <v>1.0467824533967114</v>
      </c>
      <c r="BU49" s="1662">
        <f t="shared" si="0"/>
        <v>1.0171964752578402</v>
      </c>
      <c r="BV49" s="1662">
        <f t="shared" si="0"/>
        <v>1.0411748925541047</v>
      </c>
      <c r="BW49" s="1662">
        <f t="shared" si="0"/>
        <v>1.0123213736651788</v>
      </c>
      <c r="BX49" s="1662">
        <f t="shared" si="0"/>
        <v>1.0328034871278602</v>
      </c>
      <c r="BY49" s="1662">
        <f t="shared" si="0"/>
        <v>1.0386862990638619</v>
      </c>
      <c r="BZ49" s="1662">
        <f t="shared" si="0"/>
        <v>1.0354067860939646</v>
      </c>
      <c r="CA49" s="1662">
        <f t="shared" si="0"/>
        <v>1.0208953242974239</v>
      </c>
      <c r="CB49" s="1662">
        <f t="shared" si="0"/>
        <v>1.0339012836416874</v>
      </c>
      <c r="CC49" s="1662">
        <f t="shared" si="0"/>
        <v>1.0445979683206521</v>
      </c>
      <c r="CD49" s="1662">
        <f t="shared" si="0"/>
        <v>1.0378737879834052</v>
      </c>
      <c r="CE49" s="1662">
        <f t="shared" si="0"/>
        <v>1.030436096128861</v>
      </c>
      <c r="CF49" s="1662">
        <f t="shared" si="0"/>
        <v>1.0615470676050045</v>
      </c>
      <c r="CG49" s="1662">
        <f t="shared" si="0"/>
        <v>1.0652927526282656</v>
      </c>
      <c r="CH49" s="1662">
        <f t="shared" si="0"/>
        <v>1.1187647422267084</v>
      </c>
      <c r="CI49" s="1662">
        <f t="shared" si="0"/>
        <v>1.103622715769486</v>
      </c>
      <c r="CJ49" s="1662">
        <f t="shared" si="0"/>
        <v>1.1194324502659687</v>
      </c>
      <c r="CK49" s="1662">
        <f t="shared" si="0"/>
        <v>1.0576907674682947</v>
      </c>
      <c r="CL49" s="1662">
        <f t="shared" si="0"/>
        <v>1.080424595466293</v>
      </c>
      <c r="CM49" s="1662">
        <f t="shared" si="0"/>
        <v>1.058219054124369</v>
      </c>
      <c r="CN49" s="1662">
        <f t="shared" si="0"/>
        <v>1.0522158024064867</v>
      </c>
      <c r="CO49" s="1662">
        <f t="shared" si="0"/>
        <v>1.1084067203189858</v>
      </c>
    </row>
    <row r="50" spans="2:93">
      <c r="B50" s="1665" t="s">
        <v>1092</v>
      </c>
      <c r="C50" s="1660"/>
      <c r="D50" s="1660"/>
      <c r="E50" s="1663">
        <v>1130.2</v>
      </c>
      <c r="F50" s="1663">
        <f t="shared" ref="F50:Q50" si="1">+F49*E50</f>
        <v>1165.5563525520299</v>
      </c>
      <c r="G50" s="1663">
        <f t="shared" si="1"/>
        <v>1289.1838294591391</v>
      </c>
      <c r="H50" s="1663">
        <v>100</v>
      </c>
      <c r="I50" s="1663">
        <f t="shared" si="1"/>
        <v>105.87612489034612</v>
      </c>
      <c r="J50" s="1663">
        <f t="shared" si="1"/>
        <v>106.38351461151706</v>
      </c>
      <c r="K50" s="1663">
        <f t="shared" si="1"/>
        <v>114.01915177145524</v>
      </c>
      <c r="L50" s="1663">
        <f t="shared" si="1"/>
        <v>115.60681170993368</v>
      </c>
      <c r="M50" s="1663">
        <f t="shared" si="1"/>
        <v>117.10772780961754</v>
      </c>
      <c r="N50" s="1663">
        <f t="shared" si="1"/>
        <v>117.61292357193001</v>
      </c>
      <c r="O50" s="1663">
        <f t="shared" si="1"/>
        <v>117.22170296841259</v>
      </c>
      <c r="P50" s="1663">
        <f t="shared" si="1"/>
        <v>117.44859053211768</v>
      </c>
      <c r="Q50" s="1663">
        <f t="shared" si="1"/>
        <v>119.32820088461369</v>
      </c>
      <c r="R50" s="1663">
        <f t="shared" ref="R50:CO50" si="2">+R49*Q50</f>
        <v>119.63172723811142</v>
      </c>
      <c r="S50" s="1663">
        <f t="shared" si="2"/>
        <v>120.10935331914824</v>
      </c>
      <c r="T50" s="1663">
        <f t="shared" si="2"/>
        <v>122.60239437365125</v>
      </c>
      <c r="U50" s="1663">
        <f t="shared" si="2"/>
        <v>123.9092014554636</v>
      </c>
      <c r="V50" s="1663">
        <f t="shared" si="2"/>
        <v>124.11224660134151</v>
      </c>
      <c r="W50" s="1663">
        <f t="shared" si="2"/>
        <v>129.51947815102818</v>
      </c>
      <c r="X50" s="1663">
        <f t="shared" si="2"/>
        <v>130.09074972589943</v>
      </c>
      <c r="Y50" s="1663">
        <f t="shared" si="2"/>
        <v>129.99897853735138</v>
      </c>
      <c r="Z50" s="1663">
        <f t="shared" si="2"/>
        <v>134.27362094462268</v>
      </c>
      <c r="AA50" s="1663">
        <f t="shared" si="2"/>
        <v>136.48326006070721</v>
      </c>
      <c r="AB50" s="1663">
        <f t="shared" si="2"/>
        <v>137.6759004900093</v>
      </c>
      <c r="AC50" s="1663">
        <f t="shared" si="2"/>
        <v>137.70375657836661</v>
      </c>
      <c r="AD50" s="1663">
        <f t="shared" si="2"/>
        <v>138.43953085655701</v>
      </c>
      <c r="AE50" s="1663">
        <f t="shared" si="2"/>
        <v>138.98807220447017</v>
      </c>
      <c r="AF50" s="1663">
        <f t="shared" si="2"/>
        <v>141.52686603938201</v>
      </c>
      <c r="AG50" s="1663">
        <f t="shared" si="2"/>
        <v>144.15977279268793</v>
      </c>
      <c r="AH50" s="1663">
        <f t="shared" si="2"/>
        <v>146.03522202743397</v>
      </c>
      <c r="AI50" s="1663">
        <f t="shared" si="2"/>
        <v>157.32426180572298</v>
      </c>
      <c r="AJ50" s="1663">
        <f t="shared" si="2"/>
        <v>165.21089636573976</v>
      </c>
      <c r="AK50" s="1663">
        <f t="shared" si="2"/>
        <v>176.19078573136483</v>
      </c>
      <c r="AL50" s="1663">
        <f t="shared" si="2"/>
        <v>182.84621264698325</v>
      </c>
      <c r="AM50" s="1663">
        <f t="shared" si="2"/>
        <v>186.16130442591515</v>
      </c>
      <c r="AN50" s="1663">
        <f t="shared" si="2"/>
        <v>218.24725998292203</v>
      </c>
      <c r="AO50" s="1663">
        <f t="shared" si="2"/>
        <v>235.85056803097476</v>
      </c>
      <c r="AP50" s="1663">
        <f t="shared" si="2"/>
        <v>235.1188757764773</v>
      </c>
      <c r="AQ50" s="1663">
        <f>+AQ49*AP50</f>
        <v>235.58617665576543</v>
      </c>
      <c r="AR50" s="1663">
        <f t="shared" si="2"/>
        <v>243.16378344145187</v>
      </c>
      <c r="AS50" s="1663">
        <f t="shared" si="2"/>
        <v>248.62244524634633</v>
      </c>
      <c r="AT50" s="1663">
        <f t="shared" si="2"/>
        <v>267.52646053666552</v>
      </c>
      <c r="AU50" s="1663">
        <f t="shared" si="2"/>
        <v>284.30920738522178</v>
      </c>
      <c r="AV50" s="1663">
        <f t="shared" si="2"/>
        <v>295.04065203540512</v>
      </c>
      <c r="AW50" s="1663">
        <f t="shared" si="2"/>
        <v>294.10276243504711</v>
      </c>
      <c r="AX50" s="1663">
        <f t="shared" si="2"/>
        <v>301.48389256404278</v>
      </c>
      <c r="AY50" s="1663">
        <f t="shared" si="2"/>
        <v>333.44840029864929</v>
      </c>
      <c r="AZ50" s="1663">
        <f t="shared" si="2"/>
        <v>353.6761495780359</v>
      </c>
      <c r="BA50" s="1663">
        <f t="shared" si="2"/>
        <v>355.52783802840088</v>
      </c>
      <c r="BB50" s="1663">
        <f t="shared" si="2"/>
        <v>375.11067263710606</v>
      </c>
      <c r="BC50" s="1663">
        <f t="shared" si="2"/>
        <v>373.69878881431089</v>
      </c>
      <c r="BD50" s="1663">
        <f t="shared" si="2"/>
        <v>382.87464050139818</v>
      </c>
      <c r="BE50" s="1663">
        <f t="shared" si="2"/>
        <v>389.54044011750108</v>
      </c>
      <c r="BF50" s="1663">
        <f t="shared" si="2"/>
        <v>389.54044011750096</v>
      </c>
      <c r="BG50" s="1663">
        <f t="shared" si="2"/>
        <v>394.17781607284002</v>
      </c>
      <c r="BH50" s="1663">
        <f t="shared" si="2"/>
        <v>400.71120041994345</v>
      </c>
      <c r="BI50" s="1663">
        <f t="shared" si="2"/>
        <v>403.4704722699388</v>
      </c>
      <c r="BJ50" s="1663">
        <f t="shared" si="2"/>
        <v>412.90081188084457</v>
      </c>
      <c r="BK50" s="1663">
        <f t="shared" si="2"/>
        <v>428.60320503451345</v>
      </c>
      <c r="BL50" s="1663">
        <f t="shared" si="2"/>
        <v>433.93226374808313</v>
      </c>
      <c r="BM50" s="1663">
        <f t="shared" si="2"/>
        <v>472.62725831078268</v>
      </c>
      <c r="BN50" s="1663">
        <f t="shared" si="2"/>
        <v>527.76004800246039</v>
      </c>
      <c r="BO50" s="1663">
        <f t="shared" si="2"/>
        <v>543.77824900616235</v>
      </c>
      <c r="BP50" s="1663">
        <f t="shared" si="2"/>
        <v>563.09566936000681</v>
      </c>
      <c r="BQ50" s="1663">
        <f t="shared" si="2"/>
        <v>601.13921591068788</v>
      </c>
      <c r="BR50" s="1663">
        <f t="shared" si="2"/>
        <v>613.71809939990237</v>
      </c>
      <c r="BS50" s="1663">
        <f t="shared" si="2"/>
        <v>675.44306779308454</v>
      </c>
      <c r="BT50" s="1663">
        <f t="shared" si="2"/>
        <v>707.04195163424629</v>
      </c>
      <c r="BU50" s="1663">
        <f t="shared" si="2"/>
        <v>719.20058106177964</v>
      </c>
      <c r="BV50" s="1663">
        <f t="shared" si="2"/>
        <v>748.81358771184807</v>
      </c>
      <c r="BW50" s="1663">
        <f t="shared" si="2"/>
        <v>758.03999973160887</v>
      </c>
      <c r="BX50" s="1663">
        <f t="shared" si="2"/>
        <v>782.90635510520781</v>
      </c>
      <c r="BY50" s="1663">
        <f t="shared" si="2"/>
        <v>813.19410449780594</v>
      </c>
      <c r="BZ50" s="1663">
        <f t="shared" si="2"/>
        <v>841.98669420863291</v>
      </c>
      <c r="CA50" s="1663">
        <f t="shared" si="2"/>
        <v>859.58027923823818</v>
      </c>
      <c r="CB50" s="1663">
        <f t="shared" si="2"/>
        <v>888.7211540974946</v>
      </c>
      <c r="CC50" s="1663">
        <f t="shared" si="2"/>
        <v>928.35631197382804</v>
      </c>
      <c r="CD50" s="1663">
        <f t="shared" si="2"/>
        <v>963.51668210658079</v>
      </c>
      <c r="CE50" s="1663">
        <f t="shared" si="2"/>
        <v>992.84236846493786</v>
      </c>
      <c r="CF50" s="1663">
        <f t="shared" si="2"/>
        <v>1053.9489048379621</v>
      </c>
      <c r="CG50" s="1663">
        <f t="shared" si="2"/>
        <v>1122.7641299643785</v>
      </c>
      <c r="CH50" s="1663">
        <f t="shared" si="2"/>
        <v>1256.1089224409925</v>
      </c>
      <c r="CI50" s="1663">
        <f t="shared" si="2"/>
        <v>1386.2703402866109</v>
      </c>
      <c r="CJ50" s="1663">
        <f t="shared" si="2"/>
        <v>1551.8360037580792</v>
      </c>
      <c r="CK50" s="1663">
        <f t="shared" si="2"/>
        <v>1641.3626137998142</v>
      </c>
      <c r="CL50" s="1663">
        <f t="shared" si="2"/>
        <v>1773.3685380281615</v>
      </c>
      <c r="CM50" s="1663">
        <f t="shared" si="2"/>
        <v>1876.6123769260762</v>
      </c>
      <c r="CN50" s="1663">
        <f t="shared" si="2"/>
        <v>1974.6011979932155</v>
      </c>
      <c r="CO50" s="1663">
        <f t="shared" si="2"/>
        <v>2188.6612378056002</v>
      </c>
    </row>
  </sheetData>
  <mergeCells count="5">
    <mergeCell ref="E8:G8"/>
    <mergeCell ref="H8:S8"/>
    <mergeCell ref="T8:AE8"/>
    <mergeCell ref="AF8:AQ8"/>
    <mergeCell ref="AR8:BC8"/>
  </mergeCells>
  <printOptions horizontalCentered="1"/>
  <pageMargins left="0" right="0" top="0.78740157480314965" bottom="0" header="0.31496062992125984" footer="0.31496062992125984"/>
  <pageSetup paperSize="5" scale="8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92D050"/>
  </sheetPr>
  <dimension ref="B2:X529"/>
  <sheetViews>
    <sheetView showGridLines="0" showZeros="0" view="pageBreakPreview" topLeftCell="A504" zoomScale="70" zoomScaleSheetLayoutView="70" workbookViewId="0">
      <selection activeCell="E516" sqref="E516"/>
    </sheetView>
  </sheetViews>
  <sheetFormatPr baseColWidth="10" defaultColWidth="11.42578125" defaultRowHeight="14.25"/>
  <cols>
    <col min="1" max="1" width="3.5703125" style="2" customWidth="1"/>
    <col min="2" max="2" width="49.5703125" style="159" customWidth="1"/>
    <col min="3" max="3" width="16.140625" style="159" customWidth="1"/>
    <col min="4" max="4" width="9.85546875" style="159" customWidth="1"/>
    <col min="5" max="5" width="10" style="159" customWidth="1"/>
    <col min="6" max="9" width="9.140625" style="159" customWidth="1"/>
    <col min="10" max="10" width="9.42578125" style="159" customWidth="1"/>
    <col min="11" max="11" width="9" style="159" customWidth="1"/>
    <col min="12" max="12" width="9.140625" style="159" customWidth="1"/>
    <col min="13" max="13" width="9.42578125" style="159" customWidth="1"/>
    <col min="14" max="14" width="9.5703125" style="159" customWidth="1"/>
    <col min="15" max="15" width="10.140625" style="159" customWidth="1"/>
    <col min="16" max="16" width="8" style="2" customWidth="1"/>
    <col min="17" max="17" width="3.42578125" style="2" customWidth="1"/>
    <col min="18" max="16384" width="11.42578125" style="2"/>
  </cols>
  <sheetData>
    <row r="2" spans="2:16">
      <c r="B2" s="159" t="s">
        <v>591</v>
      </c>
      <c r="C2" s="2842" t="s">
        <v>592</v>
      </c>
      <c r="D2" s="2842"/>
      <c r="E2" s="2842"/>
      <c r="F2" s="2842"/>
      <c r="G2" s="2842"/>
      <c r="H2" s="2842"/>
      <c r="I2" s="2842"/>
      <c r="J2" s="2842"/>
      <c r="K2" s="2842"/>
      <c r="L2" s="2842"/>
      <c r="M2" s="2842"/>
      <c r="N2" s="2842"/>
    </row>
    <row r="3" spans="2:16">
      <c r="B3" s="159" t="s">
        <v>593</v>
      </c>
      <c r="C3" s="2842" t="s">
        <v>594</v>
      </c>
      <c r="D3" s="2842"/>
      <c r="E3" s="2842"/>
      <c r="F3" s="2842"/>
      <c r="G3" s="2842"/>
      <c r="H3" s="2842"/>
      <c r="I3" s="2842"/>
      <c r="J3" s="2842"/>
      <c r="K3" s="2842"/>
      <c r="L3" s="2842"/>
      <c r="M3" s="2842"/>
      <c r="N3" s="2842"/>
    </row>
    <row r="4" spans="2:16">
      <c r="B4" s="159" t="s">
        <v>595</v>
      </c>
    </row>
    <row r="5" spans="2:16" ht="15">
      <c r="C5" s="2843" t="s">
        <v>1023</v>
      </c>
      <c r="D5" s="2843"/>
      <c r="E5" s="2843"/>
      <c r="F5" s="2843"/>
      <c r="G5" s="2843"/>
      <c r="H5" s="2843"/>
      <c r="I5" s="2843"/>
      <c r="J5" s="2843"/>
      <c r="K5" s="2843"/>
      <c r="L5" s="2843"/>
      <c r="M5" s="2843"/>
      <c r="N5" s="2843"/>
    </row>
    <row r="6" spans="2:16" ht="9" customHeight="1"/>
    <row r="7" spans="2:16" ht="15">
      <c r="B7" s="160" t="s">
        <v>807</v>
      </c>
      <c r="C7" s="160"/>
    </row>
    <row r="8" spans="2:16" ht="9" customHeight="1" thickBot="1"/>
    <row r="9" spans="2:16" ht="16.5">
      <c r="B9" s="2825" t="s">
        <v>655</v>
      </c>
      <c r="C9" s="161" t="s">
        <v>695</v>
      </c>
      <c r="D9" s="2828" t="s">
        <v>808</v>
      </c>
      <c r="E9" s="2828"/>
      <c r="F9" s="2828"/>
      <c r="G9" s="2828"/>
      <c r="H9" s="2829"/>
    </row>
    <row r="10" spans="2:16" ht="16.5">
      <c r="B10" s="2826"/>
      <c r="C10" s="163" t="s">
        <v>696</v>
      </c>
      <c r="D10" s="164" t="s">
        <v>809</v>
      </c>
      <c r="E10" s="164" t="s">
        <v>810</v>
      </c>
      <c r="F10" s="164" t="s">
        <v>811</v>
      </c>
      <c r="G10" s="164" t="s">
        <v>812</v>
      </c>
      <c r="H10" s="165" t="s">
        <v>813</v>
      </c>
    </row>
    <row r="11" spans="2:16" ht="16.5">
      <c r="B11" s="2827"/>
      <c r="C11" s="166" t="s">
        <v>697</v>
      </c>
      <c r="D11" s="164" t="s">
        <v>815</v>
      </c>
      <c r="E11" s="164" t="s">
        <v>816</v>
      </c>
      <c r="F11" s="164" t="s">
        <v>817</v>
      </c>
      <c r="G11" s="164" t="s">
        <v>818</v>
      </c>
      <c r="H11" s="165" t="s">
        <v>819</v>
      </c>
    </row>
    <row r="12" spans="2:16" ht="16.5">
      <c r="B12" s="167" t="s">
        <v>820</v>
      </c>
      <c r="C12" s="168">
        <v>301</v>
      </c>
      <c r="D12" s="164">
        <v>42</v>
      </c>
      <c r="E12" s="164">
        <v>24</v>
      </c>
      <c r="F12" s="164">
        <v>10</v>
      </c>
      <c r="G12" s="164">
        <v>8</v>
      </c>
      <c r="H12" s="165">
        <v>16</v>
      </c>
      <c r="I12" s="169" t="s">
        <v>826</v>
      </c>
      <c r="J12" s="169"/>
      <c r="K12" s="169"/>
      <c r="L12" s="169"/>
      <c r="M12" s="169"/>
      <c r="N12" s="169"/>
      <c r="O12" s="170"/>
      <c r="P12" s="1"/>
    </row>
    <row r="13" spans="2:16" ht="16.5">
      <c r="B13" s="167" t="s">
        <v>827</v>
      </c>
      <c r="C13" s="168">
        <v>302</v>
      </c>
      <c r="D13" s="164">
        <v>44</v>
      </c>
      <c r="E13" s="164">
        <v>22</v>
      </c>
      <c r="F13" s="164">
        <v>8</v>
      </c>
      <c r="G13" s="164">
        <v>7</v>
      </c>
      <c r="H13" s="165">
        <v>19</v>
      </c>
      <c r="I13" s="169" t="s">
        <v>585</v>
      </c>
      <c r="J13" s="169"/>
      <c r="K13" s="169"/>
      <c r="L13" s="169"/>
      <c r="M13" s="169"/>
      <c r="N13" s="169"/>
      <c r="O13" s="170"/>
      <c r="P13" s="1"/>
    </row>
    <row r="14" spans="2:16" ht="16.5">
      <c r="B14" s="167" t="s">
        <v>828</v>
      </c>
      <c r="C14" s="168">
        <v>303</v>
      </c>
      <c r="D14" s="164">
        <v>35</v>
      </c>
      <c r="E14" s="164">
        <v>18</v>
      </c>
      <c r="F14" s="164">
        <v>17</v>
      </c>
      <c r="G14" s="164">
        <v>8</v>
      </c>
      <c r="H14" s="165">
        <v>22</v>
      </c>
      <c r="I14" s="169" t="s">
        <v>584</v>
      </c>
      <c r="J14" s="169"/>
      <c r="K14" s="169"/>
      <c r="L14" s="169"/>
      <c r="M14" s="169"/>
      <c r="N14" s="169"/>
      <c r="O14" s="170"/>
      <c r="P14" s="1"/>
    </row>
    <row r="15" spans="2:16" ht="17.25" thickBot="1">
      <c r="B15" s="171" t="s">
        <v>832</v>
      </c>
      <c r="C15" s="172">
        <v>304</v>
      </c>
      <c r="D15" s="173">
        <v>32</v>
      </c>
      <c r="E15" s="173">
        <v>0</v>
      </c>
      <c r="F15" s="173">
        <v>7</v>
      </c>
      <c r="G15" s="173">
        <v>14</v>
      </c>
      <c r="H15" s="174">
        <v>47</v>
      </c>
      <c r="I15" s="169" t="s">
        <v>833</v>
      </c>
      <c r="J15" s="169"/>
      <c r="K15" s="169"/>
      <c r="L15" s="169"/>
      <c r="M15" s="169"/>
      <c r="N15" s="169"/>
      <c r="O15" s="170"/>
      <c r="P15" s="1"/>
    </row>
    <row r="16" spans="2:16" ht="7.5" customHeight="1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9"/>
    </row>
    <row r="17" spans="2:16" ht="17.25" hidden="1" thickBot="1">
      <c r="B17" s="1453" t="s">
        <v>673</v>
      </c>
      <c r="C17" s="161" t="s">
        <v>831</v>
      </c>
      <c r="D17" s="1560">
        <v>37226</v>
      </c>
      <c r="E17" s="1560">
        <v>37257</v>
      </c>
      <c r="F17" s="1560">
        <v>37288</v>
      </c>
      <c r="G17" s="1560">
        <v>37319</v>
      </c>
      <c r="H17" s="1560">
        <v>37350</v>
      </c>
      <c r="I17" s="1560">
        <v>37381</v>
      </c>
      <c r="J17" s="1560">
        <v>37412</v>
      </c>
      <c r="K17" s="1560">
        <v>37443</v>
      </c>
      <c r="L17" s="1560">
        <v>37474</v>
      </c>
      <c r="M17" s="1560">
        <v>37505</v>
      </c>
      <c r="N17" s="1560">
        <v>37536</v>
      </c>
      <c r="O17" s="1560">
        <v>37561</v>
      </c>
      <c r="P17" s="1742">
        <v>37591</v>
      </c>
    </row>
    <row r="18" spans="2:16" ht="16.5" hidden="1">
      <c r="B18" s="177" t="s">
        <v>809</v>
      </c>
      <c r="C18" s="162">
        <v>50</v>
      </c>
      <c r="D18" s="178">
        <v>111.68</v>
      </c>
      <c r="E18" s="178">
        <v>111.68</v>
      </c>
      <c r="F18" s="178">
        <v>121.73</v>
      </c>
      <c r="G18" s="178">
        <v>121.73</v>
      </c>
      <c r="H18" s="178">
        <v>133.53</v>
      </c>
      <c r="I18" s="178">
        <v>140.55000000000001</v>
      </c>
      <c r="J18" s="179">
        <v>163</v>
      </c>
      <c r="K18" s="178">
        <v>178.53</v>
      </c>
      <c r="L18" s="178">
        <v>204.58</v>
      </c>
      <c r="M18" s="178">
        <v>227.23</v>
      </c>
      <c r="N18" s="178">
        <v>243.62</v>
      </c>
      <c r="O18" s="180">
        <v>255.83</v>
      </c>
      <c r="P18" s="45">
        <v>260.43</v>
      </c>
    </row>
    <row r="19" spans="2:16" ht="16.5" hidden="1">
      <c r="B19" s="181" t="s">
        <v>810</v>
      </c>
      <c r="C19" s="164">
        <v>19</v>
      </c>
      <c r="D19" s="182">
        <v>94.6</v>
      </c>
      <c r="E19" s="182">
        <v>106.6</v>
      </c>
      <c r="F19" s="182">
        <v>115.4</v>
      </c>
      <c r="G19" s="182">
        <v>123.3</v>
      </c>
      <c r="H19" s="182">
        <v>163.5</v>
      </c>
      <c r="I19" s="182">
        <v>182.7</v>
      </c>
      <c r="J19" s="182">
        <v>196.5</v>
      </c>
      <c r="K19" s="182">
        <v>235.8</v>
      </c>
      <c r="L19" s="182">
        <v>243.1</v>
      </c>
      <c r="M19" s="182">
        <v>244.5</v>
      </c>
      <c r="N19" s="182">
        <v>244</v>
      </c>
      <c r="O19" s="183">
        <v>241.7</v>
      </c>
      <c r="P19" s="27">
        <v>238.8</v>
      </c>
    </row>
    <row r="20" spans="2:16" ht="16.5" hidden="1">
      <c r="B20" s="181" t="s">
        <v>811</v>
      </c>
      <c r="C20" s="164">
        <v>58</v>
      </c>
      <c r="D20" s="182">
        <v>85.46</v>
      </c>
      <c r="E20" s="182">
        <v>99.61</v>
      </c>
      <c r="F20" s="182">
        <v>114.83</v>
      </c>
      <c r="G20" s="182">
        <v>141.13999999999999</v>
      </c>
      <c r="H20" s="182">
        <v>181.19</v>
      </c>
      <c r="I20" s="182">
        <v>211.93</v>
      </c>
      <c r="J20" s="182">
        <v>239.63</v>
      </c>
      <c r="K20" s="182">
        <v>253.18</v>
      </c>
      <c r="L20" s="182">
        <v>255.05</v>
      </c>
      <c r="M20" s="182">
        <v>255.17</v>
      </c>
      <c r="N20" s="182">
        <v>259.27</v>
      </c>
      <c r="O20" s="183">
        <v>269.44</v>
      </c>
      <c r="P20" s="27">
        <v>253.25</v>
      </c>
    </row>
    <row r="21" spans="2:16" ht="16.5" hidden="1">
      <c r="B21" s="181" t="s">
        <v>812</v>
      </c>
      <c r="C21" s="164">
        <v>23</v>
      </c>
      <c r="D21" s="184">
        <v>89.1</v>
      </c>
      <c r="E21" s="184">
        <v>90.3</v>
      </c>
      <c r="F21" s="184">
        <v>92.7</v>
      </c>
      <c r="G21" s="184">
        <v>91.6</v>
      </c>
      <c r="H21" s="184">
        <v>96.9</v>
      </c>
      <c r="I21" s="184">
        <v>99.4</v>
      </c>
      <c r="J21" s="184">
        <v>102.7</v>
      </c>
      <c r="K21" s="184">
        <v>104</v>
      </c>
      <c r="L21" s="184">
        <v>103.3</v>
      </c>
      <c r="M21" s="184">
        <v>105.5</v>
      </c>
      <c r="N21" s="184">
        <v>111.4</v>
      </c>
      <c r="O21" s="183">
        <v>112.9</v>
      </c>
      <c r="P21" s="27">
        <v>115.2</v>
      </c>
    </row>
    <row r="22" spans="2:16" ht="16.5" hidden="1">
      <c r="B22" s="181" t="s">
        <v>834</v>
      </c>
      <c r="C22" s="164" t="s">
        <v>835</v>
      </c>
      <c r="D22" s="184">
        <v>2.63</v>
      </c>
      <c r="E22" s="184">
        <v>2.63</v>
      </c>
      <c r="F22" s="184">
        <v>2.63</v>
      </c>
      <c r="G22" s="184">
        <v>2.63</v>
      </c>
      <c r="H22" s="184">
        <v>2.63</v>
      </c>
      <c r="I22" s="184">
        <v>2.63</v>
      </c>
      <c r="J22" s="185">
        <v>2.63</v>
      </c>
      <c r="K22" s="184">
        <v>3.2</v>
      </c>
      <c r="L22" s="184">
        <v>3.2</v>
      </c>
      <c r="M22" s="184">
        <v>3.2</v>
      </c>
      <c r="N22" s="184">
        <v>3.2</v>
      </c>
      <c r="O22" s="184">
        <v>3.2</v>
      </c>
      <c r="P22" s="31">
        <v>3.2</v>
      </c>
    </row>
    <row r="23" spans="2:16" ht="17.25" hidden="1" thickBot="1">
      <c r="B23" s="186"/>
      <c r="C23" s="173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48"/>
    </row>
    <row r="24" spans="2:16" ht="17.25" hidden="1" thickBot="1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P24" s="28"/>
    </row>
    <row r="25" spans="2:16" ht="16.5" hidden="1">
      <c r="B25" s="2804" t="s">
        <v>675</v>
      </c>
      <c r="C25" s="188" t="s">
        <v>836</v>
      </c>
      <c r="D25" s="189">
        <v>1</v>
      </c>
      <c r="E25" s="189">
        <v>1</v>
      </c>
      <c r="F25" s="189">
        <v>1.0900000000000001</v>
      </c>
      <c r="G25" s="189">
        <v>1.0900000000000001</v>
      </c>
      <c r="H25" s="189">
        <v>1.196</v>
      </c>
      <c r="I25" s="189">
        <v>1.2589999999999999</v>
      </c>
      <c r="J25" s="189">
        <v>1.46</v>
      </c>
      <c r="K25" s="189">
        <v>1.599</v>
      </c>
      <c r="L25" s="189">
        <v>1.8320000000000001</v>
      </c>
      <c r="M25" s="189">
        <v>2.0350000000000001</v>
      </c>
      <c r="N25" s="189">
        <v>2.181</v>
      </c>
      <c r="O25" s="189">
        <f>ROUND(+$O18/$D18,3)</f>
        <v>2.2909999999999999</v>
      </c>
      <c r="P25" s="29">
        <f>ROUND(+$P18/$D18,3)</f>
        <v>2.3319999999999999</v>
      </c>
    </row>
    <row r="26" spans="2:16" ht="16.5" hidden="1">
      <c r="B26" s="2805"/>
      <c r="C26" s="190" t="s">
        <v>837</v>
      </c>
      <c r="D26" s="191">
        <v>1</v>
      </c>
      <c r="E26" s="159">
        <v>1.127</v>
      </c>
      <c r="F26" s="159">
        <v>1.22</v>
      </c>
      <c r="G26" s="159">
        <v>1.3029999999999999</v>
      </c>
      <c r="H26" s="159">
        <v>1.728</v>
      </c>
      <c r="I26" s="159">
        <v>1.931</v>
      </c>
      <c r="J26" s="159">
        <v>2.077</v>
      </c>
      <c r="K26" s="159">
        <v>2.4929999999999999</v>
      </c>
      <c r="L26" s="159">
        <v>2.57</v>
      </c>
      <c r="M26" s="159">
        <v>2.585</v>
      </c>
      <c r="N26" s="159">
        <v>2.5790000000000002</v>
      </c>
      <c r="O26" s="192">
        <f>ROUND(+$O19/$D19,3)</f>
        <v>2.5550000000000002</v>
      </c>
      <c r="P26" s="34">
        <f>ROUND(+$P19/$D19,3)</f>
        <v>2.524</v>
      </c>
    </row>
    <row r="27" spans="2:16" ht="16.5" hidden="1">
      <c r="B27" s="2805"/>
      <c r="C27" s="190" t="s">
        <v>838</v>
      </c>
      <c r="D27" s="191">
        <v>1</v>
      </c>
      <c r="E27" s="182">
        <v>1.1659999999999999</v>
      </c>
      <c r="F27" s="182">
        <v>1.3440000000000001</v>
      </c>
      <c r="G27" s="182">
        <v>1.6519999999999999</v>
      </c>
      <c r="H27" s="182">
        <v>2.12</v>
      </c>
      <c r="I27" s="182">
        <v>2.48</v>
      </c>
      <c r="J27" s="182">
        <v>2.8039999999999998</v>
      </c>
      <c r="K27" s="182">
        <v>2.9630000000000001</v>
      </c>
      <c r="L27" s="182">
        <v>2.984</v>
      </c>
      <c r="M27" s="182">
        <v>2.9860000000000002</v>
      </c>
      <c r="N27" s="182">
        <v>3.0339999999999998</v>
      </c>
      <c r="O27" s="192">
        <f>ROUND(+$O20/$D20,3)</f>
        <v>3.153</v>
      </c>
      <c r="P27" s="34">
        <f>ROUND(+$P20/$D20,3)</f>
        <v>2.9630000000000001</v>
      </c>
    </row>
    <row r="28" spans="2:16" ht="16.5" hidden="1">
      <c r="B28" s="2805"/>
      <c r="C28" s="190" t="s">
        <v>839</v>
      </c>
      <c r="D28" s="191">
        <v>1</v>
      </c>
      <c r="E28" s="191">
        <v>1.0129999999999999</v>
      </c>
      <c r="F28" s="191">
        <v>1.04</v>
      </c>
      <c r="G28" s="191">
        <v>1.028</v>
      </c>
      <c r="H28" s="191">
        <v>1.0880000000000001</v>
      </c>
      <c r="I28" s="191">
        <v>1.1160000000000001</v>
      </c>
      <c r="J28" s="191">
        <v>1.153</v>
      </c>
      <c r="K28" s="191">
        <v>1.167</v>
      </c>
      <c r="L28" s="191">
        <v>1.159</v>
      </c>
      <c r="M28" s="191">
        <v>1.1839999999999999</v>
      </c>
      <c r="N28" s="191">
        <v>1.25</v>
      </c>
      <c r="O28" s="192">
        <f>ROUND(+$O21/$D21,3)</f>
        <v>1.2669999999999999</v>
      </c>
      <c r="P28" s="34">
        <f>ROUND(+$P21/$D21,3)</f>
        <v>1.2929999999999999</v>
      </c>
    </row>
    <row r="29" spans="2:16" ht="17.25" hidden="1" thickBot="1">
      <c r="B29" s="2806"/>
      <c r="C29" s="193" t="s">
        <v>677</v>
      </c>
      <c r="D29" s="194">
        <v>1</v>
      </c>
      <c r="E29" s="194">
        <v>1</v>
      </c>
      <c r="F29" s="194">
        <v>1</v>
      </c>
      <c r="G29" s="194">
        <v>1</v>
      </c>
      <c r="H29" s="194">
        <v>1</v>
      </c>
      <c r="I29" s="194">
        <v>1</v>
      </c>
      <c r="J29" s="194">
        <v>1</v>
      </c>
      <c r="K29" s="194">
        <f t="shared" ref="K29:P29" si="0">ROUND(K22/$D$22,3)</f>
        <v>1.2170000000000001</v>
      </c>
      <c r="L29" s="194">
        <f t="shared" si="0"/>
        <v>1.2170000000000001</v>
      </c>
      <c r="M29" s="194">
        <f t="shared" si="0"/>
        <v>1.2170000000000001</v>
      </c>
      <c r="N29" s="194">
        <f t="shared" si="0"/>
        <v>1.2170000000000001</v>
      </c>
      <c r="O29" s="194">
        <f t="shared" si="0"/>
        <v>1.2170000000000001</v>
      </c>
      <c r="P29" s="30">
        <f t="shared" si="0"/>
        <v>1.2170000000000001</v>
      </c>
    </row>
    <row r="30" spans="2:16" ht="17.25" hidden="1" thickBot="1">
      <c r="B30" s="170"/>
      <c r="C30" s="147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2:16" ht="17.25" hidden="1" thickBot="1">
      <c r="B31" s="1453" t="s">
        <v>860</v>
      </c>
      <c r="C31" s="161" t="s">
        <v>831</v>
      </c>
      <c r="D31" s="1560">
        <v>37226</v>
      </c>
      <c r="E31" s="1560">
        <v>37257</v>
      </c>
      <c r="F31" s="1560">
        <v>37288</v>
      </c>
      <c r="G31" s="1560">
        <v>37319</v>
      </c>
      <c r="H31" s="1560">
        <v>37350</v>
      </c>
      <c r="I31" s="1560">
        <v>37381</v>
      </c>
      <c r="J31" s="1560">
        <v>37412</v>
      </c>
      <c r="K31" s="1560">
        <v>37443</v>
      </c>
      <c r="L31" s="1560">
        <v>37474</v>
      </c>
      <c r="M31" s="1560">
        <v>37505</v>
      </c>
      <c r="N31" s="1560">
        <v>37536</v>
      </c>
      <c r="O31" s="1560">
        <v>37562</v>
      </c>
      <c r="P31" s="1742">
        <v>37592</v>
      </c>
    </row>
    <row r="32" spans="2:16" ht="16.5" hidden="1">
      <c r="B32" s="196" t="s">
        <v>820</v>
      </c>
      <c r="C32" s="162">
        <v>301</v>
      </c>
      <c r="D32" s="198">
        <f t="shared" ref="D32:P32" si="1">ROUND(MMULT($D12:$H12,D$25:D$29),2)</f>
        <v>100</v>
      </c>
      <c r="E32" s="198">
        <f t="shared" si="1"/>
        <v>104.81</v>
      </c>
      <c r="F32" s="198">
        <f t="shared" si="1"/>
        <v>112.82</v>
      </c>
      <c r="G32" s="198">
        <f t="shared" si="1"/>
        <v>117.8</v>
      </c>
      <c r="H32" s="198">
        <f t="shared" si="1"/>
        <v>137.61000000000001</v>
      </c>
      <c r="I32" s="198">
        <f t="shared" si="1"/>
        <v>148.94999999999999</v>
      </c>
      <c r="J32" s="198">
        <f t="shared" si="1"/>
        <v>164.43</v>
      </c>
      <c r="K32" s="198">
        <f t="shared" si="1"/>
        <v>185.43</v>
      </c>
      <c r="L32" s="198">
        <f t="shared" si="1"/>
        <v>197.21</v>
      </c>
      <c r="M32" s="198">
        <f t="shared" si="1"/>
        <v>206.31</v>
      </c>
      <c r="N32" s="198">
        <f t="shared" si="1"/>
        <v>213.31</v>
      </c>
      <c r="O32" s="198">
        <f t="shared" si="1"/>
        <v>218.68</v>
      </c>
      <c r="P32" s="46">
        <f t="shared" si="1"/>
        <v>217.97</v>
      </c>
    </row>
    <row r="33" spans="2:16" ht="16.5" hidden="1">
      <c r="B33" s="167" t="s">
        <v>827</v>
      </c>
      <c r="C33" s="164">
        <v>302</v>
      </c>
      <c r="D33" s="185">
        <f t="shared" ref="D33:P33" si="2">ROUND(MMULT($D13:$H13,D$25:D$29),2)</f>
        <v>100</v>
      </c>
      <c r="E33" s="185">
        <f t="shared" si="2"/>
        <v>104.21</v>
      </c>
      <c r="F33" s="185">
        <f t="shared" si="2"/>
        <v>111.83</v>
      </c>
      <c r="G33" s="185">
        <f t="shared" si="2"/>
        <v>116.04</v>
      </c>
      <c r="H33" s="185">
        <f t="shared" si="2"/>
        <v>134.22</v>
      </c>
      <c r="I33" s="185">
        <f t="shared" si="2"/>
        <v>144.53</v>
      </c>
      <c r="J33" s="185">
        <f t="shared" si="2"/>
        <v>159.44</v>
      </c>
      <c r="K33" s="185">
        <f t="shared" si="2"/>
        <v>180.2</v>
      </c>
      <c r="L33" s="185">
        <f t="shared" si="2"/>
        <v>192.26</v>
      </c>
      <c r="M33" s="185">
        <f t="shared" si="2"/>
        <v>201.71</v>
      </c>
      <c r="N33" s="185">
        <f t="shared" si="2"/>
        <v>208.85</v>
      </c>
      <c r="O33" s="185">
        <f t="shared" si="2"/>
        <v>214.23</v>
      </c>
      <c r="P33" s="47">
        <f t="shared" si="2"/>
        <v>214.01</v>
      </c>
    </row>
    <row r="34" spans="2:16" ht="16.5" hidden="1">
      <c r="B34" s="167" t="s">
        <v>828</v>
      </c>
      <c r="C34" s="164">
        <v>303</v>
      </c>
      <c r="D34" s="185">
        <f t="shared" ref="D34:P34" si="3">ROUND(MMULT($D14:$H14,D$25:D$29),2)</f>
        <v>100</v>
      </c>
      <c r="E34" s="185">
        <f t="shared" si="3"/>
        <v>105.21</v>
      </c>
      <c r="F34" s="185">
        <f t="shared" si="3"/>
        <v>113.28</v>
      </c>
      <c r="G34" s="185">
        <f t="shared" si="3"/>
        <v>119.91</v>
      </c>
      <c r="H34" s="185">
        <f t="shared" si="3"/>
        <v>139.71</v>
      </c>
      <c r="I34" s="185">
        <f t="shared" si="3"/>
        <v>151.91</v>
      </c>
      <c r="J34" s="185">
        <f t="shared" si="3"/>
        <v>167.38</v>
      </c>
      <c r="K34" s="185">
        <f t="shared" si="3"/>
        <v>187.32</v>
      </c>
      <c r="L34" s="185">
        <f t="shared" si="3"/>
        <v>197.15</v>
      </c>
      <c r="M34" s="185">
        <f t="shared" si="3"/>
        <v>204.76</v>
      </c>
      <c r="N34" s="185">
        <f t="shared" si="3"/>
        <v>211.11</v>
      </c>
      <c r="O34" s="185">
        <f t="shared" si="3"/>
        <v>216.69</v>
      </c>
      <c r="P34" s="47">
        <f t="shared" si="3"/>
        <v>214.54</v>
      </c>
    </row>
    <row r="35" spans="2:16" ht="17.25" hidden="1" thickBot="1">
      <c r="B35" s="171" t="s">
        <v>832</v>
      </c>
      <c r="C35" s="173">
        <v>304</v>
      </c>
      <c r="D35" s="201">
        <f t="shared" ref="D35:P35" si="4">ROUND(MMULT($D15:$H15,D$25:D$29),2)</f>
        <v>100</v>
      </c>
      <c r="E35" s="201">
        <f t="shared" si="4"/>
        <v>101.34</v>
      </c>
      <c r="F35" s="201">
        <f t="shared" si="4"/>
        <v>105.85</v>
      </c>
      <c r="G35" s="201">
        <f t="shared" si="4"/>
        <v>107.84</v>
      </c>
      <c r="H35" s="201">
        <f t="shared" si="4"/>
        <v>115.34</v>
      </c>
      <c r="I35" s="201">
        <f t="shared" si="4"/>
        <v>120.27</v>
      </c>
      <c r="J35" s="201">
        <f t="shared" si="4"/>
        <v>129.49</v>
      </c>
      <c r="K35" s="201">
        <f t="shared" si="4"/>
        <v>145.44999999999999</v>
      </c>
      <c r="L35" s="201">
        <f t="shared" si="4"/>
        <v>152.94</v>
      </c>
      <c r="M35" s="201">
        <f t="shared" si="4"/>
        <v>159.80000000000001</v>
      </c>
      <c r="N35" s="201">
        <f t="shared" si="4"/>
        <v>165.73</v>
      </c>
      <c r="O35" s="201">
        <f t="shared" si="4"/>
        <v>170.32</v>
      </c>
      <c r="P35" s="42">
        <f t="shared" si="4"/>
        <v>170.67</v>
      </c>
    </row>
    <row r="36" spans="2:16" ht="16.5" hidden="1">
      <c r="B36" s="202" t="s">
        <v>861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2:16" ht="16.5" hidden="1">
      <c r="B37" s="170"/>
      <c r="C37" s="170" t="s">
        <v>862</v>
      </c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</row>
    <row r="38" spans="2:16" ht="16.5" hidden="1">
      <c r="B38" s="170"/>
      <c r="C38" s="170" t="s">
        <v>863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</row>
    <row r="39" spans="2:16" ht="17.25" hidden="1" thickBot="1">
      <c r="B39" s="175"/>
      <c r="C39" s="20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9"/>
    </row>
    <row r="40" spans="2:16" ht="16.5" hidden="1">
      <c r="B40" s="2807" t="s">
        <v>673</v>
      </c>
      <c r="C40" s="161" t="s">
        <v>695</v>
      </c>
      <c r="D40" s="2795">
        <v>37622</v>
      </c>
      <c r="E40" s="2795">
        <v>37653</v>
      </c>
      <c r="F40" s="2795">
        <v>37681</v>
      </c>
      <c r="G40" s="2822">
        <v>37712</v>
      </c>
      <c r="H40" s="2795">
        <v>37742</v>
      </c>
      <c r="I40" s="2795">
        <v>37773</v>
      </c>
      <c r="J40" s="2795">
        <v>37803</v>
      </c>
      <c r="K40" s="2833">
        <v>37834</v>
      </c>
      <c r="L40" s="2836">
        <f>+K40+31</f>
        <v>37865</v>
      </c>
      <c r="M40" s="2830">
        <v>37895</v>
      </c>
      <c r="N40" s="2839">
        <v>37926</v>
      </c>
      <c r="O40" s="2839">
        <v>37956</v>
      </c>
    </row>
    <row r="41" spans="2:16" ht="16.5" hidden="1">
      <c r="B41" s="2808"/>
      <c r="C41" s="163" t="s">
        <v>696</v>
      </c>
      <c r="D41" s="2796"/>
      <c r="E41" s="2796"/>
      <c r="F41" s="2796"/>
      <c r="G41" s="2823"/>
      <c r="H41" s="2796"/>
      <c r="I41" s="2796"/>
      <c r="J41" s="2796"/>
      <c r="K41" s="2834"/>
      <c r="L41" s="2837"/>
      <c r="M41" s="2831"/>
      <c r="N41" s="2840"/>
      <c r="O41" s="2840"/>
    </row>
    <row r="42" spans="2:16" ht="17.25" hidden="1" thickBot="1">
      <c r="B42" s="2821"/>
      <c r="C42" s="176" t="s">
        <v>697</v>
      </c>
      <c r="D42" s="2797"/>
      <c r="E42" s="2797"/>
      <c r="F42" s="2797"/>
      <c r="G42" s="2824"/>
      <c r="H42" s="2797"/>
      <c r="I42" s="2797"/>
      <c r="J42" s="2797"/>
      <c r="K42" s="2835"/>
      <c r="L42" s="2838"/>
      <c r="M42" s="2832"/>
      <c r="N42" s="2841"/>
      <c r="O42" s="2841"/>
    </row>
    <row r="43" spans="2:16" ht="16.5" hidden="1">
      <c r="B43" s="177" t="s">
        <v>809</v>
      </c>
      <c r="C43" s="162">
        <v>50</v>
      </c>
      <c r="D43" s="203">
        <v>263.58</v>
      </c>
      <c r="E43" s="203">
        <v>263.48</v>
      </c>
      <c r="F43" s="203">
        <v>263.48</v>
      </c>
      <c r="G43" s="203">
        <v>263.48</v>
      </c>
      <c r="H43" s="203">
        <v>263.92</v>
      </c>
      <c r="I43" s="203">
        <v>264.07</v>
      </c>
      <c r="J43" s="203">
        <v>267.77999999999997</v>
      </c>
      <c r="K43" s="204">
        <v>268</v>
      </c>
      <c r="L43" s="205">
        <v>268</v>
      </c>
      <c r="M43" s="206">
        <v>268</v>
      </c>
      <c r="N43" s="206">
        <v>268</v>
      </c>
      <c r="O43" s="207">
        <v>268</v>
      </c>
    </row>
    <row r="44" spans="2:16" ht="16.5" hidden="1">
      <c r="B44" s="181" t="s">
        <v>810</v>
      </c>
      <c r="C44" s="164">
        <v>19</v>
      </c>
      <c r="D44" s="183">
        <v>239.2</v>
      </c>
      <c r="E44" s="183">
        <v>237.1</v>
      </c>
      <c r="F44" s="183">
        <v>239.1</v>
      </c>
      <c r="G44" s="183">
        <v>245.8</v>
      </c>
      <c r="H44" s="183">
        <v>246.8</v>
      </c>
      <c r="I44" s="183">
        <v>244.6</v>
      </c>
      <c r="J44" s="183">
        <v>244.2</v>
      </c>
      <c r="K44" s="208">
        <v>243.2</v>
      </c>
      <c r="L44" s="209">
        <v>243.2</v>
      </c>
      <c r="M44" s="210">
        <v>243.6</v>
      </c>
      <c r="N44" s="210">
        <v>247.6</v>
      </c>
      <c r="O44" s="211">
        <v>251.7</v>
      </c>
    </row>
    <row r="45" spans="2:16" ht="16.5" hidden="1">
      <c r="B45" s="181" t="s">
        <v>811</v>
      </c>
      <c r="C45" s="164">
        <v>58</v>
      </c>
      <c r="D45" s="212">
        <v>237.61</v>
      </c>
      <c r="E45" s="183">
        <v>234.6</v>
      </c>
      <c r="F45" s="212">
        <v>236.09</v>
      </c>
      <c r="G45" s="212">
        <v>232.22</v>
      </c>
      <c r="H45" s="183">
        <v>224.6</v>
      </c>
      <c r="I45" s="183">
        <v>225</v>
      </c>
      <c r="J45" s="183">
        <v>222.45</v>
      </c>
      <c r="K45" s="208">
        <v>228.52</v>
      </c>
      <c r="L45" s="213">
        <v>228.87</v>
      </c>
      <c r="M45" s="214">
        <v>225.91</v>
      </c>
      <c r="N45" s="214">
        <v>228.07</v>
      </c>
      <c r="O45" s="215">
        <v>232.46</v>
      </c>
    </row>
    <row r="46" spans="2:16" ht="16.5" hidden="1">
      <c r="B46" s="181" t="s">
        <v>812</v>
      </c>
      <c r="C46" s="164">
        <v>23</v>
      </c>
      <c r="D46" s="216">
        <v>147.16999999999999</v>
      </c>
      <c r="E46" s="212">
        <v>157.47</v>
      </c>
      <c r="F46" s="212">
        <v>162.65</v>
      </c>
      <c r="G46" s="212">
        <v>165.16</v>
      </c>
      <c r="H46" s="212">
        <v>177.31</v>
      </c>
      <c r="I46" s="212">
        <v>188.56</v>
      </c>
      <c r="J46" s="212">
        <v>190.21</v>
      </c>
      <c r="K46" s="208">
        <v>185.12</v>
      </c>
      <c r="L46" s="213">
        <v>199.92</v>
      </c>
      <c r="M46" s="214">
        <v>206.98</v>
      </c>
      <c r="N46" s="214">
        <v>217.91</v>
      </c>
      <c r="O46" s="215">
        <v>224.17</v>
      </c>
    </row>
    <row r="47" spans="2:16" ht="16.5" hidden="1">
      <c r="B47" s="181" t="s">
        <v>834</v>
      </c>
      <c r="C47" s="164" t="s">
        <v>835</v>
      </c>
      <c r="D47" s="184">
        <v>3.37</v>
      </c>
      <c r="E47" s="184">
        <v>3.37</v>
      </c>
      <c r="F47" s="184">
        <v>3.49</v>
      </c>
      <c r="G47" s="184">
        <v>3.49</v>
      </c>
      <c r="H47" s="184">
        <v>3.77</v>
      </c>
      <c r="I47" s="184">
        <v>3.77</v>
      </c>
      <c r="J47" s="184">
        <v>4.1900000000000004</v>
      </c>
      <c r="K47" s="217">
        <v>4.18</v>
      </c>
      <c r="L47" s="209">
        <v>4.3499999999999996</v>
      </c>
      <c r="M47" s="210">
        <v>4.57</v>
      </c>
      <c r="N47" s="210">
        <v>4.78</v>
      </c>
      <c r="O47" s="215">
        <v>5</v>
      </c>
    </row>
    <row r="48" spans="2:16" ht="17.25" hidden="1" thickBot="1">
      <c r="B48" s="186"/>
      <c r="C48" s="173"/>
      <c r="D48" s="187"/>
      <c r="E48" s="187"/>
      <c r="F48" s="187"/>
      <c r="G48" s="187"/>
      <c r="H48" s="187"/>
      <c r="I48" s="187"/>
      <c r="J48" s="187"/>
      <c r="K48" s="218"/>
      <c r="L48" s="219"/>
      <c r="M48" s="220"/>
      <c r="N48" s="220"/>
      <c r="O48" s="221"/>
    </row>
    <row r="49" spans="2:15" ht="17.25" hidden="1" thickBot="1">
      <c r="B49" s="170"/>
      <c r="C49" s="170"/>
      <c r="M49" s="222"/>
      <c r="N49" s="223"/>
    </row>
    <row r="50" spans="2:15" ht="16.5" hidden="1">
      <c r="B50" s="2804" t="s">
        <v>675</v>
      </c>
      <c r="C50" s="188" t="s">
        <v>836</v>
      </c>
      <c r="D50" s="224">
        <f>ROUND(+$D43/$D18,3)</f>
        <v>2.36</v>
      </c>
      <c r="E50" s="224">
        <f>ROUND(+$E43/$D18,3)</f>
        <v>2.359</v>
      </c>
      <c r="F50" s="224">
        <f>ROUND(+$F43/$D18,3)</f>
        <v>2.359</v>
      </c>
      <c r="G50" s="189">
        <f>ROUND(+$G43/$D18,3)</f>
        <v>2.359</v>
      </c>
      <c r="H50" s="189">
        <f>ROUND(+$H43/$D18,3)</f>
        <v>2.363</v>
      </c>
      <c r="I50" s="189">
        <f>ROUND(+$I43/$D18,3)</f>
        <v>2.3650000000000002</v>
      </c>
      <c r="J50" s="189">
        <f t="shared" ref="J50:O50" si="5">ROUND(+J43/$D18,3)</f>
        <v>2.3980000000000001</v>
      </c>
      <c r="K50" s="189">
        <f t="shared" si="5"/>
        <v>2.4</v>
      </c>
      <c r="L50" s="224">
        <f t="shared" si="5"/>
        <v>2.4</v>
      </c>
      <c r="M50" s="224">
        <f t="shared" si="5"/>
        <v>2.4</v>
      </c>
      <c r="N50" s="225">
        <f t="shared" si="5"/>
        <v>2.4</v>
      </c>
      <c r="O50" s="225">
        <f t="shared" si="5"/>
        <v>2.4</v>
      </c>
    </row>
    <row r="51" spans="2:15" ht="16.5" hidden="1">
      <c r="B51" s="2805"/>
      <c r="C51" s="190" t="s">
        <v>837</v>
      </c>
      <c r="D51" s="226">
        <f>ROUND(+$D44/$D19,3)</f>
        <v>2.5289999999999999</v>
      </c>
      <c r="E51" s="226">
        <f>ROUND(+$E44/$D19,3)</f>
        <v>2.5059999999999998</v>
      </c>
      <c r="F51" s="226">
        <f>ROUND(+$F44/$D19,3)</f>
        <v>2.5270000000000001</v>
      </c>
      <c r="G51" s="192">
        <f>ROUND(+$G44/$D19,3)</f>
        <v>2.5979999999999999</v>
      </c>
      <c r="H51" s="192">
        <f>ROUND(+$H44/$D19,3)</f>
        <v>2.609</v>
      </c>
      <c r="I51" s="192">
        <f>ROUND(+$I44/$D19,3)</f>
        <v>2.5859999999999999</v>
      </c>
      <c r="J51" s="192">
        <f>ROUND(+$J44/$D19,3)</f>
        <v>2.581</v>
      </c>
      <c r="K51" s="192">
        <f>ROUND(+$K44/$D19,3)</f>
        <v>2.5710000000000002</v>
      </c>
      <c r="L51" s="226">
        <f>ROUND(+$L44/$D19,3)</f>
        <v>2.5710000000000002</v>
      </c>
      <c r="M51" s="226">
        <f>ROUND(+M44/$D19,3)</f>
        <v>2.5750000000000002</v>
      </c>
      <c r="N51" s="227">
        <f>ROUND(+N44/$D19,3)</f>
        <v>2.617</v>
      </c>
      <c r="O51" s="227">
        <f>ROUND(+O44/$D19,3)</f>
        <v>2.661</v>
      </c>
    </row>
    <row r="52" spans="2:15" ht="16.5" hidden="1">
      <c r="B52" s="2805"/>
      <c r="C52" s="190" t="s">
        <v>838</v>
      </c>
      <c r="D52" s="226">
        <f>ROUND(+$D45/$D20,3)</f>
        <v>2.78</v>
      </c>
      <c r="E52" s="226">
        <f>ROUND(+$E45/$D20,3)</f>
        <v>2.7450000000000001</v>
      </c>
      <c r="F52" s="226">
        <f>ROUND(+$F45/$D20,3)</f>
        <v>2.7629999999999999</v>
      </c>
      <c r="G52" s="192">
        <f>ROUND(+$G45/$D20,3)</f>
        <v>2.7170000000000001</v>
      </c>
      <c r="H52" s="192">
        <f>ROUND(+$H45/$D20,3)</f>
        <v>2.6280000000000001</v>
      </c>
      <c r="I52" s="192">
        <f>ROUND(+$I45/$D20,3)</f>
        <v>2.633</v>
      </c>
      <c r="J52" s="192">
        <f>ROUND(+$J45/$D20,3)</f>
        <v>2.6030000000000002</v>
      </c>
      <c r="K52" s="192">
        <f>ROUND(+$K45/$D20,3)</f>
        <v>2.6739999999999999</v>
      </c>
      <c r="L52" s="226">
        <f>ROUND(+$L45/$D20,3)</f>
        <v>2.6779999999999999</v>
      </c>
      <c r="M52" s="192">
        <f>ROUND(+$M45/$D20,3)</f>
        <v>2.6429999999999998</v>
      </c>
      <c r="N52" s="227">
        <f t="shared" ref="N52:O54" si="6">ROUND(+N45/$D20,3)</f>
        <v>2.669</v>
      </c>
      <c r="O52" s="227">
        <f t="shared" si="6"/>
        <v>2.72</v>
      </c>
    </row>
    <row r="53" spans="2:15" ht="16.5" hidden="1">
      <c r="B53" s="2805"/>
      <c r="C53" s="190" t="s">
        <v>839</v>
      </c>
      <c r="D53" s="228">
        <f>ROUND(+$D46/$D21,3)</f>
        <v>1.6519999999999999</v>
      </c>
      <c r="E53" s="228">
        <f>ROUND(+$E46/$D21,3)</f>
        <v>1.7669999999999999</v>
      </c>
      <c r="F53" s="228">
        <f>ROUND(+$F46/$D21,3)</f>
        <v>1.825</v>
      </c>
      <c r="G53" s="192">
        <f>ROUND(+$G46/$D21,3)</f>
        <v>1.8540000000000001</v>
      </c>
      <c r="H53" s="192">
        <f>ROUND(+$H46/$D21,3)</f>
        <v>1.99</v>
      </c>
      <c r="I53" s="192">
        <f>ROUND(+$I46/$D21,3)</f>
        <v>2.1160000000000001</v>
      </c>
      <c r="J53" s="192">
        <f>ROUND(+$J46/$D21,3)</f>
        <v>2.1349999999999998</v>
      </c>
      <c r="K53" s="192">
        <f>ROUND(+$K46/$D21,3)</f>
        <v>2.0779999999999998</v>
      </c>
      <c r="L53" s="226">
        <f>ROUND(+$L46/$D21,3)</f>
        <v>2.2440000000000002</v>
      </c>
      <c r="M53" s="192">
        <f>ROUND(+$M46/$D21,3)</f>
        <v>2.323</v>
      </c>
      <c r="N53" s="227">
        <f t="shared" si="6"/>
        <v>2.4460000000000002</v>
      </c>
      <c r="O53" s="227">
        <f t="shared" si="6"/>
        <v>2.516</v>
      </c>
    </row>
    <row r="54" spans="2:15" ht="17.25" hidden="1" thickBot="1">
      <c r="B54" s="2806"/>
      <c r="C54" s="193" t="s">
        <v>677</v>
      </c>
      <c r="D54" s="229">
        <f>ROUND(+$D47/$D22,3)</f>
        <v>1.2809999999999999</v>
      </c>
      <c r="E54" s="229">
        <f>ROUND(+$E47/$D22,3)</f>
        <v>1.2809999999999999</v>
      </c>
      <c r="F54" s="229">
        <f>ROUND(+$F47/$D22,3)</f>
        <v>1.327</v>
      </c>
      <c r="G54" s="230">
        <f>ROUND(+$G47/$D22,3)</f>
        <v>1.327</v>
      </c>
      <c r="H54" s="230">
        <f>ROUND(+$H47/$D22,3)</f>
        <v>1.4330000000000001</v>
      </c>
      <c r="I54" s="230">
        <f>ROUND(+$I47/$D22,3)</f>
        <v>1.4330000000000001</v>
      </c>
      <c r="J54" s="230">
        <f>ROUND(+$J47/$D22,3)</f>
        <v>1.593</v>
      </c>
      <c r="K54" s="230">
        <f>ROUND(+$K47/$D22,3)</f>
        <v>1.589</v>
      </c>
      <c r="L54" s="231">
        <f>ROUND(+$L47/$D22,3)</f>
        <v>1.6539999999999999</v>
      </c>
      <c r="M54" s="230">
        <f>ROUND(+$M47/$D22,3)</f>
        <v>1.738</v>
      </c>
      <c r="N54" s="230">
        <f t="shared" si="6"/>
        <v>1.8169999999999999</v>
      </c>
      <c r="O54" s="230">
        <f t="shared" si="6"/>
        <v>1.901</v>
      </c>
    </row>
    <row r="55" spans="2:15" ht="17.25" hidden="1" thickBot="1">
      <c r="B55" s="170"/>
      <c r="C55" s="147"/>
      <c r="M55" s="222"/>
      <c r="N55" s="223"/>
    </row>
    <row r="56" spans="2:15" ht="16.5" hidden="1">
      <c r="B56" s="2807" t="s">
        <v>860</v>
      </c>
      <c r="C56" s="161" t="s">
        <v>695</v>
      </c>
      <c r="D56" s="2810">
        <v>37622</v>
      </c>
      <c r="E56" s="2810">
        <v>37653</v>
      </c>
      <c r="F56" s="2810">
        <v>37681</v>
      </c>
      <c r="G56" s="2810">
        <v>37712</v>
      </c>
      <c r="H56" s="2810">
        <v>37742</v>
      </c>
      <c r="I56" s="2810">
        <v>37773</v>
      </c>
      <c r="J56" s="2810">
        <v>37803</v>
      </c>
      <c r="K56" s="2810">
        <v>37834</v>
      </c>
      <c r="L56" s="2815">
        <f>+K56+31</f>
        <v>37865</v>
      </c>
      <c r="M56" s="2818">
        <v>37895</v>
      </c>
      <c r="N56" s="2812">
        <v>37926</v>
      </c>
      <c r="O56" s="2812">
        <v>37956</v>
      </c>
    </row>
    <row r="57" spans="2:15" ht="16.5" hidden="1">
      <c r="B57" s="2808"/>
      <c r="C57" s="163" t="s">
        <v>696</v>
      </c>
      <c r="D57" s="2811"/>
      <c r="E57" s="2811"/>
      <c r="F57" s="2811"/>
      <c r="G57" s="2811"/>
      <c r="H57" s="2811"/>
      <c r="I57" s="2811"/>
      <c r="J57" s="2811"/>
      <c r="K57" s="2811"/>
      <c r="L57" s="2816"/>
      <c r="M57" s="2819"/>
      <c r="N57" s="2813"/>
      <c r="O57" s="2813"/>
    </row>
    <row r="58" spans="2:15" ht="17.25" hidden="1" thickBot="1">
      <c r="B58" s="2809"/>
      <c r="C58" s="163" t="s">
        <v>697</v>
      </c>
      <c r="D58" s="2811"/>
      <c r="E58" s="2811"/>
      <c r="F58" s="2811"/>
      <c r="G58" s="2811"/>
      <c r="H58" s="2811"/>
      <c r="I58" s="2811"/>
      <c r="J58" s="2811"/>
      <c r="K58" s="2811"/>
      <c r="L58" s="2817"/>
      <c r="M58" s="2820"/>
      <c r="N58" s="2814"/>
      <c r="O58" s="2814"/>
    </row>
    <row r="59" spans="2:15" ht="17.25" hidden="1" thickTop="1">
      <c r="B59" s="167" t="s">
        <v>820</v>
      </c>
      <c r="C59" s="197">
        <v>301</v>
      </c>
      <c r="D59" s="232">
        <f t="shared" ref="D59:O59" si="7">ROUND(MMULT($D12:$H12,D$50:D$54),2)</f>
        <v>221.33</v>
      </c>
      <c r="E59" s="232">
        <f t="shared" si="7"/>
        <v>221.3</v>
      </c>
      <c r="F59" s="198">
        <f t="shared" si="7"/>
        <v>223.19</v>
      </c>
      <c r="G59" s="232">
        <f t="shared" si="7"/>
        <v>224.66</v>
      </c>
      <c r="H59" s="232">
        <f t="shared" si="7"/>
        <v>226.99</v>
      </c>
      <c r="I59" s="232">
        <f t="shared" si="7"/>
        <v>227.58</v>
      </c>
      <c r="J59" s="232">
        <f t="shared" si="7"/>
        <v>231.26</v>
      </c>
      <c r="K59" s="232">
        <f t="shared" si="7"/>
        <v>231.29</v>
      </c>
      <c r="L59" s="232">
        <f t="shared" si="7"/>
        <v>233.7</v>
      </c>
      <c r="M59" s="198">
        <f t="shared" si="7"/>
        <v>235.42</v>
      </c>
      <c r="N59" s="233">
        <f t="shared" si="7"/>
        <v>238.94</v>
      </c>
      <c r="O59" s="233">
        <f t="shared" si="7"/>
        <v>242.41</v>
      </c>
    </row>
    <row r="60" spans="2:15" ht="16.5" hidden="1">
      <c r="B60" s="167" t="s">
        <v>827</v>
      </c>
      <c r="C60" s="199">
        <v>302</v>
      </c>
      <c r="D60" s="234">
        <v>217.62</v>
      </c>
      <c r="E60" s="235">
        <v>217.6</v>
      </c>
      <c r="F60" s="236">
        <v>219.48</v>
      </c>
      <c r="G60" s="237">
        <v>220.88</v>
      </c>
      <c r="H60" s="237">
        <v>223.55</v>
      </c>
      <c r="I60" s="237">
        <v>224.06</v>
      </c>
      <c r="J60" s="238">
        <f t="shared" ref="J60:O62" si="8">ROUND(MMULT($D13:$H13,J$50:J$54),2)</f>
        <v>228.33</v>
      </c>
      <c r="K60" s="185">
        <f t="shared" si="8"/>
        <v>228.29</v>
      </c>
      <c r="L60" s="238">
        <f t="shared" si="8"/>
        <v>230.72</v>
      </c>
      <c r="M60" s="185">
        <f t="shared" si="8"/>
        <v>232.68</v>
      </c>
      <c r="N60" s="239">
        <f t="shared" si="8"/>
        <v>236.17</v>
      </c>
      <c r="O60" s="239">
        <f t="shared" si="8"/>
        <v>239.63</v>
      </c>
    </row>
    <row r="61" spans="2:15" ht="16.5" hidden="1">
      <c r="B61" s="167" t="s">
        <v>828</v>
      </c>
      <c r="C61" s="199">
        <v>303</v>
      </c>
      <c r="D61" s="238">
        <f t="shared" ref="D61:I62" si="9">ROUND(MMULT($D14:$H14,D$50:D$54),2)</f>
        <v>216.78</v>
      </c>
      <c r="E61" s="238">
        <f t="shared" si="9"/>
        <v>216.66</v>
      </c>
      <c r="F61" s="185">
        <f t="shared" si="9"/>
        <v>218.82</v>
      </c>
      <c r="G61" s="238">
        <f t="shared" si="9"/>
        <v>219.54</v>
      </c>
      <c r="H61" s="238">
        <f t="shared" si="9"/>
        <v>221.79</v>
      </c>
      <c r="I61" s="238">
        <f t="shared" si="9"/>
        <v>222.54</v>
      </c>
      <c r="J61" s="238">
        <f t="shared" si="8"/>
        <v>226.77</v>
      </c>
      <c r="K61" s="185">
        <f t="shared" si="8"/>
        <v>227.32</v>
      </c>
      <c r="L61" s="238">
        <f t="shared" si="8"/>
        <v>230.14</v>
      </c>
      <c r="M61" s="185">
        <f t="shared" si="8"/>
        <v>232.1</v>
      </c>
      <c r="N61" s="239">
        <f t="shared" si="8"/>
        <v>236.02</v>
      </c>
      <c r="O61" s="239">
        <f t="shared" si="8"/>
        <v>240.09</v>
      </c>
    </row>
    <row r="62" spans="2:15" ht="17.25" hidden="1" thickBot="1">
      <c r="B62" s="171" t="s">
        <v>832</v>
      </c>
      <c r="C62" s="200">
        <v>304</v>
      </c>
      <c r="D62" s="240">
        <f t="shared" si="9"/>
        <v>178.32</v>
      </c>
      <c r="E62" s="240">
        <f t="shared" si="9"/>
        <v>179.65</v>
      </c>
      <c r="F62" s="201">
        <f t="shared" si="9"/>
        <v>182.75</v>
      </c>
      <c r="G62" s="240">
        <f t="shared" si="9"/>
        <v>182.83</v>
      </c>
      <c r="H62" s="240">
        <f t="shared" si="9"/>
        <v>189.22</v>
      </c>
      <c r="I62" s="240">
        <f t="shared" si="9"/>
        <v>191.09</v>
      </c>
      <c r="J62" s="240">
        <f t="shared" si="8"/>
        <v>199.72</v>
      </c>
      <c r="K62" s="240">
        <f t="shared" si="8"/>
        <v>199.29</v>
      </c>
      <c r="L62" s="240">
        <f t="shared" si="8"/>
        <v>204.7</v>
      </c>
      <c r="M62" s="240">
        <f t="shared" si="8"/>
        <v>209.51</v>
      </c>
      <c r="N62" s="241">
        <f t="shared" si="8"/>
        <v>215.13</v>
      </c>
      <c r="O62" s="241">
        <f t="shared" si="8"/>
        <v>220.41</v>
      </c>
    </row>
    <row r="63" spans="2:15" ht="16.5" hidden="1">
      <c r="B63" s="202" t="s">
        <v>861</v>
      </c>
      <c r="C63" s="170"/>
    </row>
    <row r="64" spans="2:15" ht="16.5" hidden="1">
      <c r="B64" s="170"/>
      <c r="C64" s="170" t="s">
        <v>864</v>
      </c>
    </row>
    <row r="65" spans="2:15" ht="16.5" hidden="1">
      <c r="B65" s="170"/>
      <c r="C65" s="170" t="s">
        <v>865</v>
      </c>
    </row>
    <row r="66" spans="2:15" ht="16.5" hidden="1">
      <c r="C66" s="170" t="s">
        <v>866</v>
      </c>
    </row>
    <row r="67" spans="2:15" hidden="1">
      <c r="C67" s="242" t="s">
        <v>875</v>
      </c>
    </row>
    <row r="68" spans="2:15" hidden="1">
      <c r="C68" s="242" t="s">
        <v>876</v>
      </c>
    </row>
    <row r="69" spans="2:15" hidden="1">
      <c r="C69" s="242" t="s">
        <v>877</v>
      </c>
    </row>
    <row r="70" spans="2:15" hidden="1">
      <c r="C70" s="242" t="s">
        <v>878</v>
      </c>
    </row>
    <row r="71" spans="2:15" hidden="1">
      <c r="C71" s="242" t="s">
        <v>879</v>
      </c>
    </row>
    <row r="72" spans="2:15" hidden="1">
      <c r="C72" s="242" t="s">
        <v>880</v>
      </c>
      <c r="I72" s="159" t="s">
        <v>881</v>
      </c>
    </row>
    <row r="73" spans="2:15" hidden="1">
      <c r="C73" s="242"/>
    </row>
    <row r="74" spans="2:15" ht="15" hidden="1" thickBot="1"/>
    <row r="75" spans="2:15" ht="16.5" hidden="1">
      <c r="B75" s="2807" t="s">
        <v>673</v>
      </c>
      <c r="C75" s="161" t="s">
        <v>695</v>
      </c>
      <c r="D75" s="2795">
        <v>37987</v>
      </c>
      <c r="E75" s="2795">
        <v>38018</v>
      </c>
      <c r="F75" s="2795">
        <v>38047</v>
      </c>
      <c r="G75" s="2822">
        <v>38078</v>
      </c>
      <c r="H75" s="2795">
        <v>38108</v>
      </c>
      <c r="I75" s="2795">
        <v>38139</v>
      </c>
      <c r="J75" s="2795">
        <v>38169</v>
      </c>
      <c r="K75" s="2833">
        <v>38200</v>
      </c>
      <c r="L75" s="2836">
        <f>+K75+31</f>
        <v>38231</v>
      </c>
      <c r="M75" s="2830">
        <v>38261</v>
      </c>
      <c r="N75" s="2839">
        <v>38292</v>
      </c>
      <c r="O75" s="2839">
        <v>38322</v>
      </c>
    </row>
    <row r="76" spans="2:15" ht="16.5" hidden="1">
      <c r="B76" s="2808"/>
      <c r="C76" s="163" t="s">
        <v>696</v>
      </c>
      <c r="D76" s="2796"/>
      <c r="E76" s="2796"/>
      <c r="F76" s="2796"/>
      <c r="G76" s="2823"/>
      <c r="H76" s="2796"/>
      <c r="I76" s="2796"/>
      <c r="J76" s="2796"/>
      <c r="K76" s="2834"/>
      <c r="L76" s="2837"/>
      <c r="M76" s="2831"/>
      <c r="N76" s="2840"/>
      <c r="O76" s="2840"/>
    </row>
    <row r="77" spans="2:15" ht="17.25" hidden="1" thickBot="1">
      <c r="B77" s="2821"/>
      <c r="C77" s="176" t="s">
        <v>697</v>
      </c>
      <c r="D77" s="2797"/>
      <c r="E77" s="2797"/>
      <c r="F77" s="2797"/>
      <c r="G77" s="2824"/>
      <c r="H77" s="2797"/>
      <c r="I77" s="2797"/>
      <c r="J77" s="2797"/>
      <c r="K77" s="2835"/>
      <c r="L77" s="2838"/>
      <c r="M77" s="2832"/>
      <c r="N77" s="2841"/>
      <c r="O77" s="2841"/>
    </row>
    <row r="78" spans="2:15" ht="16.5" hidden="1">
      <c r="B78" s="177" t="s">
        <v>809</v>
      </c>
      <c r="C78" s="162">
        <v>50</v>
      </c>
      <c r="D78" s="203">
        <v>270.37</v>
      </c>
      <c r="E78" s="203">
        <v>272.98</v>
      </c>
      <c r="F78" s="203">
        <v>272.98</v>
      </c>
      <c r="G78" s="203">
        <v>272.98</v>
      </c>
      <c r="H78" s="203">
        <v>278.16000000000003</v>
      </c>
      <c r="I78" s="203">
        <v>281.66000000000003</v>
      </c>
      <c r="J78" s="203">
        <v>281.66000000000003</v>
      </c>
      <c r="K78" s="204">
        <v>281.66000000000003</v>
      </c>
      <c r="L78" s="205">
        <v>281.66000000000003</v>
      </c>
      <c r="M78" s="206">
        <v>281.66000000000003</v>
      </c>
      <c r="N78" s="206">
        <f>+'TABLA FINAL '!AT70</f>
        <v>281.89999999999998</v>
      </c>
      <c r="O78" s="207">
        <f>+'TABLA FINAL '!AU70</f>
        <v>281.89999999999998</v>
      </c>
    </row>
    <row r="79" spans="2:15" ht="16.5" hidden="1">
      <c r="B79" s="181" t="s">
        <v>810</v>
      </c>
      <c r="C79" s="164">
        <v>19</v>
      </c>
      <c r="D79" s="183">
        <v>259.60000000000002</v>
      </c>
      <c r="E79" s="183">
        <v>283.60000000000002</v>
      </c>
      <c r="F79" s="183">
        <v>322.60000000000002</v>
      </c>
      <c r="G79" s="183">
        <v>334.7</v>
      </c>
      <c r="H79" s="183">
        <v>341.9</v>
      </c>
      <c r="I79" s="183">
        <v>354.6</v>
      </c>
      <c r="J79" s="183">
        <v>354</v>
      </c>
      <c r="K79" s="208">
        <v>355.4</v>
      </c>
      <c r="L79" s="209">
        <v>353.8</v>
      </c>
      <c r="M79" s="210">
        <v>356.2</v>
      </c>
      <c r="N79" s="210">
        <f>+'TABLA FINAL '!AT39</f>
        <v>360.9</v>
      </c>
      <c r="O79" s="211">
        <f>+'TABLA FINAL '!AU39</f>
        <v>361.1</v>
      </c>
    </row>
    <row r="80" spans="2:15" ht="16.5" hidden="1">
      <c r="B80" s="181" t="s">
        <v>811</v>
      </c>
      <c r="C80" s="164">
        <v>58</v>
      </c>
      <c r="D80" s="212">
        <v>229.05</v>
      </c>
      <c r="E80" s="183">
        <v>240.63</v>
      </c>
      <c r="F80" s="212">
        <v>242.79</v>
      </c>
      <c r="G80" s="212">
        <v>238.66</v>
      </c>
      <c r="H80" s="183">
        <v>267.77</v>
      </c>
      <c r="I80" s="183">
        <v>270.92</v>
      </c>
      <c r="J80" s="183">
        <v>280.63</v>
      </c>
      <c r="K80" s="208">
        <v>286.05</v>
      </c>
      <c r="L80" s="213">
        <v>282.83999999999997</v>
      </c>
      <c r="M80" s="214">
        <v>295.39</v>
      </c>
      <c r="N80" s="214">
        <f>+'TABLA FINAL '!AT78</f>
        <v>297.23</v>
      </c>
      <c r="O80" s="215">
        <f>+'TABLA FINAL '!AU78</f>
        <v>298.72000000000003</v>
      </c>
    </row>
    <row r="81" spans="2:15" ht="16.5" hidden="1">
      <c r="B81" s="181" t="s">
        <v>812</v>
      </c>
      <c r="C81" s="164">
        <v>23</v>
      </c>
      <c r="D81" s="216">
        <v>224.17</v>
      </c>
      <c r="E81" s="212">
        <v>225.11</v>
      </c>
      <c r="F81" s="212">
        <v>223.11</v>
      </c>
      <c r="G81" s="212">
        <v>225.18</v>
      </c>
      <c r="H81" s="212">
        <v>229.53</v>
      </c>
      <c r="I81" s="212">
        <v>227.69</v>
      </c>
      <c r="J81" s="212">
        <v>229.09</v>
      </c>
      <c r="K81" s="208">
        <v>231.6</v>
      </c>
      <c r="L81" s="213">
        <v>249.43</v>
      </c>
      <c r="M81" s="214">
        <v>282.02999999999997</v>
      </c>
      <c r="N81" s="214">
        <f>+'TABLA FINAL '!AT43</f>
        <v>284.05</v>
      </c>
      <c r="O81" s="215">
        <f>+'TABLA FINAL '!AU43</f>
        <v>284.07</v>
      </c>
    </row>
    <row r="82" spans="2:15" ht="16.5" hidden="1">
      <c r="B82" s="181" t="s">
        <v>834</v>
      </c>
      <c r="C82" s="164" t="s">
        <v>835</v>
      </c>
      <c r="D82" s="184">
        <v>5.5</v>
      </c>
      <c r="E82" s="184">
        <v>5.72</v>
      </c>
      <c r="F82" s="184">
        <v>5.72</v>
      </c>
      <c r="G82" s="184">
        <v>5.72</v>
      </c>
      <c r="H82" s="184">
        <v>5.72</v>
      </c>
      <c r="I82" s="184">
        <v>5.72</v>
      </c>
      <c r="J82" s="184">
        <v>5.72</v>
      </c>
      <c r="K82" s="184">
        <v>5.72</v>
      </c>
      <c r="L82" s="184">
        <v>5.72</v>
      </c>
      <c r="M82" s="184">
        <v>5.72</v>
      </c>
      <c r="N82" s="210">
        <v>5.72</v>
      </c>
      <c r="O82" s="243">
        <v>5.72</v>
      </c>
    </row>
    <row r="83" spans="2:15" ht="17.25" hidden="1" thickBot="1">
      <c r="B83" s="186"/>
      <c r="C83" s="173"/>
      <c r="D83" s="187"/>
      <c r="E83" s="187"/>
      <c r="F83" s="187" t="s">
        <v>882</v>
      </c>
      <c r="G83" s="187"/>
      <c r="H83" s="187"/>
      <c r="I83" s="187"/>
      <c r="J83" s="187"/>
      <c r="K83" s="218"/>
      <c r="L83" s="219"/>
      <c r="M83" s="220"/>
      <c r="N83" s="220"/>
      <c r="O83" s="221"/>
    </row>
    <row r="84" spans="2:15" ht="17.25" hidden="1" thickBot="1">
      <c r="B84" s="170"/>
      <c r="C84" s="170"/>
      <c r="M84" s="222"/>
      <c r="N84" s="223"/>
    </row>
    <row r="85" spans="2:15" ht="16.5" hidden="1">
      <c r="B85" s="2804" t="s">
        <v>675</v>
      </c>
      <c r="C85" s="188" t="s">
        <v>836</v>
      </c>
      <c r="D85" s="224">
        <f>ROUND(+$D78/$D18,3)</f>
        <v>2.4209999999999998</v>
      </c>
      <c r="E85" s="189">
        <f>ROUND(+$F78/$D18,3)</f>
        <v>2.444</v>
      </c>
      <c r="F85" s="189">
        <f>ROUND(+$F78/$D18,3)</f>
        <v>2.444</v>
      </c>
      <c r="G85" s="189">
        <f>ROUND(+$G78/$D18,3)</f>
        <v>2.444</v>
      </c>
      <c r="H85" s="189">
        <f t="shared" ref="H85:O89" si="10">ROUND(+H78/$D18,3)</f>
        <v>2.4910000000000001</v>
      </c>
      <c r="I85" s="189">
        <f t="shared" si="10"/>
        <v>2.5219999999999998</v>
      </c>
      <c r="J85" s="189">
        <f t="shared" si="10"/>
        <v>2.5219999999999998</v>
      </c>
      <c r="K85" s="189">
        <f t="shared" si="10"/>
        <v>2.5219999999999998</v>
      </c>
      <c r="L85" s="189">
        <f t="shared" si="10"/>
        <v>2.5219999999999998</v>
      </c>
      <c r="M85" s="189">
        <f t="shared" si="10"/>
        <v>2.5219999999999998</v>
      </c>
      <c r="N85" s="189">
        <f t="shared" si="10"/>
        <v>2.524</v>
      </c>
      <c r="O85" s="225">
        <f t="shared" si="10"/>
        <v>2.524</v>
      </c>
    </row>
    <row r="86" spans="2:15" ht="16.5" hidden="1">
      <c r="B86" s="2805"/>
      <c r="C86" s="190" t="s">
        <v>837</v>
      </c>
      <c r="D86" s="226">
        <f>ROUND(+$D79/$D19,3)</f>
        <v>2.7440000000000002</v>
      </c>
      <c r="E86" s="192">
        <f>ROUND(+$E79/$D19,3)</f>
        <v>2.9980000000000002</v>
      </c>
      <c r="F86" s="192">
        <f>ROUND(+$F79/$D19,3)</f>
        <v>3.41</v>
      </c>
      <c r="G86" s="192">
        <f>ROUND(+$G79/$D19,3)</f>
        <v>3.5379999999999998</v>
      </c>
      <c r="H86" s="192">
        <f t="shared" si="10"/>
        <v>3.6139999999999999</v>
      </c>
      <c r="I86" s="192">
        <f t="shared" si="10"/>
        <v>3.7480000000000002</v>
      </c>
      <c r="J86" s="192">
        <f t="shared" si="10"/>
        <v>3.742</v>
      </c>
      <c r="K86" s="192">
        <f t="shared" si="10"/>
        <v>3.7570000000000001</v>
      </c>
      <c r="L86" s="192">
        <f t="shared" si="10"/>
        <v>3.74</v>
      </c>
      <c r="M86" s="192">
        <f t="shared" si="10"/>
        <v>3.7650000000000001</v>
      </c>
      <c r="N86" s="192">
        <f t="shared" si="10"/>
        <v>3.8149999999999999</v>
      </c>
      <c r="O86" s="227">
        <f t="shared" si="10"/>
        <v>3.8170000000000002</v>
      </c>
    </row>
    <row r="87" spans="2:15" ht="16.5" hidden="1">
      <c r="B87" s="2805"/>
      <c r="C87" s="190" t="s">
        <v>838</v>
      </c>
      <c r="D87" s="226">
        <f>ROUND(+$D80/$D20,3)</f>
        <v>2.68</v>
      </c>
      <c r="E87" s="192">
        <f>ROUND(+$E80/$D20,3)</f>
        <v>2.8159999999999998</v>
      </c>
      <c r="F87" s="192">
        <f>ROUND(+$F80/$D20,3)</f>
        <v>2.8410000000000002</v>
      </c>
      <c r="G87" s="192">
        <f>ROUND(+$G80/$D20,3)</f>
        <v>2.7930000000000001</v>
      </c>
      <c r="H87" s="192">
        <f t="shared" si="10"/>
        <v>3.133</v>
      </c>
      <c r="I87" s="192">
        <f t="shared" si="10"/>
        <v>3.17</v>
      </c>
      <c r="J87" s="192">
        <f t="shared" si="10"/>
        <v>3.2839999999999998</v>
      </c>
      <c r="K87" s="192">
        <f t="shared" si="10"/>
        <v>3.347</v>
      </c>
      <c r="L87" s="192">
        <f t="shared" si="10"/>
        <v>3.31</v>
      </c>
      <c r="M87" s="192">
        <f t="shared" si="10"/>
        <v>3.456</v>
      </c>
      <c r="N87" s="192">
        <f t="shared" si="10"/>
        <v>3.4780000000000002</v>
      </c>
      <c r="O87" s="227">
        <f t="shared" si="10"/>
        <v>3.4950000000000001</v>
      </c>
    </row>
    <row r="88" spans="2:15" ht="16.5" hidden="1">
      <c r="B88" s="2805"/>
      <c r="C88" s="190" t="s">
        <v>839</v>
      </c>
      <c r="D88" s="228">
        <f>ROUND(+$D81/$D21,3)</f>
        <v>2.516</v>
      </c>
      <c r="E88" s="192">
        <f>ROUND(+$E81/$D21,3)</f>
        <v>2.5259999999999998</v>
      </c>
      <c r="F88" s="192">
        <f>ROUND(+$F81/$D21,3)</f>
        <v>2.504</v>
      </c>
      <c r="G88" s="192">
        <f>ROUND(+$G81/$D21,3)</f>
        <v>2.5270000000000001</v>
      </c>
      <c r="H88" s="192">
        <f t="shared" si="10"/>
        <v>2.5760000000000001</v>
      </c>
      <c r="I88" s="192">
        <f t="shared" si="10"/>
        <v>2.5550000000000002</v>
      </c>
      <c r="J88" s="192">
        <f t="shared" si="10"/>
        <v>2.5710000000000002</v>
      </c>
      <c r="K88" s="192">
        <f t="shared" si="10"/>
        <v>2.5990000000000002</v>
      </c>
      <c r="L88" s="192">
        <f t="shared" si="10"/>
        <v>2.7989999999999999</v>
      </c>
      <c r="M88" s="192">
        <f t="shared" si="10"/>
        <v>3.165</v>
      </c>
      <c r="N88" s="192">
        <f t="shared" si="10"/>
        <v>3.1880000000000002</v>
      </c>
      <c r="O88" s="227">
        <f t="shared" si="10"/>
        <v>3.1880000000000002</v>
      </c>
    </row>
    <row r="89" spans="2:15" ht="17.25" hidden="1" thickBot="1">
      <c r="B89" s="2806"/>
      <c r="C89" s="193" t="s">
        <v>677</v>
      </c>
      <c r="D89" s="229">
        <f>ROUND(+$D82/$D22,3)</f>
        <v>2.0910000000000002</v>
      </c>
      <c r="E89" s="230">
        <f>ROUND(+$E82/$D22,3)</f>
        <v>2.1749999999999998</v>
      </c>
      <c r="F89" s="230">
        <f>ROUND(+$G82/$D22,3)</f>
        <v>2.1749999999999998</v>
      </c>
      <c r="G89" s="230">
        <f>ROUND(+$F82/$D22,3)</f>
        <v>2.1749999999999998</v>
      </c>
      <c r="H89" s="230">
        <f t="shared" si="10"/>
        <v>2.1749999999999998</v>
      </c>
      <c r="I89" s="230">
        <f t="shared" si="10"/>
        <v>2.1749999999999998</v>
      </c>
      <c r="J89" s="230">
        <f t="shared" si="10"/>
        <v>2.1749999999999998</v>
      </c>
      <c r="K89" s="230">
        <f t="shared" si="10"/>
        <v>2.1749999999999998</v>
      </c>
      <c r="L89" s="230">
        <f t="shared" si="10"/>
        <v>2.1749999999999998</v>
      </c>
      <c r="M89" s="230">
        <f t="shared" si="10"/>
        <v>2.1749999999999998</v>
      </c>
      <c r="N89" s="230">
        <f t="shared" si="10"/>
        <v>2.1749999999999998</v>
      </c>
      <c r="O89" s="244">
        <f t="shared" si="10"/>
        <v>2.1749999999999998</v>
      </c>
    </row>
    <row r="90" spans="2:15" ht="17.25" hidden="1" thickBot="1">
      <c r="B90" s="170"/>
      <c r="C90" s="147"/>
      <c r="M90" s="222"/>
      <c r="N90" s="223"/>
    </row>
    <row r="91" spans="2:15" ht="16.5" hidden="1">
      <c r="B91" s="2807" t="s">
        <v>860</v>
      </c>
      <c r="C91" s="161" t="s">
        <v>695</v>
      </c>
      <c r="D91" s="2810">
        <v>37987</v>
      </c>
      <c r="E91" s="2810">
        <v>38018</v>
      </c>
      <c r="F91" s="2810">
        <v>38047</v>
      </c>
      <c r="G91" s="2810">
        <v>38078</v>
      </c>
      <c r="H91" s="2810">
        <v>38108</v>
      </c>
      <c r="I91" s="2810">
        <v>38139</v>
      </c>
      <c r="J91" s="2810">
        <v>38169</v>
      </c>
      <c r="K91" s="2810">
        <v>38200</v>
      </c>
      <c r="L91" s="2815">
        <f>+K91+31</f>
        <v>38231</v>
      </c>
      <c r="M91" s="2818">
        <v>38261</v>
      </c>
      <c r="N91" s="2812">
        <v>38292</v>
      </c>
      <c r="O91" s="2812">
        <v>38322</v>
      </c>
    </row>
    <row r="92" spans="2:15" ht="16.5" hidden="1">
      <c r="B92" s="2808"/>
      <c r="C92" s="163" t="s">
        <v>696</v>
      </c>
      <c r="D92" s="2811"/>
      <c r="E92" s="2811"/>
      <c r="F92" s="2811"/>
      <c r="G92" s="2811"/>
      <c r="H92" s="2811"/>
      <c r="I92" s="2811"/>
      <c r="J92" s="2811"/>
      <c r="K92" s="2811"/>
      <c r="L92" s="2816"/>
      <c r="M92" s="2819"/>
      <c r="N92" s="2813"/>
      <c r="O92" s="2813"/>
    </row>
    <row r="93" spans="2:15" ht="17.25" hidden="1" thickBot="1">
      <c r="B93" s="2809"/>
      <c r="C93" s="163" t="s">
        <v>697</v>
      </c>
      <c r="D93" s="2811"/>
      <c r="E93" s="2811"/>
      <c r="F93" s="2811"/>
      <c r="G93" s="2811"/>
      <c r="H93" s="2811"/>
      <c r="I93" s="2811"/>
      <c r="J93" s="2811"/>
      <c r="K93" s="2811"/>
      <c r="L93" s="2817"/>
      <c r="M93" s="2820"/>
      <c r="N93" s="2814"/>
      <c r="O93" s="2814"/>
    </row>
    <row r="94" spans="2:15" ht="17.25" hidden="1" thickTop="1">
      <c r="B94" s="167" t="s">
        <v>820</v>
      </c>
      <c r="C94" s="197">
        <v>301</v>
      </c>
      <c r="D94" s="232">
        <f t="shared" ref="D94:O94" si="11">ROUND(MMULT($D12:$H12,D$85:D$89),2)</f>
        <v>247.92</v>
      </c>
      <c r="E94" s="232">
        <f t="shared" si="11"/>
        <v>257.77</v>
      </c>
      <c r="F94" s="198">
        <f t="shared" si="11"/>
        <v>267.73</v>
      </c>
      <c r="G94" s="198">
        <f t="shared" si="11"/>
        <v>270.51</v>
      </c>
      <c r="H94" s="198">
        <f t="shared" si="11"/>
        <v>278.10000000000002</v>
      </c>
      <c r="I94" s="198">
        <f t="shared" si="11"/>
        <v>282.82</v>
      </c>
      <c r="J94" s="198">
        <f t="shared" si="11"/>
        <v>283.94</v>
      </c>
      <c r="K94" s="198">
        <f t="shared" si="11"/>
        <v>285.14999999999998</v>
      </c>
      <c r="L94" s="198">
        <f t="shared" si="11"/>
        <v>285.98</v>
      </c>
      <c r="M94" s="198">
        <f t="shared" si="11"/>
        <v>290.95999999999998</v>
      </c>
      <c r="N94" s="198">
        <f t="shared" si="11"/>
        <v>292.64999999999998</v>
      </c>
      <c r="O94" s="233">
        <f t="shared" si="11"/>
        <v>292.87</v>
      </c>
    </row>
    <row r="95" spans="2:15" ht="16.5" hidden="1">
      <c r="B95" s="167" t="s">
        <v>827</v>
      </c>
      <c r="C95" s="199">
        <v>302</v>
      </c>
      <c r="D95" s="185">
        <f t="shared" ref="D95:O95" si="12">ROUND(MMULT($D13:$H13,D$85:D$89),2)</f>
        <v>245.67</v>
      </c>
      <c r="E95" s="185">
        <f t="shared" si="12"/>
        <v>255.03</v>
      </c>
      <c r="F95" s="185">
        <f t="shared" si="12"/>
        <v>264.14</v>
      </c>
      <c r="G95" s="185">
        <f t="shared" si="12"/>
        <v>266.73</v>
      </c>
      <c r="H95" s="185">
        <f t="shared" si="12"/>
        <v>273.52999999999997</v>
      </c>
      <c r="I95" s="185">
        <f t="shared" si="12"/>
        <v>277.99</v>
      </c>
      <c r="J95" s="185">
        <f t="shared" si="12"/>
        <v>278.89</v>
      </c>
      <c r="K95" s="185">
        <f t="shared" si="12"/>
        <v>279.92</v>
      </c>
      <c r="L95" s="185">
        <f t="shared" si="12"/>
        <v>280.64999999999998</v>
      </c>
      <c r="M95" s="185">
        <f t="shared" si="12"/>
        <v>284.93</v>
      </c>
      <c r="N95" s="185">
        <f t="shared" si="12"/>
        <v>286.45</v>
      </c>
      <c r="O95" s="239">
        <f t="shared" si="12"/>
        <v>286.63</v>
      </c>
    </row>
    <row r="96" spans="2:15" ht="16.5" hidden="1">
      <c r="B96" s="167" t="s">
        <v>828</v>
      </c>
      <c r="C96" s="199">
        <v>303</v>
      </c>
      <c r="D96" s="238">
        <f t="shared" ref="D96:O96" si="13">ROUND(MMULT($D14:$H14,D$85:D$89),2)</f>
        <v>245.82</v>
      </c>
      <c r="E96" s="238">
        <f t="shared" si="13"/>
        <v>255.43</v>
      </c>
      <c r="F96" s="238">
        <f t="shared" si="13"/>
        <v>263.10000000000002</v>
      </c>
      <c r="G96" s="185">
        <f t="shared" si="13"/>
        <v>264.77</v>
      </c>
      <c r="H96" s="185">
        <f t="shared" si="13"/>
        <v>273.95999999999998</v>
      </c>
      <c r="I96" s="185">
        <f t="shared" si="13"/>
        <v>277.91000000000003</v>
      </c>
      <c r="J96" s="185">
        <f t="shared" si="13"/>
        <v>279.87</v>
      </c>
      <c r="K96" s="185">
        <f t="shared" si="13"/>
        <v>281.44</v>
      </c>
      <c r="L96" s="185">
        <f t="shared" si="13"/>
        <v>282.10000000000002</v>
      </c>
      <c r="M96" s="185">
        <f t="shared" si="13"/>
        <v>287.95999999999998</v>
      </c>
      <c r="N96" s="185">
        <f t="shared" si="13"/>
        <v>289.49</v>
      </c>
      <c r="O96" s="239">
        <f t="shared" si="13"/>
        <v>289.82</v>
      </c>
    </row>
    <row r="97" spans="2:15" ht="17.25" hidden="1" thickBot="1">
      <c r="B97" s="171" t="s">
        <v>832</v>
      </c>
      <c r="C97" s="200">
        <v>304</v>
      </c>
      <c r="D97" s="240">
        <f t="shared" ref="D97:O97" si="14">ROUND(MMULT($D15:$H15,D$85:D$89),2)</f>
        <v>229.73</v>
      </c>
      <c r="E97" s="240">
        <f t="shared" si="14"/>
        <v>235.51</v>
      </c>
      <c r="F97" s="240">
        <f t="shared" si="14"/>
        <v>235.38</v>
      </c>
      <c r="G97" s="201">
        <f t="shared" si="14"/>
        <v>235.36</v>
      </c>
      <c r="H97" s="201">
        <f t="shared" si="14"/>
        <v>239.93</v>
      </c>
      <c r="I97" s="201">
        <f t="shared" si="14"/>
        <v>240.89</v>
      </c>
      <c r="J97" s="201">
        <f t="shared" si="14"/>
        <v>241.91</v>
      </c>
      <c r="K97" s="201">
        <f t="shared" si="14"/>
        <v>242.74</v>
      </c>
      <c r="L97" s="201">
        <f t="shared" si="14"/>
        <v>245.29</v>
      </c>
      <c r="M97" s="201">
        <f t="shared" si="14"/>
        <v>251.43</v>
      </c>
      <c r="N97" s="201">
        <f t="shared" si="14"/>
        <v>251.97</v>
      </c>
      <c r="O97" s="241">
        <f t="shared" si="14"/>
        <v>252.09</v>
      </c>
    </row>
    <row r="98" spans="2:15" ht="16.5" hidden="1">
      <c r="B98" s="202" t="s">
        <v>861</v>
      </c>
      <c r="C98" s="170"/>
    </row>
    <row r="99" spans="2:15" ht="16.5" hidden="1">
      <c r="B99" s="170"/>
      <c r="C99" s="170" t="s">
        <v>884</v>
      </c>
    </row>
    <row r="100" spans="2:15" ht="16.5" hidden="1">
      <c r="B100" s="170"/>
      <c r="C100" s="170" t="s">
        <v>885</v>
      </c>
    </row>
    <row r="101" spans="2:15" ht="16.5" hidden="1">
      <c r="C101" s="170" t="s">
        <v>886</v>
      </c>
    </row>
    <row r="102" spans="2:15" hidden="1">
      <c r="C102" s="242" t="s">
        <v>887</v>
      </c>
      <c r="F102" s="242" t="s">
        <v>892</v>
      </c>
    </row>
    <row r="103" spans="2:15" hidden="1">
      <c r="C103" s="242" t="s">
        <v>888</v>
      </c>
    </row>
    <row r="104" spans="2:15" hidden="1">
      <c r="C104" s="242" t="s">
        <v>890</v>
      </c>
      <c r="G104" s="242"/>
    </row>
    <row r="105" spans="2:15" hidden="1">
      <c r="C105" s="242" t="s">
        <v>889</v>
      </c>
    </row>
    <row r="106" spans="2:15" ht="15" hidden="1" thickBot="1">
      <c r="C106" s="242"/>
    </row>
    <row r="107" spans="2:15" ht="16.5" hidden="1">
      <c r="B107" s="2807" t="s">
        <v>673</v>
      </c>
      <c r="C107" s="161" t="s">
        <v>695</v>
      </c>
      <c r="D107" s="2795">
        <v>38353</v>
      </c>
      <c r="E107" s="2795">
        <v>38384</v>
      </c>
      <c r="F107" s="2795">
        <v>38412</v>
      </c>
      <c r="G107" s="2795">
        <v>38443</v>
      </c>
      <c r="H107" s="2795">
        <v>38473</v>
      </c>
      <c r="I107" s="2795">
        <v>38504</v>
      </c>
      <c r="J107" s="2795">
        <v>38534</v>
      </c>
      <c r="K107" s="2795">
        <v>38565</v>
      </c>
      <c r="L107" s="2795">
        <v>38596</v>
      </c>
      <c r="M107" s="2795">
        <v>38626</v>
      </c>
      <c r="N107" s="2795">
        <v>38657</v>
      </c>
      <c r="O107" s="2798">
        <v>38687</v>
      </c>
    </row>
    <row r="108" spans="2:15" ht="16.5" hidden="1">
      <c r="B108" s="2808"/>
      <c r="C108" s="163" t="s">
        <v>696</v>
      </c>
      <c r="D108" s="2796"/>
      <c r="E108" s="2796"/>
      <c r="F108" s="2796"/>
      <c r="G108" s="2796"/>
      <c r="H108" s="2796"/>
      <c r="I108" s="2796"/>
      <c r="J108" s="2796"/>
      <c r="K108" s="2796"/>
      <c r="L108" s="2796"/>
      <c r="M108" s="2796"/>
      <c r="N108" s="2796"/>
      <c r="O108" s="2799"/>
    </row>
    <row r="109" spans="2:15" ht="17.25" hidden="1" thickBot="1">
      <c r="B109" s="2821"/>
      <c r="C109" s="176" t="s">
        <v>697</v>
      </c>
      <c r="D109" s="2797"/>
      <c r="E109" s="2797"/>
      <c r="F109" s="2797"/>
      <c r="G109" s="2797"/>
      <c r="H109" s="2797"/>
      <c r="I109" s="2797"/>
      <c r="J109" s="2797"/>
      <c r="K109" s="2797"/>
      <c r="L109" s="2797"/>
      <c r="M109" s="2797"/>
      <c r="N109" s="2797"/>
      <c r="O109" s="2800"/>
    </row>
    <row r="110" spans="2:15" ht="16.5" hidden="1">
      <c r="B110" s="177" t="s">
        <v>809</v>
      </c>
      <c r="C110" s="162">
        <v>50</v>
      </c>
      <c r="D110" s="203">
        <f>+'TABLA FINAL '!AV70</f>
        <v>281.89999999999998</v>
      </c>
      <c r="E110" s="203">
        <f>+'TABLA FINAL '!AW70</f>
        <v>281.89999999999998</v>
      </c>
      <c r="F110" s="203">
        <f>+'TABLA FINAL '!AX70</f>
        <v>281.89999999999998</v>
      </c>
      <c r="G110" s="203">
        <f>+'TABLA FINAL '!AY70</f>
        <v>282.2</v>
      </c>
      <c r="H110" s="203">
        <f>+'TABLA FINAL '!AZ70</f>
        <v>282.2</v>
      </c>
      <c r="I110" s="203">
        <f>+'TABLA FINAL '!BA70</f>
        <v>282.2</v>
      </c>
      <c r="J110" s="203">
        <f>+'TABLA FINAL '!BB70</f>
        <v>282.2</v>
      </c>
      <c r="K110" s="203">
        <f>+'TABLA FINAL '!BC70</f>
        <v>282.2</v>
      </c>
      <c r="L110" s="203">
        <f>+'TABLA FINAL '!BD70</f>
        <v>282.2</v>
      </c>
      <c r="M110" s="203">
        <f>+'TABLA FINAL '!BE70</f>
        <v>282.39999999999998</v>
      </c>
      <c r="N110" s="203">
        <f>+'TABLA FINAL '!BF70</f>
        <v>282.39999999999998</v>
      </c>
      <c r="O110" s="245">
        <f>+'TABLA FINAL '!BG70</f>
        <v>282.39999999999998</v>
      </c>
    </row>
    <row r="111" spans="2:15" ht="16.5" hidden="1">
      <c r="B111" s="181" t="s">
        <v>810</v>
      </c>
      <c r="C111" s="164">
        <v>19</v>
      </c>
      <c r="D111" s="183">
        <f>+'TABLA FINAL '!AV39</f>
        <v>360.1</v>
      </c>
      <c r="E111" s="183">
        <f>+'TABLA FINAL '!AW39</f>
        <v>366.8</v>
      </c>
      <c r="F111" s="183">
        <f>+'TABLA FINAL '!AX39</f>
        <v>367.7</v>
      </c>
      <c r="G111" s="183">
        <f>+'TABLA FINAL '!AY39</f>
        <v>368.7</v>
      </c>
      <c r="H111" s="183">
        <f>+'TABLA FINAL '!AZ39</f>
        <v>368.2</v>
      </c>
      <c r="I111" s="183">
        <f>+'TABLA FINAL '!BA39</f>
        <v>368.1</v>
      </c>
      <c r="J111" s="183">
        <f>+'TABLA FINAL '!BB39</f>
        <v>368</v>
      </c>
      <c r="K111" s="183">
        <f>+'TABLA FINAL '!BC39</f>
        <v>368</v>
      </c>
      <c r="L111" s="183">
        <f>+'TABLA FINAL '!BD39</f>
        <v>368</v>
      </c>
      <c r="M111" s="183">
        <f>+'TABLA FINAL '!BE39</f>
        <v>366.7</v>
      </c>
      <c r="N111" s="183">
        <f>+'TABLA FINAL '!BF39</f>
        <v>367.2</v>
      </c>
      <c r="O111" s="246">
        <f>+'TABLA FINAL '!BG39</f>
        <v>368.9</v>
      </c>
    </row>
    <row r="112" spans="2:15" ht="16.5" hidden="1">
      <c r="B112" s="181" t="s">
        <v>811</v>
      </c>
      <c r="C112" s="164">
        <v>58</v>
      </c>
      <c r="D112" s="212">
        <f>+'TABLA FINAL '!AV78</f>
        <v>296.95</v>
      </c>
      <c r="E112" s="212">
        <f>+'TABLA FINAL '!AW78</f>
        <v>294.83</v>
      </c>
      <c r="F112" s="212">
        <f>+'TABLA FINAL '!AX78</f>
        <v>295.88</v>
      </c>
      <c r="G112" s="212">
        <f>+'TABLA FINAL '!AY78</f>
        <v>295.26</v>
      </c>
      <c r="H112" s="212">
        <f>+'TABLA FINAL '!AZ78</f>
        <v>295.47000000000003</v>
      </c>
      <c r="I112" s="212">
        <f>+'TABLA FINAL '!BA78</f>
        <v>293.89</v>
      </c>
      <c r="J112" s="212">
        <f>+'TABLA FINAL '!BB78</f>
        <v>293.12</v>
      </c>
      <c r="K112" s="212">
        <f>+'TABLA FINAL '!BC78</f>
        <v>289.22000000000003</v>
      </c>
      <c r="L112" s="212">
        <f>+'TABLA FINAL '!BD78</f>
        <v>291.52999999999997</v>
      </c>
      <c r="M112" s="212">
        <f>+'TABLA FINAL '!BE78</f>
        <v>295.52999999999997</v>
      </c>
      <c r="N112" s="212">
        <f>+'TABLA FINAL '!BF78</f>
        <v>295.83</v>
      </c>
      <c r="O112" s="247">
        <f>+'TABLA FINAL '!BG78</f>
        <v>300.95</v>
      </c>
    </row>
    <row r="113" spans="2:15" ht="16.5" hidden="1">
      <c r="B113" s="181" t="s">
        <v>812</v>
      </c>
      <c r="C113" s="164">
        <v>23</v>
      </c>
      <c r="D113" s="216">
        <f>+'TABLA FINAL '!AV43</f>
        <v>287.05</v>
      </c>
      <c r="E113" s="216">
        <f>+'TABLA FINAL '!AW43</f>
        <v>291.5</v>
      </c>
      <c r="F113" s="216">
        <f>+'TABLA FINAL '!AX43</f>
        <v>292.60000000000002</v>
      </c>
      <c r="G113" s="216">
        <f>+'TABLA FINAL '!AY43</f>
        <v>292.60000000000002</v>
      </c>
      <c r="H113" s="248">
        <f>+'TABLA FINAL '!AZ43</f>
        <v>292.60000000000002</v>
      </c>
      <c r="I113" s="216">
        <f>+'TABLA FINAL '!BA43</f>
        <v>292.58</v>
      </c>
      <c r="J113" s="216">
        <f>+'TABLA FINAL '!BB43</f>
        <v>293.68</v>
      </c>
      <c r="K113" s="216">
        <f>+'TABLA FINAL '!BC43</f>
        <v>293.68</v>
      </c>
      <c r="L113" s="216">
        <f>+'TABLA FINAL '!BD43</f>
        <v>298.39999999999998</v>
      </c>
      <c r="M113" s="216">
        <f>+'TABLA FINAL '!BE43</f>
        <v>323.14999999999998</v>
      </c>
      <c r="N113" s="216">
        <f>+'TABLA FINAL '!BF43</f>
        <v>324.56</v>
      </c>
      <c r="O113" s="249">
        <f>+'TABLA FINAL '!BG43</f>
        <v>323.04000000000002</v>
      </c>
    </row>
    <row r="114" spans="2:15" ht="16.5" hidden="1">
      <c r="B114" s="181" t="s">
        <v>834</v>
      </c>
      <c r="C114" s="164" t="s">
        <v>835</v>
      </c>
      <c r="D114" s="184">
        <f>2.411*2.2521+0.852</f>
        <v>6.2818130999999999</v>
      </c>
      <c r="E114" s="184">
        <f>2.411*2.2521+0.852</f>
        <v>6.2818130999999999</v>
      </c>
      <c r="F114" s="184">
        <f>+'TABLA FINAL '!AX5*2.2521+'TABLA FINAL '!AX11</f>
        <v>7.0473759999999999</v>
      </c>
      <c r="G114" s="184">
        <f>+'TABLA FINAL '!AY5*2.2521+'TABLA FINAL '!AY11</f>
        <v>7.5310899999999998</v>
      </c>
      <c r="H114" s="184">
        <f>+'TABLA FINAL '!AZ5*2.2521+'TABLA FINAL '!AZ11</f>
        <v>7.5310899999999998</v>
      </c>
      <c r="I114" s="184">
        <v>7.53</v>
      </c>
      <c r="J114" s="184">
        <v>7.53</v>
      </c>
      <c r="K114" s="184">
        <v>7.53</v>
      </c>
      <c r="L114" s="184">
        <v>7.53</v>
      </c>
      <c r="M114" s="184">
        <f>+'TABLA FINAL '!BE5*2.2521+'TABLA FINAL '!BE11</f>
        <v>7.5310899999999998</v>
      </c>
      <c r="N114" s="184">
        <f>+'TABLA FINAL '!BF5*2.2521+'TABLA FINAL '!BF11</f>
        <v>8.9715180000000014</v>
      </c>
      <c r="O114" s="250">
        <f>+'TABLA FINAL '!BG5*2.2521+'TABLA FINAL '!BG11</f>
        <v>8.9715180000000014</v>
      </c>
    </row>
    <row r="115" spans="2:15" ht="17.25" hidden="1" thickBot="1">
      <c r="B115" s="186"/>
      <c r="C115" s="173"/>
      <c r="D115" s="187"/>
      <c r="E115" s="187"/>
      <c r="F115" s="187" t="s">
        <v>882</v>
      </c>
      <c r="G115" s="187"/>
      <c r="H115" s="187"/>
      <c r="I115" s="187"/>
      <c r="J115" s="187"/>
      <c r="K115" s="218"/>
      <c r="L115" s="219"/>
      <c r="M115" s="220"/>
      <c r="N115" s="220"/>
      <c r="O115" s="221"/>
    </row>
    <row r="116" spans="2:15" ht="17.25" hidden="1" thickBot="1">
      <c r="B116" s="170"/>
      <c r="C116" s="170"/>
      <c r="M116" s="222"/>
      <c r="N116" s="223"/>
    </row>
    <row r="117" spans="2:15" ht="16.5" hidden="1">
      <c r="B117" s="2804" t="s">
        <v>675</v>
      </c>
      <c r="C117" s="188" t="s">
        <v>836</v>
      </c>
      <c r="D117" s="251">
        <f>ROUND(+$D110/$D18,3)</f>
        <v>2.524</v>
      </c>
      <c r="E117" s="251">
        <f>ROUND(+$E110/$D18,3)</f>
        <v>2.524</v>
      </c>
      <c r="F117" s="251">
        <f>ROUND(+$F110/$D18,3)</f>
        <v>2.524</v>
      </c>
      <c r="G117" s="251">
        <f>ROUND(+$G110/$D18,3)</f>
        <v>2.5270000000000001</v>
      </c>
      <c r="H117" s="251">
        <f t="shared" ref="H117:O121" si="15">ROUND(+H110/$D18,3)</f>
        <v>2.5270000000000001</v>
      </c>
      <c r="I117" s="251">
        <f t="shared" si="15"/>
        <v>2.5270000000000001</v>
      </c>
      <c r="J117" s="251">
        <f t="shared" si="15"/>
        <v>2.5270000000000001</v>
      </c>
      <c r="K117" s="251">
        <f t="shared" si="15"/>
        <v>2.5270000000000001</v>
      </c>
      <c r="L117" s="251">
        <f t="shared" si="15"/>
        <v>2.5270000000000001</v>
      </c>
      <c r="M117" s="251">
        <f t="shared" si="15"/>
        <v>2.5289999999999999</v>
      </c>
      <c r="N117" s="251">
        <f t="shared" si="15"/>
        <v>2.5289999999999999</v>
      </c>
      <c r="O117" s="252">
        <f t="shared" si="15"/>
        <v>2.5289999999999999</v>
      </c>
    </row>
    <row r="118" spans="2:15" ht="16.5" hidden="1">
      <c r="B118" s="2805"/>
      <c r="C118" s="190" t="s">
        <v>837</v>
      </c>
      <c r="D118" s="253">
        <f>ROUND(+$D111/$D19,3)</f>
        <v>3.8069999999999999</v>
      </c>
      <c r="E118" s="253">
        <f>ROUND(+$E111/$D19,3)</f>
        <v>3.8769999999999998</v>
      </c>
      <c r="F118" s="253">
        <f>ROUND(+$F111/$D19,3)</f>
        <v>3.887</v>
      </c>
      <c r="G118" s="253">
        <f>ROUND(+$G111/$D19,3)</f>
        <v>3.8969999999999998</v>
      </c>
      <c r="H118" s="253">
        <f t="shared" si="15"/>
        <v>3.8919999999999999</v>
      </c>
      <c r="I118" s="253">
        <f t="shared" si="15"/>
        <v>3.891</v>
      </c>
      <c r="J118" s="253">
        <f t="shared" si="15"/>
        <v>3.89</v>
      </c>
      <c r="K118" s="253">
        <f t="shared" si="15"/>
        <v>3.89</v>
      </c>
      <c r="L118" s="253">
        <f t="shared" si="15"/>
        <v>3.89</v>
      </c>
      <c r="M118" s="253">
        <f t="shared" si="15"/>
        <v>3.8759999999999999</v>
      </c>
      <c r="N118" s="253">
        <f t="shared" si="15"/>
        <v>3.8820000000000001</v>
      </c>
      <c r="O118" s="254">
        <f t="shared" si="15"/>
        <v>3.9</v>
      </c>
    </row>
    <row r="119" spans="2:15" ht="16.5" hidden="1">
      <c r="B119" s="2805"/>
      <c r="C119" s="190" t="s">
        <v>838</v>
      </c>
      <c r="D119" s="253">
        <f>ROUND(+$D112/$D20,3)</f>
        <v>3.4750000000000001</v>
      </c>
      <c r="E119" s="253">
        <f>ROUND(+$E112/$D20,3)</f>
        <v>3.45</v>
      </c>
      <c r="F119" s="253">
        <f>ROUND(+$F112/$D20,3)</f>
        <v>3.4620000000000002</v>
      </c>
      <c r="G119" s="253">
        <f>ROUND(+$G112/$D20,3)</f>
        <v>3.4550000000000001</v>
      </c>
      <c r="H119" s="253">
        <f t="shared" si="15"/>
        <v>3.4569999999999999</v>
      </c>
      <c r="I119" s="253">
        <f t="shared" si="15"/>
        <v>3.4390000000000001</v>
      </c>
      <c r="J119" s="253">
        <f t="shared" si="15"/>
        <v>3.43</v>
      </c>
      <c r="K119" s="253">
        <f t="shared" si="15"/>
        <v>3.3839999999999999</v>
      </c>
      <c r="L119" s="253">
        <f t="shared" si="15"/>
        <v>3.411</v>
      </c>
      <c r="M119" s="253">
        <f t="shared" si="15"/>
        <v>3.4580000000000002</v>
      </c>
      <c r="N119" s="253">
        <f t="shared" si="15"/>
        <v>3.4620000000000002</v>
      </c>
      <c r="O119" s="254">
        <f t="shared" si="15"/>
        <v>3.5219999999999998</v>
      </c>
    </row>
    <row r="120" spans="2:15" ht="16.5" hidden="1">
      <c r="B120" s="2805"/>
      <c r="C120" s="190" t="s">
        <v>839</v>
      </c>
      <c r="D120" s="253">
        <f>ROUND(+$D113/$D21,3)</f>
        <v>3.222</v>
      </c>
      <c r="E120" s="253">
        <f>ROUND(+$E113/$D21,3)</f>
        <v>3.2719999999999998</v>
      </c>
      <c r="F120" s="253">
        <f>ROUND(+$F113/$D21,3)</f>
        <v>3.2839999999999998</v>
      </c>
      <c r="G120" s="253">
        <f>ROUND(+$G113/$D21,3)</f>
        <v>3.2839999999999998</v>
      </c>
      <c r="H120" s="253">
        <f t="shared" si="15"/>
        <v>3.2839999999999998</v>
      </c>
      <c r="I120" s="253">
        <f t="shared" si="15"/>
        <v>3.2839999999999998</v>
      </c>
      <c r="J120" s="253">
        <f t="shared" si="15"/>
        <v>3.2959999999999998</v>
      </c>
      <c r="K120" s="253">
        <f t="shared" si="15"/>
        <v>3.2959999999999998</v>
      </c>
      <c r="L120" s="253">
        <f t="shared" si="15"/>
        <v>3.3490000000000002</v>
      </c>
      <c r="M120" s="253">
        <f t="shared" si="15"/>
        <v>3.6269999999999998</v>
      </c>
      <c r="N120" s="253">
        <f t="shared" si="15"/>
        <v>3.6429999999999998</v>
      </c>
      <c r="O120" s="254">
        <f t="shared" si="15"/>
        <v>3.6259999999999999</v>
      </c>
    </row>
    <row r="121" spans="2:15" ht="17.25" hidden="1" thickBot="1">
      <c r="B121" s="2806"/>
      <c r="C121" s="193" t="s">
        <v>677</v>
      </c>
      <c r="D121" s="255">
        <f>ROUND(+$D114/$D22,3)</f>
        <v>2.3889999999999998</v>
      </c>
      <c r="E121" s="255">
        <f>ROUND(+$E114/$D22,3)</f>
        <v>2.3889999999999998</v>
      </c>
      <c r="F121" s="255">
        <f>ROUND(+$F114/$D22,3)</f>
        <v>2.68</v>
      </c>
      <c r="G121" s="255">
        <f>ROUND(+$G114/$D22,3)</f>
        <v>2.8639999999999999</v>
      </c>
      <c r="H121" s="255">
        <f t="shared" si="15"/>
        <v>2.8639999999999999</v>
      </c>
      <c r="I121" s="255">
        <f t="shared" si="15"/>
        <v>2.863</v>
      </c>
      <c r="J121" s="255">
        <f t="shared" si="15"/>
        <v>2.863</v>
      </c>
      <c r="K121" s="255">
        <f t="shared" si="15"/>
        <v>2.863</v>
      </c>
      <c r="L121" s="255">
        <f t="shared" si="15"/>
        <v>2.863</v>
      </c>
      <c r="M121" s="255">
        <f t="shared" si="15"/>
        <v>2.8639999999999999</v>
      </c>
      <c r="N121" s="255">
        <f t="shared" si="15"/>
        <v>3.411</v>
      </c>
      <c r="O121" s="256">
        <f t="shared" si="15"/>
        <v>3.411</v>
      </c>
    </row>
    <row r="122" spans="2:15" ht="17.25" hidden="1" thickBot="1">
      <c r="B122" s="170"/>
      <c r="C122" s="147"/>
      <c r="M122" s="222"/>
      <c r="N122" s="223"/>
    </row>
    <row r="123" spans="2:15" ht="16.5" hidden="1">
      <c r="B123" s="2807" t="s">
        <v>860</v>
      </c>
      <c r="C123" s="161" t="s">
        <v>695</v>
      </c>
      <c r="D123" s="2810">
        <v>38353</v>
      </c>
      <c r="E123" s="2810">
        <v>38384</v>
      </c>
      <c r="F123" s="2810">
        <v>38412</v>
      </c>
      <c r="G123" s="2810">
        <v>38443</v>
      </c>
      <c r="H123" s="2810">
        <v>38473</v>
      </c>
      <c r="I123" s="2810">
        <v>38504</v>
      </c>
      <c r="J123" s="2810">
        <v>38534</v>
      </c>
      <c r="K123" s="2810">
        <v>38565</v>
      </c>
      <c r="L123" s="2810">
        <v>38596</v>
      </c>
      <c r="M123" s="2810">
        <v>38626</v>
      </c>
      <c r="N123" s="2810">
        <v>38657</v>
      </c>
      <c r="O123" s="2798">
        <v>38687</v>
      </c>
    </row>
    <row r="124" spans="2:15" ht="16.5" hidden="1">
      <c r="B124" s="2808"/>
      <c r="C124" s="163" t="s">
        <v>696</v>
      </c>
      <c r="D124" s="2811"/>
      <c r="E124" s="2811"/>
      <c r="F124" s="2811"/>
      <c r="G124" s="2811"/>
      <c r="H124" s="2811"/>
      <c r="I124" s="2811"/>
      <c r="J124" s="2811"/>
      <c r="K124" s="2811"/>
      <c r="L124" s="2811"/>
      <c r="M124" s="2811"/>
      <c r="N124" s="2811"/>
      <c r="O124" s="2799"/>
    </row>
    <row r="125" spans="2:15" ht="17.25" hidden="1" thickBot="1">
      <c r="B125" s="2821"/>
      <c r="C125" s="163" t="s">
        <v>697</v>
      </c>
      <c r="D125" s="2811"/>
      <c r="E125" s="2811"/>
      <c r="F125" s="2811"/>
      <c r="G125" s="2811"/>
      <c r="H125" s="2811"/>
      <c r="I125" s="2811"/>
      <c r="J125" s="2811"/>
      <c r="K125" s="2811"/>
      <c r="L125" s="2811"/>
      <c r="M125" s="2811"/>
      <c r="N125" s="2811"/>
      <c r="O125" s="2800"/>
    </row>
    <row r="126" spans="2:15" ht="16.5" hidden="1">
      <c r="B126" s="177" t="s">
        <v>820</v>
      </c>
      <c r="C126" s="257">
        <v>301</v>
      </c>
      <c r="D126" s="232">
        <f t="shared" ref="D126:O126" si="16">ROUND(MMULT($D12:$H12,D$117:D$121),2)</f>
        <v>296.13</v>
      </c>
      <c r="E126" s="232">
        <f t="shared" si="16"/>
        <v>297.95999999999998</v>
      </c>
      <c r="F126" s="198">
        <f t="shared" si="16"/>
        <v>303.07</v>
      </c>
      <c r="G126" s="198">
        <f t="shared" si="16"/>
        <v>306.31</v>
      </c>
      <c r="H126" s="198">
        <f t="shared" si="16"/>
        <v>306.20999999999998</v>
      </c>
      <c r="I126" s="198">
        <f t="shared" si="16"/>
        <v>305.99</v>
      </c>
      <c r="J126" s="198">
        <f t="shared" si="16"/>
        <v>305.97000000000003</v>
      </c>
      <c r="K126" s="198">
        <f t="shared" si="16"/>
        <v>305.51</v>
      </c>
      <c r="L126" s="198">
        <f t="shared" si="16"/>
        <v>306.2</v>
      </c>
      <c r="M126" s="198">
        <f t="shared" si="16"/>
        <v>308.66000000000003</v>
      </c>
      <c r="N126" s="198">
        <f t="shared" si="16"/>
        <v>317.73</v>
      </c>
      <c r="O126" s="233">
        <f t="shared" si="16"/>
        <v>318.62</v>
      </c>
    </row>
    <row r="127" spans="2:15" ht="16.5" hidden="1">
      <c r="B127" s="181" t="s">
        <v>827</v>
      </c>
      <c r="C127" s="258">
        <v>302</v>
      </c>
      <c r="D127" s="185">
        <f t="shared" ref="D127:O127" si="17">ROUND(MMULT($D13:$H13,D$117:D$121),2)</f>
        <v>290.56</v>
      </c>
      <c r="E127" s="185">
        <f t="shared" si="17"/>
        <v>292.25</v>
      </c>
      <c r="F127" s="185">
        <f t="shared" si="17"/>
        <v>298.17</v>
      </c>
      <c r="G127" s="185">
        <f t="shared" si="17"/>
        <v>301.97000000000003</v>
      </c>
      <c r="H127" s="185">
        <f t="shared" si="17"/>
        <v>301.87</v>
      </c>
      <c r="I127" s="185">
        <f t="shared" si="17"/>
        <v>301.69</v>
      </c>
      <c r="J127" s="185">
        <f t="shared" si="17"/>
        <v>301.68</v>
      </c>
      <c r="K127" s="185">
        <f t="shared" si="17"/>
        <v>301.31</v>
      </c>
      <c r="L127" s="185">
        <f t="shared" si="17"/>
        <v>301.89999999999998</v>
      </c>
      <c r="M127" s="185">
        <f t="shared" si="17"/>
        <v>304.02</v>
      </c>
      <c r="N127" s="185">
        <f t="shared" si="17"/>
        <v>314.69</v>
      </c>
      <c r="O127" s="239">
        <f t="shared" si="17"/>
        <v>315.44</v>
      </c>
    </row>
    <row r="128" spans="2:15" ht="16.5" hidden="1">
      <c r="B128" s="181" t="s">
        <v>828</v>
      </c>
      <c r="C128" s="258">
        <v>303</v>
      </c>
      <c r="D128" s="238">
        <f t="shared" ref="D128:O128" si="18">ROUND(MMULT($D14:$H14,D$117:D$121),2)</f>
        <v>294.27999999999997</v>
      </c>
      <c r="E128" s="238">
        <f t="shared" si="18"/>
        <v>295.51</v>
      </c>
      <c r="F128" s="238">
        <f t="shared" si="18"/>
        <v>302.39</v>
      </c>
      <c r="G128" s="185">
        <f t="shared" si="18"/>
        <v>306.61</v>
      </c>
      <c r="H128" s="185">
        <f t="shared" si="18"/>
        <v>306.55</v>
      </c>
      <c r="I128" s="185">
        <f t="shared" si="18"/>
        <v>306.2</v>
      </c>
      <c r="J128" s="185">
        <f t="shared" si="18"/>
        <v>306.13</v>
      </c>
      <c r="K128" s="185">
        <f t="shared" si="18"/>
        <v>305.35000000000002</v>
      </c>
      <c r="L128" s="185">
        <f t="shared" si="18"/>
        <v>306.23</v>
      </c>
      <c r="M128" s="185">
        <f t="shared" si="18"/>
        <v>309.08999999999997</v>
      </c>
      <c r="N128" s="185">
        <f t="shared" si="18"/>
        <v>321.43</v>
      </c>
      <c r="O128" s="239">
        <f t="shared" si="18"/>
        <v>322.64</v>
      </c>
    </row>
    <row r="129" spans="2:15" ht="17.25" hidden="1" thickBot="1">
      <c r="B129" s="186" t="s">
        <v>832</v>
      </c>
      <c r="C129" s="259">
        <v>304</v>
      </c>
      <c r="D129" s="240">
        <f t="shared" ref="D129:O129" si="19">ROUND(MMULT($D15:$H15,D$117:D$121),2)</f>
        <v>262.48</v>
      </c>
      <c r="E129" s="240">
        <f t="shared" si="19"/>
        <v>263.01</v>
      </c>
      <c r="F129" s="240">
        <f t="shared" si="19"/>
        <v>276.94</v>
      </c>
      <c r="G129" s="201">
        <f t="shared" si="19"/>
        <v>285.63</v>
      </c>
      <c r="H129" s="201">
        <f t="shared" si="19"/>
        <v>285.64999999999998</v>
      </c>
      <c r="I129" s="201">
        <f t="shared" si="19"/>
        <v>285.47000000000003</v>
      </c>
      <c r="J129" s="201">
        <f t="shared" si="19"/>
        <v>285.58</v>
      </c>
      <c r="K129" s="201">
        <f t="shared" si="19"/>
        <v>285.26</v>
      </c>
      <c r="L129" s="201">
        <f t="shared" si="19"/>
        <v>286.19</v>
      </c>
      <c r="M129" s="201">
        <f t="shared" si="19"/>
        <v>290.52</v>
      </c>
      <c r="N129" s="201">
        <f t="shared" si="19"/>
        <v>316.48</v>
      </c>
      <c r="O129" s="241">
        <f t="shared" si="19"/>
        <v>316.66000000000003</v>
      </c>
    </row>
    <row r="130" spans="2:15" ht="16.5" hidden="1">
      <c r="B130" s="202" t="s">
        <v>462</v>
      </c>
      <c r="C130" s="170"/>
    </row>
    <row r="131" spans="2:15" ht="16.5" hidden="1">
      <c r="B131" s="170"/>
      <c r="C131" s="260">
        <v>38353</v>
      </c>
      <c r="D131" s="261">
        <f>2.41*2.2521+0.852</f>
        <v>6.2795610000000002</v>
      </c>
      <c r="E131" s="261"/>
    </row>
    <row r="132" spans="2:15" ht="16.5" hidden="1">
      <c r="B132" s="170"/>
      <c r="C132" s="260">
        <v>38504</v>
      </c>
      <c r="D132" s="159">
        <v>7.53</v>
      </c>
      <c r="E132" s="159" t="s">
        <v>483</v>
      </c>
    </row>
    <row r="133" spans="2:15" ht="16.5" hidden="1">
      <c r="C133" s="260">
        <v>38657</v>
      </c>
      <c r="D133" s="159">
        <v>8.9700000000000006</v>
      </c>
      <c r="E133" s="159" t="s">
        <v>491</v>
      </c>
    </row>
    <row r="134" spans="2:15" ht="15" hidden="1" thickBot="1">
      <c r="C134" s="242"/>
      <c r="F134" s="242"/>
    </row>
    <row r="135" spans="2:15" ht="9.75" hidden="1" customHeight="1">
      <c r="B135" s="2807" t="s">
        <v>673</v>
      </c>
      <c r="C135" s="2801" t="s">
        <v>354</v>
      </c>
      <c r="D135" s="2795">
        <v>38718</v>
      </c>
      <c r="E135" s="2795">
        <v>38749</v>
      </c>
      <c r="F135" s="2795">
        <v>38777</v>
      </c>
      <c r="G135" s="2795">
        <v>38808</v>
      </c>
      <c r="H135" s="2795">
        <v>38838</v>
      </c>
      <c r="I135" s="2795">
        <v>38869</v>
      </c>
      <c r="J135" s="2795">
        <v>38899</v>
      </c>
      <c r="K135" s="2795">
        <v>38930</v>
      </c>
      <c r="L135" s="2795">
        <v>38961</v>
      </c>
      <c r="M135" s="2795">
        <v>38991</v>
      </c>
      <c r="N135" s="2795">
        <v>39022</v>
      </c>
      <c r="O135" s="2798">
        <v>39052</v>
      </c>
    </row>
    <row r="136" spans="2:15" ht="9.75" hidden="1" customHeight="1">
      <c r="B136" s="2808"/>
      <c r="C136" s="2802"/>
      <c r="D136" s="2796"/>
      <c r="E136" s="2796"/>
      <c r="F136" s="2796"/>
      <c r="G136" s="2796"/>
      <c r="H136" s="2796"/>
      <c r="I136" s="2796"/>
      <c r="J136" s="2796"/>
      <c r="K136" s="2796"/>
      <c r="L136" s="2796"/>
      <c r="M136" s="2796"/>
      <c r="N136" s="2796"/>
      <c r="O136" s="2799"/>
    </row>
    <row r="137" spans="2:15" ht="12.75" hidden="1" customHeight="1" thickBot="1">
      <c r="B137" s="2821"/>
      <c r="C137" s="2803"/>
      <c r="D137" s="2797"/>
      <c r="E137" s="2797"/>
      <c r="F137" s="2797"/>
      <c r="G137" s="2797"/>
      <c r="H137" s="2797"/>
      <c r="I137" s="2797"/>
      <c r="J137" s="2797"/>
      <c r="K137" s="2797"/>
      <c r="L137" s="2797"/>
      <c r="M137" s="2797"/>
      <c r="N137" s="2797"/>
      <c r="O137" s="2800"/>
    </row>
    <row r="138" spans="2:15" ht="16.5" hidden="1">
      <c r="B138" s="177" t="s">
        <v>809</v>
      </c>
      <c r="C138" s="162">
        <v>50</v>
      </c>
      <c r="D138" s="203">
        <f>+'TABLA FINAL '!BH70</f>
        <v>282.39999999999998</v>
      </c>
      <c r="E138" s="203">
        <f>+'TABLA FINAL '!BI70</f>
        <v>282.70999999999998</v>
      </c>
      <c r="F138" s="203">
        <f>+'TABLA FINAL '!BJ70</f>
        <v>277.11</v>
      </c>
      <c r="G138" s="203">
        <f>+'TABLA FINAL '!BK70</f>
        <v>290.88</v>
      </c>
      <c r="H138" s="203">
        <f>+'TABLA FINAL '!BL70</f>
        <v>290.88</v>
      </c>
      <c r="I138" s="203">
        <f>+'TABLA FINAL '!BM70</f>
        <v>291.08999999999997</v>
      </c>
      <c r="J138" s="203">
        <f>+'TABLA FINAL '!BN70</f>
        <v>291.08999999999997</v>
      </c>
      <c r="K138" s="203">
        <f>+'TABLA FINAL '!BO70</f>
        <v>291.08999999999997</v>
      </c>
      <c r="L138" s="203">
        <f>+'TABLA FINAL '!BP70</f>
        <v>291.08999999999997</v>
      </c>
      <c r="M138" s="203">
        <f>+'TABLA FINAL '!BQ70</f>
        <v>291.08999999999997</v>
      </c>
      <c r="N138" s="203">
        <f>+'TABLA FINAL '!BR70</f>
        <v>291.08999999999997</v>
      </c>
      <c r="O138" s="245">
        <f>+'TABLA FINAL '!BS70</f>
        <v>301.73</v>
      </c>
    </row>
    <row r="139" spans="2:15" ht="16.5" hidden="1">
      <c r="B139" s="181" t="s">
        <v>810</v>
      </c>
      <c r="C139" s="164">
        <v>19</v>
      </c>
      <c r="D139" s="183">
        <f>+'TABLA FINAL '!BH39</f>
        <v>372.4</v>
      </c>
      <c r="E139" s="183">
        <f>+'TABLA FINAL '!BI39</f>
        <v>377.3</v>
      </c>
      <c r="F139" s="183">
        <f>+'TABLA FINAL '!BJ39</f>
        <v>381.5</v>
      </c>
      <c r="G139" s="183">
        <f>+'TABLA FINAL '!BK39</f>
        <v>382.5</v>
      </c>
      <c r="H139" s="183">
        <f>+'TABLA FINAL '!BL39</f>
        <v>384.3</v>
      </c>
      <c r="I139" s="183">
        <f>+'TABLA FINAL '!BM39</f>
        <v>385.1</v>
      </c>
      <c r="J139" s="183">
        <f>+'TABLA FINAL '!BN39</f>
        <v>384.1</v>
      </c>
      <c r="K139" s="183">
        <f>+'TABLA FINAL '!BO39</f>
        <v>386</v>
      </c>
      <c r="L139" s="183">
        <f>+'TABLA FINAL '!BP39</f>
        <v>384.6</v>
      </c>
      <c r="M139" s="183">
        <f>+'TABLA FINAL '!BQ39</f>
        <v>385.2</v>
      </c>
      <c r="N139" s="183">
        <f>+'TABLA FINAL '!BR39</f>
        <v>387.4</v>
      </c>
      <c r="O139" s="246">
        <f>+'TABLA FINAL '!BS39</f>
        <v>391.5</v>
      </c>
    </row>
    <row r="140" spans="2:15" ht="16.5" hidden="1">
      <c r="B140" s="181" t="s">
        <v>811</v>
      </c>
      <c r="C140" s="164">
        <v>58</v>
      </c>
      <c r="D140" s="212">
        <f>+'TABLA FINAL '!BH78</f>
        <v>304</v>
      </c>
      <c r="E140" s="212">
        <f>+'TABLA FINAL '!BI78</f>
        <v>306.85000000000002</v>
      </c>
      <c r="F140" s="212">
        <f>+'TABLA FINAL '!BJ78</f>
        <v>308.5</v>
      </c>
      <c r="G140" s="212">
        <f>+'TABLA FINAL '!BK78</f>
        <v>316.7</v>
      </c>
      <c r="H140" s="212">
        <f>+'TABLA FINAL '!BL78</f>
        <v>316.41000000000003</v>
      </c>
      <c r="I140" s="212">
        <f>+'TABLA FINAL '!BM78</f>
        <v>317.72000000000003</v>
      </c>
      <c r="J140" s="212">
        <f>+'TABLA FINAL '!BN78</f>
        <v>318.88</v>
      </c>
      <c r="K140" s="212">
        <f>+'TABLA FINAL '!BO78</f>
        <v>334.13</v>
      </c>
      <c r="L140" s="212">
        <f>+'TABLA FINAL '!BP78</f>
        <v>336.9</v>
      </c>
      <c r="M140" s="212">
        <f>+'TABLA FINAL '!BQ78</f>
        <v>337.35</v>
      </c>
      <c r="N140" s="212">
        <f>+'TABLA FINAL '!BR78</f>
        <v>339.21</v>
      </c>
      <c r="O140" s="247">
        <f>+'TABLA FINAL '!BS78</f>
        <v>343.56</v>
      </c>
    </row>
    <row r="141" spans="2:15" ht="16.5" hidden="1">
      <c r="B141" s="181" t="s">
        <v>812</v>
      </c>
      <c r="C141" s="164">
        <v>23</v>
      </c>
      <c r="D141" s="216">
        <f>+'TABLA FINAL '!BH43</f>
        <v>327.35000000000002</v>
      </c>
      <c r="E141" s="216">
        <f>+'TABLA FINAL '!BI43</f>
        <v>328.88</v>
      </c>
      <c r="F141" s="216">
        <f>+'TABLA FINAL '!BJ43</f>
        <v>330.03</v>
      </c>
      <c r="G141" s="216">
        <f>+'TABLA FINAL '!BK43</f>
        <v>330.03</v>
      </c>
      <c r="H141" s="216">
        <f>+'TABLA FINAL '!BL43</f>
        <v>331.86</v>
      </c>
      <c r="I141" s="216">
        <f>+'TABLA FINAL '!BM43</f>
        <v>334.12</v>
      </c>
      <c r="J141" s="216">
        <f>+'TABLA FINAL '!BN43</f>
        <v>334.12</v>
      </c>
      <c r="K141" s="216">
        <f>+'TABLA FINAL '!BO43</f>
        <v>334.12</v>
      </c>
      <c r="L141" s="216">
        <f>+'TABLA FINAL '!BP43</f>
        <v>335.06</v>
      </c>
      <c r="M141" s="216">
        <f>+'TABLA FINAL '!BQ43</f>
        <v>336.16</v>
      </c>
      <c r="N141" s="216">
        <f>+'TABLA FINAL '!BR43</f>
        <v>337.08</v>
      </c>
      <c r="O141" s="249">
        <f>+'TABLA FINAL '!BS43</f>
        <v>337.1</v>
      </c>
    </row>
    <row r="142" spans="2:15" ht="16.5" hidden="1">
      <c r="B142" s="181" t="s">
        <v>834</v>
      </c>
      <c r="C142" s="164" t="s">
        <v>835</v>
      </c>
      <c r="D142" s="184">
        <f>+('TABLA FINAL '!BH5+'TABLA FINAL '!BH16)*2.2521+'TABLA FINAL '!BH11</f>
        <v>9.3585452727272713</v>
      </c>
      <c r="E142" s="184">
        <f>(+'TABLA FINAL '!BI5+'TABLA FINAL '!BI16)*2.2521+'TABLA FINAL '!BI11</f>
        <v>9.3585452727272713</v>
      </c>
      <c r="F142" s="184">
        <f>(+'TABLA FINAL '!BJ5+'TABLA FINAL '!BJ16)*2.2521+'TABLA FINAL '!BJ11</f>
        <v>9.3585452727272713</v>
      </c>
      <c r="G142" s="184">
        <f>(+'TABLA FINAL '!BK5+'TABLA FINAL '!BK16)*2.2521+'TABLA FINAL '!BK11</f>
        <v>9.7454816363636354</v>
      </c>
      <c r="H142" s="184">
        <f>(+'TABLA FINAL '!BL5+'TABLA FINAL '!BL16)*2.2521+'TABLA FINAL '!BL11</f>
        <v>10.718859636363636</v>
      </c>
      <c r="I142" s="184">
        <f>(+'TABLA FINAL '!BM5+'TABLA FINAL '!BM16)*2.2521+'TABLA FINAL '!BM11</f>
        <v>10.718859636363636</v>
      </c>
      <c r="J142" s="184">
        <f>(+'TABLA FINAL '!BN5+'TABLA FINAL '!BN16)*2.2521+'TABLA FINAL '!BN11</f>
        <v>10.855977818181817</v>
      </c>
      <c r="K142" s="184">
        <f>(+'TABLA FINAL '!BO5+'TABLA FINAL '!BO16)*2.2521+'TABLA FINAL '!BO11</f>
        <v>10.855523272727272</v>
      </c>
      <c r="L142" s="184">
        <f>(+'TABLA FINAL '!BP5+'TABLA FINAL '!BP16)*2.2521+'TABLA FINAL '!BP11</f>
        <v>8.8732740000000003</v>
      </c>
      <c r="M142" s="184">
        <f>(+'TABLA FINAL '!BQ5+'TABLA FINAL '!BQ16)*2.2521+'TABLA FINAL '!BQ11</f>
        <v>11.830110363636365</v>
      </c>
      <c r="N142" s="184">
        <f>(+'TABLA FINAL '!BR5+'TABLA FINAL '!BR16)*2.2521+'TABLA FINAL '!BR11</f>
        <v>11.830110363636365</v>
      </c>
      <c r="O142" s="250">
        <f>(+'TABLA FINAL '!BS5+'TABLA FINAL '!BS16)*2.2521+'TABLA FINAL '!BS11</f>
        <v>11.830110363636365</v>
      </c>
    </row>
    <row r="143" spans="2:15" ht="11.25" hidden="1" customHeight="1" thickBot="1">
      <c r="B143" s="170"/>
      <c r="C143" s="170"/>
      <c r="M143" s="222"/>
      <c r="N143" s="223"/>
    </row>
    <row r="144" spans="2:15" ht="16.5" hidden="1">
      <c r="B144" s="2804" t="s">
        <v>675</v>
      </c>
      <c r="C144" s="188" t="s">
        <v>836</v>
      </c>
      <c r="D144" s="251">
        <f t="shared" ref="D144:I144" si="20">ROUND(+D138/$D$18,3)</f>
        <v>2.5289999999999999</v>
      </c>
      <c r="E144" s="251">
        <f t="shared" si="20"/>
        <v>2.5310000000000001</v>
      </c>
      <c r="F144" s="251">
        <f t="shared" si="20"/>
        <v>2.4809999999999999</v>
      </c>
      <c r="G144" s="251">
        <f t="shared" si="20"/>
        <v>2.605</v>
      </c>
      <c r="H144" s="251">
        <f t="shared" si="20"/>
        <v>2.605</v>
      </c>
      <c r="I144" s="251">
        <f t="shared" si="20"/>
        <v>2.6059999999999999</v>
      </c>
      <c r="J144" s="251">
        <f t="shared" ref="J144:O144" si="21">ROUND(+J138/$D$18,3)</f>
        <v>2.6059999999999999</v>
      </c>
      <c r="K144" s="251">
        <f t="shared" si="21"/>
        <v>2.6059999999999999</v>
      </c>
      <c r="L144" s="251">
        <f t="shared" si="21"/>
        <v>2.6059999999999999</v>
      </c>
      <c r="M144" s="251">
        <f t="shared" si="21"/>
        <v>2.6059999999999999</v>
      </c>
      <c r="N144" s="251">
        <f t="shared" si="21"/>
        <v>2.6059999999999999</v>
      </c>
      <c r="O144" s="252">
        <f t="shared" si="21"/>
        <v>2.702</v>
      </c>
    </row>
    <row r="145" spans="2:15" ht="16.5" hidden="1">
      <c r="B145" s="2805"/>
      <c r="C145" s="190" t="s">
        <v>837</v>
      </c>
      <c r="D145" s="253">
        <f t="shared" ref="D145:I145" si="22">ROUND(+D139/$D$19,3)</f>
        <v>3.9369999999999998</v>
      </c>
      <c r="E145" s="253">
        <f t="shared" si="22"/>
        <v>3.988</v>
      </c>
      <c r="F145" s="253">
        <f t="shared" si="22"/>
        <v>4.0330000000000004</v>
      </c>
      <c r="G145" s="253">
        <f t="shared" si="22"/>
        <v>4.0430000000000001</v>
      </c>
      <c r="H145" s="253">
        <f t="shared" si="22"/>
        <v>4.0620000000000003</v>
      </c>
      <c r="I145" s="253">
        <f t="shared" si="22"/>
        <v>4.0709999999999997</v>
      </c>
      <c r="J145" s="253">
        <f t="shared" ref="J145:O145" si="23">ROUND(+J139/$D$19,3)</f>
        <v>4.0599999999999996</v>
      </c>
      <c r="K145" s="253">
        <f t="shared" si="23"/>
        <v>4.08</v>
      </c>
      <c r="L145" s="253">
        <f t="shared" si="23"/>
        <v>4.0659999999999998</v>
      </c>
      <c r="M145" s="253">
        <f t="shared" si="23"/>
        <v>4.0720000000000001</v>
      </c>
      <c r="N145" s="253">
        <f t="shared" si="23"/>
        <v>4.0949999999999998</v>
      </c>
      <c r="O145" s="254">
        <f t="shared" si="23"/>
        <v>4.1379999999999999</v>
      </c>
    </row>
    <row r="146" spans="2:15" ht="16.5" hidden="1">
      <c r="B146" s="2805"/>
      <c r="C146" s="190" t="s">
        <v>838</v>
      </c>
      <c r="D146" s="253">
        <f t="shared" ref="D146:I146" si="24">ROUND(+D140/$D$20,3)</f>
        <v>3.5569999999999999</v>
      </c>
      <c r="E146" s="253">
        <f t="shared" si="24"/>
        <v>3.5910000000000002</v>
      </c>
      <c r="F146" s="253">
        <f t="shared" si="24"/>
        <v>3.61</v>
      </c>
      <c r="G146" s="253">
        <f t="shared" si="24"/>
        <v>3.706</v>
      </c>
      <c r="H146" s="253">
        <f t="shared" si="24"/>
        <v>3.702</v>
      </c>
      <c r="I146" s="253">
        <f t="shared" si="24"/>
        <v>3.718</v>
      </c>
      <c r="J146" s="253">
        <f t="shared" ref="J146:O146" si="25">ROUND(+J140/$D$20,3)</f>
        <v>3.7309999999999999</v>
      </c>
      <c r="K146" s="253">
        <f t="shared" si="25"/>
        <v>3.91</v>
      </c>
      <c r="L146" s="253">
        <f t="shared" si="25"/>
        <v>3.9420000000000002</v>
      </c>
      <c r="M146" s="253">
        <f t="shared" si="25"/>
        <v>3.9470000000000001</v>
      </c>
      <c r="N146" s="253">
        <f t="shared" si="25"/>
        <v>3.9689999999999999</v>
      </c>
      <c r="O146" s="254">
        <f t="shared" si="25"/>
        <v>4.0199999999999996</v>
      </c>
    </row>
    <row r="147" spans="2:15" ht="16.5" hidden="1">
      <c r="B147" s="2805"/>
      <c r="C147" s="190" t="s">
        <v>839</v>
      </c>
      <c r="D147" s="253">
        <f t="shared" ref="D147:I147" si="26">ROUND(+D141/$D$21,3)</f>
        <v>3.6739999999999999</v>
      </c>
      <c r="E147" s="253">
        <f t="shared" si="26"/>
        <v>3.6909999999999998</v>
      </c>
      <c r="F147" s="253">
        <f t="shared" si="26"/>
        <v>3.7040000000000002</v>
      </c>
      <c r="G147" s="253">
        <f t="shared" si="26"/>
        <v>3.7040000000000002</v>
      </c>
      <c r="H147" s="253">
        <f t="shared" si="26"/>
        <v>3.7250000000000001</v>
      </c>
      <c r="I147" s="253">
        <f t="shared" si="26"/>
        <v>3.75</v>
      </c>
      <c r="J147" s="253">
        <f t="shared" ref="J147:O147" si="27">ROUND(+J141/$D$21,3)</f>
        <v>3.75</v>
      </c>
      <c r="K147" s="253">
        <f t="shared" si="27"/>
        <v>3.75</v>
      </c>
      <c r="L147" s="253">
        <f t="shared" si="27"/>
        <v>3.76</v>
      </c>
      <c r="M147" s="253">
        <f t="shared" si="27"/>
        <v>3.7730000000000001</v>
      </c>
      <c r="N147" s="253">
        <f t="shared" si="27"/>
        <v>3.7829999999999999</v>
      </c>
      <c r="O147" s="254">
        <f t="shared" si="27"/>
        <v>3.7829999999999999</v>
      </c>
    </row>
    <row r="148" spans="2:15" ht="17.25" hidden="1" thickBot="1">
      <c r="B148" s="2806"/>
      <c r="C148" s="193" t="s">
        <v>677</v>
      </c>
      <c r="D148" s="255">
        <f t="shared" ref="D148:I148" si="28">ROUND(+D142/$D$22,3)</f>
        <v>3.5579999999999998</v>
      </c>
      <c r="E148" s="255">
        <f t="shared" si="28"/>
        <v>3.5579999999999998</v>
      </c>
      <c r="F148" s="255">
        <f t="shared" si="28"/>
        <v>3.5579999999999998</v>
      </c>
      <c r="G148" s="255">
        <f t="shared" si="28"/>
        <v>3.706</v>
      </c>
      <c r="H148" s="255">
        <f t="shared" si="28"/>
        <v>4.0759999999999996</v>
      </c>
      <c r="I148" s="255">
        <f t="shared" si="28"/>
        <v>4.0759999999999996</v>
      </c>
      <c r="J148" s="255">
        <f t="shared" ref="J148:O148" si="29">ROUND(+J142/$D$22,3)</f>
        <v>4.1280000000000001</v>
      </c>
      <c r="K148" s="255">
        <f t="shared" si="29"/>
        <v>4.1280000000000001</v>
      </c>
      <c r="L148" s="255">
        <f t="shared" si="29"/>
        <v>3.3740000000000001</v>
      </c>
      <c r="M148" s="255">
        <f t="shared" si="29"/>
        <v>4.4980000000000002</v>
      </c>
      <c r="N148" s="255">
        <f t="shared" si="29"/>
        <v>4.4980000000000002</v>
      </c>
      <c r="O148" s="256">
        <f t="shared" si="29"/>
        <v>4.4980000000000002</v>
      </c>
    </row>
    <row r="149" spans="2:15" ht="10.5" hidden="1" customHeight="1" thickBot="1">
      <c r="B149" s="170"/>
      <c r="C149" s="147"/>
      <c r="M149" s="222"/>
      <c r="N149" s="223"/>
    </row>
    <row r="150" spans="2:15" ht="16.5" hidden="1" customHeight="1">
      <c r="B150" s="2807" t="s">
        <v>860</v>
      </c>
      <c r="C150" s="2801" t="s">
        <v>354</v>
      </c>
      <c r="D150" s="2795">
        <v>38718</v>
      </c>
      <c r="E150" s="2795">
        <v>38749</v>
      </c>
      <c r="F150" s="2795">
        <v>38777</v>
      </c>
      <c r="G150" s="2795">
        <v>38808</v>
      </c>
      <c r="H150" s="2795">
        <v>38838</v>
      </c>
      <c r="I150" s="2795">
        <v>38869</v>
      </c>
      <c r="J150" s="2795">
        <v>38899</v>
      </c>
      <c r="K150" s="2795">
        <v>38930</v>
      </c>
      <c r="L150" s="2795">
        <v>38961</v>
      </c>
      <c r="M150" s="2795">
        <v>38991</v>
      </c>
      <c r="N150" s="2795">
        <v>39022</v>
      </c>
      <c r="O150" s="2798">
        <v>39052</v>
      </c>
    </row>
    <row r="151" spans="2:15" ht="16.5" hidden="1" customHeight="1">
      <c r="B151" s="2808"/>
      <c r="C151" s="2802"/>
      <c r="D151" s="2796"/>
      <c r="E151" s="2796"/>
      <c r="F151" s="2796"/>
      <c r="G151" s="2796"/>
      <c r="H151" s="2796"/>
      <c r="I151" s="2796"/>
      <c r="J151" s="2796"/>
      <c r="K151" s="2796"/>
      <c r="L151" s="2796"/>
      <c r="M151" s="2796"/>
      <c r="N151" s="2796"/>
      <c r="O151" s="2799"/>
    </row>
    <row r="152" spans="2:15" ht="2.25" hidden="1" customHeight="1" thickBot="1">
      <c r="B152" s="2821"/>
      <c r="C152" s="2803"/>
      <c r="D152" s="2797"/>
      <c r="E152" s="2797"/>
      <c r="F152" s="2797"/>
      <c r="G152" s="2797"/>
      <c r="H152" s="2797"/>
      <c r="I152" s="2797"/>
      <c r="J152" s="2797"/>
      <c r="K152" s="2797"/>
      <c r="L152" s="2797"/>
      <c r="M152" s="2797"/>
      <c r="N152" s="2797"/>
      <c r="O152" s="2800"/>
    </row>
    <row r="153" spans="2:15" ht="16.5" hidden="1">
      <c r="B153" s="177" t="s">
        <v>820</v>
      </c>
      <c r="C153" s="257">
        <v>301</v>
      </c>
      <c r="D153" s="232">
        <f t="shared" ref="D153:O153" si="30">ROUND(MMULT($D12:$H12,D$144:D$148),2)</f>
        <v>322.60000000000002</v>
      </c>
      <c r="E153" s="232">
        <f t="shared" si="30"/>
        <v>324.38</v>
      </c>
      <c r="F153" s="232">
        <f t="shared" si="30"/>
        <v>323.64999999999998</v>
      </c>
      <c r="G153" s="232">
        <f t="shared" si="30"/>
        <v>332.43</v>
      </c>
      <c r="H153" s="232">
        <f t="shared" si="30"/>
        <v>338.93</v>
      </c>
      <c r="I153" s="232">
        <f t="shared" si="30"/>
        <v>339.55</v>
      </c>
      <c r="J153" s="232">
        <f t="shared" si="30"/>
        <v>340.25</v>
      </c>
      <c r="K153" s="232">
        <f t="shared" si="30"/>
        <v>342.52</v>
      </c>
      <c r="L153" s="232">
        <f t="shared" si="30"/>
        <v>330.52</v>
      </c>
      <c r="M153" s="232">
        <f t="shared" si="30"/>
        <v>348.8</v>
      </c>
      <c r="N153" s="232">
        <f t="shared" si="30"/>
        <v>349.65</v>
      </c>
      <c r="O153" s="233">
        <f t="shared" si="30"/>
        <v>355.23</v>
      </c>
    </row>
    <row r="154" spans="2:15" ht="16.5" hidden="1">
      <c r="B154" s="181" t="s">
        <v>827</v>
      </c>
      <c r="C154" s="258">
        <v>302</v>
      </c>
      <c r="D154" s="185">
        <f t="shared" ref="D154:O154" si="31">ROUND(MMULT($D13:$H13,D$144:D$148),2)</f>
        <v>319.67</v>
      </c>
      <c r="E154" s="185">
        <f t="shared" si="31"/>
        <v>321.27</v>
      </c>
      <c r="F154" s="185">
        <f t="shared" si="31"/>
        <v>320.3</v>
      </c>
      <c r="G154" s="185">
        <f t="shared" si="31"/>
        <v>329.56</v>
      </c>
      <c r="H154" s="185">
        <f t="shared" si="31"/>
        <v>337.12</v>
      </c>
      <c r="I154" s="185">
        <f t="shared" si="31"/>
        <v>337.66</v>
      </c>
      <c r="J154" s="185">
        <f t="shared" si="31"/>
        <v>338.51</v>
      </c>
      <c r="K154" s="185">
        <f t="shared" si="31"/>
        <v>340.39</v>
      </c>
      <c r="L154" s="185">
        <f t="shared" si="31"/>
        <v>326.08</v>
      </c>
      <c r="M154" s="185">
        <f t="shared" si="31"/>
        <v>347.7</v>
      </c>
      <c r="N154" s="185">
        <f t="shared" si="31"/>
        <v>348.45</v>
      </c>
      <c r="O154" s="239">
        <f t="shared" si="31"/>
        <v>354.03</v>
      </c>
    </row>
    <row r="155" spans="2:15" ht="16.5" hidden="1">
      <c r="B155" s="181" t="s">
        <v>828</v>
      </c>
      <c r="C155" s="258">
        <v>303</v>
      </c>
      <c r="D155" s="238">
        <f t="shared" ref="D155:O155" si="32">ROUND(MMULT($D14:$H14,D$144:D$148),2)</f>
        <v>327.52</v>
      </c>
      <c r="E155" s="238">
        <f t="shared" si="32"/>
        <v>329.22</v>
      </c>
      <c r="F155" s="238">
        <f t="shared" si="32"/>
        <v>328.71</v>
      </c>
      <c r="G155" s="238">
        <f t="shared" si="32"/>
        <v>338.12</v>
      </c>
      <c r="H155" s="238">
        <f t="shared" si="32"/>
        <v>346.7</v>
      </c>
      <c r="I155" s="238">
        <f t="shared" si="32"/>
        <v>347.37</v>
      </c>
      <c r="J155" s="238">
        <f t="shared" si="32"/>
        <v>348.53</v>
      </c>
      <c r="K155" s="238">
        <f t="shared" si="32"/>
        <v>351.94</v>
      </c>
      <c r="L155" s="238">
        <f t="shared" si="32"/>
        <v>335.72</v>
      </c>
      <c r="M155" s="238">
        <f t="shared" si="32"/>
        <v>360.75</v>
      </c>
      <c r="N155" s="238">
        <f t="shared" si="32"/>
        <v>361.61</v>
      </c>
      <c r="O155" s="239">
        <f t="shared" si="32"/>
        <v>366.61</v>
      </c>
    </row>
    <row r="156" spans="2:15" ht="17.25" hidden="1" thickBot="1">
      <c r="B156" s="186" t="s">
        <v>832</v>
      </c>
      <c r="C156" s="259">
        <v>304</v>
      </c>
      <c r="D156" s="240">
        <f t="shared" ref="D156:O156" si="33">ROUND(MMULT($D15:$H15,D$144:D$148),2)</f>
        <v>324.49</v>
      </c>
      <c r="E156" s="240">
        <f t="shared" si="33"/>
        <v>325.02999999999997</v>
      </c>
      <c r="F156" s="240">
        <f t="shared" si="33"/>
        <v>323.74</v>
      </c>
      <c r="G156" s="240">
        <f t="shared" si="33"/>
        <v>335.34</v>
      </c>
      <c r="H156" s="240">
        <f t="shared" si="33"/>
        <v>353</v>
      </c>
      <c r="I156" s="240">
        <f t="shared" si="33"/>
        <v>353.49</v>
      </c>
      <c r="J156" s="240">
        <f t="shared" si="33"/>
        <v>356.03</v>
      </c>
      <c r="K156" s="240">
        <f t="shared" si="33"/>
        <v>357.28</v>
      </c>
      <c r="L156" s="240">
        <f t="shared" si="33"/>
        <v>322.2</v>
      </c>
      <c r="M156" s="240">
        <f t="shared" si="33"/>
        <v>375.25</v>
      </c>
      <c r="N156" s="240">
        <f t="shared" si="33"/>
        <v>375.54</v>
      </c>
      <c r="O156" s="241">
        <f t="shared" si="33"/>
        <v>378.97</v>
      </c>
    </row>
    <row r="157" spans="2:15" ht="16.5" hidden="1">
      <c r="B157" s="202" t="s">
        <v>462</v>
      </c>
      <c r="C157" s="170"/>
    </row>
    <row r="158" spans="2:15" ht="16.5" hidden="1">
      <c r="B158" s="170"/>
      <c r="C158" s="260">
        <v>38353</v>
      </c>
      <c r="D158" s="261">
        <f>2.41*2.2521+0.852</f>
        <v>6.2795610000000002</v>
      </c>
      <c r="E158" s="261"/>
    </row>
    <row r="159" spans="2:15" ht="16.5" hidden="1">
      <c r="B159" s="170"/>
      <c r="C159" s="260">
        <v>38504</v>
      </c>
      <c r="D159" s="159">
        <v>7.53</v>
      </c>
      <c r="E159" s="159" t="s">
        <v>483</v>
      </c>
    </row>
    <row r="160" spans="2:15" ht="16.5" hidden="1">
      <c r="C160" s="260">
        <v>38657</v>
      </c>
      <c r="D160" s="159">
        <v>8.9700000000000006</v>
      </c>
      <c r="E160" s="159" t="s">
        <v>491</v>
      </c>
    </row>
    <row r="161" spans="2:15" ht="8.25" hidden="1" customHeight="1" thickBot="1">
      <c r="C161" s="242"/>
    </row>
    <row r="162" spans="2:15" ht="9.75" hidden="1" customHeight="1">
      <c r="B162" s="2639" t="s">
        <v>673</v>
      </c>
      <c r="C162" s="2792" t="s">
        <v>354</v>
      </c>
      <c r="D162" s="2706">
        <v>39083</v>
      </c>
      <c r="E162" s="2706">
        <v>39114</v>
      </c>
      <c r="F162" s="2706">
        <v>39142</v>
      </c>
      <c r="G162" s="2706">
        <v>39173</v>
      </c>
      <c r="H162" s="2706">
        <v>39203</v>
      </c>
      <c r="I162" s="2706">
        <v>39234</v>
      </c>
      <c r="J162" s="2706">
        <v>39264</v>
      </c>
      <c r="K162" s="2706">
        <v>39295</v>
      </c>
      <c r="L162" s="2706">
        <v>39326</v>
      </c>
      <c r="M162" s="2706">
        <v>39356</v>
      </c>
      <c r="N162" s="2706">
        <v>39387</v>
      </c>
      <c r="O162" s="2694">
        <v>39417</v>
      </c>
    </row>
    <row r="163" spans="2:15" ht="9.75" hidden="1" customHeight="1">
      <c r="B163" s="2640"/>
      <c r="C163" s="2793"/>
      <c r="D163" s="2707"/>
      <c r="E163" s="2707"/>
      <c r="F163" s="2707"/>
      <c r="G163" s="2707"/>
      <c r="H163" s="2707"/>
      <c r="I163" s="2707"/>
      <c r="J163" s="2707"/>
      <c r="K163" s="2707"/>
      <c r="L163" s="2707"/>
      <c r="M163" s="2707"/>
      <c r="N163" s="2707"/>
      <c r="O163" s="2695"/>
    </row>
    <row r="164" spans="2:15" ht="4.5" hidden="1" customHeight="1" thickBot="1">
      <c r="B164" s="2764"/>
      <c r="C164" s="2794"/>
      <c r="D164" s="2708"/>
      <c r="E164" s="2708"/>
      <c r="F164" s="2708"/>
      <c r="G164" s="2708"/>
      <c r="H164" s="2708"/>
      <c r="I164" s="2708"/>
      <c r="J164" s="2708"/>
      <c r="K164" s="2708"/>
      <c r="L164" s="2708"/>
      <c r="M164" s="2708"/>
      <c r="N164" s="2708"/>
      <c r="O164" s="2696"/>
    </row>
    <row r="165" spans="2:15" ht="15.75" hidden="1">
      <c r="B165" s="377" t="s">
        <v>809</v>
      </c>
      <c r="C165" s="464">
        <v>50</v>
      </c>
      <c r="D165" s="481">
        <f>+'TABLA FINAL '!BT70</f>
        <v>311.7</v>
      </c>
      <c r="E165" s="481">
        <f>+'TABLA FINAL '!BU70</f>
        <v>311.7</v>
      </c>
      <c r="F165" s="481">
        <f>+'TABLA FINAL '!BV70</f>
        <v>329.62</v>
      </c>
      <c r="G165" s="481">
        <f>+'TABLA FINAL '!BW70</f>
        <v>329.95</v>
      </c>
      <c r="H165" s="481">
        <f>+'TABLA FINAL '!BX70</f>
        <v>329.95</v>
      </c>
      <c r="I165" s="481">
        <f>+'TABLA FINAL '!BY70</f>
        <v>340.67</v>
      </c>
      <c r="J165" s="481">
        <f>+'TABLA FINAL '!BZ70</f>
        <v>340.75</v>
      </c>
      <c r="K165" s="481">
        <f>+'TABLA FINAL '!CA70</f>
        <v>347.52</v>
      </c>
      <c r="L165" s="481">
        <f>+'TABLA FINAL '!CB70</f>
        <v>347.98</v>
      </c>
      <c r="M165" s="481">
        <f>+'TABLA FINAL '!CC70</f>
        <v>347.98</v>
      </c>
      <c r="N165" s="481">
        <f>+'TABLA FINAL '!CD70</f>
        <v>364.08</v>
      </c>
      <c r="O165" s="482">
        <f>+'TABLA FINAL '!CE70</f>
        <v>365.3</v>
      </c>
    </row>
    <row r="166" spans="2:15" ht="15.75" hidden="1">
      <c r="B166" s="372" t="s">
        <v>810</v>
      </c>
      <c r="C166" s="283">
        <v>19</v>
      </c>
      <c r="D166" s="140">
        <f>+'TABLA FINAL '!BT39</f>
        <v>394.8</v>
      </c>
      <c r="E166" s="140">
        <f>+'TABLA FINAL '!BU39</f>
        <v>395</v>
      </c>
      <c r="F166" s="140">
        <f>+'TABLA FINAL '!BV39</f>
        <v>395.6</v>
      </c>
      <c r="G166" s="140">
        <f>+'TABLA FINAL '!BW39</f>
        <v>400</v>
      </c>
      <c r="H166" s="140">
        <f>+'TABLA FINAL '!BX39</f>
        <v>404.9</v>
      </c>
      <c r="I166" s="140">
        <f>+'TABLA FINAL '!BY39</f>
        <v>409.3</v>
      </c>
      <c r="J166" s="140">
        <f>+'TABLA FINAL '!BZ39</f>
        <v>417.8</v>
      </c>
      <c r="K166" s="140">
        <f>+'TABLA FINAL '!CA39</f>
        <v>429.3</v>
      </c>
      <c r="L166" s="140">
        <f>+'TABLA FINAL '!CB39</f>
        <v>430.1</v>
      </c>
      <c r="M166" s="140">
        <f>+'TABLA FINAL '!CC39</f>
        <v>435.6</v>
      </c>
      <c r="N166" s="140">
        <f>+'TABLA FINAL '!CD39</f>
        <v>466.8</v>
      </c>
      <c r="O166" s="141">
        <f>+'TABLA FINAL '!CE39</f>
        <v>479.5</v>
      </c>
    </row>
    <row r="167" spans="2:15" ht="15.75" hidden="1">
      <c r="B167" s="372" t="s">
        <v>811</v>
      </c>
      <c r="C167" s="283">
        <v>58</v>
      </c>
      <c r="D167" s="127">
        <f>+'TABLA FINAL '!BT78</f>
        <v>352.16</v>
      </c>
      <c r="E167" s="127">
        <f>+'TABLA FINAL '!BU78</f>
        <v>354.75</v>
      </c>
      <c r="F167" s="127">
        <f>+'TABLA FINAL '!BV78</f>
        <v>358.46</v>
      </c>
      <c r="G167" s="127">
        <f>+'TABLA FINAL '!BW78</f>
        <v>365.4</v>
      </c>
      <c r="H167" s="127">
        <f>+'TABLA FINAL '!BX78</f>
        <v>367.07</v>
      </c>
      <c r="I167" s="127">
        <f>+'TABLA FINAL '!BY78</f>
        <v>369.36</v>
      </c>
      <c r="J167" s="127">
        <f>+'TABLA FINAL '!BZ78</f>
        <v>377.73</v>
      </c>
      <c r="K167" s="127">
        <f>+'TABLA FINAL '!CA78</f>
        <v>382.07</v>
      </c>
      <c r="L167" s="127">
        <f>+'TABLA FINAL '!CB78</f>
        <v>385.52</v>
      </c>
      <c r="M167" s="127">
        <f>+'TABLA FINAL '!CC78</f>
        <v>388.96</v>
      </c>
      <c r="N167" s="127">
        <f>+'TABLA FINAL '!CD78</f>
        <v>397.05</v>
      </c>
      <c r="O167" s="130">
        <f>+'TABLA FINAL '!CE78</f>
        <v>398.47</v>
      </c>
    </row>
    <row r="168" spans="2:15" ht="15.75" hidden="1">
      <c r="B168" s="372" t="s">
        <v>812</v>
      </c>
      <c r="C168" s="283">
        <v>23</v>
      </c>
      <c r="D168" s="310">
        <f>+'TABLA FINAL '!BT43</f>
        <v>348.07</v>
      </c>
      <c r="E168" s="310">
        <f>+'TABLA FINAL '!BU43</f>
        <v>356.23</v>
      </c>
      <c r="F168" s="310">
        <f>+'TABLA FINAL '!BV43</f>
        <v>358.05</v>
      </c>
      <c r="G168" s="310">
        <f>+'TABLA FINAL '!BW43</f>
        <v>358.05</v>
      </c>
      <c r="H168" s="310">
        <f>+'TABLA FINAL '!BX43</f>
        <v>360.03</v>
      </c>
      <c r="I168" s="310">
        <f>+'TABLA FINAL '!BY43</f>
        <v>365.37</v>
      </c>
      <c r="J168" s="310">
        <f>+'TABLA FINAL '!BZ43</f>
        <v>362.57</v>
      </c>
      <c r="K168" s="310">
        <f>+'TABLA FINAL '!CA43</f>
        <v>375.39</v>
      </c>
      <c r="L168" s="310">
        <f>+'TABLA FINAL '!CB43</f>
        <v>402.53</v>
      </c>
      <c r="M168" s="310">
        <f>+'TABLA FINAL '!CC43</f>
        <v>404.52</v>
      </c>
      <c r="N168" s="310">
        <f>+'TABLA FINAL '!CD43</f>
        <v>408.77</v>
      </c>
      <c r="O168" s="351">
        <f>+'TABLA FINAL '!CE43</f>
        <v>421.85</v>
      </c>
    </row>
    <row r="169" spans="2:15" ht="15.75" hidden="1">
      <c r="B169" s="372" t="s">
        <v>834</v>
      </c>
      <c r="C169" s="283" t="s">
        <v>835</v>
      </c>
      <c r="D169" s="142">
        <f>(+'TABLA FINAL '!BT5+'TABLA FINAL '!BT16)*2.2521</f>
        <v>12.681370363636363</v>
      </c>
      <c r="E169" s="142">
        <f>(+'TABLA FINAL '!BU5+'TABLA FINAL '!BU16)*2.2521</f>
        <v>12.681370363636363</v>
      </c>
      <c r="F169" s="142">
        <f>(+'TABLA FINAL '!BV5+'TABLA FINAL '!BV16)*2.2521</f>
        <v>12.681370363636363</v>
      </c>
      <c r="G169" s="142">
        <f>(+'TABLA FINAL '!BW5+'TABLA FINAL '!BW16)*2.2521</f>
        <v>12.681370363636363</v>
      </c>
      <c r="H169" s="142">
        <f>(+'TABLA FINAL '!BX5+'TABLA FINAL '!BX16)*2.2521</f>
        <v>13.937939795454547</v>
      </c>
      <c r="I169" s="142">
        <f>(+'TABLA FINAL '!BY5+'TABLA FINAL '!BY16)*2.2521</f>
        <v>13.938246899999999</v>
      </c>
      <c r="J169" s="142">
        <f>(+'TABLA FINAL '!BZ5+'TABLA FINAL '!BZ16)*2.2521</f>
        <v>14.77991809090909</v>
      </c>
      <c r="K169" s="142">
        <f>(+'TABLA FINAL '!CA5+'TABLA FINAL '!CA16)*2.2521</f>
        <v>14.780532299999999</v>
      </c>
      <c r="L169" s="142">
        <f>(+'TABLA FINAL '!CB5+'TABLA FINAL '!CB16)*2.2521</f>
        <v>14.780532299999999</v>
      </c>
      <c r="M169" s="142">
        <f>(+'TABLA FINAL '!CC5+'TABLA FINAL '!CC16)*2.2521</f>
        <v>14.773776</v>
      </c>
      <c r="N169" s="142">
        <f>(+'TABLA FINAL '!CD5+'TABLA FINAL '!CD16)*2.2521</f>
        <v>14.773776</v>
      </c>
      <c r="O169" s="288">
        <f>(+'TABLA FINAL '!CE5+'TABLA FINAL '!CE16)*2.2521+'TABLA FINAL '!CE21</f>
        <v>17.046503272727275</v>
      </c>
    </row>
    <row r="170" spans="2:15" ht="9.75" hidden="1" customHeight="1" thickBot="1">
      <c r="B170" s="373"/>
      <c r="C170" s="282"/>
      <c r="D170" s="483"/>
      <c r="E170" s="483"/>
      <c r="F170" s="483" t="s">
        <v>882</v>
      </c>
      <c r="G170" s="483"/>
      <c r="H170" s="483"/>
      <c r="I170" s="483"/>
      <c r="J170" s="483"/>
      <c r="K170" s="484"/>
      <c r="L170" s="484"/>
      <c r="M170" s="380"/>
      <c r="N170" s="380"/>
      <c r="O170" s="485"/>
    </row>
    <row r="171" spans="2:15" ht="7.5" hidden="1" customHeight="1" thickBot="1"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22"/>
      <c r="N171" s="375"/>
      <c r="O171" s="132"/>
    </row>
    <row r="172" spans="2:15" ht="15.75" hidden="1">
      <c r="B172" s="2623" t="s">
        <v>675</v>
      </c>
      <c r="C172" s="486" t="s">
        <v>836</v>
      </c>
      <c r="D172" s="487">
        <f t="shared" ref="D172:O172" si="34">ROUND(+D165/$D$18,3)</f>
        <v>2.7909999999999999</v>
      </c>
      <c r="E172" s="487">
        <f t="shared" si="34"/>
        <v>2.7909999999999999</v>
      </c>
      <c r="F172" s="487">
        <f t="shared" si="34"/>
        <v>2.9510000000000001</v>
      </c>
      <c r="G172" s="487">
        <f t="shared" si="34"/>
        <v>2.9540000000000002</v>
      </c>
      <c r="H172" s="487">
        <f t="shared" si="34"/>
        <v>2.9540000000000002</v>
      </c>
      <c r="I172" s="487">
        <f t="shared" si="34"/>
        <v>3.05</v>
      </c>
      <c r="J172" s="487">
        <f>ROUND(+J165/$D$18,3)</f>
        <v>3.0510000000000002</v>
      </c>
      <c r="K172" s="487">
        <f>ROUND(+K165/$D$18,3)</f>
        <v>3.1120000000000001</v>
      </c>
      <c r="L172" s="487">
        <f t="shared" si="34"/>
        <v>3.1160000000000001</v>
      </c>
      <c r="M172" s="487">
        <f t="shared" si="34"/>
        <v>3.1160000000000001</v>
      </c>
      <c r="N172" s="487">
        <f t="shared" si="34"/>
        <v>3.26</v>
      </c>
      <c r="O172" s="488">
        <f t="shared" si="34"/>
        <v>3.2709999999999999</v>
      </c>
    </row>
    <row r="173" spans="2:15" ht="15.75" hidden="1">
      <c r="B173" s="2624"/>
      <c r="C173" s="489" t="s">
        <v>837</v>
      </c>
      <c r="D173" s="490">
        <f t="shared" ref="D173:O173" si="35">ROUND(+D166/$D$19,3)</f>
        <v>4.173</v>
      </c>
      <c r="E173" s="490">
        <f t="shared" si="35"/>
        <v>4.1749999999999998</v>
      </c>
      <c r="F173" s="490">
        <f t="shared" si="35"/>
        <v>4.1820000000000004</v>
      </c>
      <c r="G173" s="490">
        <f t="shared" si="35"/>
        <v>4.2279999999999998</v>
      </c>
      <c r="H173" s="490">
        <f t="shared" si="35"/>
        <v>4.28</v>
      </c>
      <c r="I173" s="490">
        <f t="shared" si="35"/>
        <v>4.327</v>
      </c>
      <c r="J173" s="490">
        <f>ROUND(+J166/$D$19,3)</f>
        <v>4.4160000000000004</v>
      </c>
      <c r="K173" s="490">
        <f>ROUND(+K166/$D$19,3)</f>
        <v>4.5380000000000003</v>
      </c>
      <c r="L173" s="490">
        <f t="shared" si="35"/>
        <v>4.5469999999999997</v>
      </c>
      <c r="M173" s="490">
        <f t="shared" si="35"/>
        <v>4.6050000000000004</v>
      </c>
      <c r="N173" s="490">
        <f t="shared" si="35"/>
        <v>4.9340000000000002</v>
      </c>
      <c r="O173" s="491">
        <f t="shared" si="35"/>
        <v>5.069</v>
      </c>
    </row>
    <row r="174" spans="2:15" ht="15.75" hidden="1">
      <c r="B174" s="2624"/>
      <c r="C174" s="489" t="s">
        <v>838</v>
      </c>
      <c r="D174" s="490">
        <f t="shared" ref="D174:O174" si="36">ROUND(+D167/$D$20,3)</f>
        <v>4.1210000000000004</v>
      </c>
      <c r="E174" s="490">
        <f t="shared" si="36"/>
        <v>4.1509999999999998</v>
      </c>
      <c r="F174" s="490">
        <f t="shared" si="36"/>
        <v>4.194</v>
      </c>
      <c r="G174" s="490">
        <f t="shared" si="36"/>
        <v>4.2759999999999998</v>
      </c>
      <c r="H174" s="490">
        <f t="shared" si="36"/>
        <v>4.2949999999999999</v>
      </c>
      <c r="I174" s="490">
        <f t="shared" si="36"/>
        <v>4.3220000000000001</v>
      </c>
      <c r="J174" s="490">
        <f>ROUND(+J167/$D$20,3)</f>
        <v>4.42</v>
      </c>
      <c r="K174" s="490">
        <f>ROUND(+K167/$D$20,3)</f>
        <v>4.4710000000000001</v>
      </c>
      <c r="L174" s="490">
        <f t="shared" si="36"/>
        <v>4.5110000000000001</v>
      </c>
      <c r="M174" s="490">
        <f t="shared" si="36"/>
        <v>4.5510000000000002</v>
      </c>
      <c r="N174" s="490">
        <f t="shared" si="36"/>
        <v>4.6459999999999999</v>
      </c>
      <c r="O174" s="491">
        <f t="shared" si="36"/>
        <v>4.6630000000000003</v>
      </c>
    </row>
    <row r="175" spans="2:15" ht="15.75" hidden="1">
      <c r="B175" s="2624"/>
      <c r="C175" s="489" t="s">
        <v>839</v>
      </c>
      <c r="D175" s="490">
        <f t="shared" ref="D175:O175" si="37">ROUND(+D168/$D$21,3)</f>
        <v>3.907</v>
      </c>
      <c r="E175" s="490">
        <f t="shared" si="37"/>
        <v>3.9980000000000002</v>
      </c>
      <c r="F175" s="490">
        <f t="shared" si="37"/>
        <v>4.0190000000000001</v>
      </c>
      <c r="G175" s="490">
        <f t="shared" si="37"/>
        <v>4.0190000000000001</v>
      </c>
      <c r="H175" s="490">
        <f t="shared" si="37"/>
        <v>4.0410000000000004</v>
      </c>
      <c r="I175" s="490">
        <f t="shared" si="37"/>
        <v>4.101</v>
      </c>
      <c r="J175" s="490">
        <f>ROUND(+J168/$D$21,3)</f>
        <v>4.069</v>
      </c>
      <c r="K175" s="490">
        <f>ROUND(+K168/$D$21,3)</f>
        <v>4.2130000000000001</v>
      </c>
      <c r="L175" s="490">
        <f t="shared" si="37"/>
        <v>4.5179999999999998</v>
      </c>
      <c r="M175" s="490">
        <f t="shared" si="37"/>
        <v>4.54</v>
      </c>
      <c r="N175" s="490">
        <f t="shared" si="37"/>
        <v>4.5880000000000001</v>
      </c>
      <c r="O175" s="491">
        <f t="shared" si="37"/>
        <v>4.7350000000000003</v>
      </c>
    </row>
    <row r="176" spans="2:15" ht="16.5" hidden="1" thickBot="1">
      <c r="B176" s="2625"/>
      <c r="C176" s="492" t="s">
        <v>677</v>
      </c>
      <c r="D176" s="493">
        <f>ROUND(+D169/$D$22,3)</f>
        <v>4.8220000000000001</v>
      </c>
      <c r="E176" s="493">
        <f t="shared" ref="E176:O176" si="38">ROUND(+E169/$D$22,3)</f>
        <v>4.8220000000000001</v>
      </c>
      <c r="F176" s="493">
        <f t="shared" si="38"/>
        <v>4.8220000000000001</v>
      </c>
      <c r="G176" s="493">
        <f t="shared" si="38"/>
        <v>4.8220000000000001</v>
      </c>
      <c r="H176" s="493">
        <f t="shared" si="38"/>
        <v>5.3</v>
      </c>
      <c r="I176" s="493">
        <f t="shared" si="38"/>
        <v>5.3</v>
      </c>
      <c r="J176" s="493">
        <f>ROUND(+J169/$D$22,3)</f>
        <v>5.62</v>
      </c>
      <c r="K176" s="493">
        <f>ROUND(+K169/$D$22,3)</f>
        <v>5.62</v>
      </c>
      <c r="L176" s="493">
        <f t="shared" si="38"/>
        <v>5.62</v>
      </c>
      <c r="M176" s="493">
        <f t="shared" si="38"/>
        <v>5.617</v>
      </c>
      <c r="N176" s="493">
        <f t="shared" si="38"/>
        <v>5.617</v>
      </c>
      <c r="O176" s="494">
        <f t="shared" si="38"/>
        <v>6.4820000000000002</v>
      </c>
    </row>
    <row r="177" spans="2:15" ht="16.5" hidden="1" customHeight="1">
      <c r="B177" s="377" t="s">
        <v>820</v>
      </c>
      <c r="C177" s="495">
        <v>301</v>
      </c>
      <c r="D177" s="496">
        <f t="shared" ref="D177:O177" si="39">ROUND(MMULT($D12:$H12,D$172:D$176),2)</f>
        <v>366.99</v>
      </c>
      <c r="E177" s="496">
        <f t="shared" si="39"/>
        <v>368.07</v>
      </c>
      <c r="F177" s="496">
        <f t="shared" si="39"/>
        <v>375.55</v>
      </c>
      <c r="G177" s="496">
        <f t="shared" si="39"/>
        <v>377.6</v>
      </c>
      <c r="H177" s="496">
        <f t="shared" si="39"/>
        <v>386.87</v>
      </c>
      <c r="I177" s="496">
        <f t="shared" si="39"/>
        <v>392.78</v>
      </c>
      <c r="J177" s="496">
        <f t="shared" si="39"/>
        <v>400.8</v>
      </c>
      <c r="K177" s="496">
        <f t="shared" si="39"/>
        <v>407.95</v>
      </c>
      <c r="L177" s="496">
        <f t="shared" si="39"/>
        <v>411.17</v>
      </c>
      <c r="M177" s="496">
        <f t="shared" si="39"/>
        <v>413.09</v>
      </c>
      <c r="N177" s="496">
        <f t="shared" si="39"/>
        <v>428.37</v>
      </c>
      <c r="O177" s="497">
        <f t="shared" si="39"/>
        <v>447.26</v>
      </c>
    </row>
    <row r="178" spans="2:15" ht="16.5" hidden="1" customHeight="1">
      <c r="B178" s="372" t="s">
        <v>827</v>
      </c>
      <c r="C178" s="281">
        <v>302</v>
      </c>
      <c r="D178" s="498">
        <f t="shared" ref="D178:O178" si="40">ROUND(MMULT($D13:$H13,D$172:D$176),2)</f>
        <v>366.55</v>
      </c>
      <c r="E178" s="498">
        <f t="shared" si="40"/>
        <v>367.47</v>
      </c>
      <c r="F178" s="498">
        <f t="shared" si="40"/>
        <v>375.15</v>
      </c>
      <c r="G178" s="498">
        <f t="shared" si="40"/>
        <v>376.95</v>
      </c>
      <c r="H178" s="498">
        <f t="shared" si="40"/>
        <v>387.48</v>
      </c>
      <c r="I178" s="498">
        <f t="shared" si="40"/>
        <v>393.38</v>
      </c>
      <c r="J178" s="498">
        <f t="shared" si="40"/>
        <v>402.02</v>
      </c>
      <c r="K178" s="498">
        <f t="shared" si="40"/>
        <v>408.8</v>
      </c>
      <c r="L178" s="498">
        <f t="shared" si="40"/>
        <v>411.63</v>
      </c>
      <c r="M178" s="498">
        <f t="shared" si="40"/>
        <v>413.33</v>
      </c>
      <c r="N178" s="498">
        <f t="shared" si="40"/>
        <v>428</v>
      </c>
      <c r="O178" s="499">
        <f t="shared" si="40"/>
        <v>449.05</v>
      </c>
    </row>
    <row r="179" spans="2:15" ht="16.5" hidden="1" customHeight="1">
      <c r="B179" s="372" t="s">
        <v>828</v>
      </c>
      <c r="C179" s="281">
        <v>303</v>
      </c>
      <c r="D179" s="500">
        <f t="shared" ref="D179:O179" si="41">ROUND(MMULT($D14:$H14,D$172:D$176),2)</f>
        <v>380.2</v>
      </c>
      <c r="E179" s="500">
        <f t="shared" si="41"/>
        <v>381.47</v>
      </c>
      <c r="F179" s="500">
        <f t="shared" si="41"/>
        <v>388.1</v>
      </c>
      <c r="G179" s="500">
        <f t="shared" si="41"/>
        <v>390.42</v>
      </c>
      <c r="H179" s="500">
        <f t="shared" si="41"/>
        <v>402.37</v>
      </c>
      <c r="I179" s="500">
        <f t="shared" si="41"/>
        <v>407.52</v>
      </c>
      <c r="J179" s="500">
        <f t="shared" si="41"/>
        <v>417.61</v>
      </c>
      <c r="K179" s="500">
        <f t="shared" si="41"/>
        <v>423.96</v>
      </c>
      <c r="L179" s="500">
        <f t="shared" si="41"/>
        <v>427.38</v>
      </c>
      <c r="M179" s="500">
        <f t="shared" si="41"/>
        <v>429.21</v>
      </c>
      <c r="N179" s="500">
        <f t="shared" si="41"/>
        <v>442.17</v>
      </c>
      <c r="O179" s="499">
        <f t="shared" si="41"/>
        <v>465.48</v>
      </c>
    </row>
    <row r="180" spans="2:15" ht="16.5" hidden="1" customHeight="1" thickBot="1">
      <c r="B180" s="373" t="s">
        <v>832</v>
      </c>
      <c r="C180" s="501">
        <v>304</v>
      </c>
      <c r="D180" s="502">
        <f t="shared" ref="D180:O180" si="42">ROUND(MMULT($D15:$H15,D$172:D$176),2)</f>
        <v>399.49</v>
      </c>
      <c r="E180" s="502">
        <f t="shared" si="42"/>
        <v>400.98</v>
      </c>
      <c r="F180" s="502">
        <f t="shared" si="42"/>
        <v>406.69</v>
      </c>
      <c r="G180" s="502">
        <f t="shared" si="42"/>
        <v>407.36</v>
      </c>
      <c r="H180" s="502">
        <f t="shared" si="42"/>
        <v>430.27</v>
      </c>
      <c r="I180" s="502">
        <f t="shared" si="42"/>
        <v>434.37</v>
      </c>
      <c r="J180" s="502">
        <f t="shared" si="42"/>
        <v>449.68</v>
      </c>
      <c r="K180" s="502">
        <f t="shared" si="42"/>
        <v>454</v>
      </c>
      <c r="L180" s="502">
        <f t="shared" si="42"/>
        <v>458.68</v>
      </c>
      <c r="M180" s="502">
        <f t="shared" si="42"/>
        <v>459.13</v>
      </c>
      <c r="N180" s="502">
        <f t="shared" si="42"/>
        <v>465.07</v>
      </c>
      <c r="O180" s="503">
        <f t="shared" si="42"/>
        <v>508.26</v>
      </c>
    </row>
    <row r="181" spans="2:15" ht="15.75" hidden="1">
      <c r="B181" s="122" t="s">
        <v>512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</row>
    <row r="182" spans="2:15" ht="8.25" hidden="1" customHeight="1" thickBot="1">
      <c r="B182" s="132"/>
      <c r="C182" s="504"/>
      <c r="D182" s="340"/>
      <c r="E182" s="340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</row>
    <row r="183" spans="2:15" ht="4.5" hidden="1" customHeight="1">
      <c r="B183" s="2639" t="s">
        <v>673</v>
      </c>
      <c r="C183" s="2792" t="s">
        <v>354</v>
      </c>
      <c r="D183" s="2706">
        <v>39448</v>
      </c>
      <c r="E183" s="2706">
        <v>39479</v>
      </c>
      <c r="F183" s="2706">
        <v>39508</v>
      </c>
      <c r="G183" s="2706">
        <v>39539</v>
      </c>
      <c r="H183" s="2706">
        <v>39569</v>
      </c>
      <c r="I183" s="2706">
        <v>39600</v>
      </c>
      <c r="J183" s="2706">
        <v>39630</v>
      </c>
      <c r="K183" s="2706">
        <v>39661</v>
      </c>
      <c r="L183" s="2706">
        <v>39692</v>
      </c>
      <c r="M183" s="2706">
        <v>39722</v>
      </c>
      <c r="N183" s="2706">
        <v>39753</v>
      </c>
      <c r="O183" s="2694">
        <v>39783</v>
      </c>
    </row>
    <row r="184" spans="2:15" ht="9.75" hidden="1" customHeight="1">
      <c r="B184" s="2640"/>
      <c r="C184" s="2793"/>
      <c r="D184" s="2707"/>
      <c r="E184" s="2707"/>
      <c r="F184" s="2707"/>
      <c r="G184" s="2707"/>
      <c r="H184" s="2707"/>
      <c r="I184" s="2707"/>
      <c r="J184" s="2707"/>
      <c r="K184" s="2707"/>
      <c r="L184" s="2707"/>
      <c r="M184" s="2707"/>
      <c r="N184" s="2707"/>
      <c r="O184" s="2695"/>
    </row>
    <row r="185" spans="2:15" ht="8.25" hidden="1" customHeight="1" thickBot="1">
      <c r="B185" s="2764"/>
      <c r="C185" s="2794"/>
      <c r="D185" s="2708"/>
      <c r="E185" s="2708"/>
      <c r="F185" s="2708"/>
      <c r="G185" s="2708"/>
      <c r="H185" s="2708"/>
      <c r="I185" s="2708"/>
      <c r="J185" s="2708"/>
      <c r="K185" s="2708"/>
      <c r="L185" s="2708"/>
      <c r="M185" s="2708"/>
      <c r="N185" s="2708"/>
      <c r="O185" s="2696"/>
    </row>
    <row r="186" spans="2:15" ht="15.75" hidden="1">
      <c r="B186" s="377" t="s">
        <v>809</v>
      </c>
      <c r="C186" s="464">
        <v>50</v>
      </c>
      <c r="D186" s="481">
        <f>+'TABLA FINAL '!CF70</f>
        <v>381.68</v>
      </c>
      <c r="E186" s="481">
        <f>+'TABLA FINAL '!CG70</f>
        <v>381.68</v>
      </c>
      <c r="F186" s="481">
        <f>+'TABLA FINAL '!CH70</f>
        <v>381.68</v>
      </c>
      <c r="G186" s="481">
        <f>+'TABLA FINAL '!CI70</f>
        <v>393.83</v>
      </c>
      <c r="H186" s="481">
        <f>+'TABLA FINAL '!CJ70</f>
        <v>397.34</v>
      </c>
      <c r="I186" s="481">
        <f>+'TABLA FINAL '!CK70</f>
        <v>397.34</v>
      </c>
      <c r="J186" s="481">
        <f>+'TABLA FINAL '!CL70</f>
        <v>397.84</v>
      </c>
      <c r="K186" s="481">
        <f>+'TABLA FINAL '!CM70</f>
        <v>397.84</v>
      </c>
      <c r="L186" s="481">
        <f>+'TABLA FINAL '!CN70</f>
        <v>414.59</v>
      </c>
      <c r="M186" s="481">
        <f>+'TABLA FINAL '!CO70</f>
        <v>414.64</v>
      </c>
      <c r="N186" s="481">
        <f>+'TABLA FINAL '!CP70</f>
        <v>415.08</v>
      </c>
      <c r="O186" s="481">
        <f>+'TABLA FINAL '!CQ70</f>
        <v>414.9</v>
      </c>
    </row>
    <row r="187" spans="2:15" ht="15.75" hidden="1">
      <c r="B187" s="372" t="s">
        <v>810</v>
      </c>
      <c r="C187" s="283">
        <v>19</v>
      </c>
      <c r="D187" s="140">
        <f>+'TABLA FINAL '!CF39</f>
        <v>486.3</v>
      </c>
      <c r="E187" s="140">
        <f>+'TABLA FINAL '!CG39</f>
        <v>454.5</v>
      </c>
      <c r="F187" s="140">
        <f>+'TABLA FINAL '!CH39</f>
        <v>463.6</v>
      </c>
      <c r="G187" s="140">
        <f>+'TABLA FINAL '!CI39</f>
        <v>478</v>
      </c>
      <c r="H187" s="140">
        <f>+'TABLA FINAL '!CJ39</f>
        <v>492.7</v>
      </c>
      <c r="I187" s="140">
        <f>+'TABLA FINAL '!CK39</f>
        <v>518.9</v>
      </c>
      <c r="J187" s="140">
        <f>+'TABLA FINAL '!CL39</f>
        <v>527.70000000000005</v>
      </c>
      <c r="K187" s="140">
        <f>+'TABLA FINAL '!CM39</f>
        <v>527.70000000000005</v>
      </c>
      <c r="L187" s="140">
        <f>+'TABLA FINAL '!CN39</f>
        <v>527.70000000000005</v>
      </c>
      <c r="M187" s="140">
        <f>+'TABLA FINAL '!CO39</f>
        <v>531.29999999999995</v>
      </c>
      <c r="N187" s="140">
        <f>+'TABLA FINAL '!CP39</f>
        <v>511.8</v>
      </c>
      <c r="O187" s="140">
        <f>+'TABLA FINAL '!CQ39</f>
        <v>503.7</v>
      </c>
    </row>
    <row r="188" spans="2:15" ht="15.75" hidden="1">
      <c r="B188" s="372" t="s">
        <v>811</v>
      </c>
      <c r="C188" s="283">
        <v>58</v>
      </c>
      <c r="D188" s="127">
        <f>+'TABLA FINAL '!CF78</f>
        <v>419.8</v>
      </c>
      <c r="E188" s="127">
        <f>+'TABLA FINAL '!CG78</f>
        <v>430.29</v>
      </c>
      <c r="F188" s="127">
        <f>+'TABLA FINAL '!CH78</f>
        <v>443.98</v>
      </c>
      <c r="G188" s="127">
        <f>+'TABLA FINAL '!CI78</f>
        <v>451.32</v>
      </c>
      <c r="H188" s="127">
        <f>+'TABLA FINAL '!CJ78</f>
        <v>467.68</v>
      </c>
      <c r="I188" s="127">
        <f>+'TABLA FINAL '!CK78</f>
        <v>481.9</v>
      </c>
      <c r="J188" s="127">
        <f>+'TABLA FINAL '!CL78</f>
        <v>483.92</v>
      </c>
      <c r="K188" s="127">
        <f>+'TABLA FINAL '!CM78</f>
        <v>498.56</v>
      </c>
      <c r="L188" s="127">
        <f>+'TABLA FINAL '!CN78</f>
        <v>507.68</v>
      </c>
      <c r="M188" s="127">
        <f>+'TABLA FINAL '!CO78</f>
        <v>521.17999999999995</v>
      </c>
      <c r="N188" s="127">
        <f>+'TABLA FINAL '!CP78</f>
        <v>525.36</v>
      </c>
      <c r="O188" s="127">
        <f>+'TABLA FINAL '!CQ78</f>
        <v>516.92999999999995</v>
      </c>
    </row>
    <row r="189" spans="2:15" ht="15.75" hidden="1">
      <c r="B189" s="372" t="s">
        <v>812</v>
      </c>
      <c r="C189" s="283">
        <v>23</v>
      </c>
      <c r="D189" s="310">
        <f>+'TABLA FINAL '!CF43</f>
        <v>423.08</v>
      </c>
      <c r="E189" s="310">
        <f>+'TABLA FINAL '!CG43</f>
        <v>426.42</v>
      </c>
      <c r="F189" s="310">
        <f>+'TABLA FINAL '!CH43</f>
        <v>428.98</v>
      </c>
      <c r="G189" s="310">
        <f>+'TABLA FINAL '!CI43</f>
        <v>428.98</v>
      </c>
      <c r="H189" s="310">
        <f>+'TABLA FINAL '!CJ43</f>
        <v>434.9</v>
      </c>
      <c r="I189" s="310">
        <f>+'TABLA FINAL '!CK43</f>
        <v>452.11</v>
      </c>
      <c r="J189" s="310">
        <f>+'TABLA FINAL '!CL43</f>
        <v>449.55</v>
      </c>
      <c r="K189" s="310">
        <f>+'TABLA FINAL '!CM43</f>
        <v>455.46</v>
      </c>
      <c r="L189" s="310">
        <f>+'TABLA FINAL '!CN43</f>
        <v>450.32</v>
      </c>
      <c r="M189" s="310">
        <f>+'TABLA FINAL '!CO43</f>
        <v>455.45</v>
      </c>
      <c r="N189" s="310">
        <f>+'TABLA FINAL '!CP43</f>
        <v>455.45</v>
      </c>
      <c r="O189" s="310">
        <f>+'TABLA FINAL '!CQ43</f>
        <v>455.46</v>
      </c>
    </row>
    <row r="190" spans="2:15" ht="15.75" hidden="1">
      <c r="B190" s="372" t="s">
        <v>834</v>
      </c>
      <c r="C190" s="283" t="s">
        <v>835</v>
      </c>
      <c r="D190" s="142">
        <f>+('TABLA FINAL '!CF5+'TABLA FINAL '!CF16)*2.2521</f>
        <v>14.773776</v>
      </c>
      <c r="E190" s="142">
        <f>+('TABLA FINAL '!CG5+'TABLA FINAL '!CG16)*2.2521</f>
        <v>14.773776</v>
      </c>
      <c r="F190" s="142">
        <f>+('TABLA FINAL '!CH5+'TABLA FINAL '!CH16)*2.2521</f>
        <v>14.773776</v>
      </c>
      <c r="G190" s="142">
        <f>+('TABLA FINAL '!CI5+'TABLA FINAL '!CI16)*2.2521</f>
        <v>16.237641</v>
      </c>
      <c r="H190" s="142">
        <f>+('TABLA FINAL '!CJ5+'TABLA FINAL '!CJ16)*2.2521+'TABLA FINAL '!CJ26</f>
        <v>16.663640999999998</v>
      </c>
      <c r="I190" s="142">
        <f>+('TABLA FINAL '!CK5+'TABLA FINAL '!CK16)*2.2521</f>
        <v>16.237641</v>
      </c>
      <c r="J190" s="142">
        <f>+('TABLA FINAL '!CL5+'TABLA FINAL '!CL16)*2.2521+'TABLA FINAL '!CL26</f>
        <v>17.406834</v>
      </c>
      <c r="K190" s="142">
        <f>+('TABLA FINAL '!CM5+'TABLA FINAL '!CM16)*2.2521+'TABLA FINAL '!CM26</f>
        <v>16.980834000000002</v>
      </c>
      <c r="L190" s="142">
        <f>+('TABLA FINAL '!CN5+'TABLA FINAL '!CN16)*2.2521+'TABLA FINAL '!CN26</f>
        <v>17.548834000000003</v>
      </c>
      <c r="M190" s="142">
        <f>+('TABLA FINAL '!CO5+'TABLA FINAL '!CO16)*2.2521+'TABLA FINAL '!CO26</f>
        <v>17.656464</v>
      </c>
      <c r="N190" s="142">
        <f>+('TABLA FINAL '!CP5+'TABLA FINAL '!CP16)*2.2521+'TABLA FINAL '!CP26</f>
        <v>17.656464</v>
      </c>
      <c r="O190" s="142">
        <f>+('TABLA FINAL '!CQ5+'TABLA FINAL '!CQ16)*2.2521+'TABLA FINAL '!CQ26</f>
        <v>17.656464</v>
      </c>
    </row>
    <row r="191" spans="2:15" ht="14.25" hidden="1" customHeight="1" thickBot="1">
      <c r="B191" s="373"/>
      <c r="C191" s="282"/>
      <c r="D191" s="483"/>
      <c r="E191" s="483"/>
      <c r="F191" s="483" t="s">
        <v>882</v>
      </c>
      <c r="G191" s="483"/>
      <c r="H191" s="483"/>
      <c r="I191" s="483"/>
      <c r="J191" s="483"/>
      <c r="K191" s="483"/>
      <c r="L191" s="483"/>
      <c r="M191" s="380"/>
      <c r="N191" s="380"/>
      <c r="O191" s="485"/>
    </row>
    <row r="192" spans="2:15" ht="9.75" hidden="1" customHeight="1" thickBot="1"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22"/>
      <c r="N192" s="375"/>
      <c r="O192" s="132"/>
    </row>
    <row r="193" spans="2:15" ht="15.75" hidden="1">
      <c r="B193" s="2623" t="s">
        <v>675</v>
      </c>
      <c r="C193" s="486" t="s">
        <v>836</v>
      </c>
      <c r="D193" s="516">
        <f t="shared" ref="D193:I193" si="43">ROUND(+D186/$D$18,3)</f>
        <v>3.4180000000000001</v>
      </c>
      <c r="E193" s="516">
        <f t="shared" si="43"/>
        <v>3.4180000000000001</v>
      </c>
      <c r="F193" s="516">
        <f t="shared" si="43"/>
        <v>3.4180000000000001</v>
      </c>
      <c r="G193" s="516">
        <f t="shared" si="43"/>
        <v>3.5259999999999998</v>
      </c>
      <c r="H193" s="516">
        <f t="shared" si="43"/>
        <v>3.5579999999999998</v>
      </c>
      <c r="I193" s="516">
        <f t="shared" si="43"/>
        <v>3.5579999999999998</v>
      </c>
      <c r="J193" s="516">
        <f t="shared" ref="J193:O193" si="44">ROUND(+J186/$D$18,3)</f>
        <v>3.5619999999999998</v>
      </c>
      <c r="K193" s="516">
        <f>ROUND(+K186/$D$18,3)</f>
        <v>3.5619999999999998</v>
      </c>
      <c r="L193" s="516">
        <f t="shared" si="44"/>
        <v>3.7120000000000002</v>
      </c>
      <c r="M193" s="516">
        <f t="shared" si="44"/>
        <v>3.7130000000000001</v>
      </c>
      <c r="N193" s="516">
        <f t="shared" si="44"/>
        <v>3.7170000000000001</v>
      </c>
      <c r="O193" s="133">
        <f t="shared" si="44"/>
        <v>3.7149999999999999</v>
      </c>
    </row>
    <row r="194" spans="2:15" ht="15.75" hidden="1">
      <c r="B194" s="2624"/>
      <c r="C194" s="489" t="s">
        <v>837</v>
      </c>
      <c r="D194" s="391">
        <f t="shared" ref="D194:I194" si="45">ROUND(+D187/$D$19,3)</f>
        <v>5.141</v>
      </c>
      <c r="E194" s="391">
        <f t="shared" si="45"/>
        <v>4.8040000000000003</v>
      </c>
      <c r="F194" s="391">
        <f t="shared" si="45"/>
        <v>4.9009999999999998</v>
      </c>
      <c r="G194" s="391">
        <f t="shared" si="45"/>
        <v>5.0529999999999999</v>
      </c>
      <c r="H194" s="391">
        <f t="shared" si="45"/>
        <v>5.2080000000000002</v>
      </c>
      <c r="I194" s="391">
        <f t="shared" si="45"/>
        <v>5.4850000000000003</v>
      </c>
      <c r="J194" s="391">
        <f t="shared" ref="J194:O194" si="46">ROUND(+J187/$D$19,3)</f>
        <v>5.5780000000000003</v>
      </c>
      <c r="K194" s="391">
        <f>ROUND(+K187/$D$19,3)</f>
        <v>5.5780000000000003</v>
      </c>
      <c r="L194" s="391">
        <f t="shared" si="46"/>
        <v>5.5780000000000003</v>
      </c>
      <c r="M194" s="391">
        <f t="shared" si="46"/>
        <v>5.6159999999999997</v>
      </c>
      <c r="N194" s="391">
        <f t="shared" si="46"/>
        <v>5.41</v>
      </c>
      <c r="O194" s="520">
        <f t="shared" si="46"/>
        <v>5.3250000000000002</v>
      </c>
    </row>
    <row r="195" spans="2:15" ht="15.75" hidden="1">
      <c r="B195" s="2624"/>
      <c r="C195" s="489" t="s">
        <v>838</v>
      </c>
      <c r="D195" s="391">
        <f t="shared" ref="D195:I195" si="47">ROUND(+D188/$D$20,3)</f>
        <v>4.9119999999999999</v>
      </c>
      <c r="E195" s="391">
        <f t="shared" si="47"/>
        <v>5.0350000000000001</v>
      </c>
      <c r="F195" s="391">
        <f t="shared" si="47"/>
        <v>5.1950000000000003</v>
      </c>
      <c r="G195" s="391">
        <f t="shared" si="47"/>
        <v>5.2809999999999997</v>
      </c>
      <c r="H195" s="391">
        <f t="shared" si="47"/>
        <v>5.4729999999999999</v>
      </c>
      <c r="I195" s="391">
        <f t="shared" si="47"/>
        <v>5.6390000000000002</v>
      </c>
      <c r="J195" s="391">
        <f t="shared" ref="J195:O195" si="48">ROUND(+J188/$D$20,3)</f>
        <v>5.6630000000000003</v>
      </c>
      <c r="K195" s="391">
        <f>ROUND(+K188/$D$20,3)</f>
        <v>5.8339999999999996</v>
      </c>
      <c r="L195" s="391">
        <f t="shared" si="48"/>
        <v>5.9409999999999998</v>
      </c>
      <c r="M195" s="391">
        <f t="shared" si="48"/>
        <v>6.0990000000000002</v>
      </c>
      <c r="N195" s="391">
        <f t="shared" si="48"/>
        <v>6.1470000000000002</v>
      </c>
      <c r="O195" s="520">
        <f t="shared" si="48"/>
        <v>6.0490000000000004</v>
      </c>
    </row>
    <row r="196" spans="2:15" ht="15.75" hidden="1">
      <c r="B196" s="2624"/>
      <c r="C196" s="489" t="s">
        <v>839</v>
      </c>
      <c r="D196" s="391">
        <f t="shared" ref="D196:I196" si="49">ROUND(+D189/$D$21,3)</f>
        <v>4.7480000000000002</v>
      </c>
      <c r="E196" s="391">
        <f t="shared" si="49"/>
        <v>4.7859999999999996</v>
      </c>
      <c r="F196" s="391">
        <f t="shared" si="49"/>
        <v>4.8150000000000004</v>
      </c>
      <c r="G196" s="391">
        <f t="shared" si="49"/>
        <v>4.8150000000000004</v>
      </c>
      <c r="H196" s="391">
        <f t="shared" si="49"/>
        <v>4.8810000000000002</v>
      </c>
      <c r="I196" s="391">
        <f t="shared" si="49"/>
        <v>5.0739999999999998</v>
      </c>
      <c r="J196" s="391">
        <f t="shared" ref="J196:O196" si="50">ROUND(+J189/$D$21,3)</f>
        <v>5.0449999999999999</v>
      </c>
      <c r="K196" s="391">
        <f>ROUND(+K189/$D$21,3)</f>
        <v>5.1120000000000001</v>
      </c>
      <c r="L196" s="391">
        <f t="shared" si="50"/>
        <v>5.0540000000000003</v>
      </c>
      <c r="M196" s="391">
        <f t="shared" si="50"/>
        <v>5.1120000000000001</v>
      </c>
      <c r="N196" s="391">
        <f t="shared" si="50"/>
        <v>5.1120000000000001</v>
      </c>
      <c r="O196" s="520">
        <f t="shared" si="50"/>
        <v>5.1120000000000001</v>
      </c>
    </row>
    <row r="197" spans="2:15" ht="16.5" hidden="1" thickBot="1">
      <c r="B197" s="2625"/>
      <c r="C197" s="492" t="s">
        <v>677</v>
      </c>
      <c r="D197" s="685">
        <f t="shared" ref="D197:I197" si="51">ROUND(+D190/$D$22,3)</f>
        <v>5.617</v>
      </c>
      <c r="E197" s="685">
        <f t="shared" si="51"/>
        <v>5.617</v>
      </c>
      <c r="F197" s="685">
        <f t="shared" si="51"/>
        <v>5.617</v>
      </c>
      <c r="G197" s="685">
        <f t="shared" si="51"/>
        <v>6.1740000000000004</v>
      </c>
      <c r="H197" s="685">
        <f t="shared" si="51"/>
        <v>6.3360000000000003</v>
      </c>
      <c r="I197" s="685">
        <f t="shared" si="51"/>
        <v>6.1740000000000004</v>
      </c>
      <c r="J197" s="685">
        <f t="shared" ref="J197:O197" si="52">ROUND(+J190/$D$22,3)</f>
        <v>6.6189999999999998</v>
      </c>
      <c r="K197" s="685">
        <f>ROUND(+K190/$D$22,3)</f>
        <v>6.4569999999999999</v>
      </c>
      <c r="L197" s="685">
        <f t="shared" si="52"/>
        <v>6.673</v>
      </c>
      <c r="M197" s="685">
        <f t="shared" si="52"/>
        <v>6.7130000000000001</v>
      </c>
      <c r="N197" s="685">
        <f t="shared" si="52"/>
        <v>6.7130000000000001</v>
      </c>
      <c r="O197" s="686">
        <f t="shared" si="52"/>
        <v>6.7130000000000001</v>
      </c>
    </row>
    <row r="198" spans="2:15" ht="18.75" hidden="1" customHeight="1" thickBot="1">
      <c r="B198" s="132"/>
      <c r="C198" s="363"/>
      <c r="D198" s="132"/>
      <c r="E198" s="132"/>
      <c r="F198" s="132"/>
      <c r="G198" s="132"/>
      <c r="H198" s="132"/>
      <c r="I198" s="132"/>
      <c r="J198" s="132"/>
      <c r="K198" s="132"/>
      <c r="L198" s="132"/>
      <c r="M198" s="122"/>
      <c r="N198" s="375"/>
      <c r="O198" s="132"/>
    </row>
    <row r="199" spans="2:15" ht="5.25" hidden="1" customHeight="1">
      <c r="B199" s="2639" t="s">
        <v>860</v>
      </c>
      <c r="C199" s="2792" t="s">
        <v>354</v>
      </c>
      <c r="D199" s="2706">
        <v>39448</v>
      </c>
      <c r="E199" s="2706">
        <v>39479</v>
      </c>
      <c r="F199" s="2706">
        <v>39508</v>
      </c>
      <c r="G199" s="2706">
        <v>39539</v>
      </c>
      <c r="H199" s="2706">
        <v>39569</v>
      </c>
      <c r="I199" s="2706">
        <v>39600</v>
      </c>
      <c r="J199" s="2706">
        <v>39630</v>
      </c>
      <c r="K199" s="2706">
        <v>39661</v>
      </c>
      <c r="L199" s="2706">
        <v>39692</v>
      </c>
      <c r="M199" s="2706">
        <v>39722</v>
      </c>
      <c r="N199" s="2706">
        <v>39753</v>
      </c>
      <c r="O199" s="2694">
        <v>39783</v>
      </c>
    </row>
    <row r="200" spans="2:15" ht="11.25" hidden="1" customHeight="1">
      <c r="B200" s="2640"/>
      <c r="C200" s="2793"/>
      <c r="D200" s="2707"/>
      <c r="E200" s="2707"/>
      <c r="F200" s="2707"/>
      <c r="G200" s="2707"/>
      <c r="H200" s="2707"/>
      <c r="I200" s="2707"/>
      <c r="J200" s="2707"/>
      <c r="K200" s="2707"/>
      <c r="L200" s="2707"/>
      <c r="M200" s="2707"/>
      <c r="N200" s="2707"/>
      <c r="O200" s="2695"/>
    </row>
    <row r="201" spans="2:15" ht="6.75" hidden="1" customHeight="1" thickBot="1">
      <c r="B201" s="2764"/>
      <c r="C201" s="2794"/>
      <c r="D201" s="2708"/>
      <c r="E201" s="2708"/>
      <c r="F201" s="2708"/>
      <c r="G201" s="2708"/>
      <c r="H201" s="2708"/>
      <c r="I201" s="2708"/>
      <c r="J201" s="2708"/>
      <c r="K201" s="2708"/>
      <c r="L201" s="2708"/>
      <c r="M201" s="2708"/>
      <c r="N201" s="2708"/>
      <c r="O201" s="2696"/>
    </row>
    <row r="202" spans="2:15" ht="15.75" hidden="1" customHeight="1">
      <c r="B202" s="377" t="s">
        <v>820</v>
      </c>
      <c r="C202" s="495">
        <v>301</v>
      </c>
      <c r="D202" s="496">
        <f t="shared" ref="D202:O202" si="53">ROUND(MMULT($D12:$H12,D$193:D$197),2)</f>
        <v>443.92</v>
      </c>
      <c r="E202" s="496">
        <f t="shared" si="53"/>
        <v>437.36</v>
      </c>
      <c r="F202" s="496">
        <f t="shared" si="53"/>
        <v>441.52</v>
      </c>
      <c r="G202" s="496">
        <f t="shared" si="53"/>
        <v>459.48</v>
      </c>
      <c r="H202" s="496">
        <f t="shared" si="53"/>
        <v>469.58</v>
      </c>
      <c r="I202" s="496">
        <f t="shared" si="53"/>
        <v>476.84</v>
      </c>
      <c r="J202" s="496">
        <f t="shared" si="53"/>
        <v>486.37</v>
      </c>
      <c r="K202" s="496">
        <f t="shared" si="53"/>
        <v>486.02</v>
      </c>
      <c r="L202" s="496">
        <f t="shared" si="53"/>
        <v>496.39</v>
      </c>
      <c r="M202" s="496">
        <f t="shared" si="53"/>
        <v>500.02</v>
      </c>
      <c r="N202" s="496">
        <f t="shared" si="53"/>
        <v>495.73</v>
      </c>
      <c r="O202" s="497">
        <f t="shared" si="53"/>
        <v>492.62</v>
      </c>
    </row>
    <row r="203" spans="2:15" ht="15.75" hidden="1" customHeight="1">
      <c r="B203" s="372" t="s">
        <v>827</v>
      </c>
      <c r="C203" s="281">
        <v>302</v>
      </c>
      <c r="D203" s="498">
        <f t="shared" ref="D203:O203" si="54">ROUND(MMULT($D13:$H13,D$193:D$197),2)</f>
        <v>442.75</v>
      </c>
      <c r="E203" s="498">
        <f t="shared" si="54"/>
        <v>436.59</v>
      </c>
      <c r="F203" s="498">
        <f t="shared" si="54"/>
        <v>440.2</v>
      </c>
      <c r="G203" s="498">
        <f t="shared" si="54"/>
        <v>459.57</v>
      </c>
      <c r="H203" s="498">
        <f t="shared" si="54"/>
        <v>469.46</v>
      </c>
      <c r="I203" s="498">
        <f t="shared" si="54"/>
        <v>475.16</v>
      </c>
      <c r="J203" s="498">
        <f t="shared" si="54"/>
        <v>485.82</v>
      </c>
      <c r="K203" s="498">
        <f t="shared" si="54"/>
        <v>484.58</v>
      </c>
      <c r="L203" s="498">
        <f t="shared" si="54"/>
        <v>495.74</v>
      </c>
      <c r="M203" s="498">
        <f t="shared" si="54"/>
        <v>499.05</v>
      </c>
      <c r="N203" s="498">
        <f t="shared" si="54"/>
        <v>495.08</v>
      </c>
      <c r="O203" s="499">
        <f t="shared" si="54"/>
        <v>492.33</v>
      </c>
    </row>
    <row r="204" spans="2:15" ht="15.75" hidden="1" customHeight="1">
      <c r="B204" s="372" t="s">
        <v>828</v>
      </c>
      <c r="C204" s="281">
        <v>303</v>
      </c>
      <c r="D204" s="500">
        <f t="shared" ref="D204:O204" si="55">ROUND(MMULT($D14:$H14,D$193:D$197),2)</f>
        <v>457.23</v>
      </c>
      <c r="E204" s="500">
        <f t="shared" si="55"/>
        <v>453.56</v>
      </c>
      <c r="F204" s="500">
        <f t="shared" si="55"/>
        <v>458.26</v>
      </c>
      <c r="G204" s="500">
        <f t="shared" si="55"/>
        <v>478.49</v>
      </c>
      <c r="H204" s="500">
        <f t="shared" si="55"/>
        <v>489.76</v>
      </c>
      <c r="I204" s="500">
        <f t="shared" si="55"/>
        <v>495.54</v>
      </c>
      <c r="J204" s="500">
        <f t="shared" si="55"/>
        <v>507.32</v>
      </c>
      <c r="K204" s="500">
        <f t="shared" si="55"/>
        <v>507.2</v>
      </c>
      <c r="L204" s="500">
        <f t="shared" si="55"/>
        <v>518.55999999999995</v>
      </c>
      <c r="M204" s="500">
        <f t="shared" si="55"/>
        <v>523.30999999999995</v>
      </c>
      <c r="N204" s="500">
        <f t="shared" si="55"/>
        <v>520.55999999999995</v>
      </c>
      <c r="O204" s="499">
        <f t="shared" si="55"/>
        <v>517.29</v>
      </c>
    </row>
    <row r="205" spans="2:15" ht="15.75" hidden="1" customHeight="1" thickBot="1">
      <c r="B205" s="373" t="s">
        <v>832</v>
      </c>
      <c r="C205" s="501">
        <v>304</v>
      </c>
      <c r="D205" s="502">
        <f t="shared" ref="D205:O205" si="56">ROUND(MMULT($D15:$H15,D$193:D$197),2)</f>
        <v>474.23</v>
      </c>
      <c r="E205" s="502">
        <f t="shared" si="56"/>
        <v>475.62</v>
      </c>
      <c r="F205" s="502">
        <f t="shared" si="56"/>
        <v>477.15</v>
      </c>
      <c r="G205" s="502">
        <f t="shared" si="56"/>
        <v>507.39</v>
      </c>
      <c r="H205" s="502">
        <f t="shared" si="56"/>
        <v>518.29</v>
      </c>
      <c r="I205" s="502">
        <f t="shared" si="56"/>
        <v>514.54</v>
      </c>
      <c r="J205" s="502">
        <f t="shared" si="56"/>
        <v>535.35</v>
      </c>
      <c r="K205" s="502">
        <f t="shared" si="56"/>
        <v>529.87</v>
      </c>
      <c r="L205" s="502">
        <f t="shared" si="56"/>
        <v>544.76</v>
      </c>
      <c r="M205" s="502">
        <f t="shared" si="56"/>
        <v>548.59</v>
      </c>
      <c r="N205" s="502">
        <f t="shared" si="56"/>
        <v>549.04999999999995</v>
      </c>
      <c r="O205" s="503">
        <f t="shared" si="56"/>
        <v>548.29999999999995</v>
      </c>
    </row>
    <row r="206" spans="2:15" ht="18" hidden="1" customHeight="1">
      <c r="B206" s="122" t="s">
        <v>512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</row>
    <row r="207" spans="2:15" ht="7.5" hidden="1" customHeight="1" thickBot="1"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</row>
    <row r="208" spans="2:15" ht="4.5" hidden="1" customHeight="1">
      <c r="B208" s="2639" t="s">
        <v>673</v>
      </c>
      <c r="C208" s="2792" t="s">
        <v>354</v>
      </c>
      <c r="D208" s="2706">
        <v>39814</v>
      </c>
      <c r="E208" s="2706">
        <v>39845</v>
      </c>
      <c r="F208" s="2706">
        <v>39873</v>
      </c>
      <c r="G208" s="2706">
        <v>39904</v>
      </c>
      <c r="H208" s="2706">
        <v>39934</v>
      </c>
      <c r="I208" s="2706">
        <v>39965</v>
      </c>
      <c r="J208" s="2706">
        <v>39995</v>
      </c>
      <c r="K208" s="2706">
        <v>40026</v>
      </c>
      <c r="L208" s="2706">
        <v>40057</v>
      </c>
      <c r="M208" s="2706">
        <v>40087</v>
      </c>
      <c r="N208" s="2706">
        <v>40118</v>
      </c>
      <c r="O208" s="2694">
        <v>40148</v>
      </c>
    </row>
    <row r="209" spans="2:15" ht="9" hidden="1" customHeight="1">
      <c r="B209" s="2640"/>
      <c r="C209" s="2793"/>
      <c r="D209" s="2707"/>
      <c r="E209" s="2707"/>
      <c r="F209" s="2707"/>
      <c r="G209" s="2707"/>
      <c r="H209" s="2707"/>
      <c r="I209" s="2707"/>
      <c r="J209" s="2707"/>
      <c r="K209" s="2707"/>
      <c r="L209" s="2707"/>
      <c r="M209" s="2707"/>
      <c r="N209" s="2707"/>
      <c r="O209" s="2695"/>
    </row>
    <row r="210" spans="2:15" ht="5.25" hidden="1" customHeight="1" thickBot="1">
      <c r="B210" s="2764"/>
      <c r="C210" s="2794"/>
      <c r="D210" s="2708"/>
      <c r="E210" s="2708"/>
      <c r="F210" s="2708"/>
      <c r="G210" s="2708"/>
      <c r="H210" s="2708"/>
      <c r="I210" s="2708"/>
      <c r="J210" s="2708"/>
      <c r="K210" s="2708"/>
      <c r="L210" s="2708"/>
      <c r="M210" s="2708"/>
      <c r="N210" s="2708"/>
      <c r="O210" s="2696"/>
    </row>
    <row r="211" spans="2:15" ht="15.75" hidden="1">
      <c r="B211" s="377" t="s">
        <v>809</v>
      </c>
      <c r="C211" s="464">
        <v>50</v>
      </c>
      <c r="D211" s="481">
        <f>+'TABLA FINAL '!CR70</f>
        <v>431.23</v>
      </c>
      <c r="E211" s="481">
        <f>+'TABLA FINAL '!CS70</f>
        <v>431.69</v>
      </c>
      <c r="F211" s="481">
        <f>+'TABLA FINAL '!CT70</f>
        <v>431.69</v>
      </c>
      <c r="G211" s="481">
        <f>+'TABLA FINAL '!CU70</f>
        <v>438.31</v>
      </c>
      <c r="H211" s="481">
        <f>+'TABLA FINAL '!CV70</f>
        <v>440.51</v>
      </c>
      <c r="I211" s="481">
        <f>+'TABLA FINAL '!CW70</f>
        <v>440.51</v>
      </c>
      <c r="J211" s="481">
        <f>+'TABLA FINAL '!CX70</f>
        <v>440.51</v>
      </c>
      <c r="K211" s="481">
        <f>+'TABLA FINAL '!CY70</f>
        <v>449.06</v>
      </c>
      <c r="L211" s="481">
        <f>+'TABLA FINAL '!CZ70</f>
        <v>449.06</v>
      </c>
      <c r="M211" s="481">
        <f>+'TABLA FINAL '!DA70</f>
        <v>452.53</v>
      </c>
      <c r="N211" s="481">
        <f>+'TABLA FINAL '!DB70</f>
        <v>454.76</v>
      </c>
      <c r="O211" s="481">
        <f>+'TABLA FINAL '!DC70</f>
        <v>454.76</v>
      </c>
    </row>
    <row r="212" spans="2:15" ht="15.75" hidden="1">
      <c r="B212" s="372" t="s">
        <v>810</v>
      </c>
      <c r="C212" s="283">
        <v>19</v>
      </c>
      <c r="D212" s="140">
        <f>+'TABLA FINAL '!CR39</f>
        <v>503.5</v>
      </c>
      <c r="E212" s="140">
        <f>+'TABLA FINAL '!CS39</f>
        <v>499.8</v>
      </c>
      <c r="F212" s="140">
        <f>+'TABLA FINAL '!CT39</f>
        <v>495.9</v>
      </c>
      <c r="G212" s="140">
        <f>+'TABLA FINAL '!CU39</f>
        <v>494</v>
      </c>
      <c r="H212" s="140">
        <f>+'TABLA FINAL '!CV39</f>
        <v>492.8</v>
      </c>
      <c r="I212" s="140">
        <f>+'TABLA FINAL '!CW39</f>
        <v>510.7</v>
      </c>
      <c r="J212" s="140">
        <f>+'TABLA FINAL '!CX39</f>
        <v>518.70000000000005</v>
      </c>
      <c r="K212" s="140">
        <f>+'TABLA FINAL '!CY39</f>
        <v>532.29999999999995</v>
      </c>
      <c r="L212" s="140">
        <f>+'TABLA FINAL '!CZ39</f>
        <v>534.9</v>
      </c>
      <c r="M212" s="140">
        <f>+'TABLA FINAL '!DA39</f>
        <v>544.5</v>
      </c>
      <c r="N212" s="140">
        <f>+'TABLA FINAL '!DB39</f>
        <v>543.1</v>
      </c>
      <c r="O212" s="140">
        <f>+'TABLA FINAL '!DC39</f>
        <v>549.9</v>
      </c>
    </row>
    <row r="213" spans="2:15" ht="15.75" hidden="1">
      <c r="B213" s="372" t="s">
        <v>811</v>
      </c>
      <c r="C213" s="283">
        <v>58</v>
      </c>
      <c r="D213" s="127">
        <f>+'TABLA FINAL '!CR78</f>
        <v>509.23</v>
      </c>
      <c r="E213" s="127">
        <f>+'TABLA FINAL '!CS78</f>
        <v>505.33</v>
      </c>
      <c r="F213" s="127">
        <f>+'TABLA FINAL '!CT78</f>
        <v>504.35</v>
      </c>
      <c r="G213" s="127">
        <f>+'TABLA FINAL '!CU78</f>
        <v>495.54</v>
      </c>
      <c r="H213" s="127">
        <f>+'TABLA FINAL '!CV78</f>
        <v>493.62</v>
      </c>
      <c r="I213" s="127">
        <f>+'TABLA FINAL '!CW78</f>
        <v>489.22</v>
      </c>
      <c r="J213" s="127">
        <f>+'TABLA FINAL '!CX78</f>
        <v>497.27</v>
      </c>
      <c r="K213" s="127">
        <f>+'TABLA FINAL '!CY78</f>
        <v>496.83</v>
      </c>
      <c r="L213" s="127">
        <f>+'TABLA FINAL '!CZ78</f>
        <v>508.33</v>
      </c>
      <c r="M213" s="127">
        <f>+'TABLA FINAL '!DA78</f>
        <v>511.32</v>
      </c>
      <c r="N213" s="127">
        <f>+'TABLA FINAL '!DB78</f>
        <v>519.62</v>
      </c>
      <c r="O213" s="127">
        <f>+'TABLA FINAL '!DC78</f>
        <v>521.03</v>
      </c>
    </row>
    <row r="214" spans="2:15" ht="15.75" hidden="1">
      <c r="B214" s="372" t="s">
        <v>812</v>
      </c>
      <c r="C214" s="283">
        <v>23</v>
      </c>
      <c r="D214" s="310">
        <f>+'TABLA FINAL '!CR43</f>
        <v>473.28</v>
      </c>
      <c r="E214" s="310">
        <f>+'TABLA FINAL '!CS43</f>
        <v>477.85</v>
      </c>
      <c r="F214" s="310">
        <f>+'TABLA FINAL '!CT43</f>
        <v>477.85</v>
      </c>
      <c r="G214" s="310">
        <f>+'TABLA FINAL '!CU43</f>
        <v>477.86</v>
      </c>
      <c r="H214" s="310">
        <f>+'TABLA FINAL '!CV43</f>
        <v>479.15</v>
      </c>
      <c r="I214" s="310">
        <f>+'TABLA FINAL '!CW43</f>
        <v>481.71</v>
      </c>
      <c r="J214" s="310">
        <f>+'TABLA FINAL '!CX43</f>
        <v>485.05</v>
      </c>
      <c r="K214" s="310">
        <f>+'TABLA FINAL '!CY43</f>
        <v>487.62</v>
      </c>
      <c r="L214" s="310">
        <f>+'TABLA FINAL '!CZ43</f>
        <v>490.95</v>
      </c>
      <c r="M214" s="310">
        <f>+'TABLA FINAL '!DA43</f>
        <v>494.62</v>
      </c>
      <c r="N214" s="310">
        <f>+'TABLA FINAL '!DB43</f>
        <v>500.53</v>
      </c>
      <c r="O214" s="310">
        <f>+'TABLA FINAL '!DC43</f>
        <v>503.87</v>
      </c>
    </row>
    <row r="215" spans="2:15" ht="15.75" hidden="1">
      <c r="B215" s="372" t="s">
        <v>834</v>
      </c>
      <c r="C215" s="283" t="s">
        <v>835</v>
      </c>
      <c r="D215" s="142">
        <f>+('TABLA FINAL '!CR5+'TABLA FINAL '!CR16)*2.2521+'TABLA FINAL '!CR26</f>
        <v>17.656464</v>
      </c>
      <c r="E215" s="142">
        <f>+('TABLA FINAL '!CS5+'TABLA FINAL '!CS16)*2.2521+'TABLA FINAL '!CS26</f>
        <v>17.656464</v>
      </c>
      <c r="F215" s="142">
        <f>+('TABLA FINAL '!CT5+'TABLA FINAL '!CT16)*2.2521+'TABLA FINAL '!CT26</f>
        <v>17.656464</v>
      </c>
      <c r="G215" s="142">
        <f>+('TABLA FINAL '!CU5+'TABLA FINAL '!CU16)*2.2521+'TABLA FINAL '!CU26</f>
        <v>17.656464</v>
      </c>
      <c r="H215" s="142">
        <f>+('TABLA FINAL '!CV5+'TABLA FINAL '!CV16)*2.2521+'TABLA FINAL '!CV26</f>
        <v>18.679191272727273</v>
      </c>
      <c r="I215" s="142">
        <f>+('TABLA FINAL '!CW5+'TABLA FINAL '!CW16)*2.2521+'TABLA FINAL '!CW26</f>
        <v>19.255455000000001</v>
      </c>
      <c r="J215" s="142">
        <f>+('TABLA FINAL '!CX5+'TABLA FINAL '!CX16)*2.2521+'TABLA FINAL '!CX26</f>
        <v>19.255455000000001</v>
      </c>
      <c r="K215" s="142">
        <f>+('TABLA FINAL '!CY5+'TABLA FINAL '!CY16)*2.2521+'TABLA FINAL '!CY26</f>
        <v>19.255455000000001</v>
      </c>
      <c r="L215" s="142">
        <f>+('TABLA FINAL '!CZ5+'TABLA FINAL '!CZ16)*2.2521+'TABLA FINAL '!CZ26</f>
        <v>19.255455000000001</v>
      </c>
      <c r="M215" s="142">
        <f>+('TABLA FINAL '!DA5+'TABLA FINAL '!DA16)*2.2521+'TABLA FINAL '!DA26</f>
        <v>20.404026000000002</v>
      </c>
      <c r="N215" s="142">
        <f>+('TABLA FINAL '!DB5+'TABLA FINAL '!DB16)*2.2521+'TABLA FINAL '!DB26</f>
        <v>20.404026000000002</v>
      </c>
      <c r="O215" s="142">
        <f>+('TABLA FINAL '!DC5+'TABLA FINAL '!DC16)*2.2521+'TABLA FINAL '!DC26</f>
        <v>20.404026000000002</v>
      </c>
    </row>
    <row r="216" spans="2:15" ht="7.5" hidden="1" customHeight="1" thickBot="1">
      <c r="B216" s="373"/>
      <c r="C216" s="282"/>
      <c r="D216" s="483"/>
      <c r="E216" s="483"/>
      <c r="F216" s="483" t="s">
        <v>882</v>
      </c>
      <c r="G216" s="483"/>
      <c r="H216" s="483"/>
      <c r="I216" s="483"/>
      <c r="J216" s="483"/>
      <c r="K216" s="483"/>
      <c r="L216" s="483"/>
      <c r="M216" s="380"/>
      <c r="N216" s="380"/>
      <c r="O216" s="485"/>
    </row>
    <row r="217" spans="2:15" ht="15" hidden="1" customHeight="1" thickBot="1"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22"/>
      <c r="N217" s="375"/>
      <c r="O217" s="132"/>
    </row>
    <row r="218" spans="2:15" ht="15.75" hidden="1">
      <c r="B218" s="2623" t="s">
        <v>675</v>
      </c>
      <c r="C218" s="486" t="s">
        <v>836</v>
      </c>
      <c r="D218" s="516">
        <f t="shared" ref="D218:J218" si="57">ROUND(+D211/$D$18,3)</f>
        <v>3.8610000000000002</v>
      </c>
      <c r="E218" s="516">
        <f t="shared" si="57"/>
        <v>3.8650000000000002</v>
      </c>
      <c r="F218" s="516">
        <f t="shared" si="57"/>
        <v>3.8650000000000002</v>
      </c>
      <c r="G218" s="516">
        <f t="shared" si="57"/>
        <v>3.9249999999999998</v>
      </c>
      <c r="H218" s="516">
        <f t="shared" si="57"/>
        <v>3.944</v>
      </c>
      <c r="I218" s="516">
        <f t="shared" si="57"/>
        <v>3.944</v>
      </c>
      <c r="J218" s="516">
        <f t="shared" si="57"/>
        <v>3.944</v>
      </c>
      <c r="K218" s="516">
        <f>ROUND(+K211/$D$18,3)</f>
        <v>4.0209999999999999</v>
      </c>
      <c r="L218" s="516">
        <f>ROUND(+L211/$D$18,3)</f>
        <v>4.0209999999999999</v>
      </c>
      <c r="M218" s="516">
        <f>ROUND(+M211/$D$18,3)</f>
        <v>4.0519999999999996</v>
      </c>
      <c r="N218" s="516">
        <f>ROUND(+N211/$D$18,3)</f>
        <v>4.0720000000000001</v>
      </c>
      <c r="O218" s="133">
        <f>ROUND(+O211/$D$18,3)</f>
        <v>4.0720000000000001</v>
      </c>
    </row>
    <row r="219" spans="2:15" ht="15.75" hidden="1">
      <c r="B219" s="2624"/>
      <c r="C219" s="489" t="s">
        <v>837</v>
      </c>
      <c r="D219" s="391">
        <f t="shared" ref="D219:J219" si="58">ROUND(+D212/$D$19,3)</f>
        <v>5.3220000000000001</v>
      </c>
      <c r="E219" s="391">
        <f t="shared" si="58"/>
        <v>5.2830000000000004</v>
      </c>
      <c r="F219" s="391">
        <f t="shared" si="58"/>
        <v>5.242</v>
      </c>
      <c r="G219" s="391">
        <f t="shared" si="58"/>
        <v>5.2220000000000004</v>
      </c>
      <c r="H219" s="391">
        <f t="shared" si="58"/>
        <v>5.2089999999999996</v>
      </c>
      <c r="I219" s="391">
        <f t="shared" si="58"/>
        <v>5.399</v>
      </c>
      <c r="J219" s="391">
        <f t="shared" si="58"/>
        <v>5.4829999999999997</v>
      </c>
      <c r="K219" s="391">
        <f>ROUND(+K212/$D$19,3)</f>
        <v>5.6269999999999998</v>
      </c>
      <c r="L219" s="391">
        <f>ROUND(+L212/$D$19,3)</f>
        <v>5.6539999999999999</v>
      </c>
      <c r="M219" s="391">
        <f>ROUND(+M212/$D$19,3)</f>
        <v>5.7560000000000002</v>
      </c>
      <c r="N219" s="391">
        <f>ROUND(+N212/$D$19,3)</f>
        <v>5.7409999999999997</v>
      </c>
      <c r="O219" s="520">
        <f>ROUND(+O212/$D$19,3)</f>
        <v>5.8129999999999997</v>
      </c>
    </row>
    <row r="220" spans="2:15" ht="15.75" hidden="1">
      <c r="B220" s="2624"/>
      <c r="C220" s="489" t="s">
        <v>838</v>
      </c>
      <c r="D220" s="391">
        <f t="shared" ref="D220:J220" si="59">ROUND(+D213/$D$20,3)</f>
        <v>5.9589999999999996</v>
      </c>
      <c r="E220" s="391">
        <f t="shared" si="59"/>
        <v>5.9130000000000003</v>
      </c>
      <c r="F220" s="391">
        <f t="shared" si="59"/>
        <v>5.9020000000000001</v>
      </c>
      <c r="G220" s="391">
        <f t="shared" si="59"/>
        <v>5.7990000000000004</v>
      </c>
      <c r="H220" s="391">
        <f t="shared" si="59"/>
        <v>5.7759999999999998</v>
      </c>
      <c r="I220" s="391">
        <f t="shared" si="59"/>
        <v>5.7249999999999996</v>
      </c>
      <c r="J220" s="391">
        <f t="shared" si="59"/>
        <v>5.819</v>
      </c>
      <c r="K220" s="391">
        <f>ROUND(+K213/$D$20,3)</f>
        <v>5.8140000000000001</v>
      </c>
      <c r="L220" s="391">
        <f>ROUND(+L213/$D$20,3)</f>
        <v>5.9480000000000004</v>
      </c>
      <c r="M220" s="391">
        <f>ROUND(+M213/$D$20,3)</f>
        <v>5.9829999999999997</v>
      </c>
      <c r="N220" s="391">
        <f>ROUND(+N213/$D$20,3)</f>
        <v>6.08</v>
      </c>
      <c r="O220" s="520">
        <f>ROUND(+O213/$D$20,3)</f>
        <v>6.0970000000000004</v>
      </c>
    </row>
    <row r="221" spans="2:15" ht="15.75" hidden="1">
      <c r="B221" s="2624"/>
      <c r="C221" s="489" t="s">
        <v>839</v>
      </c>
      <c r="D221" s="391">
        <f t="shared" ref="D221:J221" si="60">ROUND(+D214/$D$21,3)</f>
        <v>5.3120000000000003</v>
      </c>
      <c r="E221" s="391">
        <f t="shared" si="60"/>
        <v>5.3630000000000004</v>
      </c>
      <c r="F221" s="391">
        <f t="shared" si="60"/>
        <v>5.3630000000000004</v>
      </c>
      <c r="G221" s="391">
        <f t="shared" si="60"/>
        <v>5.3630000000000004</v>
      </c>
      <c r="H221" s="391">
        <f t="shared" si="60"/>
        <v>5.3780000000000001</v>
      </c>
      <c r="I221" s="391">
        <f t="shared" si="60"/>
        <v>5.4059999999999997</v>
      </c>
      <c r="J221" s="391">
        <f t="shared" si="60"/>
        <v>5.444</v>
      </c>
      <c r="K221" s="391">
        <f>ROUND(+K214/$D$21,3)</f>
        <v>5.4729999999999999</v>
      </c>
      <c r="L221" s="391">
        <f>ROUND(+L214/$D$21,3)</f>
        <v>5.51</v>
      </c>
      <c r="M221" s="391">
        <f>ROUND(+M214/$D$21,3)</f>
        <v>5.5510000000000002</v>
      </c>
      <c r="N221" s="391">
        <f>ROUND(+N214/$D$21,3)</f>
        <v>5.6180000000000003</v>
      </c>
      <c r="O221" s="520">
        <f>ROUND(+O214/$D$21,3)</f>
        <v>5.6550000000000002</v>
      </c>
    </row>
    <row r="222" spans="2:15" ht="16.5" hidden="1" thickBot="1">
      <c r="B222" s="2625"/>
      <c r="C222" s="492" t="s">
        <v>677</v>
      </c>
      <c r="D222" s="685">
        <f t="shared" ref="D222:J222" si="61">ROUND(+D215/$D$22,3)</f>
        <v>6.7130000000000001</v>
      </c>
      <c r="E222" s="685">
        <f t="shared" si="61"/>
        <v>6.7130000000000001</v>
      </c>
      <c r="F222" s="685">
        <f t="shared" si="61"/>
        <v>6.7130000000000001</v>
      </c>
      <c r="G222" s="685">
        <f t="shared" si="61"/>
        <v>6.7130000000000001</v>
      </c>
      <c r="H222" s="685">
        <f t="shared" si="61"/>
        <v>7.1020000000000003</v>
      </c>
      <c r="I222" s="685">
        <f t="shared" si="61"/>
        <v>7.3209999999999997</v>
      </c>
      <c r="J222" s="685">
        <f t="shared" si="61"/>
        <v>7.3209999999999997</v>
      </c>
      <c r="K222" s="685">
        <f>ROUND(+K215/$D$22,3)</f>
        <v>7.3209999999999997</v>
      </c>
      <c r="L222" s="685">
        <f>ROUND(+L215/$D$22,3)</f>
        <v>7.3209999999999997</v>
      </c>
      <c r="M222" s="685">
        <f>ROUND(+M215/$D$22,3)</f>
        <v>7.758</v>
      </c>
      <c r="N222" s="685">
        <f>ROUND(+N215/$D$22,3)</f>
        <v>7.758</v>
      </c>
      <c r="O222" s="686">
        <f>ROUND(+O215/$D$22,3)</f>
        <v>7.758</v>
      </c>
    </row>
    <row r="223" spans="2:15" ht="16.5" hidden="1" thickBot="1">
      <c r="B223" s="132"/>
      <c r="C223" s="363"/>
      <c r="D223" s="132"/>
      <c r="E223" s="132"/>
      <c r="F223" s="132"/>
      <c r="G223" s="132"/>
      <c r="H223" s="132"/>
      <c r="I223" s="132"/>
      <c r="J223" s="132"/>
      <c r="K223" s="132"/>
      <c r="L223" s="132"/>
      <c r="M223" s="122"/>
      <c r="N223" s="375"/>
      <c r="O223" s="132"/>
    </row>
    <row r="224" spans="2:15" ht="3" hidden="1" customHeight="1">
      <c r="B224" s="2639" t="s">
        <v>860</v>
      </c>
      <c r="C224" s="2792" t="s">
        <v>354</v>
      </c>
      <c r="D224" s="2706">
        <v>39814</v>
      </c>
      <c r="E224" s="2706">
        <v>39845</v>
      </c>
      <c r="F224" s="2706">
        <v>39873</v>
      </c>
      <c r="G224" s="2706">
        <v>39904</v>
      </c>
      <c r="H224" s="2706">
        <v>39934</v>
      </c>
      <c r="I224" s="2706">
        <v>39965</v>
      </c>
      <c r="J224" s="2706">
        <v>39995</v>
      </c>
      <c r="K224" s="2706">
        <v>40026</v>
      </c>
      <c r="L224" s="2706">
        <v>40057</v>
      </c>
      <c r="M224" s="2706">
        <v>40087</v>
      </c>
      <c r="N224" s="2706">
        <v>40118</v>
      </c>
      <c r="O224" s="2694">
        <v>40148</v>
      </c>
    </row>
    <row r="225" spans="2:15" ht="7.5" hidden="1" customHeight="1">
      <c r="B225" s="2640"/>
      <c r="C225" s="2793"/>
      <c r="D225" s="2707"/>
      <c r="E225" s="2707"/>
      <c r="F225" s="2707"/>
      <c r="G225" s="2707"/>
      <c r="H225" s="2707"/>
      <c r="I225" s="2707"/>
      <c r="J225" s="2707"/>
      <c r="K225" s="2707"/>
      <c r="L225" s="2707"/>
      <c r="M225" s="2707"/>
      <c r="N225" s="2707"/>
      <c r="O225" s="2695"/>
    </row>
    <row r="226" spans="2:15" ht="8.25" hidden="1" customHeight="1" thickBot="1">
      <c r="B226" s="2764"/>
      <c r="C226" s="2794"/>
      <c r="D226" s="2708"/>
      <c r="E226" s="2708"/>
      <c r="F226" s="2708"/>
      <c r="G226" s="2708"/>
      <c r="H226" s="2708"/>
      <c r="I226" s="2708"/>
      <c r="J226" s="2708"/>
      <c r="K226" s="2708"/>
      <c r="L226" s="2708"/>
      <c r="M226" s="2708"/>
      <c r="N226" s="2708"/>
      <c r="O226" s="2696"/>
    </row>
    <row r="227" spans="2:15" ht="15.75" hidden="1">
      <c r="B227" s="377" t="s">
        <v>820</v>
      </c>
      <c r="C227" s="495">
        <v>301</v>
      </c>
      <c r="D227" s="496">
        <f t="shared" ref="D227:O227" si="62">ROUND(MMULT($D12:$H12,D$218:D$222),2)</f>
        <v>499.38</v>
      </c>
      <c r="E227" s="496">
        <f t="shared" si="62"/>
        <v>498.56</v>
      </c>
      <c r="F227" s="496">
        <f t="shared" si="62"/>
        <v>497.47</v>
      </c>
      <c r="G227" s="496">
        <f t="shared" si="62"/>
        <v>498.48</v>
      </c>
      <c r="H227" s="496">
        <f t="shared" si="62"/>
        <v>505.08</v>
      </c>
      <c r="I227" s="496">
        <f t="shared" si="62"/>
        <v>512.86</v>
      </c>
      <c r="J227" s="496">
        <f t="shared" si="62"/>
        <v>516.12</v>
      </c>
      <c r="K227" s="496">
        <f t="shared" si="62"/>
        <v>522.99</v>
      </c>
      <c r="L227" s="496">
        <f t="shared" si="62"/>
        <v>525.27</v>
      </c>
      <c r="M227" s="496">
        <f t="shared" si="62"/>
        <v>536.69000000000005</v>
      </c>
      <c r="N227" s="496">
        <f t="shared" si="62"/>
        <v>538.67999999999995</v>
      </c>
      <c r="O227" s="497">
        <f t="shared" si="62"/>
        <v>540.87</v>
      </c>
    </row>
    <row r="228" spans="2:15" ht="15.75" hidden="1">
      <c r="B228" s="372" t="s">
        <v>827</v>
      </c>
      <c r="C228" s="281">
        <v>302</v>
      </c>
      <c r="D228" s="498">
        <f t="shared" ref="D228:O228" si="63">ROUND(MMULT($D13:$H13,D$218:D$222),2)</f>
        <v>499.37</v>
      </c>
      <c r="E228" s="498">
        <f t="shared" si="63"/>
        <v>498.68</v>
      </c>
      <c r="F228" s="498">
        <f t="shared" si="63"/>
        <v>497.69</v>
      </c>
      <c r="G228" s="498">
        <f t="shared" si="63"/>
        <v>499.06</v>
      </c>
      <c r="H228" s="498">
        <f t="shared" si="63"/>
        <v>506.93</v>
      </c>
      <c r="I228" s="498">
        <f t="shared" si="63"/>
        <v>515.05999999999995</v>
      </c>
      <c r="J228" s="498">
        <f t="shared" si="63"/>
        <v>517.91999999999996</v>
      </c>
      <c r="K228" s="498">
        <f t="shared" si="63"/>
        <v>524.64</v>
      </c>
      <c r="L228" s="498">
        <f t="shared" si="63"/>
        <v>526.57000000000005</v>
      </c>
      <c r="M228" s="498">
        <f t="shared" si="63"/>
        <v>539.04</v>
      </c>
      <c r="N228" s="498">
        <f t="shared" si="63"/>
        <v>540.84</v>
      </c>
      <c r="O228" s="499">
        <f t="shared" si="63"/>
        <v>542.82000000000005</v>
      </c>
    </row>
    <row r="229" spans="2:15" ht="15.75" hidden="1">
      <c r="B229" s="372" t="s">
        <v>828</v>
      </c>
      <c r="C229" s="281">
        <v>303</v>
      </c>
      <c r="D229" s="500">
        <f t="shared" ref="D229:O229" si="64">ROUND(MMULT($D14:$H14,D$218:D$222),2)</f>
        <v>522.41999999999996</v>
      </c>
      <c r="E229" s="500">
        <f t="shared" si="64"/>
        <v>521.48</v>
      </c>
      <c r="F229" s="500">
        <f t="shared" si="64"/>
        <v>520.55999999999995</v>
      </c>
      <c r="G229" s="500">
        <f t="shared" si="64"/>
        <v>520.54</v>
      </c>
      <c r="H229" s="500">
        <f t="shared" si="64"/>
        <v>529.26</v>
      </c>
      <c r="I229" s="500">
        <f t="shared" si="64"/>
        <v>536.86</v>
      </c>
      <c r="J229" s="500">
        <f t="shared" si="64"/>
        <v>540.27</v>
      </c>
      <c r="K229" s="500">
        <f t="shared" si="64"/>
        <v>545.71</v>
      </c>
      <c r="L229" s="500">
        <f t="shared" si="64"/>
        <v>548.77</v>
      </c>
      <c r="M229" s="500">
        <f t="shared" si="64"/>
        <v>562.22</v>
      </c>
      <c r="N229" s="500">
        <f t="shared" si="64"/>
        <v>564.84</v>
      </c>
      <c r="O229" s="499">
        <f t="shared" si="64"/>
        <v>566.72</v>
      </c>
    </row>
    <row r="230" spans="2:15" ht="16.5" hidden="1" thickBot="1">
      <c r="B230" s="373" t="s">
        <v>832</v>
      </c>
      <c r="C230" s="501">
        <v>304</v>
      </c>
      <c r="D230" s="502">
        <f t="shared" ref="D230:O230" si="65">ROUND(MMULT($D15:$H15,D$218:D$222),2)</f>
        <v>555.14</v>
      </c>
      <c r="E230" s="502">
        <f t="shared" si="65"/>
        <v>555.66</v>
      </c>
      <c r="F230" s="502">
        <f t="shared" si="65"/>
        <v>555.59</v>
      </c>
      <c r="G230" s="502">
        <f t="shared" si="65"/>
        <v>556.79</v>
      </c>
      <c r="H230" s="502">
        <f t="shared" si="65"/>
        <v>575.73</v>
      </c>
      <c r="I230" s="502">
        <f t="shared" si="65"/>
        <v>586.04999999999995</v>
      </c>
      <c r="J230" s="502">
        <f t="shared" si="65"/>
        <v>587.24</v>
      </c>
      <c r="K230" s="502">
        <f t="shared" si="65"/>
        <v>590.08000000000004</v>
      </c>
      <c r="L230" s="502">
        <f t="shared" si="65"/>
        <v>591.54</v>
      </c>
      <c r="M230" s="502">
        <f t="shared" si="65"/>
        <v>613.89</v>
      </c>
      <c r="N230" s="502">
        <f t="shared" si="65"/>
        <v>616.14</v>
      </c>
      <c r="O230" s="503">
        <f t="shared" si="65"/>
        <v>616.78</v>
      </c>
    </row>
    <row r="231" spans="2:15" ht="15.75" hidden="1">
      <c r="B231" s="122" t="s">
        <v>512</v>
      </c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</row>
    <row r="232" spans="2:15" ht="15" hidden="1" thickBot="1"/>
    <row r="233" spans="2:15" ht="4.5" hidden="1" customHeight="1">
      <c r="B233" s="2639" t="s">
        <v>673</v>
      </c>
      <c r="C233" s="2792" t="s">
        <v>354</v>
      </c>
      <c r="D233" s="2706">
        <v>40179</v>
      </c>
      <c r="E233" s="2706">
        <v>40210</v>
      </c>
      <c r="F233" s="2706">
        <v>40238</v>
      </c>
      <c r="G233" s="2706">
        <v>40269</v>
      </c>
      <c r="H233" s="2706">
        <v>40299</v>
      </c>
      <c r="I233" s="2706">
        <v>40330</v>
      </c>
      <c r="J233" s="2706">
        <v>40360</v>
      </c>
      <c r="K233" s="2706">
        <v>40391</v>
      </c>
      <c r="L233" s="2706">
        <v>40422</v>
      </c>
      <c r="M233" s="2706">
        <v>40452</v>
      </c>
      <c r="N233" s="2706">
        <v>40483</v>
      </c>
      <c r="O233" s="2694">
        <v>40513</v>
      </c>
    </row>
    <row r="234" spans="2:15" ht="9" hidden="1" customHeight="1">
      <c r="B234" s="2640"/>
      <c r="C234" s="2793"/>
      <c r="D234" s="2707"/>
      <c r="E234" s="2707"/>
      <c r="F234" s="2707"/>
      <c r="G234" s="2707"/>
      <c r="H234" s="2707"/>
      <c r="I234" s="2707"/>
      <c r="J234" s="2707"/>
      <c r="K234" s="2707"/>
      <c r="L234" s="2707"/>
      <c r="M234" s="2707"/>
      <c r="N234" s="2707"/>
      <c r="O234" s="2695"/>
    </row>
    <row r="235" spans="2:15" ht="5.25" hidden="1" customHeight="1" thickBot="1">
      <c r="B235" s="2764"/>
      <c r="C235" s="2794"/>
      <c r="D235" s="2708"/>
      <c r="E235" s="2708"/>
      <c r="F235" s="2708"/>
      <c r="G235" s="2708"/>
      <c r="H235" s="2708"/>
      <c r="I235" s="2708"/>
      <c r="J235" s="2708"/>
      <c r="K235" s="2708"/>
      <c r="L235" s="2708"/>
      <c r="M235" s="2708"/>
      <c r="N235" s="2708"/>
      <c r="O235" s="2696"/>
    </row>
    <row r="236" spans="2:15" ht="15.75" hidden="1">
      <c r="B236" s="377" t="s">
        <v>809</v>
      </c>
      <c r="C236" s="464">
        <v>50</v>
      </c>
      <c r="D236" s="481">
        <f>+'TABLA FINAL '!DD70</f>
        <v>469.05</v>
      </c>
      <c r="E236" s="481">
        <f>+'TABLA FINAL '!DE70</f>
        <v>473.32</v>
      </c>
      <c r="F236" s="481">
        <f>+'TABLA FINAL '!DF70</f>
        <v>473.32</v>
      </c>
      <c r="G236" s="481">
        <f>+'TABLA FINAL '!DG70</f>
        <v>473.11</v>
      </c>
      <c r="H236" s="481">
        <f>+'TABLA FINAL '!DH70</f>
        <v>492.39</v>
      </c>
      <c r="I236" s="481">
        <f>+'TABLA FINAL '!DI70</f>
        <v>492.39</v>
      </c>
      <c r="J236" s="481">
        <f>+'TABLA FINAL '!DJ70</f>
        <v>492.39</v>
      </c>
      <c r="K236" s="481">
        <f>+'TABLA FINAL '!DK70</f>
        <v>493.11</v>
      </c>
      <c r="L236" s="481">
        <f>+'TABLA FINAL '!DL70</f>
        <v>493.11</v>
      </c>
      <c r="M236" s="481">
        <f>+'TABLA FINAL  NO'!DM75</f>
        <v>493.11</v>
      </c>
      <c r="N236" s="481">
        <f>+'TABLA FINAL  NO'!DN75</f>
        <v>509.85</v>
      </c>
      <c r="O236" s="481">
        <f>+'TABLA FINAL  NO'!DO75</f>
        <v>509.85</v>
      </c>
    </row>
    <row r="237" spans="2:15" ht="15.75" hidden="1">
      <c r="B237" s="372" t="s">
        <v>810</v>
      </c>
      <c r="C237" s="283">
        <v>19</v>
      </c>
      <c r="D237" s="140">
        <f>+'TABLA FINAL '!DD39</f>
        <v>555.9</v>
      </c>
      <c r="E237" s="140">
        <f>+'TABLA FINAL '!DE39</f>
        <v>566.79999999999995</v>
      </c>
      <c r="F237" s="140">
        <f>+'TABLA FINAL '!DF39</f>
        <v>572.9</v>
      </c>
      <c r="G237" s="140">
        <f>+'TABLA FINAL '!DG39</f>
        <v>586.5</v>
      </c>
      <c r="H237" s="140">
        <f>+'TABLA FINAL '!DH39</f>
        <v>586.5</v>
      </c>
      <c r="I237" s="140">
        <f>+'TABLA FINAL '!DI39</f>
        <v>584.70000000000005</v>
      </c>
      <c r="J237" s="140">
        <f>+'TABLA FINAL '!DJ39</f>
        <v>592.29999999999995</v>
      </c>
      <c r="K237" s="140">
        <f>+'TABLA FINAL '!DK39</f>
        <v>593.20000000000005</v>
      </c>
      <c r="L237" s="140">
        <f>+'TABLA FINAL '!DL39</f>
        <v>597.29999999999995</v>
      </c>
      <c r="M237" s="140">
        <f>+'TABLA FINAL  NO'!DM44</f>
        <v>604</v>
      </c>
      <c r="N237" s="140">
        <f>+'TABLA FINAL  NO'!DN44</f>
        <v>608.1</v>
      </c>
      <c r="O237" s="140">
        <f>+'TABLA FINAL  NO'!DO44</f>
        <v>611.79999999999995</v>
      </c>
    </row>
    <row r="238" spans="2:15" ht="15.75" hidden="1">
      <c r="B238" s="372" t="s">
        <v>811</v>
      </c>
      <c r="C238" s="283">
        <v>58</v>
      </c>
      <c r="D238" s="127">
        <f>+'TABLA FINAL '!DD78</f>
        <v>533.16</v>
      </c>
      <c r="E238" s="127">
        <f>+'TABLA FINAL '!DE78</f>
        <v>541.41999999999996</v>
      </c>
      <c r="F238" s="127">
        <f>+'TABLA FINAL '!DF78</f>
        <v>541.29</v>
      </c>
      <c r="G238" s="127">
        <f>+'TABLA FINAL '!DG78</f>
        <v>546.76</v>
      </c>
      <c r="H238" s="127">
        <f>+'TABLA FINAL '!DH78</f>
        <v>562.14</v>
      </c>
      <c r="I238" s="127">
        <f>+'TABLA FINAL '!DI78</f>
        <v>577.71</v>
      </c>
      <c r="J238" s="127">
        <f>+'TABLA FINAL '!DJ78</f>
        <v>579.42999999999995</v>
      </c>
      <c r="K238" s="127">
        <f>+'TABLA FINAL '!DK78</f>
        <v>554</v>
      </c>
      <c r="L238" s="127">
        <f>+'TABLA FINAL '!DL78</f>
        <v>556.15</v>
      </c>
      <c r="M238" s="127">
        <f>+'TABLA FINAL  NO'!DM83</f>
        <v>557.89</v>
      </c>
      <c r="N238" s="127">
        <f>+'TABLA FINAL  NO'!DN83</f>
        <v>557.91999999999996</v>
      </c>
      <c r="O238" s="127">
        <f>+'TABLA FINAL  NO'!DO83</f>
        <v>560.63</v>
      </c>
    </row>
    <row r="239" spans="2:15" ht="15.75" hidden="1">
      <c r="B239" s="372" t="s">
        <v>812</v>
      </c>
      <c r="C239" s="283">
        <v>23</v>
      </c>
      <c r="D239" s="310">
        <f>+'TABLA FINAL '!DD43</f>
        <v>506.43</v>
      </c>
      <c r="E239" s="310">
        <f>+'TABLA FINAL '!DE43</f>
        <v>511.61</v>
      </c>
      <c r="F239" s="310">
        <f>+'TABLA FINAL '!DF43</f>
        <v>511.61</v>
      </c>
      <c r="G239" s="310">
        <f>+'TABLA FINAL '!DG43</f>
        <v>517.52</v>
      </c>
      <c r="H239" s="310">
        <f>+'TABLA FINAL '!DH43</f>
        <v>523.4</v>
      </c>
      <c r="I239" s="310">
        <f>+'TABLA FINAL '!DI43</f>
        <v>531.24</v>
      </c>
      <c r="J239" s="310">
        <f>+'TABLA FINAL '!DJ43</f>
        <v>526.44000000000005</v>
      </c>
      <c r="K239" s="310">
        <f>+'TABLA FINAL '!DK43</f>
        <v>529.78</v>
      </c>
      <c r="L239" s="310">
        <f>+'TABLA FINAL '!DL43</f>
        <v>538.08000000000004</v>
      </c>
      <c r="M239" s="310">
        <f>+'TABLA FINAL  NO'!DM48</f>
        <v>543.03</v>
      </c>
      <c r="N239" s="310">
        <f>+'TABLA FINAL  NO'!DN48</f>
        <v>554.79</v>
      </c>
      <c r="O239" s="310">
        <f>+'TABLA FINAL  NO'!DO48</f>
        <v>554.77</v>
      </c>
    </row>
    <row r="240" spans="2:15" ht="15.75" hidden="1">
      <c r="B240" s="372" t="s">
        <v>834</v>
      </c>
      <c r="C240" s="283" t="s">
        <v>835</v>
      </c>
      <c r="D240" s="142">
        <f>+'TABLA FINAL '!DD5*2.2521</f>
        <v>20.404026000000002</v>
      </c>
      <c r="E240" s="142">
        <f>+'TABLA FINAL '!DE5*2.2521</f>
        <v>20.404026000000002</v>
      </c>
      <c r="F240" s="142">
        <f>+'TABLA FINAL '!DF5*2.2521+'TABLA FINAL '!DF26</f>
        <v>21.824480545454549</v>
      </c>
      <c r="G240" s="142">
        <f>+'TABLA FINAL '!DG5*2.2521+'TABLA FINAL '!DG26</f>
        <v>21.824480545454549</v>
      </c>
      <c r="H240" s="142">
        <f>+'TABLA FINAL '!DH5*2.2521+'TABLA FINAL '!DH26</f>
        <v>22.656126</v>
      </c>
      <c r="I240" s="142">
        <f>+'TABLA FINAL '!DI5*2.2521+'TABLA FINAL '!DI26</f>
        <v>22.656126</v>
      </c>
      <c r="J240" s="142">
        <f>+'TABLA FINAL '!DJ5*2.2521+'TABLA FINAL '!DJ26</f>
        <v>22.656126</v>
      </c>
      <c r="K240" s="142">
        <f>+'TABLA FINAL '!DK5*2.2521+'TABLA FINAL '!DK26</f>
        <v>24.232596000000001</v>
      </c>
      <c r="L240" s="142">
        <f>+'TABLA FINAL '!DL5*2.2521+'TABLA FINAL '!DL26</f>
        <v>24.232596000000001</v>
      </c>
      <c r="M240" s="142">
        <f>+'TABLA FINAL  NO'!DM5*2.2521+'TABLA FINAL  NO'!DL26</f>
        <v>24.232596000000001</v>
      </c>
      <c r="N240" s="142">
        <f>+'TABLA FINAL  NO'!DN5*2.2521+'TABLA FINAL  NO'!DM26</f>
        <v>24.232596000000001</v>
      </c>
      <c r="O240" s="142">
        <f>+'TABLA FINAL  NO'!DO5*2.2521+'TABLA FINAL  NO'!DN26</f>
        <v>25.921671</v>
      </c>
    </row>
    <row r="241" spans="2:15" ht="7.5" hidden="1" customHeight="1" thickBot="1">
      <c r="B241" s="373"/>
      <c r="C241" s="282"/>
      <c r="D241" s="483"/>
      <c r="E241" s="483"/>
      <c r="F241" s="483"/>
      <c r="G241" s="483"/>
      <c r="H241" s="483"/>
      <c r="I241" s="483"/>
      <c r="J241" s="483"/>
      <c r="K241" s="483"/>
      <c r="L241" s="483"/>
      <c r="M241" s="483"/>
      <c r="N241" s="380"/>
      <c r="O241" s="539"/>
    </row>
    <row r="242" spans="2:15" ht="15" hidden="1" customHeight="1" thickBot="1"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375"/>
      <c r="O242" s="132"/>
    </row>
    <row r="243" spans="2:15" ht="15.75" hidden="1">
      <c r="B243" s="2623" t="s">
        <v>675</v>
      </c>
      <c r="C243" s="486" t="s">
        <v>836</v>
      </c>
      <c r="D243" s="516">
        <f t="shared" ref="D243:J243" si="66">ROUND(+D236/$D$18,3)</f>
        <v>4.2</v>
      </c>
      <c r="E243" s="516">
        <f t="shared" si="66"/>
        <v>4.2380000000000004</v>
      </c>
      <c r="F243" s="516">
        <f>ROUND(+F236/$D$18,3)</f>
        <v>4.2380000000000004</v>
      </c>
      <c r="G243" s="516">
        <f t="shared" si="66"/>
        <v>4.2359999999999998</v>
      </c>
      <c r="H243" s="516">
        <f t="shared" si="66"/>
        <v>4.4089999999999998</v>
      </c>
      <c r="I243" s="516">
        <f t="shared" si="66"/>
        <v>4.4089999999999998</v>
      </c>
      <c r="J243" s="516">
        <f t="shared" si="66"/>
        <v>4.4089999999999998</v>
      </c>
      <c r="K243" s="516">
        <f>ROUND(+K236/$D$18,3)</f>
        <v>4.415</v>
      </c>
      <c r="L243" s="516">
        <f>ROUND(+L236/$D$18,3)</f>
        <v>4.415</v>
      </c>
      <c r="M243" s="516">
        <f>ROUND(+M236/$D$18,3)</f>
        <v>4.415</v>
      </c>
      <c r="N243" s="516">
        <f>ROUND(+N236/$D$18,3)</f>
        <v>4.5650000000000004</v>
      </c>
      <c r="O243" s="133">
        <f>ROUND(+O236/$D$18,3)</f>
        <v>4.5650000000000004</v>
      </c>
    </row>
    <row r="244" spans="2:15" ht="15.75" hidden="1">
      <c r="B244" s="2624"/>
      <c r="C244" s="489" t="s">
        <v>837</v>
      </c>
      <c r="D244" s="391">
        <f t="shared" ref="D244:J244" si="67">ROUND(+D237/$D$19,3)</f>
        <v>5.8760000000000003</v>
      </c>
      <c r="E244" s="391">
        <f t="shared" si="67"/>
        <v>5.992</v>
      </c>
      <c r="F244" s="391">
        <f>ROUND(+F237/$D$19,3)</f>
        <v>6.056</v>
      </c>
      <c r="G244" s="391">
        <f t="shared" si="67"/>
        <v>6.2</v>
      </c>
      <c r="H244" s="391">
        <f t="shared" si="67"/>
        <v>6.2</v>
      </c>
      <c r="I244" s="391">
        <f t="shared" si="67"/>
        <v>6.181</v>
      </c>
      <c r="J244" s="391">
        <f t="shared" si="67"/>
        <v>6.2610000000000001</v>
      </c>
      <c r="K244" s="391">
        <f>ROUND(+K237/$D$19,3)</f>
        <v>6.2709999999999999</v>
      </c>
      <c r="L244" s="391">
        <f>ROUND(+L237/$D$19,3)</f>
        <v>6.3140000000000001</v>
      </c>
      <c r="M244" s="391">
        <f>ROUND(+M237/$D$19,3)</f>
        <v>6.3849999999999998</v>
      </c>
      <c r="N244" s="391">
        <f>ROUND(+N237/$D$19,3)</f>
        <v>6.4279999999999999</v>
      </c>
      <c r="O244" s="520">
        <f>ROUND(+O237/$D$19,3)</f>
        <v>6.4669999999999996</v>
      </c>
    </row>
    <row r="245" spans="2:15" ht="15.75" hidden="1">
      <c r="B245" s="2624"/>
      <c r="C245" s="489" t="s">
        <v>838</v>
      </c>
      <c r="D245" s="391">
        <f t="shared" ref="D245:J245" si="68">ROUND(+D238/$D$20,3)</f>
        <v>6.2389999999999999</v>
      </c>
      <c r="E245" s="391">
        <f t="shared" si="68"/>
        <v>6.335</v>
      </c>
      <c r="F245" s="391">
        <f>ROUND(+F238/$D$20,3)</f>
        <v>6.3339999999999996</v>
      </c>
      <c r="G245" s="391">
        <f t="shared" si="68"/>
        <v>6.3979999999999997</v>
      </c>
      <c r="H245" s="391">
        <f t="shared" si="68"/>
        <v>6.5780000000000003</v>
      </c>
      <c r="I245" s="391">
        <f t="shared" si="68"/>
        <v>6.76</v>
      </c>
      <c r="J245" s="391">
        <f t="shared" si="68"/>
        <v>6.78</v>
      </c>
      <c r="K245" s="391">
        <f>ROUND(+K238/$D$20,3)</f>
        <v>6.4829999999999997</v>
      </c>
      <c r="L245" s="391">
        <f>ROUND(+L238/$D$20,3)</f>
        <v>6.508</v>
      </c>
      <c r="M245" s="391">
        <f>ROUND(+M238/$D$20,3)</f>
        <v>6.5279999999999996</v>
      </c>
      <c r="N245" s="391">
        <f>ROUND(+N238/$D$20,3)</f>
        <v>6.5279999999999996</v>
      </c>
      <c r="O245" s="520">
        <f>ROUND(+O238/$D$20,3)</f>
        <v>6.56</v>
      </c>
    </row>
    <row r="246" spans="2:15" ht="15.75" hidden="1">
      <c r="B246" s="2624"/>
      <c r="C246" s="489" t="s">
        <v>839</v>
      </c>
      <c r="D246" s="391">
        <f t="shared" ref="D246:J246" si="69">ROUND(+D239/$D$21,3)</f>
        <v>5.6840000000000002</v>
      </c>
      <c r="E246" s="391">
        <f t="shared" si="69"/>
        <v>5.742</v>
      </c>
      <c r="F246" s="391">
        <f>ROUND(+F239/$D$21,3)</f>
        <v>5.742</v>
      </c>
      <c r="G246" s="391">
        <f t="shared" si="69"/>
        <v>5.8079999999999998</v>
      </c>
      <c r="H246" s="391">
        <f t="shared" si="69"/>
        <v>5.8739999999999997</v>
      </c>
      <c r="I246" s="391">
        <f t="shared" si="69"/>
        <v>5.9619999999999997</v>
      </c>
      <c r="J246" s="391">
        <f t="shared" si="69"/>
        <v>5.9080000000000004</v>
      </c>
      <c r="K246" s="391">
        <f>ROUND(+K239/$D$21,3)</f>
        <v>5.9459999999999997</v>
      </c>
      <c r="L246" s="391">
        <f>ROUND(+L239/$D$21,3)</f>
        <v>6.0389999999999997</v>
      </c>
      <c r="M246" s="391">
        <f>ROUND(+M239/$D$21,3)</f>
        <v>6.0949999999999998</v>
      </c>
      <c r="N246" s="391">
        <f>ROUND(+N239/$D$21,3)</f>
        <v>6.2270000000000003</v>
      </c>
      <c r="O246" s="520">
        <f>ROUND(+O239/$D$21,3)</f>
        <v>6.226</v>
      </c>
    </row>
    <row r="247" spans="2:15" ht="16.5" hidden="1" thickBot="1">
      <c r="B247" s="2625"/>
      <c r="C247" s="492" t="s">
        <v>677</v>
      </c>
      <c r="D247" s="685">
        <f t="shared" ref="D247:J247" si="70">ROUND(+D240/$D$22,3)</f>
        <v>7.758</v>
      </c>
      <c r="E247" s="685">
        <f t="shared" si="70"/>
        <v>7.758</v>
      </c>
      <c r="F247" s="685">
        <f>ROUND(+F240/$D$22,3)</f>
        <v>8.298</v>
      </c>
      <c r="G247" s="685">
        <f t="shared" si="70"/>
        <v>8.298</v>
      </c>
      <c r="H247" s="685">
        <f t="shared" si="70"/>
        <v>8.6140000000000008</v>
      </c>
      <c r="I247" s="685">
        <f t="shared" si="70"/>
        <v>8.6140000000000008</v>
      </c>
      <c r="J247" s="685">
        <f t="shared" si="70"/>
        <v>8.6140000000000008</v>
      </c>
      <c r="K247" s="685">
        <f>ROUND(+K240/$D$22,3)</f>
        <v>9.2140000000000004</v>
      </c>
      <c r="L247" s="685">
        <f>ROUND(+L240/$D$22,3)</f>
        <v>9.2140000000000004</v>
      </c>
      <c r="M247" s="685">
        <f>ROUND(+M240/$D$22,3)</f>
        <v>9.2140000000000004</v>
      </c>
      <c r="N247" s="685">
        <f>ROUND(+N240/$D$22,3)</f>
        <v>9.2140000000000004</v>
      </c>
      <c r="O247" s="686">
        <f>ROUND(+O240/$D$22,3)</f>
        <v>9.8559999999999999</v>
      </c>
    </row>
    <row r="248" spans="2:15" ht="16.5" hidden="1" thickBot="1">
      <c r="B248" s="132"/>
      <c r="C248" s="363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375"/>
      <c r="O248" s="132"/>
    </row>
    <row r="249" spans="2:15" ht="3" hidden="1" customHeight="1">
      <c r="B249" s="2639" t="s">
        <v>860</v>
      </c>
      <c r="C249" s="2792" t="s">
        <v>354</v>
      </c>
      <c r="D249" s="2706">
        <v>40179</v>
      </c>
      <c r="E249" s="2706">
        <v>40210</v>
      </c>
      <c r="F249" s="2706">
        <v>40238</v>
      </c>
      <c r="G249" s="2706">
        <v>40269</v>
      </c>
      <c r="H249" s="2706">
        <v>40299</v>
      </c>
      <c r="I249" s="2706">
        <v>40330</v>
      </c>
      <c r="J249" s="2706">
        <v>40360</v>
      </c>
      <c r="K249" s="2706">
        <v>40391</v>
      </c>
      <c r="L249" s="2706">
        <v>40422</v>
      </c>
      <c r="M249" s="2706">
        <v>40452</v>
      </c>
      <c r="N249" s="2706">
        <v>40483</v>
      </c>
      <c r="O249" s="2694">
        <v>40513</v>
      </c>
    </row>
    <row r="250" spans="2:15" ht="7.5" hidden="1" customHeight="1">
      <c r="B250" s="2640"/>
      <c r="C250" s="2793"/>
      <c r="D250" s="2707"/>
      <c r="E250" s="2707"/>
      <c r="F250" s="2707"/>
      <c r="G250" s="2707"/>
      <c r="H250" s="2707"/>
      <c r="I250" s="2707"/>
      <c r="J250" s="2707"/>
      <c r="K250" s="2707"/>
      <c r="L250" s="2707"/>
      <c r="M250" s="2707"/>
      <c r="N250" s="2707"/>
      <c r="O250" s="2695"/>
    </row>
    <row r="251" spans="2:15" ht="8.25" hidden="1" customHeight="1" thickBot="1">
      <c r="B251" s="2764"/>
      <c r="C251" s="2794"/>
      <c r="D251" s="2708"/>
      <c r="E251" s="2708"/>
      <c r="F251" s="2708"/>
      <c r="G251" s="2708"/>
      <c r="H251" s="2708"/>
      <c r="I251" s="2708"/>
      <c r="J251" s="2708"/>
      <c r="K251" s="2708"/>
      <c r="L251" s="2708"/>
      <c r="M251" s="2708"/>
      <c r="N251" s="2708"/>
      <c r="O251" s="2696"/>
    </row>
    <row r="252" spans="2:15" ht="15.75" hidden="1">
      <c r="B252" s="377" t="s">
        <v>820</v>
      </c>
      <c r="C252" s="495">
        <v>301</v>
      </c>
      <c r="D252" s="496">
        <f t="shared" ref="D252:O252" si="71">ROUND(MMULT($D12:$H12,D$243:D$247),2)</f>
        <v>549.41</v>
      </c>
      <c r="E252" s="496">
        <f t="shared" si="71"/>
        <v>555.22</v>
      </c>
      <c r="F252" s="496">
        <f t="shared" si="71"/>
        <v>565.38</v>
      </c>
      <c r="G252" s="496">
        <f t="shared" si="71"/>
        <v>569.91999999999996</v>
      </c>
      <c r="H252" s="496">
        <f t="shared" si="71"/>
        <v>584.57000000000005</v>
      </c>
      <c r="I252" s="496">
        <f t="shared" si="71"/>
        <v>586.64</v>
      </c>
      <c r="J252" s="496">
        <f t="shared" si="71"/>
        <v>588.33000000000004</v>
      </c>
      <c r="K252" s="496">
        <f t="shared" si="71"/>
        <v>595.76</v>
      </c>
      <c r="L252" s="496">
        <f t="shared" si="71"/>
        <v>597.78</v>
      </c>
      <c r="M252" s="496">
        <f t="shared" si="71"/>
        <v>600.13</v>
      </c>
      <c r="N252" s="496">
        <f t="shared" si="71"/>
        <v>608.52</v>
      </c>
      <c r="O252" s="497">
        <f t="shared" si="71"/>
        <v>620.04</v>
      </c>
    </row>
    <row r="253" spans="2:15" ht="15.75" hidden="1">
      <c r="B253" s="372" t="s">
        <v>827</v>
      </c>
      <c r="C253" s="281">
        <v>302</v>
      </c>
      <c r="D253" s="498">
        <f t="shared" ref="D253:O253" si="72">ROUND(MMULT($D13:$H13,D$243:D$247),2)</f>
        <v>551.16999999999996</v>
      </c>
      <c r="E253" s="498">
        <f t="shared" si="72"/>
        <v>556.57000000000005</v>
      </c>
      <c r="F253" s="498">
        <f t="shared" si="72"/>
        <v>568.23</v>
      </c>
      <c r="G253" s="498">
        <f t="shared" si="72"/>
        <v>572.29</v>
      </c>
      <c r="H253" s="498">
        <f t="shared" si="72"/>
        <v>587.79999999999995</v>
      </c>
      <c r="I253" s="498">
        <f t="shared" si="72"/>
        <v>589.46</v>
      </c>
      <c r="J253" s="498">
        <f t="shared" si="72"/>
        <v>591</v>
      </c>
      <c r="K253" s="498">
        <f t="shared" si="72"/>
        <v>600.77</v>
      </c>
      <c r="L253" s="498">
        <f t="shared" si="72"/>
        <v>602.57000000000005</v>
      </c>
      <c r="M253" s="498">
        <f t="shared" si="72"/>
        <v>604.69000000000005</v>
      </c>
      <c r="N253" s="498">
        <f t="shared" si="72"/>
        <v>613.16</v>
      </c>
      <c r="O253" s="499">
        <f t="shared" si="72"/>
        <v>626.46</v>
      </c>
    </row>
    <row r="254" spans="2:15" ht="15.75" hidden="1">
      <c r="B254" s="372" t="s">
        <v>828</v>
      </c>
      <c r="C254" s="281">
        <v>303</v>
      </c>
      <c r="D254" s="500">
        <f t="shared" ref="D254:O254" si="73">ROUND(MMULT($D14:$H14,D$243:D$247),2)</f>
        <v>574.98</v>
      </c>
      <c r="E254" s="500">
        <f t="shared" si="73"/>
        <v>580.49</v>
      </c>
      <c r="F254" s="500">
        <f t="shared" si="73"/>
        <v>593.51</v>
      </c>
      <c r="G254" s="500">
        <f t="shared" si="73"/>
        <v>597.65</v>
      </c>
      <c r="H254" s="500">
        <f t="shared" si="73"/>
        <v>614.24</v>
      </c>
      <c r="I254" s="500">
        <f t="shared" si="73"/>
        <v>617.70000000000005</v>
      </c>
      <c r="J254" s="500">
        <f t="shared" si="73"/>
        <v>619.04999999999995</v>
      </c>
      <c r="K254" s="500">
        <f t="shared" si="73"/>
        <v>627.89</v>
      </c>
      <c r="L254" s="500">
        <f t="shared" si="73"/>
        <v>629.83000000000004</v>
      </c>
      <c r="M254" s="500">
        <f t="shared" si="73"/>
        <v>631.9</v>
      </c>
      <c r="N254" s="500">
        <f t="shared" si="73"/>
        <v>638.98</v>
      </c>
      <c r="O254" s="499">
        <f t="shared" si="73"/>
        <v>654.34</v>
      </c>
    </row>
    <row r="255" spans="2:15" ht="16.5" hidden="1" thickBot="1">
      <c r="B255" s="373" t="s">
        <v>832</v>
      </c>
      <c r="C255" s="501">
        <v>304</v>
      </c>
      <c r="D255" s="502">
        <f t="shared" ref="D255:O255" si="74">ROUND(MMULT($D15:$H15,D$243:D$247),2)</f>
        <v>622.28</v>
      </c>
      <c r="E255" s="502">
        <f t="shared" si="74"/>
        <v>624.98</v>
      </c>
      <c r="F255" s="502">
        <f t="shared" si="74"/>
        <v>650.35</v>
      </c>
      <c r="G255" s="502">
        <f t="shared" si="74"/>
        <v>651.66</v>
      </c>
      <c r="H255" s="502">
        <f t="shared" si="74"/>
        <v>674.23</v>
      </c>
      <c r="I255" s="502">
        <f t="shared" si="74"/>
        <v>676.73</v>
      </c>
      <c r="J255" s="502">
        <f t="shared" si="74"/>
        <v>676.12</v>
      </c>
      <c r="K255" s="502">
        <f t="shared" si="74"/>
        <v>702.96</v>
      </c>
      <c r="L255" s="502">
        <f t="shared" si="74"/>
        <v>704.44</v>
      </c>
      <c r="M255" s="502">
        <f t="shared" si="74"/>
        <v>705.36</v>
      </c>
      <c r="N255" s="502">
        <f t="shared" si="74"/>
        <v>712.01</v>
      </c>
      <c r="O255" s="503">
        <f t="shared" si="74"/>
        <v>742.4</v>
      </c>
    </row>
    <row r="256" spans="2:15" ht="15.75" hidden="1">
      <c r="B256" s="122" t="s">
        <v>512</v>
      </c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</row>
    <row r="257" spans="2:15" hidden="1"/>
    <row r="258" spans="2:15" ht="15" hidden="1" thickBot="1"/>
    <row r="259" spans="2:15" ht="4.5" hidden="1" customHeight="1">
      <c r="B259" s="2639" t="s">
        <v>673</v>
      </c>
      <c r="C259" s="2792" t="s">
        <v>354</v>
      </c>
      <c r="D259" s="2706">
        <v>40544</v>
      </c>
      <c r="E259" s="2706">
        <v>40575</v>
      </c>
      <c r="F259" s="2706">
        <v>40603</v>
      </c>
      <c r="G259" s="2706">
        <v>40634</v>
      </c>
      <c r="H259" s="2706">
        <v>40664</v>
      </c>
      <c r="I259" s="2706">
        <v>40695</v>
      </c>
      <c r="J259" s="2706">
        <v>40725</v>
      </c>
      <c r="K259" s="2706">
        <v>40756</v>
      </c>
      <c r="L259" s="2706">
        <v>40787</v>
      </c>
      <c r="M259" s="2706">
        <v>40817</v>
      </c>
      <c r="N259" s="2706">
        <v>40848</v>
      </c>
      <c r="O259" s="2694">
        <v>40878</v>
      </c>
    </row>
    <row r="260" spans="2:15" ht="9" hidden="1" customHeight="1">
      <c r="B260" s="2640"/>
      <c r="C260" s="2793"/>
      <c r="D260" s="2707"/>
      <c r="E260" s="2707"/>
      <c r="F260" s="2707"/>
      <c r="G260" s="2707"/>
      <c r="H260" s="2707"/>
      <c r="I260" s="2707"/>
      <c r="J260" s="2707"/>
      <c r="K260" s="2707"/>
      <c r="L260" s="2707"/>
      <c r="M260" s="2707"/>
      <c r="N260" s="2707"/>
      <c r="O260" s="2695"/>
    </row>
    <row r="261" spans="2:15" ht="5.25" hidden="1" customHeight="1" thickBot="1">
      <c r="B261" s="2764"/>
      <c r="C261" s="2794"/>
      <c r="D261" s="2708"/>
      <c r="E261" s="2708"/>
      <c r="F261" s="2708"/>
      <c r="G261" s="2708"/>
      <c r="H261" s="2708"/>
      <c r="I261" s="2708"/>
      <c r="J261" s="2708"/>
      <c r="K261" s="2708"/>
      <c r="L261" s="2708"/>
      <c r="M261" s="2708"/>
      <c r="N261" s="2708"/>
      <c r="O261" s="2696"/>
    </row>
    <row r="262" spans="2:15" ht="15.75" hidden="1">
      <c r="B262" s="377" t="s">
        <v>809</v>
      </c>
      <c r="C262" s="464">
        <v>50</v>
      </c>
      <c r="D262" s="481">
        <f>+'TABLA FINAL  NO'!DP75</f>
        <v>509.85</v>
      </c>
      <c r="E262" s="481">
        <f>+'TABLA FINAL  NO'!DQ75</f>
        <v>525.39</v>
      </c>
      <c r="F262" s="481">
        <f>+'TABLA FINAL  NO'!DR75</f>
        <v>529.62</v>
      </c>
      <c r="G262" s="481">
        <f>+'TABLA FINAL  NO'!DS75</f>
        <v>529.62</v>
      </c>
      <c r="H262" s="481">
        <f>+'TABLA FINAL  NO'!DT75</f>
        <v>538.66999999999996</v>
      </c>
      <c r="I262" s="481">
        <f>+'TABLA FINAL  NO'!DU75</f>
        <v>550.15</v>
      </c>
      <c r="J262" s="481">
        <f>+'TABLA FINAL  NO'!DV75</f>
        <v>551.14</v>
      </c>
      <c r="K262" s="481">
        <f>+'TABLA FINAL  NO'!DW75</f>
        <v>551.53</v>
      </c>
      <c r="L262" s="481">
        <f>+'TABLA FINAL  NO'!DX75</f>
        <v>551.53</v>
      </c>
      <c r="M262" s="481">
        <f>+'TABLA FINAL  NO'!DY75</f>
        <v>552.36</v>
      </c>
      <c r="N262" s="481">
        <f>+'TABLA FINAL  NO'!DZ75</f>
        <v>553.51</v>
      </c>
      <c r="O262" s="482">
        <f>+'TABLA FINAL  NO'!EA75</f>
        <v>575.30999999999995</v>
      </c>
    </row>
    <row r="263" spans="2:15" ht="15.75" hidden="1">
      <c r="B263" s="372" t="s">
        <v>810</v>
      </c>
      <c r="C263" s="283">
        <v>19</v>
      </c>
      <c r="D263" s="140">
        <f>+'TABLA FINAL  NO'!DP44</f>
        <v>614.20000000000005</v>
      </c>
      <c r="E263" s="140">
        <f>+'TABLA FINAL  NO'!DQ44</f>
        <v>614.20000000000005</v>
      </c>
      <c r="F263" s="140">
        <f>+'TABLA FINAL  NO'!DR44</f>
        <v>616.20000000000005</v>
      </c>
      <c r="G263" s="140">
        <f>+'TABLA FINAL  NO'!DS44</f>
        <v>625.70000000000005</v>
      </c>
      <c r="H263" s="140">
        <f>+'TABLA FINAL  NO'!DT44</f>
        <v>628.29999999999995</v>
      </c>
      <c r="I263" s="140">
        <f>+'TABLA FINAL  NO'!DU44</f>
        <v>629.79999999999995</v>
      </c>
      <c r="J263" s="140">
        <f>+'TABLA FINAL  NO'!DV44</f>
        <v>635.6</v>
      </c>
      <c r="K263" s="140">
        <f>+'TABLA FINAL  NO'!DW44</f>
        <v>643.6</v>
      </c>
      <c r="L263" s="140">
        <f>+'TABLA FINAL  NO'!DX44</f>
        <v>644.9</v>
      </c>
      <c r="M263" s="140">
        <f>+'TABLA FINAL  NO'!DY44</f>
        <v>648.1</v>
      </c>
      <c r="N263" s="140">
        <f>+'TABLA FINAL  NO'!DZ44</f>
        <v>651.5</v>
      </c>
      <c r="O263" s="141">
        <f>+'TABLA FINAL  NO'!EA44</f>
        <v>657.2</v>
      </c>
    </row>
    <row r="264" spans="2:15" ht="15.75" hidden="1">
      <c r="B264" s="372" t="s">
        <v>811</v>
      </c>
      <c r="C264" s="283">
        <v>58</v>
      </c>
      <c r="D264" s="127">
        <f>+'TABLA FINAL  NO'!DP83</f>
        <v>562.08000000000004</v>
      </c>
      <c r="E264" s="127">
        <f>+'TABLA FINAL  NO'!DQ83</f>
        <v>562.24</v>
      </c>
      <c r="F264" s="127">
        <f>+'TABLA FINAL  NO'!DR83</f>
        <v>568.03</v>
      </c>
      <c r="G264" s="127">
        <f>+'TABLA FINAL  NO'!DS83</f>
        <v>572.91999999999996</v>
      </c>
      <c r="H264" s="127">
        <f>+'TABLA FINAL  NO'!DT83</f>
        <v>578.1</v>
      </c>
      <c r="I264" s="127">
        <f>+'TABLA FINAL  NO'!DU83</f>
        <v>583.58000000000004</v>
      </c>
      <c r="J264" s="127">
        <f>+'TABLA FINAL  NO'!DV83</f>
        <v>586.09</v>
      </c>
      <c r="K264" s="127">
        <f>+'TABLA FINAL  NO'!DW83</f>
        <v>599.38</v>
      </c>
      <c r="L264" s="127">
        <f>+'TABLA FINAL  NO'!DX83</f>
        <v>603.35</v>
      </c>
      <c r="M264" s="127">
        <f>+'TABLA FINAL  NO'!DY83</f>
        <v>605.51</v>
      </c>
      <c r="N264" s="127">
        <f>+'TABLA FINAL  NO'!DZ83</f>
        <v>603.41999999999996</v>
      </c>
      <c r="O264" s="130">
        <f>+'TABLA FINAL  NO'!EA83</f>
        <v>603.75</v>
      </c>
    </row>
    <row r="265" spans="2:15" ht="15.75" hidden="1">
      <c r="B265" s="372" t="s">
        <v>812</v>
      </c>
      <c r="C265" s="283">
        <v>23</v>
      </c>
      <c r="D265" s="310">
        <f>+'TABLA FINAL  NO'!DP48</f>
        <v>564.36</v>
      </c>
      <c r="E265" s="310">
        <f>+'TABLA FINAL  NO'!DQ48</f>
        <v>570.04999999999995</v>
      </c>
      <c r="F265" s="310">
        <f>+'TABLA FINAL  NO'!DR48</f>
        <v>572.54999999999995</v>
      </c>
      <c r="G265" s="310">
        <f>+'TABLA FINAL  NO'!DS48</f>
        <v>580.92999999999995</v>
      </c>
      <c r="H265" s="310">
        <f>+'TABLA FINAL  NO'!DT48</f>
        <v>596.22</v>
      </c>
      <c r="I265" s="310">
        <f>+'TABLA FINAL  NO'!DU48</f>
        <v>618.82000000000005</v>
      </c>
      <c r="J265" s="310">
        <f>+'TABLA FINAL  NO'!DV48</f>
        <v>622.23</v>
      </c>
      <c r="K265" s="310">
        <f>+'TABLA FINAL  NO'!DW48</f>
        <v>628.28</v>
      </c>
      <c r="L265" s="310">
        <f>+'TABLA FINAL  NO'!DX48</f>
        <v>636.62</v>
      </c>
      <c r="M265" s="310">
        <f>+'TABLA FINAL  NO'!DY48</f>
        <v>642.88</v>
      </c>
      <c r="N265" s="310">
        <f>+'TABLA FINAL  NO'!DZ48</f>
        <v>646.86</v>
      </c>
      <c r="O265" s="130">
        <f>+'TABLA FINAL  NO'!EA48</f>
        <v>654.12</v>
      </c>
    </row>
    <row r="266" spans="2:15" ht="15.75" hidden="1">
      <c r="B266" s="372" t="s">
        <v>834</v>
      </c>
      <c r="C266" s="283" t="s">
        <v>835</v>
      </c>
      <c r="D266" s="142">
        <f>+'TABLA FINAL  NO'!DP5*2.2521</f>
        <v>25.921671</v>
      </c>
      <c r="E266" s="142">
        <f>+'TABLA FINAL  NO'!DQ5*2.2521</f>
        <v>25.921671</v>
      </c>
      <c r="F266" s="142">
        <f>+'TABLA FINAL  NO'!DR5*2.2521</f>
        <v>25.921671</v>
      </c>
      <c r="G266" s="142">
        <f>+'TABLA FINAL  NO'!DS5*2.2521</f>
        <v>29.029569000000002</v>
      </c>
      <c r="H266" s="142">
        <f>+'TABLA FINAL  NO'!DT5*2.2521</f>
        <v>29.029569000000002</v>
      </c>
      <c r="I266" s="142">
        <f>+'TABLA FINAL  NO'!DU5*2.2521</f>
        <v>29.029569000000002</v>
      </c>
      <c r="J266" s="142">
        <f>+'TABLA FINAL  NO'!DV5*2.2521</f>
        <v>29.029569000000002</v>
      </c>
      <c r="K266" s="142">
        <f>+'TABLA FINAL  NO'!DW5*2.2521</f>
        <v>30.763686</v>
      </c>
      <c r="L266" s="142">
        <f>+'TABLA FINAL  NO'!DX5*2.2521</f>
        <v>30.763686</v>
      </c>
      <c r="M266" s="142">
        <f>+'TABLA FINAL  NO'!DY5*2.2521</f>
        <v>30.763686</v>
      </c>
      <c r="N266" s="142">
        <f>+'TABLA FINAL  NO'!DZ5*2.2521</f>
        <v>32.610408</v>
      </c>
      <c r="O266" s="288">
        <f>+'TABLA FINAL  NO'!EA5*2.2521</f>
        <v>32.610408</v>
      </c>
    </row>
    <row r="267" spans="2:15" ht="7.5" hidden="1" customHeight="1" thickBot="1">
      <c r="B267" s="373"/>
      <c r="C267" s="282"/>
      <c r="D267" s="483"/>
      <c r="E267" s="483"/>
      <c r="F267" s="483"/>
      <c r="G267" s="483"/>
      <c r="H267" s="483"/>
      <c r="I267" s="483"/>
      <c r="J267" s="483"/>
      <c r="K267" s="483"/>
      <c r="L267" s="483"/>
      <c r="M267" s="483"/>
      <c r="N267" s="380"/>
      <c r="O267" s="539"/>
    </row>
    <row r="268" spans="2:15" ht="15" hidden="1" customHeight="1" thickBot="1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375"/>
      <c r="O268" s="132"/>
    </row>
    <row r="269" spans="2:15" ht="15.75" hidden="1">
      <c r="B269" s="2623" t="s">
        <v>675</v>
      </c>
      <c r="C269" s="486" t="s">
        <v>836</v>
      </c>
      <c r="D269" s="516">
        <f t="shared" ref="D269:O269" si="75">ROUND(+D262/$D$18,3)</f>
        <v>4.5650000000000004</v>
      </c>
      <c r="E269" s="516">
        <f t="shared" si="75"/>
        <v>4.7039999999999997</v>
      </c>
      <c r="F269" s="516">
        <f t="shared" si="75"/>
        <v>4.742</v>
      </c>
      <c r="G269" s="516">
        <f t="shared" si="75"/>
        <v>4.742</v>
      </c>
      <c r="H269" s="516">
        <f t="shared" si="75"/>
        <v>4.8230000000000004</v>
      </c>
      <c r="I269" s="516">
        <f t="shared" si="75"/>
        <v>4.9260000000000002</v>
      </c>
      <c r="J269" s="516">
        <f t="shared" si="75"/>
        <v>4.9349999999999996</v>
      </c>
      <c r="K269" s="516">
        <f t="shared" si="75"/>
        <v>4.9379999999999997</v>
      </c>
      <c r="L269" s="516">
        <f t="shared" si="75"/>
        <v>4.9379999999999997</v>
      </c>
      <c r="M269" s="516">
        <f t="shared" si="75"/>
        <v>4.9459999999999997</v>
      </c>
      <c r="N269" s="516">
        <f t="shared" si="75"/>
        <v>4.9560000000000004</v>
      </c>
      <c r="O269" s="133">
        <f t="shared" si="75"/>
        <v>5.1509999999999998</v>
      </c>
    </row>
    <row r="270" spans="2:15" ht="15.75" hidden="1">
      <c r="B270" s="2624"/>
      <c r="C270" s="489" t="s">
        <v>837</v>
      </c>
      <c r="D270" s="391">
        <f t="shared" ref="D270:O270" si="76">ROUND(+D263/$D$19,3)</f>
        <v>6.4930000000000003</v>
      </c>
      <c r="E270" s="391">
        <f t="shared" si="76"/>
        <v>6.4930000000000003</v>
      </c>
      <c r="F270" s="391">
        <f t="shared" si="76"/>
        <v>6.5140000000000002</v>
      </c>
      <c r="G270" s="391">
        <f t="shared" si="76"/>
        <v>6.6139999999999999</v>
      </c>
      <c r="H270" s="391">
        <f t="shared" si="76"/>
        <v>6.6420000000000003</v>
      </c>
      <c r="I270" s="391">
        <f t="shared" si="76"/>
        <v>6.6580000000000004</v>
      </c>
      <c r="J270" s="391">
        <f t="shared" si="76"/>
        <v>6.7190000000000003</v>
      </c>
      <c r="K270" s="391">
        <f t="shared" si="76"/>
        <v>6.8029999999999999</v>
      </c>
      <c r="L270" s="391">
        <f t="shared" si="76"/>
        <v>6.8170000000000002</v>
      </c>
      <c r="M270" s="391">
        <f t="shared" si="76"/>
        <v>6.851</v>
      </c>
      <c r="N270" s="391">
        <f t="shared" si="76"/>
        <v>6.8869999999999996</v>
      </c>
      <c r="O270" s="520">
        <f t="shared" si="76"/>
        <v>6.9470000000000001</v>
      </c>
    </row>
    <row r="271" spans="2:15" ht="15.75" hidden="1">
      <c r="B271" s="2624"/>
      <c r="C271" s="489" t="s">
        <v>838</v>
      </c>
      <c r="D271" s="391">
        <f t="shared" ref="D271:O271" si="77">ROUND(+D264/$D$20,3)</f>
        <v>6.577</v>
      </c>
      <c r="E271" s="391">
        <f t="shared" si="77"/>
        <v>6.5789999999999997</v>
      </c>
      <c r="F271" s="391">
        <f t="shared" si="77"/>
        <v>6.6470000000000002</v>
      </c>
      <c r="G271" s="391">
        <f t="shared" si="77"/>
        <v>6.7039999999999997</v>
      </c>
      <c r="H271" s="391">
        <f t="shared" si="77"/>
        <v>6.7649999999999997</v>
      </c>
      <c r="I271" s="391">
        <f t="shared" si="77"/>
        <v>6.8289999999999997</v>
      </c>
      <c r="J271" s="391">
        <f t="shared" si="77"/>
        <v>6.8579999999999997</v>
      </c>
      <c r="K271" s="391">
        <f t="shared" si="77"/>
        <v>7.0140000000000002</v>
      </c>
      <c r="L271" s="391">
        <f t="shared" si="77"/>
        <v>7.06</v>
      </c>
      <c r="M271" s="391">
        <f t="shared" si="77"/>
        <v>7.085</v>
      </c>
      <c r="N271" s="391">
        <f t="shared" si="77"/>
        <v>7.0609999999999999</v>
      </c>
      <c r="O271" s="520">
        <f t="shared" si="77"/>
        <v>7.0650000000000004</v>
      </c>
    </row>
    <row r="272" spans="2:15" ht="15.75" hidden="1">
      <c r="B272" s="2624"/>
      <c r="C272" s="489" t="s">
        <v>839</v>
      </c>
      <c r="D272" s="391">
        <f t="shared" ref="D272:O272" si="78">ROUND(+D265/$D$21,3)</f>
        <v>6.3339999999999996</v>
      </c>
      <c r="E272" s="391">
        <f t="shared" si="78"/>
        <v>6.3979999999999997</v>
      </c>
      <c r="F272" s="391">
        <f t="shared" si="78"/>
        <v>6.4260000000000002</v>
      </c>
      <c r="G272" s="391">
        <f t="shared" si="78"/>
        <v>6.52</v>
      </c>
      <c r="H272" s="391">
        <f t="shared" si="78"/>
        <v>6.6920000000000002</v>
      </c>
      <c r="I272" s="391">
        <f t="shared" si="78"/>
        <v>6.9450000000000003</v>
      </c>
      <c r="J272" s="391">
        <f t="shared" si="78"/>
        <v>6.984</v>
      </c>
      <c r="K272" s="391">
        <f t="shared" si="78"/>
        <v>7.0510000000000002</v>
      </c>
      <c r="L272" s="391">
        <f t="shared" si="78"/>
        <v>7.1449999999999996</v>
      </c>
      <c r="M272" s="391">
        <f t="shared" si="78"/>
        <v>7.2149999999999999</v>
      </c>
      <c r="N272" s="391">
        <f t="shared" si="78"/>
        <v>7.26</v>
      </c>
      <c r="O272" s="520">
        <f t="shared" si="78"/>
        <v>7.3410000000000002</v>
      </c>
    </row>
    <row r="273" spans="2:15" ht="16.5" hidden="1" thickBot="1">
      <c r="B273" s="2625"/>
      <c r="C273" s="492" t="s">
        <v>677</v>
      </c>
      <c r="D273" s="685">
        <f t="shared" ref="D273:O273" si="79">ROUND(+D266/$D$22,3)</f>
        <v>9.8559999999999999</v>
      </c>
      <c r="E273" s="685">
        <f t="shared" si="79"/>
        <v>9.8559999999999999</v>
      </c>
      <c r="F273" s="685">
        <f t="shared" si="79"/>
        <v>9.8559999999999999</v>
      </c>
      <c r="G273" s="685">
        <f t="shared" si="79"/>
        <v>11.038</v>
      </c>
      <c r="H273" s="685">
        <f t="shared" si="79"/>
        <v>11.038</v>
      </c>
      <c r="I273" s="685">
        <f t="shared" si="79"/>
        <v>11.038</v>
      </c>
      <c r="J273" s="685">
        <f t="shared" si="79"/>
        <v>11.038</v>
      </c>
      <c r="K273" s="685">
        <f t="shared" si="79"/>
        <v>11.696999999999999</v>
      </c>
      <c r="L273" s="685">
        <f t="shared" si="79"/>
        <v>11.696999999999999</v>
      </c>
      <c r="M273" s="685">
        <f t="shared" si="79"/>
        <v>11.696999999999999</v>
      </c>
      <c r="N273" s="685">
        <f t="shared" si="79"/>
        <v>12.398999999999999</v>
      </c>
      <c r="O273" s="686">
        <f t="shared" si="79"/>
        <v>12.398999999999999</v>
      </c>
    </row>
    <row r="274" spans="2:15" ht="16.5" hidden="1" thickBot="1">
      <c r="B274" s="132"/>
      <c r="C274" s="363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375"/>
      <c r="O274" s="132"/>
    </row>
    <row r="275" spans="2:15" ht="3" hidden="1" customHeight="1">
      <c r="B275" s="2639" t="s">
        <v>860</v>
      </c>
      <c r="C275" s="2792" t="s">
        <v>354</v>
      </c>
      <c r="D275" s="2706">
        <v>40544</v>
      </c>
      <c r="E275" s="2706">
        <v>40575</v>
      </c>
      <c r="F275" s="2706">
        <v>40603</v>
      </c>
      <c r="G275" s="2706">
        <v>40634</v>
      </c>
      <c r="H275" s="2706">
        <v>40664</v>
      </c>
      <c r="I275" s="2706">
        <v>40695</v>
      </c>
      <c r="J275" s="2706">
        <v>40725</v>
      </c>
      <c r="K275" s="2706">
        <v>40756</v>
      </c>
      <c r="L275" s="2706">
        <v>40787</v>
      </c>
      <c r="M275" s="2706">
        <v>40817</v>
      </c>
      <c r="N275" s="2706">
        <v>40848</v>
      </c>
      <c r="O275" s="2694">
        <v>40878</v>
      </c>
    </row>
    <row r="276" spans="2:15" ht="7.5" hidden="1" customHeight="1">
      <c r="B276" s="2640"/>
      <c r="C276" s="2793"/>
      <c r="D276" s="2707"/>
      <c r="E276" s="2707"/>
      <c r="F276" s="2707"/>
      <c r="G276" s="2707"/>
      <c r="H276" s="2707"/>
      <c r="I276" s="2707"/>
      <c r="J276" s="2707"/>
      <c r="K276" s="2707"/>
      <c r="L276" s="2707"/>
      <c r="M276" s="2707"/>
      <c r="N276" s="2707"/>
      <c r="O276" s="2695"/>
    </row>
    <row r="277" spans="2:15" ht="8.25" hidden="1" customHeight="1" thickBot="1">
      <c r="B277" s="2764"/>
      <c r="C277" s="2794"/>
      <c r="D277" s="2708"/>
      <c r="E277" s="2708"/>
      <c r="F277" s="2708"/>
      <c r="G277" s="2708"/>
      <c r="H277" s="2708"/>
      <c r="I277" s="2708"/>
      <c r="J277" s="2708"/>
      <c r="K277" s="2708"/>
      <c r="L277" s="2708"/>
      <c r="M277" s="2708"/>
      <c r="N277" s="2708"/>
      <c r="O277" s="2696"/>
    </row>
    <row r="278" spans="2:15" ht="15.75" hidden="1">
      <c r="B278" s="377" t="s">
        <v>820</v>
      </c>
      <c r="C278" s="495">
        <v>301</v>
      </c>
      <c r="D278" s="496">
        <f t="shared" ref="D278:O278" si="80">ROUND(MMULT($D12:$H12,D$269:D$273),2)</f>
        <v>621.70000000000005</v>
      </c>
      <c r="E278" s="496">
        <f t="shared" si="80"/>
        <v>628.07000000000005</v>
      </c>
      <c r="F278" s="496">
        <f t="shared" si="80"/>
        <v>631.07000000000005</v>
      </c>
      <c r="G278" s="496">
        <f t="shared" si="80"/>
        <v>653.71</v>
      </c>
      <c r="H278" s="496">
        <f t="shared" si="80"/>
        <v>659.77</v>
      </c>
      <c r="I278" s="496">
        <f t="shared" si="80"/>
        <v>667.14</v>
      </c>
      <c r="J278" s="496">
        <f t="shared" si="80"/>
        <v>669.59</v>
      </c>
      <c r="K278" s="496">
        <f t="shared" si="80"/>
        <v>684.37</v>
      </c>
      <c r="L278" s="496">
        <f t="shared" si="80"/>
        <v>685.92</v>
      </c>
      <c r="M278" s="496">
        <f t="shared" si="80"/>
        <v>687.88</v>
      </c>
      <c r="N278" s="496">
        <f t="shared" si="80"/>
        <v>700.51</v>
      </c>
      <c r="O278" s="497">
        <f t="shared" si="80"/>
        <v>710.83</v>
      </c>
    </row>
    <row r="279" spans="2:15" ht="15.75" hidden="1">
      <c r="B279" s="372" t="s">
        <v>827</v>
      </c>
      <c r="C279" s="281">
        <v>302</v>
      </c>
      <c r="D279" s="498">
        <f t="shared" ref="D279:O279" si="81">ROUND(MMULT($D13:$H13,D$269:D$273),2)</f>
        <v>627.91999999999996</v>
      </c>
      <c r="E279" s="498">
        <f t="shared" si="81"/>
        <v>634.5</v>
      </c>
      <c r="F279" s="498">
        <f t="shared" si="81"/>
        <v>637.38</v>
      </c>
      <c r="G279" s="498">
        <f t="shared" si="81"/>
        <v>663.15</v>
      </c>
      <c r="H279" s="498">
        <f t="shared" si="81"/>
        <v>669.02</v>
      </c>
      <c r="I279" s="498">
        <f t="shared" si="81"/>
        <v>676.19</v>
      </c>
      <c r="J279" s="498">
        <f t="shared" si="81"/>
        <v>678.43</v>
      </c>
      <c r="K279" s="498">
        <f t="shared" si="81"/>
        <v>694.65</v>
      </c>
      <c r="L279" s="498">
        <f t="shared" si="81"/>
        <v>695.98</v>
      </c>
      <c r="M279" s="498">
        <f t="shared" si="81"/>
        <v>697.77</v>
      </c>
      <c r="N279" s="498">
        <f t="shared" si="81"/>
        <v>712.47</v>
      </c>
      <c r="O279" s="499">
        <f t="shared" si="81"/>
        <v>722.97</v>
      </c>
    </row>
    <row r="280" spans="2:15" ht="15.75" hidden="1">
      <c r="B280" s="372" t="s">
        <v>828</v>
      </c>
      <c r="C280" s="281">
        <v>303</v>
      </c>
      <c r="D280" s="500">
        <f t="shared" ref="D280:O280" si="82">ROUND(MMULT($D14:$H14,D$269:D$273),2)</f>
        <v>655.96</v>
      </c>
      <c r="E280" s="500">
        <f t="shared" si="82"/>
        <v>661.37</v>
      </c>
      <c r="F280" s="500">
        <f t="shared" si="82"/>
        <v>664.46</v>
      </c>
      <c r="G280" s="500">
        <f t="shared" si="82"/>
        <v>693.99</v>
      </c>
      <c r="H280" s="500">
        <f t="shared" si="82"/>
        <v>699.74</v>
      </c>
      <c r="I280" s="500">
        <f t="shared" si="82"/>
        <v>706.74</v>
      </c>
      <c r="J280" s="500">
        <f t="shared" si="82"/>
        <v>708.96</v>
      </c>
      <c r="K280" s="500">
        <f t="shared" si="82"/>
        <v>728.26</v>
      </c>
      <c r="L280" s="500">
        <f t="shared" si="82"/>
        <v>730.05</v>
      </c>
      <c r="M280" s="500">
        <f t="shared" si="82"/>
        <v>731.93</v>
      </c>
      <c r="N280" s="500">
        <f t="shared" si="82"/>
        <v>748.32</v>
      </c>
      <c r="O280" s="499">
        <f t="shared" si="82"/>
        <v>756.94</v>
      </c>
    </row>
    <row r="281" spans="2:15" ht="16.5" hidden="1" thickBot="1">
      <c r="B281" s="373" t="s">
        <v>832</v>
      </c>
      <c r="C281" s="501">
        <v>304</v>
      </c>
      <c r="D281" s="502">
        <f t="shared" ref="D281:O281" si="83">ROUND(MMULT($D15:$H15,D$269:D$273),2)</f>
        <v>744.03</v>
      </c>
      <c r="E281" s="502">
        <f t="shared" si="83"/>
        <v>749.39</v>
      </c>
      <c r="F281" s="502">
        <f t="shared" si="83"/>
        <v>751.47</v>
      </c>
      <c r="G281" s="502">
        <f t="shared" si="83"/>
        <v>808.74</v>
      </c>
      <c r="H281" s="502">
        <f t="shared" si="83"/>
        <v>814.17</v>
      </c>
      <c r="I281" s="502">
        <f t="shared" si="83"/>
        <v>821.45</v>
      </c>
      <c r="J281" s="502">
        <f t="shared" si="83"/>
        <v>822.49</v>
      </c>
      <c r="K281" s="502">
        <f t="shared" si="83"/>
        <v>855.59</v>
      </c>
      <c r="L281" s="502">
        <f t="shared" si="83"/>
        <v>857.23</v>
      </c>
      <c r="M281" s="502">
        <f t="shared" si="83"/>
        <v>858.64</v>
      </c>
      <c r="N281" s="502">
        <f t="shared" si="83"/>
        <v>892.41</v>
      </c>
      <c r="O281" s="503">
        <f t="shared" si="83"/>
        <v>899.81</v>
      </c>
    </row>
    <row r="282" spans="2:15" ht="15.75" hidden="1">
      <c r="B282" s="122" t="s">
        <v>512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</row>
    <row r="283" spans="2:15" ht="8.25" hidden="1" customHeight="1" thickBot="1"/>
    <row r="284" spans="2:15" ht="4.5" hidden="1" customHeight="1">
      <c r="B284" s="2639" t="s">
        <v>673</v>
      </c>
      <c r="C284" s="2792" t="s">
        <v>354</v>
      </c>
      <c r="D284" s="2706">
        <v>40909</v>
      </c>
      <c r="E284" s="2706">
        <v>40940</v>
      </c>
      <c r="F284" s="2706">
        <v>40969</v>
      </c>
      <c r="G284" s="2706">
        <v>41000</v>
      </c>
      <c r="H284" s="2706">
        <v>41030</v>
      </c>
      <c r="I284" s="2706">
        <v>41061</v>
      </c>
      <c r="J284" s="2706">
        <v>41091</v>
      </c>
      <c r="K284" s="2706">
        <v>41122</v>
      </c>
      <c r="L284" s="2706">
        <v>41153</v>
      </c>
      <c r="M284" s="2706">
        <v>41183</v>
      </c>
      <c r="N284" s="2706">
        <v>41214</v>
      </c>
      <c r="O284" s="2694">
        <v>41244</v>
      </c>
    </row>
    <row r="285" spans="2:15" ht="9" hidden="1" customHeight="1">
      <c r="B285" s="2640"/>
      <c r="C285" s="2793"/>
      <c r="D285" s="2707"/>
      <c r="E285" s="2707"/>
      <c r="F285" s="2707"/>
      <c r="G285" s="2707"/>
      <c r="H285" s="2707"/>
      <c r="I285" s="2707"/>
      <c r="J285" s="2707"/>
      <c r="K285" s="2707"/>
      <c r="L285" s="2707"/>
      <c r="M285" s="2707"/>
      <c r="N285" s="2707"/>
      <c r="O285" s="2695"/>
    </row>
    <row r="286" spans="2:15" ht="5.25" hidden="1" customHeight="1" thickBot="1">
      <c r="B286" s="2764"/>
      <c r="C286" s="2794"/>
      <c r="D286" s="2708"/>
      <c r="E286" s="2708"/>
      <c r="F286" s="2708"/>
      <c r="G286" s="2708"/>
      <c r="H286" s="2708"/>
      <c r="I286" s="2708"/>
      <c r="J286" s="2708"/>
      <c r="K286" s="2708"/>
      <c r="L286" s="2708"/>
      <c r="M286" s="2708"/>
      <c r="N286" s="2708"/>
      <c r="O286" s="2696"/>
    </row>
    <row r="287" spans="2:15" ht="15.75" hidden="1">
      <c r="B287" s="377" t="s">
        <v>809</v>
      </c>
      <c r="C287" s="464">
        <v>50</v>
      </c>
      <c r="D287" s="481">
        <f>'TABLA FINAL  NO'!EB75</f>
        <v>580.54</v>
      </c>
      <c r="E287" s="481">
        <f>'TABLA FINAL  NO'!EC75</f>
        <v>580.54</v>
      </c>
      <c r="F287" s="481">
        <f>'TABLA FINAL  NO'!ED75</f>
        <v>581.49</v>
      </c>
      <c r="G287" s="481">
        <f>'TABLA FINAL  NO'!EE75</f>
        <v>598.91999999999996</v>
      </c>
      <c r="H287" s="481">
        <f>'TABLA FINAL  NO'!EF75</f>
        <v>602.66999999999996</v>
      </c>
      <c r="I287" s="481">
        <f>'TABLA FINAL  NO'!EG75</f>
        <v>602.66999999999996</v>
      </c>
      <c r="J287" s="481">
        <f>'TABLA FINAL  NO'!EH75</f>
        <v>614.08000000000004</v>
      </c>
      <c r="K287" s="481">
        <f>'TABLA FINAL  NO'!EI75</f>
        <v>626.52</v>
      </c>
      <c r="L287" s="481">
        <f>'TABLA FINAL  NO'!EJ75</f>
        <v>626.49</v>
      </c>
      <c r="M287" s="481">
        <f>'TABLA FINAL  NO'!EK75</f>
        <v>638.71</v>
      </c>
      <c r="N287" s="481">
        <f>'TABLA FINAL  NO'!EL75</f>
        <v>651.96</v>
      </c>
      <c r="O287" s="482">
        <f>'TABLA FINAL  NO'!EM75</f>
        <v>651.96</v>
      </c>
    </row>
    <row r="288" spans="2:15" ht="15.75" hidden="1">
      <c r="B288" s="372" t="s">
        <v>810</v>
      </c>
      <c r="C288" s="283">
        <v>19</v>
      </c>
      <c r="D288" s="140">
        <f>'TABLA FINAL  NO'!EB44</f>
        <v>667.9</v>
      </c>
      <c r="E288" s="140">
        <f>'TABLA FINAL  NO'!EC44</f>
        <v>672.1</v>
      </c>
      <c r="F288" s="140">
        <f>'TABLA FINAL  NO'!ED44</f>
        <v>674</v>
      </c>
      <c r="G288" s="140">
        <f>'TABLA FINAL  NO'!EE44</f>
        <v>674</v>
      </c>
      <c r="H288" s="140">
        <f>'TABLA FINAL  NO'!EF44</f>
        <v>677.3</v>
      </c>
      <c r="I288" s="140">
        <f>'TABLA FINAL  NO'!EG44</f>
        <v>678.1</v>
      </c>
      <c r="J288" s="140">
        <f>'TABLA FINAL  NO'!EH44</f>
        <v>677.6</v>
      </c>
      <c r="K288" s="140">
        <f>'TABLA FINAL  NO'!EI44</f>
        <v>679.9</v>
      </c>
      <c r="L288" s="140">
        <f>'TABLA FINAL  NO'!EJ44</f>
        <v>679.9</v>
      </c>
      <c r="M288" s="140">
        <f>'TABLA FINAL  NO'!EK44</f>
        <v>695.5</v>
      </c>
      <c r="N288" s="140">
        <f>'TABLA FINAL  NO'!EL44</f>
        <v>697.7</v>
      </c>
      <c r="O288" s="141">
        <f>'TABLA FINAL  NO'!EM44</f>
        <v>709.2</v>
      </c>
    </row>
    <row r="289" spans="2:15" ht="15.75" hidden="1">
      <c r="B289" s="372" t="s">
        <v>811</v>
      </c>
      <c r="C289" s="283">
        <v>58</v>
      </c>
      <c r="D289" s="127">
        <f>'TABLA FINAL  NO'!EB83</f>
        <v>606.04</v>
      </c>
      <c r="E289" s="127">
        <f>'TABLA FINAL  NO'!EC83</f>
        <v>606.41</v>
      </c>
      <c r="F289" s="127">
        <f>'TABLA FINAL  NO'!ED83</f>
        <v>607.54999999999995</v>
      </c>
      <c r="G289" s="127">
        <f>'TABLA FINAL  NO'!EE83</f>
        <v>609.28</v>
      </c>
      <c r="H289" s="127">
        <f>'TABLA FINAL  NO'!EF83</f>
        <v>611.51</v>
      </c>
      <c r="I289" s="127">
        <f>'TABLA FINAL  NO'!EG83</f>
        <v>624.03</v>
      </c>
      <c r="J289" s="127">
        <f>'TABLA FINAL  NO'!EH83</f>
        <v>641.24</v>
      </c>
      <c r="K289" s="127">
        <f>'TABLA FINAL  NO'!EI83</f>
        <v>646.97</v>
      </c>
      <c r="L289" s="127">
        <f>'TABLA FINAL  NO'!EJ83</f>
        <v>660.66</v>
      </c>
      <c r="M289" s="127">
        <f>'TABLA FINAL  NO'!EK83</f>
        <v>668.25</v>
      </c>
      <c r="N289" s="127">
        <f>'TABLA FINAL  NO'!EL83</f>
        <v>670.69</v>
      </c>
      <c r="O289" s="130">
        <f>'TABLA FINAL  NO'!EM83</f>
        <v>673.15</v>
      </c>
    </row>
    <row r="290" spans="2:15" ht="15.75" hidden="1">
      <c r="B290" s="372" t="s">
        <v>812</v>
      </c>
      <c r="C290" s="283">
        <v>23</v>
      </c>
      <c r="D290" s="310">
        <f>'TABLA FINAL  NO'!EB48</f>
        <v>655.77</v>
      </c>
      <c r="E290" s="310">
        <f>'TABLA FINAL  NO'!EC48</f>
        <v>680.17</v>
      </c>
      <c r="F290" s="310">
        <f>'TABLA FINAL  NO'!ED48</f>
        <v>684.27</v>
      </c>
      <c r="G290" s="310">
        <f>'TABLA FINAL  NO'!EE48</f>
        <v>686.71</v>
      </c>
      <c r="H290" s="310">
        <f>'TABLA FINAL  NO'!EF48</f>
        <v>695.35</v>
      </c>
      <c r="I290" s="310">
        <f>'TABLA FINAL  NO'!EG48</f>
        <v>745.22</v>
      </c>
      <c r="J290" s="310">
        <f>'TABLA FINAL  NO'!EH48</f>
        <v>750.07</v>
      </c>
      <c r="K290" s="310">
        <f>'TABLA FINAL  NO'!EI48</f>
        <v>761.14</v>
      </c>
      <c r="L290" s="310">
        <f>'TABLA FINAL  NO'!EJ48</f>
        <v>774.69</v>
      </c>
      <c r="M290" s="310">
        <f>'TABLA FINAL  NO'!EK48</f>
        <v>781.79</v>
      </c>
      <c r="N290" s="310">
        <f>'TABLA FINAL  NO'!EL48</f>
        <v>824.67</v>
      </c>
      <c r="O290" s="130">
        <f>'TABLA FINAL  NO'!EM48</f>
        <v>834.57</v>
      </c>
    </row>
    <row r="291" spans="2:15" ht="15.75" hidden="1">
      <c r="B291" s="372" t="s">
        <v>834</v>
      </c>
      <c r="C291" s="283" t="s">
        <v>835</v>
      </c>
      <c r="D291" s="142">
        <f>'TABLA FINAL  NO'!EB5*2.2521</f>
        <v>32.610408</v>
      </c>
      <c r="E291" s="142">
        <f>'TABLA FINAL  NO'!EC5*2.2521</f>
        <v>32.610408</v>
      </c>
      <c r="F291" s="142">
        <f>'TABLA FINAL  NO'!ED5*2.2521</f>
        <v>32.610408</v>
      </c>
      <c r="G291" s="142">
        <f>'TABLA FINAL  NO'!EE5*2.2521</f>
        <v>32.610408</v>
      </c>
      <c r="H291" s="142">
        <f>'TABLA FINAL  NO'!EF5*2.2521</f>
        <v>32.610408</v>
      </c>
      <c r="I291" s="142">
        <f>'TABLA FINAL  NO'!EG5*2.2521</f>
        <v>41.911580999999998</v>
      </c>
      <c r="J291" s="142">
        <f>'TABLA FINAL  NO'!EH5*2.2521</f>
        <v>41.911580999999998</v>
      </c>
      <c r="K291" s="142">
        <f>'TABLA FINAL  NO'!EI5*2.2521</f>
        <v>41.911580999999998</v>
      </c>
      <c r="L291" s="142">
        <f>'TABLA FINAL  NO'!EJ5*2.2521</f>
        <v>41.911580999999998</v>
      </c>
      <c r="M291" s="142">
        <f>'TABLA FINAL  NO'!EK5*2.2521</f>
        <v>41.911580999999998</v>
      </c>
      <c r="N291" s="142">
        <f>'TABLA FINAL  NO'!EL5*2.2521</f>
        <v>41.911580999999998</v>
      </c>
      <c r="O291" s="288">
        <f>'TABLA FINAL  NO'!EM5*2.2521</f>
        <v>41.911580999999998</v>
      </c>
    </row>
    <row r="292" spans="2:15" ht="0.75" hidden="1" customHeight="1" thickBot="1">
      <c r="B292" s="373"/>
      <c r="C292" s="282"/>
      <c r="D292" s="483"/>
      <c r="E292" s="483"/>
      <c r="F292" s="483"/>
      <c r="G292" s="483"/>
      <c r="H292" s="483"/>
      <c r="I292" s="483"/>
      <c r="J292" s="483"/>
      <c r="K292" s="483"/>
      <c r="L292" s="483"/>
      <c r="M292" s="483"/>
      <c r="N292" s="380"/>
      <c r="O292" s="539"/>
    </row>
    <row r="293" spans="2:15" ht="6.75" hidden="1" customHeight="1" thickBot="1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375"/>
      <c r="O293" s="132"/>
    </row>
    <row r="294" spans="2:15" ht="15.75" hidden="1">
      <c r="B294" s="2623" t="s">
        <v>675</v>
      </c>
      <c r="C294" s="486" t="s">
        <v>836</v>
      </c>
      <c r="D294" s="516">
        <f t="shared" ref="D294:O294" si="84">ROUND(+D287/$D$18,3)</f>
        <v>5.1980000000000004</v>
      </c>
      <c r="E294" s="516">
        <f t="shared" si="84"/>
        <v>5.1980000000000004</v>
      </c>
      <c r="F294" s="516">
        <f t="shared" si="84"/>
        <v>5.2069999999999999</v>
      </c>
      <c r="G294" s="516">
        <f t="shared" si="84"/>
        <v>5.3630000000000004</v>
      </c>
      <c r="H294" s="516">
        <f t="shared" si="84"/>
        <v>5.3959999999999999</v>
      </c>
      <c r="I294" s="516">
        <f t="shared" si="84"/>
        <v>5.3959999999999999</v>
      </c>
      <c r="J294" s="516">
        <f t="shared" si="84"/>
        <v>5.4989999999999997</v>
      </c>
      <c r="K294" s="516">
        <f t="shared" si="84"/>
        <v>5.61</v>
      </c>
      <c r="L294" s="516">
        <f t="shared" si="84"/>
        <v>5.61</v>
      </c>
      <c r="M294" s="516">
        <f t="shared" si="84"/>
        <v>5.7190000000000003</v>
      </c>
      <c r="N294" s="516">
        <f t="shared" si="84"/>
        <v>5.8380000000000001</v>
      </c>
      <c r="O294" s="133">
        <f t="shared" si="84"/>
        <v>5.8380000000000001</v>
      </c>
    </row>
    <row r="295" spans="2:15" ht="15.75" hidden="1">
      <c r="B295" s="2624"/>
      <c r="C295" s="489" t="s">
        <v>837</v>
      </c>
      <c r="D295" s="391">
        <f t="shared" ref="D295:O295" si="85">ROUND(+D288/$D$19,3)</f>
        <v>7.06</v>
      </c>
      <c r="E295" s="391">
        <f t="shared" si="85"/>
        <v>7.1050000000000004</v>
      </c>
      <c r="F295" s="391">
        <f t="shared" si="85"/>
        <v>7.125</v>
      </c>
      <c r="G295" s="391">
        <f t="shared" si="85"/>
        <v>7.125</v>
      </c>
      <c r="H295" s="391">
        <f t="shared" si="85"/>
        <v>7.16</v>
      </c>
      <c r="I295" s="391">
        <f t="shared" si="85"/>
        <v>7.1680000000000001</v>
      </c>
      <c r="J295" s="391">
        <f t="shared" si="85"/>
        <v>7.1630000000000003</v>
      </c>
      <c r="K295" s="391">
        <f t="shared" si="85"/>
        <v>7.1870000000000003</v>
      </c>
      <c r="L295" s="391">
        <f t="shared" si="85"/>
        <v>7.1870000000000003</v>
      </c>
      <c r="M295" s="391">
        <f t="shared" si="85"/>
        <v>7.3520000000000003</v>
      </c>
      <c r="N295" s="391">
        <f t="shared" si="85"/>
        <v>7.375</v>
      </c>
      <c r="O295" s="520">
        <f t="shared" si="85"/>
        <v>7.4969999999999999</v>
      </c>
    </row>
    <row r="296" spans="2:15" ht="15.75" hidden="1">
      <c r="B296" s="2624"/>
      <c r="C296" s="489" t="s">
        <v>838</v>
      </c>
      <c r="D296" s="391">
        <f t="shared" ref="D296:O296" si="86">ROUND(+D289/$D$20,3)</f>
        <v>7.0919999999999996</v>
      </c>
      <c r="E296" s="391">
        <f t="shared" si="86"/>
        <v>7.0960000000000001</v>
      </c>
      <c r="F296" s="391">
        <f t="shared" si="86"/>
        <v>7.109</v>
      </c>
      <c r="G296" s="391">
        <f t="shared" si="86"/>
        <v>7.1289999999999996</v>
      </c>
      <c r="H296" s="391">
        <f t="shared" si="86"/>
        <v>7.1559999999999997</v>
      </c>
      <c r="I296" s="391">
        <f t="shared" si="86"/>
        <v>7.3019999999999996</v>
      </c>
      <c r="J296" s="391">
        <f t="shared" si="86"/>
        <v>7.5030000000000001</v>
      </c>
      <c r="K296" s="391">
        <f t="shared" si="86"/>
        <v>7.57</v>
      </c>
      <c r="L296" s="391">
        <f t="shared" si="86"/>
        <v>7.7309999999999999</v>
      </c>
      <c r="M296" s="391">
        <f t="shared" si="86"/>
        <v>7.819</v>
      </c>
      <c r="N296" s="391">
        <f t="shared" si="86"/>
        <v>7.8479999999999999</v>
      </c>
      <c r="O296" s="520">
        <f t="shared" si="86"/>
        <v>7.8769999999999998</v>
      </c>
    </row>
    <row r="297" spans="2:15" ht="15.75" hidden="1">
      <c r="B297" s="2624"/>
      <c r="C297" s="489" t="s">
        <v>839</v>
      </c>
      <c r="D297" s="391">
        <f t="shared" ref="D297:O297" si="87">ROUND(+D290/$D$21,3)</f>
        <v>7.36</v>
      </c>
      <c r="E297" s="391">
        <f t="shared" si="87"/>
        <v>7.6340000000000003</v>
      </c>
      <c r="F297" s="391">
        <f t="shared" si="87"/>
        <v>7.68</v>
      </c>
      <c r="G297" s="391">
        <f t="shared" si="87"/>
        <v>7.7069999999999999</v>
      </c>
      <c r="H297" s="391">
        <f t="shared" si="87"/>
        <v>7.8040000000000003</v>
      </c>
      <c r="I297" s="391">
        <f t="shared" si="87"/>
        <v>8.3640000000000008</v>
      </c>
      <c r="J297" s="391">
        <f t="shared" si="87"/>
        <v>8.4179999999999993</v>
      </c>
      <c r="K297" s="391">
        <f t="shared" si="87"/>
        <v>8.5429999999999993</v>
      </c>
      <c r="L297" s="391">
        <f t="shared" si="87"/>
        <v>8.6950000000000003</v>
      </c>
      <c r="M297" s="391">
        <f t="shared" si="87"/>
        <v>8.7739999999999991</v>
      </c>
      <c r="N297" s="391">
        <f t="shared" si="87"/>
        <v>9.2560000000000002</v>
      </c>
      <c r="O297" s="520">
        <f t="shared" si="87"/>
        <v>9.3670000000000009</v>
      </c>
    </row>
    <row r="298" spans="2:15" ht="16.5" hidden="1" thickBot="1">
      <c r="B298" s="2625"/>
      <c r="C298" s="492" t="s">
        <v>677</v>
      </c>
      <c r="D298" s="685">
        <f t="shared" ref="D298:O298" si="88">ROUND(+D291/$D$22,3)</f>
        <v>12.398999999999999</v>
      </c>
      <c r="E298" s="685">
        <f t="shared" si="88"/>
        <v>12.398999999999999</v>
      </c>
      <c r="F298" s="685">
        <f t="shared" si="88"/>
        <v>12.398999999999999</v>
      </c>
      <c r="G298" s="685">
        <f t="shared" si="88"/>
        <v>12.398999999999999</v>
      </c>
      <c r="H298" s="685">
        <f t="shared" si="88"/>
        <v>12.398999999999999</v>
      </c>
      <c r="I298" s="685">
        <f t="shared" si="88"/>
        <v>15.936</v>
      </c>
      <c r="J298" s="685">
        <f t="shared" si="88"/>
        <v>15.936</v>
      </c>
      <c r="K298" s="685">
        <f t="shared" si="88"/>
        <v>15.936</v>
      </c>
      <c r="L298" s="685">
        <f t="shared" si="88"/>
        <v>15.936</v>
      </c>
      <c r="M298" s="685">
        <f t="shared" si="88"/>
        <v>15.936</v>
      </c>
      <c r="N298" s="685">
        <f t="shared" si="88"/>
        <v>15.936</v>
      </c>
      <c r="O298" s="686">
        <f t="shared" si="88"/>
        <v>15.936</v>
      </c>
    </row>
    <row r="299" spans="2:15" ht="16.5" hidden="1" thickBot="1">
      <c r="B299" s="132"/>
      <c r="C299" s="363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375"/>
      <c r="O299" s="132"/>
    </row>
    <row r="300" spans="2:15" ht="3" hidden="1" customHeight="1">
      <c r="B300" s="2639" t="s">
        <v>860</v>
      </c>
      <c r="C300" s="2792" t="s">
        <v>354</v>
      </c>
      <c r="D300" s="2706">
        <v>40909</v>
      </c>
      <c r="E300" s="2706">
        <v>40940</v>
      </c>
      <c r="F300" s="2706">
        <v>40969</v>
      </c>
      <c r="G300" s="2706">
        <v>41000</v>
      </c>
      <c r="H300" s="2706">
        <v>41030</v>
      </c>
      <c r="I300" s="2706">
        <v>41061</v>
      </c>
      <c r="J300" s="2706">
        <v>41091</v>
      </c>
      <c r="K300" s="2706">
        <v>41122</v>
      </c>
      <c r="L300" s="2706">
        <v>41153</v>
      </c>
      <c r="M300" s="2706">
        <v>41183</v>
      </c>
      <c r="N300" s="2706">
        <v>41214</v>
      </c>
      <c r="O300" s="2694">
        <v>41244</v>
      </c>
    </row>
    <row r="301" spans="2:15" ht="7.5" hidden="1" customHeight="1">
      <c r="B301" s="2640"/>
      <c r="C301" s="2793"/>
      <c r="D301" s="2707"/>
      <c r="E301" s="2707"/>
      <c r="F301" s="2707"/>
      <c r="G301" s="2707"/>
      <c r="H301" s="2707"/>
      <c r="I301" s="2707"/>
      <c r="J301" s="2707"/>
      <c r="K301" s="2707"/>
      <c r="L301" s="2707"/>
      <c r="M301" s="2707"/>
      <c r="N301" s="2707"/>
      <c r="O301" s="2695"/>
    </row>
    <row r="302" spans="2:15" ht="8.25" hidden="1" customHeight="1" thickBot="1">
      <c r="B302" s="2764"/>
      <c r="C302" s="2794"/>
      <c r="D302" s="2708"/>
      <c r="E302" s="2708"/>
      <c r="F302" s="2708"/>
      <c r="G302" s="2708"/>
      <c r="H302" s="2708"/>
      <c r="I302" s="2708"/>
      <c r="J302" s="2708"/>
      <c r="K302" s="2708"/>
      <c r="L302" s="2708"/>
      <c r="M302" s="2708"/>
      <c r="N302" s="2708"/>
      <c r="O302" s="2696"/>
    </row>
    <row r="303" spans="2:15" ht="15.75" hidden="1">
      <c r="B303" s="377" t="s">
        <v>820</v>
      </c>
      <c r="C303" s="495">
        <v>301</v>
      </c>
      <c r="D303" s="496">
        <f t="shared" ref="D303:O303" si="89">ROUND(MMULT($D12:$H12,D294:D298),2)</f>
        <v>715.94</v>
      </c>
      <c r="E303" s="496">
        <f t="shared" si="89"/>
        <v>719.25</v>
      </c>
      <c r="F303" s="496">
        <f t="shared" si="89"/>
        <v>720.61</v>
      </c>
      <c r="G303" s="496">
        <f t="shared" si="89"/>
        <v>727.58</v>
      </c>
      <c r="H303" s="496">
        <f t="shared" si="89"/>
        <v>730.85</v>
      </c>
      <c r="I303" s="496">
        <f t="shared" si="89"/>
        <v>793.57</v>
      </c>
      <c r="J303" s="496">
        <f t="shared" si="89"/>
        <v>800.22</v>
      </c>
      <c r="K303" s="496">
        <f t="shared" si="89"/>
        <v>807.13</v>
      </c>
      <c r="L303" s="496">
        <f t="shared" si="89"/>
        <v>809.95</v>
      </c>
      <c r="M303" s="496">
        <f t="shared" si="89"/>
        <v>820</v>
      </c>
      <c r="N303" s="496">
        <f t="shared" si="89"/>
        <v>829.7</v>
      </c>
      <c r="O303" s="497">
        <f t="shared" si="89"/>
        <v>833.81</v>
      </c>
    </row>
    <row r="304" spans="2:15" ht="15.75" hidden="1">
      <c r="B304" s="372" t="s">
        <v>827</v>
      </c>
      <c r="C304" s="281">
        <v>302</v>
      </c>
      <c r="D304" s="498">
        <f t="shared" ref="D304:O304" si="90">ROUND(MMULT($D13:$H13,D294:D298),2)</f>
        <v>727.87</v>
      </c>
      <c r="E304" s="498">
        <f t="shared" si="90"/>
        <v>730.81</v>
      </c>
      <c r="F304" s="498">
        <f t="shared" si="90"/>
        <v>732.07</v>
      </c>
      <c r="G304" s="498">
        <f t="shared" si="90"/>
        <v>739.28</v>
      </c>
      <c r="H304" s="498">
        <f t="shared" si="90"/>
        <v>742.4</v>
      </c>
      <c r="I304" s="498">
        <f t="shared" si="90"/>
        <v>814.87</v>
      </c>
      <c r="J304" s="498">
        <f t="shared" si="90"/>
        <v>821.28</v>
      </c>
      <c r="K304" s="498">
        <f t="shared" si="90"/>
        <v>828.1</v>
      </c>
      <c r="L304" s="498">
        <f t="shared" si="90"/>
        <v>830.45</v>
      </c>
      <c r="M304" s="498">
        <f t="shared" si="90"/>
        <v>840.13</v>
      </c>
      <c r="N304" s="498">
        <f t="shared" si="90"/>
        <v>849.48</v>
      </c>
      <c r="O304" s="499">
        <f t="shared" si="90"/>
        <v>853.18</v>
      </c>
    </row>
    <row r="305" spans="2:15" ht="15.75" hidden="1">
      <c r="B305" s="372" t="s">
        <v>828</v>
      </c>
      <c r="C305" s="281">
        <v>303</v>
      </c>
      <c r="D305" s="500">
        <f t="shared" ref="D305:O305" si="91">ROUND(MMULT($D14:$H14,D294:D298),2)</f>
        <v>761.23</v>
      </c>
      <c r="E305" s="500">
        <f t="shared" si="91"/>
        <v>764.3</v>
      </c>
      <c r="F305" s="500">
        <f t="shared" si="91"/>
        <v>765.57</v>
      </c>
      <c r="G305" s="500">
        <f t="shared" si="91"/>
        <v>771.58</v>
      </c>
      <c r="H305" s="500">
        <f t="shared" si="91"/>
        <v>774.6</v>
      </c>
      <c r="I305" s="500">
        <f t="shared" si="91"/>
        <v>859.52</v>
      </c>
      <c r="J305" s="500">
        <f t="shared" si="91"/>
        <v>866.89</v>
      </c>
      <c r="K305" s="500">
        <f t="shared" si="91"/>
        <v>873.34</v>
      </c>
      <c r="L305" s="500">
        <f t="shared" si="91"/>
        <v>877.3</v>
      </c>
      <c r="M305" s="500">
        <f t="shared" si="91"/>
        <v>886.21</v>
      </c>
      <c r="N305" s="500">
        <f t="shared" si="91"/>
        <v>895.14</v>
      </c>
      <c r="O305" s="499">
        <f t="shared" si="91"/>
        <v>898.71</v>
      </c>
    </row>
    <row r="306" spans="2:15" ht="16.5" hidden="1" thickBot="1">
      <c r="B306" s="373" t="s">
        <v>832</v>
      </c>
      <c r="C306" s="501">
        <v>304</v>
      </c>
      <c r="D306" s="502">
        <f t="shared" ref="D306:O306" si="92">ROUND(MMULT($D15:$H15,D294:D298),2)</f>
        <v>901.77</v>
      </c>
      <c r="E306" s="502">
        <f t="shared" si="92"/>
        <v>905.64</v>
      </c>
      <c r="F306" s="502">
        <f t="shared" si="92"/>
        <v>906.66</v>
      </c>
      <c r="G306" s="502">
        <f t="shared" si="92"/>
        <v>912.17</v>
      </c>
      <c r="H306" s="502">
        <f t="shared" si="92"/>
        <v>914.77</v>
      </c>
      <c r="I306" s="502">
        <f t="shared" si="92"/>
        <v>1089.8699999999999</v>
      </c>
      <c r="J306" s="502">
        <f t="shared" si="92"/>
        <v>1095.33</v>
      </c>
      <c r="K306" s="502">
        <f t="shared" si="92"/>
        <v>1101.0999999999999</v>
      </c>
      <c r="L306" s="502">
        <f t="shared" si="92"/>
        <v>1104.3599999999999</v>
      </c>
      <c r="M306" s="502">
        <f t="shared" si="92"/>
        <v>1109.57</v>
      </c>
      <c r="N306" s="502">
        <f t="shared" si="92"/>
        <v>1120.33</v>
      </c>
      <c r="O306" s="503">
        <f t="shared" si="92"/>
        <v>1122.0899999999999</v>
      </c>
    </row>
    <row r="307" spans="2:15" ht="15.75" hidden="1">
      <c r="B307" s="122" t="s">
        <v>512</v>
      </c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</row>
    <row r="308" spans="2:15" ht="15" hidden="1" customHeight="1"/>
    <row r="309" spans="2:15" ht="15" hidden="1" customHeight="1" thickBot="1"/>
    <row r="310" spans="2:15" ht="24" hidden="1" customHeight="1" thickBot="1">
      <c r="B310" s="365" t="s">
        <v>673</v>
      </c>
      <c r="C310" s="1452" t="s">
        <v>354</v>
      </c>
      <c r="D310" s="1233">
        <v>41275</v>
      </c>
      <c r="E310" s="1233">
        <v>41306</v>
      </c>
      <c r="F310" s="1233">
        <v>41334</v>
      </c>
      <c r="G310" s="1233">
        <v>41365</v>
      </c>
      <c r="H310" s="1233">
        <v>41395</v>
      </c>
      <c r="I310" s="1233">
        <v>41426</v>
      </c>
      <c r="J310" s="1233">
        <v>41456</v>
      </c>
      <c r="K310" s="1233">
        <v>41487</v>
      </c>
      <c r="L310" s="1233">
        <v>41518</v>
      </c>
      <c r="M310" s="1233">
        <v>41548</v>
      </c>
      <c r="N310" s="1233">
        <v>41579</v>
      </c>
      <c r="O310" s="1428">
        <v>41609</v>
      </c>
    </row>
    <row r="311" spans="2:15" ht="15.75" hidden="1">
      <c r="B311" s="377" t="s">
        <v>809</v>
      </c>
      <c r="C311" s="464">
        <v>50</v>
      </c>
      <c r="D311" s="481">
        <f>+'TABLA FINAL  NO'!EN75</f>
        <v>651.96</v>
      </c>
      <c r="E311" s="481">
        <f>+'TABLA FINAL  NO'!EO75</f>
        <v>653.26</v>
      </c>
      <c r="F311" s="481">
        <f>+'TABLA FINAL  NO'!EP75</f>
        <v>653.26</v>
      </c>
      <c r="G311" s="481">
        <f>+'TABLA FINAL  NO'!EQ75</f>
        <v>653.26</v>
      </c>
      <c r="H311" s="481">
        <f>+'TABLA FINAL  NO'!ER75</f>
        <v>668.92</v>
      </c>
      <c r="I311" s="481">
        <f>+'TABLA FINAL  NO'!ES75</f>
        <v>684.84</v>
      </c>
      <c r="J311" s="481">
        <f>+'TABLA FINAL  NO'!ET75</f>
        <v>684.84</v>
      </c>
      <c r="K311" s="481">
        <f>+'TABLA FINAL  NO'!EU75</f>
        <v>686.29</v>
      </c>
      <c r="L311" s="481">
        <f>+'TABLA FINAL  NO'!EV75</f>
        <v>695.16</v>
      </c>
      <c r="M311" s="481">
        <f>+'TABLA FINAL  NO'!EW75</f>
        <v>706.2</v>
      </c>
      <c r="N311" s="481">
        <f>+'TABLA FINAL  NO'!EX75</f>
        <v>710.02</v>
      </c>
      <c r="O311" s="482">
        <f>+'TABLA FINAL  NO'!EY75</f>
        <v>731.41</v>
      </c>
    </row>
    <row r="312" spans="2:15" ht="15.75" hidden="1">
      <c r="B312" s="372" t="s">
        <v>810</v>
      </c>
      <c r="C312" s="283">
        <v>19</v>
      </c>
      <c r="D312" s="140">
        <f>+'TABLA FINAL  NO'!EN44</f>
        <v>714.5</v>
      </c>
      <c r="E312" s="140">
        <f>+'TABLA FINAL  NO'!EO44</f>
        <v>730.4</v>
      </c>
      <c r="F312" s="140">
        <f>+'TABLA FINAL  NO'!EP44</f>
        <v>732</v>
      </c>
      <c r="G312" s="140">
        <f>+'TABLA FINAL  NO'!EQ44</f>
        <v>741.5</v>
      </c>
      <c r="H312" s="140">
        <f>+'TABLA FINAL  NO'!ER44</f>
        <v>755</v>
      </c>
      <c r="I312" s="140">
        <f>+'TABLA FINAL  NO'!ES44</f>
        <v>779.1</v>
      </c>
      <c r="J312" s="140">
        <f>+'TABLA FINAL  NO'!ET44</f>
        <v>785.9</v>
      </c>
      <c r="K312" s="140">
        <f>+'TABLA FINAL  NO'!EU44</f>
        <v>788.3</v>
      </c>
      <c r="L312" s="140">
        <f>+'TABLA FINAL  NO'!EV44</f>
        <v>810.2</v>
      </c>
      <c r="M312" s="140">
        <f>+'TABLA FINAL  NO'!EW44</f>
        <v>829.8</v>
      </c>
      <c r="N312" s="140">
        <f>+'TABLA FINAL  NO'!EX44</f>
        <v>837.7</v>
      </c>
      <c r="O312" s="141">
        <f>+'TABLA FINAL  NO'!EY44</f>
        <v>876.1</v>
      </c>
    </row>
    <row r="313" spans="2:15" ht="15.75" hidden="1">
      <c r="B313" s="372" t="s">
        <v>811</v>
      </c>
      <c r="C313" s="283">
        <v>58</v>
      </c>
      <c r="D313" s="127">
        <f>+'TABLA FINAL  NO'!EN83</f>
        <v>680.74</v>
      </c>
      <c r="E313" s="127">
        <f>+'TABLA FINAL  NO'!EO83</f>
        <v>687.67</v>
      </c>
      <c r="F313" s="127">
        <f>+'TABLA FINAL  NO'!EP83</f>
        <v>695.23</v>
      </c>
      <c r="G313" s="127">
        <f>+'TABLA FINAL  NO'!EQ83</f>
        <v>700.9</v>
      </c>
      <c r="H313" s="127">
        <f>+'TABLA FINAL  NO'!ER83</f>
        <v>712.25</v>
      </c>
      <c r="I313" s="127">
        <f>+'TABLA FINAL  NO'!ES83</f>
        <v>721.46</v>
      </c>
      <c r="J313" s="127">
        <f>+'TABLA FINAL  NO'!ET83</f>
        <v>730.87</v>
      </c>
      <c r="K313" s="127">
        <f>+'TABLA FINAL  NO'!EU83</f>
        <v>747.23</v>
      </c>
      <c r="L313" s="127">
        <f>+'TABLA FINAL  NO'!EV83</f>
        <v>761.82</v>
      </c>
      <c r="M313" s="127">
        <f>+'TABLA FINAL  NO'!EW83</f>
        <v>773.76</v>
      </c>
      <c r="N313" s="127">
        <f>+'TABLA FINAL  NO'!EX83</f>
        <v>785.74</v>
      </c>
      <c r="O313" s="130">
        <f>+'TABLA FINAL  NO'!EY83</f>
        <v>817.01</v>
      </c>
    </row>
    <row r="314" spans="2:15" ht="15.75" hidden="1">
      <c r="B314" s="372" t="s">
        <v>812</v>
      </c>
      <c r="C314" s="283">
        <v>23</v>
      </c>
      <c r="D314" s="310">
        <f>+'TABLA FINAL  NO'!EN48</f>
        <v>834.57</v>
      </c>
      <c r="E314" s="310">
        <f>+'TABLA FINAL  NO'!EO48</f>
        <v>844.61</v>
      </c>
      <c r="F314" s="310">
        <f>+'TABLA FINAL  NO'!EP48</f>
        <v>849.67</v>
      </c>
      <c r="G314" s="310">
        <f>+'TABLA FINAL  NO'!EQ48</f>
        <v>856.05</v>
      </c>
      <c r="H314" s="310">
        <f>+'TABLA FINAL  NO'!ER48</f>
        <v>865.71</v>
      </c>
      <c r="I314" s="310">
        <f>+'TABLA FINAL  NO'!ES48</f>
        <v>876.2</v>
      </c>
      <c r="J314" s="310">
        <f>+'TABLA FINAL  NO'!ET48</f>
        <v>913.87</v>
      </c>
      <c r="K314" s="310">
        <f>+'TABLA FINAL  NO'!EU48</f>
        <v>923.19</v>
      </c>
      <c r="L314" s="310">
        <f>+'TABLA FINAL  NO'!EV48</f>
        <v>918.96</v>
      </c>
      <c r="M314" s="310">
        <f>+'TABLA FINAL  NO'!EW48</f>
        <v>918.96</v>
      </c>
      <c r="N314" s="310">
        <f>+'TABLA FINAL  NO'!EX48</f>
        <v>909.78</v>
      </c>
      <c r="O314" s="130">
        <f>+'TABLA FINAL  NO'!EY48</f>
        <v>917.26</v>
      </c>
    </row>
    <row r="315" spans="2:15" ht="15.75" hidden="1">
      <c r="B315" s="372" t="s">
        <v>834</v>
      </c>
      <c r="C315" s="283" t="s">
        <v>835</v>
      </c>
      <c r="D315" s="142">
        <f>+'TABLA FINAL  NO'!EN5*2.2521</f>
        <v>41.911580999999998</v>
      </c>
      <c r="E315" s="142">
        <f>+'TABLA FINAL  NO'!EO5*2.2521</f>
        <v>41.911580999999998</v>
      </c>
      <c r="F315" s="142">
        <f>+'TABLA FINAL  NO'!EP5*2.2521</f>
        <v>41.911580999999998</v>
      </c>
      <c r="G315" s="142">
        <f>+'TABLA FINAL  NO'!EQ5*2.2521</f>
        <v>41.911580999999998</v>
      </c>
      <c r="H315" s="142">
        <f>+'TABLA FINAL  NO'!ER5*2.2521</f>
        <v>41.911580999999998</v>
      </c>
      <c r="I315" s="142">
        <f>+'TABLA FINAL  NO'!ES5*2.2521</f>
        <v>49.456116000000002</v>
      </c>
      <c r="J315" s="142">
        <f>+'TABLA FINAL  NO'!ET5*2.2521</f>
        <v>49.456116000000002</v>
      </c>
      <c r="K315" s="142">
        <f>+'TABLA FINAL  NO'!EU5*2.2521</f>
        <v>49.456116000000002</v>
      </c>
      <c r="L315" s="142">
        <f>+'TABLA FINAL  NO'!EV5*2.2521</f>
        <v>52.428888000000001</v>
      </c>
      <c r="M315" s="142">
        <f>+'TABLA FINAL  NO'!EW5*2.2521</f>
        <v>52.428888000000001</v>
      </c>
      <c r="N315" s="142">
        <f>+'TABLA FINAL  NO'!EX5*2.2521</f>
        <v>52.428888000000001</v>
      </c>
      <c r="O315" s="288">
        <f>+'TABLA FINAL  NO'!EY5*2.2521</f>
        <v>52.428888000000001</v>
      </c>
    </row>
    <row r="316" spans="2:15" ht="0.75" hidden="1" customHeight="1" thickBot="1">
      <c r="B316" s="373"/>
      <c r="C316" s="282"/>
      <c r="D316" s="483"/>
      <c r="E316" s="483"/>
      <c r="F316" s="483"/>
      <c r="G316" s="483"/>
      <c r="H316" s="483"/>
      <c r="I316" s="483"/>
      <c r="J316" s="483"/>
      <c r="K316" s="483"/>
      <c r="L316" s="483"/>
      <c r="M316" s="483"/>
      <c r="N316" s="380"/>
      <c r="O316" s="380"/>
    </row>
    <row r="317" spans="2:15" ht="12" hidden="1" customHeight="1" thickBot="1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375"/>
      <c r="O317" s="375"/>
    </row>
    <row r="318" spans="2:15" ht="15.75" hidden="1">
      <c r="B318" s="2623" t="s">
        <v>675</v>
      </c>
      <c r="C318" s="486" t="s">
        <v>836</v>
      </c>
      <c r="D318" s="516">
        <f t="shared" ref="D318:N318" si="93">ROUND(+D311/$D$18,3)</f>
        <v>5.8380000000000001</v>
      </c>
      <c r="E318" s="516">
        <f t="shared" si="93"/>
        <v>5.8490000000000002</v>
      </c>
      <c r="F318" s="516">
        <f t="shared" si="93"/>
        <v>5.8490000000000002</v>
      </c>
      <c r="G318" s="516">
        <f t="shared" si="93"/>
        <v>5.8490000000000002</v>
      </c>
      <c r="H318" s="516">
        <f t="shared" si="93"/>
        <v>5.99</v>
      </c>
      <c r="I318" s="516">
        <f t="shared" si="93"/>
        <v>6.1319999999999997</v>
      </c>
      <c r="J318" s="516">
        <f t="shared" si="93"/>
        <v>6.1319999999999997</v>
      </c>
      <c r="K318" s="516">
        <f t="shared" si="93"/>
        <v>6.1449999999999996</v>
      </c>
      <c r="L318" s="516">
        <f t="shared" si="93"/>
        <v>6.2249999999999996</v>
      </c>
      <c r="M318" s="516">
        <f t="shared" si="93"/>
        <v>6.3230000000000004</v>
      </c>
      <c r="N318" s="516">
        <f t="shared" si="93"/>
        <v>6.3579999999999997</v>
      </c>
      <c r="O318" s="133">
        <f>ROUND(+O311/$D$18,3)</f>
        <v>6.5490000000000004</v>
      </c>
    </row>
    <row r="319" spans="2:15" ht="15.75" hidden="1">
      <c r="B319" s="2624"/>
      <c r="C319" s="489" t="s">
        <v>837</v>
      </c>
      <c r="D319" s="391">
        <f t="shared" ref="D319:N319" si="94">ROUND(+D312/$D$19,3)</f>
        <v>7.5529999999999999</v>
      </c>
      <c r="E319" s="391">
        <f t="shared" si="94"/>
        <v>7.7210000000000001</v>
      </c>
      <c r="F319" s="391">
        <f t="shared" si="94"/>
        <v>7.7380000000000004</v>
      </c>
      <c r="G319" s="391">
        <f t="shared" si="94"/>
        <v>7.8380000000000001</v>
      </c>
      <c r="H319" s="391">
        <f t="shared" si="94"/>
        <v>7.9809999999999999</v>
      </c>
      <c r="I319" s="391">
        <f t="shared" si="94"/>
        <v>8.2360000000000007</v>
      </c>
      <c r="J319" s="391">
        <f t="shared" si="94"/>
        <v>8.3079999999999998</v>
      </c>
      <c r="K319" s="391">
        <f t="shared" si="94"/>
        <v>8.3330000000000002</v>
      </c>
      <c r="L319" s="391">
        <f t="shared" si="94"/>
        <v>8.5640000000000001</v>
      </c>
      <c r="M319" s="391">
        <f t="shared" si="94"/>
        <v>8.7720000000000002</v>
      </c>
      <c r="N319" s="391">
        <f t="shared" si="94"/>
        <v>8.8550000000000004</v>
      </c>
      <c r="O319" s="520">
        <f>ROUND(+O312/$D$19,3)</f>
        <v>9.2609999999999992</v>
      </c>
    </row>
    <row r="320" spans="2:15" ht="15.75" hidden="1">
      <c r="B320" s="2624"/>
      <c r="C320" s="489" t="s">
        <v>838</v>
      </c>
      <c r="D320" s="391">
        <f t="shared" ref="D320:N320" si="95">ROUND(+D313/$D$20,3)</f>
        <v>7.9660000000000002</v>
      </c>
      <c r="E320" s="391">
        <f t="shared" si="95"/>
        <v>8.0470000000000006</v>
      </c>
      <c r="F320" s="391">
        <f t="shared" si="95"/>
        <v>8.1349999999999998</v>
      </c>
      <c r="G320" s="391">
        <f t="shared" si="95"/>
        <v>8.2010000000000005</v>
      </c>
      <c r="H320" s="391">
        <f t="shared" si="95"/>
        <v>8.3339999999999996</v>
      </c>
      <c r="I320" s="391">
        <f t="shared" si="95"/>
        <v>8.4420000000000002</v>
      </c>
      <c r="J320" s="391">
        <f t="shared" si="95"/>
        <v>8.5519999999999996</v>
      </c>
      <c r="K320" s="391">
        <f t="shared" si="95"/>
        <v>8.7439999999999998</v>
      </c>
      <c r="L320" s="391">
        <f t="shared" si="95"/>
        <v>8.9139999999999997</v>
      </c>
      <c r="M320" s="391">
        <f t="shared" si="95"/>
        <v>9.0540000000000003</v>
      </c>
      <c r="N320" s="391">
        <f t="shared" si="95"/>
        <v>9.1940000000000008</v>
      </c>
      <c r="O320" s="520">
        <f>ROUND(+O313/$D$20,3)</f>
        <v>9.56</v>
      </c>
    </row>
    <row r="321" spans="2:15" ht="15.75" hidden="1">
      <c r="B321" s="2624"/>
      <c r="C321" s="489" t="s">
        <v>839</v>
      </c>
      <c r="D321" s="391">
        <f t="shared" ref="D321:N321" si="96">ROUND(+D314/$D$21,3)</f>
        <v>9.3670000000000009</v>
      </c>
      <c r="E321" s="391">
        <f t="shared" si="96"/>
        <v>9.4789999999999992</v>
      </c>
      <c r="F321" s="391">
        <f t="shared" si="96"/>
        <v>9.5359999999999996</v>
      </c>
      <c r="G321" s="391">
        <f t="shared" si="96"/>
        <v>9.6080000000000005</v>
      </c>
      <c r="H321" s="391">
        <f t="shared" si="96"/>
        <v>9.7159999999999993</v>
      </c>
      <c r="I321" s="391">
        <f t="shared" si="96"/>
        <v>9.8339999999999996</v>
      </c>
      <c r="J321" s="391">
        <f t="shared" si="96"/>
        <v>10.257</v>
      </c>
      <c r="K321" s="391">
        <f t="shared" si="96"/>
        <v>10.361000000000001</v>
      </c>
      <c r="L321" s="391">
        <f t="shared" si="96"/>
        <v>10.314</v>
      </c>
      <c r="M321" s="391">
        <f t="shared" si="96"/>
        <v>10.314</v>
      </c>
      <c r="N321" s="391">
        <f t="shared" si="96"/>
        <v>10.211</v>
      </c>
      <c r="O321" s="520">
        <f>ROUND(+O314/$D$21,3)</f>
        <v>10.295</v>
      </c>
    </row>
    <row r="322" spans="2:15" ht="16.5" hidden="1" thickBot="1">
      <c r="B322" s="2625"/>
      <c r="C322" s="492" t="s">
        <v>677</v>
      </c>
      <c r="D322" s="685">
        <f t="shared" ref="D322:N322" si="97">ROUND(+D315/$D$22,3)</f>
        <v>15.936</v>
      </c>
      <c r="E322" s="685">
        <f t="shared" si="97"/>
        <v>15.936</v>
      </c>
      <c r="F322" s="685">
        <f t="shared" si="97"/>
        <v>15.936</v>
      </c>
      <c r="G322" s="685">
        <f t="shared" si="97"/>
        <v>15.936</v>
      </c>
      <c r="H322" s="685">
        <f t="shared" si="97"/>
        <v>15.936</v>
      </c>
      <c r="I322" s="685">
        <f t="shared" si="97"/>
        <v>18.805</v>
      </c>
      <c r="J322" s="685">
        <f t="shared" si="97"/>
        <v>18.805</v>
      </c>
      <c r="K322" s="685">
        <f t="shared" si="97"/>
        <v>18.805</v>
      </c>
      <c r="L322" s="685">
        <f t="shared" si="97"/>
        <v>19.934999999999999</v>
      </c>
      <c r="M322" s="685">
        <f t="shared" si="97"/>
        <v>19.934999999999999</v>
      </c>
      <c r="N322" s="685">
        <f t="shared" si="97"/>
        <v>19.934999999999999</v>
      </c>
      <c r="O322" s="686">
        <f>ROUND(+O315/$D$22,3)</f>
        <v>19.934999999999999</v>
      </c>
    </row>
    <row r="323" spans="2:15" ht="10.5" hidden="1" customHeight="1" thickBot="1">
      <c r="B323" s="132"/>
      <c r="C323" s="363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375"/>
      <c r="O323" s="132"/>
    </row>
    <row r="324" spans="2:15" ht="3" hidden="1" customHeight="1">
      <c r="B324" s="2639" t="s">
        <v>860</v>
      </c>
      <c r="C324" s="2792" t="s">
        <v>354</v>
      </c>
      <c r="D324" s="2706">
        <v>41275</v>
      </c>
      <c r="E324" s="2706">
        <v>41306</v>
      </c>
      <c r="F324" s="2706">
        <v>41334</v>
      </c>
      <c r="G324" s="2706">
        <v>41365</v>
      </c>
      <c r="H324" s="2706">
        <v>41395</v>
      </c>
      <c r="I324" s="2706">
        <v>41426</v>
      </c>
      <c r="J324" s="2706">
        <v>41456</v>
      </c>
      <c r="K324" s="2706">
        <v>41487</v>
      </c>
      <c r="L324" s="2706">
        <v>41518</v>
      </c>
      <c r="M324" s="2706">
        <v>41548</v>
      </c>
      <c r="N324" s="2706">
        <v>41579</v>
      </c>
      <c r="O324" s="2694">
        <v>41609</v>
      </c>
    </row>
    <row r="325" spans="2:15" ht="7.5" hidden="1" customHeight="1">
      <c r="B325" s="2640"/>
      <c r="C325" s="2793"/>
      <c r="D325" s="2707"/>
      <c r="E325" s="2707"/>
      <c r="F325" s="2707"/>
      <c r="G325" s="2707"/>
      <c r="H325" s="2707"/>
      <c r="I325" s="2707"/>
      <c r="J325" s="2707"/>
      <c r="K325" s="2707"/>
      <c r="L325" s="2707"/>
      <c r="M325" s="2707"/>
      <c r="N325" s="2707"/>
      <c r="O325" s="2695"/>
    </row>
    <row r="326" spans="2:15" ht="8.25" hidden="1" customHeight="1" thickBot="1">
      <c r="B326" s="2764"/>
      <c r="C326" s="2794"/>
      <c r="D326" s="2708"/>
      <c r="E326" s="2708"/>
      <c r="F326" s="2708"/>
      <c r="G326" s="2708"/>
      <c r="H326" s="2708"/>
      <c r="I326" s="2708"/>
      <c r="J326" s="2708"/>
      <c r="K326" s="2708"/>
      <c r="L326" s="2708"/>
      <c r="M326" s="2708"/>
      <c r="N326" s="2708"/>
      <c r="O326" s="2696"/>
    </row>
    <row r="327" spans="2:15" ht="15.75" hidden="1">
      <c r="B327" s="377" t="s">
        <v>820</v>
      </c>
      <c r="C327" s="495">
        <v>301</v>
      </c>
      <c r="D327" s="496">
        <f t="shared" ref="D327:O327" si="98">ROUND(MMULT($D12:$H12,D318:D322),2)</f>
        <v>836.04</v>
      </c>
      <c r="E327" s="496">
        <f t="shared" si="98"/>
        <v>842.24</v>
      </c>
      <c r="F327" s="496">
        <f t="shared" si="98"/>
        <v>843.98</v>
      </c>
      <c r="G327" s="496">
        <f t="shared" si="98"/>
        <v>847.62</v>
      </c>
      <c r="H327" s="496">
        <f t="shared" si="98"/>
        <v>859.17</v>
      </c>
      <c r="I327" s="496">
        <f t="shared" si="98"/>
        <v>919.18</v>
      </c>
      <c r="J327" s="496">
        <f t="shared" si="98"/>
        <v>925.39</v>
      </c>
      <c r="K327" s="496">
        <f t="shared" si="98"/>
        <v>929.29</v>
      </c>
      <c r="L327" s="496">
        <f t="shared" si="98"/>
        <v>957.6</v>
      </c>
      <c r="M327" s="496">
        <f t="shared" si="98"/>
        <v>968.11</v>
      </c>
      <c r="N327" s="496">
        <f t="shared" si="98"/>
        <v>972.14</v>
      </c>
      <c r="O327" s="497">
        <f t="shared" si="98"/>
        <v>994.24</v>
      </c>
    </row>
    <row r="328" spans="2:15" ht="15.75" hidden="1">
      <c r="B328" s="372" t="s">
        <v>827</v>
      </c>
      <c r="C328" s="281">
        <v>302</v>
      </c>
      <c r="D328" s="498">
        <f t="shared" ref="D328:O328" si="99">ROUND(MMULT($D13:$H13,D318:D322),2)</f>
        <v>855.12</v>
      </c>
      <c r="E328" s="498">
        <f t="shared" si="99"/>
        <v>860.73</v>
      </c>
      <c r="F328" s="498">
        <f t="shared" si="99"/>
        <v>862.21</v>
      </c>
      <c r="G328" s="498">
        <f t="shared" si="99"/>
        <v>865.44</v>
      </c>
      <c r="H328" s="498">
        <f t="shared" si="99"/>
        <v>876.61</v>
      </c>
      <c r="I328" s="498">
        <f t="shared" si="99"/>
        <v>944.67</v>
      </c>
      <c r="J328" s="498">
        <f t="shared" si="99"/>
        <v>950.09</v>
      </c>
      <c r="K328" s="498">
        <f t="shared" si="99"/>
        <v>953.48</v>
      </c>
      <c r="L328" s="498">
        <f t="shared" si="99"/>
        <v>984.58</v>
      </c>
      <c r="M328" s="498">
        <f t="shared" si="99"/>
        <v>994.59</v>
      </c>
      <c r="N328" s="498">
        <f t="shared" si="99"/>
        <v>998.36</v>
      </c>
      <c r="O328" s="499">
        <f t="shared" si="99"/>
        <v>1019.21</v>
      </c>
    </row>
    <row r="329" spans="2:15" ht="15.75" hidden="1">
      <c r="B329" s="372" t="s">
        <v>828</v>
      </c>
      <c r="C329" s="281">
        <v>303</v>
      </c>
      <c r="D329" s="500">
        <f t="shared" ref="D329:O329" si="100">ROUND(MMULT($D14:$H14,D318:D322),2)</f>
        <v>901.23</v>
      </c>
      <c r="E329" s="500">
        <f t="shared" si="100"/>
        <v>906.92</v>
      </c>
      <c r="F329" s="500">
        <f t="shared" si="100"/>
        <v>909.17</v>
      </c>
      <c r="G329" s="500">
        <f t="shared" si="100"/>
        <v>912.67</v>
      </c>
      <c r="H329" s="500">
        <f t="shared" si="100"/>
        <v>923.31</v>
      </c>
      <c r="I329" s="500">
        <f t="shared" si="100"/>
        <v>998.76</v>
      </c>
      <c r="J329" s="500">
        <f t="shared" si="100"/>
        <v>1005.31</v>
      </c>
      <c r="K329" s="500">
        <f t="shared" si="100"/>
        <v>1010.32</v>
      </c>
      <c r="L329" s="500">
        <f t="shared" si="100"/>
        <v>1044.6500000000001</v>
      </c>
      <c r="M329" s="500">
        <f t="shared" si="100"/>
        <v>1054.2</v>
      </c>
      <c r="N329" s="500">
        <f t="shared" si="100"/>
        <v>1058.48</v>
      </c>
      <c r="O329" s="499">
        <f t="shared" si="100"/>
        <v>1079.3599999999999</v>
      </c>
    </row>
    <row r="330" spans="2:15" ht="16.5" hidden="1" thickBot="1">
      <c r="B330" s="373" t="s">
        <v>832</v>
      </c>
      <c r="C330" s="501">
        <v>304</v>
      </c>
      <c r="D330" s="502">
        <f t="shared" ref="D330:O330" si="101">ROUND(MMULT($D15:$H15,D318:D322),2)</f>
        <v>1122.71</v>
      </c>
      <c r="E330" s="502">
        <f t="shared" si="101"/>
        <v>1125.2</v>
      </c>
      <c r="F330" s="502">
        <f t="shared" si="101"/>
        <v>1126.6099999999999</v>
      </c>
      <c r="G330" s="502">
        <f t="shared" si="101"/>
        <v>1128.08</v>
      </c>
      <c r="H330" s="502">
        <f t="shared" si="101"/>
        <v>1135.03</v>
      </c>
      <c r="I330" s="502">
        <f t="shared" si="101"/>
        <v>1276.83</v>
      </c>
      <c r="J330" s="502">
        <f t="shared" si="101"/>
        <v>1283.52</v>
      </c>
      <c r="K330" s="502">
        <f t="shared" si="101"/>
        <v>1286.74</v>
      </c>
      <c r="L330" s="502">
        <f t="shared" si="101"/>
        <v>1342.94</v>
      </c>
      <c r="M330" s="502">
        <f t="shared" si="101"/>
        <v>1347.06</v>
      </c>
      <c r="N330" s="502">
        <f t="shared" si="101"/>
        <v>1347.71</v>
      </c>
      <c r="O330" s="503">
        <f t="shared" si="101"/>
        <v>1357.56</v>
      </c>
    </row>
    <row r="331" spans="2:15" ht="15.75" hidden="1">
      <c r="B331" s="122" t="s">
        <v>527</v>
      </c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</row>
    <row r="332" spans="2:15" ht="9.9499999999999993" hidden="1" customHeight="1" thickBot="1"/>
    <row r="333" spans="2:15" ht="22.5" hidden="1" customHeight="1" thickBot="1">
      <c r="B333" s="365" t="s">
        <v>673</v>
      </c>
      <c r="C333" s="1452" t="s">
        <v>354</v>
      </c>
      <c r="D333" s="1233">
        <v>41640</v>
      </c>
      <c r="E333" s="1233">
        <v>41671</v>
      </c>
      <c r="F333" s="1233">
        <v>41699</v>
      </c>
      <c r="G333" s="1233">
        <v>41730</v>
      </c>
      <c r="H333" s="1233">
        <v>41760</v>
      </c>
      <c r="I333" s="1233">
        <v>41791</v>
      </c>
      <c r="J333" s="1233">
        <v>41821</v>
      </c>
      <c r="K333" s="1233">
        <v>41852</v>
      </c>
      <c r="L333" s="1233">
        <v>41883</v>
      </c>
      <c r="M333" s="1233">
        <v>41913</v>
      </c>
      <c r="N333" s="1233">
        <v>41944</v>
      </c>
      <c r="O333" s="1428">
        <v>41974</v>
      </c>
    </row>
    <row r="334" spans="2:15" ht="15.75" hidden="1">
      <c r="B334" s="377" t="s">
        <v>809</v>
      </c>
      <c r="C334" s="464">
        <v>50</v>
      </c>
      <c r="D334" s="1266">
        <f>+'TABLA FINAL  NO'!EZ75</f>
        <v>764.21</v>
      </c>
      <c r="E334" s="1266">
        <f>+'TABLA FINAL  NO'!FA75</f>
        <v>819.21</v>
      </c>
      <c r="F334" s="1266">
        <f>+'TABLA FINAL  NO'!FB75</f>
        <v>868.31</v>
      </c>
      <c r="G334" s="1266">
        <f>+'TABLA FINAL  NO'!FC75</f>
        <v>874.43</v>
      </c>
      <c r="H334" s="1266">
        <f>+'TABLA FINAL  NO'!FD75</f>
        <v>874.26</v>
      </c>
      <c r="I334" s="1266">
        <f>+'TABLA FINAL  NO'!FE75</f>
        <v>908.02</v>
      </c>
      <c r="J334" s="1266">
        <f>+'TABLA FINAL  NO'!FF75</f>
        <v>915.39</v>
      </c>
      <c r="K334" s="1266">
        <f>+'TABLA FINAL  NO'!FG75</f>
        <v>916.47</v>
      </c>
      <c r="L334" s="1266">
        <f>+'TABLA FINAL  NO'!FH75</f>
        <v>951.64</v>
      </c>
      <c r="M334" s="1266">
        <f>+'TABLA FINAL  NO'!FI75</f>
        <v>958.99</v>
      </c>
      <c r="N334" s="1266">
        <f>+'TABLA FINAL  NO'!FJ75</f>
        <v>999.26</v>
      </c>
      <c r="O334" s="482">
        <f>+'TABLA FINAL  NO'!FK75</f>
        <v>1009.04</v>
      </c>
    </row>
    <row r="335" spans="2:15" ht="15.75" hidden="1">
      <c r="B335" s="372" t="s">
        <v>810</v>
      </c>
      <c r="C335" s="283">
        <v>19</v>
      </c>
      <c r="D335" s="140">
        <f>'TABLA FINAL  NO'!EZ44</f>
        <v>970</v>
      </c>
      <c r="E335" s="140">
        <f>'TABLA FINAL  NO'!FA44</f>
        <v>1055.4000000000001</v>
      </c>
      <c r="F335" s="140">
        <f>'TABLA FINAL  NO'!FB44</f>
        <v>1157.4000000000001</v>
      </c>
      <c r="G335" s="140">
        <f>'TABLA FINAL  NO'!FC44</f>
        <v>1207.7</v>
      </c>
      <c r="H335" s="140">
        <f>'TABLA FINAL  NO'!FD44</f>
        <v>1224.9000000000001</v>
      </c>
      <c r="I335" s="140">
        <f>'TABLA FINAL  NO'!FE44</f>
        <v>1238.4000000000001</v>
      </c>
      <c r="J335" s="140">
        <f>'TABLA FINAL  NO'!FF44</f>
        <v>1246.9000000000001</v>
      </c>
      <c r="K335" s="140">
        <f>'TABLA FINAL  NO'!FG44</f>
        <v>1286.4000000000001</v>
      </c>
      <c r="L335" s="140">
        <f>'TABLA FINAL  NO'!FH44</f>
        <v>1321.8</v>
      </c>
      <c r="M335" s="140">
        <f>'TABLA FINAL  NO'!FI44</f>
        <v>1323.3</v>
      </c>
      <c r="N335" s="140">
        <f>'TABLA FINAL  NO'!FJ44</f>
        <v>1323.5</v>
      </c>
      <c r="O335" s="141">
        <f>'TABLA FINAL  NO'!FK44</f>
        <v>1324.4</v>
      </c>
    </row>
    <row r="336" spans="2:15" ht="15.75" hidden="1">
      <c r="B336" s="372" t="s">
        <v>811</v>
      </c>
      <c r="C336" s="283">
        <v>58</v>
      </c>
      <c r="D336" s="127">
        <f>'TABLA FINAL  NO'!EZ83</f>
        <v>852.8</v>
      </c>
      <c r="E336" s="127">
        <f>'TABLA FINAL  NO'!FA83</f>
        <v>880.8</v>
      </c>
      <c r="F336" s="127">
        <f>'TABLA FINAL  NO'!FB83</f>
        <v>907.89</v>
      </c>
      <c r="G336" s="127">
        <f>'TABLA FINAL  NO'!FC83</f>
        <v>921.86</v>
      </c>
      <c r="H336" s="127">
        <f>'TABLA FINAL  NO'!FD83</f>
        <v>941.01</v>
      </c>
      <c r="I336" s="127">
        <f>'TABLA FINAL  NO'!FE83</f>
        <v>959.07</v>
      </c>
      <c r="J336" s="127">
        <f>'TABLA FINAL  NO'!FF83</f>
        <v>960.63</v>
      </c>
      <c r="K336" s="127">
        <f>'TABLA FINAL  NO'!FG83</f>
        <v>972.31</v>
      </c>
      <c r="L336" s="127">
        <f>'TABLA FINAL  NO'!FH83</f>
        <v>991.36</v>
      </c>
      <c r="M336" s="127">
        <f>'TABLA FINAL  NO'!FI83</f>
        <v>987.92</v>
      </c>
      <c r="N336" s="127">
        <f>'TABLA FINAL  NO'!FJ83</f>
        <v>996.74</v>
      </c>
      <c r="O336" s="130">
        <f>'TABLA FINAL  NO'!FK83</f>
        <v>1000.35</v>
      </c>
    </row>
    <row r="337" spans="2:15" ht="15.75" hidden="1">
      <c r="B337" s="372" t="s">
        <v>821</v>
      </c>
      <c r="C337" s="283">
        <v>23</v>
      </c>
      <c r="D337" s="310">
        <f>'TABLA FINAL  NO'!EZ48</f>
        <v>963.58</v>
      </c>
      <c r="E337" s="310">
        <f>'TABLA FINAL  NO'!FA48</f>
        <v>1012.37</v>
      </c>
      <c r="F337" s="310">
        <f>'TABLA FINAL  NO'!FB48</f>
        <v>1005.73</v>
      </c>
      <c r="G337" s="310">
        <f>'TABLA FINAL  NO'!FC48</f>
        <v>1030.01</v>
      </c>
      <c r="H337" s="310">
        <f>'TABLA FINAL  NO'!FD48</f>
        <v>1054.9000000000001</v>
      </c>
      <c r="I337" s="310">
        <f>'TABLA FINAL  NO'!FE48</f>
        <v>1112.53</v>
      </c>
      <c r="J337" s="310">
        <f>'TABLA FINAL  NO'!FF48</f>
        <v>1134.54</v>
      </c>
      <c r="K337" s="310">
        <f>'TABLA FINAL  NO'!FG48</f>
        <v>1161.1300000000001</v>
      </c>
      <c r="L337" s="310">
        <f>'TABLA FINAL  NO'!FH48</f>
        <v>1178.1500000000001</v>
      </c>
      <c r="M337" s="310">
        <f>'TABLA FINAL  NO'!FI48</f>
        <v>1212.27</v>
      </c>
      <c r="N337" s="310">
        <f>'TABLA FINAL  NO'!FJ48</f>
        <v>1227.05</v>
      </c>
      <c r="O337" s="130">
        <f>'TABLA FINAL  NO'!FK48</f>
        <v>1251.24</v>
      </c>
    </row>
    <row r="338" spans="2:15" ht="16.5" hidden="1" thickBot="1">
      <c r="B338" s="373" t="s">
        <v>834</v>
      </c>
      <c r="C338" s="282" t="s">
        <v>835</v>
      </c>
      <c r="D338" s="447">
        <f>'TABLA FINAL  NO'!EZ5*2.2521</f>
        <v>52.428888000000001</v>
      </c>
      <c r="E338" s="447">
        <f>'TABLA FINAL  NO'!FA5*2.2521</f>
        <v>52.428888000000001</v>
      </c>
      <c r="F338" s="447">
        <f>'TABLA FINAL  NO'!FB5*2.2521</f>
        <v>52.428888000000001</v>
      </c>
      <c r="G338" s="447">
        <f>'TABLA FINAL  NO'!FC5*2.2521</f>
        <v>61.752582000000004</v>
      </c>
      <c r="H338" s="447">
        <f>'TABLA FINAL  NO'!FD5*2.2521</f>
        <v>61.752582000000004</v>
      </c>
      <c r="I338" s="447">
        <f>'TABLA FINAL  NO'!FE5*2.2521</f>
        <v>61.752582000000004</v>
      </c>
      <c r="J338" s="447">
        <f>'TABLA FINAL  NO'!FF5*2.2521</f>
        <v>67.923336000000006</v>
      </c>
      <c r="K338" s="447">
        <f>'TABLA FINAL  NO'!FG5*2.2521</f>
        <v>67.923336000000006</v>
      </c>
      <c r="L338" s="447">
        <f>'TABLA FINAL  NO'!FH5*2.2521</f>
        <v>67.923336000000006</v>
      </c>
      <c r="M338" s="447">
        <f>'TABLA FINAL  NO'!FI5*2.2521</f>
        <v>67.923336000000006</v>
      </c>
      <c r="N338" s="447">
        <f>'TABLA FINAL  NO'!FJ5*2.2521</f>
        <v>67.923336000000006</v>
      </c>
      <c r="O338" s="131">
        <f>'TABLA FINAL  NO'!FK5*2.2521</f>
        <v>67.923336000000006</v>
      </c>
    </row>
    <row r="339" spans="2:15" ht="9.9499999999999993" hidden="1" customHeight="1" thickBot="1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275"/>
      <c r="O339" s="275"/>
    </row>
    <row r="340" spans="2:15" ht="15.75" hidden="1">
      <c r="B340" s="2623" t="s">
        <v>675</v>
      </c>
      <c r="C340" s="486" t="s">
        <v>836</v>
      </c>
      <c r="D340" s="516">
        <f t="shared" ref="D340:O340" si="102">ROUND(+D334/$D$18,3)</f>
        <v>6.843</v>
      </c>
      <c r="E340" s="516">
        <f t="shared" si="102"/>
        <v>7.335</v>
      </c>
      <c r="F340" s="516">
        <f t="shared" si="102"/>
        <v>7.7750000000000004</v>
      </c>
      <c r="G340" s="516">
        <f t="shared" si="102"/>
        <v>7.83</v>
      </c>
      <c r="H340" s="516">
        <f t="shared" si="102"/>
        <v>7.8280000000000003</v>
      </c>
      <c r="I340" s="516">
        <f t="shared" si="102"/>
        <v>8.1310000000000002</v>
      </c>
      <c r="J340" s="516">
        <f t="shared" si="102"/>
        <v>8.1969999999999992</v>
      </c>
      <c r="K340" s="516">
        <f t="shared" si="102"/>
        <v>8.2059999999999995</v>
      </c>
      <c r="L340" s="516">
        <f t="shared" si="102"/>
        <v>8.5210000000000008</v>
      </c>
      <c r="M340" s="516">
        <f t="shared" si="102"/>
        <v>8.5869999999999997</v>
      </c>
      <c r="N340" s="516">
        <f t="shared" si="102"/>
        <v>8.9480000000000004</v>
      </c>
      <c r="O340" s="133">
        <f t="shared" si="102"/>
        <v>9.0350000000000001</v>
      </c>
    </row>
    <row r="341" spans="2:15" ht="15.75" hidden="1">
      <c r="B341" s="2624"/>
      <c r="C341" s="489" t="s">
        <v>837</v>
      </c>
      <c r="D341" s="391">
        <f>ROUND(+D335/$D$19,3)</f>
        <v>10.254</v>
      </c>
      <c r="E341" s="391">
        <f t="shared" ref="E341:N341" si="103">ROUND(+E335/$D$19,3)</f>
        <v>11.156000000000001</v>
      </c>
      <c r="F341" s="391">
        <f t="shared" si="103"/>
        <v>12.234999999999999</v>
      </c>
      <c r="G341" s="391">
        <f t="shared" si="103"/>
        <v>12.766</v>
      </c>
      <c r="H341" s="391">
        <f t="shared" si="103"/>
        <v>12.948</v>
      </c>
      <c r="I341" s="391">
        <f t="shared" si="103"/>
        <v>13.090999999999999</v>
      </c>
      <c r="J341" s="391">
        <f t="shared" si="103"/>
        <v>13.180999999999999</v>
      </c>
      <c r="K341" s="391">
        <f t="shared" si="103"/>
        <v>13.598000000000001</v>
      </c>
      <c r="L341" s="391">
        <f t="shared" si="103"/>
        <v>13.973000000000001</v>
      </c>
      <c r="M341" s="391">
        <f t="shared" si="103"/>
        <v>13.988</v>
      </c>
      <c r="N341" s="391">
        <f t="shared" si="103"/>
        <v>13.99</v>
      </c>
      <c r="O341" s="520">
        <f>ROUND(+O335/$D$19,3)</f>
        <v>14</v>
      </c>
    </row>
    <row r="342" spans="2:15" ht="15.75" hidden="1">
      <c r="B342" s="2624"/>
      <c r="C342" s="489" t="s">
        <v>838</v>
      </c>
      <c r="D342" s="391">
        <f t="shared" ref="D342:N342" si="104">ROUND(+D336/$D$20,3)</f>
        <v>9.9789999999999992</v>
      </c>
      <c r="E342" s="391">
        <f t="shared" si="104"/>
        <v>10.307</v>
      </c>
      <c r="F342" s="391">
        <f t="shared" si="104"/>
        <v>10.624000000000001</v>
      </c>
      <c r="G342" s="391">
        <f t="shared" si="104"/>
        <v>10.787000000000001</v>
      </c>
      <c r="H342" s="391">
        <f t="shared" si="104"/>
        <v>11.010999999999999</v>
      </c>
      <c r="I342" s="391">
        <f t="shared" si="104"/>
        <v>11.222</v>
      </c>
      <c r="J342" s="391">
        <f t="shared" si="104"/>
        <v>11.241</v>
      </c>
      <c r="K342" s="391">
        <f t="shared" si="104"/>
        <v>11.377000000000001</v>
      </c>
      <c r="L342" s="391">
        <f t="shared" si="104"/>
        <v>11.6</v>
      </c>
      <c r="M342" s="391">
        <f t="shared" si="104"/>
        <v>11.56</v>
      </c>
      <c r="N342" s="391">
        <f t="shared" si="104"/>
        <v>11.663</v>
      </c>
      <c r="O342" s="520">
        <f>ROUND(+O336/$D$20,3)</f>
        <v>11.705</v>
      </c>
    </row>
    <row r="343" spans="2:15" ht="15.75" hidden="1">
      <c r="B343" s="2624"/>
      <c r="C343" s="489" t="s">
        <v>839</v>
      </c>
      <c r="D343" s="391">
        <f>ROUND(+D337/$D$21,3)</f>
        <v>10.815</v>
      </c>
      <c r="E343" s="391">
        <f t="shared" ref="E343:N343" si="105">ROUND(+E337/$D$21,3)</f>
        <v>11.362</v>
      </c>
      <c r="F343" s="391">
        <f t="shared" si="105"/>
        <v>11.288</v>
      </c>
      <c r="G343" s="391">
        <f t="shared" si="105"/>
        <v>11.56</v>
      </c>
      <c r="H343" s="391">
        <f t="shared" si="105"/>
        <v>11.84</v>
      </c>
      <c r="I343" s="391">
        <f t="shared" si="105"/>
        <v>12.486000000000001</v>
      </c>
      <c r="J343" s="391">
        <f t="shared" si="105"/>
        <v>12.733000000000001</v>
      </c>
      <c r="K343" s="391">
        <f t="shared" si="105"/>
        <v>13.032</v>
      </c>
      <c r="L343" s="391">
        <f t="shared" si="105"/>
        <v>13.223000000000001</v>
      </c>
      <c r="M343" s="391">
        <f t="shared" si="105"/>
        <v>13.606</v>
      </c>
      <c r="N343" s="391">
        <f t="shared" si="105"/>
        <v>13.772</v>
      </c>
      <c r="O343" s="520">
        <f>ROUND(+O337/$D$21,3)</f>
        <v>14.042999999999999</v>
      </c>
    </row>
    <row r="344" spans="2:15" ht="16.5" hidden="1" thickBot="1">
      <c r="B344" s="2625"/>
      <c r="C344" s="492" t="s">
        <v>677</v>
      </c>
      <c r="D344" s="685">
        <f t="shared" ref="D344:N344" si="106">ROUND(+D338/$D$22,3)</f>
        <v>19.934999999999999</v>
      </c>
      <c r="E344" s="685">
        <f t="shared" si="106"/>
        <v>19.934999999999999</v>
      </c>
      <c r="F344" s="685">
        <f t="shared" si="106"/>
        <v>19.934999999999999</v>
      </c>
      <c r="G344" s="685">
        <f t="shared" si="106"/>
        <v>23.48</v>
      </c>
      <c r="H344" s="685">
        <f t="shared" si="106"/>
        <v>23.48</v>
      </c>
      <c r="I344" s="685">
        <f t="shared" si="106"/>
        <v>23.48</v>
      </c>
      <c r="J344" s="685">
        <f t="shared" si="106"/>
        <v>25.826000000000001</v>
      </c>
      <c r="K344" s="685">
        <f t="shared" si="106"/>
        <v>25.826000000000001</v>
      </c>
      <c r="L344" s="685">
        <f t="shared" si="106"/>
        <v>25.826000000000001</v>
      </c>
      <c r="M344" s="685">
        <f t="shared" si="106"/>
        <v>25.826000000000001</v>
      </c>
      <c r="N344" s="685">
        <f t="shared" si="106"/>
        <v>25.826000000000001</v>
      </c>
      <c r="O344" s="686">
        <f>ROUND(+O338/$D$22,3)</f>
        <v>25.826000000000001</v>
      </c>
    </row>
    <row r="345" spans="2:15" ht="9.9499999999999993" hidden="1" customHeight="1" thickBot="1">
      <c r="B345" s="132"/>
      <c r="C345" s="363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375"/>
      <c r="O345" s="132"/>
    </row>
    <row r="346" spans="2:15" ht="22.5" hidden="1" customHeight="1" thickBot="1">
      <c r="B346" s="365" t="s">
        <v>860</v>
      </c>
      <c r="C346" s="1452" t="s">
        <v>354</v>
      </c>
      <c r="D346" s="1233">
        <v>41640</v>
      </c>
      <c r="E346" s="1233">
        <v>41671</v>
      </c>
      <c r="F346" s="1233">
        <v>41699</v>
      </c>
      <c r="G346" s="1233">
        <v>41730</v>
      </c>
      <c r="H346" s="1233">
        <v>41760</v>
      </c>
      <c r="I346" s="1233">
        <v>41791</v>
      </c>
      <c r="J346" s="1233">
        <v>41821</v>
      </c>
      <c r="K346" s="1233">
        <v>41852</v>
      </c>
      <c r="L346" s="1233">
        <v>41883</v>
      </c>
      <c r="M346" s="1233">
        <v>41913</v>
      </c>
      <c r="N346" s="1233">
        <v>41944</v>
      </c>
      <c r="O346" s="1249">
        <v>41974</v>
      </c>
    </row>
    <row r="347" spans="2:15" ht="15.75" hidden="1">
      <c r="B347" s="377" t="s">
        <v>820</v>
      </c>
      <c r="C347" s="495">
        <v>301</v>
      </c>
      <c r="D347" s="496">
        <f t="shared" ref="D347:O347" si="107">ROUND(MMULT($D12:$H12,D340:D344),2)</f>
        <v>1038.77</v>
      </c>
      <c r="E347" s="496">
        <f t="shared" si="107"/>
        <v>1088.74</v>
      </c>
      <c r="F347" s="496">
        <f t="shared" si="107"/>
        <v>1135.69</v>
      </c>
      <c r="G347" s="496">
        <f t="shared" si="107"/>
        <v>1211.27</v>
      </c>
      <c r="H347" s="496">
        <f t="shared" si="107"/>
        <v>1220.04</v>
      </c>
      <c r="I347" s="496">
        <f t="shared" si="107"/>
        <v>1243.47</v>
      </c>
      <c r="J347" s="496">
        <f t="shared" si="107"/>
        <v>1288.1099999999999</v>
      </c>
      <c r="K347" s="496">
        <f t="shared" si="107"/>
        <v>1302.25</v>
      </c>
      <c r="L347" s="496">
        <f t="shared" si="107"/>
        <v>1328.23</v>
      </c>
      <c r="M347" s="496">
        <f t="shared" si="107"/>
        <v>1334.03</v>
      </c>
      <c r="N347" s="496">
        <f t="shared" si="107"/>
        <v>1351.6</v>
      </c>
      <c r="O347" s="497">
        <f t="shared" si="107"/>
        <v>1358.08</v>
      </c>
    </row>
    <row r="348" spans="2:15" ht="15.75" hidden="1">
      <c r="B348" s="372" t="s">
        <v>827</v>
      </c>
      <c r="C348" s="281">
        <v>302</v>
      </c>
      <c r="D348" s="498">
        <f t="shared" ref="D348:O348" si="108">ROUND(MMULT($D13:$H13,D340:D344),2)</f>
        <v>1060.98</v>
      </c>
      <c r="E348" s="498">
        <f t="shared" si="108"/>
        <v>1108.93</v>
      </c>
      <c r="F348" s="498">
        <f t="shared" si="108"/>
        <v>1154.04</v>
      </c>
      <c r="G348" s="498">
        <f t="shared" si="108"/>
        <v>1238.71</v>
      </c>
      <c r="H348" s="498">
        <f t="shared" si="108"/>
        <v>1246.3800000000001</v>
      </c>
      <c r="I348" s="498">
        <f t="shared" si="108"/>
        <v>1269.06</v>
      </c>
      <c r="J348" s="498">
        <f t="shared" si="108"/>
        <v>1320.4</v>
      </c>
      <c r="K348" s="498">
        <f t="shared" si="108"/>
        <v>1333.15</v>
      </c>
      <c r="L348" s="498">
        <f t="shared" si="108"/>
        <v>1358.39</v>
      </c>
      <c r="M348" s="498">
        <f t="shared" si="108"/>
        <v>1363.98</v>
      </c>
      <c r="N348" s="498">
        <f t="shared" si="108"/>
        <v>1381.89</v>
      </c>
      <c r="O348" s="499">
        <f t="shared" si="108"/>
        <v>1388.18</v>
      </c>
    </row>
    <row r="349" spans="2:15" ht="15.75" hidden="1">
      <c r="B349" s="372" t="s">
        <v>828</v>
      </c>
      <c r="C349" s="281">
        <v>303</v>
      </c>
      <c r="D349" s="500">
        <f t="shared" ref="D349:O349" si="109">ROUND(MMULT($D14:$H14,D340:D344),2)</f>
        <v>1118.81</v>
      </c>
      <c r="E349" s="500">
        <f t="shared" si="109"/>
        <v>1162.22</v>
      </c>
      <c r="F349" s="500">
        <f t="shared" si="109"/>
        <v>1201.8399999999999</v>
      </c>
      <c r="G349" s="500">
        <f t="shared" si="109"/>
        <v>1296.26</v>
      </c>
      <c r="H349" s="500">
        <f t="shared" si="109"/>
        <v>1305.51</v>
      </c>
      <c r="I349" s="500">
        <f t="shared" si="109"/>
        <v>1327.45</v>
      </c>
      <c r="J349" s="500">
        <f t="shared" si="109"/>
        <v>1385.29</v>
      </c>
      <c r="K349" s="500">
        <f t="shared" si="109"/>
        <v>1397.81</v>
      </c>
      <c r="L349" s="500">
        <f t="shared" si="109"/>
        <v>1420.91</v>
      </c>
      <c r="M349" s="500">
        <f t="shared" si="109"/>
        <v>1425.87</v>
      </c>
      <c r="N349" s="500">
        <f t="shared" si="109"/>
        <v>1441.62</v>
      </c>
      <c r="O349" s="499">
        <f t="shared" si="109"/>
        <v>1447.73</v>
      </c>
    </row>
    <row r="350" spans="2:15" ht="16.5" hidden="1" thickBot="1">
      <c r="B350" s="373" t="s">
        <v>832</v>
      </c>
      <c r="C350" s="501">
        <v>304</v>
      </c>
      <c r="D350" s="502">
        <f t="shared" ref="D350:O350" si="110">ROUND(MMULT($D15:$H15,D340:D344),2)</f>
        <v>1377.18</v>
      </c>
      <c r="E350" s="502">
        <f t="shared" si="110"/>
        <v>1402.88</v>
      </c>
      <c r="F350" s="502">
        <f t="shared" si="110"/>
        <v>1418.15</v>
      </c>
      <c r="G350" s="502">
        <f t="shared" si="110"/>
        <v>1591.47</v>
      </c>
      <c r="H350" s="502">
        <f t="shared" si="110"/>
        <v>1596.89</v>
      </c>
      <c r="I350" s="502">
        <f t="shared" si="110"/>
        <v>1617.11</v>
      </c>
      <c r="J350" s="502">
        <f t="shared" si="110"/>
        <v>1733.08</v>
      </c>
      <c r="K350" s="502">
        <f t="shared" si="110"/>
        <v>1738.5</v>
      </c>
      <c r="L350" s="502">
        <f t="shared" si="110"/>
        <v>1752.82</v>
      </c>
      <c r="M350" s="502">
        <f t="shared" si="110"/>
        <v>1760.01</v>
      </c>
      <c r="N350" s="502">
        <f t="shared" si="110"/>
        <v>1774.61</v>
      </c>
      <c r="O350" s="503">
        <f t="shared" si="110"/>
        <v>1781.48</v>
      </c>
    </row>
    <row r="351" spans="2:15" ht="15.75" hidden="1">
      <c r="B351" s="122" t="s">
        <v>527</v>
      </c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</row>
    <row r="352" spans="2:15" ht="7.5" hidden="1" customHeight="1" thickBot="1"/>
    <row r="353" spans="2:15" ht="22.5" hidden="1" customHeight="1" thickBot="1">
      <c r="B353" s="365" t="s">
        <v>673</v>
      </c>
      <c r="C353" s="1452" t="s">
        <v>354</v>
      </c>
      <c r="D353" s="1233">
        <v>42005</v>
      </c>
      <c r="E353" s="1233">
        <v>42036</v>
      </c>
      <c r="F353" s="1233">
        <v>42064</v>
      </c>
      <c r="G353" s="1233">
        <v>42095</v>
      </c>
      <c r="H353" s="1233">
        <v>42125</v>
      </c>
      <c r="I353" s="1233">
        <v>42156</v>
      </c>
      <c r="J353" s="1233">
        <v>42186</v>
      </c>
      <c r="K353" s="1233">
        <v>42217</v>
      </c>
      <c r="L353" s="1233">
        <v>42248</v>
      </c>
      <c r="M353" s="1233">
        <v>42278</v>
      </c>
      <c r="N353" s="1233">
        <v>42309</v>
      </c>
      <c r="O353" s="1428">
        <v>42339</v>
      </c>
    </row>
    <row r="354" spans="2:15" ht="15.75" hidden="1">
      <c r="B354" s="377" t="s">
        <v>809</v>
      </c>
      <c r="C354" s="464">
        <v>50</v>
      </c>
      <c r="D354" s="1266">
        <f>+'TABLA FINAL  NO'!FL75</f>
        <v>1016.92</v>
      </c>
      <c r="E354" s="1266">
        <f>+'TABLA FINAL  NO'!FM75</f>
        <v>1017.8</v>
      </c>
      <c r="F354" s="1266">
        <f>+'TABLA FINAL  NO'!FN75</f>
        <v>1057.18</v>
      </c>
      <c r="G354" s="1266">
        <f>+'TABLA FINAL  NO'!FO75</f>
        <v>1076.45</v>
      </c>
      <c r="H354" s="1266">
        <f>+'TABLA FINAL  NO'!FP75</f>
        <v>1095.1500000000001</v>
      </c>
      <c r="I354" s="1266">
        <f>+'TABLA FINAL  NO'!FQ75</f>
        <v>1118.81</v>
      </c>
      <c r="J354" s="1266">
        <f>+'TABLA FINAL  NO'!FR75</f>
        <v>1123.6199999999999</v>
      </c>
      <c r="K354" s="1266">
        <f>+'TABLA FINAL  NO'!FS75</f>
        <v>1169.5899999999999</v>
      </c>
      <c r="L354" s="1266">
        <f>+'TABLA FINAL  NO'!FT75</f>
        <v>1174.96</v>
      </c>
      <c r="M354" s="1266">
        <f>+'TABLA FINAL  NO'!FU75</f>
        <v>1179.99</v>
      </c>
      <c r="N354" s="1599" t="e">
        <f>+#REF!</f>
        <v>#REF!</v>
      </c>
      <c r="O354" s="1740" t="e">
        <f>+#REF!</f>
        <v>#REF!</v>
      </c>
    </row>
    <row r="355" spans="2:15" ht="15.75" hidden="1">
      <c r="B355" s="372" t="s">
        <v>810</v>
      </c>
      <c r="C355" s="283">
        <v>19</v>
      </c>
      <c r="D355" s="140">
        <f>+'TABLA FINAL  NO'!FL44</f>
        <v>1327</v>
      </c>
      <c r="E355" s="140">
        <f>+'TABLA FINAL  NO'!FM44</f>
        <v>1330.4</v>
      </c>
      <c r="F355" s="140">
        <f>+'TABLA FINAL  NO'!FN44</f>
        <v>1370.4</v>
      </c>
      <c r="G355" s="140">
        <f>+'TABLA FINAL  NO'!FO44</f>
        <v>1388.5</v>
      </c>
      <c r="H355" s="140">
        <f>+'TABLA FINAL  NO'!FP44</f>
        <v>1398.4</v>
      </c>
      <c r="I355" s="140">
        <f>+'TABLA FINAL  NO'!FQ44</f>
        <v>1399.2</v>
      </c>
      <c r="J355" s="140">
        <f>+'TABLA FINAL  NO'!FR44</f>
        <v>1447.9</v>
      </c>
      <c r="K355" s="140">
        <f>+'TABLA FINAL  NO'!FS44</f>
        <v>1467</v>
      </c>
      <c r="L355" s="140">
        <f>+'TABLA FINAL  NO'!FT44</f>
        <v>1499.1</v>
      </c>
      <c r="M355" s="140">
        <f>+'TABLA FINAL  NO'!FU44</f>
        <v>1533.5</v>
      </c>
      <c r="N355" s="140" t="e">
        <f>+#REF!</f>
        <v>#REF!</v>
      </c>
      <c r="O355" s="141" t="e">
        <f>+#REF!</f>
        <v>#REF!</v>
      </c>
    </row>
    <row r="356" spans="2:15" ht="15.75" hidden="1">
      <c r="B356" s="372" t="s">
        <v>811</v>
      </c>
      <c r="C356" s="283">
        <v>58</v>
      </c>
      <c r="D356" s="127">
        <f>+'TABLA FINAL  NO'!FL83</f>
        <v>995.35</v>
      </c>
      <c r="E356" s="127">
        <f>+'TABLA FINAL  NO'!FM83</f>
        <v>1002.75</v>
      </c>
      <c r="F356" s="127">
        <f>+'TABLA FINAL  NO'!FN83</f>
        <v>1007.14</v>
      </c>
      <c r="G356" s="127">
        <f>+'TABLA FINAL  NO'!FO83</f>
        <v>1009.82</v>
      </c>
      <c r="H356" s="127">
        <f>+'TABLA FINAL  NO'!FP83</f>
        <v>1021.22</v>
      </c>
      <c r="I356" s="127">
        <f>+'TABLA FINAL  NO'!FQ83</f>
        <v>1030.7</v>
      </c>
      <c r="J356" s="127">
        <f>+'TABLA FINAL  NO'!FR83</f>
        <v>1040.3800000000001</v>
      </c>
      <c r="K356" s="127">
        <f>+'TABLA FINAL  NO'!FS83</f>
        <v>1064.8699999999999</v>
      </c>
      <c r="L356" s="127">
        <f>+'TABLA FINAL  NO'!FT83</f>
        <v>1087.4100000000001</v>
      </c>
      <c r="M356" s="127">
        <f>+'TABLA FINAL  NO'!FU83</f>
        <v>1100.8599999999999</v>
      </c>
      <c r="N356" s="127" t="e">
        <f>+#REF!</f>
        <v>#REF!</v>
      </c>
      <c r="O356" s="130" t="e">
        <f>+#REF!</f>
        <v>#REF!</v>
      </c>
    </row>
    <row r="357" spans="2:15" ht="15.75" hidden="1">
      <c r="B357" s="372" t="s">
        <v>821</v>
      </c>
      <c r="C357" s="283">
        <v>23</v>
      </c>
      <c r="D357" s="310">
        <f>+'TABLA FINAL  NO'!FL48</f>
        <v>1265.18</v>
      </c>
      <c r="E357" s="310">
        <f>+'TABLA FINAL  NO'!FM48</f>
        <v>1283.19</v>
      </c>
      <c r="F357" s="310">
        <f>+'TABLA FINAL  NO'!FN48</f>
        <v>1315.28</v>
      </c>
      <c r="G357" s="310">
        <f>+'TABLA FINAL  NO'!FO48</f>
        <v>1330.76</v>
      </c>
      <c r="H357" s="310">
        <f>+'TABLA FINAL  NO'!FP48</f>
        <v>1373.12</v>
      </c>
      <c r="I357" s="310">
        <f>+'TABLA FINAL  NO'!FQ48</f>
        <v>1389.63</v>
      </c>
      <c r="J357" s="310">
        <f>+'TABLA FINAL  NO'!FR48</f>
        <v>1462.57</v>
      </c>
      <c r="K357" s="310">
        <f>+'TABLA FINAL  NO'!FS48</f>
        <v>1505.13</v>
      </c>
      <c r="L357" s="310">
        <f>+'TABLA FINAL  NO'!FT48</f>
        <v>1516.38</v>
      </c>
      <c r="M357" s="310">
        <f>+'TABLA FINAL  NO'!FU48</f>
        <v>1546.37</v>
      </c>
      <c r="N357" s="446" t="e">
        <f>+#REF!</f>
        <v>#REF!</v>
      </c>
      <c r="O357" s="1741" t="e">
        <f>+#REF!</f>
        <v>#REF!</v>
      </c>
    </row>
    <row r="358" spans="2:15" ht="16.5" hidden="1" thickBot="1">
      <c r="B358" s="373" t="s">
        <v>834</v>
      </c>
      <c r="C358" s="282" t="s">
        <v>835</v>
      </c>
      <c r="D358" s="447">
        <f>+'TABLA FINAL  NO'!FL5*2.2521</f>
        <v>67.923336000000006</v>
      </c>
      <c r="E358" s="447">
        <f>+'TABLA FINAL  NO'!FM5*2.2521</f>
        <v>67.923336000000006</v>
      </c>
      <c r="F358" s="447">
        <f>+'TABLA FINAL  NO'!FN5*2.2521</f>
        <v>67.923336000000006</v>
      </c>
      <c r="G358" s="447">
        <f>+'TABLA FINAL  NO'!FO5*2.2521</f>
        <v>79.746860999999996</v>
      </c>
      <c r="H358" s="447">
        <f>+'TABLA FINAL  NO'!FP5*2.2521</f>
        <v>79.746860999999996</v>
      </c>
      <c r="I358" s="447">
        <f>+'TABLA FINAL  NO'!FQ5*2.2521</f>
        <v>79.746860999999996</v>
      </c>
      <c r="J358" s="447">
        <f>+'TABLA FINAL  NO'!FR5*2.2521</f>
        <v>79.746860999999996</v>
      </c>
      <c r="K358" s="447">
        <f>+'TABLA FINAL  NO'!FS5*2.2521</f>
        <v>86.525682000000003</v>
      </c>
      <c r="L358" s="447">
        <f>+'TABLA FINAL  NO'!FT5*2.2521</f>
        <v>86.525682000000003</v>
      </c>
      <c r="M358" s="447">
        <f>+'TABLA FINAL  NO'!FU5*2.2521</f>
        <v>86.525682000000003</v>
      </c>
      <c r="N358" s="447" t="e">
        <f>+#REF!*2.2521</f>
        <v>#REF!</v>
      </c>
      <c r="O358" s="131" t="e">
        <f>+#REF!*2.2521</f>
        <v>#REF!</v>
      </c>
    </row>
    <row r="359" spans="2:15" ht="9.9499999999999993" hidden="1" customHeight="1" thickBot="1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275"/>
      <c r="O359" s="275"/>
    </row>
    <row r="360" spans="2:15" ht="15.75" hidden="1">
      <c r="B360" s="2623" t="s">
        <v>675</v>
      </c>
      <c r="C360" s="486" t="s">
        <v>836</v>
      </c>
      <c r="D360" s="516">
        <f>ROUND(+D354/$D$18,3)</f>
        <v>9.1059999999999999</v>
      </c>
      <c r="E360" s="516">
        <f>ROUND(+E354/$D$18,3)</f>
        <v>9.1140000000000008</v>
      </c>
      <c r="F360" s="516">
        <f t="shared" ref="F360:K360" si="111">ROUND(+F354/$D$18,3)</f>
        <v>9.4659999999999993</v>
      </c>
      <c r="G360" s="516">
        <f t="shared" si="111"/>
        <v>9.6389999999999993</v>
      </c>
      <c r="H360" s="516">
        <f t="shared" si="111"/>
        <v>9.8059999999999992</v>
      </c>
      <c r="I360" s="516">
        <f t="shared" si="111"/>
        <v>10.018000000000001</v>
      </c>
      <c r="J360" s="516">
        <f t="shared" si="111"/>
        <v>10.061</v>
      </c>
      <c r="K360" s="516">
        <f t="shared" si="111"/>
        <v>10.473000000000001</v>
      </c>
      <c r="L360" s="516">
        <f>ROUND(+L354/$D$18,3)</f>
        <v>10.521000000000001</v>
      </c>
      <c r="M360" s="516">
        <f>ROUND(+M354/$D$18,3)</f>
        <v>10.566000000000001</v>
      </c>
      <c r="N360" s="516" t="e">
        <f>ROUND(+N354/$D$18,3)</f>
        <v>#REF!</v>
      </c>
      <c r="O360" s="133" t="e">
        <f>ROUND(+O354/$D$18,3)</f>
        <v>#REF!</v>
      </c>
    </row>
    <row r="361" spans="2:15" ht="15.75" hidden="1">
      <c r="B361" s="2624"/>
      <c r="C361" s="489" t="s">
        <v>837</v>
      </c>
      <c r="D361" s="391">
        <f>ROUND(+D355/$D$19,3)</f>
        <v>14.026999999999999</v>
      </c>
      <c r="E361" s="391">
        <f>ROUND(+E355/$D$19,3)</f>
        <v>14.063000000000001</v>
      </c>
      <c r="F361" s="391">
        <f t="shared" ref="F361:K361" si="112">ROUND(+F355/$D$19,3)</f>
        <v>14.486000000000001</v>
      </c>
      <c r="G361" s="391">
        <f t="shared" si="112"/>
        <v>14.678000000000001</v>
      </c>
      <c r="H361" s="391">
        <f t="shared" si="112"/>
        <v>14.782</v>
      </c>
      <c r="I361" s="391">
        <f t="shared" si="112"/>
        <v>14.791</v>
      </c>
      <c r="J361" s="391">
        <f t="shared" si="112"/>
        <v>15.305</v>
      </c>
      <c r="K361" s="391">
        <f t="shared" si="112"/>
        <v>15.507</v>
      </c>
      <c r="L361" s="391">
        <f>ROUND(+L355/$D$19,3)</f>
        <v>15.847</v>
      </c>
      <c r="M361" s="391">
        <f>ROUND(+M355/$D$19,3)</f>
        <v>16.21</v>
      </c>
      <c r="N361" s="391" t="e">
        <f>ROUND(+N355/$D$19,3)</f>
        <v>#REF!</v>
      </c>
      <c r="O361" s="520" t="e">
        <f>ROUND(+O355/$D$19,3)</f>
        <v>#REF!</v>
      </c>
    </row>
    <row r="362" spans="2:15" ht="15.75" hidden="1">
      <c r="B362" s="2624"/>
      <c r="C362" s="489" t="s">
        <v>838</v>
      </c>
      <c r="D362" s="391">
        <f>ROUND(+D356/$D$20,3)</f>
        <v>11.647</v>
      </c>
      <c r="E362" s="391">
        <f>ROUND(+E356/$D$20,3)</f>
        <v>11.734</v>
      </c>
      <c r="F362" s="391">
        <f t="shared" ref="F362:K362" si="113">ROUND(+F356/$D$20,3)</f>
        <v>11.785</v>
      </c>
      <c r="G362" s="391">
        <f t="shared" si="113"/>
        <v>11.816000000000001</v>
      </c>
      <c r="H362" s="391">
        <f t="shared" si="113"/>
        <v>11.95</v>
      </c>
      <c r="I362" s="391">
        <f t="shared" si="113"/>
        <v>12.061</v>
      </c>
      <c r="J362" s="391">
        <f t="shared" si="113"/>
        <v>12.173999999999999</v>
      </c>
      <c r="K362" s="391">
        <f t="shared" si="113"/>
        <v>12.46</v>
      </c>
      <c r="L362" s="391">
        <f>ROUND(+L356/$D$20,3)</f>
        <v>12.724</v>
      </c>
      <c r="M362" s="391">
        <f>ROUND(+M356/$D$20,3)</f>
        <v>12.882</v>
      </c>
      <c r="N362" s="391" t="e">
        <f>ROUND(+N356/$D$20,3)</f>
        <v>#REF!</v>
      </c>
      <c r="O362" s="520" t="e">
        <f>ROUND(+O356/$D$20,3)</f>
        <v>#REF!</v>
      </c>
    </row>
    <row r="363" spans="2:15" ht="15.75" hidden="1">
      <c r="B363" s="2624"/>
      <c r="C363" s="489" t="s">
        <v>839</v>
      </c>
      <c r="D363" s="391">
        <f>ROUND(+D357/$D$21,3)</f>
        <v>14.2</v>
      </c>
      <c r="E363" s="391">
        <f>ROUND(+E357/$D$21,3)</f>
        <v>14.401999999999999</v>
      </c>
      <c r="F363" s="391">
        <f t="shared" ref="F363:K363" si="114">ROUND(+F357/$D$21,3)</f>
        <v>14.762</v>
      </c>
      <c r="G363" s="391">
        <f t="shared" si="114"/>
        <v>14.936</v>
      </c>
      <c r="H363" s="391">
        <f t="shared" si="114"/>
        <v>15.411</v>
      </c>
      <c r="I363" s="391">
        <f t="shared" si="114"/>
        <v>15.596</v>
      </c>
      <c r="J363" s="391">
        <f t="shared" si="114"/>
        <v>16.414999999999999</v>
      </c>
      <c r="K363" s="391">
        <f t="shared" si="114"/>
        <v>16.893000000000001</v>
      </c>
      <c r="L363" s="391">
        <f>ROUND(+L357/$D$21,3)</f>
        <v>17.018999999999998</v>
      </c>
      <c r="M363" s="391">
        <f>ROUND(+M357/$D$21,3)</f>
        <v>17.355</v>
      </c>
      <c r="N363" s="391" t="e">
        <f>ROUND(+N357/$D$21,3)</f>
        <v>#REF!</v>
      </c>
      <c r="O363" s="520" t="e">
        <f>ROUND(+O357/$D$21,3)</f>
        <v>#REF!</v>
      </c>
    </row>
    <row r="364" spans="2:15" ht="16.5" hidden="1" thickBot="1">
      <c r="B364" s="2625"/>
      <c r="C364" s="492" t="s">
        <v>677</v>
      </c>
      <c r="D364" s="685">
        <f>ROUND(+D358/$D$22,3)</f>
        <v>25.826000000000001</v>
      </c>
      <c r="E364" s="685">
        <f>ROUND(+E358/$D$22,3)</f>
        <v>25.826000000000001</v>
      </c>
      <c r="F364" s="685">
        <f t="shared" ref="F364:K364" si="115">ROUND(+F358/$D$22,3)</f>
        <v>25.826000000000001</v>
      </c>
      <c r="G364" s="685">
        <f t="shared" si="115"/>
        <v>30.321999999999999</v>
      </c>
      <c r="H364" s="685">
        <f t="shared" si="115"/>
        <v>30.321999999999999</v>
      </c>
      <c r="I364" s="685">
        <f t="shared" si="115"/>
        <v>30.321999999999999</v>
      </c>
      <c r="J364" s="685">
        <f t="shared" si="115"/>
        <v>30.321999999999999</v>
      </c>
      <c r="K364" s="685">
        <f t="shared" si="115"/>
        <v>32.899000000000001</v>
      </c>
      <c r="L364" s="685">
        <f>ROUND(+L358/$D$22,3)</f>
        <v>32.899000000000001</v>
      </c>
      <c r="M364" s="685">
        <f>ROUND(+M358/$D$22,3)</f>
        <v>32.899000000000001</v>
      </c>
      <c r="N364" s="685" t="e">
        <f>ROUND(+N358/$D$22,3)</f>
        <v>#REF!</v>
      </c>
      <c r="O364" s="686" t="e">
        <f>ROUND(+O358/$D$22,3)</f>
        <v>#REF!</v>
      </c>
    </row>
    <row r="365" spans="2:15" ht="9.9499999999999993" hidden="1" customHeight="1" thickBot="1">
      <c r="B365" s="132"/>
      <c r="C365" s="363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375"/>
      <c r="O365" s="132"/>
    </row>
    <row r="366" spans="2:15" ht="22.5" hidden="1" customHeight="1" thickBot="1">
      <c r="B366" s="365" t="s">
        <v>860</v>
      </c>
      <c r="C366" s="1452" t="s">
        <v>354</v>
      </c>
      <c r="D366" s="1233">
        <v>42005</v>
      </c>
      <c r="E366" s="1233">
        <v>42036</v>
      </c>
      <c r="F366" s="1233">
        <v>42064</v>
      </c>
      <c r="G366" s="1233">
        <v>42095</v>
      </c>
      <c r="H366" s="1233">
        <v>42125</v>
      </c>
      <c r="I366" s="1233">
        <v>42156</v>
      </c>
      <c r="J366" s="1233">
        <v>42186</v>
      </c>
      <c r="K366" s="1233">
        <v>42217</v>
      </c>
      <c r="L366" s="1233">
        <v>42248</v>
      </c>
      <c r="M366" s="1233">
        <v>42278</v>
      </c>
      <c r="N366" s="1233">
        <v>42309</v>
      </c>
      <c r="O366" s="1249">
        <v>42339</v>
      </c>
    </row>
    <row r="367" spans="2:15" ht="15.75" hidden="1">
      <c r="B367" s="377" t="s">
        <v>820</v>
      </c>
      <c r="C367" s="495">
        <v>301</v>
      </c>
      <c r="D367" s="496">
        <f t="shared" ref="D367:I367" si="116">ROUND(MMULT($D12:$H12,D360:D364),2)</f>
        <v>1362.39</v>
      </c>
      <c r="E367" s="496">
        <f t="shared" si="116"/>
        <v>1366.07</v>
      </c>
      <c r="F367" s="496">
        <f t="shared" si="116"/>
        <v>1394.4</v>
      </c>
      <c r="G367" s="496">
        <f t="shared" si="116"/>
        <v>1479.91</v>
      </c>
      <c r="H367" s="496">
        <f t="shared" si="116"/>
        <v>1494.56</v>
      </c>
      <c r="I367" s="496">
        <f t="shared" si="116"/>
        <v>1506.27</v>
      </c>
      <c r="J367" s="496">
        <f t="shared" ref="J367:O367" si="117">ROUND(MMULT($D12:$H12,J360:J364),2)</f>
        <v>1528.09</v>
      </c>
      <c r="K367" s="496">
        <f t="shared" si="117"/>
        <v>1598.16</v>
      </c>
      <c r="L367" s="496">
        <f t="shared" si="117"/>
        <v>1611.99</v>
      </c>
      <c r="M367" s="496">
        <f t="shared" si="117"/>
        <v>1626.86</v>
      </c>
      <c r="N367" s="496" t="e">
        <f t="shared" si="117"/>
        <v>#REF!</v>
      </c>
      <c r="O367" s="497" t="e">
        <f t="shared" si="117"/>
        <v>#REF!</v>
      </c>
    </row>
    <row r="368" spans="2:15" ht="15.75" hidden="1">
      <c r="B368" s="372" t="s">
        <v>827</v>
      </c>
      <c r="C368" s="281">
        <v>302</v>
      </c>
      <c r="D368" s="498">
        <f t="shared" ref="D368:I368" si="118">ROUND(MMULT($D13:$H13,D360:D364),2)</f>
        <v>1392.53</v>
      </c>
      <c r="E368" s="498">
        <f t="shared" si="118"/>
        <v>1395.78</v>
      </c>
      <c r="F368" s="498">
        <f t="shared" si="118"/>
        <v>1423.5</v>
      </c>
      <c r="G368" s="498">
        <f t="shared" si="118"/>
        <v>1522.23</v>
      </c>
      <c r="H368" s="498">
        <f t="shared" si="118"/>
        <v>1536.26</v>
      </c>
      <c r="I368" s="498">
        <f t="shared" si="118"/>
        <v>1547.97</v>
      </c>
      <c r="J368" s="498">
        <f t="shared" ref="J368:O368" si="119">ROUND(MMULT($D13:$H13,J360:J364),2)</f>
        <v>1567.81</v>
      </c>
      <c r="K368" s="498">
        <f t="shared" si="119"/>
        <v>1644.98</v>
      </c>
      <c r="L368" s="498">
        <f t="shared" si="119"/>
        <v>1657.56</v>
      </c>
      <c r="M368" s="498">
        <f t="shared" si="119"/>
        <v>1671.15</v>
      </c>
      <c r="N368" s="498" t="e">
        <f t="shared" si="119"/>
        <v>#REF!</v>
      </c>
      <c r="O368" s="499" t="e">
        <f t="shared" si="119"/>
        <v>#REF!</v>
      </c>
    </row>
    <row r="369" spans="2:24" ht="15.75" hidden="1">
      <c r="B369" s="372" t="s">
        <v>828</v>
      </c>
      <c r="C369" s="281">
        <v>303</v>
      </c>
      <c r="D369" s="500">
        <f t="shared" ref="D369:I369" si="120">ROUND(MMULT($D14:$H14,D360:D364),2)</f>
        <v>1450.97</v>
      </c>
      <c r="E369" s="500">
        <f t="shared" si="120"/>
        <v>1454.99</v>
      </c>
      <c r="F369" s="500">
        <f t="shared" si="120"/>
        <v>1478.67</v>
      </c>
      <c r="G369" s="500">
        <f t="shared" si="120"/>
        <v>1589.01</v>
      </c>
      <c r="H369" s="500">
        <f t="shared" si="120"/>
        <v>1602.81</v>
      </c>
      <c r="I369" s="500">
        <f t="shared" si="120"/>
        <v>1613.76</v>
      </c>
      <c r="J369" s="500">
        <f t="shared" ref="J369:O369" si="121">ROUND(MMULT($D14:$H14,J360:J364),2)</f>
        <v>1632.99</v>
      </c>
      <c r="K369" s="500">
        <f t="shared" si="121"/>
        <v>1716.42</v>
      </c>
      <c r="L369" s="500">
        <f t="shared" si="121"/>
        <v>1729.72</v>
      </c>
      <c r="M369" s="500">
        <f t="shared" si="121"/>
        <v>1743.2</v>
      </c>
      <c r="N369" s="500" t="e">
        <f t="shared" si="121"/>
        <v>#REF!</v>
      </c>
      <c r="O369" s="499" t="e">
        <f t="shared" si="121"/>
        <v>#REF!</v>
      </c>
    </row>
    <row r="370" spans="2:24" ht="16.5" hidden="1" thickBot="1">
      <c r="B370" s="373" t="s">
        <v>832</v>
      </c>
      <c r="C370" s="501">
        <v>304</v>
      </c>
      <c r="D370" s="502">
        <f t="shared" ref="D370:I370" si="122">ROUND(MMULT($D15:$H15,D360:D364),2)</f>
        <v>1785.54</v>
      </c>
      <c r="E370" s="502">
        <f t="shared" si="122"/>
        <v>1789.24</v>
      </c>
      <c r="F370" s="502">
        <f t="shared" si="122"/>
        <v>1805.9</v>
      </c>
      <c r="G370" s="502">
        <f t="shared" si="122"/>
        <v>2025.4</v>
      </c>
      <c r="H370" s="502">
        <f t="shared" si="122"/>
        <v>2038.33</v>
      </c>
      <c r="I370" s="502">
        <f t="shared" si="122"/>
        <v>2048.48</v>
      </c>
      <c r="J370" s="502">
        <f t="shared" ref="J370:O370" si="123">ROUND(MMULT($D15:$H15,J360:J364),2)</f>
        <v>2062.11</v>
      </c>
      <c r="K370" s="502">
        <f t="shared" si="123"/>
        <v>2205.11</v>
      </c>
      <c r="L370" s="502">
        <f t="shared" si="123"/>
        <v>2210.2600000000002</v>
      </c>
      <c r="M370" s="502">
        <f t="shared" si="123"/>
        <v>2217.5100000000002</v>
      </c>
      <c r="N370" s="502" t="e">
        <f t="shared" si="123"/>
        <v>#REF!</v>
      </c>
      <c r="O370" s="503" t="e">
        <f t="shared" si="123"/>
        <v>#REF!</v>
      </c>
    </row>
    <row r="371" spans="2:24" ht="9.75" hidden="1" customHeight="1">
      <c r="B371" s="122" t="s">
        <v>527</v>
      </c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</row>
    <row r="372" spans="2:24" ht="9.9499999999999993" customHeight="1" thickBot="1"/>
    <row r="373" spans="2:24" ht="33" customHeight="1" thickBot="1">
      <c r="B373" s="365" t="s">
        <v>673</v>
      </c>
      <c r="C373" s="1452" t="s">
        <v>354</v>
      </c>
      <c r="D373" s="1233">
        <v>42370</v>
      </c>
      <c r="E373" s="1233">
        <v>42401</v>
      </c>
      <c r="F373" s="1233">
        <v>42430</v>
      </c>
      <c r="G373" s="1233">
        <v>42461</v>
      </c>
      <c r="H373" s="1233">
        <v>42491</v>
      </c>
      <c r="I373" s="1233">
        <v>42522</v>
      </c>
      <c r="J373" s="1233">
        <v>42552</v>
      </c>
      <c r="K373" s="1233">
        <v>42583</v>
      </c>
      <c r="L373" s="1233">
        <v>42614</v>
      </c>
      <c r="M373" s="1233">
        <v>42644</v>
      </c>
      <c r="N373" s="1233">
        <v>42675</v>
      </c>
      <c r="O373" s="1233">
        <v>42705</v>
      </c>
    </row>
    <row r="374" spans="2:24" ht="15.75">
      <c r="B374" s="377" t="s">
        <v>809</v>
      </c>
      <c r="C374" s="464">
        <v>50</v>
      </c>
      <c r="D374" s="1599">
        <f>+'Insumos testigos '!FY75</f>
        <v>100</v>
      </c>
      <c r="E374" s="1599">
        <f>+'Insumos testigos '!FZ75</f>
        <v>99.783813953399658</v>
      </c>
      <c r="F374" s="1599">
        <f>+'Insumos testigos '!GA75</f>
        <v>100.87615816821511</v>
      </c>
      <c r="G374" s="1599">
        <f>+'Insumos testigos '!GB75</f>
        <v>100.22949963232732</v>
      </c>
      <c r="H374" s="1599">
        <f>+'Insumos testigos '!GC75</f>
        <v>100.78803427714715</v>
      </c>
      <c r="I374" s="1599">
        <f>+'Insumos testigos '!GD75</f>
        <v>100.58199127217912</v>
      </c>
      <c r="J374" s="1599">
        <f>+'Insumos testigos '!GE75</f>
        <v>103.43743509474234</v>
      </c>
      <c r="K374" s="1599">
        <f>+'Insumos testigos '!GF75</f>
        <v>103.18511191617162</v>
      </c>
      <c r="L374" s="1599">
        <f>+'Insumos testigos '!GG75</f>
        <v>106.65424456948024</v>
      </c>
      <c r="M374" s="1599">
        <f>+'Insumos testigos '!GH75</f>
        <v>106.76391705789028</v>
      </c>
      <c r="N374" s="1599">
        <f>+'Insumos testigos '!GI75</f>
        <v>107.22291262721188</v>
      </c>
      <c r="O374" s="1599">
        <f>+'Insumos testigos '!GJ75</f>
        <v>108.0749841272218</v>
      </c>
    </row>
    <row r="375" spans="2:24" ht="15.75">
      <c r="B375" s="372" t="s">
        <v>810</v>
      </c>
      <c r="C375" s="283">
        <v>19</v>
      </c>
      <c r="D375" s="140">
        <f>+'Insumos testigos '!FY44</f>
        <v>100</v>
      </c>
      <c r="E375" s="140">
        <f>+'Insumos testigos '!FZ44</f>
        <v>100.35725831985474</v>
      </c>
      <c r="F375" s="140">
        <f>+'Insumos testigos '!GA44</f>
        <v>102.01115479188303</v>
      </c>
      <c r="G375" s="140">
        <f>+'Insumos testigos '!GB44</f>
        <v>100.81971243449372</v>
      </c>
      <c r="H375" s="140">
        <f>+'Insumos testigos '!GC44</f>
        <v>100.38317717319775</v>
      </c>
      <c r="I375" s="140">
        <f>+'Insumos testigos '!GD44</f>
        <v>102.93738965418783</v>
      </c>
      <c r="J375" s="140">
        <f>+'Insumos testigos '!GE44</f>
        <v>105.47037641850292</v>
      </c>
      <c r="K375" s="140">
        <f>+'Insumos testigos '!GF44</f>
        <v>104.61561027965898</v>
      </c>
      <c r="L375" s="140">
        <f>+'Insumos testigos '!GG44</f>
        <v>104.93336277617753</v>
      </c>
      <c r="M375" s="140">
        <f>+'Insumos testigos '!GH44</f>
        <v>106.27132879897177</v>
      </c>
      <c r="N375" s="140">
        <f>+'Insumos testigos '!GI44</f>
        <v>106.28008275292933</v>
      </c>
      <c r="O375" s="140">
        <f>+'Insumos testigos '!GJ44</f>
        <v>109.14947501226493</v>
      </c>
    </row>
    <row r="376" spans="2:24" ht="15.75">
      <c r="B376" s="372" t="s">
        <v>811</v>
      </c>
      <c r="C376" s="283">
        <v>58</v>
      </c>
      <c r="D376" s="140">
        <f>+'Insumos testigos '!FY82</f>
        <v>100</v>
      </c>
      <c r="E376" s="140">
        <f>+'Insumos testigos '!FZ82</f>
        <v>100.93601942062378</v>
      </c>
      <c r="F376" s="140">
        <f>+'Insumos testigos '!GA82</f>
        <v>103.20070647707382</v>
      </c>
      <c r="G376" s="140">
        <f>+'Insumos testigos '!GB82</f>
        <v>99.00613802477784</v>
      </c>
      <c r="H376" s="140">
        <f>+'Insumos testigos '!GC82</f>
        <v>98.635446631988685</v>
      </c>
      <c r="I376" s="140">
        <f>+'Insumos testigos '!GD82</f>
        <v>98.927192616761474</v>
      </c>
      <c r="J376" s="140">
        <f>+'Insumos testigos '!GE82</f>
        <v>105.40164252665805</v>
      </c>
      <c r="K376" s="140">
        <f>+'Insumos testigos '!GF82</f>
        <v>104.72021274961419</v>
      </c>
      <c r="L376" s="140">
        <f>+'Insumos testigos '!GG82</f>
        <v>105.72041304097503</v>
      </c>
      <c r="M376" s="140">
        <f>+'Insumos testigos '!GH82</f>
        <v>107.05709708294623</v>
      </c>
      <c r="N376" s="140">
        <f>+'Insumos testigos '!GI82</f>
        <v>110.95358832391013</v>
      </c>
      <c r="O376" s="140">
        <f>+'Insumos testigos '!GJ82</f>
        <v>117.62858718392752</v>
      </c>
    </row>
    <row r="377" spans="2:24" ht="15.75">
      <c r="B377" s="372" t="s">
        <v>821</v>
      </c>
      <c r="C377" s="283">
        <v>23</v>
      </c>
      <c r="D377" s="446">
        <f>+'Insumos testigos '!FY48</f>
        <v>100</v>
      </c>
      <c r="E377" s="446">
        <f>+'Insumos testigos '!FZ48</f>
        <v>101.85165405273437</v>
      </c>
      <c r="F377" s="446">
        <f>+'Insumos testigos '!GA48</f>
        <v>110.31372559473311</v>
      </c>
      <c r="G377" s="446">
        <f>+'Insumos testigos '!GB48</f>
        <v>112.26693130361051</v>
      </c>
      <c r="H377" s="446">
        <f>+'Insumos testigos '!GC48</f>
        <v>117.10072432172515</v>
      </c>
      <c r="I377" s="446">
        <f>+'Insumos testigos '!GD48</f>
        <v>117.72751956865645</v>
      </c>
      <c r="J377" s="446">
        <f>+'Insumos testigos '!GE48</f>
        <v>118.94340176423285</v>
      </c>
      <c r="K377" s="446">
        <f>+'Insumos testigos '!GF48</f>
        <v>122.31894893458582</v>
      </c>
      <c r="L377" s="446">
        <f>+'Insumos testigos '!GG48</f>
        <v>125.72725618209566</v>
      </c>
      <c r="M377" s="446">
        <f>+'Insumos testigos '!GH48</f>
        <v>127.92787824518986</v>
      </c>
      <c r="N377" s="446">
        <f>+'Insumos testigos '!GI48</f>
        <v>128.54212545759503</v>
      </c>
      <c r="O377" s="446">
        <f>+'Insumos testigos '!GJ48</f>
        <v>128.54212545759503</v>
      </c>
    </row>
    <row r="378" spans="2:24" ht="16.5" thickBot="1">
      <c r="B378" s="373" t="s">
        <v>834</v>
      </c>
      <c r="C378" s="282" t="s">
        <v>835</v>
      </c>
      <c r="D378" s="447">
        <f>+'Insumos testigos '!FY5*2.2521</f>
        <v>86.525682000000003</v>
      </c>
      <c r="E378" s="447">
        <f>+'Insumos testigos '!FZ5*2.2521</f>
        <v>86.525682000000003</v>
      </c>
      <c r="F378" s="447">
        <f>+'Insumos testigos '!GA5*2.2521</f>
        <v>86.525682000000003</v>
      </c>
      <c r="G378" s="447">
        <f>+'Insumos testigos '!GB5*2.2521</f>
        <v>105.555927</v>
      </c>
      <c r="H378" s="447">
        <f>+'Insumos testigos '!GC5*2.2521</f>
        <v>105.555927</v>
      </c>
      <c r="I378" s="447">
        <f>+'Insumos testigos '!GD5*2.2521</f>
        <v>105.555927</v>
      </c>
      <c r="J378" s="447">
        <f>+'Insumos testigos '!GE5*2.2521</f>
        <v>105.555927</v>
      </c>
      <c r="K378" s="447">
        <f>+'Insumos testigos '!GF5*2.2521</f>
        <v>105.555927</v>
      </c>
      <c r="L378" s="447">
        <f>+'Insumos testigos '!GG5*2.2521</f>
        <v>105.555927</v>
      </c>
      <c r="M378" s="447">
        <f>+'Insumos testigos '!GH5*2.2521</f>
        <v>115.93810799999999</v>
      </c>
      <c r="N378" s="447">
        <f>+'Insumos testigos '!GI5*2.2521</f>
        <v>115.93810799999999</v>
      </c>
      <c r="O378" s="447">
        <f>+'Insumos testigos '!GJ5*2.2521</f>
        <v>115.93810799999999</v>
      </c>
    </row>
    <row r="379" spans="2:24" ht="9.9499999999999993" customHeight="1" thickBot="1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275"/>
      <c r="O379" s="275"/>
    </row>
    <row r="380" spans="2:24" ht="15.75">
      <c r="B380" s="2623" t="s">
        <v>675</v>
      </c>
      <c r="C380" s="486" t="s">
        <v>836</v>
      </c>
      <c r="D380" s="516">
        <v>1</v>
      </c>
      <c r="E380" s="516">
        <f>ROUND(+E374/$D$374,3)</f>
        <v>0.998</v>
      </c>
      <c r="F380" s="516">
        <f t="shared" ref="F380:O380" si="124">ROUND(+F374/$D$374,3)</f>
        <v>1.0089999999999999</v>
      </c>
      <c r="G380" s="516">
        <f t="shared" si="124"/>
        <v>1.002</v>
      </c>
      <c r="H380" s="516">
        <f t="shared" si="124"/>
        <v>1.008</v>
      </c>
      <c r="I380" s="516">
        <f t="shared" si="124"/>
        <v>1.006</v>
      </c>
      <c r="J380" s="516">
        <f t="shared" si="124"/>
        <v>1.034</v>
      </c>
      <c r="K380" s="516">
        <f t="shared" si="124"/>
        <v>1.032</v>
      </c>
      <c r="L380" s="516">
        <f t="shared" si="124"/>
        <v>1.0669999999999999</v>
      </c>
      <c r="M380" s="516">
        <f t="shared" si="124"/>
        <v>1.0680000000000001</v>
      </c>
      <c r="N380" s="516">
        <f t="shared" si="124"/>
        <v>1.0720000000000001</v>
      </c>
      <c r="O380" s="516">
        <f t="shared" si="124"/>
        <v>1.081</v>
      </c>
      <c r="S380" s="50">
        <v>1626.86</v>
      </c>
      <c r="T380" s="50">
        <v>1658.86</v>
      </c>
      <c r="U380" s="50">
        <v>1723.42</v>
      </c>
      <c r="V380" s="50">
        <v>1830.53</v>
      </c>
      <c r="W380" s="50">
        <v>1835.55</v>
      </c>
      <c r="X380" s="50">
        <v>1865.7</v>
      </c>
    </row>
    <row r="381" spans="2:24" ht="15.75">
      <c r="B381" s="2624"/>
      <c r="C381" s="489" t="s">
        <v>837</v>
      </c>
      <c r="D381" s="391">
        <v>1</v>
      </c>
      <c r="E381" s="391">
        <f>ROUND(+E375/$D$375,3)</f>
        <v>1.004</v>
      </c>
      <c r="F381" s="391">
        <f t="shared" ref="F381:O381" si="125">ROUND(+F375/$D$375,3)</f>
        <v>1.02</v>
      </c>
      <c r="G381" s="391">
        <f t="shared" si="125"/>
        <v>1.008</v>
      </c>
      <c r="H381" s="391">
        <f t="shared" si="125"/>
        <v>1.004</v>
      </c>
      <c r="I381" s="391">
        <f t="shared" si="125"/>
        <v>1.0289999999999999</v>
      </c>
      <c r="J381" s="391">
        <f t="shared" si="125"/>
        <v>1.0549999999999999</v>
      </c>
      <c r="K381" s="391">
        <f t="shared" si="125"/>
        <v>1.046</v>
      </c>
      <c r="L381" s="391">
        <f t="shared" si="125"/>
        <v>1.0489999999999999</v>
      </c>
      <c r="M381" s="391">
        <f t="shared" si="125"/>
        <v>1.0629999999999999</v>
      </c>
      <c r="N381" s="391">
        <f t="shared" si="125"/>
        <v>1.0629999999999999</v>
      </c>
      <c r="O381" s="391">
        <f t="shared" si="125"/>
        <v>1.091</v>
      </c>
      <c r="S381" s="50">
        <v>1671.15</v>
      </c>
      <c r="T381" s="50">
        <v>1701.67</v>
      </c>
      <c r="U381" s="50">
        <v>1762.24</v>
      </c>
      <c r="V381" s="50">
        <v>1859.62</v>
      </c>
      <c r="W381" s="50">
        <v>1863.79</v>
      </c>
      <c r="X381" s="50">
        <v>1891.17</v>
      </c>
    </row>
    <row r="382" spans="2:24" ht="15.75">
      <c r="B382" s="2624"/>
      <c r="C382" s="489" t="s">
        <v>838</v>
      </c>
      <c r="D382" s="391">
        <v>1</v>
      </c>
      <c r="E382" s="391">
        <f>ROUND(+E376/$D$376,3)</f>
        <v>1.0089999999999999</v>
      </c>
      <c r="F382" s="391">
        <f t="shared" ref="F382:O382" si="126">ROUND(+F376/$D$376,3)</f>
        <v>1.032</v>
      </c>
      <c r="G382" s="391">
        <f t="shared" si="126"/>
        <v>0.99</v>
      </c>
      <c r="H382" s="391">
        <f t="shared" si="126"/>
        <v>0.98599999999999999</v>
      </c>
      <c r="I382" s="391">
        <f t="shared" si="126"/>
        <v>0.98899999999999999</v>
      </c>
      <c r="J382" s="391">
        <f t="shared" si="126"/>
        <v>1.054</v>
      </c>
      <c r="K382" s="391">
        <f t="shared" si="126"/>
        <v>1.0469999999999999</v>
      </c>
      <c r="L382" s="391">
        <f t="shared" si="126"/>
        <v>1.0569999999999999</v>
      </c>
      <c r="M382" s="391">
        <f t="shared" si="126"/>
        <v>1.071</v>
      </c>
      <c r="N382" s="391">
        <f t="shared" si="126"/>
        <v>1.1100000000000001</v>
      </c>
      <c r="O382" s="391">
        <f t="shared" si="126"/>
        <v>1.1759999999999999</v>
      </c>
      <c r="S382" s="50">
        <v>1743.2</v>
      </c>
      <c r="T382" s="50">
        <v>1771.41</v>
      </c>
      <c r="U382" s="50">
        <v>1832.09</v>
      </c>
      <c r="V382" s="50">
        <v>1929.86</v>
      </c>
      <c r="W382" s="50">
        <v>1935.63</v>
      </c>
      <c r="X382" s="50">
        <v>1965.28</v>
      </c>
    </row>
    <row r="383" spans="2:24" ht="15.75">
      <c r="B383" s="2624"/>
      <c r="C383" s="489" t="s">
        <v>839</v>
      </c>
      <c r="D383" s="391">
        <v>1</v>
      </c>
      <c r="E383" s="391">
        <f>ROUND(+E377/$D$377,3)</f>
        <v>1.0189999999999999</v>
      </c>
      <c r="F383" s="391">
        <f t="shared" ref="F383:O383" si="127">ROUND(+F377/$D$377,3)</f>
        <v>1.103</v>
      </c>
      <c r="G383" s="391">
        <f t="shared" si="127"/>
        <v>1.123</v>
      </c>
      <c r="H383" s="391">
        <f t="shared" si="127"/>
        <v>1.171</v>
      </c>
      <c r="I383" s="391">
        <f t="shared" si="127"/>
        <v>1.177</v>
      </c>
      <c r="J383" s="391">
        <f t="shared" si="127"/>
        <v>1.1890000000000001</v>
      </c>
      <c r="K383" s="391">
        <f t="shared" si="127"/>
        <v>1.2230000000000001</v>
      </c>
      <c r="L383" s="391">
        <f t="shared" si="127"/>
        <v>1.2569999999999999</v>
      </c>
      <c r="M383" s="391">
        <f t="shared" si="127"/>
        <v>1.2789999999999999</v>
      </c>
      <c r="N383" s="391">
        <f t="shared" si="127"/>
        <v>1.2849999999999999</v>
      </c>
      <c r="O383" s="391">
        <f t="shared" si="127"/>
        <v>1.2849999999999999</v>
      </c>
      <c r="S383" s="50">
        <v>2217.5100000000002</v>
      </c>
      <c r="T383" s="50">
        <v>2229.0500000000002</v>
      </c>
      <c r="U383" s="50">
        <v>2255.5</v>
      </c>
      <c r="V383" s="50">
        <v>2293.1</v>
      </c>
      <c r="W383" s="50">
        <v>2298.23</v>
      </c>
      <c r="X383" s="50">
        <v>2327.2800000000002</v>
      </c>
    </row>
    <row r="384" spans="2:24" ht="16.5" thickBot="1">
      <c r="B384" s="2625"/>
      <c r="C384" s="492" t="s">
        <v>677</v>
      </c>
      <c r="D384" s="685">
        <v>1</v>
      </c>
      <c r="E384" s="685">
        <f>ROUND(+E378/$D$378,3)</f>
        <v>1</v>
      </c>
      <c r="F384" s="685">
        <f t="shared" ref="F384:O384" si="128">ROUND(+F378/$D$378,3)</f>
        <v>1</v>
      </c>
      <c r="G384" s="685">
        <f t="shared" si="128"/>
        <v>1.22</v>
      </c>
      <c r="H384" s="685">
        <f t="shared" si="128"/>
        <v>1.22</v>
      </c>
      <c r="I384" s="685">
        <f t="shared" si="128"/>
        <v>1.22</v>
      </c>
      <c r="J384" s="685">
        <f t="shared" si="128"/>
        <v>1.22</v>
      </c>
      <c r="K384" s="685">
        <f t="shared" si="128"/>
        <v>1.22</v>
      </c>
      <c r="L384" s="685">
        <f t="shared" si="128"/>
        <v>1.22</v>
      </c>
      <c r="M384" s="685">
        <f t="shared" si="128"/>
        <v>1.34</v>
      </c>
      <c r="N384" s="685">
        <f t="shared" si="128"/>
        <v>1.34</v>
      </c>
      <c r="O384" s="685">
        <f t="shared" si="128"/>
        <v>1.34</v>
      </c>
    </row>
    <row r="385" spans="2:24" ht="9.9499999999999993" customHeight="1" thickBot="1">
      <c r="B385" s="132"/>
      <c r="C385" s="363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375"/>
      <c r="O385" s="132"/>
    </row>
    <row r="386" spans="2:24" ht="22.5" customHeight="1" thickBot="1">
      <c r="B386" s="365" t="s">
        <v>860</v>
      </c>
      <c r="C386" s="1452" t="s">
        <v>354</v>
      </c>
      <c r="D386" s="1233">
        <v>42370</v>
      </c>
      <c r="E386" s="1233">
        <v>42401</v>
      </c>
      <c r="F386" s="1233">
        <v>42430</v>
      </c>
      <c r="G386" s="1233">
        <v>42461</v>
      </c>
      <c r="H386" s="1233">
        <v>42491</v>
      </c>
      <c r="I386" s="1233">
        <v>42522</v>
      </c>
      <c r="J386" s="1233">
        <v>42552</v>
      </c>
      <c r="K386" s="1233">
        <v>42583</v>
      </c>
      <c r="L386" s="1233">
        <v>42614</v>
      </c>
      <c r="M386" s="1233">
        <v>42644</v>
      </c>
      <c r="N386" s="1233">
        <v>42675</v>
      </c>
      <c r="O386" s="1428">
        <v>42705</v>
      </c>
    </row>
    <row r="387" spans="2:24" ht="15.75">
      <c r="B387" s="377" t="s">
        <v>820</v>
      </c>
      <c r="C387" s="495">
        <v>301</v>
      </c>
      <c r="D387" s="496">
        <f>ROUND(MMULT($D12:$H12,D380:D384),2)</f>
        <v>100</v>
      </c>
      <c r="E387" s="496">
        <f>ROUND(MMULT($D12:$H12,E380:E384),2)</f>
        <v>100.25</v>
      </c>
      <c r="F387" s="496">
        <f>ROUND(MMULT($D12:$H12,F380:F384),2)</f>
        <v>102</v>
      </c>
      <c r="G387" s="496">
        <f t="shared" ref="G387:L387" si="129">ROUND(MMULT($D$12:$H$12,G380:G384),2)</f>
        <v>104.68</v>
      </c>
      <c r="H387" s="496">
        <f t="shared" si="129"/>
        <v>105.18</v>
      </c>
      <c r="I387" s="496">
        <f t="shared" si="129"/>
        <v>105.77</v>
      </c>
      <c r="J387" s="496">
        <f t="shared" si="129"/>
        <v>108.32</v>
      </c>
      <c r="K387" s="496">
        <f t="shared" si="129"/>
        <v>108.22</v>
      </c>
      <c r="L387" s="496">
        <f t="shared" si="129"/>
        <v>110.14</v>
      </c>
      <c r="M387" s="496">
        <f>ROUND(MMULT($D$12:$H$12,M380:M384),2)</f>
        <v>112.75</v>
      </c>
      <c r="N387" s="496">
        <f>ROUND(MMULT($D$12:$H$12,N380:N384),2)</f>
        <v>113.36</v>
      </c>
      <c r="O387" s="497">
        <f>ROUND(MMULT($D$12:$H$12,O380:O384),2)</f>
        <v>115.07</v>
      </c>
    </row>
    <row r="388" spans="2:24" ht="15.75">
      <c r="B388" s="372" t="s">
        <v>827</v>
      </c>
      <c r="C388" s="281">
        <v>302</v>
      </c>
      <c r="D388" s="498">
        <f>ROUND(MMULT($D13:$H13,D380:D384),2)</f>
        <v>100</v>
      </c>
      <c r="E388" s="498">
        <f>ROUND(MMULT($D13:$H13,E380:E384),2)</f>
        <v>100.21</v>
      </c>
      <c r="F388" s="498">
        <f>ROUND(MMULT($D13:$H13,F380:F384),2)</f>
        <v>101.81</v>
      </c>
      <c r="G388" s="498">
        <f t="shared" ref="G388:L388" si="130">ROUND(MMULT($D$13:$H$13,G380:G384),2)</f>
        <v>105.23</v>
      </c>
      <c r="H388" s="498">
        <f t="shared" si="130"/>
        <v>105.71</v>
      </c>
      <c r="I388" s="498">
        <f t="shared" si="130"/>
        <v>106.23</v>
      </c>
      <c r="J388" s="498">
        <f t="shared" si="130"/>
        <v>108.64</v>
      </c>
      <c r="K388" s="498">
        <f t="shared" si="130"/>
        <v>108.54</v>
      </c>
      <c r="L388" s="498">
        <f t="shared" si="130"/>
        <v>110.46</v>
      </c>
      <c r="M388" s="498">
        <f>ROUND(MMULT($D$13:$H$13,M380:M384),2)</f>
        <v>113.36</v>
      </c>
      <c r="N388" s="498">
        <f>ROUND(MMULT($D$13:$H$13,N380:N384),2)</f>
        <v>113.89</v>
      </c>
      <c r="O388" s="499">
        <f>ROUND(MMULT($D$13:$H$13,O380:O384),2)</f>
        <v>115.43</v>
      </c>
    </row>
    <row r="389" spans="2:24" ht="15.75">
      <c r="B389" s="372" t="s">
        <v>828</v>
      </c>
      <c r="C389" s="281">
        <v>303</v>
      </c>
      <c r="D389" s="500">
        <f>ROUND(MMULT($D14:$H14,D380:D384),2)</f>
        <v>100</v>
      </c>
      <c r="E389" s="500">
        <f>ROUND(MMULT($D14:$H14,E380:E384),2)</f>
        <v>100.31</v>
      </c>
      <c r="F389" s="500">
        <f>ROUND(MMULT($D14:$H14,F380:F384),2)</f>
        <v>102.04</v>
      </c>
      <c r="G389" s="500">
        <f t="shared" ref="G389:L389" si="131">ROUND(MMULT($D$14:$H$14,G380:G384),2)</f>
        <v>105.87</v>
      </c>
      <c r="H389" s="500">
        <f t="shared" si="131"/>
        <v>106.32</v>
      </c>
      <c r="I389" s="500">
        <f t="shared" si="131"/>
        <v>106.8</v>
      </c>
      <c r="J389" s="500">
        <f t="shared" si="131"/>
        <v>109.45</v>
      </c>
      <c r="K389" s="500">
        <f t="shared" si="131"/>
        <v>109.37</v>
      </c>
      <c r="L389" s="500">
        <f t="shared" si="131"/>
        <v>111.09</v>
      </c>
      <c r="M389" s="500">
        <f>ROUND(MMULT($D$14:$H$14,M380:M384),2)</f>
        <v>114.43</v>
      </c>
      <c r="N389" s="500">
        <f>ROUND(MMULT($D$14:$H$14,N380:N384),2)</f>
        <v>115.28</v>
      </c>
      <c r="O389" s="499">
        <f>ROUND(MMULT($D$14:$H$14,O380:O384),2)</f>
        <v>117.23</v>
      </c>
    </row>
    <row r="390" spans="2:24" ht="16.5" thickBot="1">
      <c r="B390" s="373" t="s">
        <v>832</v>
      </c>
      <c r="C390" s="501">
        <v>304</v>
      </c>
      <c r="D390" s="502">
        <f>ROUND(MMULT($D15:$H15,D380:D384),2)</f>
        <v>100</v>
      </c>
      <c r="E390" s="502">
        <f>ROUND(MMULT($D15:$H15,E380:E384),2)</f>
        <v>100.27</v>
      </c>
      <c r="F390" s="502">
        <f>ROUND(MMULT($D15:$H15,F380:F384),2)</f>
        <v>101.95</v>
      </c>
      <c r="G390" s="502">
        <f t="shared" ref="G390:L390" si="132">ROUND(MMULT($D$15:$H$15,G380:G384),2)</f>
        <v>112.06</v>
      </c>
      <c r="H390" s="502">
        <f t="shared" si="132"/>
        <v>112.89</v>
      </c>
      <c r="I390" s="502">
        <f t="shared" si="132"/>
        <v>112.93</v>
      </c>
      <c r="J390" s="502">
        <f t="shared" si="132"/>
        <v>114.45</v>
      </c>
      <c r="K390" s="502">
        <f t="shared" si="132"/>
        <v>114.82</v>
      </c>
      <c r="L390" s="502">
        <f t="shared" si="132"/>
        <v>116.48</v>
      </c>
      <c r="M390" s="502">
        <f>ROUND(MMULT($D$15:$H$15,M380:M384),2)</f>
        <v>122.56</v>
      </c>
      <c r="N390" s="502">
        <f>ROUND(MMULT($D$15:$H$15,N380:N384),2)</f>
        <v>123.04</v>
      </c>
      <c r="O390" s="503">
        <f>ROUND(MMULT($D$15:$H$15,O380:O384),2)</f>
        <v>123.79</v>
      </c>
    </row>
    <row r="391" spans="2:24" ht="15.75">
      <c r="B391" s="122" t="s">
        <v>527</v>
      </c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</row>
    <row r="392" spans="2:24" ht="9.9499999999999993" hidden="1" customHeight="1"/>
    <row r="393" spans="2:24" ht="33" hidden="1" customHeight="1" thickBot="1">
      <c r="B393" s="365" t="s">
        <v>673</v>
      </c>
      <c r="C393" s="1452" t="s">
        <v>354</v>
      </c>
      <c r="D393" s="1233">
        <v>42736</v>
      </c>
      <c r="E393" s="1233">
        <v>42767</v>
      </c>
      <c r="F393" s="1233">
        <v>42795</v>
      </c>
      <c r="G393" s="1233">
        <v>42826</v>
      </c>
      <c r="H393" s="1233">
        <v>42856</v>
      </c>
      <c r="I393" s="1233">
        <v>42887</v>
      </c>
      <c r="J393" s="1233">
        <v>42917</v>
      </c>
      <c r="K393" s="1233">
        <v>42948</v>
      </c>
      <c r="L393" s="1233">
        <v>42979</v>
      </c>
      <c r="M393" s="1233">
        <v>43009</v>
      </c>
      <c r="N393" s="1233">
        <v>43040</v>
      </c>
      <c r="O393" s="1428">
        <v>43070</v>
      </c>
    </row>
    <row r="394" spans="2:24" ht="15.75" hidden="1">
      <c r="B394" s="377" t="s">
        <v>809</v>
      </c>
      <c r="C394" s="464">
        <v>50</v>
      </c>
      <c r="D394" s="1266">
        <f>+'Insumos testigos '!GK75</f>
        <v>109.25101961500488</v>
      </c>
      <c r="E394" s="1266">
        <f>+'Insumos testigos '!GL75</f>
        <v>109.3556262660187</v>
      </c>
      <c r="F394" s="1266">
        <f>+'Insumos testigos '!GM75</f>
        <v>110.20579551013699</v>
      </c>
      <c r="G394" s="1266">
        <f>+'Insumos testigos '!GN75</f>
        <v>110.20579551013699</v>
      </c>
      <c r="H394" s="1266">
        <f>+'Insumos testigos '!GO75</f>
        <v>110.46446082240324</v>
      </c>
      <c r="I394" s="1266">
        <f>+'Insumos testigos '!GP75</f>
        <v>113.69523310447326</v>
      </c>
      <c r="J394" s="1266">
        <f>+'Insumos testigos '!GQ75</f>
        <v>114.35457157932312</v>
      </c>
      <c r="K394" s="1266">
        <f>+'Insumos testigos '!GR75</f>
        <v>115.53948971070396</v>
      </c>
      <c r="L394" s="1266">
        <f>+'Insumos testigos '!GS75</f>
        <v>117.35838856397091</v>
      </c>
      <c r="M394" s="1266">
        <f>+'Insumos testigos '!GT75</f>
        <v>118.57944011334295</v>
      </c>
      <c r="N394" s="1266">
        <f>+'Insumos testigos '!GU75</f>
        <v>121.44757387517295</v>
      </c>
      <c r="O394" s="1266">
        <f>+'Insumos testigos '!GV75</f>
        <v>123.90615884515938</v>
      </c>
    </row>
    <row r="395" spans="2:24" ht="15.75" hidden="1">
      <c r="B395" s="372" t="s">
        <v>810</v>
      </c>
      <c r="C395" s="283">
        <v>19</v>
      </c>
      <c r="D395" s="140">
        <f>+'Insumos testigos '!GK44</f>
        <v>110.30939689083743</v>
      </c>
      <c r="E395" s="140">
        <f>+'Insumos testigos '!GL44</f>
        <v>110.98368456101721</v>
      </c>
      <c r="F395" s="140">
        <f>+'Insumos testigos '!GM44</f>
        <v>112.31585530759799</v>
      </c>
      <c r="G395" s="140">
        <f>+'Insumos testigos '!GN44</f>
        <v>111.49594740017506</v>
      </c>
      <c r="H395" s="140">
        <f>+'Insumos testigos '!GO44</f>
        <v>113.92992635921773</v>
      </c>
      <c r="I395" s="140">
        <f>+'Insumos testigos '!GP44</f>
        <v>114.04239480692451</v>
      </c>
      <c r="J395" s="140">
        <f>+'Insumos testigos '!GQ44</f>
        <v>117.57312962673089</v>
      </c>
      <c r="K395" s="140">
        <f>+'Insumos testigos '!GR44</f>
        <v>122.15173009866648</v>
      </c>
      <c r="L395" s="140">
        <f>+'Insumos testigos '!GS44</f>
        <v>122.89824615892799</v>
      </c>
      <c r="M395" s="140">
        <f>+'Insumos testigos '!GT44</f>
        <v>126.00165612722706</v>
      </c>
      <c r="N395" s="140">
        <f>+'Insumos testigos '!GU44</f>
        <v>129.0698174106214</v>
      </c>
      <c r="O395" s="140">
        <f>+'Insumos testigos '!GV44</f>
        <v>130.24063952507248</v>
      </c>
    </row>
    <row r="396" spans="2:24" ht="15.75" hidden="1">
      <c r="B396" s="372" t="s">
        <v>811</v>
      </c>
      <c r="C396" s="283">
        <v>58</v>
      </c>
      <c r="D396" s="127">
        <f>+'Insumos testigos '!GK82</f>
        <v>121.7040914673928</v>
      </c>
      <c r="E396" s="127">
        <f>+'Insumos testigos '!GL82</f>
        <v>122.11193311588083</v>
      </c>
      <c r="F396" s="127">
        <f>+'Insumos testigos '!GM82</f>
        <v>121.50649805320742</v>
      </c>
      <c r="G396" s="127">
        <f>+'Insumos testigos '!GN82</f>
        <v>121.72520258846588</v>
      </c>
      <c r="H396" s="127">
        <f>+'Insumos testigos '!GO82</f>
        <v>125.1179378511941</v>
      </c>
      <c r="I396" s="127">
        <f>+'Insumos testigos '!GP82</f>
        <v>126.83330752830742</v>
      </c>
      <c r="J396" s="127">
        <f>+'Insumos testigos '!GQ82</f>
        <v>131.69442988259058</v>
      </c>
      <c r="K396" s="127">
        <f>+'Insumos testigos '!GR82</f>
        <v>133.75515389659606</v>
      </c>
      <c r="L396" s="127">
        <f>+'Insumos testigos '!GS82</f>
        <v>138.32791561884952</v>
      </c>
      <c r="M396" s="127">
        <f>+'Insumos testigos '!GT82</f>
        <v>138.32791561884952</v>
      </c>
      <c r="N396" s="127">
        <f>+'Insumos testigos '!GU82</f>
        <v>139.28797831044807</v>
      </c>
      <c r="O396" s="127">
        <f>+'Insumos testigos '!GV82</f>
        <v>142.88421361032283</v>
      </c>
    </row>
    <row r="397" spans="2:24" ht="15.75" hidden="1">
      <c r="B397" s="372" t="s">
        <v>821</v>
      </c>
      <c r="C397" s="283">
        <v>23</v>
      </c>
      <c r="D397" s="310">
        <f>+'Insumos testigos '!GK48</f>
        <v>128.54212545759503</v>
      </c>
      <c r="E397" s="310">
        <f>+'Insumos testigos '!GL48</f>
        <v>128.54212545759503</v>
      </c>
      <c r="F397" s="310">
        <f>+'Insumos testigos '!GM48</f>
        <v>129.76189997449646</v>
      </c>
      <c r="G397" s="310">
        <f>+'Insumos testigos '!GN48</f>
        <v>129.76189997449646</v>
      </c>
      <c r="H397" s="310">
        <f>+'Insumos testigos '!GO48</f>
        <v>129.76189997449646</v>
      </c>
      <c r="I397" s="310">
        <f>+'Insumos testigos '!GP48</f>
        <v>132.82669164866303</v>
      </c>
      <c r="J397" s="310">
        <f>+'Insumos testigos '!GQ48</f>
        <v>132.82669164866303</v>
      </c>
      <c r="K397" s="310">
        <f>+'Insumos testigos '!GR48</f>
        <v>134.67786511160767</v>
      </c>
      <c r="L397" s="310">
        <f>+'Insumos testigos '!GS48</f>
        <v>140.31854492077053</v>
      </c>
      <c r="M397" s="310">
        <f>+'Insumos testigos '!GT48</f>
        <v>143.87633574773233</v>
      </c>
      <c r="N397" s="310">
        <f>+'Insumos testigos '!GU48</f>
        <v>143.87633574773233</v>
      </c>
      <c r="O397" s="310">
        <f>+'Insumos testigos '!GV48</f>
        <v>145.29379569955455</v>
      </c>
    </row>
    <row r="398" spans="2:24" ht="16.5" hidden="1" thickBot="1">
      <c r="B398" s="373" t="s">
        <v>834</v>
      </c>
      <c r="C398" s="282" t="s">
        <v>835</v>
      </c>
      <c r="D398" s="447">
        <f>+'Insumos testigos '!GK5*2.2521</f>
        <v>120.26214</v>
      </c>
      <c r="E398" s="447">
        <f>+'Insumos testigos '!GL5*2.2521</f>
        <v>120.26214</v>
      </c>
      <c r="F398" s="447">
        <f>+'Insumos testigos '!GM5*2.2521</f>
        <v>120.26214</v>
      </c>
      <c r="G398" s="447">
        <f>+'Insumos testigos '!GN5*2.2521</f>
        <v>133.50448800000001</v>
      </c>
      <c r="H398" s="447">
        <f>+'Insumos testigos '!GO5*2.2521</f>
        <v>133.50448800000001</v>
      </c>
      <c r="I398" s="447">
        <f>+'Insumos testigos '!GP5*2.2521</f>
        <v>133.50448800000001</v>
      </c>
      <c r="J398" s="447">
        <f>+'Insumos testigos '!GQ5*2.2521</f>
        <v>146.85944099999998</v>
      </c>
      <c r="K398" s="447">
        <f>+'Insumos testigos '!GR5*2.2521</f>
        <v>146.85944099999998</v>
      </c>
      <c r="L398" s="447">
        <f>+'Insumos testigos '!GS5*2.2521</f>
        <v>146.85944099999998</v>
      </c>
      <c r="M398" s="447">
        <f>+'Insumos testigos '!GT5*2.2521</f>
        <v>146.85944099999998</v>
      </c>
      <c r="N398" s="447">
        <f>+'Insumos testigos '!GU5*2.2521</f>
        <v>146.85944099999998</v>
      </c>
      <c r="O398" s="447">
        <f>+'Insumos testigos '!GV5*2.2521</f>
        <v>146.85944099999998</v>
      </c>
    </row>
    <row r="399" spans="2:24" ht="9.9499999999999993" hidden="1" customHeight="1" thickBot="1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275"/>
      <c r="O399" s="275"/>
    </row>
    <row r="400" spans="2:24" ht="15.75" hidden="1">
      <c r="B400" s="2623" t="s">
        <v>675</v>
      </c>
      <c r="C400" s="486" t="s">
        <v>836</v>
      </c>
      <c r="D400" s="516">
        <f t="shared" ref="D400:O400" si="133">ROUND(+D394/$D$374,3)</f>
        <v>1.093</v>
      </c>
      <c r="E400" s="516">
        <f t="shared" si="133"/>
        <v>1.0940000000000001</v>
      </c>
      <c r="F400" s="516">
        <f t="shared" si="133"/>
        <v>1.1020000000000001</v>
      </c>
      <c r="G400" s="516">
        <f t="shared" si="133"/>
        <v>1.1020000000000001</v>
      </c>
      <c r="H400" s="516">
        <f t="shared" si="133"/>
        <v>1.105</v>
      </c>
      <c r="I400" s="516">
        <f t="shared" si="133"/>
        <v>1.137</v>
      </c>
      <c r="J400" s="516">
        <f t="shared" si="133"/>
        <v>1.1439999999999999</v>
      </c>
      <c r="K400" s="516">
        <f t="shared" si="133"/>
        <v>1.155</v>
      </c>
      <c r="L400" s="516">
        <f t="shared" si="133"/>
        <v>1.1739999999999999</v>
      </c>
      <c r="M400" s="516">
        <f t="shared" si="133"/>
        <v>1.1859999999999999</v>
      </c>
      <c r="N400" s="516">
        <f t="shared" si="133"/>
        <v>1.214</v>
      </c>
      <c r="O400" s="516">
        <f t="shared" si="133"/>
        <v>1.2390000000000001</v>
      </c>
      <c r="S400" s="50">
        <v>1626.86</v>
      </c>
      <c r="T400" s="50">
        <v>1658.86</v>
      </c>
      <c r="U400" s="50">
        <v>1723.42</v>
      </c>
      <c r="V400" s="50">
        <v>1830.53</v>
      </c>
      <c r="W400" s="50">
        <v>1835.55</v>
      </c>
      <c r="X400" s="50">
        <v>1865.7</v>
      </c>
    </row>
    <row r="401" spans="2:24" ht="15.75" hidden="1">
      <c r="B401" s="2624"/>
      <c r="C401" s="489" t="s">
        <v>837</v>
      </c>
      <c r="D401" s="391">
        <f t="shared" ref="D401:O401" si="134">ROUND(+D395/$D$375,3)</f>
        <v>1.103</v>
      </c>
      <c r="E401" s="391">
        <f t="shared" si="134"/>
        <v>1.1100000000000001</v>
      </c>
      <c r="F401" s="391">
        <f t="shared" si="134"/>
        <v>1.123</v>
      </c>
      <c r="G401" s="391">
        <f t="shared" si="134"/>
        <v>1.115</v>
      </c>
      <c r="H401" s="391">
        <f t="shared" si="134"/>
        <v>1.139</v>
      </c>
      <c r="I401" s="391">
        <f t="shared" si="134"/>
        <v>1.1399999999999999</v>
      </c>
      <c r="J401" s="391">
        <f t="shared" si="134"/>
        <v>1.1759999999999999</v>
      </c>
      <c r="K401" s="391">
        <f t="shared" si="134"/>
        <v>1.222</v>
      </c>
      <c r="L401" s="391">
        <f t="shared" si="134"/>
        <v>1.2290000000000001</v>
      </c>
      <c r="M401" s="391">
        <f t="shared" si="134"/>
        <v>1.26</v>
      </c>
      <c r="N401" s="391">
        <f t="shared" si="134"/>
        <v>1.2909999999999999</v>
      </c>
      <c r="O401" s="391">
        <f t="shared" si="134"/>
        <v>1.302</v>
      </c>
      <c r="S401" s="50">
        <v>1671.15</v>
      </c>
      <c r="T401" s="50">
        <v>1701.67</v>
      </c>
      <c r="U401" s="50">
        <v>1762.24</v>
      </c>
      <c r="V401" s="50">
        <v>1859.62</v>
      </c>
      <c r="W401" s="50">
        <v>1863.79</v>
      </c>
      <c r="X401" s="50">
        <v>1891.17</v>
      </c>
    </row>
    <row r="402" spans="2:24" ht="15.75" hidden="1">
      <c r="B402" s="2624"/>
      <c r="C402" s="489" t="s">
        <v>838</v>
      </c>
      <c r="D402" s="391">
        <f t="shared" ref="D402:O402" si="135">ROUND(+D396/$D$376,3)</f>
        <v>1.2170000000000001</v>
      </c>
      <c r="E402" s="391">
        <f t="shared" si="135"/>
        <v>1.2210000000000001</v>
      </c>
      <c r="F402" s="391">
        <f t="shared" si="135"/>
        <v>1.2150000000000001</v>
      </c>
      <c r="G402" s="391">
        <f t="shared" si="135"/>
        <v>1.2170000000000001</v>
      </c>
      <c r="H402" s="391">
        <f t="shared" si="135"/>
        <v>1.2509999999999999</v>
      </c>
      <c r="I402" s="391">
        <f t="shared" si="135"/>
        <v>1.268</v>
      </c>
      <c r="J402" s="391">
        <f t="shared" si="135"/>
        <v>1.3169999999999999</v>
      </c>
      <c r="K402" s="391">
        <f t="shared" si="135"/>
        <v>1.3380000000000001</v>
      </c>
      <c r="L402" s="391">
        <f t="shared" si="135"/>
        <v>1.383</v>
      </c>
      <c r="M402" s="391">
        <f t="shared" si="135"/>
        <v>1.383</v>
      </c>
      <c r="N402" s="391">
        <f t="shared" si="135"/>
        <v>1.393</v>
      </c>
      <c r="O402" s="391">
        <f t="shared" si="135"/>
        <v>1.429</v>
      </c>
      <c r="S402" s="50">
        <v>1743.2</v>
      </c>
      <c r="T402" s="50">
        <v>1771.41</v>
      </c>
      <c r="U402" s="50">
        <v>1832.09</v>
      </c>
      <c r="V402" s="50">
        <v>1929.86</v>
      </c>
      <c r="W402" s="50">
        <v>1935.63</v>
      </c>
      <c r="X402" s="50">
        <v>1965.28</v>
      </c>
    </row>
    <row r="403" spans="2:24" ht="15.75" hidden="1">
      <c r="B403" s="2624"/>
      <c r="C403" s="489" t="s">
        <v>839</v>
      </c>
      <c r="D403" s="391">
        <f t="shared" ref="D403:O403" si="136">ROUND(+D397/$D$377,3)</f>
        <v>1.2849999999999999</v>
      </c>
      <c r="E403" s="391">
        <f t="shared" si="136"/>
        <v>1.2849999999999999</v>
      </c>
      <c r="F403" s="391">
        <f t="shared" si="136"/>
        <v>1.298</v>
      </c>
      <c r="G403" s="391">
        <f t="shared" si="136"/>
        <v>1.298</v>
      </c>
      <c r="H403" s="391">
        <f t="shared" si="136"/>
        <v>1.298</v>
      </c>
      <c r="I403" s="391">
        <f t="shared" si="136"/>
        <v>1.3280000000000001</v>
      </c>
      <c r="J403" s="391">
        <f t="shared" si="136"/>
        <v>1.3280000000000001</v>
      </c>
      <c r="K403" s="391">
        <f t="shared" si="136"/>
        <v>1.347</v>
      </c>
      <c r="L403" s="391">
        <f t="shared" si="136"/>
        <v>1.403</v>
      </c>
      <c r="M403" s="391">
        <f t="shared" si="136"/>
        <v>1.4390000000000001</v>
      </c>
      <c r="N403" s="391">
        <f t="shared" si="136"/>
        <v>1.4390000000000001</v>
      </c>
      <c r="O403" s="391">
        <f t="shared" si="136"/>
        <v>1.4530000000000001</v>
      </c>
      <c r="S403" s="50">
        <v>2217.5100000000002</v>
      </c>
      <c r="T403" s="50">
        <v>2229.0500000000002</v>
      </c>
      <c r="U403" s="50">
        <v>2255.5</v>
      </c>
      <c r="V403" s="50">
        <v>2293.1</v>
      </c>
      <c r="W403" s="50">
        <v>2298.23</v>
      </c>
      <c r="X403" s="50">
        <v>2327.2800000000002</v>
      </c>
    </row>
    <row r="404" spans="2:24" ht="16.5" hidden="1" thickBot="1">
      <c r="B404" s="2625"/>
      <c r="C404" s="492" t="s">
        <v>677</v>
      </c>
      <c r="D404" s="685">
        <f t="shared" ref="D404:O404" si="137">ROUND(+D398/$D$378,3)</f>
        <v>1.39</v>
      </c>
      <c r="E404" s="685">
        <f t="shared" si="137"/>
        <v>1.39</v>
      </c>
      <c r="F404" s="685">
        <f t="shared" si="137"/>
        <v>1.39</v>
      </c>
      <c r="G404" s="685">
        <f t="shared" si="137"/>
        <v>1.5429999999999999</v>
      </c>
      <c r="H404" s="685">
        <f t="shared" si="137"/>
        <v>1.5429999999999999</v>
      </c>
      <c r="I404" s="685">
        <f t="shared" si="137"/>
        <v>1.5429999999999999</v>
      </c>
      <c r="J404" s="685">
        <f t="shared" si="137"/>
        <v>1.6970000000000001</v>
      </c>
      <c r="K404" s="685">
        <f t="shared" si="137"/>
        <v>1.6970000000000001</v>
      </c>
      <c r="L404" s="685">
        <f t="shared" si="137"/>
        <v>1.6970000000000001</v>
      </c>
      <c r="M404" s="685">
        <f t="shared" si="137"/>
        <v>1.6970000000000001</v>
      </c>
      <c r="N404" s="685">
        <f t="shared" si="137"/>
        <v>1.6970000000000001</v>
      </c>
      <c r="O404" s="685">
        <f t="shared" si="137"/>
        <v>1.6970000000000001</v>
      </c>
    </row>
    <row r="405" spans="2:24" ht="9.9499999999999993" hidden="1" customHeight="1" thickBot="1">
      <c r="B405" s="132"/>
      <c r="C405" s="363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375"/>
      <c r="O405" s="132"/>
    </row>
    <row r="406" spans="2:24" ht="36.75" hidden="1" customHeight="1" thickBot="1">
      <c r="B406" s="365" t="s">
        <v>860</v>
      </c>
      <c r="C406" s="1452" t="s">
        <v>354</v>
      </c>
      <c r="D406" s="1233">
        <v>42736</v>
      </c>
      <c r="E406" s="1233">
        <v>42767</v>
      </c>
      <c r="F406" s="1233">
        <v>42795</v>
      </c>
      <c r="G406" s="1233">
        <v>42826</v>
      </c>
      <c r="H406" s="1233">
        <v>42856</v>
      </c>
      <c r="I406" s="1233">
        <v>42887</v>
      </c>
      <c r="J406" s="1233">
        <v>42917</v>
      </c>
      <c r="K406" s="1233">
        <v>42948</v>
      </c>
      <c r="L406" s="1233">
        <v>42979</v>
      </c>
      <c r="M406" s="1233">
        <v>43009</v>
      </c>
      <c r="N406" s="1233">
        <v>43040</v>
      </c>
      <c r="O406" s="1428">
        <v>43070</v>
      </c>
    </row>
    <row r="407" spans="2:24" ht="15.75" hidden="1">
      <c r="B407" s="377" t="s">
        <v>820</v>
      </c>
      <c r="C407" s="495">
        <v>301</v>
      </c>
      <c r="D407" s="496">
        <f t="shared" ref="D407:I407" si="138">ROUND(MMULT($D12:$H12,D400:D404),2)</f>
        <v>117.07</v>
      </c>
      <c r="E407" s="496">
        <f t="shared" si="138"/>
        <v>117.32</v>
      </c>
      <c r="F407" s="496">
        <f t="shared" si="138"/>
        <v>118.01</v>
      </c>
      <c r="G407" s="496">
        <f t="shared" si="138"/>
        <v>120.29</v>
      </c>
      <c r="H407" s="496">
        <f t="shared" si="138"/>
        <v>121.33</v>
      </c>
      <c r="I407" s="496">
        <f t="shared" si="138"/>
        <v>123.11</v>
      </c>
      <c r="J407" s="496">
        <f>ROUND(MMULT($D12:$H12,J400:J404),2)</f>
        <v>127.22</v>
      </c>
      <c r="K407" s="496">
        <f>ROUND(MMULT($D12:$H12,K400:K404),2)</f>
        <v>129.15</v>
      </c>
      <c r="L407" s="496">
        <f>ROUND(MMULT($D12:$H12,L400:L404),2)</f>
        <v>131.01</v>
      </c>
      <c r="M407" s="496">
        <f>ROUND(MMULT($D12:$H12,M400:M404),2)</f>
        <v>132.55000000000001</v>
      </c>
      <c r="N407" s="496">
        <f>ROUND(MMULT($D$12:$H$12,N400:N404),2)</f>
        <v>134.57</v>
      </c>
      <c r="O407" s="497">
        <f>ROUND(MMULT($D$12:$H$12,O400:O404),2)</f>
        <v>136.35</v>
      </c>
    </row>
    <row r="408" spans="2:24" ht="15.75" hidden="1">
      <c r="B408" s="372" t="s">
        <v>827</v>
      </c>
      <c r="C408" s="281">
        <v>302</v>
      </c>
      <c r="D408" s="498">
        <f t="shared" ref="D408:I408" si="139">ROUND(MMULT($D13:$H13,D400:D404),2)</f>
        <v>117.5</v>
      </c>
      <c r="E408" s="498">
        <f t="shared" si="139"/>
        <v>117.73</v>
      </c>
      <c r="F408" s="498">
        <f t="shared" si="139"/>
        <v>118.41</v>
      </c>
      <c r="G408" s="498">
        <f t="shared" si="139"/>
        <v>121.16</v>
      </c>
      <c r="H408" s="498">
        <f t="shared" si="139"/>
        <v>122.09</v>
      </c>
      <c r="I408" s="498">
        <f t="shared" si="139"/>
        <v>123.87</v>
      </c>
      <c r="J408" s="498">
        <f>ROUND(MMULT($D13:$H13,J400:J404),2)</f>
        <v>128.28</v>
      </c>
      <c r="K408" s="498">
        <f>ROUND(MMULT($D13:$H13,K400:K404),2)</f>
        <v>130.08000000000001</v>
      </c>
      <c r="L408" s="498">
        <f>ROUND(MMULT($D13:$H13,L400:L404),2)</f>
        <v>131.82</v>
      </c>
      <c r="M408" s="498">
        <f>ROUND(MMULT($D13:$H13,M400:M404),2)</f>
        <v>133.28</v>
      </c>
      <c r="N408" s="498">
        <f>ROUND(MMULT($D$13:$H$13,N400:N404),2)</f>
        <v>135.28</v>
      </c>
      <c r="O408" s="499">
        <f>ROUND(MMULT($D$13:$H$13,O400:O404),2)</f>
        <v>137.01</v>
      </c>
    </row>
    <row r="409" spans="2:24" ht="15.75" hidden="1">
      <c r="B409" s="372" t="s">
        <v>828</v>
      </c>
      <c r="C409" s="281">
        <v>303</v>
      </c>
      <c r="D409" s="500">
        <f t="shared" ref="D409:I409" si="140">ROUND(MMULT($D14:$H14,D400:D404),2)</f>
        <v>119.66</v>
      </c>
      <c r="E409" s="500">
        <f t="shared" si="140"/>
        <v>119.89</v>
      </c>
      <c r="F409" s="500">
        <f t="shared" si="140"/>
        <v>120.4</v>
      </c>
      <c r="G409" s="500">
        <f t="shared" si="140"/>
        <v>123.66</v>
      </c>
      <c r="H409" s="500">
        <f t="shared" si="140"/>
        <v>124.77</v>
      </c>
      <c r="I409" s="500">
        <f t="shared" si="140"/>
        <v>126.44</v>
      </c>
      <c r="J409" s="500">
        <f>ROUND(MMULT($D14:$H14,J400:J404),2)</f>
        <v>131.56</v>
      </c>
      <c r="K409" s="500">
        <f>ROUND(MMULT($D14:$H14,K400:K404),2)</f>
        <v>133.28</v>
      </c>
      <c r="L409" s="500">
        <f>ROUND(MMULT($D14:$H14,L400:L404),2)</f>
        <v>135.28</v>
      </c>
      <c r="M409" s="500">
        <f>ROUND(MMULT($D14:$H14,M400:M404),2)</f>
        <v>136.55000000000001</v>
      </c>
      <c r="N409" s="500">
        <f>ROUND(MMULT($D$14:$H$14,N400:N404),2)</f>
        <v>138.26</v>
      </c>
      <c r="O409" s="499">
        <f>ROUND(MMULT($D$14:$H$14,O400:O404),2)</f>
        <v>140.05000000000001</v>
      </c>
    </row>
    <row r="410" spans="2:24" ht="16.5" hidden="1" thickBot="1">
      <c r="B410" s="373" t="s">
        <v>832</v>
      </c>
      <c r="C410" s="501">
        <v>304</v>
      </c>
      <c r="D410" s="502">
        <f t="shared" ref="D410:I410" si="141">ROUND(MMULT($D15:$H15,D400:D404),2)</f>
        <v>126.82</v>
      </c>
      <c r="E410" s="502">
        <f t="shared" si="141"/>
        <v>126.88</v>
      </c>
      <c r="F410" s="502">
        <f t="shared" si="141"/>
        <v>127.27</v>
      </c>
      <c r="G410" s="502">
        <f t="shared" si="141"/>
        <v>134.47999999999999</v>
      </c>
      <c r="H410" s="502">
        <f t="shared" si="141"/>
        <v>134.81</v>
      </c>
      <c r="I410" s="502">
        <f t="shared" si="141"/>
        <v>136.37</v>
      </c>
      <c r="J410" s="502">
        <f>ROUND(MMULT($D15:$H15,J400:J404),2)</f>
        <v>144.18</v>
      </c>
      <c r="K410" s="502">
        <f>ROUND(MMULT($D15:$H15,K400:K404),2)</f>
        <v>144.94</v>
      </c>
      <c r="L410" s="502">
        <f>ROUND(MMULT($D15:$H15,L400:L404),2)</f>
        <v>146.65</v>
      </c>
      <c r="M410" s="502">
        <f>ROUND(MMULT($D15:$H15,M400:M404),2)</f>
        <v>147.54</v>
      </c>
      <c r="N410" s="502">
        <f>ROUND(MMULT($D$15:$H$15,N400:N404),2)</f>
        <v>148.5</v>
      </c>
      <c r="O410" s="503">
        <f>ROUND(MMULT($D$15:$H$15,O400:O404),2)</f>
        <v>149.75</v>
      </c>
    </row>
    <row r="411" spans="2:24" ht="15.75" hidden="1">
      <c r="B411" s="122" t="s">
        <v>527</v>
      </c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</row>
    <row r="412" spans="2:24" ht="9.9499999999999993" hidden="1" customHeight="1" thickBot="1"/>
    <row r="413" spans="2:24" ht="33" hidden="1" customHeight="1" thickBot="1">
      <c r="B413" s="365" t="s">
        <v>673</v>
      </c>
      <c r="C413" s="1739" t="s">
        <v>354</v>
      </c>
      <c r="D413" s="1233">
        <v>43101</v>
      </c>
      <c r="E413" s="1233">
        <v>43132</v>
      </c>
      <c r="F413" s="1233">
        <v>43160</v>
      </c>
      <c r="G413" s="1233">
        <v>43191</v>
      </c>
      <c r="H413" s="1233">
        <v>43221</v>
      </c>
      <c r="I413" s="1233">
        <v>43252</v>
      </c>
      <c r="J413" s="1233">
        <v>43282</v>
      </c>
      <c r="K413" s="1233">
        <v>43313</v>
      </c>
      <c r="L413" s="1233">
        <v>43344</v>
      </c>
      <c r="M413" s="1233">
        <v>43374</v>
      </c>
      <c r="N413" s="1233">
        <v>43405</v>
      </c>
      <c r="O413" s="1428">
        <v>43435</v>
      </c>
    </row>
    <row r="414" spans="2:24" ht="15.75" hidden="1">
      <c r="B414" s="377" t="s">
        <v>809</v>
      </c>
      <c r="C414" s="464">
        <v>50</v>
      </c>
      <c r="D414" s="1266">
        <f>+'Insumos testigos '!GW75</f>
        <v>127.73921671826484</v>
      </c>
      <c r="E414" s="1266">
        <f>+'Insumos testigos '!GX75</f>
        <v>133.1927286027788</v>
      </c>
      <c r="F414" s="1266">
        <f>+'Insumos testigos '!GY75</f>
        <v>137.03339631892402</v>
      </c>
      <c r="G414" s="1266">
        <f>+'Insumos testigos '!GZ75</f>
        <v>140.09371770554588</v>
      </c>
      <c r="H414" s="1266">
        <f>+'Insumos testigos '!HA75</f>
        <v>148.07834723940456</v>
      </c>
      <c r="I414" s="1266">
        <f>+'Insumos testigos '!HB75</f>
        <v>158.54179200674278</v>
      </c>
      <c r="J414" s="1266">
        <f>+'Insumos testigos '!HC75</f>
        <v>169.58576724978144</v>
      </c>
      <c r="K414" s="1266">
        <f>+'Insumos testigos '!HD75</f>
        <v>172.47860256697547</v>
      </c>
      <c r="L414" s="1266">
        <f>+'Insumos testigos '!HE75</f>
        <v>187.17270632224012</v>
      </c>
      <c r="M414" s="1266">
        <f>+'Insumos testigos '!HF75</f>
        <v>203.17186957876319</v>
      </c>
      <c r="N414" s="1266">
        <f>+'Insumos testigos '!HG75</f>
        <v>212.14065674893763</v>
      </c>
      <c r="O414" s="1266">
        <f>+'Insumos testigos '!HH75</f>
        <v>217.35588404274085</v>
      </c>
    </row>
    <row r="415" spans="2:24" ht="15.75" hidden="1">
      <c r="B415" s="372" t="s">
        <v>810</v>
      </c>
      <c r="C415" s="283">
        <v>19</v>
      </c>
      <c r="D415" s="140">
        <f>+'Insumos testigos '!GW44</f>
        <v>135.45400187826939</v>
      </c>
      <c r="E415" s="140">
        <f>+'Insumos testigos '!GX44</f>
        <v>142.04017718078759</v>
      </c>
      <c r="F415" s="140">
        <f>+'Insumos testigos '!GY44</f>
        <v>145.16546109234832</v>
      </c>
      <c r="G415" s="140">
        <f>+'Insumos testigos '!GZ44</f>
        <v>158.89319358913633</v>
      </c>
      <c r="H415" s="140">
        <f>+'Insumos testigos '!HA44</f>
        <v>179.29715815472014</v>
      </c>
      <c r="I415" s="140">
        <f>+'Insumos testigos '!HB44</f>
        <v>194.89291392347292</v>
      </c>
      <c r="J415" s="140">
        <f>+'Insumos testigos '!HC44</f>
        <v>205.42394246091368</v>
      </c>
      <c r="K415" s="140">
        <f>+'Insumos testigos '!HD44</f>
        <v>219.45022597633823</v>
      </c>
      <c r="L415" s="140">
        <f>+'Insumos testigos '!HE44</f>
        <v>259.90271550941776</v>
      </c>
      <c r="M415" s="140">
        <f>+'Insumos testigos '!HF44</f>
        <v>262.05029904581386</v>
      </c>
      <c r="N415" s="140">
        <f>+'Insumos testigos '!HG44</f>
        <v>256.87050374372279</v>
      </c>
      <c r="O415" s="140">
        <f>+'Insumos testigos '!HH44</f>
        <v>256.87050374372279</v>
      </c>
    </row>
    <row r="416" spans="2:24" ht="15.75" hidden="1">
      <c r="B416" s="372" t="s">
        <v>811</v>
      </c>
      <c r="C416" s="283">
        <v>58</v>
      </c>
      <c r="D416" s="127">
        <f>+'Insumos testigos '!GW82</f>
        <v>150.9577959092928</v>
      </c>
      <c r="E416" s="127">
        <f>+'Insumos testigos '!GX82</f>
        <v>156.63502084287745</v>
      </c>
      <c r="F416" s="127">
        <f>+'Insumos testigos '!GY82</f>
        <v>161.37665861613129</v>
      </c>
      <c r="G416" s="127">
        <f>+'Insumos testigos '!GZ82</f>
        <v>164.68450567717741</v>
      </c>
      <c r="H416" s="127">
        <f>+'Insumos testigos '!HA82</f>
        <v>193.9879383710157</v>
      </c>
      <c r="I416" s="127">
        <f>+'Insumos testigos '!HB82</f>
        <v>207.51222821714049</v>
      </c>
      <c r="J416" s="127">
        <f>+'Insumos testigos '!HC82</f>
        <v>213.1430755457946</v>
      </c>
      <c r="K416" s="127">
        <f>+'Insumos testigos '!HD82</f>
        <v>237.11339548762376</v>
      </c>
      <c r="L416" s="127">
        <f>+'Insumos testigos '!HE82</f>
        <v>310.62557971192581</v>
      </c>
      <c r="M416" s="127">
        <f>+'Insumos testigos '!HF82</f>
        <v>309.57436431562417</v>
      </c>
      <c r="N416" s="127">
        <f>+'Insumos testigos '!HG82</f>
        <v>294.46115022797625</v>
      </c>
      <c r="O416" s="127">
        <f>+'Insumos testigos '!HH82</f>
        <v>302.7747062429948</v>
      </c>
    </row>
    <row r="417" spans="2:24" ht="15.75" hidden="1">
      <c r="B417" s="372" t="s">
        <v>821</v>
      </c>
      <c r="C417" s="283">
        <v>23</v>
      </c>
      <c r="D417" s="310">
        <f>+'Insumos testigos '!GW48</f>
        <v>145.29379569955455</v>
      </c>
      <c r="E417" s="310">
        <f>+'Insumos testigos '!GX48</f>
        <v>149.57736572567089</v>
      </c>
      <c r="F417" s="310">
        <f>+'Insumos testigos '!GY48</f>
        <v>152.91734598296418</v>
      </c>
      <c r="G417" s="310">
        <f>+'Insumos testigos '!GZ48</f>
        <v>153.32349184989471</v>
      </c>
      <c r="H417" s="310">
        <f>+'Insumos testigos '!HA48</f>
        <v>149.96889709470264</v>
      </c>
      <c r="I417" s="310">
        <f>+'Insumos testigos '!HB48</f>
        <v>149.96889709470264</v>
      </c>
      <c r="J417" s="310">
        <f>+'Insumos testigos '!HC48</f>
        <v>157.110281660015</v>
      </c>
      <c r="K417" s="310">
        <f>+'Insumos testigos '!HD48</f>
        <v>166.74439366998612</v>
      </c>
      <c r="L417" s="310">
        <f>+'Insumos testigos '!HE48</f>
        <v>166.74439366998612</v>
      </c>
      <c r="M417" s="310">
        <f>+'Insumos testigos '!HF48</f>
        <v>190.22994856943066</v>
      </c>
      <c r="N417" s="310">
        <f>+'Insumos testigos '!HG48</f>
        <v>193.80677115570001</v>
      </c>
      <c r="O417" s="310">
        <f>+'Insumos testigos '!HH48</f>
        <v>199.32158020729619</v>
      </c>
    </row>
    <row r="418" spans="2:24" ht="16.5" hidden="1" thickBot="1">
      <c r="B418" s="373" t="s">
        <v>834</v>
      </c>
      <c r="C418" s="282" t="s">
        <v>835</v>
      </c>
      <c r="D418" s="447">
        <f>+'Insumos testigos '!GW5*2.2521</f>
        <v>146.85944099999998</v>
      </c>
      <c r="E418" s="447">
        <f>+'Insumos testigos '!GX5*2.2521</f>
        <v>149.04397800000001</v>
      </c>
      <c r="F418" s="447">
        <f>+'Insumos testigos '!GY5*2.2521</f>
        <v>151.251036</v>
      </c>
      <c r="G418" s="447">
        <f>+'Insumos testigos '!GZ5*2.2521</f>
        <v>166.38514799999999</v>
      </c>
      <c r="H418" s="447">
        <f>+'Insumos testigos '!HA5*2.2521</f>
        <v>166.38514799999999</v>
      </c>
      <c r="I418" s="447">
        <f>+'Insumos testigos '!HB5*2.2521</f>
        <v>166.38514799999999</v>
      </c>
      <c r="J418" s="447">
        <f>+'Insumos testigos '!HC5*2.2521</f>
        <v>166.38514799999999</v>
      </c>
      <c r="K418" s="447">
        <f>+'Insumos testigos '!HD5*2.2521</f>
        <v>174.69539699999999</v>
      </c>
      <c r="L418" s="447">
        <f>+'Insumos testigos '!HE5*2.2521</f>
        <v>181.69942800000001</v>
      </c>
      <c r="M418" s="447">
        <f>+'Insumos testigos '!HF5*2.2521</f>
        <v>187.14950999999999</v>
      </c>
      <c r="N418" s="447">
        <f>+'Insumos testigos '!HG5*2.2521</f>
        <v>192.599592</v>
      </c>
      <c r="O418" s="447">
        <f>+'Insumos testigos '!HH5*2.2521</f>
        <v>192.599592</v>
      </c>
    </row>
    <row r="419" spans="2:24" ht="9.9499999999999993" hidden="1" customHeight="1" thickBot="1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</row>
    <row r="420" spans="2:24" ht="15.75" hidden="1">
      <c r="B420" s="2623" t="s">
        <v>675</v>
      </c>
      <c r="C420" s="486" t="s">
        <v>836</v>
      </c>
      <c r="D420" s="516">
        <f t="shared" ref="D420:O420" si="142">ROUND(+D414/$D$374,3)</f>
        <v>1.2769999999999999</v>
      </c>
      <c r="E420" s="516">
        <f t="shared" si="142"/>
        <v>1.3320000000000001</v>
      </c>
      <c r="F420" s="516">
        <f t="shared" si="142"/>
        <v>1.37</v>
      </c>
      <c r="G420" s="516">
        <f t="shared" si="142"/>
        <v>1.401</v>
      </c>
      <c r="H420" s="516">
        <f t="shared" si="142"/>
        <v>1.4810000000000001</v>
      </c>
      <c r="I420" s="516">
        <f t="shared" si="142"/>
        <v>1.585</v>
      </c>
      <c r="J420" s="516">
        <f t="shared" si="142"/>
        <v>1.696</v>
      </c>
      <c r="K420" s="516">
        <f t="shared" si="142"/>
        <v>1.7250000000000001</v>
      </c>
      <c r="L420" s="516">
        <f t="shared" si="142"/>
        <v>1.8720000000000001</v>
      </c>
      <c r="M420" s="516">
        <f t="shared" si="142"/>
        <v>2.032</v>
      </c>
      <c r="N420" s="516">
        <f t="shared" si="142"/>
        <v>2.121</v>
      </c>
      <c r="O420" s="516">
        <f t="shared" si="142"/>
        <v>2.1739999999999999</v>
      </c>
      <c r="S420" s="50">
        <v>1626.86</v>
      </c>
      <c r="T420" s="50">
        <v>1658.86</v>
      </c>
      <c r="U420" s="50">
        <v>1723.42</v>
      </c>
      <c r="V420" s="50">
        <v>1830.53</v>
      </c>
      <c r="W420" s="50">
        <v>1835.55</v>
      </c>
      <c r="X420" s="50">
        <v>1865.7</v>
      </c>
    </row>
    <row r="421" spans="2:24" ht="15.75" hidden="1">
      <c r="B421" s="2624"/>
      <c r="C421" s="489" t="s">
        <v>837</v>
      </c>
      <c r="D421" s="391">
        <f t="shared" ref="D421:O421" si="143">ROUND(+D415/$D$375,3)</f>
        <v>1.355</v>
      </c>
      <c r="E421" s="391">
        <f t="shared" si="143"/>
        <v>1.42</v>
      </c>
      <c r="F421" s="391">
        <f t="shared" si="143"/>
        <v>1.452</v>
      </c>
      <c r="G421" s="391">
        <f t="shared" si="143"/>
        <v>1.589</v>
      </c>
      <c r="H421" s="391">
        <f t="shared" si="143"/>
        <v>1.7929999999999999</v>
      </c>
      <c r="I421" s="391">
        <f t="shared" si="143"/>
        <v>1.9490000000000001</v>
      </c>
      <c r="J421" s="391">
        <f t="shared" si="143"/>
        <v>2.0539999999999998</v>
      </c>
      <c r="K421" s="391">
        <f t="shared" si="143"/>
        <v>2.1949999999999998</v>
      </c>
      <c r="L421" s="391">
        <f t="shared" si="143"/>
        <v>2.5990000000000002</v>
      </c>
      <c r="M421" s="391">
        <f t="shared" si="143"/>
        <v>2.621</v>
      </c>
      <c r="N421" s="391">
        <f t="shared" si="143"/>
        <v>2.569</v>
      </c>
      <c r="O421" s="391">
        <f t="shared" si="143"/>
        <v>2.569</v>
      </c>
      <c r="S421" s="50">
        <v>1671.15</v>
      </c>
      <c r="T421" s="50">
        <v>1701.67</v>
      </c>
      <c r="U421" s="50">
        <v>1762.24</v>
      </c>
      <c r="V421" s="50">
        <v>1859.62</v>
      </c>
      <c r="W421" s="50">
        <v>1863.79</v>
      </c>
      <c r="X421" s="50">
        <v>1891.17</v>
      </c>
    </row>
    <row r="422" spans="2:24" ht="15.75" hidden="1">
      <c r="B422" s="2624"/>
      <c r="C422" s="489" t="s">
        <v>838</v>
      </c>
      <c r="D422" s="391">
        <f t="shared" ref="D422:O422" si="144">ROUND(+D416/$D$376,3)</f>
        <v>1.51</v>
      </c>
      <c r="E422" s="391">
        <f t="shared" si="144"/>
        <v>1.5660000000000001</v>
      </c>
      <c r="F422" s="391">
        <f t="shared" si="144"/>
        <v>1.6140000000000001</v>
      </c>
      <c r="G422" s="391">
        <f t="shared" si="144"/>
        <v>1.647</v>
      </c>
      <c r="H422" s="391">
        <f t="shared" si="144"/>
        <v>1.94</v>
      </c>
      <c r="I422" s="391">
        <f t="shared" si="144"/>
        <v>2.0750000000000002</v>
      </c>
      <c r="J422" s="391">
        <f t="shared" si="144"/>
        <v>2.1309999999999998</v>
      </c>
      <c r="K422" s="391">
        <f t="shared" si="144"/>
        <v>2.371</v>
      </c>
      <c r="L422" s="391">
        <f t="shared" si="144"/>
        <v>3.1059999999999999</v>
      </c>
      <c r="M422" s="391">
        <f t="shared" si="144"/>
        <v>3.0960000000000001</v>
      </c>
      <c r="N422" s="391">
        <f t="shared" si="144"/>
        <v>2.9449999999999998</v>
      </c>
      <c r="O422" s="391">
        <f t="shared" si="144"/>
        <v>3.028</v>
      </c>
      <c r="S422" s="50">
        <v>1743.2</v>
      </c>
      <c r="T422" s="50">
        <v>1771.41</v>
      </c>
      <c r="U422" s="50">
        <v>1832.09</v>
      </c>
      <c r="V422" s="50">
        <v>1929.86</v>
      </c>
      <c r="W422" s="50">
        <v>1935.63</v>
      </c>
      <c r="X422" s="50">
        <v>1965.28</v>
      </c>
    </row>
    <row r="423" spans="2:24" ht="15.75" hidden="1">
      <c r="B423" s="2624"/>
      <c r="C423" s="489" t="s">
        <v>839</v>
      </c>
      <c r="D423" s="391">
        <f t="shared" ref="D423:O423" si="145">ROUND(+D417/$D$377,3)</f>
        <v>1.4530000000000001</v>
      </c>
      <c r="E423" s="391">
        <f t="shared" si="145"/>
        <v>1.496</v>
      </c>
      <c r="F423" s="391">
        <f t="shared" si="145"/>
        <v>1.5289999999999999</v>
      </c>
      <c r="G423" s="391">
        <f t="shared" si="145"/>
        <v>1.5329999999999999</v>
      </c>
      <c r="H423" s="391">
        <f t="shared" si="145"/>
        <v>1.5</v>
      </c>
      <c r="I423" s="391">
        <f t="shared" si="145"/>
        <v>1.5</v>
      </c>
      <c r="J423" s="391">
        <f t="shared" si="145"/>
        <v>1.571</v>
      </c>
      <c r="K423" s="391">
        <f t="shared" si="145"/>
        <v>1.667</v>
      </c>
      <c r="L423" s="391">
        <f t="shared" si="145"/>
        <v>1.667</v>
      </c>
      <c r="M423" s="391">
        <f t="shared" si="145"/>
        <v>1.9019999999999999</v>
      </c>
      <c r="N423" s="391">
        <f t="shared" si="145"/>
        <v>1.9379999999999999</v>
      </c>
      <c r="O423" s="391">
        <f t="shared" si="145"/>
        <v>1.9930000000000001</v>
      </c>
      <c r="S423" s="50">
        <v>2217.5100000000002</v>
      </c>
      <c r="T423" s="50">
        <v>2229.0500000000002</v>
      </c>
      <c r="U423" s="50">
        <v>2255.5</v>
      </c>
      <c r="V423" s="50">
        <v>2293.1</v>
      </c>
      <c r="W423" s="50">
        <v>2298.23</v>
      </c>
      <c r="X423" s="50">
        <v>2327.2800000000002</v>
      </c>
    </row>
    <row r="424" spans="2:24" ht="16.5" hidden="1" thickBot="1">
      <c r="B424" s="2625"/>
      <c r="C424" s="492" t="s">
        <v>677</v>
      </c>
      <c r="D424" s="685">
        <f t="shared" ref="D424:O424" si="146">ROUND(+D418/$D$378,3)</f>
        <v>1.6970000000000001</v>
      </c>
      <c r="E424" s="685">
        <f t="shared" si="146"/>
        <v>1.7230000000000001</v>
      </c>
      <c r="F424" s="685">
        <f t="shared" si="146"/>
        <v>1.748</v>
      </c>
      <c r="G424" s="685">
        <f t="shared" si="146"/>
        <v>1.923</v>
      </c>
      <c r="H424" s="685">
        <f t="shared" si="146"/>
        <v>1.923</v>
      </c>
      <c r="I424" s="685">
        <f t="shared" si="146"/>
        <v>1.923</v>
      </c>
      <c r="J424" s="685">
        <f t="shared" si="146"/>
        <v>1.923</v>
      </c>
      <c r="K424" s="685">
        <f t="shared" si="146"/>
        <v>2.0190000000000001</v>
      </c>
      <c r="L424" s="685">
        <f t="shared" si="146"/>
        <v>2.1</v>
      </c>
      <c r="M424" s="685">
        <f t="shared" si="146"/>
        <v>2.1629999999999998</v>
      </c>
      <c r="N424" s="685">
        <f t="shared" si="146"/>
        <v>2.226</v>
      </c>
      <c r="O424" s="685">
        <f t="shared" si="146"/>
        <v>2.226</v>
      </c>
    </row>
    <row r="425" spans="2:24" ht="9.9499999999999993" hidden="1" customHeight="1" thickBot="1">
      <c r="B425" s="132"/>
      <c r="C425" s="363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375"/>
      <c r="O425" s="132"/>
    </row>
    <row r="426" spans="2:24" ht="36.75" hidden="1" customHeight="1" thickBot="1">
      <c r="B426" s="365" t="s">
        <v>860</v>
      </c>
      <c r="C426" s="1739" t="s">
        <v>354</v>
      </c>
      <c r="D426" s="1233">
        <v>43101</v>
      </c>
      <c r="E426" s="1233">
        <v>43132</v>
      </c>
      <c r="F426" s="1233">
        <v>43160</v>
      </c>
      <c r="G426" s="1233">
        <v>43191</v>
      </c>
      <c r="H426" s="1233">
        <v>43221</v>
      </c>
      <c r="I426" s="1233">
        <v>43252</v>
      </c>
      <c r="J426" s="1233">
        <v>43282</v>
      </c>
      <c r="K426" s="1233">
        <v>43313</v>
      </c>
      <c r="L426" s="1233">
        <v>43344</v>
      </c>
      <c r="M426" s="1233">
        <v>43374</v>
      </c>
      <c r="N426" s="1233">
        <v>43405</v>
      </c>
      <c r="O426" s="1428">
        <v>43435</v>
      </c>
    </row>
    <row r="427" spans="2:24" ht="15.75" hidden="1">
      <c r="B427" s="377" t="s">
        <v>820</v>
      </c>
      <c r="C427" s="495">
        <v>301</v>
      </c>
      <c r="D427" s="496">
        <f t="shared" ref="D427:O427" si="147">ROUND(MMULT($D12:$H12,D420:D424),2)</f>
        <v>140.03</v>
      </c>
      <c r="E427" s="496">
        <f t="shared" si="147"/>
        <v>145.22</v>
      </c>
      <c r="F427" s="496">
        <f t="shared" si="147"/>
        <v>148.72999999999999</v>
      </c>
      <c r="G427" s="496">
        <f t="shared" si="147"/>
        <v>156.47999999999999</v>
      </c>
      <c r="H427" s="496">
        <f t="shared" si="147"/>
        <v>167.4</v>
      </c>
      <c r="I427" s="496">
        <f t="shared" si="147"/>
        <v>176.86</v>
      </c>
      <c r="J427" s="496">
        <f t="shared" si="147"/>
        <v>185.17</v>
      </c>
      <c r="K427" s="496">
        <f t="shared" si="147"/>
        <v>194.48</v>
      </c>
      <c r="L427" s="496">
        <f t="shared" si="147"/>
        <v>219</v>
      </c>
      <c r="M427" s="496">
        <f t="shared" si="147"/>
        <v>229.03</v>
      </c>
      <c r="N427" s="496">
        <f t="shared" si="147"/>
        <v>231.31</v>
      </c>
      <c r="O427" s="497">
        <f t="shared" si="147"/>
        <v>234.8</v>
      </c>
    </row>
    <row r="428" spans="2:24" ht="15.75" hidden="1">
      <c r="B428" s="372" t="s">
        <v>827</v>
      </c>
      <c r="C428" s="281">
        <v>302</v>
      </c>
      <c r="D428" s="498">
        <f t="shared" ref="D428:I428" si="148">ROUND(MMULT($D13:$H13,D420:D424),2)</f>
        <v>140.49</v>
      </c>
      <c r="E428" s="498">
        <f t="shared" si="148"/>
        <v>145.59</v>
      </c>
      <c r="F428" s="498">
        <f t="shared" si="148"/>
        <v>149.05000000000001</v>
      </c>
      <c r="G428" s="498">
        <f t="shared" si="148"/>
        <v>157.05000000000001</v>
      </c>
      <c r="H428" s="498">
        <f t="shared" si="148"/>
        <v>167.17</v>
      </c>
      <c r="I428" s="498">
        <f t="shared" si="148"/>
        <v>176.26</v>
      </c>
      <c r="J428" s="498">
        <f t="shared" ref="J428:O428" si="149">ROUND(MMULT($D13:$H13,J420:J424),2)</f>
        <v>184.39</v>
      </c>
      <c r="K428" s="498">
        <f t="shared" si="149"/>
        <v>193.19</v>
      </c>
      <c r="L428" s="498">
        <f t="shared" si="149"/>
        <v>215.96</v>
      </c>
      <c r="M428" s="498">
        <f t="shared" si="149"/>
        <v>226.25</v>
      </c>
      <c r="N428" s="498">
        <f t="shared" si="149"/>
        <v>229.26</v>
      </c>
      <c r="O428" s="499">
        <f t="shared" si="149"/>
        <v>232.64</v>
      </c>
    </row>
    <row r="429" spans="2:24" ht="15.75" hidden="1">
      <c r="B429" s="372" t="s">
        <v>828</v>
      </c>
      <c r="C429" s="281">
        <v>303</v>
      </c>
      <c r="D429" s="500">
        <f t="shared" ref="D429:I429" si="150">ROUND(MMULT($D14:$H14,D420:D424),2)</f>
        <v>143.71</v>
      </c>
      <c r="E429" s="500">
        <f t="shared" si="150"/>
        <v>148.68</v>
      </c>
      <c r="F429" s="500">
        <f t="shared" si="150"/>
        <v>152.21</v>
      </c>
      <c r="G429" s="500">
        <f t="shared" si="150"/>
        <v>160.21</v>
      </c>
      <c r="H429" s="500">
        <f t="shared" si="150"/>
        <v>171.4</v>
      </c>
      <c r="I429" s="500">
        <f t="shared" si="150"/>
        <v>180.14</v>
      </c>
      <c r="J429" s="500">
        <f t="shared" ref="J429:O429" si="151">ROUND(MMULT($D14:$H14,J420:J424),2)</f>
        <v>187.43</v>
      </c>
      <c r="K429" s="500">
        <f t="shared" si="151"/>
        <v>197.95</v>
      </c>
      <c r="L429" s="500">
        <f t="shared" si="151"/>
        <v>224.64</v>
      </c>
      <c r="M429" s="500">
        <f t="shared" si="151"/>
        <v>233.73</v>
      </c>
      <c r="N429" s="500">
        <f t="shared" si="151"/>
        <v>235.02</v>
      </c>
      <c r="O429" s="499">
        <f t="shared" si="151"/>
        <v>238.72</v>
      </c>
    </row>
    <row r="430" spans="2:24" ht="16.5" hidden="1" thickBot="1">
      <c r="B430" s="373" t="s">
        <v>832</v>
      </c>
      <c r="C430" s="501">
        <v>304</v>
      </c>
      <c r="D430" s="502">
        <f t="shared" ref="D430:I430" si="152">ROUND(MMULT($D15:$H15,D420:D424),2)</f>
        <v>151.54</v>
      </c>
      <c r="E430" s="502">
        <f t="shared" si="152"/>
        <v>155.51</v>
      </c>
      <c r="F430" s="502">
        <f t="shared" si="152"/>
        <v>158.69999999999999</v>
      </c>
      <c r="G430" s="502">
        <f t="shared" si="152"/>
        <v>168.2</v>
      </c>
      <c r="H430" s="502">
        <f t="shared" si="152"/>
        <v>172.35</v>
      </c>
      <c r="I430" s="502">
        <f t="shared" si="152"/>
        <v>176.63</v>
      </c>
      <c r="J430" s="502">
        <f t="shared" ref="J430:O430" si="153">ROUND(MMULT($D15:$H15,J420:J424),2)</f>
        <v>181.56</v>
      </c>
      <c r="K430" s="502">
        <f t="shared" si="153"/>
        <v>190.03</v>
      </c>
      <c r="L430" s="502">
        <f t="shared" si="153"/>
        <v>203.68</v>
      </c>
      <c r="M430" s="502">
        <f t="shared" si="153"/>
        <v>214.99</v>
      </c>
      <c r="N430" s="502">
        <f t="shared" si="153"/>
        <v>220.24</v>
      </c>
      <c r="O430" s="503">
        <f t="shared" si="153"/>
        <v>223.29</v>
      </c>
    </row>
    <row r="431" spans="2:24" ht="15.75" hidden="1">
      <c r="B431" s="122" t="s">
        <v>527</v>
      </c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</row>
    <row r="432" spans="2:24" ht="9.9499999999999993" hidden="1" customHeight="1" thickBot="1"/>
    <row r="433" spans="2:15" ht="16.5" hidden="1" thickBot="1">
      <c r="B433" s="365" t="s">
        <v>673</v>
      </c>
      <c r="C433" s="1739" t="s">
        <v>354</v>
      </c>
      <c r="D433" s="1233">
        <v>43466</v>
      </c>
      <c r="E433" s="1233">
        <v>43497</v>
      </c>
      <c r="F433" s="1233">
        <v>43525</v>
      </c>
      <c r="G433" s="1233">
        <v>43556</v>
      </c>
      <c r="H433" s="1233">
        <v>43586</v>
      </c>
      <c r="I433" s="1233">
        <v>43617</v>
      </c>
      <c r="J433" s="1233">
        <v>43647</v>
      </c>
      <c r="K433" s="1233">
        <v>43678</v>
      </c>
      <c r="L433" s="1233">
        <v>43709</v>
      </c>
      <c r="M433" s="1233">
        <v>43739</v>
      </c>
      <c r="N433" s="1233">
        <v>43770</v>
      </c>
      <c r="O433" s="1428">
        <v>43800</v>
      </c>
    </row>
    <row r="434" spans="2:15" ht="15.75" hidden="1">
      <c r="B434" s="377" t="s">
        <v>809</v>
      </c>
      <c r="C434" s="464">
        <v>50</v>
      </c>
      <c r="D434" s="1266">
        <f>+'Insumos testigos '!HI75</f>
        <v>214.13294786619213</v>
      </c>
      <c r="E434" s="1266">
        <f>+'Insumos testigos '!HJ75</f>
        <v>234.37771339335092</v>
      </c>
      <c r="F434" s="1266">
        <f>+'Insumos testigos '!HK75</f>
        <v>239.26924079457214</v>
      </c>
      <c r="G434" s="1266">
        <f>+'Insumos testigos '!HL75</f>
        <v>253.34581269110419</v>
      </c>
      <c r="H434" s="1266">
        <f>+'Insumos testigos '!HM75</f>
        <v>261.3572268648827</v>
      </c>
      <c r="I434" s="1266">
        <f>+'Insumos testigos '!HN75</f>
        <v>268.31581373329334</v>
      </c>
      <c r="J434" s="1266">
        <f>+'Insumos testigos '!HO75</f>
        <v>273.16371225302595</v>
      </c>
      <c r="K434" s="1266">
        <f>+'Insumos testigos '!HP75</f>
        <v>308.00253931698285</v>
      </c>
      <c r="L434" s="1266">
        <f>+'Insumos testigos '!HQ75</f>
        <v>326.70365320186619</v>
      </c>
      <c r="M434" s="1266">
        <f>+'Insumos testigos '!HR75</f>
        <v>340.1475946791212</v>
      </c>
      <c r="N434" s="1266">
        <f>+'Insumos testigos '!HS75</f>
        <v>368.83878698745303</v>
      </c>
      <c r="O434" s="1266">
        <f>+'Insumos testigos '!HT75</f>
        <v>385.10225027203234</v>
      </c>
    </row>
    <row r="435" spans="2:15" ht="15.75" hidden="1">
      <c r="B435" s="372" t="s">
        <v>810</v>
      </c>
      <c r="C435" s="283">
        <v>19</v>
      </c>
      <c r="D435" s="140">
        <f>+'Insumos testigos '!HI44</f>
        <v>255.49351659580577</v>
      </c>
      <c r="E435" s="140">
        <f>+'Insumos testigos '!HJ44</f>
        <v>266.93186973115081</v>
      </c>
      <c r="F435" s="140">
        <f>+'Insumos testigos '!HK44</f>
        <v>280.90649587235589</v>
      </c>
      <c r="G435" s="140">
        <f>+'Insumos testigos '!HL44</f>
        <v>295.61818180817625</v>
      </c>
      <c r="H435" s="140">
        <f>+'Insumos testigos '!HM44</f>
        <v>315.61965846387085</v>
      </c>
      <c r="I435" s="140">
        <f>+'Insumos testigos '!HN44</f>
        <v>320.31261953256308</v>
      </c>
      <c r="J435" s="140">
        <f>+'Insumos testigos '!HO44</f>
        <v>319.35790375847921</v>
      </c>
      <c r="K435" s="140">
        <f>+'Insumos testigos '!HP44</f>
        <v>395.64451546648365</v>
      </c>
      <c r="L435" s="140">
        <f>+'Insumos testigos '!HQ44</f>
        <v>419.69356110602735</v>
      </c>
      <c r="M435" s="140">
        <f>+'Insumos testigos '!HR44</f>
        <v>435.22789318520495</v>
      </c>
      <c r="N435" s="140">
        <f>+'Insumos testigos '!HS44</f>
        <v>448.31478552292339</v>
      </c>
      <c r="O435" s="140">
        <f>+'Insumos testigos '!HT44</f>
        <v>470.39858805720945</v>
      </c>
    </row>
    <row r="436" spans="2:15" ht="15.75" hidden="1">
      <c r="B436" s="372" t="s">
        <v>811</v>
      </c>
      <c r="C436" s="283">
        <v>58</v>
      </c>
      <c r="D436" s="127">
        <f>+'Insumos testigos '!HI82</f>
        <v>305.51753574100286</v>
      </c>
      <c r="E436" s="127">
        <f>+'Insumos testigos '!HJ82</f>
        <v>309.78105638803027</v>
      </c>
      <c r="F436" s="127">
        <f>+'Insumos testigos '!HK82</f>
        <v>333.08973448149669</v>
      </c>
      <c r="G436" s="127">
        <f>+'Insumos testigos '!HL82</f>
        <v>345.62523573426114</v>
      </c>
      <c r="H436" s="127">
        <f>+'Insumos testigos '!HM82</f>
        <v>358.76706934870441</v>
      </c>
      <c r="I436" s="127">
        <f>+'Insumos testigos '!HN82</f>
        <v>349.91397984929699</v>
      </c>
      <c r="J436" s="127">
        <f>+'Insumos testigos '!HO82</f>
        <v>336.74566632123395</v>
      </c>
      <c r="K436" s="127">
        <f>+'Insumos testigos '!HP82</f>
        <v>435.05922841728949</v>
      </c>
      <c r="L436" s="127">
        <f>+'Insumos testigos '!HQ82</f>
        <v>448.04902475488137</v>
      </c>
      <c r="M436" s="127">
        <f>+'Insumos testigos '!HR82</f>
        <v>468.12765250214107</v>
      </c>
      <c r="N436" s="127">
        <f>+'Insumos testigos '!HS82</f>
        <v>470.08864182824522</v>
      </c>
      <c r="O436" s="127">
        <f>+'Insumos testigos '!HT82</f>
        <v>482.06962403546515</v>
      </c>
    </row>
    <row r="437" spans="2:15" ht="15.75" hidden="1">
      <c r="B437" s="372" t="s">
        <v>821</v>
      </c>
      <c r="C437" s="283">
        <v>23</v>
      </c>
      <c r="D437" s="310">
        <f>+'Insumos testigos '!HI48</f>
        <v>193.80677115570001</v>
      </c>
      <c r="E437" s="310">
        <f>+'Insumos testigos '!HJ48</f>
        <v>216.08876090158518</v>
      </c>
      <c r="F437" s="310">
        <f>+'Insumos testigos '!HK48</f>
        <v>217.53441432558691</v>
      </c>
      <c r="G437" s="310">
        <f>+'Insumos testigos '!HL48</f>
        <v>244.77957177912188</v>
      </c>
      <c r="H437" s="310">
        <f>+'Insumos testigos '!HM48</f>
        <v>253.87472499164843</v>
      </c>
      <c r="I437" s="310">
        <f>+'Insumos testigos '!HN48</f>
        <v>258.96789077080189</v>
      </c>
      <c r="J437" s="310">
        <f>+'Insumos testigos '!HO48</f>
        <v>281.80480221833938</v>
      </c>
      <c r="K437" s="310">
        <f>+'Insumos testigos '!HP48</f>
        <v>304.19988583833987</v>
      </c>
      <c r="L437" s="310">
        <f>+'Insumos testigos '!HQ48</f>
        <v>319.40988013025685</v>
      </c>
      <c r="M437" s="310">
        <f>+'Insumos testigos '!HR48</f>
        <v>319.40988013025685</v>
      </c>
      <c r="N437" s="310">
        <f>+'Insumos testigos '!HS48</f>
        <v>355.44747643389667</v>
      </c>
      <c r="O437" s="310">
        <f>+'Insumos testigos '!HT48</f>
        <v>365.32101744594934</v>
      </c>
    </row>
    <row r="438" spans="2:15" ht="16.5" hidden="1" thickBot="1">
      <c r="B438" s="373" t="s">
        <v>834</v>
      </c>
      <c r="C438" s="282" t="s">
        <v>835</v>
      </c>
      <c r="D438" s="447">
        <f>+'Insumos testigos '!HI5*2.2521</f>
        <v>198.364968</v>
      </c>
      <c r="E438" s="447">
        <f>+'Insumos testigos '!HJ5*2.2521</f>
        <v>198.364968</v>
      </c>
      <c r="F438" s="447">
        <f>+'Insumos testigos '!HK5*2.2521</f>
        <v>212.260425</v>
      </c>
      <c r="G438" s="447">
        <f>+'Insumos testigos '!HL5*2.2521</f>
        <v>233.47520700000001</v>
      </c>
      <c r="H438" s="447">
        <f>+'Insumos testigos '!HM5*2.2521</f>
        <v>245.16360599999999</v>
      </c>
      <c r="I438" s="447">
        <f>+'Insumos testigos '!HN5*2.2521</f>
        <v>245.16360599999999</v>
      </c>
      <c r="J438" s="447">
        <f>+'Insumos testigos '!HO5*2.2521</f>
        <v>255.65839199999999</v>
      </c>
      <c r="K438" s="447">
        <f>+'Insumos testigos '!HP5*2.2521</f>
        <v>264.59922899999998</v>
      </c>
      <c r="L438" s="447">
        <f>+'Insumos testigos '!HQ5*2.2521</f>
        <v>264.59922899999998</v>
      </c>
      <c r="M438" s="447">
        <f>+'Insumos testigos '!HR5*2.2521</f>
        <v>285.273507</v>
      </c>
      <c r="N438" s="447">
        <f>+'Insumos testigos '!HS5*2.2521</f>
        <v>302.38946700000002</v>
      </c>
      <c r="O438" s="447">
        <f>+'Insumos testigos '!HT5*2.2521</f>
        <v>302.38946700000002</v>
      </c>
    </row>
    <row r="439" spans="2:15" ht="16.5" hidden="1" thickBot="1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</row>
    <row r="440" spans="2:15" ht="15.75" hidden="1">
      <c r="B440" s="2623" t="s">
        <v>675</v>
      </c>
      <c r="C440" s="486" t="s">
        <v>836</v>
      </c>
      <c r="D440" s="516">
        <f t="shared" ref="D440:O440" si="154">ROUND(+D434/$D$374,3)</f>
        <v>2.141</v>
      </c>
      <c r="E440" s="516">
        <f t="shared" si="154"/>
        <v>2.3439999999999999</v>
      </c>
      <c r="F440" s="516">
        <f t="shared" si="154"/>
        <v>2.3929999999999998</v>
      </c>
      <c r="G440" s="516">
        <f t="shared" si="154"/>
        <v>2.5329999999999999</v>
      </c>
      <c r="H440" s="516">
        <f t="shared" si="154"/>
        <v>2.6139999999999999</v>
      </c>
      <c r="I440" s="516">
        <f t="shared" si="154"/>
        <v>2.6829999999999998</v>
      </c>
      <c r="J440" s="516">
        <f t="shared" si="154"/>
        <v>2.7320000000000002</v>
      </c>
      <c r="K440" s="516">
        <f t="shared" si="154"/>
        <v>3.08</v>
      </c>
      <c r="L440" s="516">
        <f t="shared" si="154"/>
        <v>3.2669999999999999</v>
      </c>
      <c r="M440" s="516">
        <f t="shared" si="154"/>
        <v>3.4009999999999998</v>
      </c>
      <c r="N440" s="516">
        <f t="shared" si="154"/>
        <v>3.6880000000000002</v>
      </c>
      <c r="O440" s="516">
        <f t="shared" si="154"/>
        <v>3.851</v>
      </c>
    </row>
    <row r="441" spans="2:15" ht="15.75" hidden="1">
      <c r="B441" s="2624"/>
      <c r="C441" s="489" t="s">
        <v>837</v>
      </c>
      <c r="D441" s="391">
        <f t="shared" ref="D441:O441" si="155">ROUND(+D435/$D$375,3)</f>
        <v>2.5550000000000002</v>
      </c>
      <c r="E441" s="391">
        <f t="shared" si="155"/>
        <v>2.669</v>
      </c>
      <c r="F441" s="391">
        <f t="shared" si="155"/>
        <v>2.8090000000000002</v>
      </c>
      <c r="G441" s="391">
        <f t="shared" si="155"/>
        <v>2.956</v>
      </c>
      <c r="H441" s="391">
        <f t="shared" si="155"/>
        <v>3.1560000000000001</v>
      </c>
      <c r="I441" s="391">
        <f t="shared" si="155"/>
        <v>3.2029999999999998</v>
      </c>
      <c r="J441" s="391">
        <f t="shared" si="155"/>
        <v>3.194</v>
      </c>
      <c r="K441" s="391">
        <f t="shared" si="155"/>
        <v>3.956</v>
      </c>
      <c r="L441" s="391">
        <f t="shared" si="155"/>
        <v>4.1970000000000001</v>
      </c>
      <c r="M441" s="391">
        <f t="shared" si="155"/>
        <v>4.3520000000000003</v>
      </c>
      <c r="N441" s="391">
        <f t="shared" si="155"/>
        <v>4.4829999999999997</v>
      </c>
      <c r="O441" s="391">
        <f t="shared" si="155"/>
        <v>4.7039999999999997</v>
      </c>
    </row>
    <row r="442" spans="2:15" ht="15.75" hidden="1">
      <c r="B442" s="2624"/>
      <c r="C442" s="489" t="s">
        <v>838</v>
      </c>
      <c r="D442" s="391">
        <f t="shared" ref="D442:O442" si="156">ROUND(+D436/$D$376,3)</f>
        <v>3.0550000000000002</v>
      </c>
      <c r="E442" s="391">
        <f t="shared" si="156"/>
        <v>3.0979999999999999</v>
      </c>
      <c r="F442" s="391">
        <f t="shared" si="156"/>
        <v>3.331</v>
      </c>
      <c r="G442" s="391">
        <f t="shared" si="156"/>
        <v>3.456</v>
      </c>
      <c r="H442" s="391">
        <f t="shared" si="156"/>
        <v>3.5880000000000001</v>
      </c>
      <c r="I442" s="391">
        <f t="shared" si="156"/>
        <v>3.4990000000000001</v>
      </c>
      <c r="J442" s="391">
        <f t="shared" si="156"/>
        <v>3.367</v>
      </c>
      <c r="K442" s="391">
        <f t="shared" si="156"/>
        <v>4.351</v>
      </c>
      <c r="L442" s="391">
        <f t="shared" si="156"/>
        <v>4.4800000000000004</v>
      </c>
      <c r="M442" s="391">
        <f t="shared" si="156"/>
        <v>4.681</v>
      </c>
      <c r="N442" s="391">
        <f t="shared" si="156"/>
        <v>4.7009999999999996</v>
      </c>
      <c r="O442" s="391">
        <f t="shared" si="156"/>
        <v>4.8209999999999997</v>
      </c>
    </row>
    <row r="443" spans="2:15" ht="15.75" hidden="1">
      <c r="B443" s="2624"/>
      <c r="C443" s="489" t="s">
        <v>839</v>
      </c>
      <c r="D443" s="391">
        <f t="shared" ref="D443:O443" si="157">ROUND(+D437/$D$377,3)</f>
        <v>1.9379999999999999</v>
      </c>
      <c r="E443" s="391">
        <f t="shared" si="157"/>
        <v>2.161</v>
      </c>
      <c r="F443" s="391">
        <f t="shared" si="157"/>
        <v>2.1749999999999998</v>
      </c>
      <c r="G443" s="391">
        <f t="shared" si="157"/>
        <v>2.448</v>
      </c>
      <c r="H443" s="391">
        <f t="shared" si="157"/>
        <v>2.5390000000000001</v>
      </c>
      <c r="I443" s="391">
        <f t="shared" si="157"/>
        <v>2.59</v>
      </c>
      <c r="J443" s="391">
        <f t="shared" si="157"/>
        <v>2.8180000000000001</v>
      </c>
      <c r="K443" s="391">
        <f t="shared" si="157"/>
        <v>3.0419999999999998</v>
      </c>
      <c r="L443" s="391">
        <f t="shared" si="157"/>
        <v>3.194</v>
      </c>
      <c r="M443" s="391">
        <f t="shared" si="157"/>
        <v>3.194</v>
      </c>
      <c r="N443" s="391">
        <f t="shared" si="157"/>
        <v>3.5539999999999998</v>
      </c>
      <c r="O443" s="391">
        <f t="shared" si="157"/>
        <v>3.653</v>
      </c>
    </row>
    <row r="444" spans="2:15" ht="16.5" hidden="1" thickBot="1">
      <c r="B444" s="2625"/>
      <c r="C444" s="492" t="s">
        <v>677</v>
      </c>
      <c r="D444" s="685">
        <f t="shared" ref="D444:O444" si="158">ROUND(+D438/$D$378,3)</f>
        <v>2.2930000000000001</v>
      </c>
      <c r="E444" s="685">
        <f t="shared" si="158"/>
        <v>2.2930000000000001</v>
      </c>
      <c r="F444" s="685">
        <f t="shared" si="158"/>
        <v>2.4529999999999998</v>
      </c>
      <c r="G444" s="685">
        <f t="shared" si="158"/>
        <v>2.698</v>
      </c>
      <c r="H444" s="685">
        <f t="shared" si="158"/>
        <v>2.8330000000000002</v>
      </c>
      <c r="I444" s="685">
        <f t="shared" si="158"/>
        <v>2.8330000000000002</v>
      </c>
      <c r="J444" s="685">
        <f t="shared" si="158"/>
        <v>2.9550000000000001</v>
      </c>
      <c r="K444" s="685">
        <f t="shared" si="158"/>
        <v>3.0579999999999998</v>
      </c>
      <c r="L444" s="685">
        <f t="shared" si="158"/>
        <v>3.0579999999999998</v>
      </c>
      <c r="M444" s="685">
        <f t="shared" si="158"/>
        <v>3.2970000000000002</v>
      </c>
      <c r="N444" s="685">
        <f t="shared" si="158"/>
        <v>3.4950000000000001</v>
      </c>
      <c r="O444" s="685">
        <f t="shared" si="158"/>
        <v>3.4950000000000001</v>
      </c>
    </row>
    <row r="445" spans="2:15" ht="16.5" hidden="1" thickBot="1">
      <c r="B445" s="132"/>
      <c r="C445" s="363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375"/>
      <c r="O445" s="132"/>
    </row>
    <row r="446" spans="2:15" ht="16.5" hidden="1" thickBot="1">
      <c r="B446" s="365" t="s">
        <v>860</v>
      </c>
      <c r="C446" s="1455" t="s">
        <v>354</v>
      </c>
      <c r="D446" s="1233">
        <v>43466</v>
      </c>
      <c r="E446" s="1233">
        <v>43497</v>
      </c>
      <c r="F446" s="1233">
        <v>43525</v>
      </c>
      <c r="G446" s="1233">
        <v>43556</v>
      </c>
      <c r="H446" s="1233">
        <v>43586</v>
      </c>
      <c r="I446" s="1233">
        <v>43617</v>
      </c>
      <c r="J446" s="1233">
        <v>43647</v>
      </c>
      <c r="K446" s="1233">
        <v>43678</v>
      </c>
      <c r="L446" s="1233">
        <v>43709</v>
      </c>
      <c r="M446" s="1233">
        <v>43739</v>
      </c>
      <c r="N446" s="1233">
        <v>43770</v>
      </c>
      <c r="O446" s="1428">
        <v>43800</v>
      </c>
    </row>
    <row r="447" spans="2:15" ht="15.75" hidden="1">
      <c r="B447" s="377" t="s">
        <v>820</v>
      </c>
      <c r="C447" s="495">
        <v>301</v>
      </c>
      <c r="D447" s="496">
        <f t="shared" ref="D447:I447" si="159">ROUND(MMULT($D12:$H12,D440:D444),2)</f>
        <v>233.98</v>
      </c>
      <c r="E447" s="496">
        <f t="shared" si="159"/>
        <v>247.46</v>
      </c>
      <c r="F447" s="496">
        <f t="shared" si="159"/>
        <v>257.88</v>
      </c>
      <c r="G447" s="496">
        <f t="shared" si="159"/>
        <v>274.64</v>
      </c>
      <c r="H447" s="496">
        <f t="shared" si="159"/>
        <v>287.05</v>
      </c>
      <c r="I447" s="496">
        <f t="shared" si="159"/>
        <v>290.60000000000002</v>
      </c>
      <c r="J447" s="496">
        <f t="shared" ref="J447:O447" si="160">ROUND(MMULT($D12:$H12,J440:J444),2)</f>
        <v>294.89</v>
      </c>
      <c r="K447" s="496">
        <f t="shared" si="160"/>
        <v>341.08</v>
      </c>
      <c r="L447" s="496">
        <f t="shared" si="160"/>
        <v>357.22</v>
      </c>
      <c r="M447" s="496">
        <f t="shared" si="160"/>
        <v>372.4</v>
      </c>
      <c r="N447" s="496">
        <f t="shared" si="160"/>
        <v>393.85</v>
      </c>
      <c r="O447" s="497">
        <f t="shared" si="160"/>
        <v>407.99</v>
      </c>
    </row>
    <row r="448" spans="2:15" ht="15.75" hidden="1">
      <c r="B448" s="372" t="s">
        <v>827</v>
      </c>
      <c r="C448" s="281">
        <v>302</v>
      </c>
      <c r="D448" s="498">
        <f t="shared" ref="D448:I448" si="161">ROUND(MMULT($D13:$H13,D440:D444),2)</f>
        <v>231.99</v>
      </c>
      <c r="E448" s="498">
        <f t="shared" si="161"/>
        <v>245.33</v>
      </c>
      <c r="F448" s="498">
        <f t="shared" si="161"/>
        <v>255.57</v>
      </c>
      <c r="G448" s="498">
        <f t="shared" si="161"/>
        <v>272.52999999999997</v>
      </c>
      <c r="H448" s="498">
        <f t="shared" si="161"/>
        <v>284.75</v>
      </c>
      <c r="I448" s="498">
        <f t="shared" si="161"/>
        <v>288.47000000000003</v>
      </c>
      <c r="J448" s="498">
        <f t="shared" ref="J448:O448" si="162">ROUND(MMULT($D13:$H13,J440:J444),2)</f>
        <v>293.27999999999997</v>
      </c>
      <c r="K448" s="498">
        <f t="shared" si="162"/>
        <v>336.76</v>
      </c>
      <c r="L448" s="498">
        <f t="shared" si="162"/>
        <v>352.38</v>
      </c>
      <c r="M448" s="498">
        <f t="shared" si="162"/>
        <v>367.84</v>
      </c>
      <c r="N448" s="498">
        <f t="shared" si="162"/>
        <v>389.79</v>
      </c>
      <c r="O448" s="499">
        <f t="shared" si="162"/>
        <v>403.48</v>
      </c>
    </row>
    <row r="449" spans="2:15" ht="15.75" hidden="1">
      <c r="B449" s="372" t="s">
        <v>828</v>
      </c>
      <c r="C449" s="281">
        <v>303</v>
      </c>
      <c r="D449" s="500">
        <f t="shared" ref="D449:I449" si="163">ROUND(MMULT($D14:$H14,D440:D444),2)</f>
        <v>238.81</v>
      </c>
      <c r="E449" s="500">
        <f t="shared" si="163"/>
        <v>250.48</v>
      </c>
      <c r="F449" s="500">
        <f t="shared" si="163"/>
        <v>262.31</v>
      </c>
      <c r="G449" s="500">
        <f t="shared" si="163"/>
        <v>279.56</v>
      </c>
      <c r="H449" s="500">
        <f t="shared" si="163"/>
        <v>291.93</v>
      </c>
      <c r="I449" s="500">
        <f t="shared" si="163"/>
        <v>294.08999999999997</v>
      </c>
      <c r="J449" s="500">
        <f t="shared" ref="J449:O449" si="164">ROUND(MMULT($D14:$H14,J440:J444),2)</f>
        <v>297.91000000000003</v>
      </c>
      <c r="K449" s="500">
        <f t="shared" si="164"/>
        <v>344.59</v>
      </c>
      <c r="L449" s="500">
        <f t="shared" si="164"/>
        <v>358.88</v>
      </c>
      <c r="M449" s="500">
        <f t="shared" si="164"/>
        <v>375.03</v>
      </c>
      <c r="N449" s="500">
        <f t="shared" si="164"/>
        <v>395.01</v>
      </c>
      <c r="O449" s="499">
        <f t="shared" si="164"/>
        <v>407.53</v>
      </c>
    </row>
    <row r="450" spans="2:15" ht="16.5" hidden="1" thickBot="1">
      <c r="B450" s="373" t="s">
        <v>832</v>
      </c>
      <c r="C450" s="501">
        <v>304</v>
      </c>
      <c r="D450" s="502">
        <f t="shared" ref="D450:M450" si="165">ROUND(MMULT($D15:$H15,D440:D444),2)</f>
        <v>224.8</v>
      </c>
      <c r="E450" s="502">
        <f t="shared" si="165"/>
        <v>234.72</v>
      </c>
      <c r="F450" s="502">
        <f t="shared" si="165"/>
        <v>245.63</v>
      </c>
      <c r="G450" s="502">
        <f t="shared" si="165"/>
        <v>266.33</v>
      </c>
      <c r="H450" s="502">
        <f t="shared" si="165"/>
        <v>277.45999999999998</v>
      </c>
      <c r="I450" s="502">
        <f t="shared" si="165"/>
        <v>279.76</v>
      </c>
      <c r="J450" s="502">
        <f t="shared" si="165"/>
        <v>289.33</v>
      </c>
      <c r="K450" s="502">
        <f t="shared" si="165"/>
        <v>315.33</v>
      </c>
      <c r="L450" s="502">
        <f t="shared" si="165"/>
        <v>324.35000000000002</v>
      </c>
      <c r="M450" s="502">
        <f t="shared" si="165"/>
        <v>341.27</v>
      </c>
      <c r="N450" s="502">
        <f>ROUND(MMULT($D15:$H15,N440:N444),2)</f>
        <v>364.94</v>
      </c>
      <c r="O450" s="503">
        <f>ROUND(MMULT($D15:$H15,O440:O444),2)</f>
        <v>372.39</v>
      </c>
    </row>
    <row r="451" spans="2:15" ht="15.75" hidden="1">
      <c r="B451" s="122" t="s">
        <v>527</v>
      </c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</row>
    <row r="452" spans="2:15" ht="15" hidden="1" thickBot="1"/>
    <row r="453" spans="2:15" ht="16.5" hidden="1" thickBot="1">
      <c r="B453" s="365" t="s">
        <v>673</v>
      </c>
      <c r="C453" s="1859" t="s">
        <v>354</v>
      </c>
      <c r="D453" s="1851">
        <v>43831</v>
      </c>
      <c r="E453" s="1851">
        <v>43862</v>
      </c>
      <c r="F453" s="1851">
        <v>43891</v>
      </c>
      <c r="G453" s="1851">
        <v>43922</v>
      </c>
      <c r="H453" s="1851">
        <v>43952</v>
      </c>
      <c r="I453" s="1851">
        <v>43983</v>
      </c>
      <c r="J453" s="1851">
        <v>44013</v>
      </c>
      <c r="K453" s="1851">
        <v>44044</v>
      </c>
      <c r="L453" s="1851">
        <v>44075</v>
      </c>
      <c r="M453" s="1851">
        <v>44105</v>
      </c>
      <c r="N453" s="1851">
        <v>44136</v>
      </c>
      <c r="O453" s="1851">
        <v>44166</v>
      </c>
    </row>
    <row r="454" spans="2:15" ht="15.75" hidden="1">
      <c r="B454" s="377" t="s">
        <v>809</v>
      </c>
      <c r="C454" s="1863">
        <v>50</v>
      </c>
      <c r="D454" s="2451">
        <f>+'Insumos testigos '!HU75</f>
        <v>404.75485999174668</v>
      </c>
      <c r="E454" s="2451">
        <f>+'Insumos testigos '!HV75</f>
        <v>408.15319941680934</v>
      </c>
      <c r="F454" s="2451">
        <f>+'Insumos testigos '!HW75</f>
        <v>447.11327754295934</v>
      </c>
      <c r="G454" s="2451">
        <f>+'Insumos testigos '!HX75</f>
        <v>447.11327754295934</v>
      </c>
      <c r="H454" s="2451">
        <f>+'Insumos testigos '!HY75</f>
        <v>447.11327754295934</v>
      </c>
      <c r="I454" s="2451">
        <f>+'Insumos testigos '!HZ75</f>
        <v>447.11327754295934</v>
      </c>
      <c r="J454" s="2451">
        <f>+'Insumos testigos '!IA75</f>
        <v>472.35354321070702</v>
      </c>
      <c r="K454" s="2451">
        <f>+'Insumos testigos '!IB75</f>
        <v>496.34406672393203</v>
      </c>
      <c r="L454" s="2451">
        <f>+'Insumos testigos '!IC75</f>
        <v>509.0815293796835</v>
      </c>
      <c r="M454" s="2451">
        <f>+'Insumos testigos '!ID75</f>
        <v>543.15721598732057</v>
      </c>
      <c r="N454" s="2451">
        <f>+'Insumos testigos '!IE75</f>
        <v>542.83203745146807</v>
      </c>
      <c r="O454" s="2451">
        <f>+'Insumos testigos '!IF75</f>
        <v>562.28365082768755</v>
      </c>
    </row>
    <row r="455" spans="2:15" ht="15.75" hidden="1">
      <c r="B455" s="372" t="s">
        <v>810</v>
      </c>
      <c r="C455" s="1856">
        <v>19</v>
      </c>
      <c r="D455" s="2452">
        <f>+'Insumos testigos '!HU44</f>
        <v>456.63708634643996</v>
      </c>
      <c r="E455" s="2452">
        <f>+'Insumos testigos '!HV44</f>
        <v>471.60175303361069</v>
      </c>
      <c r="F455" s="2452">
        <f>+'Insumos testigos '!HW44</f>
        <v>510.71416891027764</v>
      </c>
      <c r="G455" s="2452">
        <f>+'Insumos testigos '!HX44</f>
        <v>510.71416891027764</v>
      </c>
      <c r="H455" s="2452">
        <f>+'Insumos testigos '!HY44</f>
        <v>521.72080186582264</v>
      </c>
      <c r="I455" s="2452">
        <f>+'Insumos testigos '!HZ44</f>
        <v>521.72080186582264</v>
      </c>
      <c r="J455" s="2452">
        <f>+'Insumos testigos '!IA44</f>
        <v>521.72080186582264</v>
      </c>
      <c r="K455" s="2452">
        <f>+'Insumos testigos '!IB44</f>
        <v>548.03529220947257</v>
      </c>
      <c r="L455" s="2452">
        <f>+'Insumos testigos '!IC44</f>
        <v>606.37317827139884</v>
      </c>
      <c r="M455" s="2452">
        <f>+'Insumos testigos '!ID44</f>
        <v>799.2633554437067</v>
      </c>
      <c r="N455" s="2452">
        <f>+'Insumos testigos '!IE44</f>
        <v>906.80309900662576</v>
      </c>
      <c r="O455" s="2452">
        <f>+'Insumos testigos '!IF44</f>
        <v>919.83535483515595</v>
      </c>
    </row>
    <row r="456" spans="2:15" ht="15.75" hidden="1">
      <c r="B456" s="372" t="s">
        <v>811</v>
      </c>
      <c r="C456" s="1856">
        <v>58</v>
      </c>
      <c r="D456" s="2452">
        <f>+'Insumos testigos '!HU82</f>
        <v>484.73144356782296</v>
      </c>
      <c r="E456" s="2452">
        <f>+'Insumos testigos '!HV82</f>
        <v>492.53148998251385</v>
      </c>
      <c r="F456" s="2452">
        <f>+'Insumos testigos '!HW82</f>
        <v>501.09875450045513</v>
      </c>
      <c r="G456" s="2452">
        <f>+'Insumos testigos '!HX82</f>
        <v>501.09875450045513</v>
      </c>
      <c r="H456" s="2452">
        <f>+'Insumos testigos '!HY82</f>
        <v>509.66364651787268</v>
      </c>
      <c r="I456" s="2452">
        <f>+'Insumos testigos '!HZ82</f>
        <v>509.66364651787268</v>
      </c>
      <c r="J456" s="2452">
        <f>+'Insumos testigos '!IA82</f>
        <v>550.7866516828534</v>
      </c>
      <c r="K456" s="2452">
        <f>+'Insumos testigos '!IB82</f>
        <v>621.29821166978707</v>
      </c>
      <c r="L456" s="2452">
        <f>+'Insumos testigos '!IC82</f>
        <v>678.98968983828627</v>
      </c>
      <c r="M456" s="2452">
        <f>+'Insumos testigos '!ID82</f>
        <v>755.54546838543786</v>
      </c>
      <c r="N456" s="2452">
        <f>+'Insumos testigos '!IE82</f>
        <v>755.54648814431198</v>
      </c>
      <c r="O456" s="2452">
        <f>+'Insumos testigos '!IF82</f>
        <v>764.84460028265585</v>
      </c>
    </row>
    <row r="457" spans="2:15" ht="15.75" hidden="1">
      <c r="B457" s="372" t="s">
        <v>821</v>
      </c>
      <c r="C457" s="1856">
        <v>23</v>
      </c>
      <c r="D457" s="2453">
        <f>+'Insumos testigos '!HU48</f>
        <v>391.78788338530489</v>
      </c>
      <c r="E457" s="2453">
        <f>+'Insumos testigos '!HV48</f>
        <v>391.78788338530489</v>
      </c>
      <c r="F457" s="2453">
        <f>+'Insumos testigos '!HW48</f>
        <v>393.3303553671368</v>
      </c>
      <c r="G457" s="2453">
        <f>+'Insumos testigos '!HX48</f>
        <v>393.3303553671368</v>
      </c>
      <c r="H457" s="2453">
        <f>+'Insumos testigos '!HY48</f>
        <v>415.66792663047482</v>
      </c>
      <c r="I457" s="2453">
        <f>+'Insumos testigos '!HZ48</f>
        <v>443.48822093251442</v>
      </c>
      <c r="J457" s="2453">
        <f>+'Insumos testigos '!IA48</f>
        <v>450.77372038033047</v>
      </c>
      <c r="K457" s="2453">
        <f>+'Insumos testigos '!IB48</f>
        <v>484.73179018484797</v>
      </c>
      <c r="L457" s="2453">
        <f>+'Insumos testigos '!IC48</f>
        <v>484.73179018484797</v>
      </c>
      <c r="M457" s="2453">
        <f>+'Insumos testigos '!ID48</f>
        <v>508.74941558785218</v>
      </c>
      <c r="N457" s="2453">
        <f>+'Insumos testigos '!IE48</f>
        <v>622.62528504173304</v>
      </c>
      <c r="O457" s="2453">
        <f>+'Insumos testigos '!IF48</f>
        <v>696.53259998109854</v>
      </c>
    </row>
    <row r="458" spans="2:15" ht="16.5" hidden="1" thickBot="1">
      <c r="B458" s="373" t="s">
        <v>834</v>
      </c>
      <c r="C458" s="1854" t="s">
        <v>835</v>
      </c>
      <c r="D458" s="2454">
        <f>+'Insumos testigos '!HU5*2.2521</f>
        <v>320.87920799999995</v>
      </c>
      <c r="E458" s="2454">
        <f>+'Insumos testigos '!HV5*2.2521</f>
        <v>333.69365699999997</v>
      </c>
      <c r="F458" s="2454">
        <f>+'Insumos testigos '!HW5*2.2521</f>
        <v>333.69365699999997</v>
      </c>
      <c r="G458" s="2454">
        <f>+'Insumos testigos '!HX5*2.2521</f>
        <v>333.69365699999997</v>
      </c>
      <c r="H458" s="2454">
        <f>+'Insumos testigos '!HY5*2.2521</f>
        <v>333.69365699999997</v>
      </c>
      <c r="I458" s="2454">
        <f>+'Insumos testigos '!HZ5*2.2521</f>
        <v>333.69365699999997</v>
      </c>
      <c r="J458" s="2454">
        <f>+'Insumos testigos '!IA5*2.2521</f>
        <v>333.69365699999997</v>
      </c>
      <c r="K458" s="2454">
        <f>+'Insumos testigos '!IB5*2.2521</f>
        <v>333.69365699999997</v>
      </c>
      <c r="L458" s="2454">
        <f>+'Insumos testigos '!IC5*2.2521</f>
        <v>333.69365699999997</v>
      </c>
      <c r="M458" s="2454">
        <f>+'Insumos testigos '!ID5*2.2521</f>
        <v>333.69365699999997</v>
      </c>
      <c r="N458" s="2454">
        <f>+'Insumos testigos '!IE5*2.2521</f>
        <v>417.133962</v>
      </c>
      <c r="O458" s="2454">
        <f>+'Insumos testigos '!IF5*2.2521</f>
        <v>417.133962</v>
      </c>
    </row>
    <row r="459" spans="2:15" ht="16.5" hidden="1" thickBot="1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</row>
    <row r="460" spans="2:15" ht="15.75" hidden="1">
      <c r="B460" s="2623" t="s">
        <v>675</v>
      </c>
      <c r="C460" s="486" t="s">
        <v>836</v>
      </c>
      <c r="D460" s="516">
        <f t="shared" ref="D460:O460" si="166">ROUND(+D454/$D$374,3)</f>
        <v>4.048</v>
      </c>
      <c r="E460" s="516">
        <f t="shared" si="166"/>
        <v>4.0819999999999999</v>
      </c>
      <c r="F460" s="516">
        <f t="shared" si="166"/>
        <v>4.4710000000000001</v>
      </c>
      <c r="G460" s="516">
        <f t="shared" si="166"/>
        <v>4.4710000000000001</v>
      </c>
      <c r="H460" s="516">
        <f t="shared" si="166"/>
        <v>4.4710000000000001</v>
      </c>
      <c r="I460" s="516">
        <f t="shared" si="166"/>
        <v>4.4710000000000001</v>
      </c>
      <c r="J460" s="516">
        <f t="shared" si="166"/>
        <v>4.7240000000000002</v>
      </c>
      <c r="K460" s="516">
        <f t="shared" si="166"/>
        <v>4.9630000000000001</v>
      </c>
      <c r="L460" s="516">
        <f t="shared" si="166"/>
        <v>5.0910000000000002</v>
      </c>
      <c r="M460" s="516">
        <f t="shared" si="166"/>
        <v>5.4320000000000004</v>
      </c>
      <c r="N460" s="516">
        <f t="shared" si="166"/>
        <v>5.4279999999999999</v>
      </c>
      <c r="O460" s="516">
        <f t="shared" si="166"/>
        <v>5.6230000000000002</v>
      </c>
    </row>
    <row r="461" spans="2:15" ht="15.75" hidden="1">
      <c r="B461" s="2624"/>
      <c r="C461" s="489" t="s">
        <v>837</v>
      </c>
      <c r="D461" s="391">
        <f t="shared" ref="D461:O461" si="167">ROUND(+D455/$D$375,3)</f>
        <v>4.5659999999999998</v>
      </c>
      <c r="E461" s="391">
        <f t="shared" si="167"/>
        <v>4.7160000000000002</v>
      </c>
      <c r="F461" s="391">
        <f t="shared" si="167"/>
        <v>5.1070000000000002</v>
      </c>
      <c r="G461" s="391">
        <f t="shared" si="167"/>
        <v>5.1070000000000002</v>
      </c>
      <c r="H461" s="391">
        <f t="shared" si="167"/>
        <v>5.2169999999999996</v>
      </c>
      <c r="I461" s="391">
        <f t="shared" si="167"/>
        <v>5.2169999999999996</v>
      </c>
      <c r="J461" s="391">
        <f t="shared" si="167"/>
        <v>5.2169999999999996</v>
      </c>
      <c r="K461" s="391">
        <f t="shared" si="167"/>
        <v>5.48</v>
      </c>
      <c r="L461" s="391">
        <f t="shared" si="167"/>
        <v>6.0640000000000001</v>
      </c>
      <c r="M461" s="391">
        <f t="shared" si="167"/>
        <v>7.9930000000000003</v>
      </c>
      <c r="N461" s="391">
        <f t="shared" si="167"/>
        <v>9.0679999999999996</v>
      </c>
      <c r="O461" s="391">
        <f t="shared" si="167"/>
        <v>9.1980000000000004</v>
      </c>
    </row>
    <row r="462" spans="2:15" ht="15.75" hidden="1">
      <c r="B462" s="2624"/>
      <c r="C462" s="489" t="s">
        <v>838</v>
      </c>
      <c r="D462" s="391">
        <f t="shared" ref="D462:O462" si="168">ROUND(+D456/$D$376,3)</f>
        <v>4.8470000000000004</v>
      </c>
      <c r="E462" s="391">
        <f t="shared" si="168"/>
        <v>4.9249999999999998</v>
      </c>
      <c r="F462" s="391">
        <f t="shared" si="168"/>
        <v>5.0110000000000001</v>
      </c>
      <c r="G462" s="391">
        <f t="shared" si="168"/>
        <v>5.0110000000000001</v>
      </c>
      <c r="H462" s="391">
        <f t="shared" si="168"/>
        <v>5.0970000000000004</v>
      </c>
      <c r="I462" s="391">
        <f t="shared" si="168"/>
        <v>5.0970000000000004</v>
      </c>
      <c r="J462" s="391">
        <f t="shared" si="168"/>
        <v>5.508</v>
      </c>
      <c r="K462" s="391">
        <f t="shared" si="168"/>
        <v>6.2130000000000001</v>
      </c>
      <c r="L462" s="391">
        <f t="shared" si="168"/>
        <v>6.79</v>
      </c>
      <c r="M462" s="391">
        <f t="shared" si="168"/>
        <v>7.5549999999999997</v>
      </c>
      <c r="N462" s="391">
        <f t="shared" si="168"/>
        <v>7.5549999999999997</v>
      </c>
      <c r="O462" s="391">
        <f t="shared" si="168"/>
        <v>7.6479999999999997</v>
      </c>
    </row>
    <row r="463" spans="2:15" ht="15.75" hidden="1">
      <c r="B463" s="2624"/>
      <c r="C463" s="489" t="s">
        <v>839</v>
      </c>
      <c r="D463" s="391">
        <f t="shared" ref="D463:O463" si="169">ROUND(+D457/$D$377,3)</f>
        <v>3.9180000000000001</v>
      </c>
      <c r="E463" s="391">
        <f t="shared" si="169"/>
        <v>3.9180000000000001</v>
      </c>
      <c r="F463" s="391">
        <f t="shared" si="169"/>
        <v>3.9329999999999998</v>
      </c>
      <c r="G463" s="391">
        <f t="shared" si="169"/>
        <v>3.9329999999999998</v>
      </c>
      <c r="H463" s="391">
        <f t="shared" si="169"/>
        <v>4.157</v>
      </c>
      <c r="I463" s="391">
        <f t="shared" si="169"/>
        <v>4.4349999999999996</v>
      </c>
      <c r="J463" s="391">
        <f t="shared" si="169"/>
        <v>4.508</v>
      </c>
      <c r="K463" s="391">
        <f t="shared" si="169"/>
        <v>4.8470000000000004</v>
      </c>
      <c r="L463" s="391">
        <f t="shared" si="169"/>
        <v>4.8470000000000004</v>
      </c>
      <c r="M463" s="391">
        <f t="shared" si="169"/>
        <v>5.0869999999999997</v>
      </c>
      <c r="N463" s="391">
        <f t="shared" si="169"/>
        <v>6.226</v>
      </c>
      <c r="O463" s="391">
        <f t="shared" si="169"/>
        <v>6.9649999999999999</v>
      </c>
    </row>
    <row r="464" spans="2:15" ht="16.5" hidden="1" thickBot="1">
      <c r="B464" s="2625"/>
      <c r="C464" s="492" t="s">
        <v>677</v>
      </c>
      <c r="D464" s="685">
        <f t="shared" ref="D464:O464" si="170">ROUND(+D458/$D$378,3)</f>
        <v>3.7080000000000002</v>
      </c>
      <c r="E464" s="685">
        <f t="shared" si="170"/>
        <v>3.8570000000000002</v>
      </c>
      <c r="F464" s="685">
        <f t="shared" si="170"/>
        <v>3.8570000000000002</v>
      </c>
      <c r="G464" s="685">
        <f t="shared" si="170"/>
        <v>3.8570000000000002</v>
      </c>
      <c r="H464" s="685">
        <f t="shared" si="170"/>
        <v>3.8570000000000002</v>
      </c>
      <c r="I464" s="685">
        <f t="shared" si="170"/>
        <v>3.8570000000000002</v>
      </c>
      <c r="J464" s="685">
        <f t="shared" si="170"/>
        <v>3.8570000000000002</v>
      </c>
      <c r="K464" s="685">
        <f t="shared" si="170"/>
        <v>3.8570000000000002</v>
      </c>
      <c r="L464" s="685">
        <f t="shared" si="170"/>
        <v>3.8570000000000002</v>
      </c>
      <c r="M464" s="685">
        <f t="shared" si="170"/>
        <v>3.8570000000000002</v>
      </c>
      <c r="N464" s="685">
        <f t="shared" si="170"/>
        <v>4.8209999999999997</v>
      </c>
      <c r="O464" s="685">
        <f t="shared" si="170"/>
        <v>4.8209999999999997</v>
      </c>
    </row>
    <row r="465" spans="2:15" ht="16.5" hidden="1" thickBot="1">
      <c r="B465" s="132"/>
      <c r="C465" s="363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375"/>
      <c r="O465" s="132"/>
    </row>
    <row r="466" spans="2:15" ht="16.5" hidden="1" thickBot="1">
      <c r="B466" s="365" t="s">
        <v>860</v>
      </c>
      <c r="C466" s="1455" t="s">
        <v>354</v>
      </c>
      <c r="D466" s="1851">
        <v>43831</v>
      </c>
      <c r="E466" s="1851">
        <v>43862</v>
      </c>
      <c r="F466" s="1851">
        <v>43891</v>
      </c>
      <c r="G466" s="1851">
        <v>43922</v>
      </c>
      <c r="H466" s="1851">
        <v>43952</v>
      </c>
      <c r="I466" s="1851">
        <v>43983</v>
      </c>
      <c r="J466" s="1851">
        <v>44013</v>
      </c>
      <c r="K466" s="1851">
        <v>44044</v>
      </c>
      <c r="L466" s="1851">
        <v>44075</v>
      </c>
      <c r="M466" s="1851">
        <v>44105</v>
      </c>
      <c r="N466" s="1851">
        <v>44136</v>
      </c>
      <c r="O466" s="1851">
        <v>44166</v>
      </c>
    </row>
    <row r="467" spans="2:15" ht="15.75" hidden="1">
      <c r="B467" s="377" t="s">
        <v>820</v>
      </c>
      <c r="C467" s="1860">
        <v>301</v>
      </c>
      <c r="D467" s="496">
        <f>ROUND(MMULT($D$12:$H$12,D460:D464),2)</f>
        <v>418.74</v>
      </c>
      <c r="E467" s="496">
        <f t="shared" ref="E467:J467" si="171">ROUND(MMULT($D12:$H12,E460:E464),2)</f>
        <v>426.93</v>
      </c>
      <c r="F467" s="496">
        <f t="shared" si="171"/>
        <v>453.64</v>
      </c>
      <c r="G467" s="496">
        <f t="shared" si="171"/>
        <v>453.64</v>
      </c>
      <c r="H467" s="496">
        <f t="shared" si="171"/>
        <v>458.93</v>
      </c>
      <c r="I467" s="496">
        <f t="shared" si="171"/>
        <v>461.15</v>
      </c>
      <c r="J467" s="496">
        <f t="shared" si="171"/>
        <v>476.47</v>
      </c>
      <c r="K467" s="496">
        <f t="shared" ref="K467:L467" si="172">ROUND(MMULT($D12:$H12,K460:K464),2)</f>
        <v>502.58</v>
      </c>
      <c r="L467" s="496">
        <f t="shared" si="172"/>
        <v>527.75</v>
      </c>
      <c r="M467" s="496">
        <f t="shared" ref="M467:N467" si="173">ROUND(MMULT($D12:$H12,M460:M464),2)</f>
        <v>597.92999999999995</v>
      </c>
      <c r="N467" s="496">
        <f t="shared" si="173"/>
        <v>648.1</v>
      </c>
      <c r="O467" s="1915">
        <f t="shared" ref="O467" si="174">ROUND(MMULT($D12:$H12,O460:O464),2)</f>
        <v>666.25</v>
      </c>
    </row>
    <row r="468" spans="2:15" ht="15.75" hidden="1">
      <c r="B468" s="372" t="s">
        <v>827</v>
      </c>
      <c r="C468" s="1862">
        <v>302</v>
      </c>
      <c r="D468" s="498">
        <f>ROUND(MMULT($D$13:$H$13,D460:D464),2)</f>
        <v>415.22</v>
      </c>
      <c r="E468" s="498">
        <f t="shared" ref="E468:J468" si="175">ROUND(MMULT($D13:$H13,E460:E464),2)</f>
        <v>423.47</v>
      </c>
      <c r="F468" s="498">
        <f t="shared" si="175"/>
        <v>449.98</v>
      </c>
      <c r="G468" s="498">
        <f t="shared" si="175"/>
        <v>449.98</v>
      </c>
      <c r="H468" s="498">
        <f t="shared" si="175"/>
        <v>454.66</v>
      </c>
      <c r="I468" s="498">
        <f t="shared" si="175"/>
        <v>456.6</v>
      </c>
      <c r="J468" s="498">
        <f t="shared" si="175"/>
        <v>471.53</v>
      </c>
      <c r="K468" s="498">
        <f t="shared" ref="K468:L468" si="176">ROUND(MMULT($D13:$H13,K460:K464),2)</f>
        <v>495.85</v>
      </c>
      <c r="L468" s="498">
        <f t="shared" si="176"/>
        <v>518.94000000000005</v>
      </c>
      <c r="M468" s="498">
        <f t="shared" ref="M468:N468" si="177">ROUND(MMULT($D13:$H13,M460:M464),2)</f>
        <v>584.19000000000005</v>
      </c>
      <c r="N468" s="498">
        <f t="shared" si="177"/>
        <v>633.95000000000005</v>
      </c>
      <c r="O468" s="498">
        <f t="shared" ref="O468" si="178">ROUND(MMULT($D13:$H13,O460:O464),2)</f>
        <v>651.30999999999995</v>
      </c>
    </row>
    <row r="469" spans="2:15" ht="15.75" hidden="1">
      <c r="B469" s="372" t="s">
        <v>828</v>
      </c>
      <c r="C469" s="1862">
        <v>303</v>
      </c>
      <c r="D469" s="500">
        <f>ROUND(MMULT($D$14:$H$14,D460:D464),2)</f>
        <v>419.19</v>
      </c>
      <c r="E469" s="500">
        <f t="shared" ref="E469:J469" si="179">ROUND(MMULT($D14:$H14,E460:E464),2)</f>
        <v>427.68</v>
      </c>
      <c r="F469" s="500">
        <f t="shared" si="179"/>
        <v>449.92</v>
      </c>
      <c r="G469" s="500">
        <f t="shared" si="179"/>
        <v>449.92</v>
      </c>
      <c r="H469" s="500">
        <f t="shared" si="179"/>
        <v>455.15</v>
      </c>
      <c r="I469" s="500">
        <f t="shared" si="179"/>
        <v>457.37</v>
      </c>
      <c r="J469" s="500">
        <f t="shared" si="179"/>
        <v>473.8</v>
      </c>
      <c r="K469" s="500">
        <f t="shared" ref="K469:L469" si="180">ROUND(MMULT($D14:$H14,K460:K464),2)</f>
        <v>501.6</v>
      </c>
      <c r="L469" s="500">
        <f t="shared" si="180"/>
        <v>526.4</v>
      </c>
      <c r="M469" s="500">
        <f t="shared" ref="M469:N469" si="181">ROUND(MMULT($D14:$H14,M460:M464),2)</f>
        <v>587.98</v>
      </c>
      <c r="N469" s="500">
        <f t="shared" si="181"/>
        <v>637.51</v>
      </c>
      <c r="O469" s="498">
        <f t="shared" ref="O469" si="182">ROUND(MMULT($D14:$H14,O460:O464),2)</f>
        <v>654.16999999999996</v>
      </c>
    </row>
    <row r="470" spans="2:15" ht="16.5" hidden="1" thickBot="1">
      <c r="B470" s="373" t="s">
        <v>832</v>
      </c>
      <c r="C470" s="1861">
        <v>304</v>
      </c>
      <c r="D470" s="502">
        <f>ROUND(MMULT($D$15:$H$15,D460:D464),2)</f>
        <v>392.59</v>
      </c>
      <c r="E470" s="502">
        <f t="shared" ref="E470:J470" si="183">ROUND(MMULT($D15:$H15,E460:E464),2)</f>
        <v>401.23</v>
      </c>
      <c r="F470" s="502">
        <f t="shared" si="183"/>
        <v>414.49</v>
      </c>
      <c r="G470" s="502">
        <f t="shared" si="183"/>
        <v>414.49</v>
      </c>
      <c r="H470" s="502">
        <f t="shared" si="183"/>
        <v>418.23</v>
      </c>
      <c r="I470" s="502">
        <f t="shared" si="183"/>
        <v>422.12</v>
      </c>
      <c r="J470" s="502">
        <f t="shared" si="183"/>
        <v>434.12</v>
      </c>
      <c r="K470" s="502">
        <f t="shared" ref="K470:L470" si="184">ROUND(MMULT($D15:$H15,K460:K464),2)</f>
        <v>451.44</v>
      </c>
      <c r="L470" s="502">
        <f t="shared" si="184"/>
        <v>459.58</v>
      </c>
      <c r="M470" s="502">
        <f t="shared" ref="M470:N470" si="185">ROUND(MMULT($D15:$H15,M460:M464),2)</f>
        <v>479.21</v>
      </c>
      <c r="N470" s="502">
        <f t="shared" si="185"/>
        <v>540.33000000000004</v>
      </c>
      <c r="O470" s="573">
        <f t="shared" ref="O470" si="186">ROUND(MMULT($D15:$H15,O460:O464),2)</f>
        <v>557.57000000000005</v>
      </c>
    </row>
    <row r="471" spans="2:15" ht="15.75" hidden="1">
      <c r="B471" s="122" t="s">
        <v>527</v>
      </c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</row>
    <row r="472" spans="2:15" ht="15" hidden="1" thickBot="1"/>
    <row r="473" spans="2:15" ht="16.5" hidden="1" thickBot="1">
      <c r="B473" s="365" t="s">
        <v>673</v>
      </c>
      <c r="C473" s="1926" t="s">
        <v>354</v>
      </c>
      <c r="D473" s="1920">
        <v>44197</v>
      </c>
      <c r="E473" s="1920">
        <v>44228</v>
      </c>
      <c r="F473" s="1920">
        <v>44256</v>
      </c>
      <c r="G473" s="1920">
        <v>44287</v>
      </c>
      <c r="H473" s="1920">
        <v>44317</v>
      </c>
      <c r="I473" s="1920">
        <v>44348</v>
      </c>
      <c r="J473" s="1920">
        <v>44378</v>
      </c>
      <c r="K473" s="1920">
        <v>44409</v>
      </c>
      <c r="L473" s="1920">
        <v>44440</v>
      </c>
      <c r="M473" s="1920">
        <v>44470</v>
      </c>
      <c r="N473" s="1920">
        <v>44501</v>
      </c>
      <c r="O473" s="1918">
        <v>44531</v>
      </c>
    </row>
    <row r="474" spans="2:15" ht="15.75" hidden="1">
      <c r="B474" s="377" t="s">
        <v>809</v>
      </c>
      <c r="C474" s="1930">
        <v>50</v>
      </c>
      <c r="D474" s="2455">
        <f>+'Insumos testigos '!IG75</f>
        <v>576.50942719362808</v>
      </c>
      <c r="E474" s="2455">
        <f>+'Insumos testigos '!IH75</f>
        <v>591.65564555509172</v>
      </c>
      <c r="F474" s="2455">
        <f>+'Insumos testigos '!II75</f>
        <v>602.94375741579597</v>
      </c>
      <c r="G474" s="2455">
        <f>+'Insumos testigos '!IJ75</f>
        <v>613.39548878088442</v>
      </c>
      <c r="H474" s="2455">
        <f>+'Insumos testigos '!IK75</f>
        <v>629.27436729895692</v>
      </c>
      <c r="I474" s="2455">
        <f>+'Insumos testigos '!IL75</f>
        <v>652.94748718091034</v>
      </c>
      <c r="J474" s="2455">
        <f>+'Insumos testigos '!IM75</f>
        <v>663.52426452772045</v>
      </c>
      <c r="K474" s="2455">
        <f>+'Insumos testigos '!IN75</f>
        <v>683.20377533737008</v>
      </c>
      <c r="L474" s="2455">
        <f>+'Insumos testigos '!IO75</f>
        <v>693.40537411070761</v>
      </c>
      <c r="M474" s="2455">
        <f>+'Insumos testigos '!IP75</f>
        <v>714.31302898642161</v>
      </c>
      <c r="N474" s="2455">
        <f>+'Insumos testigos '!IQ75</f>
        <v>725.89347181234939</v>
      </c>
      <c r="O474" s="2455">
        <f>+'Insumos testigos '!IR75</f>
        <v>757.58199578072902</v>
      </c>
    </row>
    <row r="475" spans="2:15" ht="15.75" hidden="1">
      <c r="B475" s="372" t="s">
        <v>810</v>
      </c>
      <c r="C475" s="1923">
        <v>19</v>
      </c>
      <c r="D475" s="2456">
        <f>+'Insumos testigos '!IG44</f>
        <v>936.17288347472095</v>
      </c>
      <c r="E475" s="2456">
        <f>+'Insumos testigos '!IH44</f>
        <v>1012.1006922916396</v>
      </c>
      <c r="F475" s="2456">
        <f>+'Insumos testigos '!II44</f>
        <v>1012.1006922916396</v>
      </c>
      <c r="G475" s="2456">
        <f>+'Insumos testigos '!IJ44</f>
        <v>1037.5738084592022</v>
      </c>
      <c r="H475" s="2456">
        <f>+'Insumos testigos '!IK44</f>
        <v>1065.2639785287838</v>
      </c>
      <c r="I475" s="2456">
        <f>+'Insumos testigos '!IL44</f>
        <v>1085.5107875724502</v>
      </c>
      <c r="J475" s="2456">
        <f>+'Insumos testigos '!IM44</f>
        <v>1105.2888854350908</v>
      </c>
      <c r="K475" s="2456">
        <f>+'Insumos testigos '!IN44</f>
        <v>1132.5593629320722</v>
      </c>
      <c r="L475" s="2456">
        <f>+'Insumos testigos '!IO44</f>
        <v>1162.124825101414</v>
      </c>
      <c r="M475" s="2456">
        <f>+'Insumos testigos '!IP44</f>
        <v>1179.6702157213035</v>
      </c>
      <c r="N475" s="2456">
        <f>+'Insumos testigos '!IQ44</f>
        <v>1202.7654059812901</v>
      </c>
      <c r="O475" s="2456">
        <f>+'Insumos testigos '!IR44</f>
        <v>1211.9124289638976</v>
      </c>
    </row>
    <row r="476" spans="2:15" ht="15.75" hidden="1">
      <c r="B476" s="372" t="s">
        <v>811</v>
      </c>
      <c r="C476" s="1923">
        <v>58</v>
      </c>
      <c r="D476" s="2456">
        <f>+'Insumos testigos '!IG82</f>
        <v>770.15746055683996</v>
      </c>
      <c r="E476" s="2456">
        <f>+'Insumos testigos '!IH82</f>
        <v>801.70201364731849</v>
      </c>
      <c r="F476" s="2456">
        <f>+'Insumos testigos '!II82</f>
        <v>814.61232346350789</v>
      </c>
      <c r="G476" s="2456">
        <f>+'Insumos testigos '!IJ82</f>
        <v>812.63716770064968</v>
      </c>
      <c r="H476" s="2456">
        <f>+'Insumos testigos '!IK82</f>
        <v>848.39218309864088</v>
      </c>
      <c r="I476" s="2456">
        <f>+'Insumos testigos '!IL82</f>
        <v>918.29204920776124</v>
      </c>
      <c r="J476" s="2456">
        <f>+'Insumos testigos '!IM82</f>
        <v>945.42159134808583</v>
      </c>
      <c r="K476" s="2456">
        <f>+'Insumos testigos '!IN82</f>
        <v>967.14813806893142</v>
      </c>
      <c r="L476" s="2456">
        <f>+'Insumos testigos '!IO82</f>
        <v>973.34497857225188</v>
      </c>
      <c r="M476" s="2456">
        <f>+'Insumos testigos '!IP82</f>
        <v>977.85992622993319</v>
      </c>
      <c r="N476" s="2456">
        <f>+'Insumos testigos '!IQ82</f>
        <v>980.26220211537145</v>
      </c>
      <c r="O476" s="2456">
        <f>+'Insumos testigos '!IR82</f>
        <v>986.47512040391791</v>
      </c>
    </row>
    <row r="477" spans="2:15" ht="15.75" hidden="1">
      <c r="B477" s="372" t="s">
        <v>821</v>
      </c>
      <c r="C477" s="1923">
        <v>23</v>
      </c>
      <c r="D477" s="2457">
        <f>+'Insumos testigos '!IG48</f>
        <v>696.51831301209188</v>
      </c>
      <c r="E477" s="2457">
        <f>+'Insumos testigos '!IH48</f>
        <v>735.87976234079463</v>
      </c>
      <c r="F477" s="2457">
        <f>+'Insumos testigos '!II48</f>
        <v>846.49159133491105</v>
      </c>
      <c r="G477" s="2457">
        <f>+'Insumos testigos '!IJ48</f>
        <v>822.86516232396104</v>
      </c>
      <c r="H477" s="2457">
        <f>+'Insumos testigos '!IK48</f>
        <v>879.30544444096722</v>
      </c>
      <c r="I477" s="2457">
        <f>+'Insumos testigos '!IL48</f>
        <v>879.30544444096722</v>
      </c>
      <c r="J477" s="2457">
        <f>+'Insumos testigos '!IM48</f>
        <v>879.30544444096722</v>
      </c>
      <c r="K477" s="2457">
        <f>+'Insumos testigos '!IN48</f>
        <v>855.75262003629837</v>
      </c>
      <c r="L477" s="2457">
        <f>+'Insumos testigos '!IO48</f>
        <v>854.68292926125309</v>
      </c>
      <c r="M477" s="2457">
        <f>+'Insumos testigos '!IP48</f>
        <v>900.0945619563463</v>
      </c>
      <c r="N477" s="2457">
        <f>+'Insumos testigos '!IQ48</f>
        <v>905.23860237792678</v>
      </c>
      <c r="O477" s="2457">
        <f>+'Insumos testigos '!IR48</f>
        <v>929.20153579184716</v>
      </c>
    </row>
    <row r="478" spans="2:15" ht="16.5" hidden="1" thickBot="1">
      <c r="B478" s="373" t="s">
        <v>834</v>
      </c>
      <c r="C478" s="1921" t="s">
        <v>835</v>
      </c>
      <c r="D478" s="2458">
        <f>+'Insumos testigos '!IG5*2.2521</f>
        <v>417.133962</v>
      </c>
      <c r="E478" s="2458">
        <f>+'Insumos testigos '!IH5*2.2521</f>
        <v>443.821347</v>
      </c>
      <c r="F478" s="2458">
        <f>+'Insumos testigos '!II5*2.2521</f>
        <v>443.821347</v>
      </c>
      <c r="G478" s="2458">
        <f>+'Insumos testigos '!IJ5*2.2521</f>
        <v>497.08351199999998</v>
      </c>
      <c r="H478" s="2458">
        <f>+'Insumos testigos '!IK5*2.2521</f>
        <v>497.08351199999998</v>
      </c>
      <c r="I478" s="2458">
        <f>+'Insumos testigos '!IL5*2.2521</f>
        <v>497.08351199999998</v>
      </c>
      <c r="J478" s="2458">
        <f>+'Insumos testigos '!IM5*2.2521</f>
        <v>541.47240299999999</v>
      </c>
      <c r="K478" s="2458">
        <f>+'Insumos testigos '!IN5*2.2521</f>
        <v>541.47240299999999</v>
      </c>
      <c r="L478" s="2458">
        <f>+'Insumos testigos '!IO5*2.2521</f>
        <v>563.65558799999997</v>
      </c>
      <c r="M478" s="2458">
        <f>+'Insumos testigos '!IP5*2.2521</f>
        <v>594.73456799999997</v>
      </c>
      <c r="N478" s="2458">
        <f>+'Insumos testigos '!IQ5*2.2521</f>
        <v>594.73456799999997</v>
      </c>
      <c r="O478" s="2458">
        <f>+'Insumos testigos '!IR5*2.2521</f>
        <v>594.73456799999997</v>
      </c>
    </row>
    <row r="479" spans="2:15" ht="16.5" hidden="1" thickBot="1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</row>
    <row r="480" spans="2:15" ht="15.75" hidden="1">
      <c r="B480" s="2623" t="s">
        <v>675</v>
      </c>
      <c r="C480" s="486" t="s">
        <v>836</v>
      </c>
      <c r="D480" s="516">
        <f t="shared" ref="D480:O480" si="187">ROUND(+D474/$D$374,3)</f>
        <v>5.7649999999999997</v>
      </c>
      <c r="E480" s="516">
        <f t="shared" si="187"/>
        <v>5.9169999999999998</v>
      </c>
      <c r="F480" s="516">
        <f t="shared" si="187"/>
        <v>6.0289999999999999</v>
      </c>
      <c r="G480" s="516">
        <f t="shared" si="187"/>
        <v>6.1340000000000003</v>
      </c>
      <c r="H480" s="516">
        <f t="shared" si="187"/>
        <v>6.2930000000000001</v>
      </c>
      <c r="I480" s="516">
        <f t="shared" si="187"/>
        <v>6.5289999999999999</v>
      </c>
      <c r="J480" s="516">
        <f t="shared" si="187"/>
        <v>6.6349999999999998</v>
      </c>
      <c r="K480" s="516">
        <f t="shared" si="187"/>
        <v>6.8319999999999999</v>
      </c>
      <c r="L480" s="516">
        <f t="shared" si="187"/>
        <v>6.9340000000000002</v>
      </c>
      <c r="M480" s="516">
        <f t="shared" si="187"/>
        <v>7.1429999999999998</v>
      </c>
      <c r="N480" s="516">
        <f t="shared" si="187"/>
        <v>7.2590000000000003</v>
      </c>
      <c r="O480" s="516">
        <f t="shared" si="187"/>
        <v>7.5759999999999996</v>
      </c>
    </row>
    <row r="481" spans="2:15" ht="15.75" hidden="1">
      <c r="B481" s="2624"/>
      <c r="C481" s="489" t="s">
        <v>837</v>
      </c>
      <c r="D481" s="391">
        <f t="shared" ref="D481:O481" si="188">ROUND(+D475/$D$375,3)</f>
        <v>9.3620000000000001</v>
      </c>
      <c r="E481" s="391">
        <f t="shared" si="188"/>
        <v>10.121</v>
      </c>
      <c r="F481" s="391">
        <f t="shared" si="188"/>
        <v>10.121</v>
      </c>
      <c r="G481" s="391">
        <f t="shared" si="188"/>
        <v>10.375999999999999</v>
      </c>
      <c r="H481" s="391">
        <f t="shared" si="188"/>
        <v>10.653</v>
      </c>
      <c r="I481" s="391">
        <f t="shared" si="188"/>
        <v>10.855</v>
      </c>
      <c r="J481" s="391">
        <f t="shared" si="188"/>
        <v>11.053000000000001</v>
      </c>
      <c r="K481" s="391">
        <f t="shared" si="188"/>
        <v>11.326000000000001</v>
      </c>
      <c r="L481" s="391">
        <f t="shared" si="188"/>
        <v>11.621</v>
      </c>
      <c r="M481" s="391">
        <f t="shared" si="188"/>
        <v>11.797000000000001</v>
      </c>
      <c r="N481" s="391">
        <f t="shared" si="188"/>
        <v>12.028</v>
      </c>
      <c r="O481" s="391">
        <f t="shared" si="188"/>
        <v>12.119</v>
      </c>
    </row>
    <row r="482" spans="2:15" ht="15.75" hidden="1">
      <c r="B482" s="2624"/>
      <c r="C482" s="489" t="s">
        <v>838</v>
      </c>
      <c r="D482" s="391">
        <f t="shared" ref="D482:O482" si="189">ROUND(+D476/$D$376,3)</f>
        <v>7.702</v>
      </c>
      <c r="E482" s="391">
        <f t="shared" si="189"/>
        <v>8.0169999999999995</v>
      </c>
      <c r="F482" s="391">
        <f t="shared" si="189"/>
        <v>8.1460000000000008</v>
      </c>
      <c r="G482" s="391">
        <f t="shared" si="189"/>
        <v>8.1259999999999994</v>
      </c>
      <c r="H482" s="391">
        <f t="shared" si="189"/>
        <v>8.484</v>
      </c>
      <c r="I482" s="391">
        <f t="shared" si="189"/>
        <v>9.1829999999999998</v>
      </c>
      <c r="J482" s="391">
        <f t="shared" si="189"/>
        <v>9.4540000000000006</v>
      </c>
      <c r="K482" s="391">
        <f t="shared" si="189"/>
        <v>9.6709999999999994</v>
      </c>
      <c r="L482" s="391">
        <f t="shared" si="189"/>
        <v>9.7330000000000005</v>
      </c>
      <c r="M482" s="391">
        <f t="shared" si="189"/>
        <v>9.7789999999999999</v>
      </c>
      <c r="N482" s="391">
        <f t="shared" si="189"/>
        <v>9.8030000000000008</v>
      </c>
      <c r="O482" s="391">
        <f t="shared" si="189"/>
        <v>9.8650000000000002</v>
      </c>
    </row>
    <row r="483" spans="2:15" ht="15.75" hidden="1">
      <c r="B483" s="2624"/>
      <c r="C483" s="489" t="s">
        <v>839</v>
      </c>
      <c r="D483" s="391">
        <f t="shared" ref="D483:O483" si="190">ROUND(+D477/$D$377,3)</f>
        <v>6.9649999999999999</v>
      </c>
      <c r="E483" s="391">
        <f t="shared" si="190"/>
        <v>7.359</v>
      </c>
      <c r="F483" s="391">
        <f t="shared" si="190"/>
        <v>8.4649999999999999</v>
      </c>
      <c r="G483" s="391">
        <f t="shared" si="190"/>
        <v>8.2289999999999992</v>
      </c>
      <c r="H483" s="391">
        <f t="shared" si="190"/>
        <v>8.7929999999999993</v>
      </c>
      <c r="I483" s="391">
        <f t="shared" si="190"/>
        <v>8.7929999999999993</v>
      </c>
      <c r="J483" s="391">
        <f t="shared" si="190"/>
        <v>8.7929999999999993</v>
      </c>
      <c r="K483" s="391">
        <f t="shared" si="190"/>
        <v>8.5579999999999998</v>
      </c>
      <c r="L483" s="391">
        <f t="shared" si="190"/>
        <v>8.5470000000000006</v>
      </c>
      <c r="M483" s="391">
        <f t="shared" si="190"/>
        <v>9.0009999999999994</v>
      </c>
      <c r="N483" s="391">
        <f t="shared" si="190"/>
        <v>9.0519999999999996</v>
      </c>
      <c r="O483" s="391">
        <f t="shared" si="190"/>
        <v>9.2919999999999998</v>
      </c>
    </row>
    <row r="484" spans="2:15" ht="16.5" hidden="1" thickBot="1">
      <c r="B484" s="2625"/>
      <c r="C484" s="492" t="s">
        <v>677</v>
      </c>
      <c r="D484" s="685">
        <f t="shared" ref="D484:O484" si="191">ROUND(+D478/$D$378,3)</f>
        <v>4.8209999999999997</v>
      </c>
      <c r="E484" s="685">
        <f t="shared" si="191"/>
        <v>5.1289999999999996</v>
      </c>
      <c r="F484" s="685">
        <f t="shared" si="191"/>
        <v>5.1289999999999996</v>
      </c>
      <c r="G484" s="685">
        <f t="shared" si="191"/>
        <v>5.7450000000000001</v>
      </c>
      <c r="H484" s="685">
        <f t="shared" si="191"/>
        <v>5.7450000000000001</v>
      </c>
      <c r="I484" s="685">
        <f t="shared" si="191"/>
        <v>5.7450000000000001</v>
      </c>
      <c r="J484" s="685">
        <f t="shared" si="191"/>
        <v>6.258</v>
      </c>
      <c r="K484" s="685">
        <f t="shared" si="191"/>
        <v>6.258</v>
      </c>
      <c r="L484" s="685">
        <f t="shared" si="191"/>
        <v>6.5140000000000002</v>
      </c>
      <c r="M484" s="685">
        <f t="shared" si="191"/>
        <v>6.8739999999999997</v>
      </c>
      <c r="N484" s="685">
        <f t="shared" si="191"/>
        <v>6.8739999999999997</v>
      </c>
      <c r="O484" s="685">
        <f t="shared" si="191"/>
        <v>6.8739999999999997</v>
      </c>
    </row>
    <row r="485" spans="2:15" ht="16.5" hidden="1" thickBot="1">
      <c r="B485" s="132"/>
      <c r="C485" s="363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375"/>
      <c r="O485" s="132"/>
    </row>
    <row r="486" spans="2:15" ht="16.5" hidden="1" thickBot="1">
      <c r="B486" s="365" t="s">
        <v>860</v>
      </c>
      <c r="C486" s="1455" t="s">
        <v>354</v>
      </c>
      <c r="D486" s="1920">
        <v>44197</v>
      </c>
      <c r="E486" s="1920">
        <v>44228</v>
      </c>
      <c r="F486" s="1920">
        <v>44256</v>
      </c>
      <c r="G486" s="1920">
        <v>44287</v>
      </c>
      <c r="H486" s="1920">
        <v>44317</v>
      </c>
      <c r="I486" s="1920">
        <v>44348</v>
      </c>
      <c r="J486" s="1920">
        <v>44378</v>
      </c>
      <c r="K486" s="1920">
        <v>44409</v>
      </c>
      <c r="L486" s="1920">
        <v>44440</v>
      </c>
      <c r="M486" s="1920">
        <v>44470</v>
      </c>
      <c r="N486" s="1920">
        <v>44501</v>
      </c>
      <c r="O486" s="1918">
        <v>44531</v>
      </c>
    </row>
    <row r="487" spans="2:15" ht="15.75" hidden="1">
      <c r="B487" s="377" t="s">
        <v>820</v>
      </c>
      <c r="C487" s="1928">
        <v>301</v>
      </c>
      <c r="D487" s="496">
        <f t="shared" ref="D487:I487" si="192">ROUND(MMULT($D$12:$H$12,D480:D484),2)</f>
        <v>676.69</v>
      </c>
      <c r="E487" s="496">
        <f t="shared" si="192"/>
        <v>712.52</v>
      </c>
      <c r="F487" s="496">
        <f t="shared" si="192"/>
        <v>727.37</v>
      </c>
      <c r="G487" s="496">
        <f t="shared" si="192"/>
        <v>745.66</v>
      </c>
      <c r="H487" s="496">
        <f t="shared" si="192"/>
        <v>767.08</v>
      </c>
      <c r="I487" s="496">
        <f t="shared" si="192"/>
        <v>788.83</v>
      </c>
      <c r="J487" s="496">
        <f t="shared" ref="J487:K487" si="193">ROUND(MMULT($D$12:$H$12,J480:J484),2)</f>
        <v>808.95</v>
      </c>
      <c r="K487" s="496">
        <f t="shared" si="193"/>
        <v>824.07</v>
      </c>
      <c r="L487" s="496">
        <f t="shared" ref="L487:M487" si="194">ROUND(MMULT($D$12:$H$12,L480:L484),2)</f>
        <v>840.06</v>
      </c>
      <c r="M487" s="496">
        <f t="shared" si="194"/>
        <v>862.92</v>
      </c>
      <c r="N487" s="496">
        <f t="shared" ref="N487:O487" si="195">ROUND(MMULT($D$12:$H$12,N480:N484),2)</f>
        <v>873.98</v>
      </c>
      <c r="O487" s="497">
        <f t="shared" si="195"/>
        <v>892.02</v>
      </c>
    </row>
    <row r="488" spans="2:15" ht="15.75" hidden="1">
      <c r="B488" s="372" t="s">
        <v>827</v>
      </c>
      <c r="C488" s="1927">
        <v>302</v>
      </c>
      <c r="D488" s="498">
        <f t="shared" ref="D488:I488" si="196">ROUND(MMULT($D$13:$H$13,D480:D484),2)</f>
        <v>661.59</v>
      </c>
      <c r="E488" s="498">
        <f t="shared" si="196"/>
        <v>696.11</v>
      </c>
      <c r="F488" s="498">
        <f t="shared" si="196"/>
        <v>709.81</v>
      </c>
      <c r="G488" s="498">
        <f t="shared" si="196"/>
        <v>729.93</v>
      </c>
      <c r="H488" s="498">
        <f t="shared" si="196"/>
        <v>749.84</v>
      </c>
      <c r="I488" s="498">
        <f t="shared" si="196"/>
        <v>770.26</v>
      </c>
      <c r="J488" s="498">
        <f t="shared" ref="J488:K488" si="197">ROUND(MMULT($D$13:$H$13,J480:J484),2)</f>
        <v>791.19</v>
      </c>
      <c r="K488" s="498">
        <f t="shared" si="197"/>
        <v>805.96</v>
      </c>
      <c r="L488" s="498">
        <f t="shared" ref="L488:M488" si="198">ROUND(MMULT($D$13:$H$13,L480:L484),2)</f>
        <v>822.22</v>
      </c>
      <c r="M488" s="498">
        <f t="shared" si="198"/>
        <v>845.67</v>
      </c>
      <c r="N488" s="498">
        <f t="shared" ref="N488:O488" si="199">ROUND(MMULT($D$13:$H$13,N480:N484),2)</f>
        <v>856.41</v>
      </c>
      <c r="O488" s="499">
        <f t="shared" si="199"/>
        <v>874.53</v>
      </c>
    </row>
    <row r="489" spans="2:15" ht="15.75" hidden="1">
      <c r="B489" s="372" t="s">
        <v>828</v>
      </c>
      <c r="C489" s="1927">
        <v>303</v>
      </c>
      <c r="D489" s="500">
        <f t="shared" ref="D489:I489" si="200">ROUND(MMULT($D$14:$H$14,D480:D484),2)</f>
        <v>663.01</v>
      </c>
      <c r="E489" s="500">
        <f t="shared" si="200"/>
        <v>697.27</v>
      </c>
      <c r="F489" s="500">
        <f t="shared" si="200"/>
        <v>712.23</v>
      </c>
      <c r="G489" s="500">
        <f t="shared" si="200"/>
        <v>731.82</v>
      </c>
      <c r="H489" s="500">
        <f t="shared" si="200"/>
        <v>752.97</v>
      </c>
      <c r="I489" s="500">
        <f t="shared" si="200"/>
        <v>776.75</v>
      </c>
      <c r="J489" s="500">
        <f t="shared" ref="J489:K489" si="201">ROUND(MMULT($D$14:$H$14,J480:J484),2)</f>
        <v>799.92</v>
      </c>
      <c r="K489" s="500">
        <f t="shared" si="201"/>
        <v>813.54</v>
      </c>
      <c r="L489" s="500">
        <f t="shared" ref="L489:M489" si="202">ROUND(MMULT($D$14:$H$14,L480:L484),2)</f>
        <v>829.01</v>
      </c>
      <c r="M489" s="500">
        <f t="shared" si="202"/>
        <v>851.83</v>
      </c>
      <c r="N489" s="500">
        <f t="shared" ref="N489:O489" si="203">ROUND(MMULT($D$14:$H$14,N480:N484),2)</f>
        <v>860.86</v>
      </c>
      <c r="O489" s="499">
        <f t="shared" si="203"/>
        <v>876.57</v>
      </c>
    </row>
    <row r="490" spans="2:15" ht="16.5" hidden="1" thickBot="1">
      <c r="B490" s="373" t="s">
        <v>832</v>
      </c>
      <c r="C490" s="1929">
        <v>304</v>
      </c>
      <c r="D490" s="502">
        <f t="shared" ref="D490:I490" si="204">ROUND(MMULT($D$15:$H$15,D480:D484),2)</f>
        <v>562.49</v>
      </c>
      <c r="E490" s="502">
        <f t="shared" si="204"/>
        <v>589.54999999999995</v>
      </c>
      <c r="F490" s="502">
        <f t="shared" si="204"/>
        <v>609.52</v>
      </c>
      <c r="G490" s="502">
        <f t="shared" si="204"/>
        <v>638.39</v>
      </c>
      <c r="H490" s="502">
        <f t="shared" si="204"/>
        <v>653.88</v>
      </c>
      <c r="I490" s="502">
        <f t="shared" si="204"/>
        <v>666.33</v>
      </c>
      <c r="J490" s="502">
        <f t="shared" ref="J490:K490" si="205">ROUND(MMULT($D$15:$H$15,J480:J484),2)</f>
        <v>695.73</v>
      </c>
      <c r="K490" s="502">
        <f t="shared" si="205"/>
        <v>700.26</v>
      </c>
      <c r="L490" s="502">
        <f t="shared" ref="L490:M490" si="206">ROUND(MMULT($D$15:$H$15,L480:L484),2)</f>
        <v>715.84</v>
      </c>
      <c r="M490" s="502">
        <f t="shared" si="206"/>
        <v>746.12</v>
      </c>
      <c r="N490" s="502">
        <f t="shared" ref="N490:O490" si="207">ROUND(MMULT($D$15:$H$15,N480:N484),2)</f>
        <v>750.72</v>
      </c>
      <c r="O490" s="503">
        <f t="shared" si="207"/>
        <v>764.65</v>
      </c>
    </row>
    <row r="491" spans="2:15" ht="15.75" hidden="1">
      <c r="B491" s="122" t="s">
        <v>527</v>
      </c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</row>
    <row r="492" spans="2:15" ht="15" thickBot="1"/>
    <row r="493" spans="2:15" ht="16.5" thickBot="1">
      <c r="B493" s="365" t="s">
        <v>673</v>
      </c>
      <c r="C493" s="1985" t="s">
        <v>354</v>
      </c>
      <c r="D493" s="1978">
        <v>44562</v>
      </c>
      <c r="E493" s="1978">
        <v>44593</v>
      </c>
      <c r="F493" s="1978">
        <v>44621</v>
      </c>
      <c r="G493" s="1978">
        <v>44652</v>
      </c>
      <c r="H493" s="1978">
        <v>44682</v>
      </c>
      <c r="I493" s="1978">
        <v>44713</v>
      </c>
      <c r="J493" s="1978">
        <v>44743</v>
      </c>
      <c r="K493" s="1978">
        <v>44774</v>
      </c>
      <c r="L493" s="1978">
        <v>44805</v>
      </c>
      <c r="M493" s="1978">
        <v>44835</v>
      </c>
      <c r="N493" s="1978">
        <v>44866</v>
      </c>
      <c r="O493" s="2360">
        <v>44896</v>
      </c>
    </row>
    <row r="494" spans="2:15" ht="15.75">
      <c r="B494" s="377" t="s">
        <v>809</v>
      </c>
      <c r="C494" s="1989">
        <v>50</v>
      </c>
      <c r="D494" s="1599">
        <f>+'Insumos testigos '!IS75</f>
        <v>798.32741289596663</v>
      </c>
      <c r="E494" s="1599">
        <f>+'Insumos testigos '!IT75</f>
        <v>832.88924168413575</v>
      </c>
      <c r="F494" s="1599">
        <f>+'Insumos testigos '!IU75</f>
        <v>865.2571133126479</v>
      </c>
      <c r="G494" s="1599">
        <f>+'Insumos testigos '!IV75</f>
        <v>918.4992962170121</v>
      </c>
      <c r="H494" s="1599">
        <f>+'Insumos testigos '!IW75</f>
        <v>963.55408642597183</v>
      </c>
      <c r="I494" s="1599">
        <f>+'Insumos testigos '!IX75</f>
        <v>1026.4489256342499</v>
      </c>
      <c r="J494" s="1599">
        <f>+'Insumos testigos '!IY75</f>
        <v>1109.3379449952058</v>
      </c>
      <c r="K494" s="1599">
        <f>+'Insumos testigos '!IZ75</f>
        <v>1175.4280635488747</v>
      </c>
      <c r="L494" s="1599">
        <f>+'Insumos testigos '!JA75</f>
        <v>1255.1287498840568</v>
      </c>
      <c r="M494" s="1599">
        <f>+'Insumos testigos '!JB75</f>
        <v>1325.9229848741511</v>
      </c>
      <c r="N494" s="1599">
        <f>+'Insumos testigos '!JC75</f>
        <v>1422.6772704828236</v>
      </c>
      <c r="O494" s="1599">
        <f>+'Insumos testigos '!JD75</f>
        <v>1504.767594493399</v>
      </c>
    </row>
    <row r="495" spans="2:15" ht="15.75">
      <c r="B495" s="372" t="s">
        <v>810</v>
      </c>
      <c r="C495" s="1983">
        <v>19</v>
      </c>
      <c r="D495" s="140">
        <f>+'Insumos testigos '!IS44</f>
        <v>1261.0612328430116</v>
      </c>
      <c r="E495" s="140">
        <f>+'Insumos testigos '!IT44</f>
        <v>1330.4674044972544</v>
      </c>
      <c r="F495" s="140">
        <f>+'Insumos testigos '!IU44</f>
        <v>1371.5158410727834</v>
      </c>
      <c r="G495" s="140">
        <f>+'Insumos testigos '!IV44</f>
        <v>1447.1851982898827</v>
      </c>
      <c r="H495" s="140">
        <f>+'Insumos testigos '!IW44</f>
        <v>1530.2802968962244</v>
      </c>
      <c r="I495" s="140">
        <f>+'Insumos testigos '!IX44</f>
        <v>1626.2069036391008</v>
      </c>
      <c r="J495" s="140">
        <f>+'Insumos testigos '!IY44</f>
        <v>1815.1540212092902</v>
      </c>
      <c r="K495" s="140">
        <f>+'Insumos testigos '!IZ44</f>
        <v>2088.9160407859449</v>
      </c>
      <c r="L495" s="140">
        <f>+'Insumos testigos '!JA44</f>
        <v>2068.5882871005324</v>
      </c>
      <c r="M495" s="140">
        <f>+'Insumos testigos '!JB44</f>
        <v>2020.9164131703947</v>
      </c>
      <c r="N495" s="140">
        <f>+'Insumos testigos '!JC44</f>
        <v>2084.205099594999</v>
      </c>
      <c r="O495" s="140">
        <f>+'Insumos testigos '!JD44</f>
        <v>2102.2638758398843</v>
      </c>
    </row>
    <row r="496" spans="2:15" ht="15.75">
      <c r="B496" s="372" t="s">
        <v>811</v>
      </c>
      <c r="C496" s="1983">
        <v>58</v>
      </c>
      <c r="D496" s="140">
        <f>+'Insumos testigos '!IS82</f>
        <v>1003.1731100060656</v>
      </c>
      <c r="E496" s="140">
        <f>+'Insumos testigos '!IT82</f>
        <v>1021.9976543200917</v>
      </c>
      <c r="F496" s="140">
        <f>+'Insumos testigos '!IU82</f>
        <v>1075.9071971378146</v>
      </c>
      <c r="G496" s="140">
        <f>+'Insumos testigos '!IV82</f>
        <v>1150.8601092419526</v>
      </c>
      <c r="H496" s="140">
        <f>+'Insumos testigos '!IW82</f>
        <v>1235.5705210775436</v>
      </c>
      <c r="I496" s="140">
        <f>+'Insumos testigos '!IX82</f>
        <v>1312.7409085069517</v>
      </c>
      <c r="J496" s="140">
        <f>+'Insumos testigos '!IY82</f>
        <v>1423.4857048422709</v>
      </c>
      <c r="K496" s="140">
        <f>+'Insumos testigos '!IZ82</f>
        <v>1580.0984794682724</v>
      </c>
      <c r="L496" s="140">
        <f>+'Insumos testigos '!JA82</f>
        <v>1605.7125903866604</v>
      </c>
      <c r="M496" s="140">
        <f>+'Insumos testigos '!JB82</f>
        <v>1626.0501353583875</v>
      </c>
      <c r="N496" s="140">
        <f>+'Insumos testigos '!JC82</f>
        <v>1690.7879527515029</v>
      </c>
      <c r="O496" s="140">
        <f>+'Insumos testigos '!JD82</f>
        <v>1811.9217251320977</v>
      </c>
    </row>
    <row r="497" spans="2:15" ht="15.75">
      <c r="B497" s="372" t="s">
        <v>821</v>
      </c>
      <c r="C497" s="1983">
        <v>23</v>
      </c>
      <c r="D497" s="446">
        <f>+'Insumos testigos '!IS48</f>
        <v>929.20153579184716</v>
      </c>
      <c r="E497" s="446">
        <f>+'Insumos testigos '!IT48</f>
        <v>1018.35539579737</v>
      </c>
      <c r="F497" s="446">
        <f>+'Insumos testigos '!IU48</f>
        <v>1055.3221830699101</v>
      </c>
      <c r="G497" s="446">
        <f>+'Insumos testigos '!IV48</f>
        <v>1131.1176041196616</v>
      </c>
      <c r="H497" s="446">
        <f>+'Insumos testigos '!IW48</f>
        <v>1167.8389398207578</v>
      </c>
      <c r="I497" s="446">
        <f>+'Insumos testigos '!IX48</f>
        <v>1264.2645603924448</v>
      </c>
      <c r="J497" s="446">
        <f>+'Insumos testigos '!IY48</f>
        <v>1410.3177041635881</v>
      </c>
      <c r="K497" s="446">
        <f>+'Insumos testigos '!IZ48</f>
        <v>1575.3953453320948</v>
      </c>
      <c r="L497" s="446">
        <f>+'Insumos testigos '!JA48</f>
        <v>1604.9327761146408</v>
      </c>
      <c r="M497" s="446">
        <f>+'Insumos testigos '!JB48</f>
        <v>1700.1732480694934</v>
      </c>
      <c r="N497" s="446">
        <f>+'Insumos testigos '!JC48</f>
        <v>1791.0446934362101</v>
      </c>
      <c r="O497" s="446">
        <f>+'Insumos testigos '!JD48</f>
        <v>1860.4005114050794</v>
      </c>
    </row>
    <row r="498" spans="2:15" ht="16.5" thickBot="1">
      <c r="B498" s="373" t="s">
        <v>834</v>
      </c>
      <c r="C498" s="1981" t="s">
        <v>835</v>
      </c>
      <c r="D498" s="447">
        <f>+'Insumos testigos '!IS5*2.2521</f>
        <v>616.91775300000006</v>
      </c>
      <c r="E498" s="447">
        <f>+'Insumos testigos '!IT5*2.2521</f>
        <v>647.09589299999993</v>
      </c>
      <c r="F498" s="447">
        <f>+'Insumos testigos '!IU5*2.2521</f>
        <v>683.48982899999999</v>
      </c>
      <c r="G498" s="447">
        <f>+'Insumos testigos '!IV5*2.2521</f>
        <v>683.48982899999999</v>
      </c>
      <c r="H498" s="447">
        <f>+'Insumos testigos '!IW5*2.2521</f>
        <v>752.20140000000004</v>
      </c>
      <c r="I498" s="447">
        <f>+'Insumos testigos '!IX5*2.2521</f>
        <v>819.76440000000002</v>
      </c>
      <c r="J498" s="447">
        <f>+'Insumos testigos '!IY5*2.2521</f>
        <v>819.76440000000002</v>
      </c>
      <c r="K498" s="447">
        <f>+'Insumos testigos '!IZ5*2.2521</f>
        <v>873.81479999999999</v>
      </c>
      <c r="L498" s="447">
        <f>+'Insumos testigos '!JA5*2.2521</f>
        <v>963.89880000000005</v>
      </c>
      <c r="M498" s="447">
        <f>+'Insumos testigos '!JB5*2.2521</f>
        <v>1051.7307000000001</v>
      </c>
      <c r="N498" s="447">
        <f>+'Insumos testigos '!JC5*2.2521</f>
        <v>1135.0583999999999</v>
      </c>
      <c r="O498" s="447">
        <f>+'Insumos testigos '!JD5*2.2521</f>
        <v>1135.0583999999999</v>
      </c>
    </row>
    <row r="499" spans="2:15" ht="16.5" thickBot="1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</row>
    <row r="500" spans="2:15" ht="15.75">
      <c r="B500" s="2623" t="s">
        <v>675</v>
      </c>
      <c r="C500" s="486" t="s">
        <v>836</v>
      </c>
      <c r="D500" s="516">
        <f t="shared" ref="D500:O500" si="208">ROUND(+D494/$D$374,3)</f>
        <v>7.9829999999999997</v>
      </c>
      <c r="E500" s="516">
        <f t="shared" si="208"/>
        <v>8.3290000000000006</v>
      </c>
      <c r="F500" s="516">
        <f t="shared" si="208"/>
        <v>8.6530000000000005</v>
      </c>
      <c r="G500" s="516">
        <f t="shared" si="208"/>
        <v>9.1850000000000005</v>
      </c>
      <c r="H500" s="516">
        <f t="shared" si="208"/>
        <v>9.6359999999999992</v>
      </c>
      <c r="I500" s="516">
        <f t="shared" si="208"/>
        <v>10.263999999999999</v>
      </c>
      <c r="J500" s="516">
        <f t="shared" si="208"/>
        <v>11.093</v>
      </c>
      <c r="K500" s="516">
        <f t="shared" si="208"/>
        <v>11.754</v>
      </c>
      <c r="L500" s="516">
        <f t="shared" si="208"/>
        <v>12.551</v>
      </c>
      <c r="M500" s="516">
        <f t="shared" si="208"/>
        <v>13.259</v>
      </c>
      <c r="N500" s="516">
        <f t="shared" si="208"/>
        <v>14.227</v>
      </c>
      <c r="O500" s="516">
        <f t="shared" si="208"/>
        <v>15.048</v>
      </c>
    </row>
    <row r="501" spans="2:15" ht="15.75">
      <c r="B501" s="2624"/>
      <c r="C501" s="489" t="s">
        <v>837</v>
      </c>
      <c r="D501" s="391">
        <f t="shared" ref="D501:O501" si="209">ROUND(+D495/$D$375,3)</f>
        <v>12.611000000000001</v>
      </c>
      <c r="E501" s="391">
        <f t="shared" si="209"/>
        <v>13.305</v>
      </c>
      <c r="F501" s="391">
        <f t="shared" si="209"/>
        <v>13.715</v>
      </c>
      <c r="G501" s="391">
        <f t="shared" si="209"/>
        <v>14.472</v>
      </c>
      <c r="H501" s="391">
        <f t="shared" si="209"/>
        <v>15.303000000000001</v>
      </c>
      <c r="I501" s="391">
        <f t="shared" si="209"/>
        <v>16.262</v>
      </c>
      <c r="J501" s="391">
        <f t="shared" si="209"/>
        <v>18.152000000000001</v>
      </c>
      <c r="K501" s="391">
        <f t="shared" si="209"/>
        <v>20.888999999999999</v>
      </c>
      <c r="L501" s="391">
        <f t="shared" si="209"/>
        <v>20.686</v>
      </c>
      <c r="M501" s="391">
        <f t="shared" si="209"/>
        <v>20.209</v>
      </c>
      <c r="N501" s="391">
        <f t="shared" si="209"/>
        <v>20.841999999999999</v>
      </c>
      <c r="O501" s="391">
        <f t="shared" si="209"/>
        <v>21.023</v>
      </c>
    </row>
    <row r="502" spans="2:15" ht="15.75">
      <c r="B502" s="2624"/>
      <c r="C502" s="489" t="s">
        <v>838</v>
      </c>
      <c r="D502" s="391">
        <f t="shared" ref="D502:O502" si="210">ROUND(+D496/$D$376,3)</f>
        <v>10.032</v>
      </c>
      <c r="E502" s="391">
        <f t="shared" si="210"/>
        <v>10.220000000000001</v>
      </c>
      <c r="F502" s="391">
        <f t="shared" si="210"/>
        <v>10.759</v>
      </c>
      <c r="G502" s="391">
        <f t="shared" si="210"/>
        <v>11.509</v>
      </c>
      <c r="H502" s="391">
        <f t="shared" si="210"/>
        <v>12.356</v>
      </c>
      <c r="I502" s="391">
        <f t="shared" si="210"/>
        <v>13.127000000000001</v>
      </c>
      <c r="J502" s="391">
        <f t="shared" si="210"/>
        <v>14.234999999999999</v>
      </c>
      <c r="K502" s="391">
        <f t="shared" si="210"/>
        <v>15.801</v>
      </c>
      <c r="L502" s="391">
        <f t="shared" si="210"/>
        <v>16.056999999999999</v>
      </c>
      <c r="M502" s="391">
        <f t="shared" si="210"/>
        <v>16.260999999999999</v>
      </c>
      <c r="N502" s="391">
        <f t="shared" si="210"/>
        <v>16.908000000000001</v>
      </c>
      <c r="O502" s="391">
        <f t="shared" si="210"/>
        <v>18.119</v>
      </c>
    </row>
    <row r="503" spans="2:15" ht="15.75">
      <c r="B503" s="2624"/>
      <c r="C503" s="489" t="s">
        <v>839</v>
      </c>
      <c r="D503" s="391">
        <f t="shared" ref="D503:O503" si="211">ROUND(+D497/$D$377,3)</f>
        <v>9.2919999999999998</v>
      </c>
      <c r="E503" s="391">
        <f t="shared" si="211"/>
        <v>10.183999999999999</v>
      </c>
      <c r="F503" s="391">
        <f t="shared" si="211"/>
        <v>10.553000000000001</v>
      </c>
      <c r="G503" s="391">
        <f t="shared" si="211"/>
        <v>11.311</v>
      </c>
      <c r="H503" s="391">
        <f t="shared" si="211"/>
        <v>11.678000000000001</v>
      </c>
      <c r="I503" s="391">
        <f t="shared" si="211"/>
        <v>12.643000000000001</v>
      </c>
      <c r="J503" s="391">
        <f t="shared" si="211"/>
        <v>14.103</v>
      </c>
      <c r="K503" s="391">
        <f t="shared" si="211"/>
        <v>15.754</v>
      </c>
      <c r="L503" s="391">
        <f t="shared" si="211"/>
        <v>16.048999999999999</v>
      </c>
      <c r="M503" s="391">
        <f t="shared" si="211"/>
        <v>17.001999999999999</v>
      </c>
      <c r="N503" s="391">
        <f t="shared" si="211"/>
        <v>17.91</v>
      </c>
      <c r="O503" s="391">
        <f t="shared" si="211"/>
        <v>18.603999999999999</v>
      </c>
    </row>
    <row r="504" spans="2:15" ht="16.5" thickBot="1">
      <c r="B504" s="2625"/>
      <c r="C504" s="492" t="s">
        <v>677</v>
      </c>
      <c r="D504" s="685">
        <f t="shared" ref="D504:O504" si="212">ROUND(+D498/$D$378,3)</f>
        <v>7.13</v>
      </c>
      <c r="E504" s="685">
        <f t="shared" si="212"/>
        <v>7.4790000000000001</v>
      </c>
      <c r="F504" s="685">
        <f t="shared" si="212"/>
        <v>7.899</v>
      </c>
      <c r="G504" s="685">
        <f t="shared" si="212"/>
        <v>7.899</v>
      </c>
      <c r="H504" s="685">
        <f t="shared" si="212"/>
        <v>8.6929999999999996</v>
      </c>
      <c r="I504" s="685">
        <f t="shared" si="212"/>
        <v>9.4740000000000002</v>
      </c>
      <c r="J504" s="685">
        <f t="shared" si="212"/>
        <v>9.4740000000000002</v>
      </c>
      <c r="K504" s="685">
        <f t="shared" si="212"/>
        <v>10.099</v>
      </c>
      <c r="L504" s="685">
        <f t="shared" si="212"/>
        <v>11.14</v>
      </c>
      <c r="M504" s="685">
        <f t="shared" si="212"/>
        <v>12.154999999999999</v>
      </c>
      <c r="N504" s="685">
        <f t="shared" si="212"/>
        <v>13.118</v>
      </c>
      <c r="O504" s="685">
        <f t="shared" si="212"/>
        <v>13.118</v>
      </c>
    </row>
    <row r="505" spans="2:15" ht="16.5" thickBot="1">
      <c r="B505" s="132"/>
      <c r="C505" s="363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375"/>
      <c r="O505" s="132"/>
    </row>
    <row r="506" spans="2:15" ht="16.5" thickBot="1">
      <c r="B506" s="365" t="s">
        <v>860</v>
      </c>
      <c r="C506" s="1455" t="s">
        <v>354</v>
      </c>
      <c r="D506" s="1978">
        <v>44562</v>
      </c>
      <c r="E506" s="1978">
        <v>44593</v>
      </c>
      <c r="F506" s="1978">
        <v>44621</v>
      </c>
      <c r="G506" s="1978">
        <v>44652</v>
      </c>
      <c r="H506" s="1978">
        <v>44682</v>
      </c>
      <c r="I506" s="1978">
        <v>44713</v>
      </c>
      <c r="J506" s="1978">
        <v>44743</v>
      </c>
      <c r="K506" s="1978">
        <v>44774</v>
      </c>
      <c r="L506" s="1978">
        <v>44805</v>
      </c>
      <c r="M506" s="1978">
        <v>44835</v>
      </c>
      <c r="N506" s="1978">
        <v>44866</v>
      </c>
      <c r="O506" s="2360">
        <v>44896</v>
      </c>
    </row>
    <row r="507" spans="2:15" ht="15.75">
      <c r="B507" s="377" t="s">
        <v>820</v>
      </c>
      <c r="C507" s="1987">
        <v>301</v>
      </c>
      <c r="D507" s="496">
        <f t="shared" ref="D507:K507" si="213">ROUND(MMULT($D$12:$H$12,D500:D504),2)</f>
        <v>926.69</v>
      </c>
      <c r="E507" s="496">
        <f t="shared" ref="E507:F507" si="214">ROUND(MMULT($D$12:$H$12,E500:E504),2)</f>
        <v>972.47</v>
      </c>
      <c r="F507" s="496">
        <f t="shared" si="214"/>
        <v>1010.98</v>
      </c>
      <c r="G507" s="496">
        <f t="shared" si="213"/>
        <v>1065.06</v>
      </c>
      <c r="H507" s="496">
        <f t="shared" ref="H507:I507" si="215">ROUND(MMULT($D$12:$H$12,H500:H504),2)</f>
        <v>1128.06</v>
      </c>
      <c r="I507" s="496">
        <f t="shared" si="215"/>
        <v>1205.3699999999999</v>
      </c>
      <c r="J507" s="496">
        <f t="shared" ref="J507" si="216">ROUND(MMULT($D$12:$H$12,J500:J504),2)</f>
        <v>1308.31</v>
      </c>
      <c r="K507" s="496">
        <f t="shared" si="213"/>
        <v>1440.63</v>
      </c>
      <c r="L507" s="496">
        <f t="shared" ref="L507:M507" si="217">ROUND(MMULT($D$12:$H$12,L500:L504),2)</f>
        <v>1490.81</v>
      </c>
      <c r="M507" s="496">
        <f t="shared" si="217"/>
        <v>1535</v>
      </c>
      <c r="N507" s="496">
        <f t="shared" ref="N507:O507" si="218">ROUND(MMULT($D$12:$H$12,N500:N504),2)</f>
        <v>1619.99</v>
      </c>
      <c r="O507" s="1915">
        <f t="shared" si="218"/>
        <v>1676.48</v>
      </c>
    </row>
    <row r="508" spans="2:15" ht="15.75">
      <c r="B508" s="372" t="s">
        <v>827</v>
      </c>
      <c r="C508" s="1986">
        <v>302</v>
      </c>
      <c r="D508" s="498">
        <f t="shared" ref="D508:K508" si="219">ROUND(MMULT($D$13:$H$13,D500:D504),2)</f>
        <v>909.46</v>
      </c>
      <c r="E508" s="498">
        <f t="shared" ref="E508:F508" si="220">ROUND(MMULT($D$13:$H$13,E500:E504),2)</f>
        <v>954.34</v>
      </c>
      <c r="F508" s="498">
        <f t="shared" si="220"/>
        <v>992.49</v>
      </c>
      <c r="G508" s="498">
        <f t="shared" si="219"/>
        <v>1043.8499999999999</v>
      </c>
      <c r="H508" s="498">
        <f t="shared" ref="H508:I508" si="221">ROUND(MMULT($D$13:$H$13,H500:H504),2)</f>
        <v>1106.4100000000001</v>
      </c>
      <c r="I508" s="498">
        <f t="shared" si="221"/>
        <v>1182.9000000000001</v>
      </c>
      <c r="J508" s="498">
        <f t="shared" ref="J508" si="222">ROUND(MMULT($D$13:$H$13,J500:J504),2)</f>
        <v>1280.04</v>
      </c>
      <c r="K508" s="498">
        <f t="shared" si="219"/>
        <v>1405.3</v>
      </c>
      <c r="L508" s="498">
        <f t="shared" ref="L508:M508" si="223">ROUND(MMULT($D$13:$H$13,L500:L504),2)</f>
        <v>1459.8</v>
      </c>
      <c r="M508" s="498">
        <f t="shared" si="223"/>
        <v>1508.04</v>
      </c>
      <c r="N508" s="498">
        <f t="shared" ref="N508:O508" si="224">ROUND(MMULT($D$13:$H$13,N500:N504),2)</f>
        <v>1594.39</v>
      </c>
      <c r="O508" s="498">
        <f t="shared" si="224"/>
        <v>1649.04</v>
      </c>
    </row>
    <row r="509" spans="2:15" ht="15.75">
      <c r="B509" s="372" t="s">
        <v>828</v>
      </c>
      <c r="C509" s="1986">
        <v>303</v>
      </c>
      <c r="D509" s="500">
        <f t="shared" ref="D509:K509" si="225">ROUND(MMULT($D$14:$H$14,D500:D504),2)</f>
        <v>908.14</v>
      </c>
      <c r="E509" s="500">
        <f t="shared" ref="E509:F509" si="226">ROUND(MMULT($D$14:$H$14,E500:E504),2)</f>
        <v>950.76</v>
      </c>
      <c r="F509" s="500">
        <f t="shared" si="226"/>
        <v>990.83</v>
      </c>
      <c r="G509" s="500">
        <f t="shared" si="225"/>
        <v>1041.8900000000001</v>
      </c>
      <c r="H509" s="500">
        <f t="shared" ref="H509:I509" si="227">ROUND(MMULT($D$14:$H$14,H500:H504),2)</f>
        <v>1107.44</v>
      </c>
      <c r="I509" s="500">
        <f t="shared" si="227"/>
        <v>1184.69</v>
      </c>
      <c r="J509" s="500">
        <f t="shared" ref="J509" si="228">ROUND(MMULT($D$14:$H$14,J500:J504),2)</f>
        <v>1278.24</v>
      </c>
      <c r="K509" s="500">
        <f t="shared" si="225"/>
        <v>1404.22</v>
      </c>
      <c r="L509" s="500">
        <f t="shared" ref="L509:M509" si="229">ROUND(MMULT($D$14:$H$14,L500:L504),2)</f>
        <v>1458.07</v>
      </c>
      <c r="M509" s="500">
        <f t="shared" si="229"/>
        <v>1507.69</v>
      </c>
      <c r="N509" s="500">
        <f t="shared" ref="N509:O509" si="230">ROUND(MMULT($D$14:$H$14,N500:N504),2)</f>
        <v>1592.41</v>
      </c>
      <c r="O509" s="498">
        <f t="shared" si="230"/>
        <v>1650.55</v>
      </c>
    </row>
    <row r="510" spans="2:15" ht="16.5" thickBot="1">
      <c r="B510" s="373" t="s">
        <v>832</v>
      </c>
      <c r="C510" s="1988">
        <v>304</v>
      </c>
      <c r="D510" s="502">
        <f t="shared" ref="D510:K510" si="231">ROUND(MMULT($D$15:$H$15,D500:D504),2)</f>
        <v>790.88</v>
      </c>
      <c r="E510" s="502">
        <f t="shared" ref="E510:F510" si="232">ROUND(MMULT($D$15:$H$15,E500:E504),2)</f>
        <v>832.16</v>
      </c>
      <c r="F510" s="502">
        <f t="shared" si="232"/>
        <v>871.2</v>
      </c>
      <c r="G510" s="502">
        <f t="shared" si="231"/>
        <v>904.09</v>
      </c>
      <c r="H510" s="502">
        <f t="shared" ref="H510:I510" si="233">ROUND(MMULT($D$15:$H$15,H500:H504),2)</f>
        <v>966.91</v>
      </c>
      <c r="I510" s="502">
        <f t="shared" si="233"/>
        <v>1042.6199999999999</v>
      </c>
      <c r="J510" s="502">
        <f t="shared" ref="J510" si="234">ROUND(MMULT($D$15:$H$15,J500:J504),2)</f>
        <v>1097.3399999999999</v>
      </c>
      <c r="K510" s="502">
        <f t="shared" si="231"/>
        <v>1181.94</v>
      </c>
      <c r="L510" s="502">
        <f t="shared" ref="L510:M510" si="235">ROUND(MMULT($D$15:$H$15,L500:L504),2)</f>
        <v>1262.3</v>
      </c>
      <c r="M510" s="502">
        <f t="shared" si="235"/>
        <v>1347.43</v>
      </c>
      <c r="N510" s="502">
        <f t="shared" ref="N510:O510" si="236">ROUND(MMULT($D$15:$H$15,N500:N504),2)</f>
        <v>1440.91</v>
      </c>
      <c r="O510" s="573">
        <f t="shared" si="236"/>
        <v>1485.37</v>
      </c>
    </row>
    <row r="511" spans="2:15" ht="16.5" thickBot="1">
      <c r="B511" s="12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</row>
    <row r="512" spans="2:15" ht="16.5" thickBot="1">
      <c r="B512" s="365" t="s">
        <v>673</v>
      </c>
      <c r="C512" s="2446" t="s">
        <v>354</v>
      </c>
      <c r="D512" s="2445">
        <v>44927</v>
      </c>
      <c r="E512" s="2445">
        <v>44958</v>
      </c>
      <c r="F512" s="2445">
        <v>44986</v>
      </c>
      <c r="G512" s="2445">
        <v>45017</v>
      </c>
      <c r="H512" s="2445">
        <v>45047</v>
      </c>
      <c r="I512" s="2445">
        <v>45078</v>
      </c>
      <c r="J512" s="2445">
        <v>45108</v>
      </c>
      <c r="K512" s="2445">
        <v>45139</v>
      </c>
      <c r="L512" s="2445">
        <v>45170</v>
      </c>
      <c r="M512" s="2445">
        <v>45200</v>
      </c>
      <c r="N512" s="2445">
        <v>45231</v>
      </c>
      <c r="O512" s="2445">
        <v>45261</v>
      </c>
    </row>
    <row r="513" spans="2:15" ht="15.75">
      <c r="B513" s="377" t="s">
        <v>809</v>
      </c>
      <c r="C513" s="2450">
        <v>50</v>
      </c>
      <c r="D513" s="1599">
        <f>+'Insumos testigos '!JE75</f>
        <v>1551.4960473333108</v>
      </c>
      <c r="E513" s="1599">
        <f>+'Insumos testigos '!JF75</f>
        <v>1609.4896930293332</v>
      </c>
      <c r="F513" s="1599"/>
      <c r="G513" s="1599"/>
      <c r="H513" s="1599"/>
      <c r="I513" s="1599"/>
      <c r="J513" s="1599"/>
      <c r="K513" s="1599"/>
      <c r="L513" s="1599"/>
      <c r="M513" s="1599"/>
      <c r="N513" s="1599"/>
      <c r="O513" s="2499"/>
    </row>
    <row r="514" spans="2:15" ht="15.75">
      <c r="B514" s="372" t="s">
        <v>810</v>
      </c>
      <c r="C514" s="2441">
        <v>19</v>
      </c>
      <c r="D514" s="140">
        <f>+'Insumos testigos '!JE44</f>
        <v>2231.0113411214343</v>
      </c>
      <c r="E514" s="140">
        <f>+'Insumos testigos '!JF44</f>
        <v>2342.6528937102507</v>
      </c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</row>
    <row r="515" spans="2:15" ht="15.75">
      <c r="B515" s="372" t="s">
        <v>811</v>
      </c>
      <c r="C515" s="2441">
        <v>58</v>
      </c>
      <c r="D515" s="140">
        <f>+'Insumos testigos '!JE82</f>
        <v>1912.51147231189</v>
      </c>
      <c r="E515" s="140">
        <f>+'Insumos testigos '!JF82</f>
        <v>2044.7753897199582</v>
      </c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</row>
    <row r="516" spans="2:15" ht="15.75">
      <c r="B516" s="372" t="s">
        <v>821</v>
      </c>
      <c r="C516" s="2441">
        <v>23</v>
      </c>
      <c r="D516" s="446">
        <f>+'Insumos testigos '!JE48</f>
        <v>1929.3410258708595</v>
      </c>
      <c r="E516" s="446">
        <f>+'Insumos testigos '!JF48</f>
        <v>1965.3901408780107</v>
      </c>
      <c r="F516" s="446"/>
      <c r="G516" s="446"/>
      <c r="H516" s="446"/>
      <c r="I516" s="446"/>
      <c r="J516" s="446"/>
      <c r="K516" s="446"/>
      <c r="L516" s="446"/>
      <c r="M516" s="446"/>
      <c r="N516" s="446"/>
      <c r="O516" s="446"/>
    </row>
    <row r="517" spans="2:15" ht="16.5" thickBot="1">
      <c r="B517" s="373" t="s">
        <v>834</v>
      </c>
      <c r="C517" s="2442" t="s">
        <v>835</v>
      </c>
      <c r="D517" s="447">
        <f>+'Insumos testigos '!JE5*2.2521</f>
        <v>1168.8398999999999</v>
      </c>
      <c r="E517" s="447">
        <f>+'Insumos testigos '!JF5*2.2521</f>
        <v>1367.0246999999999</v>
      </c>
      <c r="F517" s="447"/>
      <c r="G517" s="447"/>
      <c r="H517" s="447"/>
      <c r="I517" s="447"/>
      <c r="J517" s="447"/>
      <c r="K517" s="447"/>
      <c r="L517" s="447"/>
      <c r="M517" s="447"/>
      <c r="N517" s="447"/>
      <c r="O517" s="447"/>
    </row>
    <row r="518" spans="2:15" ht="16.5" thickBot="1"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242"/>
    </row>
    <row r="519" spans="2:15" ht="15.75">
      <c r="B519" s="2623" t="s">
        <v>675</v>
      </c>
      <c r="C519" s="486" t="s">
        <v>836</v>
      </c>
      <c r="D519" s="516">
        <f t="shared" ref="D519:O519" si="237">ROUND(+D513/$D$374,3)</f>
        <v>15.515000000000001</v>
      </c>
      <c r="E519" s="516">
        <f t="shared" ref="E519" si="238">ROUND(+E513/$D$374,3)</f>
        <v>16.094999999999999</v>
      </c>
      <c r="F519" s="516">
        <f t="shared" si="237"/>
        <v>0</v>
      </c>
      <c r="G519" s="516">
        <f t="shared" si="237"/>
        <v>0</v>
      </c>
      <c r="H519" s="516">
        <f t="shared" si="237"/>
        <v>0</v>
      </c>
      <c r="I519" s="516">
        <f t="shared" si="237"/>
        <v>0</v>
      </c>
      <c r="J519" s="516">
        <f t="shared" si="237"/>
        <v>0</v>
      </c>
      <c r="K519" s="516">
        <f t="shared" si="237"/>
        <v>0</v>
      </c>
      <c r="L519" s="516">
        <f t="shared" si="237"/>
        <v>0</v>
      </c>
      <c r="M519" s="516">
        <f t="shared" si="237"/>
        <v>0</v>
      </c>
      <c r="N519" s="516">
        <f t="shared" si="237"/>
        <v>0</v>
      </c>
      <c r="O519" s="516">
        <f t="shared" si="237"/>
        <v>0</v>
      </c>
    </row>
    <row r="520" spans="2:15" ht="15.75">
      <c r="B520" s="2624"/>
      <c r="C520" s="489" t="s">
        <v>837</v>
      </c>
      <c r="D520" s="391">
        <f t="shared" ref="D520:O520" si="239">ROUND(+D514/$D$375,3)</f>
        <v>22.31</v>
      </c>
      <c r="E520" s="391">
        <f t="shared" ref="E520" si="240">ROUND(+E514/$D$375,3)</f>
        <v>23.427</v>
      </c>
      <c r="F520" s="391">
        <f t="shared" si="239"/>
        <v>0</v>
      </c>
      <c r="G520" s="391">
        <f t="shared" si="239"/>
        <v>0</v>
      </c>
      <c r="H520" s="391">
        <f t="shared" si="239"/>
        <v>0</v>
      </c>
      <c r="I520" s="391">
        <f t="shared" si="239"/>
        <v>0</v>
      </c>
      <c r="J520" s="391">
        <f t="shared" si="239"/>
        <v>0</v>
      </c>
      <c r="K520" s="391">
        <f t="shared" si="239"/>
        <v>0</v>
      </c>
      <c r="L520" s="391">
        <f t="shared" si="239"/>
        <v>0</v>
      </c>
      <c r="M520" s="391">
        <f t="shared" si="239"/>
        <v>0</v>
      </c>
      <c r="N520" s="391">
        <f t="shared" si="239"/>
        <v>0</v>
      </c>
      <c r="O520" s="391">
        <f t="shared" si="239"/>
        <v>0</v>
      </c>
    </row>
    <row r="521" spans="2:15" ht="15.75">
      <c r="B521" s="2624"/>
      <c r="C521" s="489" t="s">
        <v>838</v>
      </c>
      <c r="D521" s="391">
        <f t="shared" ref="D521:O521" si="241">ROUND(+D515/$D$376,3)</f>
        <v>19.125</v>
      </c>
      <c r="E521" s="391">
        <f t="shared" ref="E521" si="242">ROUND(+E515/$D$376,3)</f>
        <v>20.448</v>
      </c>
      <c r="F521" s="391">
        <f t="shared" si="241"/>
        <v>0</v>
      </c>
      <c r="G521" s="391">
        <f t="shared" si="241"/>
        <v>0</v>
      </c>
      <c r="H521" s="391">
        <f t="shared" si="241"/>
        <v>0</v>
      </c>
      <c r="I521" s="391">
        <f t="shared" si="241"/>
        <v>0</v>
      </c>
      <c r="J521" s="391">
        <f t="shared" si="241"/>
        <v>0</v>
      </c>
      <c r="K521" s="391">
        <f t="shared" si="241"/>
        <v>0</v>
      </c>
      <c r="L521" s="391">
        <f t="shared" si="241"/>
        <v>0</v>
      </c>
      <c r="M521" s="391">
        <f t="shared" si="241"/>
        <v>0</v>
      </c>
      <c r="N521" s="391">
        <f t="shared" si="241"/>
        <v>0</v>
      </c>
      <c r="O521" s="391">
        <f t="shared" si="241"/>
        <v>0</v>
      </c>
    </row>
    <row r="522" spans="2:15" ht="15.75">
      <c r="B522" s="2624"/>
      <c r="C522" s="489" t="s">
        <v>839</v>
      </c>
      <c r="D522" s="391">
        <f t="shared" ref="D522:O522" si="243">ROUND(+D516/$D$377,3)</f>
        <v>19.292999999999999</v>
      </c>
      <c r="E522" s="391">
        <f t="shared" ref="E522" si="244">ROUND(+E516/$D$377,3)</f>
        <v>19.654</v>
      </c>
      <c r="F522" s="391">
        <f t="shared" si="243"/>
        <v>0</v>
      </c>
      <c r="G522" s="391">
        <f t="shared" si="243"/>
        <v>0</v>
      </c>
      <c r="H522" s="391">
        <f t="shared" si="243"/>
        <v>0</v>
      </c>
      <c r="I522" s="391">
        <f t="shared" si="243"/>
        <v>0</v>
      </c>
      <c r="J522" s="391">
        <f t="shared" si="243"/>
        <v>0</v>
      </c>
      <c r="K522" s="391">
        <f t="shared" si="243"/>
        <v>0</v>
      </c>
      <c r="L522" s="391">
        <f t="shared" si="243"/>
        <v>0</v>
      </c>
      <c r="M522" s="391">
        <f t="shared" si="243"/>
        <v>0</v>
      </c>
      <c r="N522" s="391">
        <f t="shared" si="243"/>
        <v>0</v>
      </c>
      <c r="O522" s="391">
        <f t="shared" si="243"/>
        <v>0</v>
      </c>
    </row>
    <row r="523" spans="2:15" ht="16.5" thickBot="1">
      <c r="B523" s="2625"/>
      <c r="C523" s="492" t="s">
        <v>677</v>
      </c>
      <c r="D523" s="685">
        <f t="shared" ref="D523:O523" si="245">ROUND(+D517/$D$378,3)</f>
        <v>13.509</v>
      </c>
      <c r="E523" s="685">
        <f t="shared" ref="E523" si="246">ROUND(+E517/$D$378,3)</f>
        <v>15.798999999999999</v>
      </c>
      <c r="F523" s="685">
        <f t="shared" si="245"/>
        <v>0</v>
      </c>
      <c r="G523" s="685">
        <f t="shared" si="245"/>
        <v>0</v>
      </c>
      <c r="H523" s="685">
        <f t="shared" si="245"/>
        <v>0</v>
      </c>
      <c r="I523" s="685">
        <f t="shared" si="245"/>
        <v>0</v>
      </c>
      <c r="J523" s="685">
        <f t="shared" si="245"/>
        <v>0</v>
      </c>
      <c r="K523" s="685">
        <f t="shared" si="245"/>
        <v>0</v>
      </c>
      <c r="L523" s="685">
        <f t="shared" si="245"/>
        <v>0</v>
      </c>
      <c r="M523" s="685">
        <f t="shared" si="245"/>
        <v>0</v>
      </c>
      <c r="N523" s="685">
        <f t="shared" si="245"/>
        <v>0</v>
      </c>
      <c r="O523" s="685">
        <f t="shared" si="245"/>
        <v>0</v>
      </c>
    </row>
    <row r="524" spans="2:15" ht="16.5" thickBot="1">
      <c r="B524" s="132"/>
      <c r="C524" s="2443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375"/>
      <c r="O524" s="1242"/>
    </row>
    <row r="525" spans="2:15" ht="16.5" thickBot="1">
      <c r="B525" s="365" t="s">
        <v>860</v>
      </c>
      <c r="C525" s="1455" t="s">
        <v>354</v>
      </c>
      <c r="D525" s="2445">
        <v>44927</v>
      </c>
      <c r="E525" s="2445">
        <v>44958</v>
      </c>
      <c r="F525" s="2445">
        <v>44986</v>
      </c>
      <c r="G525" s="2445">
        <v>45017</v>
      </c>
      <c r="H525" s="2445">
        <v>45047</v>
      </c>
      <c r="I525" s="2445">
        <v>45078</v>
      </c>
      <c r="J525" s="2445">
        <v>45108</v>
      </c>
      <c r="K525" s="2445">
        <v>45139</v>
      </c>
      <c r="L525" s="2445">
        <v>45170</v>
      </c>
      <c r="M525" s="2445">
        <v>45200</v>
      </c>
      <c r="N525" s="2445">
        <v>45231</v>
      </c>
      <c r="O525" s="2445">
        <v>45261</v>
      </c>
    </row>
    <row r="526" spans="2:15" ht="15.75">
      <c r="B526" s="377" t="s">
        <v>820</v>
      </c>
      <c r="C526" s="2448">
        <v>301</v>
      </c>
      <c r="D526" s="496">
        <f t="shared" ref="D526:O526" si="247">ROUND(MMULT($D$12:$H$12,D519:D523),2)</f>
        <v>1748.81</v>
      </c>
      <c r="E526" s="496">
        <f t="shared" ref="E526" si="248">ROUND(MMULT($D$12:$H$12,E519:E523),2)</f>
        <v>1852.73</v>
      </c>
      <c r="F526" s="496">
        <f t="shared" si="247"/>
        <v>0</v>
      </c>
      <c r="G526" s="496">
        <f t="shared" si="247"/>
        <v>0</v>
      </c>
      <c r="H526" s="496">
        <f t="shared" si="247"/>
        <v>0</v>
      </c>
      <c r="I526" s="496">
        <f t="shared" si="247"/>
        <v>0</v>
      </c>
      <c r="J526" s="496">
        <f t="shared" si="247"/>
        <v>0</v>
      </c>
      <c r="K526" s="496">
        <f t="shared" si="247"/>
        <v>0</v>
      </c>
      <c r="L526" s="496">
        <f t="shared" si="247"/>
        <v>0</v>
      </c>
      <c r="M526" s="496">
        <f t="shared" si="247"/>
        <v>0</v>
      </c>
      <c r="N526" s="496">
        <f t="shared" si="247"/>
        <v>0</v>
      </c>
      <c r="O526" s="1915">
        <f t="shared" si="247"/>
        <v>0</v>
      </c>
    </row>
    <row r="527" spans="2:15" ht="15.75">
      <c r="B527" s="372" t="s">
        <v>827</v>
      </c>
      <c r="C527" s="2447">
        <v>302</v>
      </c>
      <c r="D527" s="498">
        <f t="shared" ref="D527:O527" si="249">ROUND(MMULT($D$13:$H$13,D519:D523),2)</f>
        <v>1718.2</v>
      </c>
      <c r="E527" s="498">
        <f t="shared" ref="E527" si="250">ROUND(MMULT($D$13:$H$13,E519:E523),2)</f>
        <v>1824.92</v>
      </c>
      <c r="F527" s="498">
        <f t="shared" si="249"/>
        <v>0</v>
      </c>
      <c r="G527" s="498">
        <f t="shared" si="249"/>
        <v>0</v>
      </c>
      <c r="H527" s="498">
        <f t="shared" si="249"/>
        <v>0</v>
      </c>
      <c r="I527" s="498">
        <f t="shared" si="249"/>
        <v>0</v>
      </c>
      <c r="J527" s="498">
        <f t="shared" si="249"/>
        <v>0</v>
      </c>
      <c r="K527" s="498">
        <f t="shared" si="249"/>
        <v>0</v>
      </c>
      <c r="L527" s="498">
        <f t="shared" si="249"/>
        <v>0</v>
      </c>
      <c r="M527" s="498">
        <f t="shared" si="249"/>
        <v>0</v>
      </c>
      <c r="N527" s="498">
        <f t="shared" si="249"/>
        <v>0</v>
      </c>
      <c r="O527" s="498">
        <f t="shared" si="249"/>
        <v>0</v>
      </c>
    </row>
    <row r="528" spans="2:15" ht="15.75">
      <c r="B528" s="372" t="s">
        <v>828</v>
      </c>
      <c r="C528" s="2447">
        <v>303</v>
      </c>
      <c r="D528" s="500">
        <f t="shared" ref="D528:O528" si="251">ROUND(MMULT($D$14:$H$14,D519:D523),2)</f>
        <v>1721.27</v>
      </c>
      <c r="E528" s="500">
        <f t="shared" ref="E528" si="252">ROUND(MMULT($D$14:$H$14,E519:E523),2)</f>
        <v>1837.44</v>
      </c>
      <c r="F528" s="500">
        <f t="shared" si="251"/>
        <v>0</v>
      </c>
      <c r="G528" s="500">
        <f t="shared" si="251"/>
        <v>0</v>
      </c>
      <c r="H528" s="500">
        <f t="shared" si="251"/>
        <v>0</v>
      </c>
      <c r="I528" s="500">
        <f t="shared" si="251"/>
        <v>0</v>
      </c>
      <c r="J528" s="500">
        <f t="shared" si="251"/>
        <v>0</v>
      </c>
      <c r="K528" s="500">
        <f t="shared" si="251"/>
        <v>0</v>
      </c>
      <c r="L528" s="500">
        <f t="shared" si="251"/>
        <v>0</v>
      </c>
      <c r="M528" s="500">
        <f t="shared" si="251"/>
        <v>0</v>
      </c>
      <c r="N528" s="500">
        <f t="shared" si="251"/>
        <v>0</v>
      </c>
      <c r="O528" s="498">
        <f t="shared" si="251"/>
        <v>0</v>
      </c>
    </row>
    <row r="529" spans="2:15" ht="16.5" thickBot="1">
      <c r="B529" s="373" t="s">
        <v>832</v>
      </c>
      <c r="C529" s="2449">
        <v>304</v>
      </c>
      <c r="D529" s="502">
        <f t="shared" ref="D529:O529" si="253">ROUND(MMULT($D$15:$H$15,D519:D523),2)</f>
        <v>1535.38</v>
      </c>
      <c r="E529" s="502">
        <f t="shared" ref="E529" si="254">ROUND(MMULT($D$15:$H$15,E519:E523),2)</f>
        <v>1675.89</v>
      </c>
      <c r="F529" s="502">
        <f t="shared" si="253"/>
        <v>0</v>
      </c>
      <c r="G529" s="502">
        <f t="shared" si="253"/>
        <v>0</v>
      </c>
      <c r="H529" s="502">
        <f t="shared" si="253"/>
        <v>0</v>
      </c>
      <c r="I529" s="502">
        <f t="shared" si="253"/>
        <v>0</v>
      </c>
      <c r="J529" s="502">
        <f t="shared" si="253"/>
        <v>0</v>
      </c>
      <c r="K529" s="502">
        <f t="shared" si="253"/>
        <v>0</v>
      </c>
      <c r="L529" s="502">
        <f t="shared" si="253"/>
        <v>0</v>
      </c>
      <c r="M529" s="502">
        <f t="shared" si="253"/>
        <v>0</v>
      </c>
      <c r="N529" s="502">
        <f t="shared" si="253"/>
        <v>0</v>
      </c>
      <c r="O529" s="573">
        <f t="shared" si="253"/>
        <v>0</v>
      </c>
    </row>
  </sheetData>
  <mergeCells count="301">
    <mergeCell ref="B233:B235"/>
    <mergeCell ref="C233:C235"/>
    <mergeCell ref="D233:D235"/>
    <mergeCell ref="E233:E235"/>
    <mergeCell ref="F233:F235"/>
    <mergeCell ref="B440:B444"/>
    <mergeCell ref="B420:B424"/>
    <mergeCell ref="H107:H109"/>
    <mergeCell ref="B135:B137"/>
    <mergeCell ref="B360:B364"/>
    <mergeCell ref="B243:B247"/>
    <mergeCell ref="B249:B251"/>
    <mergeCell ref="C249:C251"/>
    <mergeCell ref="D249:D251"/>
    <mergeCell ref="G233:G235"/>
    <mergeCell ref="F107:F109"/>
    <mergeCell ref="B144:B148"/>
    <mergeCell ref="B150:B152"/>
    <mergeCell ref="D150:D152"/>
    <mergeCell ref="E150:E152"/>
    <mergeCell ref="F150:F152"/>
    <mergeCell ref="G150:G152"/>
    <mergeCell ref="D135:D137"/>
    <mergeCell ref="B107:B109"/>
    <mergeCell ref="I249:I251"/>
    <mergeCell ref="J249:J251"/>
    <mergeCell ref="K249:K251"/>
    <mergeCell ref="I233:I235"/>
    <mergeCell ref="N233:N235"/>
    <mergeCell ref="E249:E251"/>
    <mergeCell ref="F249:F251"/>
    <mergeCell ref="G249:G251"/>
    <mergeCell ref="H249:H251"/>
    <mergeCell ref="H233:H235"/>
    <mergeCell ref="C3:N3"/>
    <mergeCell ref="C2:N2"/>
    <mergeCell ref="C5:N5"/>
    <mergeCell ref="O40:O42"/>
    <mergeCell ref="O56:O58"/>
    <mergeCell ref="N40:N42"/>
    <mergeCell ref="N56:N58"/>
    <mergeCell ref="H40:H42"/>
    <mergeCell ref="I40:I42"/>
    <mergeCell ref="J56:J58"/>
    <mergeCell ref="N75:N77"/>
    <mergeCell ref="O75:O77"/>
    <mergeCell ref="O107:O109"/>
    <mergeCell ref="G123:G125"/>
    <mergeCell ref="H123:H125"/>
    <mergeCell ref="I123:I125"/>
    <mergeCell ref="J123:J125"/>
    <mergeCell ref="I107:I109"/>
    <mergeCell ref="J75:J77"/>
    <mergeCell ref="K75:K77"/>
    <mergeCell ref="L75:L77"/>
    <mergeCell ref="M75:M77"/>
    <mergeCell ref="H91:H93"/>
    <mergeCell ref="I91:I93"/>
    <mergeCell ref="J91:J93"/>
    <mergeCell ref="G107:G109"/>
    <mergeCell ref="M123:M125"/>
    <mergeCell ref="N123:N125"/>
    <mergeCell ref="B9:B11"/>
    <mergeCell ref="B25:B29"/>
    <mergeCell ref="D9:H9"/>
    <mergeCell ref="K56:K58"/>
    <mergeCell ref="M40:M42"/>
    <mergeCell ref="M56:M58"/>
    <mergeCell ref="L56:L58"/>
    <mergeCell ref="J40:J42"/>
    <mergeCell ref="K40:K42"/>
    <mergeCell ref="L40:L42"/>
    <mergeCell ref="B40:B42"/>
    <mergeCell ref="B50:B54"/>
    <mergeCell ref="B56:B58"/>
    <mergeCell ref="G40:G42"/>
    <mergeCell ref="E56:E58"/>
    <mergeCell ref="F56:F58"/>
    <mergeCell ref="D40:D42"/>
    <mergeCell ref="D56:D58"/>
    <mergeCell ref="F40:F42"/>
    <mergeCell ref="E40:E42"/>
    <mergeCell ref="B75:B77"/>
    <mergeCell ref="D75:D77"/>
    <mergeCell ref="E75:E77"/>
    <mergeCell ref="F75:F77"/>
    <mergeCell ref="G56:G58"/>
    <mergeCell ref="I56:I58"/>
    <mergeCell ref="H56:H58"/>
    <mergeCell ref="G75:G77"/>
    <mergeCell ref="H75:H77"/>
    <mergeCell ref="I75:I77"/>
    <mergeCell ref="B85:B89"/>
    <mergeCell ref="B91:B93"/>
    <mergeCell ref="D91:D93"/>
    <mergeCell ref="E91:E93"/>
    <mergeCell ref="F91:F93"/>
    <mergeCell ref="G91:G93"/>
    <mergeCell ref="O123:O125"/>
    <mergeCell ref="K123:K125"/>
    <mergeCell ref="L123:L125"/>
    <mergeCell ref="O91:O93"/>
    <mergeCell ref="K91:K93"/>
    <mergeCell ref="L91:L93"/>
    <mergeCell ref="M91:M93"/>
    <mergeCell ref="N91:N93"/>
    <mergeCell ref="K107:K109"/>
    <mergeCell ref="L107:L109"/>
    <mergeCell ref="M107:M109"/>
    <mergeCell ref="N107:N109"/>
    <mergeCell ref="B117:B121"/>
    <mergeCell ref="B123:B125"/>
    <mergeCell ref="D123:D125"/>
    <mergeCell ref="E123:E125"/>
    <mergeCell ref="F123:F125"/>
    <mergeCell ref="J107:J109"/>
    <mergeCell ref="D107:D109"/>
    <mergeCell ref="E107:E109"/>
    <mergeCell ref="O150:O152"/>
    <mergeCell ref="K150:K152"/>
    <mergeCell ref="L150:L152"/>
    <mergeCell ref="M150:M152"/>
    <mergeCell ref="N150:N152"/>
    <mergeCell ref="F135:F137"/>
    <mergeCell ref="C135:C137"/>
    <mergeCell ref="G135:G137"/>
    <mergeCell ref="H150:H152"/>
    <mergeCell ref="I150:I152"/>
    <mergeCell ref="J150:J152"/>
    <mergeCell ref="C150:C152"/>
    <mergeCell ref="O135:O137"/>
    <mergeCell ref="H135:H137"/>
    <mergeCell ref="I135:I137"/>
    <mergeCell ref="J135:J137"/>
    <mergeCell ref="K135:K137"/>
    <mergeCell ref="L135:L137"/>
    <mergeCell ref="M135:M137"/>
    <mergeCell ref="N135:N137"/>
    <mergeCell ref="E135:E137"/>
    <mergeCell ref="O162:O164"/>
    <mergeCell ref="C162:C164"/>
    <mergeCell ref="B172:B176"/>
    <mergeCell ref="B183:B185"/>
    <mergeCell ref="D183:D185"/>
    <mergeCell ref="E183:E185"/>
    <mergeCell ref="F183:F185"/>
    <mergeCell ref="O183:O185"/>
    <mergeCell ref="K183:K185"/>
    <mergeCell ref="L183:L185"/>
    <mergeCell ref="N162:N164"/>
    <mergeCell ref="G162:G164"/>
    <mergeCell ref="H162:H164"/>
    <mergeCell ref="I162:I164"/>
    <mergeCell ref="J162:J164"/>
    <mergeCell ref="K162:K164"/>
    <mergeCell ref="L162:L164"/>
    <mergeCell ref="B162:B164"/>
    <mergeCell ref="D162:D164"/>
    <mergeCell ref="E162:E164"/>
    <mergeCell ref="F162:F164"/>
    <mergeCell ref="N183:N185"/>
    <mergeCell ref="M183:M185"/>
    <mergeCell ref="M162:M164"/>
    <mergeCell ref="O199:O201"/>
    <mergeCell ref="K199:K201"/>
    <mergeCell ref="L199:L201"/>
    <mergeCell ref="M199:M201"/>
    <mergeCell ref="N199:N201"/>
    <mergeCell ref="H199:H201"/>
    <mergeCell ref="I199:I201"/>
    <mergeCell ref="J199:J201"/>
    <mergeCell ref="C199:C201"/>
    <mergeCell ref="G199:G201"/>
    <mergeCell ref="C183:C185"/>
    <mergeCell ref="G183:G185"/>
    <mergeCell ref="H183:H185"/>
    <mergeCell ref="I183:I185"/>
    <mergeCell ref="J183:J185"/>
    <mergeCell ref="B193:B197"/>
    <mergeCell ref="B199:B201"/>
    <mergeCell ref="D199:D201"/>
    <mergeCell ref="E199:E201"/>
    <mergeCell ref="F199:F201"/>
    <mergeCell ref="B218:B222"/>
    <mergeCell ref="B224:B226"/>
    <mergeCell ref="C224:C226"/>
    <mergeCell ref="D224:D226"/>
    <mergeCell ref="E224:E226"/>
    <mergeCell ref="F224:F226"/>
    <mergeCell ref="G224:G226"/>
    <mergeCell ref="H224:H226"/>
    <mergeCell ref="J208:J210"/>
    <mergeCell ref="F208:F210"/>
    <mergeCell ref="G208:G210"/>
    <mergeCell ref="H208:H210"/>
    <mergeCell ref="I208:I210"/>
    <mergeCell ref="B208:B210"/>
    <mergeCell ref="C208:C210"/>
    <mergeCell ref="D208:D210"/>
    <mergeCell ref="E208:E210"/>
    <mergeCell ref="O224:O226"/>
    <mergeCell ref="I224:I226"/>
    <mergeCell ref="J224:J226"/>
    <mergeCell ref="K224:K226"/>
    <mergeCell ref="L224:L226"/>
    <mergeCell ref="N208:N210"/>
    <mergeCell ref="O208:O210"/>
    <mergeCell ref="K208:K210"/>
    <mergeCell ref="L208:L210"/>
    <mergeCell ref="M208:M210"/>
    <mergeCell ref="M224:M226"/>
    <mergeCell ref="N224:N226"/>
    <mergeCell ref="O284:O286"/>
    <mergeCell ref="J284:J286"/>
    <mergeCell ref="K284:K286"/>
    <mergeCell ref="L284:L286"/>
    <mergeCell ref="M284:M286"/>
    <mergeCell ref="O275:O277"/>
    <mergeCell ref="J275:J277"/>
    <mergeCell ref="K275:K277"/>
    <mergeCell ref="O233:O235"/>
    <mergeCell ref="J233:J235"/>
    <mergeCell ref="K233:K235"/>
    <mergeCell ref="L233:L235"/>
    <mergeCell ref="M233:M235"/>
    <mergeCell ref="O259:O261"/>
    <mergeCell ref="J259:J261"/>
    <mergeCell ref="K259:K261"/>
    <mergeCell ref="L259:L261"/>
    <mergeCell ref="L249:L251"/>
    <mergeCell ref="M259:M261"/>
    <mergeCell ref="O249:O251"/>
    <mergeCell ref="M249:M251"/>
    <mergeCell ref="N249:N251"/>
    <mergeCell ref="B259:B261"/>
    <mergeCell ref="C259:C261"/>
    <mergeCell ref="D259:D261"/>
    <mergeCell ref="E259:E261"/>
    <mergeCell ref="B269:B273"/>
    <mergeCell ref="B275:B277"/>
    <mergeCell ref="C275:C277"/>
    <mergeCell ref="B284:B286"/>
    <mergeCell ref="C284:C286"/>
    <mergeCell ref="D284:D286"/>
    <mergeCell ref="E284:E286"/>
    <mergeCell ref="D275:D277"/>
    <mergeCell ref="E275:E277"/>
    <mergeCell ref="F275:F277"/>
    <mergeCell ref="G275:G277"/>
    <mergeCell ref="H275:H277"/>
    <mergeCell ref="I275:I277"/>
    <mergeCell ref="H284:H286"/>
    <mergeCell ref="L275:L277"/>
    <mergeCell ref="N259:N261"/>
    <mergeCell ref="F284:F286"/>
    <mergeCell ref="G284:G286"/>
    <mergeCell ref="M275:M277"/>
    <mergeCell ref="N275:N277"/>
    <mergeCell ref="F259:F261"/>
    <mergeCell ref="G259:G261"/>
    <mergeCell ref="H259:H261"/>
    <mergeCell ref="I259:I261"/>
    <mergeCell ref="I284:I286"/>
    <mergeCell ref="N284:N286"/>
    <mergeCell ref="B294:B298"/>
    <mergeCell ref="B300:B302"/>
    <mergeCell ref="C300:C302"/>
    <mergeCell ref="D300:D302"/>
    <mergeCell ref="E300:E302"/>
    <mergeCell ref="F300:F302"/>
    <mergeCell ref="G300:G302"/>
    <mergeCell ref="H300:H302"/>
    <mergeCell ref="O300:O302"/>
    <mergeCell ref="I300:I302"/>
    <mergeCell ref="J300:J302"/>
    <mergeCell ref="K300:K302"/>
    <mergeCell ref="L300:L302"/>
    <mergeCell ref="B318:B322"/>
    <mergeCell ref="H324:H326"/>
    <mergeCell ref="B400:B404"/>
    <mergeCell ref="B380:B384"/>
    <mergeCell ref="B340:B344"/>
    <mergeCell ref="M300:M302"/>
    <mergeCell ref="N300:N302"/>
    <mergeCell ref="B324:B326"/>
    <mergeCell ref="M324:M326"/>
    <mergeCell ref="N324:N326"/>
    <mergeCell ref="B519:B523"/>
    <mergeCell ref="B500:B504"/>
    <mergeCell ref="B480:B484"/>
    <mergeCell ref="O324:O326"/>
    <mergeCell ref="I324:I326"/>
    <mergeCell ref="J324:J326"/>
    <mergeCell ref="K324:K326"/>
    <mergeCell ref="L324:L326"/>
    <mergeCell ref="C324:C326"/>
    <mergeCell ref="D324:D326"/>
    <mergeCell ref="E324:E326"/>
    <mergeCell ref="F324:F326"/>
    <mergeCell ref="G324:G326"/>
    <mergeCell ref="B460:B464"/>
  </mergeCells>
  <phoneticPr fontId="0" type="noConversion"/>
  <hyperlinks>
    <hyperlink ref="E28:N28" r:id="rId1" display="=@redondear(+C16/$C$16;3)"/>
    <hyperlink ref="J22" r:id="rId2" display="=+@redondear(H20*P22;3)"/>
  </hyperlinks>
  <printOptions horizontalCentered="1"/>
  <pageMargins left="0.19685039370078741" right="0.19685039370078741" top="0.6692913385826772" bottom="0.39370078740157483" header="0" footer="0.15748031496062992"/>
  <pageSetup paperSize="5" scale="61" firstPageNumber="10" orientation="landscape" useFirstPageNumber="1" verticalDpi="1200" r:id="rId3"/>
  <headerFooter alignWithMargins="0"/>
  <rowBreaks count="1" manualBreakCount="1">
    <brk id="510" max="14" man="1"/>
  </rowBreaks>
  <ignoredErrors>
    <ignoredError sqref="N114 I142 N142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3" zoomScale="70" zoomScaleSheetLayoutView="70" workbookViewId="0">
      <selection activeCell="D33" sqref="D33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3" t="s">
        <v>1266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s="2" customFormat="1" ht="15.75">
      <c r="B5" s="3" t="s">
        <v>1269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9" spans="2:25" s="2" customFormat="1" ht="15.75">
      <c r="B9" s="2566" t="s">
        <v>1270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25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1267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0">
        <v>715.6</v>
      </c>
    </row>
    <row r="12" spans="2:25" s="2" customFormat="1" ht="15.75">
      <c r="B12" s="566" t="s">
        <v>996</v>
      </c>
      <c r="C12" s="323">
        <v>1</v>
      </c>
      <c r="D12" s="323">
        <f>+D11/C11</f>
        <v>1.01063137339987</v>
      </c>
      <c r="E12" s="323">
        <f t="shared" ref="E12:N12" si="0">+E11/D11</f>
        <v>1.0163160154572777</v>
      </c>
      <c r="F12" s="323">
        <f t="shared" si="0"/>
        <v>1.0232361639205745</v>
      </c>
      <c r="G12" s="323">
        <f t="shared" si="0"/>
        <v>1.0239471511147813</v>
      </c>
      <c r="H12" s="323">
        <f t="shared" si="0"/>
        <v>1.0405241935483871</v>
      </c>
      <c r="I12" s="323">
        <f t="shared" si="0"/>
        <v>1.0280953303623328</v>
      </c>
      <c r="J12" s="323">
        <f t="shared" si="0"/>
        <v>1.0621937429325292</v>
      </c>
      <c r="K12" s="323">
        <f t="shared" si="0"/>
        <v>1.1305890702625976</v>
      </c>
      <c r="L12" s="323">
        <f t="shared" si="0"/>
        <v>1.0108286252354048</v>
      </c>
      <c r="M12" s="1633">
        <f t="shared" si="0"/>
        <v>1.0857009781089892</v>
      </c>
      <c r="N12" s="1643">
        <f t="shared" si="0"/>
        <v>1.0233090233090234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1268</v>
      </c>
      <c r="C14" s="337">
        <v>241.356716335822</v>
      </c>
      <c r="D14" s="337">
        <v>243.92266970975462</v>
      </c>
      <c r="E14" s="337">
        <v>247.90251575911941</v>
      </c>
      <c r="F14" s="337">
        <v>253.6628192516211</v>
      </c>
      <c r="G14" s="337">
        <v>259.73732111644114</v>
      </c>
      <c r="H14" s="337">
        <v>270.26296658910337</v>
      </c>
      <c r="I14" s="337">
        <v>277.85609392012833</v>
      </c>
      <c r="J14" s="337">
        <v>295.13700439763346</v>
      </c>
      <c r="K14" s="337">
        <v>333.6786714020086</v>
      </c>
      <c r="L14" s="337">
        <v>337.29195268366874</v>
      </c>
      <c r="M14" s="337">
        <v>366.19820293695005</v>
      </c>
      <c r="N14" s="338">
        <v>374.73392538492993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66" t="s">
        <v>1270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1267</v>
      </c>
      <c r="C18" s="546">
        <v>730.7</v>
      </c>
      <c r="D18" s="546">
        <v>741</v>
      </c>
      <c r="E18" s="546">
        <v>810.4</v>
      </c>
      <c r="F18" s="545">
        <v>828</v>
      </c>
      <c r="G18" s="546">
        <v>848.9</v>
      </c>
      <c r="H18" s="546">
        <v>848.9</v>
      </c>
      <c r="I18" s="546">
        <v>881.2</v>
      </c>
      <c r="J18" s="546">
        <v>898.5</v>
      </c>
      <c r="K18" s="546">
        <v>914</v>
      </c>
      <c r="L18" s="546">
        <v>980.7</v>
      </c>
      <c r="M18" s="546">
        <v>1042.5999999999999</v>
      </c>
      <c r="N18" s="1640">
        <v>1042.5999999999999</v>
      </c>
    </row>
    <row r="19" spans="2:17" s="2" customFormat="1" ht="15.75">
      <c r="B19" s="566" t="s">
        <v>996</v>
      </c>
      <c r="C19" s="1633">
        <f>+C18/N11</f>
        <v>1.0211011738401341</v>
      </c>
      <c r="D19" s="323">
        <f t="shared" ref="D19:N19" si="1">+D18/C18</f>
        <v>1.0140960722594772</v>
      </c>
      <c r="E19" s="323">
        <f t="shared" si="1"/>
        <v>1.0936572199730095</v>
      </c>
      <c r="F19" s="323">
        <f t="shared" si="1"/>
        <v>1.0217176702862785</v>
      </c>
      <c r="G19" s="323">
        <f t="shared" si="1"/>
        <v>1.0252415458937199</v>
      </c>
      <c r="H19" s="323">
        <f t="shared" si="1"/>
        <v>1</v>
      </c>
      <c r="I19" s="323">
        <f t="shared" si="1"/>
        <v>1.0380492401931913</v>
      </c>
      <c r="J19" s="323">
        <f t="shared" si="1"/>
        <v>1.0196323195642305</v>
      </c>
      <c r="K19" s="323">
        <f t="shared" si="1"/>
        <v>1.0172509738452977</v>
      </c>
      <c r="L19" s="323">
        <f t="shared" si="1"/>
        <v>1.0729759299781183</v>
      </c>
      <c r="M19" s="323">
        <f t="shared" si="1"/>
        <v>1.0631181808912</v>
      </c>
      <c r="N19" s="1012">
        <f t="shared" si="1"/>
        <v>1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1268</v>
      </c>
      <c r="C21" s="337">
        <f>+N14*C19</f>
        <v>382.64125108827318</v>
      </c>
      <c r="D21" s="337">
        <f t="shared" ref="D21:N21" si="2">+C21*D19</f>
        <v>388.03498981307024</v>
      </c>
      <c r="E21" s="337">
        <f t="shared" si="2"/>
        <v>424.37726821121743</v>
      </c>
      <c r="F21" s="337">
        <f t="shared" si="2"/>
        <v>433.59375379922022</v>
      </c>
      <c r="G21" s="337">
        <f t="shared" si="2"/>
        <v>444.53833043497349</v>
      </c>
      <c r="H21" s="337">
        <f t="shared" si="2"/>
        <v>444.53833043497349</v>
      </c>
      <c r="I21" s="337">
        <f t="shared" si="2"/>
        <v>461.45267614477405</v>
      </c>
      <c r="J21" s="337">
        <f t="shared" si="2"/>
        <v>470.51206254661764</v>
      </c>
      <c r="K21" s="337">
        <f t="shared" si="2"/>
        <v>478.62885383150643</v>
      </c>
      <c r="L21" s="337">
        <f t="shared" si="2"/>
        <v>513.5572395542215</v>
      </c>
      <c r="M21" s="337">
        <f t="shared" si="2"/>
        <v>545.9720382983902</v>
      </c>
      <c r="N21" s="338">
        <f t="shared" si="2"/>
        <v>545.9720382983902</v>
      </c>
    </row>
    <row r="22" spans="2:17" ht="13.5" thickBot="1"/>
    <row r="23" spans="2:17" s="2" customFormat="1" ht="15.75">
      <c r="B23" s="2566" t="s">
        <v>1270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1267</v>
      </c>
      <c r="C25" s="546">
        <v>1089.9000000000001</v>
      </c>
      <c r="D25" s="546">
        <v>1136</v>
      </c>
      <c r="E25" s="546">
        <v>1239.5999999999999</v>
      </c>
      <c r="F25" s="1993">
        <v>1270.5999999999999</v>
      </c>
      <c r="G25" s="546">
        <v>1336.8</v>
      </c>
      <c r="H25" s="546">
        <v>1422.4</v>
      </c>
      <c r="I25" s="546">
        <v>1610.1</v>
      </c>
      <c r="J25" s="546">
        <v>1948.2</v>
      </c>
      <c r="K25" s="546">
        <v>1948.2</v>
      </c>
      <c r="L25" s="546">
        <v>2040.6</v>
      </c>
      <c r="M25" s="546">
        <v>2040.6</v>
      </c>
      <c r="N25" s="1640">
        <v>2143.3000000000002</v>
      </c>
    </row>
    <row r="26" spans="2:17" s="2" customFormat="1" ht="15.75">
      <c r="B26" s="566" t="s">
        <v>996</v>
      </c>
      <c r="C26" s="1633">
        <f>+C25/N18</f>
        <v>1.0453673508536354</v>
      </c>
      <c r="D26" s="323">
        <f t="shared" ref="D26:N26" si="3">+D25/C25</f>
        <v>1.0422974584824294</v>
      </c>
      <c r="E26" s="323">
        <f t="shared" si="3"/>
        <v>1.0911971830985914</v>
      </c>
      <c r="F26" s="323">
        <f t="shared" si="3"/>
        <v>1.0250080671184254</v>
      </c>
      <c r="G26" s="323">
        <f t="shared" si="3"/>
        <v>1.0521013694317645</v>
      </c>
      <c r="H26" s="323">
        <f t="shared" si="3"/>
        <v>1.064033512866547</v>
      </c>
      <c r="I26" s="323">
        <f t="shared" si="3"/>
        <v>1.1319600674915635</v>
      </c>
      <c r="J26" s="323">
        <f t="shared" si="3"/>
        <v>1.2099869573318429</v>
      </c>
      <c r="K26" s="323">
        <f t="shared" si="3"/>
        <v>1</v>
      </c>
      <c r="L26" s="323">
        <f t="shared" si="3"/>
        <v>1.0474283954419463</v>
      </c>
      <c r="M26" s="323">
        <f t="shared" si="3"/>
        <v>1</v>
      </c>
      <c r="N26" s="323">
        <f t="shared" si="3"/>
        <v>1.0503283348034893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1268</v>
      </c>
      <c r="C28" s="337">
        <f>+N21*C26</f>
        <v>570.74134331614778</v>
      </c>
      <c r="D28" s="337">
        <f t="shared" ref="D28:E28" si="4">+C28*D26</f>
        <v>594.88225158926855</v>
      </c>
      <c r="E28" s="337">
        <f t="shared" si="4"/>
        <v>649.13383720955733</v>
      </c>
      <c r="F28" s="337">
        <f t="shared" ref="F28:N28" si="5">+E28*F26</f>
        <v>665.36741977933502</v>
      </c>
      <c r="G28" s="337">
        <f t="shared" si="5"/>
        <v>700.03397352511809</v>
      </c>
      <c r="H28" s="337">
        <f t="shared" si="5"/>
        <v>744.85960797585881</v>
      </c>
      <c r="I28" s="337">
        <f t="shared" si="5"/>
        <v>843.1513321160927</v>
      </c>
      <c r="J28" s="337">
        <f t="shared" si="5"/>
        <v>1020.2021149174411</v>
      </c>
      <c r="K28" s="337">
        <f t="shared" si="5"/>
        <v>1020.2021149174411</v>
      </c>
      <c r="L28" s="337">
        <f t="shared" si="5"/>
        <v>1068.5886642544556</v>
      </c>
      <c r="M28" s="337">
        <f t="shared" si="5"/>
        <v>1068.5886642544556</v>
      </c>
      <c r="N28" s="337">
        <f t="shared" si="5"/>
        <v>1122.3689523162673</v>
      </c>
    </row>
    <row r="29" spans="2:17" ht="13.5" thickBot="1"/>
    <row r="30" spans="2:17" s="2" customFormat="1" ht="15.75">
      <c r="B30" s="2566" t="s">
        <v>1270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1267</v>
      </c>
      <c r="C32" s="546">
        <v>2169.1999999999998</v>
      </c>
      <c r="D32" s="546">
        <v>2271.1</v>
      </c>
      <c r="E32" s="546"/>
      <c r="F32" s="1993"/>
      <c r="G32" s="546"/>
      <c r="H32" s="546"/>
      <c r="I32" s="546"/>
      <c r="J32" s="546"/>
      <c r="K32" s="546"/>
      <c r="L32" s="546"/>
      <c r="M32" s="546"/>
      <c r="N32" s="546"/>
    </row>
    <row r="33" spans="2:17" s="2" customFormat="1" ht="15.75">
      <c r="B33" s="566" t="s">
        <v>996</v>
      </c>
      <c r="C33" s="1633">
        <f>+C32/N25</f>
        <v>1.0120841692716838</v>
      </c>
      <c r="D33" s="323">
        <f t="shared" ref="D33" si="6">+D32/C32</f>
        <v>1.0469758436289878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1268</v>
      </c>
      <c r="C35" s="337">
        <f>+N28*C33</f>
        <v>1135.9318487213393</v>
      </c>
      <c r="D35" s="337">
        <f t="shared" ref="D35" si="7">+C35*D33</f>
        <v>1189.29320562006</v>
      </c>
      <c r="E35" s="337">
        <f t="shared" ref="E35" si="8">+D35*E33</f>
        <v>0</v>
      </c>
      <c r="F35" s="337">
        <f t="shared" ref="F35" si="9">+E35*F33</f>
        <v>0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D1:O1"/>
    <mergeCell ref="D2:O2"/>
    <mergeCell ref="B4:O4"/>
    <mergeCell ref="B23:B24"/>
    <mergeCell ref="C23:N23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  <ignoredErrors>
    <ignoredError sqref="E34:N35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rgb="FF92D050"/>
  </sheetPr>
  <dimension ref="B1:Y230"/>
  <sheetViews>
    <sheetView showGridLines="0" showZeros="0" view="pageBreakPreview" topLeftCell="A214" zoomScale="85" zoomScaleSheetLayoutView="85" workbookViewId="0">
      <selection activeCell="D230" sqref="D230"/>
    </sheetView>
  </sheetViews>
  <sheetFormatPr baseColWidth="10" defaultColWidth="11.42578125" defaultRowHeight="15.75"/>
  <cols>
    <col min="1" max="1" width="3.5703125" style="2" customWidth="1"/>
    <col min="2" max="2" width="56.28515625" style="132" customWidth="1"/>
    <col min="3" max="6" width="10.140625" style="132" customWidth="1"/>
    <col min="7" max="7" width="10.85546875" style="132" customWidth="1"/>
    <col min="8" max="8" width="11.5703125" style="132" bestFit="1" customWidth="1"/>
    <col min="9" max="9" width="11" style="132" customWidth="1"/>
    <col min="10" max="14" width="10.140625" style="132" customWidth="1"/>
    <col min="15" max="15" width="11.140625" style="2" customWidth="1"/>
    <col min="16" max="16" width="8.140625" style="2" customWidth="1"/>
    <col min="17" max="18" width="2.7109375" style="2" bestFit="1" customWidth="1"/>
    <col min="19" max="21" width="11.42578125" style="2"/>
    <col min="22" max="22" width="6.140625" style="2" bestFit="1" customWidth="1"/>
    <col min="23" max="23" width="2.7109375" style="2" bestFit="1" customWidth="1"/>
    <col min="24" max="24" width="11.85546875" style="2" bestFit="1" customWidth="1"/>
    <col min="25" max="25" width="9.28515625" style="2" bestFit="1" customWidth="1"/>
    <col min="26" max="31" width="2.7109375" style="2" bestFit="1" customWidth="1"/>
    <col min="32" max="32" width="2.7109375" style="2" customWidth="1"/>
    <col min="33" max="34" width="6.140625" style="2" bestFit="1" customWidth="1"/>
    <col min="35" max="16384" width="11.42578125" style="2"/>
  </cols>
  <sheetData>
    <row r="1" spans="2:25">
      <c r="B1" s="132" t="s">
        <v>591</v>
      </c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>
      <c r="B2" s="132" t="s">
        <v>593</v>
      </c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ht="16.5" thickBot="1">
      <c r="B3" s="132" t="s">
        <v>595</v>
      </c>
      <c r="O3" s="1"/>
      <c r="P3" s="1"/>
      <c r="Q3" s="1"/>
    </row>
    <row r="4" spans="2:25">
      <c r="B4" s="2690" t="s">
        <v>727</v>
      </c>
      <c r="C4" s="2690"/>
      <c r="D4" s="2690"/>
      <c r="E4" s="2690"/>
      <c r="F4" s="2690"/>
      <c r="G4" s="2690"/>
      <c r="H4" s="2690"/>
      <c r="I4" s="2690"/>
      <c r="J4" s="2690"/>
      <c r="K4" s="2690"/>
      <c r="L4" s="2690"/>
      <c r="M4" s="2690"/>
      <c r="N4" s="2690"/>
      <c r="O4" s="2690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ht="25.5" customHeight="1">
      <c r="B5" s="3" t="s">
        <v>729</v>
      </c>
      <c r="C5" s="3"/>
      <c r="D5" s="3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6" spans="2:25">
      <c r="B6" s="132" t="s">
        <v>529</v>
      </c>
      <c r="S6" s="2594"/>
      <c r="T6" s="2595"/>
      <c r="U6" s="2595"/>
      <c r="V6" s="35"/>
      <c r="X6" s="37">
        <v>37959</v>
      </c>
      <c r="Y6" s="55">
        <v>2.9706999999999999</v>
      </c>
    </row>
    <row r="7" spans="2:25" ht="17.25" customHeight="1">
      <c r="B7" s="132" t="s">
        <v>147</v>
      </c>
      <c r="S7" s="2577" t="s">
        <v>712</v>
      </c>
      <c r="T7" s="2578"/>
      <c r="U7" s="2578"/>
      <c r="V7" s="35">
        <v>2.87</v>
      </c>
      <c r="X7" s="37">
        <v>37960</v>
      </c>
      <c r="Y7" s="55">
        <v>2.9693000000000001</v>
      </c>
    </row>
    <row r="8" spans="2:25" ht="14.25" customHeight="1" thickBot="1">
      <c r="S8" s="2594"/>
      <c r="T8" s="2595"/>
      <c r="U8" s="2595"/>
      <c r="V8" s="35"/>
      <c r="X8" s="37">
        <v>37964</v>
      </c>
      <c r="Y8" s="55">
        <v>2.9546999999999999</v>
      </c>
    </row>
    <row r="9" spans="2:25" ht="17.25" customHeight="1">
      <c r="B9" s="2692" t="s">
        <v>1162</v>
      </c>
      <c r="C9" s="2689"/>
      <c r="D9" s="2689"/>
      <c r="E9" s="2689"/>
      <c r="F9" s="2689"/>
      <c r="G9" s="2853"/>
      <c r="H9" s="542">
        <v>0.6</v>
      </c>
      <c r="S9" s="2594"/>
      <c r="T9" s="2595"/>
      <c r="U9" s="2595"/>
      <c r="V9" s="35"/>
      <c r="X9" s="37">
        <v>37966</v>
      </c>
      <c r="Y9" s="55">
        <v>2.9472999999999998</v>
      </c>
    </row>
    <row r="10" spans="2:25" ht="19.5" customHeight="1" thickBot="1">
      <c r="B10" s="2854" t="s">
        <v>728</v>
      </c>
      <c r="C10" s="2855"/>
      <c r="D10" s="2855"/>
      <c r="E10" s="2855"/>
      <c r="F10" s="2855"/>
      <c r="G10" s="2856"/>
      <c r="H10" s="543">
        <v>0.4</v>
      </c>
      <c r="S10" s="2577" t="s">
        <v>715</v>
      </c>
      <c r="T10" s="2578"/>
      <c r="U10" s="2578"/>
      <c r="V10" s="35">
        <v>2.87</v>
      </c>
      <c r="X10" s="37">
        <v>37967</v>
      </c>
      <c r="Y10" s="55">
        <v>2.9563000000000001</v>
      </c>
    </row>
    <row r="11" spans="2:25" ht="6.75" customHeight="1" thickBot="1">
      <c r="B11" s="294"/>
      <c r="C11" s="295"/>
      <c r="D11" s="295"/>
      <c r="E11" s="295"/>
      <c r="F11" s="295"/>
      <c r="G11" s="295"/>
      <c r="H11" s="296"/>
      <c r="S11" s="2594"/>
      <c r="T11" s="2595"/>
      <c r="U11" s="2595"/>
      <c r="V11" s="35"/>
      <c r="X11" s="37">
        <v>37970</v>
      </c>
      <c r="Y11" s="55">
        <v>2.9609999999999999</v>
      </c>
    </row>
    <row r="12" spans="2:25" ht="16.5" customHeight="1">
      <c r="B12" s="2623" t="s">
        <v>673</v>
      </c>
      <c r="C12" s="464">
        <v>2001</v>
      </c>
      <c r="D12" s="2857">
        <v>2002</v>
      </c>
      <c r="E12" s="2857"/>
      <c r="F12" s="2857"/>
      <c r="G12" s="2857"/>
      <c r="H12" s="2857"/>
      <c r="I12" s="2857"/>
      <c r="J12" s="2857"/>
      <c r="K12" s="2857"/>
      <c r="L12" s="2857"/>
      <c r="M12" s="2857"/>
      <c r="N12" s="2857"/>
      <c r="O12" s="2858"/>
      <c r="S12" s="2577" t="s">
        <v>716</v>
      </c>
      <c r="T12" s="2578"/>
      <c r="U12" s="2578"/>
      <c r="V12" s="35">
        <v>2.86</v>
      </c>
      <c r="X12" s="37">
        <v>37971</v>
      </c>
      <c r="Y12" s="55">
        <v>2.9712999999999998</v>
      </c>
    </row>
    <row r="13" spans="2:25" ht="16.5" thickBot="1">
      <c r="B13" s="2776"/>
      <c r="C13" s="475" t="s">
        <v>577</v>
      </c>
      <c r="D13" s="475" t="s">
        <v>578</v>
      </c>
      <c r="E13" s="475" t="s">
        <v>579</v>
      </c>
      <c r="F13" s="475" t="s">
        <v>580</v>
      </c>
      <c r="G13" s="475" t="s">
        <v>581</v>
      </c>
      <c r="H13" s="475" t="s">
        <v>582</v>
      </c>
      <c r="I13" s="475" t="s">
        <v>583</v>
      </c>
      <c r="J13" s="475" t="s">
        <v>587</v>
      </c>
      <c r="K13" s="475" t="s">
        <v>588</v>
      </c>
      <c r="L13" s="475" t="s">
        <v>589</v>
      </c>
      <c r="M13" s="475" t="s">
        <v>590</v>
      </c>
      <c r="N13" s="475" t="s">
        <v>586</v>
      </c>
      <c r="O13" s="38" t="s">
        <v>577</v>
      </c>
      <c r="S13" s="2594"/>
      <c r="T13" s="2595"/>
      <c r="U13" s="2595"/>
      <c r="V13" s="35"/>
      <c r="X13" s="37">
        <v>37972</v>
      </c>
      <c r="Y13" s="55">
        <v>2.9716999999999998</v>
      </c>
    </row>
    <row r="14" spans="2:25" ht="33.75" customHeight="1">
      <c r="B14" s="544" t="s">
        <v>730</v>
      </c>
      <c r="C14" s="545">
        <v>99.64</v>
      </c>
      <c r="D14" s="545">
        <v>100.87</v>
      </c>
      <c r="E14" s="545">
        <f>+(D14+F14)/2</f>
        <v>105.23</v>
      </c>
      <c r="F14" s="545">
        <v>109.59</v>
      </c>
      <c r="G14" s="545">
        <v>122.26</v>
      </c>
      <c r="H14" s="545">
        <v>131.44999999999999</v>
      </c>
      <c r="I14" s="545">
        <v>143.78</v>
      </c>
      <c r="J14" s="545">
        <v>152.34</v>
      </c>
      <c r="K14" s="546">
        <v>164.5</v>
      </c>
      <c r="L14" s="545">
        <v>174.88</v>
      </c>
      <c r="M14" s="545">
        <v>180.98</v>
      </c>
      <c r="N14" s="545">
        <v>184.29</v>
      </c>
      <c r="O14" s="52">
        <v>185.84</v>
      </c>
      <c r="S14" s="2577" t="s">
        <v>731</v>
      </c>
      <c r="T14" s="2578"/>
      <c r="U14" s="2578"/>
      <c r="V14" s="35">
        <v>2.86</v>
      </c>
      <c r="X14" s="37">
        <v>37973</v>
      </c>
      <c r="Y14" s="55">
        <v>2.9658000000000002</v>
      </c>
    </row>
    <row r="15" spans="2:25" ht="16.5" thickBot="1">
      <c r="B15" s="373" t="s">
        <v>829</v>
      </c>
      <c r="C15" s="470">
        <f t="shared" ref="C15:O15" si="0">ROUND(100*C14/$C$14,2)</f>
        <v>100</v>
      </c>
      <c r="D15" s="470">
        <f t="shared" si="0"/>
        <v>101.23</v>
      </c>
      <c r="E15" s="470">
        <f t="shared" si="0"/>
        <v>105.61</v>
      </c>
      <c r="F15" s="470">
        <f t="shared" si="0"/>
        <v>109.99</v>
      </c>
      <c r="G15" s="470">
        <f t="shared" si="0"/>
        <v>122.7</v>
      </c>
      <c r="H15" s="470">
        <f t="shared" si="0"/>
        <v>131.91999999999999</v>
      </c>
      <c r="I15" s="470">
        <f t="shared" si="0"/>
        <v>144.30000000000001</v>
      </c>
      <c r="J15" s="470">
        <f t="shared" si="0"/>
        <v>152.88999999999999</v>
      </c>
      <c r="K15" s="470">
        <f t="shared" si="0"/>
        <v>165.09</v>
      </c>
      <c r="L15" s="470">
        <f t="shared" si="0"/>
        <v>175.51</v>
      </c>
      <c r="M15" s="470">
        <f t="shared" si="0"/>
        <v>181.63</v>
      </c>
      <c r="N15" s="470">
        <f t="shared" si="0"/>
        <v>184.96</v>
      </c>
      <c r="O15" s="33">
        <f t="shared" si="0"/>
        <v>186.51</v>
      </c>
      <c r="S15" s="2594"/>
      <c r="T15" s="2595"/>
      <c r="U15" s="2595"/>
      <c r="V15" s="35"/>
      <c r="X15" s="37">
        <v>37974</v>
      </c>
      <c r="Y15" s="55">
        <v>2.9710000000000001</v>
      </c>
    </row>
    <row r="16" spans="2:25" ht="25.5" customHeight="1" thickBot="1">
      <c r="B16" s="122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39"/>
      <c r="S16" s="2577" t="s">
        <v>717</v>
      </c>
      <c r="T16" s="2578"/>
      <c r="U16" s="2578"/>
      <c r="V16" s="35">
        <v>2.87</v>
      </c>
      <c r="X16" s="37">
        <v>37977</v>
      </c>
      <c r="Y16" s="55">
        <v>2.9660000000000002</v>
      </c>
    </row>
    <row r="17" spans="2:25">
      <c r="B17" s="377" t="s">
        <v>728</v>
      </c>
      <c r="C17" s="464">
        <v>1</v>
      </c>
      <c r="D17" s="378">
        <v>1.4</v>
      </c>
      <c r="E17" s="378">
        <v>1.8</v>
      </c>
      <c r="F17" s="378">
        <v>2.31</v>
      </c>
      <c r="G17" s="378">
        <v>2.95</v>
      </c>
      <c r="H17" s="378">
        <v>3.25</v>
      </c>
      <c r="I17" s="378">
        <v>3.54</v>
      </c>
      <c r="J17" s="378">
        <v>3.55</v>
      </c>
      <c r="K17" s="421">
        <v>3.6</v>
      </c>
      <c r="L17" s="378">
        <v>3.64</v>
      </c>
      <c r="M17" s="378">
        <v>3.64</v>
      </c>
      <c r="N17" s="378">
        <v>3.66</v>
      </c>
      <c r="O17" s="1111">
        <v>3.54</v>
      </c>
      <c r="S17" s="2594"/>
      <c r="T17" s="2595"/>
      <c r="U17" s="2595"/>
      <c r="V17" s="35"/>
      <c r="X17" s="37">
        <v>37978</v>
      </c>
      <c r="Y17" s="55">
        <v>2.9567000000000001</v>
      </c>
    </row>
    <row r="18" spans="2:25" ht="25.5" customHeight="1" thickBot="1">
      <c r="B18" s="373" t="s">
        <v>830</v>
      </c>
      <c r="C18" s="282">
        <f t="shared" ref="C18:O18" si="1">ROUND(100*C17/$C$17,2)</f>
        <v>100</v>
      </c>
      <c r="D18" s="282">
        <f t="shared" si="1"/>
        <v>140</v>
      </c>
      <c r="E18" s="282">
        <f t="shared" si="1"/>
        <v>180</v>
      </c>
      <c r="F18" s="282">
        <f t="shared" si="1"/>
        <v>231</v>
      </c>
      <c r="G18" s="282">
        <f t="shared" si="1"/>
        <v>295</v>
      </c>
      <c r="H18" s="282">
        <f t="shared" si="1"/>
        <v>325</v>
      </c>
      <c r="I18" s="282">
        <f t="shared" si="1"/>
        <v>354</v>
      </c>
      <c r="J18" s="282">
        <f t="shared" si="1"/>
        <v>355</v>
      </c>
      <c r="K18" s="282">
        <f t="shared" si="1"/>
        <v>360</v>
      </c>
      <c r="L18" s="282">
        <f t="shared" si="1"/>
        <v>364</v>
      </c>
      <c r="M18" s="282">
        <f t="shared" si="1"/>
        <v>364</v>
      </c>
      <c r="N18" s="282">
        <f t="shared" si="1"/>
        <v>366</v>
      </c>
      <c r="O18" s="12">
        <f t="shared" si="1"/>
        <v>354</v>
      </c>
      <c r="S18" s="2577" t="s">
        <v>718</v>
      </c>
      <c r="T18" s="2578"/>
      <c r="U18" s="2578"/>
      <c r="V18" s="35">
        <v>2.87</v>
      </c>
      <c r="X18" s="37">
        <v>37979</v>
      </c>
      <c r="Y18" s="55">
        <v>2.9605000000000001</v>
      </c>
    </row>
    <row r="19" spans="2:25" ht="15.75" customHeight="1">
      <c r="S19" s="2594"/>
      <c r="T19" s="2595"/>
      <c r="U19" s="2595"/>
      <c r="V19" s="35"/>
      <c r="X19" s="37">
        <v>37981</v>
      </c>
      <c r="Y19" s="55">
        <v>2.9535</v>
      </c>
    </row>
    <row r="20" spans="2:25" ht="25.5" customHeight="1" thickBot="1">
      <c r="B20" s="132" t="s">
        <v>732</v>
      </c>
      <c r="S20" s="2577" t="s">
        <v>719</v>
      </c>
      <c r="T20" s="2578"/>
      <c r="U20" s="2578"/>
      <c r="V20" s="35">
        <v>2.86</v>
      </c>
      <c r="X20" s="37">
        <v>37984</v>
      </c>
      <c r="Y20" s="55">
        <v>2.9502999999999999</v>
      </c>
    </row>
    <row r="21" spans="2:25" ht="16.5" thickBot="1">
      <c r="B21" s="536" t="s">
        <v>733</v>
      </c>
      <c r="C21" s="136">
        <f t="shared" ref="C21:O21" si="2">ROUND(($H$9*C15+$H$10*C18),2)</f>
        <v>100</v>
      </c>
      <c r="D21" s="136">
        <f t="shared" si="2"/>
        <v>116.74</v>
      </c>
      <c r="E21" s="136">
        <f t="shared" si="2"/>
        <v>135.37</v>
      </c>
      <c r="F21" s="136">
        <f t="shared" si="2"/>
        <v>158.38999999999999</v>
      </c>
      <c r="G21" s="136">
        <f t="shared" si="2"/>
        <v>191.62</v>
      </c>
      <c r="H21" s="136">
        <f t="shared" si="2"/>
        <v>209.15</v>
      </c>
      <c r="I21" s="136">
        <f t="shared" si="2"/>
        <v>228.18</v>
      </c>
      <c r="J21" s="136">
        <f t="shared" si="2"/>
        <v>233.73</v>
      </c>
      <c r="K21" s="136">
        <f t="shared" si="2"/>
        <v>243.05</v>
      </c>
      <c r="L21" s="136">
        <f t="shared" si="2"/>
        <v>250.91</v>
      </c>
      <c r="M21" s="136">
        <f t="shared" si="2"/>
        <v>254.58</v>
      </c>
      <c r="N21" s="136">
        <f t="shared" si="2"/>
        <v>257.38</v>
      </c>
      <c r="O21" s="18">
        <f t="shared" si="2"/>
        <v>253.51</v>
      </c>
      <c r="S21" s="2594"/>
      <c r="T21" s="2595"/>
      <c r="U21" s="2595"/>
      <c r="V21" s="35"/>
      <c r="X21" s="37">
        <v>37985</v>
      </c>
      <c r="Y21" s="55">
        <v>2.9344999999999999</v>
      </c>
    </row>
    <row r="22" spans="2:25" ht="25.5" customHeight="1" thickBot="1">
      <c r="B22" s="3"/>
      <c r="O22" s="1"/>
      <c r="P22" s="1"/>
      <c r="Q22" s="1"/>
      <c r="S22" s="2577" t="s">
        <v>720</v>
      </c>
      <c r="T22" s="2578"/>
      <c r="U22" s="2578"/>
      <c r="V22" s="35">
        <v>2.88</v>
      </c>
      <c r="X22" s="40">
        <v>37986</v>
      </c>
      <c r="Y22" s="56">
        <v>2.9329999999999998</v>
      </c>
    </row>
    <row r="23" spans="2:25" ht="16.5" thickBot="1">
      <c r="B23" s="2844" t="s">
        <v>673</v>
      </c>
      <c r="C23" s="2845">
        <v>2003</v>
      </c>
      <c r="D23" s="2846"/>
      <c r="E23" s="2846"/>
      <c r="F23" s="2846"/>
      <c r="G23" s="2846"/>
      <c r="H23" s="2846"/>
      <c r="I23" s="2846"/>
      <c r="J23" s="2846"/>
      <c r="K23" s="2846"/>
      <c r="L23" s="2846"/>
      <c r="M23" s="2847"/>
      <c r="N23" s="2848"/>
      <c r="S23" s="2594"/>
      <c r="T23" s="2595"/>
      <c r="U23" s="2595"/>
      <c r="V23" s="35"/>
      <c r="Y23" s="57">
        <f>AVERAGE(Y4:Y22)</f>
        <v>2.961231578947368</v>
      </c>
    </row>
    <row r="24" spans="2:25" ht="25.5" customHeight="1" thickBot="1">
      <c r="B24" s="2776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3" t="s">
        <v>588</v>
      </c>
      <c r="K24" s="414" t="s">
        <v>589</v>
      </c>
      <c r="L24" s="412" t="s">
        <v>590</v>
      </c>
      <c r="M24" s="420" t="s">
        <v>586</v>
      </c>
      <c r="N24" s="554" t="s">
        <v>577</v>
      </c>
      <c r="S24" s="2577" t="s">
        <v>721</v>
      </c>
      <c r="T24" s="2578"/>
      <c r="U24" s="2578"/>
      <c r="V24" s="35">
        <v>2.88</v>
      </c>
    </row>
    <row r="25" spans="2:25" ht="31.5">
      <c r="B25" s="544" t="s">
        <v>730</v>
      </c>
      <c r="C25" s="545">
        <v>187.22</v>
      </c>
      <c r="D25" s="545">
        <v>189.93</v>
      </c>
      <c r="E25" s="545">
        <v>187.65</v>
      </c>
      <c r="F25" s="545">
        <v>187.53</v>
      </c>
      <c r="G25" s="545">
        <v>187.56</v>
      </c>
      <c r="H25" s="545">
        <v>188.03</v>
      </c>
      <c r="I25" s="545">
        <v>189.27</v>
      </c>
      <c r="J25" s="546">
        <v>190.1</v>
      </c>
      <c r="K25" s="547">
        <v>190.43</v>
      </c>
      <c r="L25" s="545">
        <v>190.62</v>
      </c>
      <c r="M25" s="545">
        <v>191.64</v>
      </c>
      <c r="N25" s="548">
        <v>192.67</v>
      </c>
      <c r="S25" s="2594"/>
      <c r="T25" s="2595"/>
      <c r="U25" s="2595"/>
      <c r="V25" s="35"/>
    </row>
    <row r="26" spans="2:25" ht="25.5" customHeight="1" thickBot="1">
      <c r="B26" s="373" t="s">
        <v>829</v>
      </c>
      <c r="C26" s="470">
        <f t="shared" ref="C26:N26" si="3">ROUND(100*C25/$C$14,2)</f>
        <v>187.9</v>
      </c>
      <c r="D26" s="470">
        <f t="shared" si="3"/>
        <v>190.62</v>
      </c>
      <c r="E26" s="470">
        <f t="shared" si="3"/>
        <v>188.33</v>
      </c>
      <c r="F26" s="470">
        <f t="shared" si="3"/>
        <v>188.21</v>
      </c>
      <c r="G26" s="470">
        <f t="shared" si="3"/>
        <v>188.24</v>
      </c>
      <c r="H26" s="470">
        <f t="shared" si="3"/>
        <v>188.71</v>
      </c>
      <c r="I26" s="470">
        <f t="shared" si="3"/>
        <v>189.95</v>
      </c>
      <c r="J26" s="470">
        <f t="shared" si="3"/>
        <v>190.79</v>
      </c>
      <c r="K26" s="470">
        <f t="shared" si="3"/>
        <v>191.12</v>
      </c>
      <c r="L26" s="470">
        <f t="shared" si="3"/>
        <v>191.31</v>
      </c>
      <c r="M26" s="470">
        <f t="shared" si="3"/>
        <v>192.33</v>
      </c>
      <c r="N26" s="478">
        <f t="shared" si="3"/>
        <v>193.37</v>
      </c>
      <c r="S26" s="2577" t="s">
        <v>722</v>
      </c>
      <c r="T26" s="2578"/>
      <c r="U26" s="2578"/>
      <c r="V26" s="35">
        <v>2.87</v>
      </c>
    </row>
    <row r="27" spans="2:25" ht="16.5" thickBot="1">
      <c r="B27" s="122"/>
      <c r="C27" s="122"/>
      <c r="D27" s="122"/>
      <c r="E27" s="122"/>
      <c r="S27" s="2594"/>
      <c r="T27" s="2595"/>
      <c r="U27" s="2595"/>
      <c r="V27" s="35"/>
    </row>
    <row r="28" spans="2:25" ht="25.5" customHeight="1">
      <c r="B28" s="377" t="s">
        <v>728</v>
      </c>
      <c r="C28" s="464">
        <v>3.23</v>
      </c>
      <c r="D28" s="464">
        <v>3.18</v>
      </c>
      <c r="E28" s="451">
        <v>3.1</v>
      </c>
      <c r="F28" s="464">
        <v>2.95</v>
      </c>
      <c r="G28" s="464">
        <v>2.84</v>
      </c>
      <c r="H28" s="464">
        <v>2.8</v>
      </c>
      <c r="I28" s="464">
        <v>2.77</v>
      </c>
      <c r="J28" s="464">
        <v>2.895</v>
      </c>
      <c r="K28" s="549">
        <v>2.89</v>
      </c>
      <c r="L28" s="464">
        <v>2.84</v>
      </c>
      <c r="M28" s="378">
        <v>2.89</v>
      </c>
      <c r="N28" s="555">
        <v>2.9</v>
      </c>
      <c r="S28" s="2577" t="s">
        <v>723</v>
      </c>
      <c r="T28" s="2578"/>
      <c r="U28" s="2578"/>
      <c r="V28" s="35">
        <v>2.89</v>
      </c>
    </row>
    <row r="29" spans="2:25" ht="16.5" thickBot="1">
      <c r="B29" s="373" t="s">
        <v>830</v>
      </c>
      <c r="C29" s="282">
        <f t="shared" ref="C29:K29" si="4">ROUND(100*C28/$C$17,2)</f>
        <v>323</v>
      </c>
      <c r="D29" s="282">
        <f t="shared" si="4"/>
        <v>318</v>
      </c>
      <c r="E29" s="282">
        <f t="shared" si="4"/>
        <v>310</v>
      </c>
      <c r="F29" s="282">
        <f t="shared" si="4"/>
        <v>295</v>
      </c>
      <c r="G29" s="282">
        <f t="shared" si="4"/>
        <v>284</v>
      </c>
      <c r="H29" s="282">
        <f t="shared" si="4"/>
        <v>280</v>
      </c>
      <c r="I29" s="282">
        <f t="shared" si="4"/>
        <v>277</v>
      </c>
      <c r="J29" s="282">
        <f t="shared" si="4"/>
        <v>289.5</v>
      </c>
      <c r="K29" s="370">
        <f t="shared" si="4"/>
        <v>289</v>
      </c>
      <c r="L29" s="282">
        <v>284</v>
      </c>
      <c r="M29" s="380">
        <v>298</v>
      </c>
      <c r="N29" s="539">
        <v>296</v>
      </c>
      <c r="S29" s="2594"/>
      <c r="T29" s="2595"/>
      <c r="U29" s="2595"/>
      <c r="V29" s="35"/>
    </row>
    <row r="30" spans="2:25" ht="15.75" customHeight="1">
      <c r="C30" s="122"/>
      <c r="D30" s="122"/>
      <c r="S30" s="2577" t="s">
        <v>724</v>
      </c>
      <c r="T30" s="2578"/>
      <c r="U30" s="2578"/>
      <c r="V30" s="35">
        <v>2.89</v>
      </c>
    </row>
    <row r="31" spans="2:25" ht="16.5" thickBot="1">
      <c r="B31" s="132" t="s">
        <v>732</v>
      </c>
      <c r="C31" s="122"/>
      <c r="D31" s="122"/>
      <c r="S31" s="2594"/>
      <c r="T31" s="2595"/>
      <c r="U31" s="2595"/>
      <c r="V31" s="35"/>
    </row>
    <row r="32" spans="2:25" ht="25.5" customHeight="1" thickBot="1">
      <c r="B32" s="536" t="s">
        <v>733</v>
      </c>
      <c r="C32" s="136">
        <f t="shared" ref="C32:N32" si="5">ROUND(($H$9*C26+$H$10*C29),2)</f>
        <v>241.94</v>
      </c>
      <c r="D32" s="136">
        <f t="shared" si="5"/>
        <v>241.57</v>
      </c>
      <c r="E32" s="136">
        <f t="shared" si="5"/>
        <v>237</v>
      </c>
      <c r="F32" s="136">
        <f t="shared" si="5"/>
        <v>230.93</v>
      </c>
      <c r="G32" s="136">
        <f t="shared" si="5"/>
        <v>226.54</v>
      </c>
      <c r="H32" s="136">
        <f t="shared" si="5"/>
        <v>225.23</v>
      </c>
      <c r="I32" s="136">
        <f t="shared" si="5"/>
        <v>224.77</v>
      </c>
      <c r="J32" s="136">
        <f t="shared" si="5"/>
        <v>230.27</v>
      </c>
      <c r="K32" s="136">
        <f t="shared" si="5"/>
        <v>230.27</v>
      </c>
      <c r="L32" s="136">
        <f t="shared" si="5"/>
        <v>228.39</v>
      </c>
      <c r="M32" s="136">
        <f t="shared" si="5"/>
        <v>234.6</v>
      </c>
      <c r="N32" s="136">
        <f t="shared" si="5"/>
        <v>234.42</v>
      </c>
      <c r="S32" s="2577" t="s">
        <v>725</v>
      </c>
      <c r="T32" s="2578"/>
      <c r="U32" s="2578"/>
      <c r="V32" s="35">
        <v>2.9</v>
      </c>
    </row>
    <row r="33" spans="2:25">
      <c r="S33" s="2594"/>
      <c r="T33" s="2595"/>
      <c r="U33" s="2595"/>
      <c r="V33" s="35"/>
    </row>
    <row r="34" spans="2:25" ht="25.5" customHeight="1" thickBot="1">
      <c r="S34" s="2577" t="s">
        <v>726</v>
      </c>
      <c r="T34" s="2578"/>
      <c r="U34" s="2578"/>
      <c r="V34" s="35">
        <v>2.9</v>
      </c>
    </row>
    <row r="35" spans="2:25" ht="16.5" thickBot="1">
      <c r="B35" s="2844" t="s">
        <v>673</v>
      </c>
      <c r="C35" s="2849">
        <v>2004</v>
      </c>
      <c r="D35" s="2850"/>
      <c r="E35" s="2850"/>
      <c r="F35" s="2850"/>
      <c r="G35" s="2850"/>
      <c r="H35" s="2850"/>
      <c r="I35" s="2850"/>
      <c r="J35" s="2850"/>
      <c r="K35" s="2850"/>
      <c r="L35" s="2850"/>
      <c r="M35" s="2851"/>
      <c r="N35" s="2852"/>
      <c r="S35" s="2594"/>
      <c r="T35" s="2595"/>
      <c r="U35" s="2595"/>
      <c r="V35" s="35"/>
      <c r="Y35" s="57">
        <f>AVERAGE(Y15:Y34)</f>
        <v>2.954081286549707</v>
      </c>
    </row>
    <row r="36" spans="2:25" ht="25.5" customHeight="1" thickBot="1">
      <c r="B36" s="2776"/>
      <c r="C36" s="412" t="s">
        <v>578</v>
      </c>
      <c r="D36" s="412" t="s">
        <v>579</v>
      </c>
      <c r="E36" s="412" t="s">
        <v>580</v>
      </c>
      <c r="F36" s="412" t="s">
        <v>581</v>
      </c>
      <c r="G36" s="412" t="s">
        <v>582</v>
      </c>
      <c r="H36" s="412" t="s">
        <v>583</v>
      </c>
      <c r="I36" s="412" t="s">
        <v>587</v>
      </c>
      <c r="J36" s="413" t="s">
        <v>588</v>
      </c>
      <c r="K36" s="414" t="s">
        <v>589</v>
      </c>
      <c r="L36" s="412" t="s">
        <v>590</v>
      </c>
      <c r="M36" s="420" t="s">
        <v>586</v>
      </c>
      <c r="N36" s="554" t="s">
        <v>577</v>
      </c>
      <c r="S36" s="2577" t="s">
        <v>721</v>
      </c>
      <c r="T36" s="2578"/>
      <c r="U36" s="2578"/>
      <c r="V36" s="35">
        <v>2.88</v>
      </c>
    </row>
    <row r="37" spans="2:25" ht="33.75" customHeight="1">
      <c r="B37" s="544" t="s">
        <v>730</v>
      </c>
      <c r="C37" s="545">
        <v>194.72</v>
      </c>
      <c r="D37" s="545">
        <v>196.9</v>
      </c>
      <c r="E37" s="545">
        <v>197.82</v>
      </c>
      <c r="F37" s="545">
        <v>200.99</v>
      </c>
      <c r="G37" s="545">
        <v>204.59</v>
      </c>
      <c r="H37" s="545">
        <v>207.53</v>
      </c>
      <c r="I37" s="545">
        <v>207.8</v>
      </c>
      <c r="J37" s="546">
        <v>209.25</v>
      </c>
      <c r="K37" s="547">
        <v>210.92</v>
      </c>
      <c r="L37" s="545">
        <v>211.06</v>
      </c>
      <c r="M37" s="545">
        <v>211.19</v>
      </c>
      <c r="N37" s="548">
        <v>211.23</v>
      </c>
      <c r="S37" s="2594"/>
      <c r="T37" s="2595"/>
      <c r="U37" s="2595"/>
      <c r="V37" s="35"/>
    </row>
    <row r="38" spans="2:25" ht="25.5" customHeight="1" thickBot="1">
      <c r="B38" s="373" t="s">
        <v>829</v>
      </c>
      <c r="C38" s="470">
        <f t="shared" ref="C38:N38" si="6">ROUND(100*C37/$C$14,2)</f>
        <v>195.42</v>
      </c>
      <c r="D38" s="470">
        <f t="shared" si="6"/>
        <v>197.61</v>
      </c>
      <c r="E38" s="470">
        <f t="shared" si="6"/>
        <v>198.53</v>
      </c>
      <c r="F38" s="470">
        <f t="shared" si="6"/>
        <v>201.72</v>
      </c>
      <c r="G38" s="470">
        <f t="shared" si="6"/>
        <v>205.33</v>
      </c>
      <c r="H38" s="470">
        <f t="shared" si="6"/>
        <v>208.28</v>
      </c>
      <c r="I38" s="470">
        <f t="shared" si="6"/>
        <v>208.55</v>
      </c>
      <c r="J38" s="470">
        <f t="shared" si="6"/>
        <v>210.01</v>
      </c>
      <c r="K38" s="470">
        <f t="shared" si="6"/>
        <v>211.68</v>
      </c>
      <c r="L38" s="470">
        <f t="shared" si="6"/>
        <v>211.82</v>
      </c>
      <c r="M38" s="470">
        <f t="shared" si="6"/>
        <v>211.95</v>
      </c>
      <c r="N38" s="478">
        <f t="shared" si="6"/>
        <v>211.99</v>
      </c>
      <c r="S38" s="2577" t="s">
        <v>722</v>
      </c>
      <c r="T38" s="2578"/>
      <c r="U38" s="2578"/>
      <c r="V38" s="35">
        <v>2.87</v>
      </c>
    </row>
    <row r="39" spans="2:25" ht="16.5" thickBot="1">
      <c r="B39" s="122"/>
      <c r="C39" s="122"/>
      <c r="D39" s="122"/>
      <c r="E39" s="122"/>
      <c r="S39" s="2594"/>
      <c r="T39" s="2595"/>
      <c r="U39" s="2595"/>
      <c r="V39" s="35"/>
    </row>
    <row r="40" spans="2:25" ht="25.5" customHeight="1">
      <c r="B40" s="377" t="s">
        <v>728</v>
      </c>
      <c r="C40" s="464">
        <v>2.89</v>
      </c>
      <c r="D40" s="464">
        <v>2.93</v>
      </c>
      <c r="E40" s="451">
        <v>2.86</v>
      </c>
      <c r="F40" s="464">
        <v>3.03</v>
      </c>
      <c r="G40" s="464">
        <v>2.91</v>
      </c>
      <c r="H40" s="464">
        <v>2.952</v>
      </c>
      <c r="I40" s="464">
        <v>2.9529999999999998</v>
      </c>
      <c r="J40" s="464">
        <v>3.012</v>
      </c>
      <c r="K40" s="464">
        <v>2.97</v>
      </c>
      <c r="L40" s="464">
        <v>2.95</v>
      </c>
      <c r="M40" s="464">
        <v>2.95</v>
      </c>
      <c r="N40" s="556">
        <v>2.9449999999999998</v>
      </c>
      <c r="S40" s="2577" t="s">
        <v>723</v>
      </c>
      <c r="T40" s="2578"/>
      <c r="U40" s="2578"/>
      <c r="V40" s="35">
        <v>2.89</v>
      </c>
    </row>
    <row r="41" spans="2:25" ht="13.5" customHeight="1" thickBot="1">
      <c r="B41" s="373" t="s">
        <v>830</v>
      </c>
      <c r="C41" s="282">
        <f t="shared" ref="C41:N41" si="7">ROUND(100*C40/$C$17,2)</f>
        <v>289</v>
      </c>
      <c r="D41" s="282">
        <f t="shared" si="7"/>
        <v>293</v>
      </c>
      <c r="E41" s="282">
        <f t="shared" si="7"/>
        <v>286</v>
      </c>
      <c r="F41" s="282">
        <f t="shared" si="7"/>
        <v>303</v>
      </c>
      <c r="G41" s="282">
        <f t="shared" si="7"/>
        <v>291</v>
      </c>
      <c r="H41" s="282">
        <f t="shared" si="7"/>
        <v>295.2</v>
      </c>
      <c r="I41" s="282">
        <f t="shared" si="7"/>
        <v>295.3</v>
      </c>
      <c r="J41" s="282">
        <f t="shared" si="7"/>
        <v>301.2</v>
      </c>
      <c r="K41" s="370">
        <f t="shared" si="7"/>
        <v>297</v>
      </c>
      <c r="L41" s="370">
        <f t="shared" si="7"/>
        <v>295</v>
      </c>
      <c r="M41" s="370">
        <f t="shared" si="7"/>
        <v>295</v>
      </c>
      <c r="N41" s="320">
        <f t="shared" si="7"/>
        <v>294.5</v>
      </c>
      <c r="S41" s="2594"/>
      <c r="T41" s="2595"/>
      <c r="U41" s="2595"/>
      <c r="V41" s="35"/>
    </row>
    <row r="42" spans="2:25" ht="33.75" customHeight="1">
      <c r="C42" s="122"/>
      <c r="D42" s="122"/>
      <c r="S42" s="2577" t="s">
        <v>724</v>
      </c>
      <c r="T42" s="2578"/>
      <c r="U42" s="2578"/>
      <c r="V42" s="35">
        <v>2.89</v>
      </c>
    </row>
    <row r="43" spans="2:25" ht="35.25" customHeight="1" thickBot="1">
      <c r="B43" s="132" t="s">
        <v>732</v>
      </c>
      <c r="C43" s="122"/>
      <c r="D43" s="122"/>
      <c r="S43" s="2594"/>
      <c r="T43" s="2595"/>
      <c r="U43" s="2595"/>
      <c r="V43" s="35"/>
    </row>
    <row r="44" spans="2:25" ht="25.5" customHeight="1" thickBot="1">
      <c r="B44" s="536" t="s">
        <v>733</v>
      </c>
      <c r="C44" s="136">
        <f t="shared" ref="C44:N44" si="8">ROUND(($H$9*C38+$H$10*C41),2)</f>
        <v>232.85</v>
      </c>
      <c r="D44" s="136">
        <f t="shared" si="8"/>
        <v>235.77</v>
      </c>
      <c r="E44" s="136">
        <f t="shared" si="8"/>
        <v>233.52</v>
      </c>
      <c r="F44" s="136">
        <f t="shared" si="8"/>
        <v>242.23</v>
      </c>
      <c r="G44" s="136">
        <f t="shared" si="8"/>
        <v>239.6</v>
      </c>
      <c r="H44" s="136">
        <f t="shared" si="8"/>
        <v>243.05</v>
      </c>
      <c r="I44" s="136">
        <f t="shared" si="8"/>
        <v>243.25</v>
      </c>
      <c r="J44" s="136">
        <f t="shared" si="8"/>
        <v>246.49</v>
      </c>
      <c r="K44" s="136">
        <f t="shared" si="8"/>
        <v>245.81</v>
      </c>
      <c r="L44" s="136">
        <f t="shared" si="8"/>
        <v>245.09</v>
      </c>
      <c r="M44" s="136">
        <f t="shared" si="8"/>
        <v>245.17</v>
      </c>
      <c r="N44" s="136">
        <f t="shared" si="8"/>
        <v>244.99</v>
      </c>
      <c r="S44" s="2577" t="s">
        <v>725</v>
      </c>
      <c r="T44" s="2578"/>
      <c r="U44" s="2578"/>
      <c r="V44" s="35">
        <v>2.9</v>
      </c>
    </row>
    <row r="45" spans="2:25" ht="16.5" thickBot="1"/>
    <row r="46" spans="2:25" ht="16.5" thickBot="1">
      <c r="B46" s="2844" t="s">
        <v>673</v>
      </c>
      <c r="C46" s="2849">
        <v>2005</v>
      </c>
      <c r="D46" s="2850"/>
      <c r="E46" s="2850"/>
      <c r="F46" s="2850"/>
      <c r="G46" s="2850"/>
      <c r="H46" s="2850"/>
      <c r="I46" s="2850"/>
      <c r="J46" s="2850"/>
      <c r="K46" s="2850"/>
      <c r="L46" s="2850"/>
      <c r="M46" s="2851"/>
      <c r="N46" s="2852"/>
      <c r="S46" s="2594"/>
      <c r="T46" s="2595"/>
      <c r="U46" s="2595"/>
      <c r="V46" s="35"/>
      <c r="Y46" s="57">
        <f>AVERAGE(Y27:Y45)</f>
        <v>2.954081286549707</v>
      </c>
    </row>
    <row r="47" spans="2:25" ht="25.5" customHeight="1" thickBot="1">
      <c r="B47" s="2776"/>
      <c r="C47" s="412" t="s">
        <v>578</v>
      </c>
      <c r="D47" s="412" t="s">
        <v>579</v>
      </c>
      <c r="E47" s="412" t="s">
        <v>580</v>
      </c>
      <c r="F47" s="412" t="s">
        <v>581</v>
      </c>
      <c r="G47" s="412" t="s">
        <v>582</v>
      </c>
      <c r="H47" s="412" t="s">
        <v>583</v>
      </c>
      <c r="I47" s="412" t="s">
        <v>587</v>
      </c>
      <c r="J47" s="299" t="s">
        <v>588</v>
      </c>
      <c r="K47" s="419" t="s">
        <v>589</v>
      </c>
      <c r="L47" s="474" t="s">
        <v>590</v>
      </c>
      <c r="M47" s="420" t="s">
        <v>586</v>
      </c>
      <c r="N47" s="557" t="s">
        <v>577</v>
      </c>
      <c r="S47" s="2577" t="s">
        <v>721</v>
      </c>
      <c r="T47" s="2578"/>
      <c r="U47" s="2578"/>
      <c r="V47" s="35">
        <v>2.88</v>
      </c>
    </row>
    <row r="48" spans="2:25" ht="33.75" customHeight="1">
      <c r="B48" s="544" t="s">
        <v>730</v>
      </c>
      <c r="C48" s="545">
        <v>213.96</v>
      </c>
      <c r="D48" s="545">
        <v>214.64</v>
      </c>
      <c r="E48" s="545">
        <v>216.07</v>
      </c>
      <c r="F48" s="545">
        <v>216.05</v>
      </c>
      <c r="G48" s="545">
        <v>217.88</v>
      </c>
      <c r="H48" s="545">
        <v>218.57</v>
      </c>
      <c r="I48" s="545">
        <v>218.94</v>
      </c>
      <c r="J48" s="546">
        <v>220.52</v>
      </c>
      <c r="K48" s="547">
        <v>221.66</v>
      </c>
      <c r="L48" s="545">
        <v>223.89</v>
      </c>
      <c r="M48" s="545">
        <v>224.79</v>
      </c>
      <c r="N48" s="548">
        <v>225.58</v>
      </c>
      <c r="S48" s="2594"/>
      <c r="T48" s="2595"/>
      <c r="U48" s="2595"/>
      <c r="V48" s="35"/>
    </row>
    <row r="49" spans="2:25" ht="25.5" customHeight="1" thickBot="1">
      <c r="B49" s="373" t="s">
        <v>829</v>
      </c>
      <c r="C49" s="470">
        <f t="shared" ref="C49:N49" si="9">ROUND(100*C48/$C$14,2)</f>
        <v>214.73</v>
      </c>
      <c r="D49" s="470">
        <f t="shared" si="9"/>
        <v>215.42</v>
      </c>
      <c r="E49" s="470">
        <f t="shared" si="9"/>
        <v>216.85</v>
      </c>
      <c r="F49" s="470">
        <f t="shared" si="9"/>
        <v>216.83</v>
      </c>
      <c r="G49" s="470">
        <f t="shared" si="9"/>
        <v>218.67</v>
      </c>
      <c r="H49" s="470">
        <f t="shared" si="9"/>
        <v>219.36</v>
      </c>
      <c r="I49" s="470">
        <f t="shared" si="9"/>
        <v>219.73</v>
      </c>
      <c r="J49" s="470">
        <f t="shared" si="9"/>
        <v>221.32</v>
      </c>
      <c r="K49" s="470">
        <f t="shared" si="9"/>
        <v>222.46</v>
      </c>
      <c r="L49" s="470">
        <f t="shared" si="9"/>
        <v>224.7</v>
      </c>
      <c r="M49" s="470">
        <f t="shared" si="9"/>
        <v>225.6</v>
      </c>
      <c r="N49" s="478">
        <f t="shared" si="9"/>
        <v>226.4</v>
      </c>
      <c r="S49" s="2577" t="s">
        <v>722</v>
      </c>
      <c r="T49" s="2578"/>
      <c r="U49" s="2578"/>
      <c r="V49" s="35">
        <v>2.87</v>
      </c>
    </row>
    <row r="50" spans="2:25" ht="16.5" thickBot="1">
      <c r="B50" s="122"/>
      <c r="C50" s="122"/>
      <c r="D50" s="122"/>
      <c r="E50" s="122"/>
      <c r="S50" s="2594"/>
      <c r="T50" s="2595"/>
      <c r="U50" s="2595"/>
      <c r="V50" s="35"/>
    </row>
    <row r="51" spans="2:25" ht="27" customHeight="1">
      <c r="B51" s="377" t="s">
        <v>728</v>
      </c>
      <c r="C51" s="464">
        <v>2.93</v>
      </c>
      <c r="D51" s="464">
        <v>2.8929999999999998</v>
      </c>
      <c r="E51" s="451">
        <v>2.92</v>
      </c>
      <c r="F51" s="451">
        <v>2.9</v>
      </c>
      <c r="G51" s="464">
        <v>2.8839999999999999</v>
      </c>
      <c r="H51" s="464">
        <v>2.8740000000000001</v>
      </c>
      <c r="I51" s="464">
        <v>2.8639999999999999</v>
      </c>
      <c r="J51" s="464">
        <v>2.89</v>
      </c>
      <c r="K51" s="451">
        <v>2.911</v>
      </c>
      <c r="L51" s="451">
        <v>2.9689999999999999</v>
      </c>
      <c r="M51" s="451">
        <v>2.95</v>
      </c>
      <c r="N51" s="453">
        <v>3.03</v>
      </c>
      <c r="S51" s="2577" t="s">
        <v>723</v>
      </c>
      <c r="T51" s="2578"/>
      <c r="U51" s="2578"/>
      <c r="V51" s="35">
        <v>2.89</v>
      </c>
    </row>
    <row r="52" spans="2:25" ht="27" customHeight="1" thickBot="1">
      <c r="B52" s="373" t="s">
        <v>830</v>
      </c>
      <c r="C52" s="550">
        <f t="shared" ref="C52:N52" si="10">ROUND(100*C51/$C$17,2)</f>
        <v>293</v>
      </c>
      <c r="D52" s="282">
        <f t="shared" si="10"/>
        <v>289.3</v>
      </c>
      <c r="E52" s="550">
        <f t="shared" si="10"/>
        <v>292</v>
      </c>
      <c r="F52" s="550">
        <f t="shared" si="10"/>
        <v>290</v>
      </c>
      <c r="G52" s="282">
        <f t="shared" si="10"/>
        <v>288.39999999999998</v>
      </c>
      <c r="H52" s="282">
        <f t="shared" si="10"/>
        <v>287.39999999999998</v>
      </c>
      <c r="I52" s="282">
        <f t="shared" si="10"/>
        <v>286.39999999999998</v>
      </c>
      <c r="J52" s="550">
        <f t="shared" si="10"/>
        <v>289</v>
      </c>
      <c r="K52" s="370">
        <f t="shared" si="10"/>
        <v>291.10000000000002</v>
      </c>
      <c r="L52" s="370">
        <f t="shared" si="10"/>
        <v>296.89999999999998</v>
      </c>
      <c r="M52" s="551">
        <f t="shared" si="10"/>
        <v>295</v>
      </c>
      <c r="N52" s="552">
        <f t="shared" si="10"/>
        <v>303</v>
      </c>
      <c r="S52" s="2594"/>
      <c r="T52" s="2595"/>
      <c r="U52" s="2595"/>
      <c r="V52" s="35"/>
    </row>
    <row r="53" spans="2:25" ht="15.75" customHeight="1">
      <c r="C53" s="122"/>
      <c r="D53" s="122"/>
      <c r="S53" s="2577" t="s">
        <v>724</v>
      </c>
      <c r="T53" s="2578"/>
      <c r="U53" s="2578"/>
      <c r="V53" s="35">
        <v>2.89</v>
      </c>
    </row>
    <row r="54" spans="2:25" ht="16.5" thickBot="1">
      <c r="B54" s="132" t="s">
        <v>732</v>
      </c>
      <c r="C54" s="122"/>
      <c r="D54" s="122"/>
      <c r="S54" s="2594"/>
      <c r="T54" s="2595"/>
      <c r="U54" s="2595"/>
      <c r="V54" s="35"/>
    </row>
    <row r="55" spans="2:25" ht="25.5" customHeight="1" thickBot="1">
      <c r="B55" s="536" t="s">
        <v>733</v>
      </c>
      <c r="C55" s="136">
        <f t="shared" ref="C55:N55" si="11">ROUND(($H$9*C49+$H$10*C52),2)</f>
        <v>246.04</v>
      </c>
      <c r="D55" s="136">
        <f t="shared" si="11"/>
        <v>244.97</v>
      </c>
      <c r="E55" s="136">
        <f t="shared" si="11"/>
        <v>246.91</v>
      </c>
      <c r="F55" s="136">
        <f t="shared" si="11"/>
        <v>246.1</v>
      </c>
      <c r="G55" s="136">
        <f t="shared" si="11"/>
        <v>246.56</v>
      </c>
      <c r="H55" s="136">
        <f t="shared" si="11"/>
        <v>246.58</v>
      </c>
      <c r="I55" s="136">
        <f t="shared" si="11"/>
        <v>246.4</v>
      </c>
      <c r="J55" s="136">
        <f t="shared" si="11"/>
        <v>248.39</v>
      </c>
      <c r="K55" s="136">
        <f t="shared" si="11"/>
        <v>249.92</v>
      </c>
      <c r="L55" s="136">
        <f t="shared" si="11"/>
        <v>253.58</v>
      </c>
      <c r="M55" s="136">
        <f t="shared" si="11"/>
        <v>253.36</v>
      </c>
      <c r="N55" s="136">
        <f t="shared" si="11"/>
        <v>257.04000000000002</v>
      </c>
      <c r="S55" s="2577" t="s">
        <v>725</v>
      </c>
      <c r="T55" s="2578"/>
      <c r="U55" s="2578"/>
      <c r="V55" s="35">
        <v>2.9</v>
      </c>
    </row>
    <row r="56" spans="2:25" ht="30.75" customHeight="1" thickBot="1"/>
    <row r="57" spans="2:25" ht="16.5" thickBot="1">
      <c r="B57" s="2844" t="s">
        <v>673</v>
      </c>
      <c r="C57" s="2849">
        <v>2006</v>
      </c>
      <c r="D57" s="2850"/>
      <c r="E57" s="2850"/>
      <c r="F57" s="2850"/>
      <c r="G57" s="2850"/>
      <c r="H57" s="2850"/>
      <c r="I57" s="2850"/>
      <c r="J57" s="2850"/>
      <c r="K57" s="2850"/>
      <c r="L57" s="2850"/>
      <c r="M57" s="2851"/>
      <c r="N57" s="2852"/>
      <c r="S57" s="2594"/>
      <c r="T57" s="2595"/>
      <c r="U57" s="2595"/>
      <c r="V57" s="35"/>
      <c r="Y57" s="57">
        <f>AVERAGE(Y38:Y56)</f>
        <v>2.954081286549707</v>
      </c>
    </row>
    <row r="58" spans="2:25" ht="25.5" customHeight="1" thickBot="1">
      <c r="B58" s="2776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9" t="s">
        <v>588</v>
      </c>
      <c r="K58" s="419" t="s">
        <v>589</v>
      </c>
      <c r="L58" s="419" t="s">
        <v>590</v>
      </c>
      <c r="M58" s="419" t="s">
        <v>586</v>
      </c>
      <c r="N58" s="557" t="s">
        <v>577</v>
      </c>
      <c r="S58" s="2577" t="s">
        <v>721</v>
      </c>
      <c r="T58" s="2578"/>
      <c r="U58" s="2578"/>
      <c r="V58" s="35">
        <v>2.88</v>
      </c>
    </row>
    <row r="59" spans="2:25" ht="33.75" customHeight="1">
      <c r="B59" s="544" t="s">
        <v>730</v>
      </c>
      <c r="C59" s="545">
        <v>229.76</v>
      </c>
      <c r="D59" s="545">
        <v>225.12</v>
      </c>
      <c r="E59" s="545">
        <v>229.43</v>
      </c>
      <c r="F59" s="545">
        <v>235.14</v>
      </c>
      <c r="G59" s="545">
        <v>238.27</v>
      </c>
      <c r="H59" s="545">
        <v>239.99</v>
      </c>
      <c r="I59" s="545">
        <v>242.34</v>
      </c>
      <c r="J59" s="546">
        <v>243.6</v>
      </c>
      <c r="K59" s="546">
        <v>244.86</v>
      </c>
      <c r="L59" s="545">
        <v>245.04</v>
      </c>
      <c r="M59" s="545">
        <v>247.03</v>
      </c>
      <c r="N59" s="548">
        <v>284.69</v>
      </c>
      <c r="S59" s="2594"/>
      <c r="T59" s="2595"/>
      <c r="U59" s="2595"/>
      <c r="V59" s="35"/>
    </row>
    <row r="60" spans="2:25" ht="25.5" customHeight="1" thickBot="1">
      <c r="B60" s="373" t="s">
        <v>829</v>
      </c>
      <c r="C60" s="470">
        <f t="shared" ref="C60:N60" si="12">ROUND(100*C59/$C$14,2)</f>
        <v>230.59</v>
      </c>
      <c r="D60" s="470">
        <f t="shared" si="12"/>
        <v>225.93</v>
      </c>
      <c r="E60" s="470">
        <f t="shared" si="12"/>
        <v>230.26</v>
      </c>
      <c r="F60" s="470">
        <f t="shared" si="12"/>
        <v>235.99</v>
      </c>
      <c r="G60" s="470">
        <f t="shared" si="12"/>
        <v>239.13</v>
      </c>
      <c r="H60" s="470">
        <f t="shared" si="12"/>
        <v>240.86</v>
      </c>
      <c r="I60" s="470">
        <f t="shared" si="12"/>
        <v>243.22</v>
      </c>
      <c r="J60" s="470">
        <f t="shared" si="12"/>
        <v>244.48</v>
      </c>
      <c r="K60" s="470">
        <f t="shared" si="12"/>
        <v>245.74</v>
      </c>
      <c r="L60" s="470">
        <f t="shared" si="12"/>
        <v>245.93</v>
      </c>
      <c r="M60" s="470">
        <f t="shared" si="12"/>
        <v>247.92</v>
      </c>
      <c r="N60" s="478">
        <f t="shared" si="12"/>
        <v>285.72000000000003</v>
      </c>
      <c r="S60" s="2577" t="s">
        <v>722</v>
      </c>
      <c r="T60" s="2578"/>
      <c r="U60" s="2578"/>
      <c r="V60" s="35">
        <v>2.87</v>
      </c>
    </row>
    <row r="61" spans="2:25" ht="16.5" thickBot="1">
      <c r="B61" s="122"/>
      <c r="C61" s="122"/>
      <c r="D61" s="122"/>
      <c r="E61" s="122"/>
      <c r="S61" s="2594"/>
      <c r="T61" s="2595"/>
      <c r="U61" s="2595"/>
      <c r="V61" s="35"/>
    </row>
    <row r="62" spans="2:25" ht="27" customHeight="1">
      <c r="B62" s="377" t="s">
        <v>728</v>
      </c>
      <c r="C62" s="464">
        <v>3.0350000000000001</v>
      </c>
      <c r="D62" s="464">
        <v>3.0350000000000001</v>
      </c>
      <c r="E62" s="451">
        <v>3.073</v>
      </c>
      <c r="F62" s="451">
        <v>3.073</v>
      </c>
      <c r="G62" s="451">
        <v>3.0419999999999998</v>
      </c>
      <c r="H62" s="451">
        <v>3.0790000000000002</v>
      </c>
      <c r="I62" s="553">
        <v>3.0790000000000002</v>
      </c>
      <c r="J62" s="553">
        <v>3.09</v>
      </c>
      <c r="K62" s="553">
        <v>3.09</v>
      </c>
      <c r="L62" s="451">
        <v>3.09</v>
      </c>
      <c r="M62" s="464">
        <v>3.0910000000000002</v>
      </c>
      <c r="N62" s="556">
        <v>3.1019999999999999</v>
      </c>
      <c r="S62" s="2577" t="s">
        <v>723</v>
      </c>
      <c r="T62" s="2578"/>
      <c r="U62" s="2578"/>
      <c r="V62" s="35">
        <v>2.89</v>
      </c>
    </row>
    <row r="63" spans="2:25" ht="27" customHeight="1" thickBot="1">
      <c r="B63" s="373" t="s">
        <v>830</v>
      </c>
      <c r="C63" s="282">
        <f t="shared" ref="C63:N63" si="13">ROUND(100*C62/$C$17,2)</f>
        <v>303.5</v>
      </c>
      <c r="D63" s="282">
        <f t="shared" si="13"/>
        <v>303.5</v>
      </c>
      <c r="E63" s="282">
        <f t="shared" si="13"/>
        <v>307.3</v>
      </c>
      <c r="F63" s="282">
        <f t="shared" si="13"/>
        <v>307.3</v>
      </c>
      <c r="G63" s="282">
        <f t="shared" si="13"/>
        <v>304.2</v>
      </c>
      <c r="H63" s="282">
        <f t="shared" si="13"/>
        <v>307.89999999999998</v>
      </c>
      <c r="I63" s="282">
        <f t="shared" si="13"/>
        <v>307.89999999999998</v>
      </c>
      <c r="J63" s="550">
        <f t="shared" si="13"/>
        <v>309</v>
      </c>
      <c r="K63" s="550">
        <f t="shared" si="13"/>
        <v>309</v>
      </c>
      <c r="L63" s="550">
        <f t="shared" si="13"/>
        <v>309</v>
      </c>
      <c r="M63" s="282">
        <f t="shared" si="13"/>
        <v>309.10000000000002</v>
      </c>
      <c r="N63" s="320">
        <f t="shared" si="13"/>
        <v>310.2</v>
      </c>
      <c r="S63" s="2594"/>
      <c r="T63" s="2595"/>
      <c r="U63" s="2595"/>
      <c r="V63" s="35"/>
    </row>
    <row r="64" spans="2:25" ht="15.75" customHeight="1">
      <c r="C64" s="122"/>
      <c r="D64" s="122"/>
      <c r="S64" s="2577" t="s">
        <v>724</v>
      </c>
      <c r="T64" s="2578"/>
      <c r="U64" s="2578"/>
      <c r="V64" s="35">
        <v>2.89</v>
      </c>
    </row>
    <row r="65" spans="2:25" ht="16.5" thickBot="1">
      <c r="B65" s="132" t="s">
        <v>732</v>
      </c>
      <c r="C65" s="122"/>
      <c r="D65" s="122"/>
      <c r="S65" s="2594"/>
      <c r="T65" s="2595"/>
      <c r="U65" s="2595"/>
      <c r="V65" s="35"/>
    </row>
    <row r="66" spans="2:25" ht="25.5" customHeight="1" thickBot="1">
      <c r="B66" s="536" t="s">
        <v>733</v>
      </c>
      <c r="C66" s="136">
        <f t="shared" ref="C66:N66" si="14">ROUND(($H$9*C60+$H$10*C63),2)</f>
        <v>259.75</v>
      </c>
      <c r="D66" s="136">
        <f t="shared" si="14"/>
        <v>256.95999999999998</v>
      </c>
      <c r="E66" s="136">
        <f t="shared" si="14"/>
        <v>261.08</v>
      </c>
      <c r="F66" s="136">
        <f t="shared" si="14"/>
        <v>264.51</v>
      </c>
      <c r="G66" s="136">
        <f t="shared" si="14"/>
        <v>265.16000000000003</v>
      </c>
      <c r="H66" s="136">
        <f t="shared" si="14"/>
        <v>267.68</v>
      </c>
      <c r="I66" s="136">
        <f t="shared" si="14"/>
        <v>269.08999999999997</v>
      </c>
      <c r="J66" s="136">
        <f t="shared" si="14"/>
        <v>270.29000000000002</v>
      </c>
      <c r="K66" s="136">
        <f>ROUND(($H$9*K60+$H$10*K63),2)</f>
        <v>271.04000000000002</v>
      </c>
      <c r="L66" s="136">
        <f t="shared" si="14"/>
        <v>271.16000000000003</v>
      </c>
      <c r="M66" s="136">
        <f t="shared" si="14"/>
        <v>272.39</v>
      </c>
      <c r="N66" s="136">
        <f t="shared" si="14"/>
        <v>295.51</v>
      </c>
      <c r="S66" s="2577" t="s">
        <v>725</v>
      </c>
      <c r="T66" s="2578"/>
      <c r="U66" s="2578"/>
      <c r="V66" s="35">
        <v>2.9</v>
      </c>
    </row>
    <row r="67" spans="2:25" ht="20.25" customHeight="1" thickBot="1"/>
    <row r="68" spans="2:25" ht="17.100000000000001" customHeight="1">
      <c r="B68" s="2844" t="s">
        <v>673</v>
      </c>
      <c r="C68" s="2568">
        <v>2007</v>
      </c>
      <c r="D68" s="2569"/>
      <c r="E68" s="2569"/>
      <c r="F68" s="2569"/>
      <c r="G68" s="2569"/>
      <c r="H68" s="2569"/>
      <c r="I68" s="2569"/>
      <c r="J68" s="2569"/>
      <c r="K68" s="2569"/>
      <c r="L68" s="2569"/>
      <c r="M68" s="2570"/>
      <c r="N68" s="2571"/>
      <c r="S68" s="2594"/>
      <c r="T68" s="2595"/>
      <c r="U68" s="2595"/>
      <c r="V68" s="35"/>
      <c r="Y68" s="57">
        <f>AVERAGE(Y49:Y67)</f>
        <v>2.954081286549707</v>
      </c>
    </row>
    <row r="69" spans="2:25" ht="17.100000000000001" customHeight="1" thickBot="1">
      <c r="B69" s="2776"/>
      <c r="C69" s="412" t="s">
        <v>578</v>
      </c>
      <c r="D69" s="412" t="s">
        <v>579</v>
      </c>
      <c r="E69" s="412" t="s">
        <v>580</v>
      </c>
      <c r="F69" s="412" t="s">
        <v>581</v>
      </c>
      <c r="G69" s="412" t="s">
        <v>582</v>
      </c>
      <c r="H69" s="412" t="s">
        <v>583</v>
      </c>
      <c r="I69" s="412" t="s">
        <v>587</v>
      </c>
      <c r="J69" s="412" t="s">
        <v>588</v>
      </c>
      <c r="K69" s="412" t="s">
        <v>589</v>
      </c>
      <c r="L69" s="412" t="s">
        <v>590</v>
      </c>
      <c r="M69" s="412" t="s">
        <v>586</v>
      </c>
      <c r="N69" s="558" t="s">
        <v>577</v>
      </c>
      <c r="S69" s="2577" t="s">
        <v>721</v>
      </c>
      <c r="T69" s="2578"/>
      <c r="U69" s="2578"/>
      <c r="V69" s="35">
        <v>2.88</v>
      </c>
    </row>
    <row r="70" spans="2:25" ht="33.75" customHeight="1">
      <c r="B70" s="544" t="s">
        <v>730</v>
      </c>
      <c r="C70" s="545">
        <v>255.6</v>
      </c>
      <c r="D70" s="545">
        <v>259.12</v>
      </c>
      <c r="E70" s="545">
        <v>267.19</v>
      </c>
      <c r="F70" s="545">
        <v>268.04000000000002</v>
      </c>
      <c r="G70" s="545">
        <v>268.2</v>
      </c>
      <c r="H70" s="545">
        <v>276.33999999999997</v>
      </c>
      <c r="I70" s="545">
        <v>279.68</v>
      </c>
      <c r="J70" s="546">
        <v>283.58</v>
      </c>
      <c r="K70" s="546">
        <v>288.05</v>
      </c>
      <c r="L70" s="545">
        <v>290.08</v>
      </c>
      <c r="M70" s="545">
        <v>298.95999999999998</v>
      </c>
      <c r="N70" s="548">
        <v>303.85000000000002</v>
      </c>
      <c r="S70" s="2594"/>
      <c r="T70" s="2595"/>
      <c r="U70" s="2595"/>
      <c r="V70" s="35"/>
    </row>
    <row r="71" spans="2:25" ht="18.75" customHeight="1" thickBot="1">
      <c r="B71" s="373" t="s">
        <v>829</v>
      </c>
      <c r="C71" s="470">
        <f t="shared" ref="C71:N71" si="15">ROUND(100*C70/$C$14,2)</f>
        <v>256.52</v>
      </c>
      <c r="D71" s="470">
        <f t="shared" si="15"/>
        <v>260.06</v>
      </c>
      <c r="E71" s="470">
        <f t="shared" si="15"/>
        <v>268.16000000000003</v>
      </c>
      <c r="F71" s="470">
        <f t="shared" si="15"/>
        <v>269.01</v>
      </c>
      <c r="G71" s="470">
        <f t="shared" si="15"/>
        <v>269.17</v>
      </c>
      <c r="H71" s="470">
        <f t="shared" si="15"/>
        <v>277.33999999999997</v>
      </c>
      <c r="I71" s="470">
        <f t="shared" si="15"/>
        <v>280.69</v>
      </c>
      <c r="J71" s="470">
        <f t="shared" si="15"/>
        <v>284.60000000000002</v>
      </c>
      <c r="K71" s="470">
        <f t="shared" si="15"/>
        <v>289.08999999999997</v>
      </c>
      <c r="L71" s="470">
        <f t="shared" si="15"/>
        <v>291.13</v>
      </c>
      <c r="M71" s="470">
        <f t="shared" si="15"/>
        <v>300.04000000000002</v>
      </c>
      <c r="N71" s="478">
        <f t="shared" si="15"/>
        <v>304.95</v>
      </c>
      <c r="S71" s="2577" t="s">
        <v>722</v>
      </c>
      <c r="T71" s="2578"/>
      <c r="U71" s="2578"/>
      <c r="V71" s="35">
        <v>2.87</v>
      </c>
    </row>
    <row r="72" spans="2:25" ht="16.5" thickBot="1">
      <c r="B72" s="122"/>
      <c r="C72" s="122"/>
      <c r="D72" s="122"/>
      <c r="E72" s="122"/>
      <c r="S72" s="2594"/>
      <c r="T72" s="2595"/>
      <c r="U72" s="2595"/>
      <c r="V72" s="35"/>
    </row>
    <row r="73" spans="2:25" ht="18" customHeight="1">
      <c r="B73" s="377" t="s">
        <v>728</v>
      </c>
      <c r="C73" s="464">
        <v>3.1019999999999999</v>
      </c>
      <c r="D73" s="464">
        <v>3.1080000000000001</v>
      </c>
      <c r="E73" s="451">
        <v>3.1040000000000001</v>
      </c>
      <c r="F73" s="451">
        <v>3.1080000000000001</v>
      </c>
      <c r="G73" s="451">
        <v>3.1080000000000001</v>
      </c>
      <c r="H73" s="451">
        <v>3.12</v>
      </c>
      <c r="I73" s="553">
        <v>3.1339999999999999</v>
      </c>
      <c r="J73" s="553">
        <v>3.14</v>
      </c>
      <c r="K73" s="553">
        <v>3.15</v>
      </c>
      <c r="L73" s="451">
        <v>3.16</v>
      </c>
      <c r="M73" s="464">
        <v>3.16</v>
      </c>
      <c r="N73" s="556">
        <v>3.24</v>
      </c>
      <c r="S73" s="2577" t="s">
        <v>723</v>
      </c>
      <c r="T73" s="2578"/>
      <c r="U73" s="2578"/>
      <c r="V73" s="35">
        <v>2.89</v>
      </c>
    </row>
    <row r="74" spans="2:25" ht="18" customHeight="1" thickBot="1">
      <c r="B74" s="373" t="s">
        <v>830</v>
      </c>
      <c r="C74" s="282">
        <f t="shared" ref="C74:N74" si="16">ROUND(100*C73/$C$17,2)</f>
        <v>310.2</v>
      </c>
      <c r="D74" s="282">
        <f t="shared" si="16"/>
        <v>310.8</v>
      </c>
      <c r="E74" s="282">
        <f t="shared" si="16"/>
        <v>310.39999999999998</v>
      </c>
      <c r="F74" s="282">
        <f t="shared" si="16"/>
        <v>310.8</v>
      </c>
      <c r="G74" s="282">
        <f t="shared" si="16"/>
        <v>310.8</v>
      </c>
      <c r="H74" s="550">
        <f t="shared" si="16"/>
        <v>312</v>
      </c>
      <c r="I74" s="550">
        <f t="shared" si="16"/>
        <v>313.39999999999998</v>
      </c>
      <c r="J74" s="550">
        <f t="shared" si="16"/>
        <v>314</v>
      </c>
      <c r="K74" s="550">
        <f t="shared" si="16"/>
        <v>315</v>
      </c>
      <c r="L74" s="550">
        <f t="shared" si="16"/>
        <v>316</v>
      </c>
      <c r="M74" s="282">
        <f t="shared" si="16"/>
        <v>316</v>
      </c>
      <c r="N74" s="320">
        <f t="shared" si="16"/>
        <v>324</v>
      </c>
      <c r="S74" s="2594"/>
      <c r="T74" s="2595"/>
      <c r="U74" s="2595"/>
      <c r="V74" s="35"/>
    </row>
    <row r="75" spans="2:25" ht="8.25" customHeight="1">
      <c r="C75" s="122"/>
      <c r="D75" s="122"/>
      <c r="S75" s="2577" t="s">
        <v>724</v>
      </c>
      <c r="T75" s="2578"/>
      <c r="U75" s="2578"/>
      <c r="V75" s="35">
        <v>2.89</v>
      </c>
    </row>
    <row r="76" spans="2:25" ht="16.5" thickBot="1">
      <c r="B76" s="132" t="s">
        <v>732</v>
      </c>
      <c r="C76" s="122"/>
      <c r="D76" s="122"/>
      <c r="S76" s="2594"/>
      <c r="T76" s="2595"/>
      <c r="U76" s="2595"/>
      <c r="V76" s="35"/>
    </row>
    <row r="77" spans="2:25" ht="19.5" customHeight="1" thickBot="1">
      <c r="B77" s="536" t="s">
        <v>733</v>
      </c>
      <c r="C77" s="136">
        <f t="shared" ref="C77:J77" si="17">ROUND(($H$9*C71+$H$10*C74),2)</f>
        <v>277.99</v>
      </c>
      <c r="D77" s="136">
        <f t="shared" si="17"/>
        <v>280.36</v>
      </c>
      <c r="E77" s="136">
        <f t="shared" si="17"/>
        <v>285.06</v>
      </c>
      <c r="F77" s="136">
        <f t="shared" si="17"/>
        <v>285.73</v>
      </c>
      <c r="G77" s="136">
        <f t="shared" si="17"/>
        <v>285.82</v>
      </c>
      <c r="H77" s="136">
        <f t="shared" si="17"/>
        <v>291.2</v>
      </c>
      <c r="I77" s="136">
        <f t="shared" si="17"/>
        <v>293.77</v>
      </c>
      <c r="J77" s="136">
        <f t="shared" si="17"/>
        <v>296.36</v>
      </c>
      <c r="K77" s="136">
        <f>ROUND(($H$9*K71+$H$10*K74),2)</f>
        <v>299.45</v>
      </c>
      <c r="L77" s="136">
        <f>ROUND(($H$9*L71+$H$10*L74),2)</f>
        <v>301.08</v>
      </c>
      <c r="M77" s="136">
        <f>ROUND(($H$9*M71+$H$10*M74),2)</f>
        <v>306.42</v>
      </c>
      <c r="N77" s="136">
        <f>ROUND(($H$9*N71+$H$10*N74),2)</f>
        <v>312.57</v>
      </c>
      <c r="S77" s="2577" t="s">
        <v>725</v>
      </c>
      <c r="T77" s="2578"/>
      <c r="U77" s="2578"/>
      <c r="V77" s="35">
        <v>2.9</v>
      </c>
    </row>
    <row r="78" spans="2:25" ht="37.5" customHeight="1" thickBot="1"/>
    <row r="79" spans="2:25" ht="17.100000000000001" customHeight="1">
      <c r="B79" s="2844" t="s">
        <v>673</v>
      </c>
      <c r="C79" s="2568">
        <v>2008</v>
      </c>
      <c r="D79" s="2569"/>
      <c r="E79" s="2569"/>
      <c r="F79" s="2569"/>
      <c r="G79" s="2569"/>
      <c r="H79" s="2569"/>
      <c r="I79" s="2569"/>
      <c r="J79" s="2569"/>
      <c r="K79" s="2569"/>
      <c r="L79" s="2569"/>
      <c r="M79" s="2570"/>
      <c r="N79" s="2571"/>
    </row>
    <row r="80" spans="2:25" ht="17.100000000000001" customHeight="1" thickBot="1">
      <c r="B80" s="2776"/>
      <c r="C80" s="412" t="s">
        <v>578</v>
      </c>
      <c r="D80" s="412" t="s">
        <v>579</v>
      </c>
      <c r="E80" s="412" t="s">
        <v>580</v>
      </c>
      <c r="F80" s="412" t="s">
        <v>581</v>
      </c>
      <c r="G80" s="412" t="s">
        <v>582</v>
      </c>
      <c r="H80" s="412" t="s">
        <v>583</v>
      </c>
      <c r="I80" s="412" t="s">
        <v>587</v>
      </c>
      <c r="J80" s="412" t="s">
        <v>588</v>
      </c>
      <c r="K80" s="412" t="s">
        <v>589</v>
      </c>
      <c r="L80" s="412" t="s">
        <v>590</v>
      </c>
      <c r="M80" s="412" t="s">
        <v>586</v>
      </c>
      <c r="N80" s="558" t="s">
        <v>577</v>
      </c>
    </row>
    <row r="81" spans="2:15" ht="19.5" customHeight="1">
      <c r="B81" s="544" t="s">
        <v>730</v>
      </c>
      <c r="C81" s="545">
        <v>311.47000000000003</v>
      </c>
      <c r="D81" s="545">
        <v>313.79000000000002</v>
      </c>
      <c r="E81" s="545">
        <v>314.72000000000003</v>
      </c>
      <c r="F81" s="545">
        <v>324.95</v>
      </c>
      <c r="G81" s="545">
        <v>326.99</v>
      </c>
      <c r="H81" s="545">
        <v>328.57</v>
      </c>
      <c r="I81" s="545">
        <v>333.82</v>
      </c>
      <c r="J81" s="545">
        <v>334.09</v>
      </c>
      <c r="K81" s="546">
        <v>343.32</v>
      </c>
      <c r="L81" s="545">
        <v>346.12</v>
      </c>
      <c r="M81" s="545">
        <v>346.99</v>
      </c>
      <c r="N81" s="548">
        <v>347.8</v>
      </c>
    </row>
    <row r="82" spans="2:15" ht="20.25" customHeight="1" thickBot="1">
      <c r="B82" s="373" t="s">
        <v>829</v>
      </c>
      <c r="C82" s="470">
        <f t="shared" ref="C82:N82" si="18">ROUND(100*C81/$C$14,2)</f>
        <v>312.60000000000002</v>
      </c>
      <c r="D82" s="470">
        <f t="shared" si="18"/>
        <v>314.92</v>
      </c>
      <c r="E82" s="470">
        <f t="shared" si="18"/>
        <v>315.86</v>
      </c>
      <c r="F82" s="470">
        <f t="shared" si="18"/>
        <v>326.12</v>
      </c>
      <c r="G82" s="470">
        <f t="shared" si="18"/>
        <v>328.17</v>
      </c>
      <c r="H82" s="470">
        <f t="shared" si="18"/>
        <v>329.76</v>
      </c>
      <c r="I82" s="470">
        <f t="shared" si="18"/>
        <v>335.03</v>
      </c>
      <c r="J82" s="470">
        <f t="shared" si="18"/>
        <v>335.3</v>
      </c>
      <c r="K82" s="470">
        <f t="shared" si="18"/>
        <v>344.56</v>
      </c>
      <c r="L82" s="470">
        <f t="shared" si="18"/>
        <v>347.37</v>
      </c>
      <c r="M82" s="470">
        <f t="shared" si="18"/>
        <v>348.24</v>
      </c>
      <c r="N82" s="478">
        <f t="shared" si="18"/>
        <v>349.06</v>
      </c>
    </row>
    <row r="83" spans="2:15" ht="14.25" customHeight="1" thickBot="1">
      <c r="B83" s="122"/>
      <c r="C83" s="122"/>
      <c r="D83" s="122"/>
      <c r="E83" s="122"/>
      <c r="F83" s="122"/>
    </row>
    <row r="84" spans="2:15" ht="16.5" customHeight="1">
      <c r="B84" s="377" t="s">
        <v>728</v>
      </c>
      <c r="C84" s="464">
        <v>3.14</v>
      </c>
      <c r="D84" s="464">
        <v>3.15</v>
      </c>
      <c r="E84" s="464">
        <v>3.17</v>
      </c>
      <c r="F84" s="464">
        <v>3.15</v>
      </c>
      <c r="G84" s="451">
        <v>3.05</v>
      </c>
      <c r="H84" s="451">
        <v>3.04</v>
      </c>
      <c r="I84" s="553">
        <v>3.05</v>
      </c>
      <c r="J84" s="553">
        <v>3.15</v>
      </c>
      <c r="K84" s="553">
        <v>3.19</v>
      </c>
      <c r="L84" s="451">
        <v>3.34</v>
      </c>
      <c r="M84" s="464">
        <v>3.3450000000000002</v>
      </c>
      <c r="N84" s="464">
        <v>3.3450000000000002</v>
      </c>
    </row>
    <row r="85" spans="2:15" ht="20.25" customHeight="1" thickBot="1">
      <c r="B85" s="373" t="s">
        <v>830</v>
      </c>
      <c r="C85" s="282">
        <f t="shared" ref="C85:N85" si="19">ROUND(100*C84/$C$17,2)</f>
        <v>314</v>
      </c>
      <c r="D85" s="282">
        <f t="shared" si="19"/>
        <v>315</v>
      </c>
      <c r="E85" s="282">
        <f t="shared" si="19"/>
        <v>317</v>
      </c>
      <c r="F85" s="282">
        <f t="shared" si="19"/>
        <v>315</v>
      </c>
      <c r="G85" s="282">
        <f t="shared" si="19"/>
        <v>305</v>
      </c>
      <c r="H85" s="282">
        <f t="shared" si="19"/>
        <v>304</v>
      </c>
      <c r="I85" s="550">
        <f t="shared" si="19"/>
        <v>305</v>
      </c>
      <c r="J85" s="550">
        <f t="shared" si="19"/>
        <v>315</v>
      </c>
      <c r="K85" s="550">
        <f t="shared" si="19"/>
        <v>319</v>
      </c>
      <c r="L85" s="550">
        <f t="shared" si="19"/>
        <v>334</v>
      </c>
      <c r="M85" s="282">
        <f t="shared" si="19"/>
        <v>334.5</v>
      </c>
      <c r="N85" s="320">
        <f t="shared" si="19"/>
        <v>334.5</v>
      </c>
    </row>
    <row r="86" spans="2:15" ht="8.25" customHeight="1">
      <c r="C86" s="122"/>
      <c r="D86" s="122"/>
      <c r="E86" s="122"/>
      <c r="F86" s="122"/>
    </row>
    <row r="87" spans="2:15" ht="25.5" customHeight="1" thickBot="1">
      <c r="B87" s="132" t="s">
        <v>732</v>
      </c>
      <c r="C87" s="122"/>
      <c r="D87" s="122"/>
      <c r="E87" s="122"/>
      <c r="F87" s="122"/>
    </row>
    <row r="88" spans="2:15" ht="18.75" customHeight="1" thickBot="1">
      <c r="B88" s="536" t="s">
        <v>733</v>
      </c>
      <c r="C88" s="136">
        <f t="shared" ref="C88:I88" si="20">ROUND(($H$9*C82+$H$10*C85),2)</f>
        <v>313.16000000000003</v>
      </c>
      <c r="D88" s="136">
        <f t="shared" si="20"/>
        <v>314.95</v>
      </c>
      <c r="E88" s="136">
        <f>ROUND(($H$9*E82+$H$10*E85),2)</f>
        <v>316.32</v>
      </c>
      <c r="F88" s="136">
        <f>ROUND(($H$9*F82+$H$10*F85),2)</f>
        <v>321.67</v>
      </c>
      <c r="G88" s="136">
        <f t="shared" si="20"/>
        <v>318.89999999999998</v>
      </c>
      <c r="H88" s="136">
        <f>ROUND(($H$9*H82+$H$10*H85),2)</f>
        <v>319.45999999999998</v>
      </c>
      <c r="I88" s="136">
        <f t="shared" si="20"/>
        <v>323.02</v>
      </c>
      <c r="J88" s="136">
        <f>ROUND(($H$9*J82+$H$10*J85),2)</f>
        <v>327.18</v>
      </c>
      <c r="K88" s="136">
        <f>ROUND(($H$9*K82+$H$10*K85),2)</f>
        <v>334.34</v>
      </c>
      <c r="L88" s="136">
        <f>ROUND(($H$9*L82+$H$10*L85),2)</f>
        <v>342.02</v>
      </c>
      <c r="M88" s="136">
        <f>ROUND(($H$9*M82+$H$10*M85),2)</f>
        <v>342.74</v>
      </c>
      <c r="N88" s="136">
        <f>ROUND(($H$9*N82+$H$10*N85),2)</f>
        <v>343.24</v>
      </c>
    </row>
    <row r="89" spans="2:15" ht="32.25" customHeight="1" thickBot="1"/>
    <row r="90" spans="2:15" ht="17.100000000000001" customHeight="1">
      <c r="B90" s="2844" t="s">
        <v>673</v>
      </c>
      <c r="C90" s="2568">
        <v>2009</v>
      </c>
      <c r="D90" s="2569"/>
      <c r="E90" s="2569"/>
      <c r="F90" s="2569"/>
      <c r="G90" s="2569"/>
      <c r="H90" s="2569"/>
      <c r="I90" s="2569"/>
      <c r="J90" s="2569"/>
      <c r="K90" s="2569"/>
      <c r="L90" s="2569"/>
      <c r="M90" s="2570"/>
      <c r="N90" s="2571"/>
      <c r="O90" s="991"/>
    </row>
    <row r="91" spans="2:15" ht="17.100000000000001" customHeight="1" thickBot="1">
      <c r="B91" s="2776"/>
      <c r="C91" s="412" t="s">
        <v>578</v>
      </c>
      <c r="D91" s="412" t="s">
        <v>579</v>
      </c>
      <c r="E91" s="412" t="s">
        <v>580</v>
      </c>
      <c r="F91" s="412" t="s">
        <v>581</v>
      </c>
      <c r="G91" s="412" t="s">
        <v>582</v>
      </c>
      <c r="H91" s="412" t="s">
        <v>583</v>
      </c>
      <c r="I91" s="412" t="s">
        <v>587</v>
      </c>
      <c r="J91" s="412" t="s">
        <v>588</v>
      </c>
      <c r="K91" s="412" t="s">
        <v>589</v>
      </c>
      <c r="L91" s="412" t="s">
        <v>590</v>
      </c>
      <c r="M91" s="412" t="s">
        <v>586</v>
      </c>
      <c r="N91" s="558" t="s">
        <v>577</v>
      </c>
    </row>
    <row r="92" spans="2:15" ht="40.5" customHeight="1">
      <c r="B92" s="544" t="s">
        <v>730</v>
      </c>
      <c r="C92" s="545">
        <v>354.95</v>
      </c>
      <c r="D92" s="545">
        <v>356.56</v>
      </c>
      <c r="E92" s="545">
        <v>356.85</v>
      </c>
      <c r="F92" s="545">
        <v>359.45</v>
      </c>
      <c r="G92" s="545">
        <v>361.27</v>
      </c>
      <c r="H92" s="545">
        <v>363.34</v>
      </c>
      <c r="I92" s="545">
        <v>365.31</v>
      </c>
      <c r="J92" s="545">
        <v>372.58</v>
      </c>
      <c r="K92" s="545">
        <v>374.21</v>
      </c>
      <c r="L92" s="545">
        <v>376.48</v>
      </c>
      <c r="M92" s="545">
        <v>380.33</v>
      </c>
      <c r="N92" s="548">
        <v>381.24</v>
      </c>
    </row>
    <row r="93" spans="2:15" ht="20.25" customHeight="1" thickBot="1">
      <c r="B93" s="373" t="s">
        <v>829</v>
      </c>
      <c r="C93" s="470">
        <f t="shared" ref="C93:N93" si="21">ROUND(100*C92/$C$14,2)</f>
        <v>356.23</v>
      </c>
      <c r="D93" s="470">
        <f t="shared" si="21"/>
        <v>357.85</v>
      </c>
      <c r="E93" s="470">
        <f t="shared" si="21"/>
        <v>358.14</v>
      </c>
      <c r="F93" s="470">
        <f t="shared" si="21"/>
        <v>360.75</v>
      </c>
      <c r="G93" s="470">
        <f t="shared" si="21"/>
        <v>362.58</v>
      </c>
      <c r="H93" s="470">
        <f t="shared" si="21"/>
        <v>364.65</v>
      </c>
      <c r="I93" s="470">
        <f t="shared" si="21"/>
        <v>366.63</v>
      </c>
      <c r="J93" s="470">
        <f t="shared" si="21"/>
        <v>373.93</v>
      </c>
      <c r="K93" s="470">
        <f t="shared" si="21"/>
        <v>375.56</v>
      </c>
      <c r="L93" s="470">
        <f t="shared" si="21"/>
        <v>377.84</v>
      </c>
      <c r="M93" s="470">
        <f t="shared" si="21"/>
        <v>381.7</v>
      </c>
      <c r="N93" s="478">
        <f t="shared" si="21"/>
        <v>382.62</v>
      </c>
    </row>
    <row r="94" spans="2:15" ht="10.5" customHeight="1" thickBot="1">
      <c r="B94" s="122"/>
      <c r="C94" s="122"/>
      <c r="D94" s="122"/>
      <c r="E94" s="122"/>
      <c r="F94" s="122"/>
    </row>
    <row r="95" spans="2:15" ht="16.5" customHeight="1">
      <c r="B95" s="377" t="s">
        <v>728</v>
      </c>
      <c r="C95" s="464">
        <v>3.59</v>
      </c>
      <c r="D95" s="464">
        <v>3.66</v>
      </c>
      <c r="E95" s="464">
        <v>3.71</v>
      </c>
      <c r="F95" s="464">
        <v>3.73</v>
      </c>
      <c r="G95" s="451">
        <v>3.78</v>
      </c>
      <c r="H95" s="451">
        <v>3.7850000000000001</v>
      </c>
      <c r="I95" s="553">
        <v>3.85</v>
      </c>
      <c r="J95" s="553">
        <v>3.85</v>
      </c>
      <c r="K95" s="553">
        <v>3.85</v>
      </c>
      <c r="L95" s="553">
        <v>3.85</v>
      </c>
      <c r="M95" s="978">
        <v>3.84</v>
      </c>
      <c r="N95" s="468">
        <v>3.84</v>
      </c>
    </row>
    <row r="96" spans="2:15" ht="18.75" customHeight="1" thickBot="1">
      <c r="B96" s="373" t="s">
        <v>830</v>
      </c>
      <c r="C96" s="282">
        <f t="shared" ref="C96:N96" si="22">ROUND(100*C95/$C$17,2)</f>
        <v>359</v>
      </c>
      <c r="D96" s="282">
        <f t="shared" si="22"/>
        <v>366</v>
      </c>
      <c r="E96" s="282">
        <f t="shared" si="22"/>
        <v>371</v>
      </c>
      <c r="F96" s="282">
        <f t="shared" si="22"/>
        <v>373</v>
      </c>
      <c r="G96" s="282">
        <f t="shared" si="22"/>
        <v>378</v>
      </c>
      <c r="H96" s="282">
        <f t="shared" si="22"/>
        <v>378.5</v>
      </c>
      <c r="I96" s="470">
        <f t="shared" si="22"/>
        <v>385</v>
      </c>
      <c r="J96" s="470">
        <f t="shared" si="22"/>
        <v>385</v>
      </c>
      <c r="K96" s="470">
        <f t="shared" si="22"/>
        <v>385</v>
      </c>
      <c r="L96" s="470">
        <f t="shared" si="22"/>
        <v>385</v>
      </c>
      <c r="M96" s="477">
        <f t="shared" si="22"/>
        <v>384</v>
      </c>
      <c r="N96" s="478">
        <f t="shared" si="22"/>
        <v>384</v>
      </c>
    </row>
    <row r="97" spans="2:14" ht="6" customHeight="1">
      <c r="C97" s="122"/>
      <c r="D97" s="122"/>
      <c r="E97" s="122"/>
      <c r="F97" s="122"/>
    </row>
    <row r="98" spans="2:14" ht="19.5" customHeight="1" thickBot="1">
      <c r="B98" s="132" t="s">
        <v>732</v>
      </c>
      <c r="C98" s="122"/>
      <c r="D98" s="122"/>
      <c r="E98" s="122"/>
      <c r="F98" s="122"/>
    </row>
    <row r="99" spans="2:14" ht="20.25" customHeight="1" thickBot="1">
      <c r="B99" s="536" t="s">
        <v>733</v>
      </c>
      <c r="C99" s="136">
        <f t="shared" ref="C99:J99" si="23">ROUND(($H$9*C93+$H$10*C96),2)</f>
        <v>357.34</v>
      </c>
      <c r="D99" s="136">
        <f t="shared" si="23"/>
        <v>361.11</v>
      </c>
      <c r="E99" s="136">
        <f t="shared" si="23"/>
        <v>363.28</v>
      </c>
      <c r="F99" s="136">
        <f t="shared" si="23"/>
        <v>365.65</v>
      </c>
      <c r="G99" s="136">
        <f t="shared" si="23"/>
        <v>368.75</v>
      </c>
      <c r="H99" s="136">
        <f t="shared" si="23"/>
        <v>370.19</v>
      </c>
      <c r="I99" s="136">
        <f t="shared" si="23"/>
        <v>373.98</v>
      </c>
      <c r="J99" s="136">
        <f t="shared" si="23"/>
        <v>378.36</v>
      </c>
      <c r="K99" s="136">
        <f>ROUND(($H$9*K93+$H$10*K96),2)</f>
        <v>379.34</v>
      </c>
      <c r="L99" s="136">
        <f>ROUND(($H$9*L93+$H$10*L96),2)</f>
        <v>380.7</v>
      </c>
      <c r="M99" s="136">
        <f>ROUND(($H$9*M93+$H$10*M96),2)</f>
        <v>382.62</v>
      </c>
      <c r="N99" s="136">
        <f>ROUND(($H$9*N93+$H$10*N96),2)</f>
        <v>383.17</v>
      </c>
    </row>
    <row r="100" spans="2:14" ht="16.5" thickBot="1"/>
    <row r="101" spans="2:14" ht="17.100000000000001" customHeight="1">
      <c r="B101" s="2844" t="s">
        <v>673</v>
      </c>
      <c r="C101" s="2568">
        <v>2010</v>
      </c>
      <c r="D101" s="2569"/>
      <c r="E101" s="2569"/>
      <c r="F101" s="2569"/>
      <c r="G101" s="2569"/>
      <c r="H101" s="2569"/>
      <c r="I101" s="2569"/>
      <c r="J101" s="2569"/>
      <c r="K101" s="2569"/>
      <c r="L101" s="2569"/>
      <c r="M101" s="2570"/>
      <c r="N101" s="2571"/>
    </row>
    <row r="102" spans="2:14" ht="17.100000000000001" customHeight="1" thickBot="1">
      <c r="B102" s="2776"/>
      <c r="C102" s="412" t="s">
        <v>578</v>
      </c>
      <c r="D102" s="412" t="s">
        <v>579</v>
      </c>
      <c r="E102" s="412" t="s">
        <v>580</v>
      </c>
      <c r="F102" s="412" t="s">
        <v>581</v>
      </c>
      <c r="G102" s="412" t="s">
        <v>582</v>
      </c>
      <c r="H102" s="412" t="s">
        <v>583</v>
      </c>
      <c r="I102" s="412" t="s">
        <v>587</v>
      </c>
      <c r="J102" s="412" t="s">
        <v>588</v>
      </c>
      <c r="K102" s="412" t="s">
        <v>589</v>
      </c>
      <c r="L102" s="412" t="s">
        <v>590</v>
      </c>
      <c r="M102" s="412" t="s">
        <v>586</v>
      </c>
      <c r="N102" s="558" t="s">
        <v>577</v>
      </c>
    </row>
    <row r="103" spans="2:14" ht="37.5" customHeight="1">
      <c r="B103" s="544" t="s">
        <v>730</v>
      </c>
      <c r="C103" s="545">
        <v>386.74</v>
      </c>
      <c r="D103" s="545">
        <v>393.06</v>
      </c>
      <c r="E103" s="545">
        <v>395.45</v>
      </c>
      <c r="F103" s="545">
        <v>398.32</v>
      </c>
      <c r="G103" s="545">
        <v>408.64</v>
      </c>
      <c r="H103" s="545">
        <v>409.99</v>
      </c>
      <c r="I103" s="545">
        <v>412.39</v>
      </c>
      <c r="J103" s="545">
        <v>415.28</v>
      </c>
      <c r="K103" s="545">
        <v>421.63</v>
      </c>
      <c r="L103" s="545">
        <v>424.37</v>
      </c>
      <c r="M103" s="545">
        <v>436.36</v>
      </c>
      <c r="N103" s="548">
        <v>439.07</v>
      </c>
    </row>
    <row r="104" spans="2:14" ht="20.25" customHeight="1" thickBot="1">
      <c r="B104" s="373" t="s">
        <v>829</v>
      </c>
      <c r="C104" s="470">
        <f t="shared" ref="C104:N104" si="24">ROUND(100*C103/$C$14,2)</f>
        <v>388.14</v>
      </c>
      <c r="D104" s="470">
        <f t="shared" si="24"/>
        <v>394.48</v>
      </c>
      <c r="E104" s="470">
        <f t="shared" si="24"/>
        <v>396.88</v>
      </c>
      <c r="F104" s="470">
        <f t="shared" si="24"/>
        <v>399.76</v>
      </c>
      <c r="G104" s="470">
        <f t="shared" si="24"/>
        <v>410.12</v>
      </c>
      <c r="H104" s="470">
        <f t="shared" si="24"/>
        <v>411.47</v>
      </c>
      <c r="I104" s="470">
        <f t="shared" si="24"/>
        <v>413.88</v>
      </c>
      <c r="J104" s="470">
        <f t="shared" si="24"/>
        <v>416.78</v>
      </c>
      <c r="K104" s="470">
        <f t="shared" si="24"/>
        <v>423.15</v>
      </c>
      <c r="L104" s="470">
        <f t="shared" si="24"/>
        <v>425.9</v>
      </c>
      <c r="M104" s="470">
        <f t="shared" si="24"/>
        <v>437.94</v>
      </c>
      <c r="N104" s="478">
        <f t="shared" si="24"/>
        <v>440.66</v>
      </c>
    </row>
    <row r="105" spans="2:14" ht="10.5" customHeight="1" thickBot="1"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361"/>
    </row>
    <row r="106" spans="2:14" ht="18" customHeight="1">
      <c r="B106" s="377" t="s">
        <v>728</v>
      </c>
      <c r="C106" s="464">
        <v>3.88</v>
      </c>
      <c r="D106" s="464">
        <v>3.88</v>
      </c>
      <c r="E106" s="464">
        <v>3.89</v>
      </c>
      <c r="F106" s="464">
        <v>3.89</v>
      </c>
      <c r="G106" s="464">
        <v>3.89</v>
      </c>
      <c r="H106" s="451">
        <v>3.95</v>
      </c>
      <c r="I106" s="451">
        <v>3.95</v>
      </c>
      <c r="J106" s="553">
        <v>3.9780000000000002</v>
      </c>
      <c r="K106" s="553">
        <v>3.9780000000000002</v>
      </c>
      <c r="L106" s="553">
        <v>3.99</v>
      </c>
      <c r="M106" s="553">
        <v>4.01</v>
      </c>
      <c r="N106" s="970">
        <v>4.01</v>
      </c>
    </row>
    <row r="107" spans="2:14" ht="18.75" customHeight="1" thickBot="1">
      <c r="B107" s="373" t="s">
        <v>830</v>
      </c>
      <c r="C107" s="282">
        <f t="shared" ref="C107:N107" si="25">ROUND(100*C106/$C$17,2)</f>
        <v>388</v>
      </c>
      <c r="D107" s="282">
        <f t="shared" si="25"/>
        <v>388</v>
      </c>
      <c r="E107" s="282">
        <f t="shared" si="25"/>
        <v>389</v>
      </c>
      <c r="F107" s="282">
        <f t="shared" si="25"/>
        <v>389</v>
      </c>
      <c r="G107" s="282">
        <f t="shared" si="25"/>
        <v>389</v>
      </c>
      <c r="H107" s="282">
        <f t="shared" si="25"/>
        <v>395</v>
      </c>
      <c r="I107" s="282">
        <f t="shared" si="25"/>
        <v>395</v>
      </c>
      <c r="J107" s="282">
        <f t="shared" si="25"/>
        <v>397.8</v>
      </c>
      <c r="K107" s="470">
        <f t="shared" si="25"/>
        <v>397.8</v>
      </c>
      <c r="L107" s="470">
        <f t="shared" si="25"/>
        <v>399</v>
      </c>
      <c r="M107" s="470">
        <f t="shared" si="25"/>
        <v>401</v>
      </c>
      <c r="N107" s="478">
        <f t="shared" si="25"/>
        <v>401</v>
      </c>
    </row>
    <row r="108" spans="2:14" ht="6" customHeight="1"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361"/>
    </row>
    <row r="109" spans="2:14" ht="19.5" customHeight="1" thickBot="1">
      <c r="B109" s="132" t="s">
        <v>732</v>
      </c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361"/>
    </row>
    <row r="110" spans="2:14" ht="20.25" customHeight="1" thickBot="1">
      <c r="B110" s="536" t="s">
        <v>733</v>
      </c>
      <c r="C110" s="136">
        <f t="shared" ref="C110:J110" si="26">ROUND(($H$9*C104+$H$10*C107),2)</f>
        <v>388.08</v>
      </c>
      <c r="D110" s="136">
        <f>ROUND(($H$9*D104+$H$10*D107),2)</f>
        <v>391.89</v>
      </c>
      <c r="E110" s="136">
        <f t="shared" si="26"/>
        <v>393.73</v>
      </c>
      <c r="F110" s="136">
        <f t="shared" si="26"/>
        <v>395.46</v>
      </c>
      <c r="G110" s="136">
        <f t="shared" si="26"/>
        <v>401.67</v>
      </c>
      <c r="H110" s="136">
        <f t="shared" si="26"/>
        <v>404.88</v>
      </c>
      <c r="I110" s="136">
        <f>ROUND(($H$9*I104+$H$10*I107),2)</f>
        <v>406.33</v>
      </c>
      <c r="J110" s="136">
        <f t="shared" si="26"/>
        <v>409.19</v>
      </c>
      <c r="K110" s="136">
        <f>ROUND(($H$9*K104+$H$10*K107),2)</f>
        <v>413.01</v>
      </c>
      <c r="L110" s="136">
        <f>ROUND(($H$9*L104+$H$10*L107),2)</f>
        <v>415.14</v>
      </c>
      <c r="M110" s="136">
        <f>ROUND(($H$9*M104+$H$10*M107),2)</f>
        <v>423.16</v>
      </c>
      <c r="N110" s="136">
        <f>ROUND(($H$9*N104+$H$10*N107),2)</f>
        <v>424.8</v>
      </c>
    </row>
    <row r="111" spans="2:14" ht="5.25" customHeight="1" thickBot="1"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375"/>
    </row>
    <row r="112" spans="2:14" ht="16.5" customHeight="1">
      <c r="B112" s="2844" t="s">
        <v>673</v>
      </c>
      <c r="C112" s="2568">
        <v>2011</v>
      </c>
      <c r="D112" s="2569"/>
      <c r="E112" s="2569"/>
      <c r="F112" s="2569"/>
      <c r="G112" s="2569"/>
      <c r="H112" s="2569"/>
      <c r="I112" s="2569"/>
      <c r="J112" s="2569"/>
      <c r="K112" s="2569"/>
      <c r="L112" s="2569"/>
      <c r="M112" s="2570"/>
      <c r="N112" s="2571"/>
    </row>
    <row r="113" spans="2:14" ht="15" customHeight="1" thickBot="1">
      <c r="B113" s="2776"/>
      <c r="C113" s="412" t="s">
        <v>578</v>
      </c>
      <c r="D113" s="412" t="s">
        <v>579</v>
      </c>
      <c r="E113" s="412" t="s">
        <v>580</v>
      </c>
      <c r="F113" s="412" t="s">
        <v>581</v>
      </c>
      <c r="G113" s="412" t="s">
        <v>582</v>
      </c>
      <c r="H113" s="412" t="s">
        <v>583</v>
      </c>
      <c r="I113" s="412" t="s">
        <v>587</v>
      </c>
      <c r="J113" s="412" t="s">
        <v>588</v>
      </c>
      <c r="K113" s="412" t="s">
        <v>589</v>
      </c>
      <c r="L113" s="412" t="s">
        <v>590</v>
      </c>
      <c r="M113" s="412" t="s">
        <v>586</v>
      </c>
      <c r="N113" s="558" t="s">
        <v>577</v>
      </c>
    </row>
    <row r="114" spans="2:14" ht="30.75" customHeight="1">
      <c r="B114" s="544" t="s">
        <v>730</v>
      </c>
      <c r="C114" s="545">
        <f>'TABLA FINAL  NO'!DP217</f>
        <v>440.85</v>
      </c>
      <c r="D114" s="545">
        <f>'TABLA FINAL  NO'!DQ217</f>
        <v>451.24</v>
      </c>
      <c r="E114" s="545">
        <f>'TABLA FINAL  NO'!DR217</f>
        <v>452.8</v>
      </c>
      <c r="F114" s="545">
        <f>'TABLA FINAL  NO'!DS217</f>
        <v>457.43</v>
      </c>
      <c r="G114" s="545">
        <f>'TABLA FINAL  NO'!DT217</f>
        <v>466.01</v>
      </c>
      <c r="H114" s="545">
        <f>'TABLA FINAL  NO'!DU217</f>
        <v>476.95</v>
      </c>
      <c r="I114" s="545">
        <f>'TABLA FINAL  NO'!DV217</f>
        <v>480.35</v>
      </c>
      <c r="J114" s="545">
        <f>'TABLA FINAL  NO'!DW217</f>
        <v>485.7</v>
      </c>
      <c r="K114" s="545">
        <f>'TABLA FINAL  NO'!DX217</f>
        <v>489.46</v>
      </c>
      <c r="L114" s="545">
        <f>'TABLA FINAL  NO'!DY217</f>
        <v>493.46</v>
      </c>
      <c r="M114" s="545">
        <f>'TABLA FINAL  NO'!DZ217</f>
        <v>502.43</v>
      </c>
      <c r="N114" s="548">
        <f>'TABLA FINAL  NO'!EA217</f>
        <v>514.72</v>
      </c>
    </row>
    <row r="115" spans="2:14" ht="18" customHeight="1">
      <c r="B115" s="566" t="s">
        <v>829</v>
      </c>
      <c r="C115" s="323">
        <f t="shared" ref="C115:N115" si="27">ROUND(100*C114/$C$14,2)</f>
        <v>442.44</v>
      </c>
      <c r="D115" s="323">
        <f t="shared" si="27"/>
        <v>452.87</v>
      </c>
      <c r="E115" s="323">
        <f t="shared" si="27"/>
        <v>454.44</v>
      </c>
      <c r="F115" s="323">
        <f t="shared" si="27"/>
        <v>459.08</v>
      </c>
      <c r="G115" s="323">
        <f t="shared" si="27"/>
        <v>467.69</v>
      </c>
      <c r="H115" s="323">
        <f t="shared" si="27"/>
        <v>478.67</v>
      </c>
      <c r="I115" s="323">
        <f t="shared" si="27"/>
        <v>482.09</v>
      </c>
      <c r="J115" s="323">
        <f t="shared" si="27"/>
        <v>487.45</v>
      </c>
      <c r="K115" s="323">
        <f t="shared" si="27"/>
        <v>491.23</v>
      </c>
      <c r="L115" s="323">
        <f t="shared" si="27"/>
        <v>495.24</v>
      </c>
      <c r="M115" s="323">
        <f t="shared" si="27"/>
        <v>504.25</v>
      </c>
      <c r="N115" s="1012">
        <f t="shared" si="27"/>
        <v>516.58000000000004</v>
      </c>
    </row>
    <row r="116" spans="2:14" ht="18" customHeight="1">
      <c r="B116" s="372" t="s">
        <v>728</v>
      </c>
      <c r="C116" s="283">
        <v>3.9950000000000001</v>
      </c>
      <c r="D116" s="283">
        <v>3.9950000000000001</v>
      </c>
      <c r="E116" s="283">
        <v>3.9950000000000001</v>
      </c>
      <c r="F116" s="283">
        <v>3.9950000000000001</v>
      </c>
      <c r="G116" s="394">
        <v>3.9950000000000001</v>
      </c>
      <c r="H116" s="283">
        <v>4.12</v>
      </c>
      <c r="I116" s="283">
        <v>4.12</v>
      </c>
      <c r="J116" s="283">
        <v>4.12</v>
      </c>
      <c r="K116" s="283">
        <v>4.12</v>
      </c>
      <c r="L116" s="283">
        <v>4.12</v>
      </c>
      <c r="M116" s="283">
        <v>4.12</v>
      </c>
      <c r="N116" s="329">
        <v>4.12</v>
      </c>
    </row>
    <row r="117" spans="2:14" ht="18" customHeight="1">
      <c r="B117" s="372" t="s">
        <v>830</v>
      </c>
      <c r="C117" s="283">
        <f t="shared" ref="C117:N117" si="28">ROUND(100*C116/$C$17,2)</f>
        <v>399.5</v>
      </c>
      <c r="D117" s="283">
        <f t="shared" si="28"/>
        <v>399.5</v>
      </c>
      <c r="E117" s="283">
        <f t="shared" si="28"/>
        <v>399.5</v>
      </c>
      <c r="F117" s="283">
        <f t="shared" si="28"/>
        <v>399.5</v>
      </c>
      <c r="G117" s="283">
        <f t="shared" si="28"/>
        <v>399.5</v>
      </c>
      <c r="H117" s="283">
        <f t="shared" si="28"/>
        <v>412</v>
      </c>
      <c r="I117" s="283">
        <f t="shared" si="28"/>
        <v>412</v>
      </c>
      <c r="J117" s="283">
        <f t="shared" si="28"/>
        <v>412</v>
      </c>
      <c r="K117" s="283">
        <f t="shared" si="28"/>
        <v>412</v>
      </c>
      <c r="L117" s="283">
        <f t="shared" si="28"/>
        <v>412</v>
      </c>
      <c r="M117" s="283">
        <f t="shared" si="28"/>
        <v>412</v>
      </c>
      <c r="N117" s="329">
        <f t="shared" si="28"/>
        <v>412</v>
      </c>
    </row>
    <row r="118" spans="2:14" ht="8.25" customHeight="1">
      <c r="B118" s="1241"/>
      <c r="C118" s="410"/>
      <c r="D118" s="1155"/>
      <c r="E118" s="1155"/>
      <c r="F118" s="1155"/>
      <c r="G118" s="1155"/>
      <c r="H118" s="1155"/>
      <c r="I118" s="1155"/>
      <c r="J118" s="1155"/>
      <c r="K118" s="1155"/>
      <c r="L118" s="1155"/>
      <c r="M118" s="1155"/>
      <c r="N118" s="1156"/>
    </row>
    <row r="119" spans="2:14" ht="11.25" customHeight="1" thickBot="1">
      <c r="B119" s="472" t="s">
        <v>732</v>
      </c>
      <c r="C119" s="1242"/>
      <c r="D119" s="969"/>
      <c r="E119" s="969"/>
      <c r="F119" s="969"/>
      <c r="G119" s="969"/>
      <c r="H119" s="969"/>
      <c r="I119" s="969"/>
      <c r="J119" s="969"/>
      <c r="K119" s="969"/>
      <c r="L119" s="969"/>
      <c r="M119" s="969"/>
      <c r="N119" s="1034"/>
    </row>
    <row r="120" spans="2:14" ht="15.75" customHeight="1" thickBot="1">
      <c r="B120" s="1243" t="s">
        <v>733</v>
      </c>
      <c r="C120" s="337">
        <f t="shared" ref="C120:N120" si="29">ROUND(($H$9*C115+$H$10*C117),2)</f>
        <v>425.26</v>
      </c>
      <c r="D120" s="337">
        <f t="shared" si="29"/>
        <v>431.52</v>
      </c>
      <c r="E120" s="337">
        <f t="shared" si="29"/>
        <v>432.46</v>
      </c>
      <c r="F120" s="337">
        <f t="shared" si="29"/>
        <v>435.25</v>
      </c>
      <c r="G120" s="337">
        <f t="shared" si="29"/>
        <v>440.41</v>
      </c>
      <c r="H120" s="337">
        <f t="shared" si="29"/>
        <v>452</v>
      </c>
      <c r="I120" s="337">
        <f t="shared" si="29"/>
        <v>454.05</v>
      </c>
      <c r="J120" s="337">
        <f t="shared" si="29"/>
        <v>457.27</v>
      </c>
      <c r="K120" s="337">
        <f t="shared" si="29"/>
        <v>459.54</v>
      </c>
      <c r="L120" s="337">
        <f t="shared" si="29"/>
        <v>461.94</v>
      </c>
      <c r="M120" s="337">
        <f t="shared" si="29"/>
        <v>467.35</v>
      </c>
      <c r="N120" s="338">
        <f t="shared" si="29"/>
        <v>474.75</v>
      </c>
    </row>
    <row r="121" spans="2:14" ht="9.75" customHeight="1" thickBot="1"/>
    <row r="122" spans="2:14" ht="15" customHeight="1">
      <c r="B122" s="2844" t="s">
        <v>673</v>
      </c>
      <c r="C122" s="2568">
        <v>2012</v>
      </c>
      <c r="D122" s="2569"/>
      <c r="E122" s="2569"/>
      <c r="F122" s="2569"/>
      <c r="G122" s="2569"/>
      <c r="H122" s="2569"/>
      <c r="I122" s="2569"/>
      <c r="J122" s="2569"/>
      <c r="K122" s="2569"/>
      <c r="L122" s="2569"/>
      <c r="M122" s="2570"/>
      <c r="N122" s="2571"/>
    </row>
    <row r="123" spans="2:14" ht="18.75" customHeight="1" thickBot="1">
      <c r="B123" s="2776"/>
      <c r="C123" s="412" t="s">
        <v>578</v>
      </c>
      <c r="D123" s="412" t="s">
        <v>579</v>
      </c>
      <c r="E123" s="412" t="s">
        <v>580</v>
      </c>
      <c r="F123" s="412" t="s">
        <v>581</v>
      </c>
      <c r="G123" s="412" t="s">
        <v>582</v>
      </c>
      <c r="H123" s="412" t="s">
        <v>583</v>
      </c>
      <c r="I123" s="412" t="s">
        <v>587</v>
      </c>
      <c r="J123" s="412" t="s">
        <v>588</v>
      </c>
      <c r="K123" s="412" t="s">
        <v>589</v>
      </c>
      <c r="L123" s="412" t="s">
        <v>590</v>
      </c>
      <c r="M123" s="412" t="s">
        <v>586</v>
      </c>
      <c r="N123" s="558" t="s">
        <v>577</v>
      </c>
    </row>
    <row r="124" spans="2:14" ht="30.75" customHeight="1">
      <c r="B124" s="544" t="s">
        <v>730</v>
      </c>
      <c r="C124" s="545">
        <f>'TABLA FINAL  NO'!EB217</f>
        <v>519.64</v>
      </c>
      <c r="D124" s="545">
        <f>'TABLA FINAL  NO'!EC217</f>
        <v>528.32000000000005</v>
      </c>
      <c r="E124" s="545">
        <f>'TABLA FINAL  NO'!ED217</f>
        <v>530.80999999999995</v>
      </c>
      <c r="F124" s="545">
        <f>'TABLA FINAL  NO'!EE217</f>
        <v>541.79999999999995</v>
      </c>
      <c r="G124" s="545">
        <f>'TABLA FINAL  NO'!EF217</f>
        <v>549.11</v>
      </c>
      <c r="H124" s="545">
        <f>'TABLA FINAL  NO'!EG217</f>
        <v>558.42999999999995</v>
      </c>
      <c r="I124" s="545">
        <f>'TABLA FINAL  NO'!EH217</f>
        <v>613.26</v>
      </c>
      <c r="J124" s="545">
        <f>'TABLA FINAL  NO'!EI217</f>
        <v>577.75</v>
      </c>
      <c r="K124" s="545">
        <f>'TABLA FINAL  NO'!EJ217</f>
        <v>587.82000000000005</v>
      </c>
      <c r="L124" s="545">
        <f>'TABLA FINAL  NO'!EK217</f>
        <v>598.52</v>
      </c>
      <c r="M124" s="545">
        <f>'TABLA FINAL  NO'!EL217</f>
        <v>610.46</v>
      </c>
      <c r="N124" s="548">
        <f>'TABLA FINAL  NO'!EM217</f>
        <v>613.08000000000004</v>
      </c>
    </row>
    <row r="125" spans="2:14" ht="16.5" customHeight="1">
      <c r="B125" s="566" t="s">
        <v>829</v>
      </c>
      <c r="C125" s="323">
        <f t="shared" ref="C125:N125" si="30">ROUND(100*C124/$C$14,2)</f>
        <v>521.52</v>
      </c>
      <c r="D125" s="323">
        <f t="shared" si="30"/>
        <v>530.23</v>
      </c>
      <c r="E125" s="323">
        <f t="shared" si="30"/>
        <v>532.73</v>
      </c>
      <c r="F125" s="323">
        <f t="shared" si="30"/>
        <v>543.76</v>
      </c>
      <c r="G125" s="323">
        <f t="shared" si="30"/>
        <v>551.09</v>
      </c>
      <c r="H125" s="323">
        <f t="shared" si="30"/>
        <v>560.45000000000005</v>
      </c>
      <c r="I125" s="323">
        <f t="shared" si="30"/>
        <v>615.48</v>
      </c>
      <c r="J125" s="323">
        <f t="shared" si="30"/>
        <v>579.84</v>
      </c>
      <c r="K125" s="323">
        <f t="shared" si="30"/>
        <v>589.94000000000005</v>
      </c>
      <c r="L125" s="323">
        <f t="shared" si="30"/>
        <v>600.67999999999995</v>
      </c>
      <c r="M125" s="323">
        <f t="shared" si="30"/>
        <v>612.66999999999996</v>
      </c>
      <c r="N125" s="1012">
        <f t="shared" si="30"/>
        <v>615.29999999999995</v>
      </c>
    </row>
    <row r="126" spans="2:14" ht="18" customHeight="1">
      <c r="B126" s="372" t="s">
        <v>728</v>
      </c>
      <c r="C126" s="283">
        <v>4.12</v>
      </c>
      <c r="D126" s="283">
        <v>4.12</v>
      </c>
      <c r="E126" s="283">
        <v>4.12</v>
      </c>
      <c r="F126" s="283">
        <v>4.47</v>
      </c>
      <c r="G126" s="283">
        <v>4.47</v>
      </c>
      <c r="H126" s="283">
        <v>4.47</v>
      </c>
      <c r="I126" s="283">
        <v>4.47</v>
      </c>
      <c r="J126" s="283">
        <v>4.6920000000000002</v>
      </c>
      <c r="K126" s="283">
        <v>4.6920000000000002</v>
      </c>
      <c r="L126" s="283">
        <v>4.76</v>
      </c>
      <c r="M126" s="283">
        <v>4.8380000000000001</v>
      </c>
      <c r="N126" s="329">
        <v>5.0220000000000002</v>
      </c>
    </row>
    <row r="127" spans="2:14" ht="18.75" customHeight="1">
      <c r="B127" s="566" t="s">
        <v>830</v>
      </c>
      <c r="C127" s="475">
        <f t="shared" ref="C127:H127" si="31">ROUND(100*C126/$C$17,2)</f>
        <v>412</v>
      </c>
      <c r="D127" s="475">
        <f t="shared" si="31"/>
        <v>412</v>
      </c>
      <c r="E127" s="475">
        <f t="shared" si="31"/>
        <v>412</v>
      </c>
      <c r="F127" s="475">
        <f t="shared" si="31"/>
        <v>447</v>
      </c>
      <c r="G127" s="475">
        <f t="shared" si="31"/>
        <v>447</v>
      </c>
      <c r="H127" s="475">
        <f t="shared" si="31"/>
        <v>447</v>
      </c>
      <c r="I127" s="475">
        <v>447</v>
      </c>
      <c r="J127" s="475">
        <f>ROUND(100*J126/$C$17,2)</f>
        <v>469.2</v>
      </c>
      <c r="K127" s="475">
        <f>ROUND(100*K126/$C$17,2)</f>
        <v>469.2</v>
      </c>
      <c r="L127" s="475">
        <f>ROUND(100*L126/$C$17,2)</f>
        <v>476</v>
      </c>
      <c r="M127" s="475">
        <f>ROUND(100*M126/$C$17,2)</f>
        <v>483.8</v>
      </c>
      <c r="N127" s="1154">
        <f>ROUND(100*N126/$C$17,2)</f>
        <v>502.2</v>
      </c>
    </row>
    <row r="128" spans="2:14" ht="21.75" customHeight="1" thickBot="1">
      <c r="B128" s="369" t="s">
        <v>732</v>
      </c>
      <c r="C128" s="380"/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539"/>
    </row>
    <row r="129" spans="2:14" ht="16.5" customHeight="1" thickBot="1">
      <c r="B129" s="536" t="s">
        <v>733</v>
      </c>
      <c r="C129" s="135">
        <f t="shared" ref="C129:N129" si="32">ROUND(($H$9*C125+$H$10*C127),2)</f>
        <v>477.71</v>
      </c>
      <c r="D129" s="337">
        <f t="shared" si="32"/>
        <v>482.94</v>
      </c>
      <c r="E129" s="337">
        <f t="shared" si="32"/>
        <v>484.44</v>
      </c>
      <c r="F129" s="337">
        <f t="shared" si="32"/>
        <v>505.06</v>
      </c>
      <c r="G129" s="337">
        <f t="shared" si="32"/>
        <v>509.45</v>
      </c>
      <c r="H129" s="337">
        <f t="shared" si="32"/>
        <v>515.07000000000005</v>
      </c>
      <c r="I129" s="337">
        <f t="shared" si="32"/>
        <v>548.09</v>
      </c>
      <c r="J129" s="337">
        <f t="shared" si="32"/>
        <v>535.58000000000004</v>
      </c>
      <c r="K129" s="337">
        <f t="shared" si="32"/>
        <v>541.64</v>
      </c>
      <c r="L129" s="337">
        <f t="shared" si="32"/>
        <v>550.80999999999995</v>
      </c>
      <c r="M129" s="337">
        <f t="shared" si="32"/>
        <v>561.12</v>
      </c>
      <c r="N129" s="338">
        <f t="shared" si="32"/>
        <v>570.05999999999995</v>
      </c>
    </row>
    <row r="130" spans="2:14" ht="22.5" customHeight="1" thickBot="1"/>
    <row r="131" spans="2:14" ht="14.25" customHeight="1">
      <c r="B131" s="2844" t="s">
        <v>673</v>
      </c>
      <c r="C131" s="2568">
        <v>2013</v>
      </c>
      <c r="D131" s="2569"/>
      <c r="E131" s="2569"/>
      <c r="F131" s="2569"/>
      <c r="G131" s="2569"/>
      <c r="H131" s="2569"/>
      <c r="I131" s="2569"/>
      <c r="J131" s="2569"/>
      <c r="K131" s="2569"/>
      <c r="L131" s="2569"/>
      <c r="M131" s="2570"/>
      <c r="N131" s="2571"/>
    </row>
    <row r="132" spans="2:14" ht="17.100000000000001" customHeight="1" thickBot="1">
      <c r="B132" s="2776"/>
      <c r="C132" s="412" t="s">
        <v>578</v>
      </c>
      <c r="D132" s="412" t="s">
        <v>579</v>
      </c>
      <c r="E132" s="412" t="s">
        <v>580</v>
      </c>
      <c r="F132" s="412" t="s">
        <v>581</v>
      </c>
      <c r="G132" s="412" t="s">
        <v>582</v>
      </c>
      <c r="H132" s="412" t="s">
        <v>583</v>
      </c>
      <c r="I132" s="412" t="s">
        <v>587</v>
      </c>
      <c r="J132" s="412" t="s">
        <v>588</v>
      </c>
      <c r="K132" s="412" t="s">
        <v>589</v>
      </c>
      <c r="L132" s="412" t="s">
        <v>590</v>
      </c>
      <c r="M132" s="412" t="s">
        <v>586</v>
      </c>
      <c r="N132" s="558" t="s">
        <v>577</v>
      </c>
    </row>
    <row r="133" spans="2:14" ht="33" customHeight="1">
      <c r="B133" s="544" t="s">
        <v>730</v>
      </c>
      <c r="C133" s="545">
        <f>+'TABLA FINAL  NO'!EN217</f>
        <v>615.29999999999995</v>
      </c>
      <c r="D133" s="545">
        <f>+'TABLA FINAL  NO'!EO217</f>
        <v>623.46</v>
      </c>
      <c r="E133" s="545">
        <f>+'TABLA FINAL  NO'!EP217</f>
        <v>631.45000000000005</v>
      </c>
      <c r="F133" s="545">
        <f>+'TABLA FINAL  NO'!EQ217</f>
        <v>635.39</v>
      </c>
      <c r="G133" s="545">
        <f>+'TABLA FINAL  NO'!ER217</f>
        <v>651.07000000000005</v>
      </c>
      <c r="H133" s="545">
        <f>+'TABLA FINAL  NO'!ES217</f>
        <v>661.71</v>
      </c>
      <c r="I133" s="545">
        <f>+'TABLA FINAL  NO'!ET217</f>
        <v>664.89</v>
      </c>
      <c r="J133" s="545">
        <f>+'TABLA FINAL  NO'!EU217</f>
        <v>676.43</v>
      </c>
      <c r="K133" s="545">
        <f>+'TABLA FINAL  NO'!EV217</f>
        <v>680.93</v>
      </c>
      <c r="L133" s="545">
        <f>+'TABLA FINAL  NO'!EW217</f>
        <v>687.9</v>
      </c>
      <c r="M133" s="545">
        <f>+'TABLA FINAL  NO'!EX217</f>
        <v>692.39</v>
      </c>
      <c r="N133" s="545">
        <f>+'TABLA FINAL  NO'!EY217</f>
        <v>712.53</v>
      </c>
    </row>
    <row r="134" spans="2:14" ht="16.5" customHeight="1">
      <c r="B134" s="566" t="s">
        <v>829</v>
      </c>
      <c r="C134" s="323">
        <f t="shared" ref="C134:N134" si="33">ROUND(100*C133/$C$14,2)</f>
        <v>617.52</v>
      </c>
      <c r="D134" s="323">
        <f t="shared" si="33"/>
        <v>625.71</v>
      </c>
      <c r="E134" s="323">
        <f t="shared" si="33"/>
        <v>633.73</v>
      </c>
      <c r="F134" s="323">
        <f t="shared" si="33"/>
        <v>637.69000000000005</v>
      </c>
      <c r="G134" s="323">
        <f t="shared" si="33"/>
        <v>653.41999999999996</v>
      </c>
      <c r="H134" s="323">
        <f t="shared" si="33"/>
        <v>664.1</v>
      </c>
      <c r="I134" s="323">
        <f t="shared" si="33"/>
        <v>667.29</v>
      </c>
      <c r="J134" s="323">
        <f t="shared" si="33"/>
        <v>678.87</v>
      </c>
      <c r="K134" s="323">
        <f t="shared" si="33"/>
        <v>683.39</v>
      </c>
      <c r="L134" s="323">
        <f t="shared" si="33"/>
        <v>690.39</v>
      </c>
      <c r="M134" s="323">
        <f t="shared" si="33"/>
        <v>694.89</v>
      </c>
      <c r="N134" s="323">
        <f t="shared" si="33"/>
        <v>715.1</v>
      </c>
    </row>
    <row r="135" spans="2:14" ht="16.5" customHeight="1">
      <c r="B135" s="372" t="s">
        <v>728</v>
      </c>
      <c r="C135" s="283">
        <v>5.07</v>
      </c>
      <c r="D135" s="283">
        <v>5.1219999999999999</v>
      </c>
      <c r="E135" s="283">
        <v>5.21</v>
      </c>
      <c r="F135" s="283">
        <v>5.2759999999999998</v>
      </c>
      <c r="G135" s="283">
        <v>5.3620000000000001</v>
      </c>
      <c r="H135" s="283">
        <v>5.28</v>
      </c>
      <c r="I135" s="283">
        <v>5.39</v>
      </c>
      <c r="J135" s="283">
        <v>5.5110000000000001</v>
      </c>
      <c r="K135" s="283">
        <v>5.976</v>
      </c>
      <c r="L135" s="283">
        <v>5.9119999999999999</v>
      </c>
      <c r="M135" s="283">
        <v>6.141</v>
      </c>
      <c r="N135" s="283">
        <v>6.1580000000000004</v>
      </c>
    </row>
    <row r="136" spans="2:14" ht="16.5" customHeight="1">
      <c r="B136" s="566" t="s">
        <v>830</v>
      </c>
      <c r="C136" s="475">
        <f t="shared" ref="C136:N136" si="34">ROUND(100*C135/$C$17,2)</f>
        <v>507</v>
      </c>
      <c r="D136" s="475">
        <f t="shared" si="34"/>
        <v>512.20000000000005</v>
      </c>
      <c r="E136" s="1244">
        <f t="shared" si="34"/>
        <v>521</v>
      </c>
      <c r="F136" s="1244">
        <f t="shared" si="34"/>
        <v>527.6</v>
      </c>
      <c r="G136" s="1244">
        <f t="shared" si="34"/>
        <v>536.20000000000005</v>
      </c>
      <c r="H136" s="1244">
        <f t="shared" si="34"/>
        <v>528</v>
      </c>
      <c r="I136" s="1244">
        <f t="shared" si="34"/>
        <v>539</v>
      </c>
      <c r="J136" s="1244">
        <f t="shared" si="34"/>
        <v>551.1</v>
      </c>
      <c r="K136" s="1244">
        <f t="shared" si="34"/>
        <v>597.6</v>
      </c>
      <c r="L136" s="1244">
        <f t="shared" si="34"/>
        <v>591.20000000000005</v>
      </c>
      <c r="M136" s="1244">
        <f t="shared" si="34"/>
        <v>614.1</v>
      </c>
      <c r="N136" s="1244">
        <f t="shared" si="34"/>
        <v>615.79999999999995</v>
      </c>
    </row>
    <row r="137" spans="2:14" ht="18" customHeight="1" thickBot="1">
      <c r="B137" s="369" t="s">
        <v>732</v>
      </c>
      <c r="C137" s="380"/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0"/>
    </row>
    <row r="138" spans="2:14" ht="1.5" customHeight="1" thickBot="1">
      <c r="B138" s="536" t="s">
        <v>733</v>
      </c>
      <c r="C138" s="135">
        <f t="shared" ref="C138:M138" si="35">ROUND(($H$9*C134+$H$10*C136),2)</f>
        <v>573.30999999999995</v>
      </c>
      <c r="D138" s="337">
        <f t="shared" si="35"/>
        <v>580.30999999999995</v>
      </c>
      <c r="E138" s="337">
        <f t="shared" si="35"/>
        <v>588.64</v>
      </c>
      <c r="F138" s="337">
        <f t="shared" si="35"/>
        <v>593.65</v>
      </c>
      <c r="G138" s="337">
        <f t="shared" si="35"/>
        <v>606.53</v>
      </c>
      <c r="H138" s="337">
        <f t="shared" si="35"/>
        <v>609.66</v>
      </c>
      <c r="I138" s="337">
        <f>ROUND(($H$9*I134+$H$10*I136),2)</f>
        <v>615.97</v>
      </c>
      <c r="J138" s="337">
        <f t="shared" si="35"/>
        <v>627.76</v>
      </c>
      <c r="K138" s="337">
        <f t="shared" si="35"/>
        <v>649.07000000000005</v>
      </c>
      <c r="L138" s="337">
        <f t="shared" si="35"/>
        <v>650.71</v>
      </c>
      <c r="M138" s="337">
        <f t="shared" si="35"/>
        <v>662.57</v>
      </c>
      <c r="N138" s="337">
        <f>ROUND(($H$9*N134+$H$10*N136),2)</f>
        <v>675.38</v>
      </c>
    </row>
    <row r="139" spans="2:14" ht="15.75" customHeight="1"/>
    <row r="140" spans="2:14" ht="16.5" thickBot="1"/>
    <row r="141" spans="2:14">
      <c r="B141" s="2844" t="s">
        <v>673</v>
      </c>
      <c r="C141" s="2568">
        <v>2014</v>
      </c>
      <c r="D141" s="2569"/>
      <c r="E141" s="2569"/>
      <c r="F141" s="2569"/>
      <c r="G141" s="2569"/>
      <c r="H141" s="2569"/>
      <c r="I141" s="2569"/>
      <c r="J141" s="2569"/>
      <c r="K141" s="2569"/>
      <c r="L141" s="2569"/>
      <c r="M141" s="2570"/>
      <c r="N141" s="2571"/>
    </row>
    <row r="142" spans="2:14" ht="16.5" thickBot="1">
      <c r="B142" s="2776"/>
      <c r="C142" s="412" t="s">
        <v>578</v>
      </c>
      <c r="D142" s="412" t="s">
        <v>579</v>
      </c>
      <c r="E142" s="412" t="s">
        <v>580</v>
      </c>
      <c r="F142" s="412" t="s">
        <v>581</v>
      </c>
      <c r="G142" s="412" t="s">
        <v>582</v>
      </c>
      <c r="H142" s="412" t="s">
        <v>583</v>
      </c>
      <c r="I142" s="412" t="s">
        <v>587</v>
      </c>
      <c r="J142" s="412" t="s">
        <v>588</v>
      </c>
      <c r="K142" s="412" t="s">
        <v>589</v>
      </c>
      <c r="L142" s="412" t="s">
        <v>590</v>
      </c>
      <c r="M142" s="412" t="s">
        <v>586</v>
      </c>
      <c r="N142" s="1508" t="s">
        <v>577</v>
      </c>
    </row>
    <row r="143" spans="2:14" ht="31.5">
      <c r="B143" s="544" t="s">
        <v>730</v>
      </c>
      <c r="C143" s="545">
        <f>+'TABLA FINAL  NO'!EZ217</f>
        <v>737.56</v>
      </c>
      <c r="D143" s="545">
        <f>+'TABLA FINAL  NO'!FA217</f>
        <v>767.83</v>
      </c>
      <c r="E143" s="545">
        <f>+'TABLA FINAL  NO'!FB217</f>
        <v>795.77</v>
      </c>
      <c r="F143" s="545">
        <f>+'TABLA FINAL  NO'!FC217</f>
        <v>817.35</v>
      </c>
      <c r="G143" s="545">
        <f>+'TABLA FINAL  NO'!FD217</f>
        <v>824.58</v>
      </c>
      <c r="H143" s="545">
        <f>+'TABLA FINAL  NO'!FE217</f>
        <v>844.6</v>
      </c>
      <c r="I143" s="545">
        <f>+'TABLA FINAL  NO'!FF217</f>
        <v>852.49</v>
      </c>
      <c r="J143" s="545">
        <f>+'TABLA FINAL  NO'!FG217</f>
        <v>860.6</v>
      </c>
      <c r="K143" s="545">
        <f>+'TABLA FINAL  NO'!FH217</f>
        <v>889.34</v>
      </c>
      <c r="L143" s="545">
        <f>+'TABLA FINAL  NO'!FI217</f>
        <v>900.64</v>
      </c>
      <c r="M143" s="545">
        <f>+'TABLA FINAL  NO'!FJ217</f>
        <v>918.39</v>
      </c>
      <c r="N143" s="548">
        <f>+'TABLA FINAL  NO'!FK217</f>
        <v>927.17</v>
      </c>
    </row>
    <row r="144" spans="2:14">
      <c r="B144" s="566" t="s">
        <v>829</v>
      </c>
      <c r="C144" s="323">
        <f t="shared" ref="C144:J144" si="36">ROUND(100*C143/$C$14,2)</f>
        <v>740.22</v>
      </c>
      <c r="D144" s="323">
        <f t="shared" si="36"/>
        <v>770.6</v>
      </c>
      <c r="E144" s="323">
        <f t="shared" si="36"/>
        <v>798.65</v>
      </c>
      <c r="F144" s="323">
        <f t="shared" si="36"/>
        <v>820.3</v>
      </c>
      <c r="G144" s="323">
        <f t="shared" si="36"/>
        <v>827.56</v>
      </c>
      <c r="H144" s="323">
        <f t="shared" si="36"/>
        <v>847.65</v>
      </c>
      <c r="I144" s="323">
        <f t="shared" si="36"/>
        <v>855.57</v>
      </c>
      <c r="J144" s="323">
        <f t="shared" si="36"/>
        <v>863.71</v>
      </c>
      <c r="K144" s="323">
        <f>ROUND(100*K143/$C$14,2)</f>
        <v>892.55</v>
      </c>
      <c r="L144" s="323">
        <f>ROUND(100*L143/$C$14,2)</f>
        <v>903.89</v>
      </c>
      <c r="M144" s="323">
        <f>ROUND(100*M143/$C$14,2)</f>
        <v>921.71</v>
      </c>
      <c r="N144" s="1012">
        <f>ROUND(100*N143/$C$14,2)</f>
        <v>930.52</v>
      </c>
    </row>
    <row r="145" spans="2:15">
      <c r="B145" s="372" t="s">
        <v>728</v>
      </c>
      <c r="C145" s="283">
        <v>8.01</v>
      </c>
      <c r="D145" s="283">
        <v>7.8739999999999997</v>
      </c>
      <c r="E145" s="283">
        <v>7.8739999999999997</v>
      </c>
      <c r="F145" s="283">
        <v>8.0020000000000007</v>
      </c>
      <c r="G145" s="283">
        <v>8.08</v>
      </c>
      <c r="H145" s="283">
        <v>8.1329999999999991</v>
      </c>
      <c r="I145" s="283">
        <v>8.1329999999999991</v>
      </c>
      <c r="J145" s="283">
        <v>8.407</v>
      </c>
      <c r="K145" s="394">
        <v>8.41</v>
      </c>
      <c r="L145" s="394">
        <v>8.4499999999999993</v>
      </c>
      <c r="M145" s="394">
        <v>8.51</v>
      </c>
      <c r="N145" s="658">
        <v>8.56</v>
      </c>
    </row>
    <row r="146" spans="2:15">
      <c r="B146" s="566" t="s">
        <v>830</v>
      </c>
      <c r="C146" s="1244">
        <f t="shared" ref="C146:J146" si="37">ROUND(100*C145/$C$17,2)</f>
        <v>801</v>
      </c>
      <c r="D146" s="1244">
        <f t="shared" si="37"/>
        <v>787.4</v>
      </c>
      <c r="E146" s="1244">
        <f t="shared" si="37"/>
        <v>787.4</v>
      </c>
      <c r="F146" s="1244">
        <f t="shared" si="37"/>
        <v>800.2</v>
      </c>
      <c r="G146" s="1244">
        <f t="shared" si="37"/>
        <v>808</v>
      </c>
      <c r="H146" s="1244">
        <f t="shared" si="37"/>
        <v>813.3</v>
      </c>
      <c r="I146" s="1244">
        <f t="shared" si="37"/>
        <v>813.3</v>
      </c>
      <c r="J146" s="1244">
        <f t="shared" si="37"/>
        <v>840.7</v>
      </c>
      <c r="K146" s="1244">
        <f>ROUND(100*K145/$C$17,2)</f>
        <v>841</v>
      </c>
      <c r="L146" s="1244">
        <f>ROUND(100*L145/$C$17,2)</f>
        <v>845</v>
      </c>
      <c r="M146" s="1244">
        <f>ROUND(100*M145/$C$17,2)</f>
        <v>851</v>
      </c>
      <c r="N146" s="1487">
        <f>ROUND(100*N145/$C$17,2)</f>
        <v>856</v>
      </c>
    </row>
    <row r="147" spans="2:15" ht="16.5" thickBot="1">
      <c r="B147" s="369" t="s">
        <v>732</v>
      </c>
      <c r="C147" s="380"/>
      <c r="D147" s="380"/>
      <c r="E147" s="380"/>
      <c r="F147" s="380"/>
      <c r="G147" s="380"/>
      <c r="H147" s="380"/>
      <c r="I147" s="380"/>
      <c r="J147" s="380"/>
      <c r="K147" s="380"/>
      <c r="L147" s="380"/>
      <c r="M147" s="380"/>
      <c r="N147" s="539"/>
    </row>
    <row r="148" spans="2:15" ht="16.5" thickBot="1">
      <c r="B148" s="536" t="s">
        <v>733</v>
      </c>
      <c r="C148" s="135">
        <f t="shared" ref="C148:H148" si="38">ROUND(($H$9*C144+$H$10*C146),2)</f>
        <v>764.53</v>
      </c>
      <c r="D148" s="337">
        <f t="shared" si="38"/>
        <v>777.32</v>
      </c>
      <c r="E148" s="337">
        <f t="shared" si="38"/>
        <v>794.15</v>
      </c>
      <c r="F148" s="337">
        <f t="shared" si="38"/>
        <v>812.26</v>
      </c>
      <c r="G148" s="337">
        <f t="shared" si="38"/>
        <v>819.74</v>
      </c>
      <c r="H148" s="337">
        <f t="shared" si="38"/>
        <v>833.91</v>
      </c>
      <c r="I148" s="337">
        <f t="shared" ref="I148:N148" si="39">ROUND(($H$9*I144+$H$10*I146),2)</f>
        <v>838.66</v>
      </c>
      <c r="J148" s="337">
        <f t="shared" si="39"/>
        <v>854.51</v>
      </c>
      <c r="K148" s="337">
        <f t="shared" si="39"/>
        <v>871.93</v>
      </c>
      <c r="L148" s="337">
        <f t="shared" si="39"/>
        <v>880.33</v>
      </c>
      <c r="M148" s="337">
        <f>ROUND(($H$9*M144+$H$10*M146),2)</f>
        <v>893.43</v>
      </c>
      <c r="N148" s="338">
        <f t="shared" si="39"/>
        <v>900.71</v>
      </c>
    </row>
    <row r="150" spans="2:15" ht="16.5" thickBot="1"/>
    <row r="151" spans="2:15">
      <c r="B151" s="2844" t="s">
        <v>673</v>
      </c>
      <c r="C151" s="2568">
        <v>2015</v>
      </c>
      <c r="D151" s="2569"/>
      <c r="E151" s="2569"/>
      <c r="F151" s="2569"/>
      <c r="G151" s="2569"/>
      <c r="H151" s="2569"/>
      <c r="I151" s="2569"/>
      <c r="J151" s="2569"/>
      <c r="K151" s="2569"/>
      <c r="L151" s="2569"/>
      <c r="M151" s="2570"/>
      <c r="N151" s="2571"/>
    </row>
    <row r="152" spans="2:15" ht="16.5" thickBot="1">
      <c r="B152" s="2776"/>
      <c r="C152" s="412" t="s">
        <v>578</v>
      </c>
      <c r="D152" s="412" t="s">
        <v>579</v>
      </c>
      <c r="E152" s="412" t="s">
        <v>580</v>
      </c>
      <c r="F152" s="412" t="s">
        <v>581</v>
      </c>
      <c r="G152" s="412" t="s">
        <v>582</v>
      </c>
      <c r="H152" s="412" t="s">
        <v>583</v>
      </c>
      <c r="I152" s="412" t="s">
        <v>587</v>
      </c>
      <c r="J152" s="412" t="s">
        <v>588</v>
      </c>
      <c r="K152" s="412" t="s">
        <v>589</v>
      </c>
      <c r="L152" s="412" t="s">
        <v>590</v>
      </c>
      <c r="M152" s="412" t="s">
        <v>586</v>
      </c>
      <c r="N152" s="1508" t="s">
        <v>577</v>
      </c>
    </row>
    <row r="153" spans="2:15" ht="31.5">
      <c r="B153" s="544" t="s">
        <v>1158</v>
      </c>
      <c r="C153" s="545">
        <f>+'TABLA FINAL  NO'!FL217</f>
        <v>939.8</v>
      </c>
      <c r="D153" s="545">
        <f>+'TABLA FINAL  NO'!FM217</f>
        <v>945.82</v>
      </c>
      <c r="E153" s="545">
        <f>+'TABLA FINAL  NO'!FN217</f>
        <v>975.66</v>
      </c>
      <c r="F153" s="545">
        <f>+'TABLA FINAL  NO'!FO217</f>
        <v>986.68</v>
      </c>
      <c r="G153" s="545">
        <f>+'TABLA FINAL  NO'!FP217</f>
        <v>1004.15</v>
      </c>
      <c r="H153" s="545">
        <f>+'TABLA FINAL  NO'!FQ217</f>
        <v>1045.6300000000001</v>
      </c>
      <c r="I153" s="545">
        <f>+'TABLA FINAL  NO'!FR217</f>
        <v>1051.0999999999999</v>
      </c>
      <c r="J153" s="545">
        <f>+'TABLA FINAL  NO'!FS217</f>
        <v>1079.82</v>
      </c>
      <c r="K153" s="545">
        <f>+'TABLA FINAL  NO'!FT217</f>
        <v>1087.1400000000001</v>
      </c>
      <c r="L153" s="545">
        <f>+'TABLA FINAL  NO'!FU217</f>
        <v>1100.47</v>
      </c>
      <c r="M153" s="545">
        <v>1100.47</v>
      </c>
      <c r="N153" s="545">
        <v>1100.47</v>
      </c>
    </row>
    <row r="154" spans="2:15">
      <c r="B154" s="566" t="s">
        <v>829</v>
      </c>
      <c r="C154" s="323">
        <f t="shared" ref="C154:H154" si="40">ROUND(100*C153/$C$14,2)</f>
        <v>943.2</v>
      </c>
      <c r="D154" s="323">
        <f t="shared" si="40"/>
        <v>949.24</v>
      </c>
      <c r="E154" s="323">
        <f t="shared" si="40"/>
        <v>979.19</v>
      </c>
      <c r="F154" s="323">
        <f t="shared" si="40"/>
        <v>990.24</v>
      </c>
      <c r="G154" s="323">
        <f t="shared" si="40"/>
        <v>1007.78</v>
      </c>
      <c r="H154" s="323">
        <f t="shared" si="40"/>
        <v>1049.4100000000001</v>
      </c>
      <c r="I154" s="323">
        <f t="shared" ref="I154:N154" si="41">ROUND(100*I153/$C$14,2)</f>
        <v>1054.9000000000001</v>
      </c>
      <c r="J154" s="323">
        <f t="shared" si="41"/>
        <v>1083.72</v>
      </c>
      <c r="K154" s="323">
        <f t="shared" si="41"/>
        <v>1091.07</v>
      </c>
      <c r="L154" s="323">
        <f t="shared" si="41"/>
        <v>1104.45</v>
      </c>
      <c r="M154" s="323">
        <f t="shared" si="41"/>
        <v>1104.45</v>
      </c>
      <c r="N154" s="323">
        <f t="shared" si="41"/>
        <v>1104.45</v>
      </c>
      <c r="O154" s="1773"/>
    </row>
    <row r="155" spans="2:15">
      <c r="B155" s="372" t="s">
        <v>728</v>
      </c>
      <c r="C155" s="1525">
        <v>8.6449999999999996</v>
      </c>
      <c r="D155" s="283">
        <v>8.73</v>
      </c>
      <c r="E155" s="283">
        <v>8.82</v>
      </c>
      <c r="F155" s="283">
        <v>8.91</v>
      </c>
      <c r="G155" s="283">
        <v>8.9949999999999992</v>
      </c>
      <c r="H155" s="283">
        <v>9.0879999999999992</v>
      </c>
      <c r="I155" s="283">
        <v>9.1950000000000003</v>
      </c>
      <c r="J155" s="283">
        <v>9.3000000000000007</v>
      </c>
      <c r="K155" s="283">
        <v>9.4250000000000007</v>
      </c>
      <c r="L155" s="283">
        <v>9.5459999999999994</v>
      </c>
      <c r="M155" s="283">
        <v>9.6999999999999993</v>
      </c>
      <c r="N155" s="283">
        <v>13.41</v>
      </c>
    </row>
    <row r="156" spans="2:15">
      <c r="B156" s="566" t="s">
        <v>830</v>
      </c>
      <c r="C156" s="1244">
        <f t="shared" ref="C156:H156" si="42">ROUND(100*C155/$C$17,2)</f>
        <v>864.5</v>
      </c>
      <c r="D156" s="1244">
        <f t="shared" si="42"/>
        <v>873</v>
      </c>
      <c r="E156" s="1244">
        <f t="shared" si="42"/>
        <v>882</v>
      </c>
      <c r="F156" s="1244">
        <f t="shared" si="42"/>
        <v>891</v>
      </c>
      <c r="G156" s="1244">
        <f t="shared" si="42"/>
        <v>899.5</v>
      </c>
      <c r="H156" s="1244">
        <f t="shared" si="42"/>
        <v>908.8</v>
      </c>
      <c r="I156" s="1244">
        <f t="shared" ref="I156:N156" si="43">ROUND(100*I155/$C$17,2)</f>
        <v>919.5</v>
      </c>
      <c r="J156" s="1244">
        <f t="shared" si="43"/>
        <v>930</v>
      </c>
      <c r="K156" s="1244">
        <f t="shared" si="43"/>
        <v>942.5</v>
      </c>
      <c r="L156" s="1244">
        <f t="shared" si="43"/>
        <v>954.6</v>
      </c>
      <c r="M156" s="1244">
        <f t="shared" si="43"/>
        <v>970</v>
      </c>
      <c r="N156" s="1244">
        <f t="shared" si="43"/>
        <v>1341</v>
      </c>
    </row>
    <row r="157" spans="2:15" ht="16.5" thickBot="1">
      <c r="B157" s="369" t="s">
        <v>732</v>
      </c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0"/>
    </row>
    <row r="158" spans="2:15" ht="16.5" thickBot="1">
      <c r="B158" s="1243" t="s">
        <v>733</v>
      </c>
      <c r="C158" s="337">
        <f>ROUND(($H$9*C154+$H$10*C156),2)</f>
        <v>911.72</v>
      </c>
      <c r="D158" s="337">
        <f>ROUND(($H$9*D154+$H$10*D156),2)</f>
        <v>918.74</v>
      </c>
      <c r="E158" s="337">
        <f t="shared" ref="E158:J158" si="44">ROUND(($H$9*E154+$H$10*E156),2)</f>
        <v>940.31</v>
      </c>
      <c r="F158" s="337">
        <f t="shared" si="44"/>
        <v>950.54</v>
      </c>
      <c r="G158" s="337">
        <f t="shared" si="44"/>
        <v>964.47</v>
      </c>
      <c r="H158" s="337">
        <f t="shared" si="44"/>
        <v>993.17</v>
      </c>
      <c r="I158" s="337">
        <f t="shared" si="44"/>
        <v>1000.74</v>
      </c>
      <c r="J158" s="337">
        <f t="shared" si="44"/>
        <v>1022.23</v>
      </c>
      <c r="K158" s="337">
        <f>ROUND(($H$9*K154+$H$10*K156),2)</f>
        <v>1031.6400000000001</v>
      </c>
      <c r="L158" s="337">
        <f>ROUND(($H$9*L154+$H$10*L156),2)</f>
        <v>1044.51</v>
      </c>
      <c r="M158" s="337">
        <f>ROUND(($H$9*M154+$H$10*M156),2)</f>
        <v>1050.67</v>
      </c>
      <c r="N158" s="337">
        <f>ROUND(($H$9*N154+$H$10*N156),2)</f>
        <v>1199.07</v>
      </c>
    </row>
    <row r="159" spans="2:15" ht="16.5" thickBot="1"/>
    <row r="160" spans="2:15">
      <c r="B160" s="2844" t="s">
        <v>673</v>
      </c>
      <c r="C160" s="2568">
        <v>2016</v>
      </c>
      <c r="D160" s="2569"/>
      <c r="E160" s="2569"/>
      <c r="F160" s="2569"/>
      <c r="G160" s="2569"/>
      <c r="H160" s="2569"/>
      <c r="I160" s="2569"/>
      <c r="J160" s="2569"/>
      <c r="K160" s="2569"/>
      <c r="L160" s="2569"/>
      <c r="M160" s="2570"/>
      <c r="N160" s="2571"/>
    </row>
    <row r="161" spans="2:14" ht="16.5" thickBot="1">
      <c r="B161" s="2776"/>
      <c r="C161" s="412" t="s">
        <v>578</v>
      </c>
      <c r="D161" s="412" t="s">
        <v>579</v>
      </c>
      <c r="E161" s="412" t="s">
        <v>580</v>
      </c>
      <c r="F161" s="412" t="s">
        <v>581</v>
      </c>
      <c r="G161" s="412" t="s">
        <v>582</v>
      </c>
      <c r="H161" s="412" t="s">
        <v>583</v>
      </c>
      <c r="I161" s="412" t="s">
        <v>587</v>
      </c>
      <c r="J161" s="412" t="s">
        <v>588</v>
      </c>
      <c r="K161" s="412" t="s">
        <v>589</v>
      </c>
      <c r="L161" s="412" t="s">
        <v>590</v>
      </c>
      <c r="M161" s="412" t="s">
        <v>586</v>
      </c>
      <c r="N161" s="1508" t="s">
        <v>577</v>
      </c>
    </row>
    <row r="162" spans="2:14" ht="31.5">
      <c r="B162" s="544" t="s">
        <v>1162</v>
      </c>
      <c r="C162" s="546">
        <v>6.8</v>
      </c>
      <c r="D162" s="546">
        <v>2.6</v>
      </c>
      <c r="E162" s="546">
        <v>2.1</v>
      </c>
      <c r="F162" s="546">
        <v>3.5</v>
      </c>
      <c r="G162" s="546">
        <v>1.7</v>
      </c>
      <c r="H162" s="546">
        <v>2</v>
      </c>
      <c r="I162" s="546">
        <v>1.3</v>
      </c>
      <c r="J162" s="546">
        <v>1</v>
      </c>
      <c r="K162" s="546">
        <v>1.6</v>
      </c>
      <c r="L162" s="546">
        <v>1.5</v>
      </c>
      <c r="M162" s="546">
        <v>2</v>
      </c>
      <c r="N162" s="546">
        <v>0.9</v>
      </c>
    </row>
    <row r="163" spans="2:14">
      <c r="B163" s="566" t="s">
        <v>829</v>
      </c>
      <c r="C163" s="323">
        <v>100</v>
      </c>
      <c r="D163" s="323">
        <f t="shared" ref="D163:N163" si="45">+C163*(D162/100+1)</f>
        <v>102.60000000000001</v>
      </c>
      <c r="E163" s="323">
        <f t="shared" si="45"/>
        <v>104.7546</v>
      </c>
      <c r="F163" s="323">
        <f t="shared" si="45"/>
        <v>108.42101099999999</v>
      </c>
      <c r="G163" s="323">
        <f t="shared" si="45"/>
        <v>110.26416818699998</v>
      </c>
      <c r="H163" s="323">
        <f t="shared" si="45"/>
        <v>112.46945155073999</v>
      </c>
      <c r="I163" s="323">
        <f t="shared" si="45"/>
        <v>113.9315544208996</v>
      </c>
      <c r="J163" s="323">
        <f t="shared" si="45"/>
        <v>115.0708699651086</v>
      </c>
      <c r="K163" s="323">
        <f t="shared" si="45"/>
        <v>116.91200388455034</v>
      </c>
      <c r="L163" s="323">
        <f t="shared" si="45"/>
        <v>118.66568394281859</v>
      </c>
      <c r="M163" s="323">
        <f t="shared" si="45"/>
        <v>121.03899762167497</v>
      </c>
      <c r="N163" s="323">
        <f t="shared" si="45"/>
        <v>122.12834860027003</v>
      </c>
    </row>
    <row r="164" spans="2:14">
      <c r="B164" s="372" t="s">
        <v>728</v>
      </c>
      <c r="C164" s="1525">
        <v>14.25</v>
      </c>
      <c r="D164" s="283">
        <v>15.9</v>
      </c>
      <c r="E164" s="283">
        <v>14.8</v>
      </c>
      <c r="F164" s="283">
        <v>14.5</v>
      </c>
      <c r="G164" s="283">
        <v>14.2</v>
      </c>
      <c r="H164" s="283">
        <v>14.2</v>
      </c>
      <c r="I164" s="283">
        <v>15.2</v>
      </c>
      <c r="J164" s="283">
        <v>15.2</v>
      </c>
      <c r="K164" s="283">
        <v>15.6</v>
      </c>
      <c r="L164" s="283">
        <v>15.4</v>
      </c>
      <c r="M164" s="283">
        <v>15.9</v>
      </c>
      <c r="N164" s="283">
        <v>16.100000000000001</v>
      </c>
    </row>
    <row r="165" spans="2:14">
      <c r="B165" s="566" t="s">
        <v>830</v>
      </c>
      <c r="C165" s="1244">
        <v>100</v>
      </c>
      <c r="D165" s="1244">
        <f>ROUND(100*D164/$C$164,2)</f>
        <v>111.58</v>
      </c>
      <c r="E165" s="1244">
        <f t="shared" ref="E165:N165" si="46">ROUND(100*E164/$C$164,2)</f>
        <v>103.86</v>
      </c>
      <c r="F165" s="1244">
        <f t="shared" si="46"/>
        <v>101.75</v>
      </c>
      <c r="G165" s="1244">
        <f t="shared" si="46"/>
        <v>99.65</v>
      </c>
      <c r="H165" s="1244">
        <f t="shared" si="46"/>
        <v>99.65</v>
      </c>
      <c r="I165" s="1244">
        <f t="shared" si="46"/>
        <v>106.67</v>
      </c>
      <c r="J165" s="1244">
        <f t="shared" si="46"/>
        <v>106.67</v>
      </c>
      <c r="K165" s="1244">
        <f t="shared" si="46"/>
        <v>109.47</v>
      </c>
      <c r="L165" s="1244">
        <f t="shared" si="46"/>
        <v>108.07</v>
      </c>
      <c r="M165" s="1244">
        <f t="shared" si="46"/>
        <v>111.58</v>
      </c>
      <c r="N165" s="1244">
        <f t="shared" si="46"/>
        <v>112.98</v>
      </c>
    </row>
    <row r="166" spans="2:14" ht="16.5" thickBot="1">
      <c r="B166" s="369" t="s">
        <v>732</v>
      </c>
      <c r="C166" s="380"/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</row>
    <row r="167" spans="2:14" ht="16.5" thickBot="1">
      <c r="B167" s="1243" t="s">
        <v>733</v>
      </c>
      <c r="C167" s="337">
        <f>ROUND(($H$9*C163+$H$10*C165),2)</f>
        <v>100</v>
      </c>
      <c r="D167" s="337">
        <f>ROUND(($H$9*D163+$H$10*D165),2)</f>
        <v>106.19</v>
      </c>
      <c r="E167" s="337">
        <f t="shared" ref="E167:J167" si="47">ROUND(($H$9*E163+$H$10*E165),2)</f>
        <v>104.4</v>
      </c>
      <c r="F167" s="337">
        <f t="shared" si="47"/>
        <v>105.75</v>
      </c>
      <c r="G167" s="337">
        <f t="shared" si="47"/>
        <v>106.02</v>
      </c>
      <c r="H167" s="337">
        <f t="shared" si="47"/>
        <v>107.34</v>
      </c>
      <c r="I167" s="337">
        <f t="shared" si="47"/>
        <v>111.03</v>
      </c>
      <c r="J167" s="337">
        <f t="shared" si="47"/>
        <v>111.71</v>
      </c>
      <c r="K167" s="337">
        <f>ROUND(($H$9*K163+$H$10*K165),2)</f>
        <v>113.94</v>
      </c>
      <c r="L167" s="337">
        <f>ROUND(($H$9*L163+$H$10*L165),2)</f>
        <v>114.43</v>
      </c>
      <c r="M167" s="337">
        <f>ROUND(($H$9*M163+$H$10*M165),2)</f>
        <v>117.26</v>
      </c>
      <c r="N167" s="337">
        <f>ROUND(($H$9*N163+$H$10*N165),2)</f>
        <v>118.47</v>
      </c>
    </row>
    <row r="168" spans="2:14" ht="16.5" thickBot="1"/>
    <row r="169" spans="2:14">
      <c r="B169" s="2844" t="s">
        <v>673</v>
      </c>
      <c r="C169" s="2568">
        <v>2017</v>
      </c>
      <c r="D169" s="2569"/>
      <c r="E169" s="2569"/>
      <c r="F169" s="2569"/>
      <c r="G169" s="2569"/>
      <c r="H169" s="2569"/>
      <c r="I169" s="2569"/>
      <c r="J169" s="2569"/>
      <c r="K169" s="2569"/>
      <c r="L169" s="2569"/>
      <c r="M169" s="2570"/>
      <c r="N169" s="2571"/>
    </row>
    <row r="170" spans="2:14" ht="16.5" thickBot="1">
      <c r="B170" s="2776"/>
      <c r="C170" s="412" t="s">
        <v>578</v>
      </c>
      <c r="D170" s="412" t="s">
        <v>579</v>
      </c>
      <c r="E170" s="412" t="s">
        <v>580</v>
      </c>
      <c r="F170" s="412" t="s">
        <v>581</v>
      </c>
      <c r="G170" s="412" t="s">
        <v>582</v>
      </c>
      <c r="H170" s="412" t="s">
        <v>583</v>
      </c>
      <c r="I170" s="412" t="s">
        <v>587</v>
      </c>
      <c r="J170" s="412" t="s">
        <v>588</v>
      </c>
      <c r="K170" s="412" t="s">
        <v>589</v>
      </c>
      <c r="L170" s="412" t="s">
        <v>590</v>
      </c>
      <c r="M170" s="412" t="s">
        <v>586</v>
      </c>
      <c r="N170" s="1508" t="s">
        <v>577</v>
      </c>
    </row>
    <row r="171" spans="2:14" ht="31.5">
      <c r="B171" s="544" t="s">
        <v>1162</v>
      </c>
      <c r="C171" s="546">
        <v>4.0999999999999996</v>
      </c>
      <c r="D171" s="546">
        <v>0.3</v>
      </c>
      <c r="E171" s="546">
        <v>2</v>
      </c>
      <c r="F171" s="546">
        <v>0.9</v>
      </c>
      <c r="G171" s="546">
        <v>3.3</v>
      </c>
      <c r="H171" s="546">
        <v>1.4</v>
      </c>
      <c r="I171" s="546">
        <v>1.3</v>
      </c>
      <c r="J171" s="546">
        <v>1.8</v>
      </c>
      <c r="K171" s="546">
        <v>1.5</v>
      </c>
      <c r="L171" s="546">
        <v>0.7</v>
      </c>
      <c r="M171" s="546">
        <v>2.6</v>
      </c>
      <c r="N171" s="546">
        <v>2.7</v>
      </c>
    </row>
    <row r="172" spans="2:14">
      <c r="B172" s="566" t="s">
        <v>829</v>
      </c>
      <c r="C172" s="323">
        <f>+N163*(C171/100+1)</f>
        <v>127.13561089288109</v>
      </c>
      <c r="D172" s="323">
        <f t="shared" ref="D172:N172" si="48">+C172*(D171/100+1)</f>
        <v>127.51701772555973</v>
      </c>
      <c r="E172" s="323">
        <f t="shared" si="48"/>
        <v>130.06735808007093</v>
      </c>
      <c r="F172" s="323">
        <f t="shared" si="48"/>
        <v>131.23796430279157</v>
      </c>
      <c r="G172" s="323">
        <f t="shared" si="48"/>
        <v>135.56881712478369</v>
      </c>
      <c r="H172" s="323">
        <f t="shared" si="48"/>
        <v>137.46678056453067</v>
      </c>
      <c r="I172" s="323">
        <f t="shared" si="48"/>
        <v>139.25384871186955</v>
      </c>
      <c r="J172" s="323">
        <f t="shared" si="48"/>
        <v>141.7604179886832</v>
      </c>
      <c r="K172" s="323">
        <f t="shared" si="48"/>
        <v>143.88682425851343</v>
      </c>
      <c r="L172" s="323">
        <f t="shared" si="48"/>
        <v>144.89403202832301</v>
      </c>
      <c r="M172" s="323">
        <f t="shared" si="48"/>
        <v>148.66127686105941</v>
      </c>
      <c r="N172" s="323">
        <f t="shared" si="48"/>
        <v>152.675131336308</v>
      </c>
    </row>
    <row r="173" spans="2:14">
      <c r="B173" s="372" t="s">
        <v>728</v>
      </c>
      <c r="C173" s="1525">
        <v>16.100000000000001</v>
      </c>
      <c r="D173" s="283">
        <v>15.6</v>
      </c>
      <c r="E173" s="283">
        <v>15.6</v>
      </c>
      <c r="F173" s="283">
        <v>15.6</v>
      </c>
      <c r="G173" s="283">
        <v>16.350000000000001</v>
      </c>
      <c r="H173" s="283">
        <v>16.7</v>
      </c>
      <c r="I173" s="283">
        <v>17.850000000000001</v>
      </c>
      <c r="J173" s="283">
        <v>17.600000000000001</v>
      </c>
      <c r="K173" s="283">
        <v>17.5</v>
      </c>
      <c r="L173" s="283">
        <v>17.899999999999999</v>
      </c>
      <c r="M173" s="283">
        <v>17.600000000000001</v>
      </c>
      <c r="N173" s="283">
        <v>17.600000000000001</v>
      </c>
    </row>
    <row r="174" spans="2:14">
      <c r="B174" s="566" t="s">
        <v>830</v>
      </c>
      <c r="C174" s="1244">
        <f>ROUND(100*C173/$C$164,2)</f>
        <v>112.98</v>
      </c>
      <c r="D174" s="1244">
        <f t="shared" ref="D174:N174" si="49">ROUND(100*D173/$C$164,2)</f>
        <v>109.47</v>
      </c>
      <c r="E174" s="1244">
        <f t="shared" si="49"/>
        <v>109.47</v>
      </c>
      <c r="F174" s="1244">
        <f t="shared" si="49"/>
        <v>109.47</v>
      </c>
      <c r="G174" s="1244">
        <f t="shared" si="49"/>
        <v>114.74</v>
      </c>
      <c r="H174" s="1244">
        <f t="shared" si="49"/>
        <v>117.19</v>
      </c>
      <c r="I174" s="1244">
        <f t="shared" si="49"/>
        <v>125.26</v>
      </c>
      <c r="J174" s="1244">
        <f t="shared" si="49"/>
        <v>123.51</v>
      </c>
      <c r="K174" s="1244">
        <f t="shared" si="49"/>
        <v>122.81</v>
      </c>
      <c r="L174" s="1244">
        <f t="shared" si="49"/>
        <v>125.61</v>
      </c>
      <c r="M174" s="1244">
        <f t="shared" si="49"/>
        <v>123.51</v>
      </c>
      <c r="N174" s="1244">
        <f t="shared" si="49"/>
        <v>123.51</v>
      </c>
    </row>
    <row r="175" spans="2:14" ht="16.5" thickBot="1">
      <c r="B175" s="369" t="s">
        <v>732</v>
      </c>
      <c r="C175" s="380"/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</row>
    <row r="176" spans="2:14" ht="16.5" thickBot="1">
      <c r="B176" s="1243" t="s">
        <v>733</v>
      </c>
      <c r="C176" s="337">
        <f>ROUND(($H$9*C172+$H$10*C174),2)</f>
        <v>121.47</v>
      </c>
      <c r="D176" s="337">
        <f>ROUND(($H$9*D172+$H$10*D174),2)</f>
        <v>120.3</v>
      </c>
      <c r="E176" s="337">
        <f t="shared" ref="E176:J176" si="50">ROUND(($H$9*E172+$H$10*E174),2)</f>
        <v>121.83</v>
      </c>
      <c r="F176" s="337">
        <f t="shared" si="50"/>
        <v>122.53</v>
      </c>
      <c r="G176" s="337">
        <f t="shared" si="50"/>
        <v>127.24</v>
      </c>
      <c r="H176" s="337">
        <f t="shared" si="50"/>
        <v>129.36000000000001</v>
      </c>
      <c r="I176" s="337">
        <f t="shared" si="50"/>
        <v>133.66</v>
      </c>
      <c r="J176" s="337">
        <f t="shared" si="50"/>
        <v>134.46</v>
      </c>
      <c r="K176" s="337">
        <f>ROUND(($H$9*K172+$H$10*K174),2)</f>
        <v>135.46</v>
      </c>
      <c r="L176" s="337">
        <f>ROUND(($H$9*L172+$H$10*L174),2)</f>
        <v>137.18</v>
      </c>
      <c r="M176" s="337">
        <f>ROUND(($H$9*M172+$H$10*M174),2)</f>
        <v>138.6</v>
      </c>
      <c r="N176" s="337">
        <f>ROUND(($H$9*N172+$H$10*N174),2)</f>
        <v>141.01</v>
      </c>
    </row>
    <row r="177" spans="2:14" ht="16.5" thickBot="1"/>
    <row r="178" spans="2:14">
      <c r="B178" s="2844" t="s">
        <v>673</v>
      </c>
      <c r="C178" s="2568">
        <v>2018</v>
      </c>
      <c r="D178" s="2569"/>
      <c r="E178" s="2569"/>
      <c r="F178" s="2569"/>
      <c r="G178" s="2569"/>
      <c r="H178" s="2569"/>
      <c r="I178" s="2569"/>
      <c r="J178" s="2569"/>
      <c r="K178" s="2569"/>
      <c r="L178" s="2569"/>
      <c r="M178" s="2570"/>
      <c r="N178" s="2571"/>
    </row>
    <row r="179" spans="2:14" ht="16.5" thickBot="1">
      <c r="B179" s="2776"/>
      <c r="C179" s="412" t="s">
        <v>578</v>
      </c>
      <c r="D179" s="412" t="s">
        <v>579</v>
      </c>
      <c r="E179" s="412" t="s">
        <v>580</v>
      </c>
      <c r="F179" s="412" t="s">
        <v>581</v>
      </c>
      <c r="G179" s="412" t="s">
        <v>582</v>
      </c>
      <c r="H179" s="412" t="s">
        <v>583</v>
      </c>
      <c r="I179" s="412" t="s">
        <v>587</v>
      </c>
      <c r="J179" s="412" t="s">
        <v>588</v>
      </c>
      <c r="K179" s="412" t="s">
        <v>589</v>
      </c>
      <c r="L179" s="412" t="s">
        <v>590</v>
      </c>
      <c r="M179" s="412" t="s">
        <v>586</v>
      </c>
      <c r="N179" s="1508" t="s">
        <v>577</v>
      </c>
    </row>
    <row r="180" spans="2:14" ht="31.5">
      <c r="B180" s="544" t="s">
        <v>1162</v>
      </c>
      <c r="C180" s="546">
        <v>1.3</v>
      </c>
      <c r="D180" s="546">
        <v>2.9</v>
      </c>
      <c r="E180" s="546">
        <v>2.9</v>
      </c>
      <c r="F180" s="546">
        <v>1.7</v>
      </c>
      <c r="G180" s="546">
        <v>4.5999999999999996</v>
      </c>
      <c r="H180" s="546">
        <v>4.5</v>
      </c>
      <c r="I180" s="546">
        <v>6.8</v>
      </c>
      <c r="J180" s="546">
        <v>3.7</v>
      </c>
      <c r="K180" s="546">
        <v>11.8</v>
      </c>
      <c r="L180" s="546">
        <v>6</v>
      </c>
      <c r="M180" s="546">
        <v>2.2000000000000002</v>
      </c>
      <c r="N180" s="546">
        <v>2.6</v>
      </c>
    </row>
    <row r="181" spans="2:14">
      <c r="B181" s="566" t="s">
        <v>829</v>
      </c>
      <c r="C181" s="323">
        <f>+N172*(C180/100+1)</f>
        <v>154.65990804367999</v>
      </c>
      <c r="D181" s="323">
        <f t="shared" ref="D181:N181" si="51">+C181*(D180/100+1)</f>
        <v>159.14504537694668</v>
      </c>
      <c r="E181" s="323">
        <f t="shared" si="51"/>
        <v>163.76025169287811</v>
      </c>
      <c r="F181" s="323">
        <f t="shared" si="51"/>
        <v>166.54417597165704</v>
      </c>
      <c r="G181" s="323">
        <f t="shared" si="51"/>
        <v>174.20520806635326</v>
      </c>
      <c r="H181" s="323">
        <f t="shared" si="51"/>
        <v>182.04444242933914</v>
      </c>
      <c r="I181" s="323">
        <f t="shared" si="51"/>
        <v>194.4234645145342</v>
      </c>
      <c r="J181" s="323">
        <f t="shared" si="51"/>
        <v>201.61713270157196</v>
      </c>
      <c r="K181" s="323">
        <f t="shared" si="51"/>
        <v>225.40795436035748</v>
      </c>
      <c r="L181" s="323">
        <f t="shared" si="51"/>
        <v>238.93243162197894</v>
      </c>
      <c r="M181" s="323">
        <f t="shared" si="51"/>
        <v>244.18894511766248</v>
      </c>
      <c r="N181" s="323">
        <f t="shared" si="51"/>
        <v>250.53785769072172</v>
      </c>
    </row>
    <row r="182" spans="2:14">
      <c r="B182" s="372" t="s">
        <v>728</v>
      </c>
      <c r="C182" s="1525">
        <v>19.850000000000001</v>
      </c>
      <c r="D182" s="283">
        <v>20.45</v>
      </c>
      <c r="E182" s="283">
        <v>20.45</v>
      </c>
      <c r="F182" s="283">
        <v>20.45</v>
      </c>
      <c r="G182" s="283">
        <v>25.4</v>
      </c>
      <c r="H182" s="283">
        <v>29.4</v>
      </c>
      <c r="I182" s="283">
        <v>27.8</v>
      </c>
      <c r="J182" s="283">
        <v>38.200000000000003</v>
      </c>
      <c r="K182" s="283">
        <v>40.5</v>
      </c>
      <c r="L182" s="283">
        <v>37.6</v>
      </c>
      <c r="M182" s="283">
        <v>38.6</v>
      </c>
      <c r="N182" s="283">
        <v>39.299999999999997</v>
      </c>
    </row>
    <row r="183" spans="2:14">
      <c r="B183" s="566" t="s">
        <v>830</v>
      </c>
      <c r="C183" s="1244">
        <f>ROUND(100*C182/$C$164,2)</f>
        <v>139.30000000000001</v>
      </c>
      <c r="D183" s="1244">
        <f t="shared" ref="D183" si="52">ROUND(100*D182/$C$164,2)</f>
        <v>143.51</v>
      </c>
      <c r="E183" s="1244">
        <f t="shared" ref="E183" si="53">ROUND(100*E182/$C$164,2)</f>
        <v>143.51</v>
      </c>
      <c r="F183" s="1244">
        <f t="shared" ref="F183" si="54">ROUND(100*F182/$C$164,2)</f>
        <v>143.51</v>
      </c>
      <c r="G183" s="1244">
        <f t="shared" ref="G183" si="55">ROUND(100*G182/$C$164,2)</f>
        <v>178.25</v>
      </c>
      <c r="H183" s="1244">
        <f t="shared" ref="H183" si="56">ROUND(100*H182/$C$164,2)</f>
        <v>206.32</v>
      </c>
      <c r="I183" s="1244">
        <f t="shared" ref="I183" si="57">ROUND(100*I182/$C$164,2)</f>
        <v>195.09</v>
      </c>
      <c r="J183" s="1244">
        <f t="shared" ref="J183" si="58">ROUND(100*J182/$C$164,2)</f>
        <v>268.07</v>
      </c>
      <c r="K183" s="1244">
        <f t="shared" ref="K183" si="59">ROUND(100*K182/$C$164,2)</f>
        <v>284.20999999999998</v>
      </c>
      <c r="L183" s="1244">
        <f t="shared" ref="L183" si="60">ROUND(100*L182/$C$164,2)</f>
        <v>263.86</v>
      </c>
      <c r="M183" s="1244">
        <f t="shared" ref="M183" si="61">ROUND(100*M182/$C$164,2)</f>
        <v>270.88</v>
      </c>
      <c r="N183" s="1244">
        <f t="shared" ref="N183" si="62">ROUND(100*N182/$C$164,2)</f>
        <v>275.79000000000002</v>
      </c>
    </row>
    <row r="184" spans="2:14" ht="16.5" thickBot="1">
      <c r="B184" s="369" t="s">
        <v>732</v>
      </c>
      <c r="C184" s="380"/>
      <c r="D184" s="380"/>
      <c r="E184" s="380"/>
      <c r="F184" s="380"/>
      <c r="G184" s="380"/>
      <c r="H184" s="380"/>
      <c r="I184" s="380"/>
      <c r="J184" s="380"/>
      <c r="K184" s="380"/>
      <c r="L184" s="380"/>
      <c r="M184" s="380"/>
      <c r="N184" s="380"/>
    </row>
    <row r="185" spans="2:14" ht="16.5" thickBot="1">
      <c r="B185" s="1243" t="s">
        <v>733</v>
      </c>
      <c r="C185" s="337">
        <f>ROUND(($H$9*C181+$H$10*C183),2)</f>
        <v>148.52000000000001</v>
      </c>
      <c r="D185" s="337">
        <f>ROUND(($H$9*D181+$H$10*D183),2)</f>
        <v>152.88999999999999</v>
      </c>
      <c r="E185" s="337">
        <f t="shared" ref="E185:J185" si="63">ROUND(($H$9*E181+$H$10*E183),2)</f>
        <v>155.66</v>
      </c>
      <c r="F185" s="337">
        <f t="shared" si="63"/>
        <v>157.33000000000001</v>
      </c>
      <c r="G185" s="337">
        <f t="shared" si="63"/>
        <v>175.82</v>
      </c>
      <c r="H185" s="337">
        <f t="shared" si="63"/>
        <v>191.75</v>
      </c>
      <c r="I185" s="337">
        <f t="shared" si="63"/>
        <v>194.69</v>
      </c>
      <c r="J185" s="337">
        <f t="shared" si="63"/>
        <v>228.2</v>
      </c>
      <c r="K185" s="337">
        <f>ROUND(($H$9*K181+$H$10*K183),2)</f>
        <v>248.93</v>
      </c>
      <c r="L185" s="337">
        <f>ROUND(($H$9*L181+$H$10*L183),2)</f>
        <v>248.9</v>
      </c>
      <c r="M185" s="337">
        <f>ROUND(($H$9*M181+$H$10*M183),2)</f>
        <v>254.87</v>
      </c>
      <c r="N185" s="337">
        <f>ROUND(($H$9*N181+$H$10*N183),2)</f>
        <v>260.64</v>
      </c>
    </row>
    <row r="186" spans="2:14" ht="16.5" thickBot="1"/>
    <row r="187" spans="2:14">
      <c r="B187" s="2844" t="s">
        <v>673</v>
      </c>
      <c r="C187" s="2568">
        <v>2019</v>
      </c>
      <c r="D187" s="2569"/>
      <c r="E187" s="2569"/>
      <c r="F187" s="2569"/>
      <c r="G187" s="2569"/>
      <c r="H187" s="2569"/>
      <c r="I187" s="2569"/>
      <c r="J187" s="2569"/>
      <c r="K187" s="2569"/>
      <c r="L187" s="2569"/>
      <c r="M187" s="2570"/>
      <c r="N187" s="2571"/>
    </row>
    <row r="188" spans="2:14" ht="16.5" thickBot="1">
      <c r="B188" s="2776"/>
      <c r="C188" s="412" t="s">
        <v>578</v>
      </c>
      <c r="D188" s="412" t="s">
        <v>579</v>
      </c>
      <c r="E188" s="412" t="s">
        <v>580</v>
      </c>
      <c r="F188" s="412" t="s">
        <v>581</v>
      </c>
      <c r="G188" s="412" t="s">
        <v>582</v>
      </c>
      <c r="H188" s="412" t="s">
        <v>583</v>
      </c>
      <c r="I188" s="412" t="s">
        <v>587</v>
      </c>
      <c r="J188" s="412" t="s">
        <v>588</v>
      </c>
      <c r="K188" s="412" t="s">
        <v>589</v>
      </c>
      <c r="L188" s="412" t="s">
        <v>590</v>
      </c>
      <c r="M188" s="412" t="s">
        <v>586</v>
      </c>
      <c r="N188" s="1508" t="s">
        <v>577</v>
      </c>
    </row>
    <row r="189" spans="2:14" ht="31.5">
      <c r="B189" s="544" t="s">
        <v>1162</v>
      </c>
      <c r="C189" s="546">
        <v>4.5</v>
      </c>
      <c r="D189" s="546">
        <v>2.6</v>
      </c>
      <c r="E189" s="546">
        <v>3.1</v>
      </c>
      <c r="F189" s="546">
        <v>4.5</v>
      </c>
      <c r="G189" s="546">
        <v>2.8</v>
      </c>
      <c r="H189" s="546">
        <v>2.9</v>
      </c>
      <c r="I189" s="546">
        <v>0.8</v>
      </c>
      <c r="J189" s="546">
        <v>7.6</v>
      </c>
      <c r="K189" s="546">
        <v>9</v>
      </c>
      <c r="L189" s="546">
        <v>4.9000000000000004</v>
      </c>
      <c r="M189" s="546">
        <v>6.5</v>
      </c>
      <c r="N189" s="546">
        <v>5.6</v>
      </c>
    </row>
    <row r="190" spans="2:14">
      <c r="B190" s="566" t="s">
        <v>829</v>
      </c>
      <c r="C190" s="323">
        <f>+N181*(C189/100+1)</f>
        <v>261.81206128680418</v>
      </c>
      <c r="D190" s="323">
        <f t="shared" ref="D190:N190" si="64">+C190*(D189/100+1)</f>
        <v>268.61917488026108</v>
      </c>
      <c r="E190" s="323">
        <f t="shared" si="64"/>
        <v>276.94636930154917</v>
      </c>
      <c r="F190" s="323">
        <f t="shared" si="64"/>
        <v>289.40895592011884</v>
      </c>
      <c r="G190" s="323">
        <f t="shared" si="64"/>
        <v>297.51240668588218</v>
      </c>
      <c r="H190" s="323">
        <f t="shared" si="64"/>
        <v>306.14026647977272</v>
      </c>
      <c r="I190" s="323">
        <f t="shared" si="64"/>
        <v>308.5893886116109</v>
      </c>
      <c r="J190" s="323">
        <f t="shared" si="64"/>
        <v>332.04218214609335</v>
      </c>
      <c r="K190" s="323">
        <f t="shared" si="64"/>
        <v>361.92597853924178</v>
      </c>
      <c r="L190" s="323">
        <f t="shared" si="64"/>
        <v>379.66035148766463</v>
      </c>
      <c r="M190" s="323">
        <f t="shared" si="64"/>
        <v>404.33827433436278</v>
      </c>
      <c r="N190" s="323">
        <f t="shared" si="64"/>
        <v>426.98121769708712</v>
      </c>
    </row>
    <row r="191" spans="2:14">
      <c r="B191" s="372" t="s">
        <v>728</v>
      </c>
      <c r="C191" s="1525">
        <v>38.4</v>
      </c>
      <c r="D191" s="283">
        <v>39.700000000000003</v>
      </c>
      <c r="E191" s="283">
        <v>44.6</v>
      </c>
      <c r="F191" s="283">
        <v>45.3</v>
      </c>
      <c r="G191" s="283">
        <v>45.5</v>
      </c>
      <c r="H191" s="283">
        <v>43.7</v>
      </c>
      <c r="I191" s="283">
        <v>44.9</v>
      </c>
      <c r="J191" s="283">
        <v>60</v>
      </c>
      <c r="K191" s="283">
        <v>59</v>
      </c>
      <c r="L191" s="283">
        <v>63.5</v>
      </c>
      <c r="M191" s="283">
        <v>62.25</v>
      </c>
      <c r="N191" s="283">
        <v>63</v>
      </c>
    </row>
    <row r="192" spans="2:14">
      <c r="B192" s="566" t="s">
        <v>830</v>
      </c>
      <c r="C192" s="1244">
        <f>ROUND(100*C191/$C$164,2)</f>
        <v>269.47000000000003</v>
      </c>
      <c r="D192" s="1244">
        <f t="shared" ref="D192" si="65">ROUND(100*D191/$C$164,2)</f>
        <v>278.60000000000002</v>
      </c>
      <c r="E192" s="1244">
        <f t="shared" ref="E192" si="66">ROUND(100*E191/$C$164,2)</f>
        <v>312.98</v>
      </c>
      <c r="F192" s="1244">
        <f t="shared" ref="F192" si="67">ROUND(100*F191/$C$164,2)</f>
        <v>317.89</v>
      </c>
      <c r="G192" s="1244">
        <f t="shared" ref="G192" si="68">ROUND(100*G191/$C$164,2)</f>
        <v>319.3</v>
      </c>
      <c r="H192" s="1244">
        <f t="shared" ref="H192" si="69">ROUND(100*H191/$C$164,2)</f>
        <v>306.67</v>
      </c>
      <c r="I192" s="1244">
        <f t="shared" ref="I192" si="70">ROUND(100*I191/$C$164,2)</f>
        <v>315.08999999999997</v>
      </c>
      <c r="J192" s="1244">
        <f t="shared" ref="J192" si="71">ROUND(100*J191/$C$164,2)</f>
        <v>421.05</v>
      </c>
      <c r="K192" s="1244">
        <f t="shared" ref="K192" si="72">ROUND(100*K191/$C$164,2)</f>
        <v>414.04</v>
      </c>
      <c r="L192" s="1244">
        <f t="shared" ref="L192" si="73">ROUND(100*L191/$C$164,2)</f>
        <v>445.61</v>
      </c>
      <c r="M192" s="1244">
        <f t="shared" ref="M192" si="74">ROUND(100*M191/$C$164,2)</f>
        <v>436.84</v>
      </c>
      <c r="N192" s="1244">
        <f t="shared" ref="N192" si="75">ROUND(100*N191/$C$164,2)</f>
        <v>442.11</v>
      </c>
    </row>
    <row r="193" spans="2:14" ht="16.5" thickBot="1">
      <c r="B193" s="369" t="s">
        <v>732</v>
      </c>
      <c r="C193" s="380"/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0"/>
    </row>
    <row r="194" spans="2:14" ht="16.5" thickBot="1">
      <c r="B194" s="1243" t="s">
        <v>733</v>
      </c>
      <c r="C194" s="337">
        <f>ROUND(($H$9*C190+$H$10*C192),2)</f>
        <v>264.88</v>
      </c>
      <c r="D194" s="337">
        <f>ROUND(($H$9*D190+$H$10*D192),2)</f>
        <v>272.61</v>
      </c>
      <c r="E194" s="337">
        <f t="shared" ref="E194:J194" si="76">ROUND(($H$9*E190+$H$10*E192),2)</f>
        <v>291.36</v>
      </c>
      <c r="F194" s="337">
        <f t="shared" si="76"/>
        <v>300.8</v>
      </c>
      <c r="G194" s="337">
        <f t="shared" si="76"/>
        <v>306.23</v>
      </c>
      <c r="H194" s="337">
        <f t="shared" si="76"/>
        <v>306.35000000000002</v>
      </c>
      <c r="I194" s="337">
        <f t="shared" si="76"/>
        <v>311.19</v>
      </c>
      <c r="J194" s="337">
        <f t="shared" si="76"/>
        <v>367.65</v>
      </c>
      <c r="K194" s="337">
        <f>ROUND(($H$9*K190+$H$10*K192),2)</f>
        <v>382.77</v>
      </c>
      <c r="L194" s="337">
        <f>ROUND(($H$9*L190+$H$10*L192),2)</f>
        <v>406.04</v>
      </c>
      <c r="M194" s="337">
        <f>ROUND(($H$9*M190+$H$10*M192),2)</f>
        <v>417.34</v>
      </c>
      <c r="N194" s="337">
        <f>ROUND(($H$9*N190+$H$10*N192),2)</f>
        <v>433.03</v>
      </c>
    </row>
    <row r="195" spans="2:14" ht="16.5" thickBot="1"/>
    <row r="196" spans="2:14">
      <c r="B196" s="2844" t="s">
        <v>673</v>
      </c>
      <c r="C196" s="2568">
        <v>2020</v>
      </c>
      <c r="D196" s="2569"/>
      <c r="E196" s="2569"/>
      <c r="F196" s="2569"/>
      <c r="G196" s="2569"/>
      <c r="H196" s="2569"/>
      <c r="I196" s="2569"/>
      <c r="J196" s="2569"/>
      <c r="K196" s="2569"/>
      <c r="L196" s="2569"/>
      <c r="M196" s="2570"/>
      <c r="N196" s="2571"/>
    </row>
    <row r="197" spans="2:14" ht="16.5" thickBot="1">
      <c r="B197" s="2776"/>
      <c r="C197" s="412" t="s">
        <v>578</v>
      </c>
      <c r="D197" s="412" t="s">
        <v>579</v>
      </c>
      <c r="E197" s="412" t="s">
        <v>580</v>
      </c>
      <c r="F197" s="412" t="s">
        <v>581</v>
      </c>
      <c r="G197" s="412" t="s">
        <v>582</v>
      </c>
      <c r="H197" s="412" t="s">
        <v>583</v>
      </c>
      <c r="I197" s="412" t="s">
        <v>587</v>
      </c>
      <c r="J197" s="412" t="s">
        <v>588</v>
      </c>
      <c r="K197" s="412" t="s">
        <v>589</v>
      </c>
      <c r="L197" s="412" t="s">
        <v>590</v>
      </c>
      <c r="M197" s="412" t="s">
        <v>586</v>
      </c>
      <c r="N197" s="1508" t="s">
        <v>577</v>
      </c>
    </row>
    <row r="198" spans="2:14" ht="31.5">
      <c r="B198" s="544" t="s">
        <v>1162</v>
      </c>
      <c r="C198" s="546">
        <v>3.5</v>
      </c>
      <c r="D198" s="546">
        <v>2</v>
      </c>
      <c r="E198" s="546">
        <v>2.5</v>
      </c>
      <c r="F198" s="546">
        <v>1.6</v>
      </c>
      <c r="G198" s="546">
        <v>1.5</v>
      </c>
      <c r="H198" s="546">
        <v>1.8</v>
      </c>
      <c r="I198" s="546">
        <v>3.5</v>
      </c>
      <c r="J198" s="546">
        <v>3.9</v>
      </c>
      <c r="K198" s="546">
        <v>3.8</v>
      </c>
      <c r="L198" s="546">
        <v>3.83</v>
      </c>
      <c r="M198" s="546">
        <v>4.9000000000000004</v>
      </c>
      <c r="N198" s="546">
        <v>4.5999999999999996</v>
      </c>
    </row>
    <row r="199" spans="2:14">
      <c r="B199" s="566" t="s">
        <v>829</v>
      </c>
      <c r="C199" s="323">
        <f>+N190*(C198/100+1)</f>
        <v>441.92556031648513</v>
      </c>
      <c r="D199" s="323">
        <f t="shared" ref="D199:N199" si="77">+C199*(D198/100+1)</f>
        <v>450.76407152281485</v>
      </c>
      <c r="E199" s="323">
        <f t="shared" si="77"/>
        <v>462.03317331088516</v>
      </c>
      <c r="F199" s="323">
        <f t="shared" si="77"/>
        <v>469.42570408385933</v>
      </c>
      <c r="G199" s="323">
        <f t="shared" si="77"/>
        <v>476.4670896451172</v>
      </c>
      <c r="H199" s="323">
        <f t="shared" si="77"/>
        <v>485.0434972587293</v>
      </c>
      <c r="I199" s="323">
        <f t="shared" si="77"/>
        <v>502.02001966278476</v>
      </c>
      <c r="J199" s="323">
        <f t="shared" si="77"/>
        <v>521.59880042963334</v>
      </c>
      <c r="K199" s="323">
        <f t="shared" si="77"/>
        <v>541.4195548459594</v>
      </c>
      <c r="L199" s="323">
        <f t="shared" si="77"/>
        <v>562.15592379655959</v>
      </c>
      <c r="M199" s="323">
        <f t="shared" si="77"/>
        <v>589.70156406259093</v>
      </c>
      <c r="N199" s="323">
        <f t="shared" si="77"/>
        <v>616.82783600947016</v>
      </c>
    </row>
    <row r="200" spans="2:14">
      <c r="B200" s="372" t="s">
        <v>728</v>
      </c>
      <c r="C200" s="1525">
        <v>63</v>
      </c>
      <c r="D200" s="1856">
        <v>63.75</v>
      </c>
      <c r="E200" s="1856">
        <v>65.75</v>
      </c>
      <c r="F200" s="1890">
        <v>68.75</v>
      </c>
      <c r="G200" s="1856">
        <v>70.25</v>
      </c>
      <c r="H200" s="1856">
        <v>73.5</v>
      </c>
      <c r="I200" s="1856">
        <v>76.25</v>
      </c>
      <c r="J200" s="1907">
        <v>78</v>
      </c>
      <c r="K200" s="1911">
        <v>80</v>
      </c>
      <c r="L200" s="1856">
        <v>83.5</v>
      </c>
      <c r="M200" s="1912">
        <v>86.5</v>
      </c>
      <c r="N200" s="1914">
        <v>89.25</v>
      </c>
    </row>
    <row r="201" spans="2:14">
      <c r="B201" s="566" t="s">
        <v>830</v>
      </c>
      <c r="C201" s="1244">
        <f>ROUND(100*C200/$C$164,2)</f>
        <v>442.11</v>
      </c>
      <c r="D201" s="1244">
        <f t="shared" ref="D201" si="78">ROUND(100*D200/$C$164,2)</f>
        <v>447.37</v>
      </c>
      <c r="E201" s="1244">
        <f t="shared" ref="E201" si="79">ROUND(100*E200/$C$164,2)</f>
        <v>461.4</v>
      </c>
      <c r="F201" s="1244">
        <f t="shared" ref="F201" si="80">ROUND(100*F200/$C$164,2)</f>
        <v>482.46</v>
      </c>
      <c r="G201" s="1244">
        <f t="shared" ref="G201" si="81">ROUND(100*G200/$C$164,2)</f>
        <v>492.98</v>
      </c>
      <c r="H201" s="1244">
        <f t="shared" ref="H201" si="82">ROUND(100*H200/$C$164,2)</f>
        <v>515.79</v>
      </c>
      <c r="I201" s="1244">
        <f t="shared" ref="I201" si="83">ROUND(100*I200/$C$164,2)</f>
        <v>535.09</v>
      </c>
      <c r="J201" s="1244">
        <f t="shared" ref="J201" si="84">ROUND(100*J200/$C$164,2)</f>
        <v>547.37</v>
      </c>
      <c r="K201" s="1244">
        <f t="shared" ref="K201" si="85">ROUND(100*K200/$C$164,2)</f>
        <v>561.4</v>
      </c>
      <c r="L201" s="1244">
        <f t="shared" ref="L201" si="86">ROUND(100*L200/$C$164,2)</f>
        <v>585.96</v>
      </c>
      <c r="M201" s="1244">
        <f t="shared" ref="M201" si="87">ROUND(100*M200/$C$164,2)</f>
        <v>607.02</v>
      </c>
      <c r="N201" s="1244">
        <f t="shared" ref="N201" si="88">ROUND(100*N200/$C$164,2)</f>
        <v>626.32000000000005</v>
      </c>
    </row>
    <row r="202" spans="2:14" ht="16.5" thickBot="1">
      <c r="B202" s="369" t="s">
        <v>732</v>
      </c>
      <c r="C202" s="380"/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0"/>
    </row>
    <row r="203" spans="2:14" ht="16.5" thickBot="1">
      <c r="B203" s="1243" t="s">
        <v>733</v>
      </c>
      <c r="C203" s="337">
        <f>ROUND(($H$9*C199+$H$10*C201),2)</f>
        <v>442</v>
      </c>
      <c r="D203" s="337">
        <f>ROUND(($H$9*D199+$H$10*D201),2)</f>
        <v>449.41</v>
      </c>
      <c r="E203" s="337">
        <f t="shared" ref="E203" si="89">ROUND(($H$9*E199+$H$10*E201),2)</f>
        <v>461.78</v>
      </c>
      <c r="F203" s="337">
        <f t="shared" ref="F203:H203" si="90">ROUND(($H$9*F199+$H$10*F201),2)</f>
        <v>474.64</v>
      </c>
      <c r="G203" s="337">
        <f t="shared" si="90"/>
        <v>483.07</v>
      </c>
      <c r="H203" s="337">
        <f t="shared" si="90"/>
        <v>497.34</v>
      </c>
      <c r="I203" s="337">
        <f t="shared" ref="I203:J203" si="91">ROUND(($H$9*I199+$H$10*I201),2)</f>
        <v>515.25</v>
      </c>
      <c r="J203" s="337">
        <f t="shared" si="91"/>
        <v>531.91</v>
      </c>
      <c r="K203" s="337">
        <f t="shared" ref="K203:L203" si="92">ROUND(($H$9*K199+$H$10*K201),2)</f>
        <v>549.41</v>
      </c>
      <c r="L203" s="337">
        <f t="shared" si="92"/>
        <v>571.67999999999995</v>
      </c>
      <c r="M203" s="337">
        <f t="shared" ref="M203:N203" si="93">ROUND(($H$9*M199+$H$10*M201),2)</f>
        <v>596.63</v>
      </c>
      <c r="N203" s="337">
        <f t="shared" si="93"/>
        <v>620.62</v>
      </c>
    </row>
    <row r="204" spans="2:14" ht="16.5" thickBot="1"/>
    <row r="205" spans="2:14">
      <c r="B205" s="2844" t="s">
        <v>673</v>
      </c>
      <c r="C205" s="2568">
        <v>2021</v>
      </c>
      <c r="D205" s="2569"/>
      <c r="E205" s="2569"/>
      <c r="F205" s="2569"/>
      <c r="G205" s="2569"/>
      <c r="H205" s="2569"/>
      <c r="I205" s="2569"/>
      <c r="J205" s="2569"/>
      <c r="K205" s="2569"/>
      <c r="L205" s="2569"/>
      <c r="M205" s="2570"/>
      <c r="N205" s="2571"/>
    </row>
    <row r="206" spans="2:14" ht="16.5" thickBot="1">
      <c r="B206" s="2776"/>
      <c r="C206" s="412" t="s">
        <v>578</v>
      </c>
      <c r="D206" s="412" t="s">
        <v>579</v>
      </c>
      <c r="E206" s="412" t="s">
        <v>580</v>
      </c>
      <c r="F206" s="412" t="s">
        <v>581</v>
      </c>
      <c r="G206" s="412" t="s">
        <v>582</v>
      </c>
      <c r="H206" s="412" t="s">
        <v>583</v>
      </c>
      <c r="I206" s="412" t="s">
        <v>587</v>
      </c>
      <c r="J206" s="412" t="s">
        <v>588</v>
      </c>
      <c r="K206" s="412" t="s">
        <v>589</v>
      </c>
      <c r="L206" s="412" t="s">
        <v>590</v>
      </c>
      <c r="M206" s="412" t="s">
        <v>586</v>
      </c>
      <c r="N206" s="1508" t="s">
        <v>577</v>
      </c>
    </row>
    <row r="207" spans="2:14" ht="31.5">
      <c r="B207" s="544" t="s">
        <v>1162</v>
      </c>
      <c r="C207" s="546">
        <v>2.9</v>
      </c>
      <c r="D207" s="546">
        <v>5.3</v>
      </c>
      <c r="E207" s="546">
        <v>3.8</v>
      </c>
      <c r="F207" s="546">
        <v>4.5</v>
      </c>
      <c r="G207" s="546">
        <v>4.8</v>
      </c>
      <c r="H207" s="546">
        <v>2.4</v>
      </c>
      <c r="I207" s="546">
        <v>3.4</v>
      </c>
      <c r="J207" s="546">
        <v>3.7</v>
      </c>
      <c r="K207" s="546">
        <v>2.4</v>
      </c>
      <c r="L207" s="546">
        <v>3.8</v>
      </c>
      <c r="M207" s="546">
        <v>2.4</v>
      </c>
      <c r="N207" s="546">
        <v>2.5</v>
      </c>
    </row>
    <row r="208" spans="2:14">
      <c r="B208" s="566" t="s">
        <v>829</v>
      </c>
      <c r="C208" s="323">
        <f>+N199*(C207/100+1)</f>
        <v>634.71584325374477</v>
      </c>
      <c r="D208" s="323">
        <f t="shared" ref="D208:N208" si="94">+C208*(D207/100+1)</f>
        <v>668.35578294619324</v>
      </c>
      <c r="E208" s="323">
        <f t="shared" si="94"/>
        <v>693.75330269814856</v>
      </c>
      <c r="F208" s="323">
        <f t="shared" si="94"/>
        <v>724.97220131956522</v>
      </c>
      <c r="G208" s="323">
        <f t="shared" si="94"/>
        <v>759.77086698290441</v>
      </c>
      <c r="H208" s="323">
        <f t="shared" si="94"/>
        <v>778.00536779049412</v>
      </c>
      <c r="I208" s="323">
        <f t="shared" si="94"/>
        <v>804.45755029537099</v>
      </c>
      <c r="J208" s="323">
        <f t="shared" si="94"/>
        <v>834.2224796562997</v>
      </c>
      <c r="K208" s="323">
        <f t="shared" si="94"/>
        <v>854.24381916805089</v>
      </c>
      <c r="L208" s="323">
        <f t="shared" si="94"/>
        <v>886.70508429643689</v>
      </c>
      <c r="M208" s="323">
        <f t="shared" si="94"/>
        <v>907.98600631955139</v>
      </c>
      <c r="N208" s="323">
        <f t="shared" si="94"/>
        <v>930.68565647754008</v>
      </c>
    </row>
    <row r="209" spans="2:14">
      <c r="B209" s="372" t="s">
        <v>728</v>
      </c>
      <c r="C209" s="1525">
        <v>92</v>
      </c>
      <c r="D209" s="1525">
        <v>94.5</v>
      </c>
      <c r="E209" s="1525">
        <v>97.25</v>
      </c>
      <c r="F209" s="1923">
        <v>98.5</v>
      </c>
      <c r="G209" s="1923">
        <v>100</v>
      </c>
      <c r="H209" s="1923">
        <v>100.75</v>
      </c>
      <c r="I209" s="1971">
        <v>101.75</v>
      </c>
      <c r="J209" s="1972">
        <v>102.75</v>
      </c>
      <c r="K209" s="1973">
        <v>103.75</v>
      </c>
      <c r="L209" s="1974">
        <v>105</v>
      </c>
      <c r="M209" s="1975">
        <v>105.75</v>
      </c>
      <c r="N209" s="1976">
        <v>107.75</v>
      </c>
    </row>
    <row r="210" spans="2:14">
      <c r="B210" s="566" t="s">
        <v>830</v>
      </c>
      <c r="C210" s="1244">
        <f>ROUND(100*C209/$C$164,2)</f>
        <v>645.61</v>
      </c>
      <c r="D210" s="1244">
        <f t="shared" ref="D210" si="95">ROUND(100*D209/$C$164,2)</f>
        <v>663.16</v>
      </c>
      <c r="E210" s="1244">
        <f t="shared" ref="E210" si="96">ROUND(100*E209/$C$164,2)</f>
        <v>682.46</v>
      </c>
      <c r="F210" s="1244">
        <f t="shared" ref="F210" si="97">ROUND(100*F209/$C$164,2)</f>
        <v>691.23</v>
      </c>
      <c r="G210" s="1244">
        <f t="shared" ref="G210" si="98">ROUND(100*G209/$C$164,2)</f>
        <v>701.75</v>
      </c>
      <c r="H210" s="1244">
        <f t="shared" ref="H210" si="99">ROUND(100*H209/$C$164,2)</f>
        <v>707.02</v>
      </c>
      <c r="I210" s="1244">
        <f t="shared" ref="I210" si="100">ROUND(100*I209/$C$164,2)</f>
        <v>714.04</v>
      </c>
      <c r="J210" s="1244">
        <f t="shared" ref="J210" si="101">ROUND(100*J209/$C$164,2)</f>
        <v>721.05</v>
      </c>
      <c r="K210" s="1244">
        <f t="shared" ref="K210" si="102">ROUND(100*K209/$C$164,2)</f>
        <v>728.07</v>
      </c>
      <c r="L210" s="1244">
        <f t="shared" ref="L210" si="103">ROUND(100*L209/$C$164,2)</f>
        <v>736.84</v>
      </c>
      <c r="M210" s="1244">
        <f t="shared" ref="M210" si="104">ROUND(100*M209/$C$164,2)</f>
        <v>742.11</v>
      </c>
      <c r="N210" s="1244">
        <f t="shared" ref="N210" si="105">ROUND(100*N209/$C$164,2)</f>
        <v>756.14</v>
      </c>
    </row>
    <row r="211" spans="2:14" ht="16.5" thickBot="1">
      <c r="B211" s="369" t="s">
        <v>732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</row>
    <row r="212" spans="2:14" ht="16.5" thickBot="1">
      <c r="B212" s="1243" t="s">
        <v>733</v>
      </c>
      <c r="C212" s="337">
        <f>ROUND(($H$9*C208+$H$10*C210),2)</f>
        <v>639.07000000000005</v>
      </c>
      <c r="D212" s="337">
        <f>ROUND(($H$9*D208+$H$10*D210),2)</f>
        <v>666.28</v>
      </c>
      <c r="E212" s="337">
        <f>ROUND(($H$9*E208+$H$10*E210),2)</f>
        <v>689.24</v>
      </c>
      <c r="F212" s="337">
        <f>ROUND(($H$9*F208+$H$10*F210),2)</f>
        <v>711.48</v>
      </c>
      <c r="G212" s="337">
        <f t="shared" ref="G212:H212" si="106">ROUND(($H$9*G208+$H$10*G210),2)</f>
        <v>736.56</v>
      </c>
      <c r="H212" s="337">
        <f t="shared" si="106"/>
        <v>749.61</v>
      </c>
      <c r="I212" s="337">
        <f t="shared" ref="I212:J212" si="107">ROUND(($H$9*I208+$H$10*I210),2)</f>
        <v>768.29</v>
      </c>
      <c r="J212" s="337">
        <f t="shared" si="107"/>
        <v>788.95</v>
      </c>
      <c r="K212" s="337">
        <f t="shared" ref="K212:L212" si="108">ROUND(($H$9*K208+$H$10*K210),2)</f>
        <v>803.77</v>
      </c>
      <c r="L212" s="337">
        <f t="shared" si="108"/>
        <v>826.76</v>
      </c>
      <c r="M212" s="337">
        <f t="shared" ref="M212:N212" si="109">ROUND(($H$9*M208+$H$10*M210),2)</f>
        <v>841.64</v>
      </c>
      <c r="N212" s="337">
        <f t="shared" si="109"/>
        <v>860.87</v>
      </c>
    </row>
    <row r="213" spans="2:14" ht="16.5" thickBot="1"/>
    <row r="214" spans="2:14">
      <c r="B214" s="2844" t="s">
        <v>673</v>
      </c>
      <c r="C214" s="2568">
        <v>2022</v>
      </c>
      <c r="D214" s="2569"/>
      <c r="E214" s="2569"/>
      <c r="F214" s="2569"/>
      <c r="G214" s="2569"/>
      <c r="H214" s="2569"/>
      <c r="I214" s="2569"/>
      <c r="J214" s="2569"/>
      <c r="K214" s="2569"/>
      <c r="L214" s="2569"/>
      <c r="M214" s="2570"/>
      <c r="N214" s="2571"/>
    </row>
    <row r="215" spans="2:14" ht="16.5" thickBot="1">
      <c r="B215" s="2776"/>
      <c r="C215" s="412" t="s">
        <v>578</v>
      </c>
      <c r="D215" s="412" t="s">
        <v>579</v>
      </c>
      <c r="E215" s="412" t="s">
        <v>580</v>
      </c>
      <c r="F215" s="412" t="s">
        <v>581</v>
      </c>
      <c r="G215" s="412" t="s">
        <v>582</v>
      </c>
      <c r="H215" s="412" t="s">
        <v>583</v>
      </c>
      <c r="I215" s="412" t="s">
        <v>587</v>
      </c>
      <c r="J215" s="412" t="s">
        <v>588</v>
      </c>
      <c r="K215" s="412" t="s">
        <v>589</v>
      </c>
      <c r="L215" s="412" t="s">
        <v>590</v>
      </c>
      <c r="M215" s="412" t="s">
        <v>586</v>
      </c>
      <c r="N215" s="1508" t="s">
        <v>577</v>
      </c>
    </row>
    <row r="216" spans="2:14" ht="31.5">
      <c r="B216" s="544" t="s">
        <v>1162</v>
      </c>
      <c r="C216" s="546">
        <v>3.1</v>
      </c>
      <c r="D216" s="546">
        <v>3.7</v>
      </c>
      <c r="E216" s="546">
        <v>3.6</v>
      </c>
      <c r="F216" s="546">
        <v>7.2</v>
      </c>
      <c r="G216" s="546">
        <v>5.5</v>
      </c>
      <c r="H216" s="546">
        <v>6.1</v>
      </c>
      <c r="I216" s="546">
        <v>6.6</v>
      </c>
      <c r="J216" s="546">
        <v>8.1</v>
      </c>
      <c r="K216" s="546">
        <v>7.9</v>
      </c>
      <c r="L216" s="546">
        <v>7.3</v>
      </c>
      <c r="M216" s="546">
        <v>6.1</v>
      </c>
      <c r="N216" s="546">
        <v>5.4</v>
      </c>
    </row>
    <row r="217" spans="2:14">
      <c r="B217" s="566" t="s">
        <v>829</v>
      </c>
      <c r="C217" s="323">
        <f>+N208*(C216/100+1)</f>
        <v>959.5369118283437</v>
      </c>
      <c r="D217" s="323">
        <f t="shared" ref="D217:N217" si="110">+C217*(D216/100+1)</f>
        <v>995.03977756599238</v>
      </c>
      <c r="E217" s="323">
        <f t="shared" si="110"/>
        <v>1030.861209558368</v>
      </c>
      <c r="F217" s="323">
        <f t="shared" si="110"/>
        <v>1105.0832166465707</v>
      </c>
      <c r="G217" s="323">
        <f t="shared" si="110"/>
        <v>1165.8627935621321</v>
      </c>
      <c r="H217" s="323">
        <f t="shared" si="110"/>
        <v>1236.980423969422</v>
      </c>
      <c r="I217" s="323">
        <f t="shared" si="110"/>
        <v>1318.6211319514039</v>
      </c>
      <c r="J217" s="323">
        <f t="shared" si="110"/>
        <v>1425.4294436394675</v>
      </c>
      <c r="K217" s="323">
        <f t="shared" si="110"/>
        <v>1538.0383696869853</v>
      </c>
      <c r="L217" s="323">
        <f t="shared" si="110"/>
        <v>1650.3151706741353</v>
      </c>
      <c r="M217" s="323">
        <f t="shared" si="110"/>
        <v>1750.9843960852575</v>
      </c>
      <c r="N217" s="323">
        <f t="shared" si="110"/>
        <v>1845.5375534738614</v>
      </c>
    </row>
    <row r="218" spans="2:14">
      <c r="B218" s="372" t="s">
        <v>728</v>
      </c>
      <c r="C218" s="1525">
        <v>110.25</v>
      </c>
      <c r="D218" s="1525">
        <v>112.5</v>
      </c>
      <c r="E218" s="1525">
        <v>116</v>
      </c>
      <c r="F218" s="1525">
        <v>120.25</v>
      </c>
      <c r="G218" s="1983">
        <v>125.25</v>
      </c>
      <c r="H218" s="1983">
        <v>129.75</v>
      </c>
      <c r="I218" s="1983">
        <v>137.25</v>
      </c>
      <c r="J218" s="1983">
        <v>141.75</v>
      </c>
      <c r="K218" s="1983">
        <v>153</v>
      </c>
      <c r="L218" s="1983">
        <v>162.5</v>
      </c>
      <c r="M218" s="1983">
        <v>174.25</v>
      </c>
      <c r="N218" s="2399">
        <v>174.25</v>
      </c>
    </row>
    <row r="219" spans="2:14">
      <c r="B219" s="566" t="s">
        <v>830</v>
      </c>
      <c r="C219" s="1244">
        <f>ROUND(100*C218/$C$164,2)</f>
        <v>773.68</v>
      </c>
      <c r="D219" s="1244">
        <f t="shared" ref="D219" si="111">ROUND(100*D218/$C$164,2)</f>
        <v>789.47</v>
      </c>
      <c r="E219" s="1244">
        <f t="shared" ref="E219" si="112">ROUND(100*E218/$C$164,2)</f>
        <v>814.04</v>
      </c>
      <c r="F219" s="1244">
        <f t="shared" ref="F219" si="113">ROUND(100*F218/$C$164,2)</f>
        <v>843.86</v>
      </c>
      <c r="G219" s="1244">
        <f t="shared" ref="G219" si="114">ROUND(100*G218/$C$164,2)</f>
        <v>878.95</v>
      </c>
      <c r="H219" s="1244">
        <f t="shared" ref="H219" si="115">ROUND(100*H218/$C$164,2)</f>
        <v>910.53</v>
      </c>
      <c r="I219" s="1244">
        <f t="shared" ref="I219" si="116">ROUND(100*I218/$C$164,2)</f>
        <v>963.16</v>
      </c>
      <c r="J219" s="1244">
        <f t="shared" ref="J219" si="117">ROUND(100*J218/$C$164,2)</f>
        <v>994.74</v>
      </c>
      <c r="K219" s="1244">
        <f t="shared" ref="K219" si="118">ROUND(100*K218/$C$164,2)</f>
        <v>1073.68</v>
      </c>
      <c r="L219" s="1244">
        <f t="shared" ref="L219" si="119">ROUND(100*L218/$C$164,2)</f>
        <v>1140.3499999999999</v>
      </c>
      <c r="M219" s="1244">
        <f t="shared" ref="M219" si="120">ROUND(100*M218/$C$164,2)</f>
        <v>1222.81</v>
      </c>
      <c r="N219" s="1244">
        <f t="shared" ref="N219" si="121">ROUND(100*N218/$C$164,2)</f>
        <v>1222.81</v>
      </c>
    </row>
    <row r="220" spans="2:14" ht="16.5" thickBot="1">
      <c r="B220" s="369" t="s">
        <v>732</v>
      </c>
      <c r="C220" s="380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</row>
    <row r="221" spans="2:14" ht="16.5" thickBot="1">
      <c r="B221" s="1243" t="s">
        <v>733</v>
      </c>
      <c r="C221" s="337">
        <f>ROUND(($H$9*C217+$H$10*C219),2)</f>
        <v>885.19</v>
      </c>
      <c r="D221" s="337">
        <f>ROUND(($H$9*D217+$H$10*D219),2)</f>
        <v>912.81</v>
      </c>
      <c r="E221" s="337">
        <f>ROUND(($H$9*E217+$H$10*E219),2)</f>
        <v>944.13</v>
      </c>
      <c r="F221" s="337">
        <f>ROUND(($H$9*F217+$H$10*F219),2)</f>
        <v>1000.59</v>
      </c>
      <c r="G221" s="337">
        <f t="shared" ref="G221:M221" si="122">ROUND(($H$9*G217+$H$10*G219),2)</f>
        <v>1051.0999999999999</v>
      </c>
      <c r="H221" s="337">
        <f t="shared" si="122"/>
        <v>1106.4000000000001</v>
      </c>
      <c r="I221" s="337">
        <f t="shared" ref="I221:J221" si="123">ROUND(($H$9*I217+$H$10*I219),2)</f>
        <v>1176.44</v>
      </c>
      <c r="J221" s="337">
        <f t="shared" si="123"/>
        <v>1253.1500000000001</v>
      </c>
      <c r="K221" s="337">
        <f t="shared" si="122"/>
        <v>1352.3</v>
      </c>
      <c r="L221" s="337">
        <f t="shared" si="122"/>
        <v>1446.33</v>
      </c>
      <c r="M221" s="337">
        <f t="shared" si="122"/>
        <v>1539.71</v>
      </c>
      <c r="N221" s="337">
        <f t="shared" ref="N221" si="124">ROUND(($H$9*N217+$H$10*N219),2)</f>
        <v>1596.45</v>
      </c>
    </row>
    <row r="222" spans="2:14" ht="16.5" thickBot="1"/>
    <row r="223" spans="2:14">
      <c r="B223" s="2844" t="s">
        <v>673</v>
      </c>
      <c r="C223" s="2568">
        <v>2023</v>
      </c>
      <c r="D223" s="2569"/>
      <c r="E223" s="2569"/>
      <c r="F223" s="2569"/>
      <c r="G223" s="2569"/>
      <c r="H223" s="2569"/>
      <c r="I223" s="2569"/>
      <c r="J223" s="2569"/>
      <c r="K223" s="2569"/>
      <c r="L223" s="2569"/>
      <c r="M223" s="2570"/>
      <c r="N223" s="2571"/>
    </row>
    <row r="224" spans="2:14" ht="16.5" thickBot="1">
      <c r="B224" s="2776"/>
      <c r="C224" s="412" t="s">
        <v>578</v>
      </c>
      <c r="D224" s="412" t="s">
        <v>579</v>
      </c>
      <c r="E224" s="412" t="s">
        <v>580</v>
      </c>
      <c r="F224" s="412" t="s">
        <v>581</v>
      </c>
      <c r="G224" s="412" t="s">
        <v>582</v>
      </c>
      <c r="H224" s="412" t="s">
        <v>583</v>
      </c>
      <c r="I224" s="412" t="s">
        <v>587</v>
      </c>
      <c r="J224" s="412" t="s">
        <v>588</v>
      </c>
      <c r="K224" s="412" t="s">
        <v>589</v>
      </c>
      <c r="L224" s="412" t="s">
        <v>590</v>
      </c>
      <c r="M224" s="412" t="s">
        <v>586</v>
      </c>
      <c r="N224" s="1508" t="s">
        <v>577</v>
      </c>
    </row>
    <row r="225" spans="2:14" ht="31.5">
      <c r="B225" s="544" t="s">
        <v>1162</v>
      </c>
      <c r="C225" s="546">
        <v>5.6</v>
      </c>
      <c r="D225" s="546">
        <v>5.2</v>
      </c>
      <c r="E225" s="546"/>
      <c r="F225" s="546"/>
      <c r="G225" s="546"/>
      <c r="H225" s="546"/>
      <c r="I225" s="546"/>
      <c r="J225" s="546"/>
      <c r="K225" s="546"/>
      <c r="L225" s="546"/>
      <c r="M225" s="546"/>
      <c r="N225" s="546"/>
    </row>
    <row r="226" spans="2:14">
      <c r="B226" s="566" t="s">
        <v>829</v>
      </c>
      <c r="C226" s="323">
        <f>+N217*(C225/100+1)</f>
        <v>1948.8876564683978</v>
      </c>
      <c r="D226" s="323">
        <f t="shared" ref="D226" si="125">+C226*(D225/100+1)</f>
        <v>2050.2298146047547</v>
      </c>
      <c r="E226" s="323"/>
      <c r="F226" s="323"/>
      <c r="G226" s="323"/>
      <c r="H226" s="323"/>
      <c r="I226" s="323"/>
      <c r="J226" s="323"/>
      <c r="K226" s="323"/>
      <c r="L226" s="323"/>
      <c r="M226" s="323"/>
      <c r="N226" s="323"/>
    </row>
    <row r="227" spans="2:14">
      <c r="B227" s="372" t="s">
        <v>728</v>
      </c>
      <c r="C227" s="1525">
        <v>193.25</v>
      </c>
      <c r="D227" s="1525">
        <v>204</v>
      </c>
      <c r="E227" s="1525"/>
      <c r="F227" s="1525"/>
      <c r="G227" s="2441"/>
      <c r="H227" s="2441"/>
      <c r="I227" s="2441"/>
      <c r="J227" s="2441"/>
      <c r="K227" s="2441"/>
      <c r="L227" s="2441"/>
      <c r="M227" s="2441"/>
      <c r="N227" s="2441"/>
    </row>
    <row r="228" spans="2:14">
      <c r="B228" s="566" t="s">
        <v>830</v>
      </c>
      <c r="C228" s="1244">
        <f>ROUND(100*C227/$C$164,2)</f>
        <v>1356.14</v>
      </c>
      <c r="D228" s="1244">
        <f t="shared" ref="D228:N228" si="126">ROUND(100*D227/$C$164,2)</f>
        <v>1431.58</v>
      </c>
      <c r="E228" s="1244">
        <f t="shared" si="126"/>
        <v>0</v>
      </c>
      <c r="F228" s="1244">
        <f t="shared" si="126"/>
        <v>0</v>
      </c>
      <c r="G228" s="1244">
        <f t="shared" si="126"/>
        <v>0</v>
      </c>
      <c r="H228" s="1244">
        <f t="shared" si="126"/>
        <v>0</v>
      </c>
      <c r="I228" s="1244">
        <f t="shared" si="126"/>
        <v>0</v>
      </c>
      <c r="J228" s="1244">
        <f t="shared" si="126"/>
        <v>0</v>
      </c>
      <c r="K228" s="1244">
        <f t="shared" si="126"/>
        <v>0</v>
      </c>
      <c r="L228" s="1244">
        <f t="shared" si="126"/>
        <v>0</v>
      </c>
      <c r="M228" s="1244">
        <f t="shared" si="126"/>
        <v>0</v>
      </c>
      <c r="N228" s="1244">
        <f t="shared" si="126"/>
        <v>0</v>
      </c>
    </row>
    <row r="229" spans="2:14" ht="16.5" thickBot="1">
      <c r="B229" s="369" t="s">
        <v>732</v>
      </c>
      <c r="C229" s="380"/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0"/>
    </row>
    <row r="230" spans="2:14" ht="16.5" thickBot="1">
      <c r="B230" s="1243" t="s">
        <v>733</v>
      </c>
      <c r="C230" s="337">
        <f>ROUND(($H$9*C226+$H$10*C228),2)</f>
        <v>1711.79</v>
      </c>
      <c r="D230" s="337">
        <f>ROUND(($H$9*D226+$H$10*D228),2)</f>
        <v>1802.77</v>
      </c>
      <c r="E230" s="337">
        <f>ROUND(($H$9*E226+$H$10*E228),2)</f>
        <v>0</v>
      </c>
      <c r="F230" s="337">
        <f>ROUND(($H$9*F226+$H$10*F228),2)</f>
        <v>0</v>
      </c>
      <c r="G230" s="337">
        <f t="shared" ref="G230:N230" si="127">ROUND(($H$9*G226+$H$10*G228),2)</f>
        <v>0</v>
      </c>
      <c r="H230" s="337">
        <f t="shared" si="127"/>
        <v>0</v>
      </c>
      <c r="I230" s="337">
        <f t="shared" si="127"/>
        <v>0</v>
      </c>
      <c r="J230" s="337">
        <f t="shared" si="127"/>
        <v>0</v>
      </c>
      <c r="K230" s="337">
        <f t="shared" si="127"/>
        <v>0</v>
      </c>
      <c r="L230" s="337">
        <f t="shared" si="127"/>
        <v>0</v>
      </c>
      <c r="M230" s="337">
        <f t="shared" si="127"/>
        <v>0</v>
      </c>
      <c r="N230" s="337">
        <f t="shared" si="127"/>
        <v>0</v>
      </c>
    </row>
  </sheetData>
  <mergeCells count="120">
    <mergeCell ref="D1:O1"/>
    <mergeCell ref="B9:G9"/>
    <mergeCell ref="B4:O4"/>
    <mergeCell ref="B46:B47"/>
    <mergeCell ref="C46:N46"/>
    <mergeCell ref="S27:U27"/>
    <mergeCell ref="B122:B123"/>
    <mergeCell ref="C122:N122"/>
    <mergeCell ref="B112:B113"/>
    <mergeCell ref="C112:N112"/>
    <mergeCell ref="S63:U63"/>
    <mergeCell ref="S64:U64"/>
    <mergeCell ref="S65:U65"/>
    <mergeCell ref="S66:U66"/>
    <mergeCell ref="S76:U76"/>
    <mergeCell ref="S77:U77"/>
    <mergeCell ref="S43:U43"/>
    <mergeCell ref="B68:B69"/>
    <mergeCell ref="C68:N68"/>
    <mergeCell ref="S52:U52"/>
    <mergeCell ref="B23:B24"/>
    <mergeCell ref="S26:U26"/>
    <mergeCell ref="B10:G10"/>
    <mergeCell ref="D12:O12"/>
    <mergeCell ref="B12:B13"/>
    <mergeCell ref="C23:N23"/>
    <mergeCell ref="S59:U59"/>
    <mergeCell ref="S60:U60"/>
    <mergeCell ref="S61:U61"/>
    <mergeCell ref="S53:U53"/>
    <mergeCell ref="S54:U54"/>
    <mergeCell ref="S55:U55"/>
    <mergeCell ref="S68:U68"/>
    <mergeCell ref="B57:B58"/>
    <mergeCell ref="C57:N57"/>
    <mergeCell ref="B35:B36"/>
    <mergeCell ref="C35:N35"/>
    <mergeCell ref="S50:U50"/>
    <mergeCell ref="S51:U51"/>
    <mergeCell ref="S42:U42"/>
    <mergeCell ref="S44:U44"/>
    <mergeCell ref="S62:U62"/>
    <mergeCell ref="S46:U46"/>
    <mergeCell ref="S47:U47"/>
    <mergeCell ref="S48:U48"/>
    <mergeCell ref="S49:U49"/>
    <mergeCell ref="S57:U57"/>
    <mergeCell ref="S58:U58"/>
    <mergeCell ref="D2:O2"/>
    <mergeCell ref="S39:U39"/>
    <mergeCell ref="S40:U40"/>
    <mergeCell ref="S41:U41"/>
    <mergeCell ref="S37:U37"/>
    <mergeCell ref="S5:U5"/>
    <mergeCell ref="S4:V4"/>
    <mergeCell ref="S23:U23"/>
    <mergeCell ref="S24:U24"/>
    <mergeCell ref="S25:U25"/>
    <mergeCell ref="S10:U10"/>
    <mergeCell ref="S19:U19"/>
    <mergeCell ref="S20:U20"/>
    <mergeCell ref="S15:U15"/>
    <mergeCell ref="S16:U16"/>
    <mergeCell ref="S33:U33"/>
    <mergeCell ref="S34:U34"/>
    <mergeCell ref="S35:U35"/>
    <mergeCell ref="S17:U17"/>
    <mergeCell ref="S18:U18"/>
    <mergeCell ref="S11:U11"/>
    <mergeCell ref="S12:U12"/>
    <mergeCell ref="S13:U13"/>
    <mergeCell ref="S14:U14"/>
    <mergeCell ref="S6:U6"/>
    <mergeCell ref="S7:U7"/>
    <mergeCell ref="S38:U38"/>
    <mergeCell ref="S21:U21"/>
    <mergeCell ref="S22:U22"/>
    <mergeCell ref="S8:U8"/>
    <mergeCell ref="S9:U9"/>
    <mergeCell ref="S30:U30"/>
    <mergeCell ref="S31:U31"/>
    <mergeCell ref="S32:U32"/>
    <mergeCell ref="S28:U28"/>
    <mergeCell ref="S29:U29"/>
    <mergeCell ref="S36:U36"/>
    <mergeCell ref="C90:N90"/>
    <mergeCell ref="B101:B102"/>
    <mergeCell ref="C101:N101"/>
    <mergeCell ref="B151:B152"/>
    <mergeCell ref="C151:N151"/>
    <mergeCell ref="S70:U70"/>
    <mergeCell ref="S71:U71"/>
    <mergeCell ref="S69:U69"/>
    <mergeCell ref="S72:U72"/>
    <mergeCell ref="S73:U73"/>
    <mergeCell ref="B79:B80"/>
    <mergeCell ref="C79:N79"/>
    <mergeCell ref="S74:U74"/>
    <mergeCell ref="S75:U75"/>
    <mergeCell ref="B90:B91"/>
    <mergeCell ref="B223:B224"/>
    <mergeCell ref="C223:N223"/>
    <mergeCell ref="B214:B215"/>
    <mergeCell ref="C214:N214"/>
    <mergeCell ref="B205:B206"/>
    <mergeCell ref="C205:N205"/>
    <mergeCell ref="B141:B142"/>
    <mergeCell ref="C141:N141"/>
    <mergeCell ref="B131:B132"/>
    <mergeCell ref="C131:N131"/>
    <mergeCell ref="B196:B197"/>
    <mergeCell ref="C196:N196"/>
    <mergeCell ref="B169:B170"/>
    <mergeCell ref="C169:N169"/>
    <mergeCell ref="B178:B179"/>
    <mergeCell ref="C178:N178"/>
    <mergeCell ref="B187:B188"/>
    <mergeCell ref="C187:N187"/>
    <mergeCell ref="B160:B161"/>
    <mergeCell ref="C160:N160"/>
  </mergeCells>
  <phoneticPr fontId="0" type="noConversion"/>
  <printOptions horizontalCentered="1"/>
  <pageMargins left="0.39370078740157483" right="0.39370078740157483" top="0.78740157480314965" bottom="0.19685039370078741" header="0.51181102362204722" footer="0.23622047244094491"/>
  <pageSetup paperSize="5" scale="70" firstPageNumber="16" orientation="landscape" useFirstPageNumber="1" r:id="rId1"/>
  <headerFooter alignWithMargins="0"/>
  <rowBreaks count="6" manualBreakCount="6">
    <brk id="32" max="15" man="1"/>
    <brk id="60" max="15" man="1"/>
    <brk id="93" max="15" man="1"/>
    <brk id="139" max="15" man="1"/>
    <brk id="185" max="13" man="1"/>
    <brk id="212" max="13" man="1"/>
  </rowBreaks>
  <ignoredErrors>
    <ignoredError sqref="N52 E66 F63 F60 G66:J66 L66:N66 L63" emptyCellReference="1"/>
    <ignoredError sqref="M154:N154" evalError="1"/>
  </ignoredError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R15"/>
  <sheetViews>
    <sheetView showGridLines="0" showZeros="0" view="pageBreakPreview" zoomScaleSheetLayoutView="100" workbookViewId="0">
      <selection activeCell="CN15" sqref="CN15"/>
    </sheetView>
  </sheetViews>
  <sheetFormatPr baseColWidth="10" defaultRowHeight="12.75"/>
  <cols>
    <col min="1" max="1" width="4.85546875" style="1600" customWidth="1"/>
    <col min="2" max="2" width="20.7109375" customWidth="1"/>
    <col min="3" max="3" width="8" style="1600" customWidth="1"/>
    <col min="4" max="4" width="7.7109375" hidden="1" customWidth="1"/>
    <col min="5" max="5" width="7.5703125" hidden="1" customWidth="1"/>
    <col min="6" max="6" width="7.5703125" style="1603" hidden="1" customWidth="1"/>
    <col min="7" max="7" width="7.5703125" customWidth="1"/>
    <col min="8" max="72" width="7.5703125" hidden="1" customWidth="1"/>
    <col min="73" max="79" width="8.28515625" hidden="1" customWidth="1"/>
    <col min="80" max="92" width="8.28515625" customWidth="1"/>
    <col min="93" max="93" width="1.5703125" customWidth="1"/>
    <col min="94" max="94" width="8.28515625" customWidth="1"/>
    <col min="95" max="95" width="11.7109375" customWidth="1"/>
    <col min="96" max="103" width="8.28515625" customWidth="1"/>
  </cols>
  <sheetData>
    <row r="1" spans="1:96" ht="15.75">
      <c r="A1" t="s">
        <v>591</v>
      </c>
      <c r="C1" s="363" t="s">
        <v>592</v>
      </c>
      <c r="E1" s="363"/>
      <c r="F1" s="1602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23"/>
      <c r="CF1" s="2348"/>
      <c r="CG1" s="2349"/>
      <c r="CH1" s="2352"/>
      <c r="CI1" s="2355"/>
      <c r="CJ1" s="2356"/>
      <c r="CK1" s="2358"/>
      <c r="CL1" s="2398"/>
      <c r="CM1" s="2443"/>
      <c r="CN1" s="2501"/>
      <c r="CO1" s="363"/>
      <c r="CP1" s="363"/>
      <c r="CQ1" s="363"/>
      <c r="CR1" s="363"/>
    </row>
    <row r="2" spans="1:96" ht="15.75">
      <c r="A2" t="s">
        <v>593</v>
      </c>
      <c r="C2" s="363" t="s">
        <v>594</v>
      </c>
      <c r="E2" s="363"/>
      <c r="F2" s="1602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23"/>
      <c r="CF2" s="2348"/>
      <c r="CG2" s="2349"/>
      <c r="CH2" s="2352"/>
      <c r="CI2" s="2355"/>
      <c r="CJ2" s="2356"/>
      <c r="CK2" s="2358"/>
      <c r="CL2" s="2398"/>
      <c r="CM2" s="2443"/>
      <c r="CN2" s="2501"/>
      <c r="CO2" s="363"/>
      <c r="CP2" s="363"/>
      <c r="CQ2" s="363"/>
      <c r="CR2" s="363"/>
    </row>
    <row r="3" spans="1:96">
      <c r="A3" t="s">
        <v>595</v>
      </c>
    </row>
    <row r="5" spans="1:96" ht="15.75">
      <c r="C5" s="364" t="s">
        <v>1021</v>
      </c>
      <c r="D5" s="364"/>
      <c r="E5" s="364"/>
      <c r="F5" s="160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4"/>
    </row>
    <row r="7" spans="1:96">
      <c r="A7" s="1601" t="s">
        <v>999</v>
      </c>
      <c r="C7"/>
      <c r="E7" s="1627"/>
      <c r="F7"/>
    </row>
    <row r="8" spans="1:96">
      <c r="A8" s="1627" t="s">
        <v>1000</v>
      </c>
      <c r="B8" s="1636"/>
      <c r="C8" s="1636"/>
      <c r="F8"/>
    </row>
    <row r="9" spans="1:96" s="1607" customFormat="1">
      <c r="A9" s="1637"/>
      <c r="B9" s="1635"/>
      <c r="C9" s="1635"/>
    </row>
    <row r="10" spans="1:96" s="1628" customFormat="1" ht="21.75" customHeight="1">
      <c r="A10" s="2859" t="s">
        <v>955</v>
      </c>
      <c r="B10" s="2860"/>
      <c r="C10" s="2860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1629">
        <v>44866</v>
      </c>
      <c r="CL10" s="1629">
        <v>44896</v>
      </c>
      <c r="CM10" s="1629">
        <v>44927</v>
      </c>
      <c r="CN10" s="1629">
        <v>44958</v>
      </c>
    </row>
    <row r="11" spans="1:96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1612"/>
      <c r="CL11" s="1612"/>
      <c r="CM11" s="1612"/>
      <c r="CN11" s="1612"/>
    </row>
    <row r="12" spans="1:96">
      <c r="A12" s="1608"/>
      <c r="B12" s="1606"/>
      <c r="C12" s="1632" t="s">
        <v>997</v>
      </c>
      <c r="D12" s="1612">
        <v>128.69999999999999</v>
      </c>
      <c r="E12" s="1612">
        <v>128.69999999999999</v>
      </c>
      <c r="F12" s="1612">
        <v>129.6</v>
      </c>
      <c r="G12" s="1612">
        <v>131.69999999999999</v>
      </c>
      <c r="H12" s="1612">
        <v>134.4</v>
      </c>
      <c r="I12" s="1612">
        <v>134.4</v>
      </c>
      <c r="J12" s="1612">
        <v>158.69999999999999</v>
      </c>
      <c r="K12" s="1612">
        <v>159</v>
      </c>
      <c r="L12" s="1612">
        <v>159.9</v>
      </c>
      <c r="M12" s="1612">
        <v>161.19999999999999</v>
      </c>
      <c r="N12" s="1612">
        <v>161.19999999999999</v>
      </c>
      <c r="O12" s="1612">
        <v>161.19999999999999</v>
      </c>
      <c r="P12" s="1614">
        <v>176.6</v>
      </c>
      <c r="Q12" s="1614">
        <v>176.6</v>
      </c>
      <c r="R12" s="1614">
        <v>182.6</v>
      </c>
      <c r="S12" s="1614">
        <v>193.6</v>
      </c>
      <c r="T12" s="1614">
        <v>193.6</v>
      </c>
      <c r="U12" s="1614">
        <v>193.6</v>
      </c>
      <c r="V12" s="1614">
        <v>207.9</v>
      </c>
      <c r="W12" s="1614">
        <v>209.2</v>
      </c>
      <c r="X12" s="1614">
        <v>209.2</v>
      </c>
      <c r="Y12" s="1614">
        <v>228.1</v>
      </c>
      <c r="Z12" s="1627">
        <v>228.1</v>
      </c>
      <c r="AA12" s="1627">
        <v>228.1</v>
      </c>
      <c r="AB12" s="1627">
        <v>228.1</v>
      </c>
      <c r="AC12" s="1627">
        <v>228.1</v>
      </c>
      <c r="AD12" s="1627">
        <v>228.1</v>
      </c>
      <c r="AE12" s="1627">
        <v>236.1</v>
      </c>
      <c r="AF12" s="1627">
        <v>236.4</v>
      </c>
      <c r="AG12" s="1627">
        <v>243.2</v>
      </c>
      <c r="AH12" s="1627">
        <v>257.10000000000002</v>
      </c>
      <c r="AI12" s="1627">
        <v>257.10000000000002</v>
      </c>
      <c r="AJ12" s="1627">
        <v>257.5</v>
      </c>
      <c r="AK12" s="1614">
        <v>258.5</v>
      </c>
      <c r="AL12" s="1614">
        <v>272.60000000000002</v>
      </c>
      <c r="AM12" s="1614">
        <v>284.2</v>
      </c>
      <c r="AN12" s="1614">
        <v>284.5</v>
      </c>
      <c r="AO12" s="1614">
        <v>301.7</v>
      </c>
      <c r="AP12" s="1614">
        <v>312.5</v>
      </c>
      <c r="AQ12" s="1612">
        <v>318.2</v>
      </c>
      <c r="AR12" s="1612">
        <v>319.3</v>
      </c>
      <c r="AS12" s="1614">
        <v>330.1</v>
      </c>
      <c r="AT12" s="1614">
        <v>361.9</v>
      </c>
      <c r="AU12" s="1614">
        <v>382.3</v>
      </c>
      <c r="AV12" s="1614">
        <v>382.4</v>
      </c>
      <c r="AW12" s="1614">
        <v>398.9</v>
      </c>
      <c r="AX12" s="1627">
        <v>412.9</v>
      </c>
      <c r="AY12" s="1769">
        <v>412.9</v>
      </c>
      <c r="AZ12" s="1769">
        <v>444.2</v>
      </c>
      <c r="BA12" s="1769">
        <v>470.2</v>
      </c>
      <c r="BB12" s="1769">
        <v>470.2</v>
      </c>
      <c r="BC12">
        <v>520.70000000000005</v>
      </c>
      <c r="BD12" s="1627">
        <v>553.70000000000005</v>
      </c>
      <c r="BE12" s="1627">
        <v>554.1</v>
      </c>
      <c r="BF12" s="1627">
        <v>556</v>
      </c>
      <c r="BG12" s="1627">
        <v>560.5</v>
      </c>
      <c r="BH12" s="1627">
        <v>561.29999999999995</v>
      </c>
      <c r="BI12" s="1627">
        <v>561.6</v>
      </c>
      <c r="BJ12" s="1627">
        <v>561.6</v>
      </c>
      <c r="BK12" s="1627">
        <v>565.20000000000005</v>
      </c>
      <c r="BL12" s="1627">
        <v>569.79999999999995</v>
      </c>
      <c r="BM12" s="1627">
        <v>661.4</v>
      </c>
      <c r="BN12" s="1627">
        <v>662</v>
      </c>
      <c r="BO12" s="1627">
        <v>662</v>
      </c>
      <c r="BP12" s="1627">
        <v>704.7</v>
      </c>
      <c r="BQ12" s="1627">
        <v>704.9</v>
      </c>
      <c r="BR12" s="1627">
        <v>790.3</v>
      </c>
      <c r="BS12" s="1627">
        <v>792.2</v>
      </c>
      <c r="BT12" s="1627">
        <v>792.3</v>
      </c>
      <c r="BU12" s="1627">
        <v>861.4</v>
      </c>
      <c r="BV12" s="1627">
        <v>861.4</v>
      </c>
      <c r="BW12" s="1627">
        <v>895.9</v>
      </c>
      <c r="BX12" s="1627">
        <v>943.6</v>
      </c>
      <c r="BY12" s="1627">
        <v>943.6</v>
      </c>
      <c r="BZ12" s="1627">
        <v>944.9</v>
      </c>
      <c r="CA12" s="1627">
        <v>980.2</v>
      </c>
      <c r="CB12" s="1627">
        <v>1049.4000000000001</v>
      </c>
      <c r="CC12" s="1627">
        <v>1110.7</v>
      </c>
      <c r="CD12" s="1627">
        <v>1111.5</v>
      </c>
      <c r="CE12" s="1627">
        <v>1215.2</v>
      </c>
      <c r="CF12" s="1627">
        <v>1322.6</v>
      </c>
      <c r="CG12" s="1627">
        <v>1322.6</v>
      </c>
      <c r="CH12" s="1627">
        <v>1407.9</v>
      </c>
      <c r="CI12" s="1627">
        <v>1541.9</v>
      </c>
      <c r="CJ12" s="1627">
        <v>1682.6</v>
      </c>
      <c r="CK12" s="1627">
        <v>1815.7</v>
      </c>
      <c r="CL12" s="1627">
        <v>1993.4</v>
      </c>
      <c r="CM12" s="1627">
        <v>2125.6</v>
      </c>
      <c r="CN12" s="1627">
        <v>2262.6999999999998</v>
      </c>
    </row>
    <row r="13" spans="1:96">
      <c r="A13" s="1608"/>
      <c r="B13" s="1606"/>
      <c r="C13" s="1632" t="s">
        <v>956</v>
      </c>
      <c r="D13" s="1630">
        <v>1</v>
      </c>
      <c r="E13" s="1630">
        <f t="shared" ref="E13:AP13" si="0">+E12/D12</f>
        <v>1</v>
      </c>
      <c r="F13" s="1630">
        <f t="shared" si="0"/>
        <v>1.0069930069930071</v>
      </c>
      <c r="G13" s="1630">
        <f t="shared" si="0"/>
        <v>1.0162037037037037</v>
      </c>
      <c r="H13" s="1630">
        <f t="shared" si="0"/>
        <v>1.0205011389521641</v>
      </c>
      <c r="I13" s="1630">
        <f t="shared" si="0"/>
        <v>1</v>
      </c>
      <c r="J13" s="1630">
        <f t="shared" si="0"/>
        <v>1.1808035714285714</v>
      </c>
      <c r="K13" s="1630">
        <f t="shared" si="0"/>
        <v>1.001890359168242</v>
      </c>
      <c r="L13" s="1630">
        <f t="shared" si="0"/>
        <v>1.0056603773584907</v>
      </c>
      <c r="M13" s="1630">
        <f t="shared" si="0"/>
        <v>1.0081300813008129</v>
      </c>
      <c r="N13" s="1630">
        <f t="shared" si="0"/>
        <v>1</v>
      </c>
      <c r="O13" s="1630">
        <f t="shared" si="0"/>
        <v>1</v>
      </c>
      <c r="P13" s="1630">
        <f t="shared" si="0"/>
        <v>1.0955334987593053</v>
      </c>
      <c r="Q13" s="1630">
        <f t="shared" si="0"/>
        <v>1</v>
      </c>
      <c r="R13" s="1630">
        <f t="shared" si="0"/>
        <v>1.0339750849377123</v>
      </c>
      <c r="S13" s="1630">
        <f t="shared" si="0"/>
        <v>1.0602409638554218</v>
      </c>
      <c r="T13" s="1630">
        <f t="shared" si="0"/>
        <v>1</v>
      </c>
      <c r="U13" s="1630">
        <f t="shared" si="0"/>
        <v>1</v>
      </c>
      <c r="V13" s="1630">
        <f t="shared" si="0"/>
        <v>1.0738636363636365</v>
      </c>
      <c r="W13" s="1630">
        <f t="shared" si="0"/>
        <v>1.0062530062530062</v>
      </c>
      <c r="X13" s="1630">
        <f t="shared" si="0"/>
        <v>1</v>
      </c>
      <c r="Y13" s="1630">
        <f t="shared" si="0"/>
        <v>1.0903441682600383</v>
      </c>
      <c r="Z13" s="1630">
        <f t="shared" si="0"/>
        <v>1</v>
      </c>
      <c r="AA13" s="1630">
        <f t="shared" si="0"/>
        <v>1</v>
      </c>
      <c r="AB13" s="1630">
        <f t="shared" si="0"/>
        <v>1</v>
      </c>
      <c r="AC13" s="1630">
        <f t="shared" si="0"/>
        <v>1</v>
      </c>
      <c r="AD13" s="1630">
        <f t="shared" si="0"/>
        <v>1</v>
      </c>
      <c r="AE13" s="1630">
        <f t="shared" si="0"/>
        <v>1.0350723366944323</v>
      </c>
      <c r="AF13" s="1630">
        <f t="shared" si="0"/>
        <v>1.0012706480304956</v>
      </c>
      <c r="AG13" s="1630">
        <f t="shared" si="0"/>
        <v>1.0287648054145515</v>
      </c>
      <c r="AH13" s="1630">
        <f t="shared" si="0"/>
        <v>1.057154605263158</v>
      </c>
      <c r="AI13" s="1630">
        <f t="shared" si="0"/>
        <v>1</v>
      </c>
      <c r="AJ13" s="1630">
        <f t="shared" si="0"/>
        <v>1.0015558148580319</v>
      </c>
      <c r="AK13" s="1630">
        <f t="shared" si="0"/>
        <v>1.003883495145631</v>
      </c>
      <c r="AL13" s="1630">
        <f t="shared" si="0"/>
        <v>1.0545454545454547</v>
      </c>
      <c r="AM13" s="1630">
        <f t="shared" si="0"/>
        <v>1.0425531914893615</v>
      </c>
      <c r="AN13" s="1630">
        <f t="shared" si="0"/>
        <v>1.0010555946516537</v>
      </c>
      <c r="AO13" s="1630">
        <f t="shared" si="0"/>
        <v>1.0604569420035148</v>
      </c>
      <c r="AP13" s="1630">
        <f t="shared" si="0"/>
        <v>1.0357971494862446</v>
      </c>
      <c r="AQ13" s="1630">
        <f t="shared" ref="AQ13:CN13" si="1">+AQ12/AP12</f>
        <v>1.01824</v>
      </c>
      <c r="AR13" s="1630">
        <f t="shared" si="1"/>
        <v>1.0034569453174105</v>
      </c>
      <c r="AS13" s="1630">
        <f t="shared" si="1"/>
        <v>1.033823989978077</v>
      </c>
      <c r="AT13" s="1630">
        <f t="shared" si="1"/>
        <v>1.096334444107846</v>
      </c>
      <c r="AU13" s="1630">
        <f t="shared" si="1"/>
        <v>1.0563691627521417</v>
      </c>
      <c r="AV13" s="1630">
        <f t="shared" si="1"/>
        <v>1.0002615746795709</v>
      </c>
      <c r="AW13" s="1630">
        <f t="shared" si="1"/>
        <v>1.0431485355648535</v>
      </c>
      <c r="AX13" s="1630">
        <f t="shared" si="1"/>
        <v>1.0350965154173979</v>
      </c>
      <c r="AY13" s="1630">
        <f t="shared" si="1"/>
        <v>1</v>
      </c>
      <c r="AZ13" s="1630">
        <f t="shared" si="1"/>
        <v>1.0758052797287478</v>
      </c>
      <c r="BA13" s="1630">
        <f t="shared" si="1"/>
        <v>1.0585321927059883</v>
      </c>
      <c r="BB13" s="1630">
        <f t="shared" si="1"/>
        <v>1</v>
      </c>
      <c r="BC13" s="1630">
        <f t="shared" si="1"/>
        <v>1.1074011059123778</v>
      </c>
      <c r="BD13" s="1630">
        <f t="shared" si="1"/>
        <v>1.0633762243134242</v>
      </c>
      <c r="BE13" s="1630">
        <f t="shared" si="1"/>
        <v>1.0007224128589489</v>
      </c>
      <c r="BF13" s="1630">
        <f t="shared" si="1"/>
        <v>1.0034289839379174</v>
      </c>
      <c r="BG13" s="1630">
        <f t="shared" si="1"/>
        <v>1.0080935251798562</v>
      </c>
      <c r="BH13" s="1630">
        <f t="shared" si="1"/>
        <v>1.0014272970561997</v>
      </c>
      <c r="BI13" s="1630">
        <f t="shared" si="1"/>
        <v>1.0005344735435597</v>
      </c>
      <c r="BJ13" s="1630">
        <f t="shared" si="1"/>
        <v>1</v>
      </c>
      <c r="BK13" s="1630">
        <f t="shared" si="1"/>
        <v>1.0064102564102564</v>
      </c>
      <c r="BL13" s="1630">
        <f t="shared" si="1"/>
        <v>1.0081387119603678</v>
      </c>
      <c r="BM13" s="1630">
        <f t="shared" si="1"/>
        <v>1.1607581607581607</v>
      </c>
      <c r="BN13" s="1630">
        <f t="shared" si="1"/>
        <v>1.0009071666162686</v>
      </c>
      <c r="BO13" s="1630">
        <f t="shared" si="1"/>
        <v>1</v>
      </c>
      <c r="BP13" s="1630">
        <f t="shared" si="1"/>
        <v>1.0645015105740181</v>
      </c>
      <c r="BQ13" s="1630">
        <f t="shared" si="1"/>
        <v>1.0002838087129273</v>
      </c>
      <c r="BR13" s="1630">
        <f t="shared" si="1"/>
        <v>1.1211519364448859</v>
      </c>
      <c r="BS13" s="1630">
        <f t="shared" si="1"/>
        <v>1.0024041503226624</v>
      </c>
      <c r="BT13" s="1630">
        <f t="shared" si="1"/>
        <v>1.0001262307498104</v>
      </c>
      <c r="BU13" s="1630">
        <f t="shared" si="1"/>
        <v>1.0872144389751357</v>
      </c>
      <c r="BV13" s="1630">
        <f t="shared" si="1"/>
        <v>1</v>
      </c>
      <c r="BW13" s="1630">
        <f t="shared" si="1"/>
        <v>1.0400510796377989</v>
      </c>
      <c r="BX13" s="1630">
        <f t="shared" si="1"/>
        <v>1.0532425493916733</v>
      </c>
      <c r="BY13" s="1630">
        <f t="shared" si="1"/>
        <v>1</v>
      </c>
      <c r="BZ13" s="1630">
        <f t="shared" si="1"/>
        <v>1.001377702416278</v>
      </c>
      <c r="CA13" s="1630">
        <f t="shared" si="1"/>
        <v>1.0373584506296962</v>
      </c>
      <c r="CB13" s="1630">
        <f t="shared" si="1"/>
        <v>1.0705978371760865</v>
      </c>
      <c r="CC13" s="1630">
        <f t="shared" si="1"/>
        <v>1.0584143319992376</v>
      </c>
      <c r="CD13" s="1630">
        <f t="shared" si="1"/>
        <v>1.0007202664986043</v>
      </c>
      <c r="CE13" s="1630">
        <f t="shared" si="1"/>
        <v>1.093297345928925</v>
      </c>
      <c r="CF13" s="1630">
        <f t="shared" si="1"/>
        <v>1.0883805134957207</v>
      </c>
      <c r="CG13" s="1630">
        <f t="shared" si="1"/>
        <v>1</v>
      </c>
      <c r="CH13" s="1630">
        <f t="shared" si="1"/>
        <v>1.0644941781339787</v>
      </c>
      <c r="CI13" s="1630">
        <f t="shared" si="1"/>
        <v>1.0951772142907876</v>
      </c>
      <c r="CJ13" s="1630">
        <f t="shared" si="1"/>
        <v>1.0912510538945455</v>
      </c>
      <c r="CK13" s="1630">
        <f t="shared" si="1"/>
        <v>1.0791037679781292</v>
      </c>
      <c r="CL13" s="1630">
        <f t="shared" si="1"/>
        <v>1.0978685906262049</v>
      </c>
      <c r="CM13" s="1630">
        <f t="shared" si="1"/>
        <v>1.0663188522123006</v>
      </c>
      <c r="CN13" s="1630">
        <f t="shared" si="1"/>
        <v>1.0644994354535189</v>
      </c>
    </row>
    <row r="14" spans="1:96">
      <c r="A14"/>
      <c r="C14"/>
      <c r="F14"/>
    </row>
    <row r="15" spans="1:96">
      <c r="A15"/>
      <c r="C15" s="1605" t="s">
        <v>998</v>
      </c>
      <c r="D15" s="1619">
        <v>1582.7</v>
      </c>
      <c r="E15" s="1619">
        <f t="shared" ref="E15:AP15" si="2">+E13*D15</f>
        <v>1582.7</v>
      </c>
      <c r="F15" s="1619">
        <f t="shared" si="2"/>
        <v>1593.7678321678325</v>
      </c>
      <c r="G15" s="1619">
        <v>100</v>
      </c>
      <c r="H15" s="1619">
        <f t="shared" si="2"/>
        <v>102.05011389521641</v>
      </c>
      <c r="I15" s="1619">
        <f t="shared" si="2"/>
        <v>102.05011389521641</v>
      </c>
      <c r="J15" s="1619">
        <f t="shared" si="2"/>
        <v>120.50113895216401</v>
      </c>
      <c r="K15" s="1619">
        <f t="shared" si="2"/>
        <v>120.72892938496584</v>
      </c>
      <c r="L15" s="1619">
        <f t="shared" si="2"/>
        <v>121.41230068337131</v>
      </c>
      <c r="M15" s="1619">
        <f t="shared" si="2"/>
        <v>122.39939255884588</v>
      </c>
      <c r="N15" s="1619">
        <f t="shared" si="2"/>
        <v>122.39939255884588</v>
      </c>
      <c r="O15" s="1619">
        <f t="shared" si="2"/>
        <v>122.39939255884588</v>
      </c>
      <c r="P15" s="1619">
        <f t="shared" si="2"/>
        <v>134.09263477600609</v>
      </c>
      <c r="Q15" s="1619">
        <f t="shared" si="2"/>
        <v>134.09263477600609</v>
      </c>
      <c r="R15" s="1619">
        <f t="shared" si="2"/>
        <v>138.64844343204254</v>
      </c>
      <c r="S15" s="1619">
        <f t="shared" si="2"/>
        <v>147.00075930144271</v>
      </c>
      <c r="T15" s="1619">
        <f t="shared" si="2"/>
        <v>147.00075930144271</v>
      </c>
      <c r="U15" s="1619">
        <f t="shared" si="2"/>
        <v>147.00075930144271</v>
      </c>
      <c r="V15" s="1619">
        <f t="shared" si="2"/>
        <v>157.85876993166292</v>
      </c>
      <c r="W15" s="1619">
        <f t="shared" si="2"/>
        <v>158.84586180713748</v>
      </c>
      <c r="X15" s="1619">
        <f t="shared" si="2"/>
        <v>158.84586180713748</v>
      </c>
      <c r="Y15" s="1619">
        <f t="shared" si="2"/>
        <v>173.19665907365231</v>
      </c>
      <c r="Z15" s="1619">
        <f t="shared" si="2"/>
        <v>173.19665907365231</v>
      </c>
      <c r="AA15" s="1619">
        <f t="shared" si="2"/>
        <v>173.19665907365231</v>
      </c>
      <c r="AB15" s="1619">
        <f t="shared" si="2"/>
        <v>173.19665907365231</v>
      </c>
      <c r="AC15" s="1619">
        <f t="shared" si="2"/>
        <v>173.19665907365231</v>
      </c>
      <c r="AD15" s="1619">
        <f t="shared" si="2"/>
        <v>173.19665907365231</v>
      </c>
      <c r="AE15" s="1619">
        <f t="shared" si="2"/>
        <v>179.27107061503426</v>
      </c>
      <c r="AF15" s="1619">
        <f t="shared" si="2"/>
        <v>179.4988610478361</v>
      </c>
      <c r="AG15" s="1619">
        <f t="shared" si="2"/>
        <v>184.66211085801072</v>
      </c>
      <c r="AH15" s="1619">
        <f t="shared" si="2"/>
        <v>195.21640091116183</v>
      </c>
      <c r="AI15" s="1619">
        <f t="shared" si="2"/>
        <v>195.21640091116183</v>
      </c>
      <c r="AJ15" s="1619">
        <f t="shared" si="2"/>
        <v>195.52012148823093</v>
      </c>
      <c r="AK15" s="1619">
        <f t="shared" si="2"/>
        <v>196.27942293090365</v>
      </c>
      <c r="AL15" s="1619">
        <f t="shared" si="2"/>
        <v>206.98557327258933</v>
      </c>
      <c r="AM15" s="1619">
        <f t="shared" si="2"/>
        <v>215.7934700075931</v>
      </c>
      <c r="AN15" s="1619">
        <f t="shared" si="2"/>
        <v>216.02126044039491</v>
      </c>
      <c r="AO15" s="1619">
        <f t="shared" si="2"/>
        <v>229.08124525436602</v>
      </c>
      <c r="AP15" s="1619">
        <f t="shared" si="2"/>
        <v>237.28170083523162</v>
      </c>
      <c r="AQ15" s="1619">
        <f t="shared" ref="AQ15:CN15" si="3">+AQ13*AP15</f>
        <v>241.60971905846625</v>
      </c>
      <c r="AR15" s="1619">
        <f t="shared" si="3"/>
        <v>242.44495064540627</v>
      </c>
      <c r="AS15" s="1619">
        <f t="shared" si="3"/>
        <v>250.64540622627186</v>
      </c>
      <c r="AT15" s="1619">
        <f t="shared" si="3"/>
        <v>274.79119210326502</v>
      </c>
      <c r="AU15" s="1619">
        <f t="shared" si="3"/>
        <v>290.28094153378896</v>
      </c>
      <c r="AV15" s="1619">
        <f t="shared" si="3"/>
        <v>290.35687167805622</v>
      </c>
      <c r="AW15" s="1619">
        <f t="shared" si="3"/>
        <v>302.88534548215642</v>
      </c>
      <c r="AX15" s="1619">
        <f t="shared" si="3"/>
        <v>313.51556567957482</v>
      </c>
      <c r="AY15" s="1619">
        <f t="shared" si="3"/>
        <v>313.51556567957482</v>
      </c>
      <c r="AZ15" s="1619">
        <f t="shared" si="3"/>
        <v>337.28170083523162</v>
      </c>
      <c r="BA15" s="1619">
        <f t="shared" si="3"/>
        <v>357.02353834472291</v>
      </c>
      <c r="BB15" s="1619">
        <f t="shared" si="3"/>
        <v>357.02353834472291</v>
      </c>
      <c r="BC15" s="1619">
        <f t="shared" si="3"/>
        <v>395.36826119969641</v>
      </c>
      <c r="BD15" s="1619">
        <f t="shared" si="3"/>
        <v>420.42520880789687</v>
      </c>
      <c r="BE15" s="1619">
        <f t="shared" si="3"/>
        <v>420.72892938496597</v>
      </c>
      <c r="BF15" s="1619">
        <f t="shared" si="3"/>
        <v>422.17160212604415</v>
      </c>
      <c r="BG15" s="1619">
        <f t="shared" si="3"/>
        <v>425.58845861807151</v>
      </c>
      <c r="BH15" s="1619">
        <f t="shared" si="3"/>
        <v>426.19589977220966</v>
      </c>
      <c r="BI15" s="1619">
        <f t="shared" si="3"/>
        <v>426.42369020501155</v>
      </c>
      <c r="BJ15" s="1619">
        <f t="shared" si="3"/>
        <v>426.42369020501155</v>
      </c>
      <c r="BK15" s="1619">
        <f t="shared" si="3"/>
        <v>429.1571753986334</v>
      </c>
      <c r="BL15" s="1619">
        <f t="shared" si="3"/>
        <v>432.64996203492791</v>
      </c>
      <c r="BM15" s="1619">
        <f t="shared" si="3"/>
        <v>502.20197418375102</v>
      </c>
      <c r="BN15" s="1619">
        <f t="shared" si="3"/>
        <v>502.6575550493547</v>
      </c>
      <c r="BO15" s="1619">
        <f t="shared" si="3"/>
        <v>502.6575550493547</v>
      </c>
      <c r="BP15" s="1619">
        <f t="shared" si="3"/>
        <v>535.07972665148077</v>
      </c>
      <c r="BQ15" s="1619">
        <f t="shared" si="3"/>
        <v>535.23158694001518</v>
      </c>
      <c r="BR15" s="1619">
        <f t="shared" si="3"/>
        <v>600.07593014426732</v>
      </c>
      <c r="BS15" s="1619">
        <f t="shared" si="3"/>
        <v>601.51860288534556</v>
      </c>
      <c r="BT15" s="1619">
        <f t="shared" si="3"/>
        <v>601.59453302961265</v>
      </c>
      <c r="BU15" s="1619">
        <f t="shared" si="3"/>
        <v>654.06226271829905</v>
      </c>
      <c r="BV15" s="1619">
        <f t="shared" si="3"/>
        <v>654.06226271829905</v>
      </c>
      <c r="BW15" s="1619">
        <f t="shared" si="3"/>
        <v>680.25816249050854</v>
      </c>
      <c r="BX15" s="1619">
        <f t="shared" si="3"/>
        <v>716.47684130599839</v>
      </c>
      <c r="BY15" s="1619">
        <f t="shared" si="3"/>
        <v>716.47684130599839</v>
      </c>
      <c r="BZ15" s="1619">
        <f t="shared" si="3"/>
        <v>717.46393318147284</v>
      </c>
      <c r="CA15" s="1619">
        <f t="shared" si="3"/>
        <v>744.26727410782053</v>
      </c>
      <c r="CB15" s="1619">
        <f t="shared" si="3"/>
        <v>796.81093394077413</v>
      </c>
      <c r="CC15" s="1619">
        <f t="shared" si="3"/>
        <v>843.35611237661317</v>
      </c>
      <c r="CD15" s="1619">
        <f t="shared" si="3"/>
        <v>843.96355353075126</v>
      </c>
      <c r="CE15" s="1619">
        <f t="shared" si="3"/>
        <v>922.70311313591458</v>
      </c>
      <c r="CF15" s="1619">
        <f t="shared" si="3"/>
        <v>1004.2520880789668</v>
      </c>
      <c r="CG15" s="1619">
        <f t="shared" si="3"/>
        <v>1004.2520880789668</v>
      </c>
      <c r="CH15" s="1619">
        <f t="shared" si="3"/>
        <v>1069.0205011389519</v>
      </c>
      <c r="CI15" s="1619">
        <f t="shared" si="3"/>
        <v>1170.7668944570992</v>
      </c>
      <c r="CJ15" s="1619">
        <f t="shared" si="3"/>
        <v>1277.6006074411534</v>
      </c>
      <c r="CK15" s="1619">
        <f t="shared" si="3"/>
        <v>1378.6636294608954</v>
      </c>
      <c r="CL15" s="1619">
        <f t="shared" si="3"/>
        <v>1513.5914958238416</v>
      </c>
      <c r="CM15" s="1619">
        <f t="shared" si="3"/>
        <v>1613.9711465451778</v>
      </c>
      <c r="CN15" s="1619">
        <f t="shared" si="3"/>
        <v>1718.0713743356105</v>
      </c>
      <c r="CQ15" s="1891"/>
    </row>
  </sheetData>
  <mergeCells count="1">
    <mergeCell ref="A10:C10"/>
  </mergeCells>
  <printOptions horizontalCentered="1"/>
  <pageMargins left="0" right="0" top="1.1417322834645669" bottom="0.74803149606299213" header="0.31496062992125984" footer="0.31496062992125984"/>
  <pageSetup paperSize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T25"/>
  <sheetViews>
    <sheetView view="pageBreakPreview" zoomScale="85" zoomScaleSheetLayoutView="85" workbookViewId="0">
      <selection activeCell="CM17" sqref="CM17"/>
    </sheetView>
  </sheetViews>
  <sheetFormatPr baseColWidth="10" defaultRowHeight="12.75"/>
  <cols>
    <col min="1" max="1" width="13.42578125" customWidth="1"/>
    <col min="3" max="3" width="15.140625" customWidth="1"/>
    <col min="4" max="6" width="7.5703125" hidden="1" customWidth="1"/>
    <col min="7" max="7" width="7.5703125" customWidth="1"/>
    <col min="8" max="12" width="7.5703125" hidden="1" customWidth="1"/>
    <col min="13" max="13" width="8.140625" hidden="1" customWidth="1"/>
    <col min="14" max="14" width="7.85546875" hidden="1" customWidth="1"/>
    <col min="15" max="16" width="7.5703125" hidden="1" customWidth="1"/>
    <col min="17" max="17" width="8.42578125" hidden="1" customWidth="1"/>
    <col min="18" max="35" width="7.5703125" hidden="1" customWidth="1"/>
    <col min="36" max="36" width="7.85546875" hidden="1" customWidth="1"/>
    <col min="37" max="44" width="8.7109375" hidden="1" customWidth="1"/>
    <col min="45" max="69" width="7.7109375" hidden="1" customWidth="1"/>
    <col min="70" max="79" width="9.28515625" hidden="1" customWidth="1"/>
    <col min="80" max="92" width="9.28515625" customWidth="1"/>
  </cols>
  <sheetData>
    <row r="1" spans="1:98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23"/>
      <c r="CF1" s="2348"/>
      <c r="CG1" s="2349"/>
      <c r="CH1" s="2352"/>
      <c r="CI1" s="2355"/>
      <c r="CJ1" s="2356"/>
      <c r="CK1" s="2358"/>
      <c r="CL1" s="2398"/>
      <c r="CM1" s="2443"/>
      <c r="CN1" s="2501"/>
      <c r="CO1" s="363"/>
      <c r="CP1" s="363"/>
      <c r="CQ1" s="363"/>
      <c r="CR1" s="363"/>
    </row>
    <row r="2" spans="1:98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23"/>
      <c r="CF2" s="2348"/>
      <c r="CG2" s="2349"/>
      <c r="CH2" s="2352"/>
      <c r="CI2" s="2355"/>
      <c r="CJ2" s="2356"/>
      <c r="CK2" s="2358"/>
      <c r="CL2" s="2398"/>
      <c r="CM2" s="2443"/>
      <c r="CN2" s="2501"/>
      <c r="CO2" s="363"/>
      <c r="CP2" s="363"/>
      <c r="CQ2" s="363"/>
      <c r="CR2" s="363"/>
    </row>
    <row r="3" spans="1:98" ht="15.75">
      <c r="A3" s="132" t="s">
        <v>595</v>
      </c>
    </row>
    <row r="5" spans="1:98" ht="15.75">
      <c r="C5" s="364" t="s">
        <v>1025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  <c r="CN5" s="364"/>
      <c r="CO5" s="364"/>
      <c r="CP5" s="364"/>
      <c r="CQ5" s="364"/>
    </row>
    <row r="6" spans="1:98" ht="15.75">
      <c r="C6" s="364" t="s">
        <v>1024</v>
      </c>
      <c r="D6" s="364"/>
      <c r="E6" s="364"/>
    </row>
    <row r="8" spans="1:98">
      <c r="A8" s="1601" t="s">
        <v>993</v>
      </c>
      <c r="E8" s="1627"/>
    </row>
    <row r="9" spans="1:98">
      <c r="B9" s="1635"/>
      <c r="C9" s="1635"/>
    </row>
    <row r="10" spans="1:98" s="1628" customFormat="1" ht="25.5" customHeight="1">
      <c r="A10" s="2859" t="s">
        <v>955</v>
      </c>
      <c r="B10" s="2860"/>
      <c r="C10" s="2860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  <c r="CK10" s="2400">
        <v>44866</v>
      </c>
      <c r="CL10" s="2403">
        <v>44896</v>
      </c>
      <c r="CM10" s="2517">
        <v>44927</v>
      </c>
      <c r="CN10" s="1629">
        <v>44958</v>
      </c>
    </row>
    <row r="11" spans="1:98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  <c r="CK11" s="1608"/>
      <c r="CL11" s="2404"/>
      <c r="CM11" s="2518"/>
      <c r="CN11" s="1612"/>
      <c r="CO11" s="1641">
        <v>1291.9000000000001</v>
      </c>
      <c r="CP11" s="1641">
        <v>1318.3084219133279</v>
      </c>
      <c r="CQ11" s="1641">
        <v>1385.9139820114474</v>
      </c>
      <c r="CR11" s="1641">
        <v>1427.111120196239</v>
      </c>
      <c r="CS11" s="1641">
        <v>1466.1955846279643</v>
      </c>
      <c r="CT11" s="1641">
        <v>1480.9843008994278</v>
      </c>
    </row>
    <row r="12" spans="1:98">
      <c r="A12" s="2861" t="s">
        <v>992</v>
      </c>
      <c r="B12" s="2862"/>
      <c r="C12" s="2863"/>
      <c r="D12" s="1612">
        <v>122.3</v>
      </c>
      <c r="E12" s="1612">
        <v>124.8</v>
      </c>
      <c r="F12" s="1612">
        <v>131.19999999999999</v>
      </c>
      <c r="G12" s="1612">
        <v>135.1</v>
      </c>
      <c r="H12" s="1612">
        <v>138.80000000000001</v>
      </c>
      <c r="I12" s="1612">
        <v>140.19999999999999</v>
      </c>
      <c r="J12" s="1612">
        <v>151.6</v>
      </c>
      <c r="K12" s="1612">
        <v>153.1</v>
      </c>
      <c r="L12" s="1612">
        <v>154.4</v>
      </c>
      <c r="M12" s="1612">
        <v>156.4</v>
      </c>
      <c r="N12" s="1618">
        <v>157</v>
      </c>
      <c r="O12" s="1612">
        <v>158.19999999999999</v>
      </c>
      <c r="P12">
        <v>165.8</v>
      </c>
      <c r="Q12" s="1719">
        <v>167.4</v>
      </c>
      <c r="R12" s="1720">
        <v>171.3</v>
      </c>
      <c r="S12" s="1720">
        <v>178.3</v>
      </c>
      <c r="T12" s="1720">
        <v>179</v>
      </c>
      <c r="U12" s="1720">
        <v>180</v>
      </c>
      <c r="V12" s="1720">
        <v>187.3</v>
      </c>
      <c r="W12" s="1720">
        <v>189.4</v>
      </c>
      <c r="X12" s="1720">
        <v>191.2</v>
      </c>
      <c r="Y12" s="1720">
        <v>202.2</v>
      </c>
      <c r="Z12" s="1720">
        <v>204.5</v>
      </c>
      <c r="AA12" s="1720">
        <v>206.2</v>
      </c>
      <c r="AB12" s="1720">
        <v>208</v>
      </c>
      <c r="AC12" s="1720">
        <v>210.1</v>
      </c>
      <c r="AD12" s="1720">
        <v>212.7</v>
      </c>
      <c r="AE12" s="1720">
        <v>220.2</v>
      </c>
      <c r="AF12" s="1720">
        <v>223.1</v>
      </c>
      <c r="AG12" s="1720">
        <v>229.8</v>
      </c>
      <c r="AH12" s="1721">
        <v>239.6</v>
      </c>
      <c r="AI12" s="1721">
        <v>248.5</v>
      </c>
      <c r="AJ12" s="1614">
        <v>259.39999999999998</v>
      </c>
      <c r="AK12" s="1614">
        <v>264.39999999999998</v>
      </c>
      <c r="AL12" s="1612">
        <v>283.60000000000002</v>
      </c>
      <c r="AM12" s="1612">
        <v>305.10000000000002</v>
      </c>
      <c r="AN12" s="1614">
        <v>311.5</v>
      </c>
      <c r="AO12" s="1614">
        <v>323.7</v>
      </c>
      <c r="AP12" s="1614">
        <v>331.5</v>
      </c>
      <c r="AQ12" s="1612">
        <v>339.3</v>
      </c>
      <c r="AR12" s="1612">
        <v>346.1</v>
      </c>
      <c r="AS12" s="1627">
        <v>361</v>
      </c>
      <c r="AT12" s="1627">
        <v>381.5</v>
      </c>
      <c r="AU12" s="1627">
        <v>395.6</v>
      </c>
      <c r="AV12" s="1627">
        <v>401</v>
      </c>
      <c r="AW12" s="1769">
        <v>410.7</v>
      </c>
      <c r="AX12" s="1627">
        <v>453.4</v>
      </c>
      <c r="AY12" s="1627">
        <v>459</v>
      </c>
      <c r="AZ12" s="1627">
        <v>486.4</v>
      </c>
      <c r="BA12" s="1627">
        <v>513.1</v>
      </c>
      <c r="BB12" s="1627">
        <v>513.1</v>
      </c>
      <c r="BC12">
        <v>539.6</v>
      </c>
      <c r="BD12" s="1627">
        <v>560.20000000000005</v>
      </c>
      <c r="BE12" s="1627">
        <v>565.29999999999995</v>
      </c>
      <c r="BF12" s="1627">
        <v>573</v>
      </c>
      <c r="BG12" s="1627">
        <v>588.1</v>
      </c>
      <c r="BH12" s="1627">
        <v>598.6</v>
      </c>
      <c r="BI12" s="1627">
        <v>615.20000000000005</v>
      </c>
      <c r="BJ12" s="1627">
        <v>631.5</v>
      </c>
      <c r="BK12" s="1627">
        <v>655.8</v>
      </c>
      <c r="BL12" s="1627">
        <v>695.1</v>
      </c>
      <c r="BM12" s="1627">
        <v>763.4</v>
      </c>
      <c r="BN12" s="1627">
        <v>794.4</v>
      </c>
      <c r="BO12" s="1627">
        <v>824.9</v>
      </c>
      <c r="BP12" s="1627">
        <v>872.7</v>
      </c>
      <c r="BQ12" s="1627">
        <v>896.7</v>
      </c>
      <c r="BR12" s="1627">
        <v>959.1</v>
      </c>
      <c r="BS12" s="1627">
        <v>988.4</v>
      </c>
      <c r="BT12" s="1627">
        <v>1011.3</v>
      </c>
      <c r="BU12" s="1627">
        <v>1065.8</v>
      </c>
      <c r="BV12" s="1627">
        <v>1089.8</v>
      </c>
      <c r="BW12" s="1627">
        <v>1131.2</v>
      </c>
      <c r="BX12" s="1627">
        <v>1180.2</v>
      </c>
      <c r="BY12" s="1627">
        <v>1210</v>
      </c>
      <c r="BZ12" s="1627">
        <v>1234.3</v>
      </c>
      <c r="CA12" s="1627">
        <v>1281.5</v>
      </c>
      <c r="CB12" s="1627">
        <v>1344.5</v>
      </c>
      <c r="CC12" s="1627">
        <v>1416.2</v>
      </c>
      <c r="CD12" s="1627">
        <v>1467.2</v>
      </c>
      <c r="CE12" s="1627">
        <v>1563.9</v>
      </c>
      <c r="CF12" s="1627">
        <v>1670.2</v>
      </c>
      <c r="CG12" s="1627">
        <v>1784</v>
      </c>
      <c r="CH12" s="1627">
        <v>1905.9</v>
      </c>
      <c r="CI12" s="1627">
        <v>2051.9</v>
      </c>
      <c r="CJ12" s="1627">
        <v>2211.9</v>
      </c>
      <c r="CK12" s="1637">
        <v>2369.6999999999998</v>
      </c>
      <c r="CL12" s="2405">
        <v>2552.3000000000002</v>
      </c>
      <c r="CM12" s="2519">
        <v>2713.1</v>
      </c>
      <c r="CN12" s="2523">
        <v>2865.3</v>
      </c>
    </row>
    <row r="13" spans="1:98">
      <c r="A13" s="1608"/>
      <c r="B13" s="1606"/>
      <c r="C13" s="1632" t="s">
        <v>956</v>
      </c>
      <c r="D13" s="1630">
        <v>1</v>
      </c>
      <c r="E13" s="1630">
        <f t="shared" ref="E13:AP13" si="0">+E12/D12</f>
        <v>1.0204415372035978</v>
      </c>
      <c r="F13" s="1630">
        <f t="shared" si="0"/>
        <v>1.0512820512820513</v>
      </c>
      <c r="G13" s="1630">
        <f t="shared" si="0"/>
        <v>1.0297256097560976</v>
      </c>
      <c r="H13" s="1630">
        <f t="shared" si="0"/>
        <v>1.0273871206513694</v>
      </c>
      <c r="I13" s="1630">
        <f t="shared" si="0"/>
        <v>1.0100864553314119</v>
      </c>
      <c r="J13" s="1630">
        <f t="shared" si="0"/>
        <v>1.0813124108416547</v>
      </c>
      <c r="K13" s="1630">
        <f t="shared" si="0"/>
        <v>1.0098944591029024</v>
      </c>
      <c r="L13" s="1630">
        <f t="shared" si="0"/>
        <v>1.0084911822338343</v>
      </c>
      <c r="M13" s="1630">
        <f t="shared" si="0"/>
        <v>1.0129533678756477</v>
      </c>
      <c r="N13" s="1630">
        <f t="shared" si="0"/>
        <v>1.0038363171355498</v>
      </c>
      <c r="O13" s="1630">
        <f t="shared" si="0"/>
        <v>1.0076433121019108</v>
      </c>
      <c r="P13" s="1630">
        <f t="shared" si="0"/>
        <v>1.0480404551201012</v>
      </c>
      <c r="Q13" s="1630">
        <f t="shared" si="0"/>
        <v>1.0096501809408926</v>
      </c>
      <c r="R13" s="1630">
        <f t="shared" si="0"/>
        <v>1.0232974910394266</v>
      </c>
      <c r="S13" s="1630">
        <f t="shared" si="0"/>
        <v>1.0408639813193228</v>
      </c>
      <c r="T13" s="1630">
        <f t="shared" si="0"/>
        <v>1.0039259674705552</v>
      </c>
      <c r="U13" s="1630">
        <f t="shared" si="0"/>
        <v>1.005586592178771</v>
      </c>
      <c r="V13" s="1630">
        <f t="shared" si="0"/>
        <v>1.0405555555555557</v>
      </c>
      <c r="W13" s="1630">
        <f t="shared" si="0"/>
        <v>1.0112119594233848</v>
      </c>
      <c r="X13" s="1630">
        <f t="shared" si="0"/>
        <v>1.0095036958817316</v>
      </c>
      <c r="Y13" s="1630">
        <f t="shared" si="0"/>
        <v>1.0575313807531381</v>
      </c>
      <c r="Z13" s="1630">
        <f t="shared" si="0"/>
        <v>1.0113748763600396</v>
      </c>
      <c r="AA13" s="1630">
        <f t="shared" si="0"/>
        <v>1.0083129584352077</v>
      </c>
      <c r="AB13" s="1630">
        <f t="shared" si="0"/>
        <v>1.008729388942774</v>
      </c>
      <c r="AC13" s="1630">
        <f t="shared" si="0"/>
        <v>1.0100961538461539</v>
      </c>
      <c r="AD13" s="1630">
        <f t="shared" si="0"/>
        <v>1.0123750594954783</v>
      </c>
      <c r="AE13" s="1630">
        <f t="shared" si="0"/>
        <v>1.0352609308885754</v>
      </c>
      <c r="AF13" s="1630">
        <f t="shared" si="0"/>
        <v>1.0131698455949136</v>
      </c>
      <c r="AG13" s="1630">
        <f t="shared" si="0"/>
        <v>1.0300313760645452</v>
      </c>
      <c r="AH13" s="1630">
        <f t="shared" si="0"/>
        <v>1.0426457789382071</v>
      </c>
      <c r="AI13" s="1630">
        <f t="shared" si="0"/>
        <v>1.0371452420701168</v>
      </c>
      <c r="AJ13" s="1630">
        <f t="shared" si="0"/>
        <v>1.0438631790744466</v>
      </c>
      <c r="AK13" s="1630">
        <f t="shared" si="0"/>
        <v>1.0192752505782576</v>
      </c>
      <c r="AL13" s="1630">
        <f t="shared" si="0"/>
        <v>1.0726172465960668</v>
      </c>
      <c r="AM13" s="1630">
        <f t="shared" si="0"/>
        <v>1.0758110014104372</v>
      </c>
      <c r="AN13" s="1630">
        <f t="shared" si="0"/>
        <v>1.0209767289413307</v>
      </c>
      <c r="AO13" s="1630">
        <f t="shared" si="0"/>
        <v>1.0391653290529694</v>
      </c>
      <c r="AP13" s="1630">
        <f t="shared" si="0"/>
        <v>1.0240963855421688</v>
      </c>
      <c r="AQ13" s="1630">
        <f t="shared" ref="AQ13:CN13" si="1">+AQ12/AP12</f>
        <v>1.023529411764706</v>
      </c>
      <c r="AR13" s="1630">
        <f t="shared" si="1"/>
        <v>1.0200412614205718</v>
      </c>
      <c r="AS13" s="1630">
        <f t="shared" si="1"/>
        <v>1.0430511412886447</v>
      </c>
      <c r="AT13" s="1630">
        <f t="shared" si="1"/>
        <v>1.056786703601108</v>
      </c>
      <c r="AU13" s="1630">
        <f t="shared" si="1"/>
        <v>1.036959370904325</v>
      </c>
      <c r="AV13" s="1630">
        <f t="shared" si="1"/>
        <v>1.0136501516683518</v>
      </c>
      <c r="AW13" s="1630">
        <f t="shared" si="1"/>
        <v>1.0241895261845386</v>
      </c>
      <c r="AX13" s="1630">
        <f t="shared" si="1"/>
        <v>1.1039688336985634</v>
      </c>
      <c r="AY13" s="1630">
        <f t="shared" si="1"/>
        <v>1.0123511248345831</v>
      </c>
      <c r="AZ13" s="1630">
        <f t="shared" si="1"/>
        <v>1.0596949891067537</v>
      </c>
      <c r="BA13" s="1630">
        <f t="shared" si="1"/>
        <v>1.0548930921052633</v>
      </c>
      <c r="BB13" s="1630">
        <f t="shared" si="1"/>
        <v>1</v>
      </c>
      <c r="BC13" s="1630">
        <f t="shared" si="1"/>
        <v>1.0516468524654063</v>
      </c>
      <c r="BD13" s="1630">
        <f t="shared" si="1"/>
        <v>1.0381764269829503</v>
      </c>
      <c r="BE13" s="1630">
        <f t="shared" si="1"/>
        <v>1.0091038914673329</v>
      </c>
      <c r="BF13" s="1630">
        <f t="shared" si="1"/>
        <v>1.0136210861489476</v>
      </c>
      <c r="BG13" s="1630">
        <f t="shared" si="1"/>
        <v>1.0263525305410122</v>
      </c>
      <c r="BH13" s="1630">
        <f t="shared" si="1"/>
        <v>1.0178541064444822</v>
      </c>
      <c r="BI13" s="1630">
        <f t="shared" si="1"/>
        <v>1.0277313732041431</v>
      </c>
      <c r="BJ13" s="1630">
        <f t="shared" si="1"/>
        <v>1.0264954486345903</v>
      </c>
      <c r="BK13" s="1630">
        <f t="shared" si="1"/>
        <v>1.0384798099762469</v>
      </c>
      <c r="BL13" s="1630">
        <f t="shared" si="1"/>
        <v>1.0599268069533396</v>
      </c>
      <c r="BM13" s="1630">
        <f t="shared" si="1"/>
        <v>1.098259243274349</v>
      </c>
      <c r="BN13" s="1630">
        <f t="shared" si="1"/>
        <v>1.0406078071784124</v>
      </c>
      <c r="BO13" s="1630">
        <f t="shared" si="1"/>
        <v>1.0383937562940584</v>
      </c>
      <c r="BP13" s="1630">
        <f t="shared" si="1"/>
        <v>1.0579464177476059</v>
      </c>
      <c r="BQ13" s="1630">
        <f t="shared" si="1"/>
        <v>1.0275008594018562</v>
      </c>
      <c r="BR13" s="1630">
        <f t="shared" si="1"/>
        <v>1.0695884911341587</v>
      </c>
      <c r="BS13" s="1630">
        <f t="shared" si="1"/>
        <v>1.0305494734647065</v>
      </c>
      <c r="BT13" s="1630">
        <f t="shared" si="1"/>
        <v>1.0231687575880211</v>
      </c>
      <c r="BU13" s="1630">
        <f t="shared" si="1"/>
        <v>1.0538910313457925</v>
      </c>
      <c r="BV13" s="1630">
        <f t="shared" si="1"/>
        <v>1.0225182961155939</v>
      </c>
      <c r="BW13" s="1630">
        <f t="shared" si="1"/>
        <v>1.0379886217654617</v>
      </c>
      <c r="BX13" s="1630">
        <f t="shared" si="1"/>
        <v>1.0433168316831682</v>
      </c>
      <c r="BY13" s="1630">
        <f t="shared" si="1"/>
        <v>1.0252499576342993</v>
      </c>
      <c r="BZ13" s="1630">
        <f t="shared" si="1"/>
        <v>1.0200826446280991</v>
      </c>
      <c r="CA13" s="1630">
        <f t="shared" si="1"/>
        <v>1.0382402981446974</v>
      </c>
      <c r="CB13" s="1630">
        <f t="shared" si="1"/>
        <v>1.0491611392898947</v>
      </c>
      <c r="CC13" s="1630">
        <f t="shared" si="1"/>
        <v>1.0533283748605431</v>
      </c>
      <c r="CD13" s="1630">
        <f t="shared" si="1"/>
        <v>1.0360118627312527</v>
      </c>
      <c r="CE13" s="1630">
        <f t="shared" si="1"/>
        <v>1.0659078516902945</v>
      </c>
      <c r="CF13" s="1630">
        <f t="shared" si="1"/>
        <v>1.0679710978962849</v>
      </c>
      <c r="CG13" s="1630">
        <f t="shared" si="1"/>
        <v>1.0681355526284277</v>
      </c>
      <c r="CH13" s="1630">
        <f t="shared" si="1"/>
        <v>1.0683295964125561</v>
      </c>
      <c r="CI13" s="1630">
        <f t="shared" si="1"/>
        <v>1.0766042289731885</v>
      </c>
      <c r="CJ13" s="1630">
        <f t="shared" si="1"/>
        <v>1.0779765095764902</v>
      </c>
      <c r="CK13" s="2401">
        <f t="shared" si="1"/>
        <v>1.0713413807134138</v>
      </c>
      <c r="CL13" s="2406">
        <f t="shared" si="1"/>
        <v>1.0770561674473564</v>
      </c>
      <c r="CM13" s="2520">
        <f t="shared" si="1"/>
        <v>1.0630019981977039</v>
      </c>
      <c r="CN13" s="1630">
        <f t="shared" si="1"/>
        <v>1.0560981902620619</v>
      </c>
    </row>
    <row r="14" spans="1:98">
      <c r="CK14" s="1607"/>
      <c r="CL14" s="2407"/>
      <c r="CM14" s="2521"/>
      <c r="CN14" s="2524"/>
    </row>
    <row r="15" spans="1:98" ht="18" customHeight="1">
      <c r="C15" s="1605" t="s">
        <v>991</v>
      </c>
      <c r="D15" s="1619">
        <v>1291.9000000000001</v>
      </c>
      <c r="E15" s="1619">
        <f t="shared" ref="E15:AP15" si="2">+E13*D15</f>
        <v>1318.3084219133279</v>
      </c>
      <c r="F15" s="1619">
        <f t="shared" si="2"/>
        <v>1385.9139820114474</v>
      </c>
      <c r="G15" s="1619">
        <v>100</v>
      </c>
      <c r="H15" s="1619">
        <f t="shared" si="2"/>
        <v>102.73871206513694</v>
      </c>
      <c r="I15" s="1619">
        <f t="shared" si="2"/>
        <v>103.77498149518874</v>
      </c>
      <c r="J15" s="1619">
        <f t="shared" si="2"/>
        <v>112.21317542561064</v>
      </c>
      <c r="K15" s="1619">
        <f t="shared" si="2"/>
        <v>113.32346410066616</v>
      </c>
      <c r="L15" s="1619">
        <f t="shared" si="2"/>
        <v>114.28571428571429</v>
      </c>
      <c r="M15" s="1619">
        <f t="shared" si="2"/>
        <v>115.76609918578832</v>
      </c>
      <c r="N15" s="1619">
        <f t="shared" si="2"/>
        <v>116.21021465581052</v>
      </c>
      <c r="O15" s="1619">
        <f t="shared" si="2"/>
        <v>117.09844559585493</v>
      </c>
      <c r="P15" s="1619">
        <f t="shared" si="2"/>
        <v>122.72390821613621</v>
      </c>
      <c r="Q15" s="1619">
        <f t="shared" si="2"/>
        <v>123.90821613619542</v>
      </c>
      <c r="R15" s="1619">
        <f t="shared" si="2"/>
        <v>126.79496669133977</v>
      </c>
      <c r="S15" s="1619">
        <f t="shared" si="2"/>
        <v>131.97631384159882</v>
      </c>
      <c r="T15" s="1619">
        <f t="shared" si="2"/>
        <v>132.49444855662472</v>
      </c>
      <c r="U15" s="1619">
        <f t="shared" si="2"/>
        <v>133.23464100666175</v>
      </c>
      <c r="V15" s="1619">
        <f t="shared" si="2"/>
        <v>138.63804589193194</v>
      </c>
      <c r="W15" s="1619">
        <f t="shared" si="2"/>
        <v>140.19245003700965</v>
      </c>
      <c r="X15" s="1619">
        <f t="shared" si="2"/>
        <v>141.52479644707626</v>
      </c>
      <c r="Y15" s="1619">
        <f t="shared" si="2"/>
        <v>149.66691339748337</v>
      </c>
      <c r="Z15" s="1619">
        <f t="shared" si="2"/>
        <v>151.3693560325685</v>
      </c>
      <c r="AA15" s="1619">
        <f t="shared" si="2"/>
        <v>152.6276831976314</v>
      </c>
      <c r="AB15" s="1619">
        <f t="shared" si="2"/>
        <v>153.960029607698</v>
      </c>
      <c r="AC15" s="1619">
        <f t="shared" si="2"/>
        <v>155.51443375277574</v>
      </c>
      <c r="AD15" s="1619">
        <f t="shared" si="2"/>
        <v>157.43893412287196</v>
      </c>
      <c r="AE15" s="1619">
        <f t="shared" si="2"/>
        <v>162.99037749814951</v>
      </c>
      <c r="AF15" s="1619">
        <f t="shared" si="2"/>
        <v>165.13693560325683</v>
      </c>
      <c r="AG15" s="1619">
        <f t="shared" si="2"/>
        <v>170.09622501850481</v>
      </c>
      <c r="AH15" s="1619">
        <f t="shared" si="2"/>
        <v>177.3501110288675</v>
      </c>
      <c r="AI15" s="1619">
        <f t="shared" si="2"/>
        <v>183.93782383419688</v>
      </c>
      <c r="AJ15" s="1619">
        <f t="shared" si="2"/>
        <v>192.00592153960025</v>
      </c>
      <c r="AK15" s="1619">
        <f t="shared" si="2"/>
        <v>195.70688378978531</v>
      </c>
      <c r="AL15" s="1619">
        <f t="shared" si="2"/>
        <v>209.91857883049593</v>
      </c>
      <c r="AM15" s="1619">
        <f t="shared" si="2"/>
        <v>225.83271650629163</v>
      </c>
      <c r="AN15" s="1619">
        <f t="shared" si="2"/>
        <v>230.56994818652851</v>
      </c>
      <c r="AO15" s="1619">
        <f t="shared" si="2"/>
        <v>239.60029607698002</v>
      </c>
      <c r="AP15" s="1619">
        <f t="shared" si="2"/>
        <v>245.37379718726871</v>
      </c>
      <c r="AQ15" s="1619">
        <f t="shared" ref="AQ15:CN15" si="3">+AQ13*AP15</f>
        <v>251.14729829755743</v>
      </c>
      <c r="AR15" s="1619">
        <f t="shared" si="3"/>
        <v>256.18060695780912</v>
      </c>
      <c r="AS15" s="1619">
        <f t="shared" si="3"/>
        <v>267.20947446336055</v>
      </c>
      <c r="AT15" s="1619">
        <f t="shared" si="3"/>
        <v>282.38341968911925</v>
      </c>
      <c r="AU15" s="1619">
        <f t="shared" si="3"/>
        <v>292.8201332346411</v>
      </c>
      <c r="AV15" s="1619">
        <f t="shared" si="3"/>
        <v>296.81717246484095</v>
      </c>
      <c r="AW15" s="1619">
        <f t="shared" si="3"/>
        <v>303.99703923019996</v>
      </c>
      <c r="AX15" s="1619">
        <f t="shared" si="3"/>
        <v>335.60325684678025</v>
      </c>
      <c r="AY15" s="1619">
        <f t="shared" si="3"/>
        <v>339.74833456698752</v>
      </c>
      <c r="AZ15" s="1619">
        <f t="shared" si="3"/>
        <v>360.0296076980016</v>
      </c>
      <c r="BA15" s="1619">
        <f t="shared" si="3"/>
        <v>379.79274611398978</v>
      </c>
      <c r="BB15" s="1619">
        <f t="shared" si="3"/>
        <v>379.79274611398978</v>
      </c>
      <c r="BC15" s="1619">
        <f t="shared" si="3"/>
        <v>399.40784603997054</v>
      </c>
      <c r="BD15" s="1619">
        <f t="shared" si="3"/>
        <v>414.65581051073292</v>
      </c>
      <c r="BE15" s="1619">
        <f t="shared" si="3"/>
        <v>418.4307920059216</v>
      </c>
      <c r="BF15" s="1619">
        <f t="shared" si="3"/>
        <v>424.13027387120667</v>
      </c>
      <c r="BG15" s="1619">
        <f t="shared" si="3"/>
        <v>435.30717986676552</v>
      </c>
      <c r="BH15" s="1619">
        <f t="shared" si="3"/>
        <v>443.07920059215411</v>
      </c>
      <c r="BI15" s="1619">
        <f t="shared" si="3"/>
        <v>455.36639526276849</v>
      </c>
      <c r="BJ15" s="1619">
        <f t="shared" si="3"/>
        <v>467.43153219837171</v>
      </c>
      <c r="BK15" s="1619">
        <f t="shared" si="3"/>
        <v>485.41820873427099</v>
      </c>
      <c r="BL15" s="1619">
        <f t="shared" si="3"/>
        <v>514.50777202072561</v>
      </c>
      <c r="BM15" s="1619">
        <f t="shared" si="3"/>
        <v>565.06291635825335</v>
      </c>
      <c r="BN15" s="1619">
        <f t="shared" si="3"/>
        <v>588.00888230940063</v>
      </c>
      <c r="BO15" s="1619">
        <f t="shared" si="3"/>
        <v>610.58475203552939</v>
      </c>
      <c r="BP15" s="1619">
        <f t="shared" si="3"/>
        <v>645.96595114729848</v>
      </c>
      <c r="BQ15" s="1619">
        <f t="shared" si="3"/>
        <v>663.7305699481866</v>
      </c>
      <c r="BR15" s="1619">
        <f t="shared" si="3"/>
        <v>709.91857883049602</v>
      </c>
      <c r="BS15" s="1619">
        <f t="shared" si="3"/>
        <v>731.60621761658035</v>
      </c>
      <c r="BT15" s="1619">
        <f t="shared" si="3"/>
        <v>748.55662472242784</v>
      </c>
      <c r="BU15" s="1619">
        <f t="shared" si="3"/>
        <v>788.89711324944483</v>
      </c>
      <c r="BV15" s="1619">
        <f t="shared" si="3"/>
        <v>806.66173205033306</v>
      </c>
      <c r="BW15" s="1619">
        <f t="shared" si="3"/>
        <v>837.30569948186542</v>
      </c>
      <c r="BX15" s="1619">
        <f t="shared" si="3"/>
        <v>873.57512953367882</v>
      </c>
      <c r="BY15" s="1619">
        <f t="shared" si="3"/>
        <v>895.63286454478168</v>
      </c>
      <c r="BZ15" s="1619">
        <f t="shared" si="3"/>
        <v>913.61954108068096</v>
      </c>
      <c r="CA15" s="1619">
        <f t="shared" si="3"/>
        <v>948.55662472242784</v>
      </c>
      <c r="CB15" s="1619">
        <f t="shared" si="3"/>
        <v>995.18874907475958</v>
      </c>
      <c r="CC15" s="1619">
        <f t="shared" si="3"/>
        <v>1048.2605477424133</v>
      </c>
      <c r="CD15" s="1619">
        <f t="shared" si="3"/>
        <v>1086.010362694301</v>
      </c>
      <c r="CE15" s="1619">
        <f t="shared" si="3"/>
        <v>1157.5869726128799</v>
      </c>
      <c r="CF15" s="1619">
        <f t="shared" si="3"/>
        <v>1236.269430051814</v>
      </c>
      <c r="CG15" s="1619">
        <f t="shared" si="3"/>
        <v>1320.5033308660256</v>
      </c>
      <c r="CH15" s="1619">
        <f t="shared" si="3"/>
        <v>1410.7327905255372</v>
      </c>
      <c r="CI15" s="1619">
        <f t="shared" si="3"/>
        <v>1518.8008882309407</v>
      </c>
      <c r="CJ15" s="1619">
        <f t="shared" si="3"/>
        <v>1637.2316802368623</v>
      </c>
      <c r="CK15" s="2402">
        <f t="shared" si="3"/>
        <v>1754.0340488527024</v>
      </c>
      <c r="CL15" s="2408">
        <f t="shared" si="3"/>
        <v>1889.1931902294609</v>
      </c>
      <c r="CM15" s="2522">
        <f t="shared" si="3"/>
        <v>2008.216136195412</v>
      </c>
      <c r="CN15" s="1619">
        <f t="shared" si="3"/>
        <v>2120.873427091045</v>
      </c>
    </row>
    <row r="16" spans="1:98">
      <c r="C16" s="160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5"/>
      <c r="O16" s="1645"/>
      <c r="P16" s="1645"/>
      <c r="Q16" s="1645"/>
      <c r="R16" s="1645"/>
      <c r="S16" s="1645"/>
      <c r="T16" s="1645"/>
      <c r="U16" s="1645"/>
      <c r="V16" s="1645"/>
      <c r="W16" s="1645"/>
      <c r="X16" s="1645"/>
      <c r="Y16" s="1645"/>
      <c r="Z16" s="1645"/>
      <c r="AA16" s="1645"/>
      <c r="AB16" s="1645"/>
      <c r="AC16" s="1645"/>
      <c r="AD16" s="1645"/>
      <c r="AE16" s="1645"/>
      <c r="AF16" s="1645"/>
      <c r="AG16" s="1645"/>
      <c r="AH16" s="1645"/>
      <c r="AI16" s="1645"/>
      <c r="AJ16" s="1645"/>
      <c r="AK16" s="1645"/>
      <c r="AL16" s="1645"/>
      <c r="AM16" s="1645"/>
      <c r="AN16" s="1645"/>
      <c r="AO16" s="1645"/>
      <c r="AP16" s="1645"/>
      <c r="AQ16" s="1645"/>
      <c r="AR16" s="1645"/>
      <c r="AS16" s="1645"/>
      <c r="AT16" s="1645"/>
      <c r="AU16" s="1645"/>
      <c r="AV16" s="1645"/>
      <c r="AW16" s="1645"/>
      <c r="AX16" s="1645"/>
      <c r="AY16" s="1645"/>
      <c r="AZ16" s="1645"/>
      <c r="BA16" s="1645"/>
      <c r="BB16" s="1645"/>
      <c r="BC16" s="1645"/>
      <c r="BD16" s="1645"/>
      <c r="BE16" s="1645"/>
      <c r="BF16" s="1645"/>
      <c r="BG16" s="1645"/>
      <c r="BH16" s="1645"/>
      <c r="BI16" s="1645"/>
      <c r="BJ16" s="1645"/>
      <c r="BK16" s="1645"/>
      <c r="BL16" s="1645"/>
      <c r="BM16" s="1645"/>
      <c r="BN16" s="1645"/>
      <c r="BO16" s="1645"/>
      <c r="BP16" s="1645"/>
      <c r="BQ16" s="1645"/>
      <c r="BR16" s="1645"/>
      <c r="BS16" s="1645"/>
      <c r="BT16" s="1645"/>
      <c r="BU16" s="1645"/>
      <c r="BV16" s="1645"/>
      <c r="BW16" s="1645"/>
      <c r="BX16" s="1645"/>
      <c r="BY16" s="1645"/>
      <c r="BZ16" s="1645"/>
      <c r="CA16" s="1645"/>
      <c r="CB16" s="1645"/>
      <c r="CC16" s="1645"/>
      <c r="CD16" s="1645"/>
      <c r="CE16" s="1645"/>
      <c r="CF16" s="1645"/>
      <c r="CG16" s="1645"/>
      <c r="CH16" s="1645"/>
      <c r="CI16" s="1645"/>
      <c r="CJ16" s="1645"/>
      <c r="CK16" s="1645"/>
      <c r="CL16" s="1645"/>
      <c r="CM16" s="1645"/>
      <c r="CN16" s="1645"/>
    </row>
    <row r="17" spans="1:98">
      <c r="A17" s="1607"/>
      <c r="B17" s="1607"/>
      <c r="C17" s="1607"/>
      <c r="D17" s="1607"/>
      <c r="E17" s="1607"/>
      <c r="F17" s="1607"/>
      <c r="G17" s="1607"/>
      <c r="H17" s="1607"/>
      <c r="I17" s="1607"/>
      <c r="J17" s="1607"/>
      <c r="K17" s="1607"/>
      <c r="L17" s="1607"/>
      <c r="M17" s="1607"/>
      <c r="N17" s="1607"/>
      <c r="O17" s="1607"/>
      <c r="P17" s="1607"/>
      <c r="Q17" s="1607"/>
      <c r="R17" s="1607"/>
      <c r="S17" s="1607"/>
      <c r="T17" s="1607"/>
      <c r="U17" s="1607"/>
      <c r="V17" s="1607"/>
      <c r="W17" s="1607"/>
      <c r="X17" s="1607"/>
      <c r="Y17" s="1607"/>
      <c r="Z17" s="1607"/>
      <c r="AA17" s="1607"/>
      <c r="AB17" s="1607"/>
      <c r="AC17" s="1607"/>
      <c r="AD17" s="1607"/>
      <c r="AE17" s="1607"/>
      <c r="AF17" s="1607"/>
      <c r="AG17" s="1607"/>
      <c r="AH17" s="1607"/>
      <c r="AI17" s="1607"/>
      <c r="AJ17" s="1607"/>
      <c r="AK17" s="1607"/>
      <c r="AL17" s="1607"/>
      <c r="AM17" s="1607"/>
      <c r="AN17" s="1607"/>
      <c r="AO17" s="1607"/>
      <c r="AP17" s="1607"/>
      <c r="AQ17" s="1607"/>
      <c r="AR17" s="1607"/>
      <c r="AS17" s="1607"/>
      <c r="AT17" s="1607"/>
      <c r="AU17" s="1607"/>
      <c r="AV17" s="1607"/>
      <c r="AW17" s="1607"/>
      <c r="AX17" s="1607"/>
      <c r="AY17" s="1607"/>
      <c r="AZ17" s="1607"/>
      <c r="BA17" s="1607"/>
      <c r="BB17" s="1607"/>
      <c r="BC17" s="1607"/>
      <c r="BD17" s="1607"/>
      <c r="BE17" s="1607"/>
      <c r="BF17" s="1607"/>
      <c r="BG17" s="1607"/>
      <c r="BH17" s="1607"/>
      <c r="BI17" s="1607"/>
      <c r="BJ17" s="1607"/>
      <c r="BK17" s="1607"/>
      <c r="BL17" s="1607"/>
      <c r="BM17" s="1607"/>
      <c r="BN17" s="1607"/>
      <c r="BO17" s="1607"/>
      <c r="BP17" s="1607"/>
      <c r="BQ17" s="1607"/>
      <c r="BR17" s="1607"/>
      <c r="BS17" s="1607"/>
      <c r="BT17" s="1607"/>
      <c r="BU17" s="1607"/>
      <c r="BV17" s="1607"/>
      <c r="BW17" s="1607"/>
      <c r="BX17" s="1607"/>
      <c r="BY17" s="1607"/>
      <c r="BZ17" s="1607"/>
      <c r="CA17" s="1607"/>
      <c r="CB17" s="1607"/>
      <c r="CC17" s="1607"/>
      <c r="CD17" s="1607"/>
      <c r="CE17" s="1607"/>
      <c r="CF17" s="1607"/>
      <c r="CG17" s="1607"/>
      <c r="CH17" s="1607"/>
      <c r="CI17" s="1607"/>
      <c r="CJ17" s="1607"/>
      <c r="CK17" s="1607"/>
      <c r="CL17" s="1607"/>
      <c r="CM17" s="1607"/>
      <c r="CN17" s="1607"/>
    </row>
    <row r="18" spans="1:98">
      <c r="A18" s="1601" t="s">
        <v>994</v>
      </c>
    </row>
    <row r="20" spans="1:98" s="1628" customFormat="1" ht="25.5" customHeight="1">
      <c r="A20" s="2859" t="s">
        <v>955</v>
      </c>
      <c r="B20" s="2860"/>
      <c r="C20" s="2860"/>
      <c r="D20" s="1629">
        <v>42278</v>
      </c>
      <c r="E20" s="1629">
        <v>42309</v>
      </c>
      <c r="F20" s="1629">
        <v>42339</v>
      </c>
      <c r="G20" s="1629">
        <v>42370</v>
      </c>
      <c r="H20" s="1629">
        <v>42401</v>
      </c>
      <c r="I20" s="1629">
        <v>42430</v>
      </c>
      <c r="J20" s="1629">
        <v>42461</v>
      </c>
      <c r="K20" s="1629">
        <v>42491</v>
      </c>
      <c r="L20" s="1629">
        <v>42522</v>
      </c>
      <c r="M20" s="1629">
        <v>42552</v>
      </c>
      <c r="N20" s="1629">
        <v>42583</v>
      </c>
      <c r="O20" s="1629">
        <v>42614</v>
      </c>
      <c r="P20" s="1629">
        <v>42644</v>
      </c>
      <c r="Q20" s="1629">
        <v>42675</v>
      </c>
      <c r="R20" s="1629">
        <v>42705</v>
      </c>
      <c r="S20" s="1629">
        <v>42736</v>
      </c>
      <c r="T20" s="1629">
        <v>42767</v>
      </c>
      <c r="U20" s="1629">
        <v>42795</v>
      </c>
      <c r="V20" s="1629">
        <v>42826</v>
      </c>
      <c r="W20" s="1629">
        <v>42856</v>
      </c>
      <c r="X20" s="1629">
        <v>42887</v>
      </c>
      <c r="Y20" s="1629">
        <v>42917</v>
      </c>
      <c r="Z20" s="1629">
        <v>42948</v>
      </c>
      <c r="AA20" s="1629">
        <v>42979</v>
      </c>
      <c r="AB20" s="1629">
        <v>43009</v>
      </c>
      <c r="AC20" s="1629">
        <v>43040</v>
      </c>
      <c r="AD20" s="1629">
        <v>43070</v>
      </c>
      <c r="AE20" s="1629">
        <v>43101</v>
      </c>
      <c r="AF20" s="1629">
        <v>43132</v>
      </c>
      <c r="AG20" s="1629">
        <v>43160</v>
      </c>
      <c r="AH20" s="1629">
        <v>43191</v>
      </c>
      <c r="AI20" s="1629">
        <v>43221</v>
      </c>
      <c r="AJ20" s="1629">
        <v>43252</v>
      </c>
      <c r="AK20" s="1629">
        <v>43282</v>
      </c>
      <c r="AL20" s="1629">
        <v>43313</v>
      </c>
      <c r="AM20" s="1629">
        <v>43344</v>
      </c>
      <c r="AN20" s="1629">
        <v>43374</v>
      </c>
      <c r="AO20" s="1629">
        <v>43405</v>
      </c>
      <c r="AP20" s="1629">
        <v>43435</v>
      </c>
      <c r="AQ20" s="1629">
        <v>43466</v>
      </c>
      <c r="AR20" s="1629">
        <v>43497</v>
      </c>
      <c r="AS20" s="1629">
        <v>43525</v>
      </c>
      <c r="AT20" s="1629">
        <v>43556</v>
      </c>
      <c r="AU20" s="1629">
        <v>43586</v>
      </c>
      <c r="AV20" s="1629">
        <v>43617</v>
      </c>
      <c r="AW20" s="1629">
        <v>43647</v>
      </c>
      <c r="AX20" s="1629">
        <v>43678</v>
      </c>
      <c r="AY20" s="1629">
        <v>43709</v>
      </c>
      <c r="AZ20" s="1629">
        <v>43739</v>
      </c>
      <c r="BA20" s="1629">
        <v>43770</v>
      </c>
      <c r="BB20" s="1629">
        <v>43800</v>
      </c>
      <c r="BC20" s="1629">
        <v>43831</v>
      </c>
      <c r="BD20" s="1629">
        <v>43862</v>
      </c>
      <c r="BE20" s="1629">
        <v>43891</v>
      </c>
      <c r="BF20" s="1629">
        <v>43922</v>
      </c>
      <c r="BG20" s="1629">
        <v>43952</v>
      </c>
      <c r="BH20" s="1629">
        <v>43983</v>
      </c>
      <c r="BI20" s="1629">
        <v>44013</v>
      </c>
      <c r="BJ20" s="1629">
        <v>44044</v>
      </c>
      <c r="BK20" s="1629">
        <v>44075</v>
      </c>
      <c r="BL20" s="1629">
        <v>44105</v>
      </c>
      <c r="BM20" s="1629">
        <v>44136</v>
      </c>
      <c r="BN20" s="1629">
        <v>44166</v>
      </c>
      <c r="BO20" s="1629">
        <v>44197</v>
      </c>
      <c r="BP20" s="1629">
        <v>44228</v>
      </c>
      <c r="BQ20" s="1629">
        <v>44256</v>
      </c>
      <c r="BR20" s="1629">
        <v>44287</v>
      </c>
      <c r="BS20" s="1629">
        <v>44317</v>
      </c>
      <c r="BT20" s="1629">
        <v>44348</v>
      </c>
      <c r="BU20" s="1629">
        <v>44378</v>
      </c>
      <c r="BV20" s="1629">
        <v>44409</v>
      </c>
      <c r="BW20" s="1629">
        <v>44440</v>
      </c>
      <c r="BX20" s="1629">
        <v>44470</v>
      </c>
      <c r="BY20" s="1629">
        <v>44501</v>
      </c>
      <c r="BZ20" s="1629">
        <v>44531</v>
      </c>
      <c r="CA20" s="1629">
        <v>44562</v>
      </c>
      <c r="CB20" s="1629">
        <v>44593</v>
      </c>
      <c r="CC20" s="1629">
        <v>44621</v>
      </c>
      <c r="CD20" s="1629">
        <v>44652</v>
      </c>
      <c r="CE20" s="1629">
        <v>44682</v>
      </c>
      <c r="CF20" s="1629">
        <v>44713</v>
      </c>
      <c r="CG20" s="1629">
        <v>44743</v>
      </c>
      <c r="CH20" s="1629">
        <v>44774</v>
      </c>
      <c r="CI20" s="1629">
        <v>44805</v>
      </c>
      <c r="CJ20" s="1629">
        <v>44835</v>
      </c>
      <c r="CK20" s="2400">
        <v>44866</v>
      </c>
      <c r="CL20" s="2403">
        <v>44896</v>
      </c>
      <c r="CM20" s="2517">
        <v>44927</v>
      </c>
      <c r="CN20" s="1629">
        <f>+CN10</f>
        <v>44958</v>
      </c>
    </row>
    <row r="21" spans="1:98">
      <c r="A21" s="1608"/>
      <c r="B21" s="1606"/>
      <c r="C21" s="1631"/>
      <c r="D21" s="1612"/>
      <c r="E21" s="1612"/>
      <c r="F21" s="1612"/>
      <c r="G21" s="1612"/>
      <c r="H21" s="1612"/>
      <c r="I21" s="1612"/>
      <c r="J21" s="1612"/>
      <c r="K21" s="1612"/>
      <c r="L21" s="1612"/>
      <c r="M21" s="1612"/>
      <c r="N21" s="1612"/>
      <c r="O21" s="1612"/>
      <c r="P21" s="1612"/>
      <c r="Q21" s="1612"/>
      <c r="R21" s="1612"/>
      <c r="S21" s="1612"/>
      <c r="T21" s="1612"/>
      <c r="U21" s="1612"/>
      <c r="V21" s="1612"/>
      <c r="W21" s="1612"/>
      <c r="X21" s="1612"/>
      <c r="Y21" s="1612"/>
      <c r="Z21" s="1612"/>
      <c r="AA21" s="1612"/>
      <c r="AB21" s="1612"/>
      <c r="AC21" s="1612"/>
      <c r="AD21" s="1612"/>
      <c r="AE21" s="1612"/>
      <c r="AF21" s="1612"/>
      <c r="AG21" s="1612"/>
      <c r="AH21" s="1612"/>
      <c r="AI21" s="1612"/>
      <c r="AJ21" s="1612"/>
      <c r="AK21" s="1612"/>
      <c r="AL21" s="1612"/>
      <c r="AM21" s="1612"/>
      <c r="AN21" s="1612"/>
      <c r="AO21" s="1612"/>
      <c r="AP21" s="1612"/>
      <c r="AQ21" s="1612"/>
      <c r="AR21" s="1612"/>
      <c r="AS21" s="1612"/>
      <c r="AT21" s="1612"/>
      <c r="AU21" s="1612"/>
      <c r="AV21" s="1612"/>
      <c r="AW21" s="1612"/>
      <c r="AX21" s="1612"/>
      <c r="AY21" s="1612"/>
      <c r="AZ21" s="1612"/>
      <c r="BA21" s="1612"/>
      <c r="BB21" s="1612"/>
      <c r="BC21" s="1612"/>
      <c r="BD21" s="1612"/>
      <c r="BE21" s="1612"/>
      <c r="BF21" s="1612"/>
      <c r="BG21" s="1612"/>
      <c r="BH21" s="1612"/>
      <c r="BI21" s="1612"/>
      <c r="BJ21" s="1612"/>
      <c r="BK21" s="1612"/>
      <c r="BL21" s="1612"/>
      <c r="BM21" s="1612"/>
      <c r="BN21" s="1612"/>
      <c r="BO21" s="1612"/>
      <c r="BP21" s="1612"/>
      <c r="BQ21" s="1612"/>
      <c r="BR21" s="1612"/>
      <c r="BS21" s="1612"/>
      <c r="BT21" s="1612"/>
      <c r="BU21" s="1612"/>
      <c r="BV21" s="1612"/>
      <c r="BW21" s="1612"/>
      <c r="BX21" s="1612"/>
      <c r="BY21" s="1612"/>
      <c r="BZ21" s="1612"/>
      <c r="CA21" s="1612"/>
      <c r="CB21" s="1612"/>
      <c r="CC21" s="1612"/>
      <c r="CD21" s="1612"/>
      <c r="CE21" s="1612"/>
      <c r="CF21" s="1612"/>
      <c r="CG21" s="1612"/>
      <c r="CH21" s="1612"/>
      <c r="CI21" s="1612"/>
      <c r="CJ21" s="1612"/>
      <c r="CK21" s="1608"/>
      <c r="CL21" s="2404"/>
      <c r="CM21" s="2518"/>
      <c r="CN21" s="1612"/>
    </row>
    <row r="22" spans="1:98">
      <c r="A22" s="2861" t="s">
        <v>992</v>
      </c>
      <c r="B22" s="2862"/>
      <c r="C22" s="2863"/>
      <c r="D22" s="1612">
        <v>122.3</v>
      </c>
      <c r="E22" s="1612">
        <v>124.8</v>
      </c>
      <c r="F22" s="1612">
        <v>131.19999999999999</v>
      </c>
      <c r="G22" s="1612">
        <v>135.1</v>
      </c>
      <c r="H22" s="1612">
        <v>138.80000000000001</v>
      </c>
      <c r="I22" s="1612">
        <v>140.19999999999999</v>
      </c>
      <c r="J22" s="1612">
        <v>151.6</v>
      </c>
      <c r="K22" s="1612">
        <v>153.1</v>
      </c>
      <c r="L22" s="1612">
        <v>154.4</v>
      </c>
      <c r="M22" s="1612">
        <v>156.4</v>
      </c>
      <c r="N22" s="1618">
        <v>157</v>
      </c>
      <c r="O22" s="1612">
        <v>158.19999999999999</v>
      </c>
      <c r="P22">
        <v>165.8</v>
      </c>
      <c r="Q22" s="1719">
        <v>167.4</v>
      </c>
      <c r="R22" s="1720">
        <v>171.3</v>
      </c>
      <c r="S22" s="1720">
        <v>178.3</v>
      </c>
      <c r="T22" s="1720">
        <v>179</v>
      </c>
      <c r="U22" s="1720">
        <v>180</v>
      </c>
      <c r="V22" s="1720">
        <v>187.3</v>
      </c>
      <c r="W22" s="1720">
        <v>189.4</v>
      </c>
      <c r="X22" s="1720">
        <v>191.2</v>
      </c>
      <c r="Y22" s="1720">
        <v>202.2</v>
      </c>
      <c r="Z22" s="1720">
        <v>204.5</v>
      </c>
      <c r="AA22" s="1720">
        <v>206.2</v>
      </c>
      <c r="AB22" s="1720">
        <v>208</v>
      </c>
      <c r="AC22" s="1720">
        <v>210.1</v>
      </c>
      <c r="AD22" s="1720">
        <v>212.7</v>
      </c>
      <c r="AE22" s="1720">
        <v>220.2</v>
      </c>
      <c r="AF22" s="1720">
        <v>223.1</v>
      </c>
      <c r="AG22" s="1720">
        <v>229.8</v>
      </c>
      <c r="AH22" s="1721">
        <v>239.6</v>
      </c>
      <c r="AI22" s="1721">
        <v>248.5</v>
      </c>
      <c r="AJ22" s="1614">
        <v>259.39999999999998</v>
      </c>
      <c r="AK22" s="1614">
        <v>264.39999999999998</v>
      </c>
      <c r="AL22" s="1612">
        <v>283.60000000000002</v>
      </c>
      <c r="AM22" s="1612">
        <v>305.10000000000002</v>
      </c>
      <c r="AN22" s="1614">
        <v>311.5</v>
      </c>
      <c r="AO22" s="1614">
        <v>323.7</v>
      </c>
      <c r="AP22" s="1614">
        <v>331.5</v>
      </c>
      <c r="AQ22" s="1612">
        <v>339.3</v>
      </c>
      <c r="AR22" s="1612">
        <v>346.1</v>
      </c>
      <c r="AS22" s="1627">
        <v>361</v>
      </c>
      <c r="AT22" s="1627">
        <v>381.5</v>
      </c>
      <c r="AU22" s="1627">
        <v>395.6</v>
      </c>
      <c r="AV22" s="1627">
        <v>401</v>
      </c>
      <c r="AW22" s="1769">
        <v>410.7</v>
      </c>
      <c r="AX22" s="1627">
        <v>453.4</v>
      </c>
      <c r="AY22" s="1627">
        <v>459</v>
      </c>
      <c r="AZ22" s="1627">
        <v>486.4</v>
      </c>
      <c r="BA22" s="1627">
        <v>513.1</v>
      </c>
      <c r="BB22" s="1627">
        <v>513.1</v>
      </c>
      <c r="BC22">
        <v>539.6</v>
      </c>
      <c r="BD22" s="1627">
        <v>560.20000000000005</v>
      </c>
      <c r="BE22" s="1627">
        <v>565.29999999999995</v>
      </c>
      <c r="BF22" s="1627">
        <v>573</v>
      </c>
      <c r="BG22" s="1627">
        <v>588.1</v>
      </c>
      <c r="BH22" s="1627">
        <v>598.6</v>
      </c>
      <c r="BI22" s="1627">
        <v>615.20000000000005</v>
      </c>
      <c r="BJ22" s="1627">
        <v>631.5</v>
      </c>
      <c r="BK22" s="1627">
        <v>655.8</v>
      </c>
      <c r="BL22" s="1627">
        <v>695.1</v>
      </c>
      <c r="BM22" s="1627">
        <v>763.4</v>
      </c>
      <c r="BN22" s="1627">
        <v>794.4</v>
      </c>
      <c r="BO22" s="1627">
        <v>824.9</v>
      </c>
      <c r="BP22" s="1627">
        <v>872.7</v>
      </c>
      <c r="BQ22" s="1627">
        <v>896.7</v>
      </c>
      <c r="BR22" s="1627">
        <v>959.1</v>
      </c>
      <c r="BS22" s="1627">
        <v>988.4</v>
      </c>
      <c r="BT22" s="1627">
        <v>1011.3</v>
      </c>
      <c r="BU22" s="1627">
        <v>1065.8</v>
      </c>
      <c r="BV22" s="1627">
        <v>1089.8</v>
      </c>
      <c r="BW22" s="1627">
        <v>1131.2</v>
      </c>
      <c r="BX22" s="1627">
        <v>1180.2</v>
      </c>
      <c r="BY22" s="1627">
        <v>1210</v>
      </c>
      <c r="BZ22" s="1627">
        <v>1234.3</v>
      </c>
      <c r="CA22" s="1627">
        <v>1281.5</v>
      </c>
      <c r="CB22" s="1627">
        <v>1344.5</v>
      </c>
      <c r="CC22" s="1627">
        <v>1416.2</v>
      </c>
      <c r="CD22" s="1627">
        <v>1467.2</v>
      </c>
      <c r="CE22" s="1627">
        <v>1563.9</v>
      </c>
      <c r="CF22" s="1627">
        <v>1670.2</v>
      </c>
      <c r="CG22" s="1627">
        <v>1784</v>
      </c>
      <c r="CH22" s="1627">
        <v>1905.9</v>
      </c>
      <c r="CI22" s="1627">
        <v>2051.9</v>
      </c>
      <c r="CJ22" s="1627">
        <v>2211.9</v>
      </c>
      <c r="CK22" s="1637">
        <v>2369.6999999999998</v>
      </c>
      <c r="CL22" s="2405">
        <v>2552.3000000000002</v>
      </c>
      <c r="CM22" s="2519">
        <v>2713.1</v>
      </c>
      <c r="CN22" s="2523">
        <v>2865.3</v>
      </c>
    </row>
    <row r="23" spans="1:98">
      <c r="A23" s="1608"/>
      <c r="B23" s="1606"/>
      <c r="C23" s="1632" t="s">
        <v>956</v>
      </c>
      <c r="D23" s="1630">
        <v>1</v>
      </c>
      <c r="E23" s="1630">
        <f t="shared" ref="E23:AP23" si="4">+E22/D22</f>
        <v>1.0204415372035978</v>
      </c>
      <c r="F23" s="1630">
        <f t="shared" si="4"/>
        <v>1.0512820512820513</v>
      </c>
      <c r="G23" s="1630">
        <f t="shared" si="4"/>
        <v>1.0297256097560976</v>
      </c>
      <c r="H23" s="1630">
        <f t="shared" si="4"/>
        <v>1.0273871206513694</v>
      </c>
      <c r="I23" s="1630">
        <f t="shared" si="4"/>
        <v>1.0100864553314119</v>
      </c>
      <c r="J23" s="1630">
        <f t="shared" si="4"/>
        <v>1.0813124108416547</v>
      </c>
      <c r="K23" s="1630">
        <f t="shared" si="4"/>
        <v>1.0098944591029024</v>
      </c>
      <c r="L23" s="1630">
        <f t="shared" si="4"/>
        <v>1.0084911822338343</v>
      </c>
      <c r="M23" s="1630">
        <f t="shared" si="4"/>
        <v>1.0129533678756477</v>
      </c>
      <c r="N23" s="1630">
        <f t="shared" si="4"/>
        <v>1.0038363171355498</v>
      </c>
      <c r="O23" s="1630">
        <f t="shared" si="4"/>
        <v>1.0076433121019108</v>
      </c>
      <c r="P23" s="1630">
        <f t="shared" si="4"/>
        <v>1.0480404551201012</v>
      </c>
      <c r="Q23" s="1630">
        <f t="shared" si="4"/>
        <v>1.0096501809408926</v>
      </c>
      <c r="R23" s="1630">
        <f t="shared" si="4"/>
        <v>1.0232974910394266</v>
      </c>
      <c r="S23" s="1630">
        <f t="shared" si="4"/>
        <v>1.0408639813193228</v>
      </c>
      <c r="T23" s="1630">
        <f t="shared" si="4"/>
        <v>1.0039259674705552</v>
      </c>
      <c r="U23" s="1630">
        <f t="shared" si="4"/>
        <v>1.005586592178771</v>
      </c>
      <c r="V23" s="1630">
        <f t="shared" si="4"/>
        <v>1.0405555555555557</v>
      </c>
      <c r="W23" s="1630">
        <f t="shared" si="4"/>
        <v>1.0112119594233848</v>
      </c>
      <c r="X23" s="1630">
        <f t="shared" si="4"/>
        <v>1.0095036958817316</v>
      </c>
      <c r="Y23" s="1630">
        <f t="shared" si="4"/>
        <v>1.0575313807531381</v>
      </c>
      <c r="Z23" s="1630">
        <f t="shared" si="4"/>
        <v>1.0113748763600396</v>
      </c>
      <c r="AA23" s="1630">
        <f t="shared" si="4"/>
        <v>1.0083129584352077</v>
      </c>
      <c r="AB23" s="1630">
        <f t="shared" si="4"/>
        <v>1.008729388942774</v>
      </c>
      <c r="AC23" s="1630">
        <f t="shared" si="4"/>
        <v>1.0100961538461539</v>
      </c>
      <c r="AD23" s="1630">
        <f t="shared" si="4"/>
        <v>1.0123750594954783</v>
      </c>
      <c r="AE23" s="1630">
        <f t="shared" si="4"/>
        <v>1.0352609308885754</v>
      </c>
      <c r="AF23" s="1630">
        <f t="shared" si="4"/>
        <v>1.0131698455949136</v>
      </c>
      <c r="AG23" s="1630">
        <f t="shared" si="4"/>
        <v>1.0300313760645452</v>
      </c>
      <c r="AH23" s="1630">
        <f t="shared" si="4"/>
        <v>1.0426457789382071</v>
      </c>
      <c r="AI23" s="1630">
        <f t="shared" si="4"/>
        <v>1.0371452420701168</v>
      </c>
      <c r="AJ23" s="1630">
        <f t="shared" si="4"/>
        <v>1.0438631790744466</v>
      </c>
      <c r="AK23" s="1630">
        <f t="shared" si="4"/>
        <v>1.0192752505782576</v>
      </c>
      <c r="AL23" s="1630">
        <f t="shared" si="4"/>
        <v>1.0726172465960668</v>
      </c>
      <c r="AM23" s="1630">
        <f t="shared" si="4"/>
        <v>1.0758110014104372</v>
      </c>
      <c r="AN23" s="1630">
        <f t="shared" si="4"/>
        <v>1.0209767289413307</v>
      </c>
      <c r="AO23" s="1630">
        <f t="shared" si="4"/>
        <v>1.0391653290529694</v>
      </c>
      <c r="AP23" s="1630">
        <f t="shared" si="4"/>
        <v>1.0240963855421688</v>
      </c>
      <c r="AQ23" s="1630">
        <f t="shared" ref="AQ23:CN23" si="5">+AQ22/AP22</f>
        <v>1.023529411764706</v>
      </c>
      <c r="AR23" s="1630">
        <f t="shared" si="5"/>
        <v>1.0200412614205718</v>
      </c>
      <c r="AS23" s="1630">
        <f t="shared" si="5"/>
        <v>1.0430511412886447</v>
      </c>
      <c r="AT23" s="1630">
        <f t="shared" si="5"/>
        <v>1.056786703601108</v>
      </c>
      <c r="AU23" s="1630">
        <f t="shared" si="5"/>
        <v>1.036959370904325</v>
      </c>
      <c r="AV23" s="1630">
        <f t="shared" si="5"/>
        <v>1.0136501516683518</v>
      </c>
      <c r="AW23" s="1630">
        <f t="shared" si="5"/>
        <v>1.0241895261845386</v>
      </c>
      <c r="AX23" s="1630">
        <f t="shared" si="5"/>
        <v>1.1039688336985634</v>
      </c>
      <c r="AY23" s="1630">
        <f t="shared" si="5"/>
        <v>1.0123511248345831</v>
      </c>
      <c r="AZ23" s="1630">
        <f t="shared" si="5"/>
        <v>1.0596949891067537</v>
      </c>
      <c r="BA23" s="1630">
        <f t="shared" si="5"/>
        <v>1.0548930921052633</v>
      </c>
      <c r="BB23" s="1630">
        <f t="shared" si="5"/>
        <v>1</v>
      </c>
      <c r="BC23" s="1630">
        <f t="shared" si="5"/>
        <v>1.0516468524654063</v>
      </c>
      <c r="BD23" s="1630">
        <f t="shared" si="5"/>
        <v>1.0381764269829503</v>
      </c>
      <c r="BE23" s="1630">
        <f t="shared" si="5"/>
        <v>1.0091038914673329</v>
      </c>
      <c r="BF23" s="1630">
        <f t="shared" si="5"/>
        <v>1.0136210861489476</v>
      </c>
      <c r="BG23" s="1630">
        <f t="shared" si="5"/>
        <v>1.0263525305410122</v>
      </c>
      <c r="BH23" s="1630">
        <f t="shared" si="5"/>
        <v>1.0178541064444822</v>
      </c>
      <c r="BI23" s="1630">
        <f t="shared" si="5"/>
        <v>1.0277313732041431</v>
      </c>
      <c r="BJ23" s="1630">
        <f t="shared" si="5"/>
        <v>1.0264954486345903</v>
      </c>
      <c r="BK23" s="1630">
        <f t="shared" si="5"/>
        <v>1.0384798099762469</v>
      </c>
      <c r="BL23" s="1630">
        <f t="shared" si="5"/>
        <v>1.0599268069533396</v>
      </c>
      <c r="BM23" s="1630">
        <f t="shared" si="5"/>
        <v>1.098259243274349</v>
      </c>
      <c r="BN23" s="1630">
        <f t="shared" si="5"/>
        <v>1.0406078071784124</v>
      </c>
      <c r="BO23" s="1630">
        <f t="shared" si="5"/>
        <v>1.0383937562940584</v>
      </c>
      <c r="BP23" s="1630">
        <f t="shared" si="5"/>
        <v>1.0579464177476059</v>
      </c>
      <c r="BQ23" s="1630">
        <f t="shared" si="5"/>
        <v>1.0275008594018562</v>
      </c>
      <c r="BR23" s="1630">
        <f t="shared" si="5"/>
        <v>1.0695884911341587</v>
      </c>
      <c r="BS23" s="1630">
        <f t="shared" si="5"/>
        <v>1.0305494734647065</v>
      </c>
      <c r="BT23" s="1630">
        <f t="shared" si="5"/>
        <v>1.0231687575880211</v>
      </c>
      <c r="BU23" s="1630">
        <f t="shared" si="5"/>
        <v>1.0538910313457925</v>
      </c>
      <c r="BV23" s="1630">
        <f t="shared" si="5"/>
        <v>1.0225182961155939</v>
      </c>
      <c r="BW23" s="1630">
        <f t="shared" si="5"/>
        <v>1.0379886217654617</v>
      </c>
      <c r="BX23" s="1630">
        <f t="shared" si="5"/>
        <v>1.0433168316831682</v>
      </c>
      <c r="BY23" s="1630">
        <f t="shared" si="5"/>
        <v>1.0252499576342993</v>
      </c>
      <c r="BZ23" s="1630">
        <f t="shared" si="5"/>
        <v>1.0200826446280991</v>
      </c>
      <c r="CA23" s="1630">
        <f t="shared" si="5"/>
        <v>1.0382402981446974</v>
      </c>
      <c r="CB23" s="1630">
        <f t="shared" si="5"/>
        <v>1.0491611392898947</v>
      </c>
      <c r="CC23" s="1630">
        <f t="shared" si="5"/>
        <v>1.0533283748605431</v>
      </c>
      <c r="CD23" s="1630">
        <f t="shared" si="5"/>
        <v>1.0360118627312527</v>
      </c>
      <c r="CE23" s="1630">
        <f t="shared" si="5"/>
        <v>1.0659078516902945</v>
      </c>
      <c r="CF23" s="1630">
        <f t="shared" si="5"/>
        <v>1.0679710978962849</v>
      </c>
      <c r="CG23" s="1630">
        <f t="shared" si="5"/>
        <v>1.0681355526284277</v>
      </c>
      <c r="CH23" s="1630">
        <f t="shared" si="5"/>
        <v>1.0683295964125561</v>
      </c>
      <c r="CI23" s="1630">
        <f t="shared" si="5"/>
        <v>1.0766042289731885</v>
      </c>
      <c r="CJ23" s="1630">
        <f t="shared" si="5"/>
        <v>1.0779765095764902</v>
      </c>
      <c r="CK23" s="2401">
        <f t="shared" si="5"/>
        <v>1.0713413807134138</v>
      </c>
      <c r="CL23" s="2406">
        <f t="shared" si="5"/>
        <v>1.0770561674473564</v>
      </c>
      <c r="CM23" s="2520">
        <f t="shared" si="5"/>
        <v>1.0630019981977039</v>
      </c>
      <c r="CN23" s="1630">
        <f t="shared" si="5"/>
        <v>1.0560981902620619</v>
      </c>
      <c r="CO23" s="1641">
        <v>1239.4000000000001</v>
      </c>
      <c r="CP23" s="1641">
        <v>1264.7352412101391</v>
      </c>
      <c r="CQ23" s="1641">
        <v>1329.5934587080949</v>
      </c>
      <c r="CR23" s="1641">
        <v>1369.1164349959117</v>
      </c>
      <c r="CS23" s="1641">
        <v>1406.6125919869176</v>
      </c>
      <c r="CT23" s="1641">
        <v>1420.8003270645952</v>
      </c>
    </row>
    <row r="24" spans="1:98">
      <c r="CK24" s="1607"/>
      <c r="CL24" s="2407"/>
      <c r="CM24" s="2521"/>
      <c r="CN24" s="2524"/>
    </row>
    <row r="25" spans="1:98" ht="18" customHeight="1">
      <c r="C25" s="1605" t="s">
        <v>995</v>
      </c>
      <c r="D25" s="1619">
        <v>1239.4000000000001</v>
      </c>
      <c r="E25" s="1619">
        <f t="shared" ref="E25:CN25" si="6">+E23*D25</f>
        <v>1264.7352412101391</v>
      </c>
      <c r="F25" s="1619">
        <f t="shared" si="6"/>
        <v>1329.5934587080949</v>
      </c>
      <c r="G25" s="1619">
        <v>100</v>
      </c>
      <c r="H25" s="1619">
        <f t="shared" si="6"/>
        <v>102.73871206513694</v>
      </c>
      <c r="I25" s="1619">
        <f t="shared" si="6"/>
        <v>103.77498149518874</v>
      </c>
      <c r="J25" s="1619">
        <f t="shared" si="6"/>
        <v>112.21317542561064</v>
      </c>
      <c r="K25" s="1619">
        <f t="shared" si="6"/>
        <v>113.32346410066616</v>
      </c>
      <c r="L25" s="1619">
        <f t="shared" si="6"/>
        <v>114.28571428571429</v>
      </c>
      <c r="M25" s="1619">
        <f t="shared" si="6"/>
        <v>115.76609918578832</v>
      </c>
      <c r="N25" s="1619">
        <f t="shared" si="6"/>
        <v>116.21021465581052</v>
      </c>
      <c r="O25" s="1619">
        <f t="shared" si="6"/>
        <v>117.09844559585493</v>
      </c>
      <c r="P25" s="1619">
        <f t="shared" si="6"/>
        <v>122.72390821613621</v>
      </c>
      <c r="Q25" s="1619">
        <f t="shared" si="6"/>
        <v>123.90821613619542</v>
      </c>
      <c r="R25" s="1619">
        <f t="shared" si="6"/>
        <v>126.79496669133977</v>
      </c>
      <c r="S25" s="1619">
        <f t="shared" si="6"/>
        <v>131.97631384159882</v>
      </c>
      <c r="T25" s="1619">
        <f t="shared" si="6"/>
        <v>132.49444855662472</v>
      </c>
      <c r="U25" s="1619">
        <f t="shared" si="6"/>
        <v>133.23464100666175</v>
      </c>
      <c r="V25" s="1619">
        <f t="shared" si="6"/>
        <v>138.63804589193194</v>
      </c>
      <c r="W25" s="1619">
        <f t="shared" si="6"/>
        <v>140.19245003700965</v>
      </c>
      <c r="X25" s="1619">
        <f t="shared" si="6"/>
        <v>141.52479644707626</v>
      </c>
      <c r="Y25" s="1619">
        <f t="shared" si="6"/>
        <v>149.66691339748337</v>
      </c>
      <c r="Z25" s="1619">
        <f t="shared" si="6"/>
        <v>151.3693560325685</v>
      </c>
      <c r="AA25" s="1619">
        <f t="shared" si="6"/>
        <v>152.6276831976314</v>
      </c>
      <c r="AB25" s="1619">
        <f t="shared" si="6"/>
        <v>153.960029607698</v>
      </c>
      <c r="AC25" s="1619">
        <f t="shared" si="6"/>
        <v>155.51443375277574</v>
      </c>
      <c r="AD25" s="1619">
        <f t="shared" si="6"/>
        <v>157.43893412287196</v>
      </c>
      <c r="AE25" s="1619">
        <f t="shared" si="6"/>
        <v>162.99037749814951</v>
      </c>
      <c r="AF25" s="1619">
        <f t="shared" si="6"/>
        <v>165.13693560325683</v>
      </c>
      <c r="AG25" s="1619">
        <f t="shared" si="6"/>
        <v>170.09622501850481</v>
      </c>
      <c r="AH25" s="1619">
        <f t="shared" si="6"/>
        <v>177.3501110288675</v>
      </c>
      <c r="AI25" s="1619">
        <f t="shared" si="6"/>
        <v>183.93782383419688</v>
      </c>
      <c r="AJ25" s="1619">
        <f t="shared" si="6"/>
        <v>192.00592153960025</v>
      </c>
      <c r="AK25" s="1619">
        <f t="shared" si="6"/>
        <v>195.70688378978531</v>
      </c>
      <c r="AL25" s="1619">
        <f t="shared" si="6"/>
        <v>209.91857883049593</v>
      </c>
      <c r="AM25" s="1619">
        <f t="shared" si="6"/>
        <v>225.83271650629163</v>
      </c>
      <c r="AN25" s="1619">
        <f t="shared" si="6"/>
        <v>230.56994818652851</v>
      </c>
      <c r="AO25" s="1619">
        <f t="shared" si="6"/>
        <v>239.60029607698002</v>
      </c>
      <c r="AP25" s="1619">
        <f t="shared" si="6"/>
        <v>245.37379718726871</v>
      </c>
      <c r="AQ25" s="1619">
        <f t="shared" si="6"/>
        <v>251.14729829755743</v>
      </c>
      <c r="AR25" s="1619">
        <f t="shared" si="6"/>
        <v>256.18060695780912</v>
      </c>
      <c r="AS25" s="1619">
        <f t="shared" si="6"/>
        <v>267.20947446336055</v>
      </c>
      <c r="AT25" s="1619">
        <f t="shared" si="6"/>
        <v>282.38341968911925</v>
      </c>
      <c r="AU25" s="1619">
        <f t="shared" si="6"/>
        <v>292.8201332346411</v>
      </c>
      <c r="AV25" s="1619">
        <f t="shared" si="6"/>
        <v>296.81717246484095</v>
      </c>
      <c r="AW25" s="1619">
        <f t="shared" si="6"/>
        <v>303.99703923019996</v>
      </c>
      <c r="AX25" s="1619">
        <f t="shared" si="6"/>
        <v>335.60325684678025</v>
      </c>
      <c r="AY25" s="1619">
        <f t="shared" si="6"/>
        <v>339.74833456698752</v>
      </c>
      <c r="AZ25" s="1619">
        <f t="shared" si="6"/>
        <v>360.0296076980016</v>
      </c>
      <c r="BA25" s="1619">
        <f t="shared" si="6"/>
        <v>379.79274611398978</v>
      </c>
      <c r="BB25" s="1619">
        <f t="shared" si="6"/>
        <v>379.79274611398978</v>
      </c>
      <c r="BC25" s="1619">
        <f t="shared" si="6"/>
        <v>399.40784603997054</v>
      </c>
      <c r="BD25" s="1619">
        <f t="shared" si="6"/>
        <v>414.65581051073292</v>
      </c>
      <c r="BE25" s="1619">
        <f t="shared" si="6"/>
        <v>418.4307920059216</v>
      </c>
      <c r="BF25" s="1619">
        <f t="shared" si="6"/>
        <v>424.13027387120667</v>
      </c>
      <c r="BG25" s="1619">
        <f t="shared" si="6"/>
        <v>435.30717986676552</v>
      </c>
      <c r="BH25" s="1619">
        <f t="shared" si="6"/>
        <v>443.07920059215411</v>
      </c>
      <c r="BI25" s="1619">
        <f t="shared" si="6"/>
        <v>455.36639526276849</v>
      </c>
      <c r="BJ25" s="1619">
        <f t="shared" si="6"/>
        <v>467.43153219837171</v>
      </c>
      <c r="BK25" s="1619">
        <f t="shared" si="6"/>
        <v>485.41820873427099</v>
      </c>
      <c r="BL25" s="1619">
        <f t="shared" si="6"/>
        <v>514.50777202072561</v>
      </c>
      <c r="BM25" s="1619">
        <f t="shared" si="6"/>
        <v>565.06291635825335</v>
      </c>
      <c r="BN25" s="1619">
        <f t="shared" si="6"/>
        <v>588.00888230940063</v>
      </c>
      <c r="BO25" s="1619">
        <f t="shared" si="6"/>
        <v>610.58475203552939</v>
      </c>
      <c r="BP25" s="1619">
        <f t="shared" si="6"/>
        <v>645.96595114729848</v>
      </c>
      <c r="BQ25" s="1619">
        <f t="shared" si="6"/>
        <v>663.7305699481866</v>
      </c>
      <c r="BR25" s="1619">
        <f t="shared" si="6"/>
        <v>709.91857883049602</v>
      </c>
      <c r="BS25" s="1619">
        <f t="shared" si="6"/>
        <v>731.60621761658035</v>
      </c>
      <c r="BT25" s="1619">
        <f t="shared" si="6"/>
        <v>748.55662472242784</v>
      </c>
      <c r="BU25" s="1619">
        <f t="shared" si="6"/>
        <v>788.89711324944483</v>
      </c>
      <c r="BV25" s="1619">
        <f t="shared" si="6"/>
        <v>806.66173205033306</v>
      </c>
      <c r="BW25" s="1619">
        <f t="shared" si="6"/>
        <v>837.30569948186542</v>
      </c>
      <c r="BX25" s="1619">
        <f t="shared" si="6"/>
        <v>873.57512953367882</v>
      </c>
      <c r="BY25" s="1619">
        <f t="shared" si="6"/>
        <v>895.63286454478168</v>
      </c>
      <c r="BZ25" s="1619">
        <f t="shared" si="6"/>
        <v>913.61954108068096</v>
      </c>
      <c r="CA25" s="1619">
        <f t="shared" si="6"/>
        <v>948.55662472242784</v>
      </c>
      <c r="CB25" s="1619">
        <f t="shared" si="6"/>
        <v>995.18874907475958</v>
      </c>
      <c r="CC25" s="1619">
        <f t="shared" si="6"/>
        <v>1048.2605477424133</v>
      </c>
      <c r="CD25" s="1619">
        <f t="shared" si="6"/>
        <v>1086.010362694301</v>
      </c>
      <c r="CE25" s="1619">
        <f t="shared" si="6"/>
        <v>1157.5869726128799</v>
      </c>
      <c r="CF25" s="1619">
        <f t="shared" si="6"/>
        <v>1236.269430051814</v>
      </c>
      <c r="CG25" s="1619">
        <f t="shared" si="6"/>
        <v>1320.5033308660256</v>
      </c>
      <c r="CH25" s="1619">
        <f t="shared" si="6"/>
        <v>1410.7327905255372</v>
      </c>
      <c r="CI25" s="1619">
        <f t="shared" si="6"/>
        <v>1518.8008882309407</v>
      </c>
      <c r="CJ25" s="1619">
        <f t="shared" si="6"/>
        <v>1637.2316802368623</v>
      </c>
      <c r="CK25" s="2402">
        <f t="shared" si="6"/>
        <v>1754.0340488527024</v>
      </c>
      <c r="CL25" s="2408">
        <f t="shared" si="6"/>
        <v>1889.1931902294609</v>
      </c>
      <c r="CM25" s="2522">
        <f t="shared" si="6"/>
        <v>2008.216136195412</v>
      </c>
      <c r="CN25" s="1619">
        <f t="shared" si="6"/>
        <v>2120.873427091045</v>
      </c>
    </row>
  </sheetData>
  <mergeCells count="4">
    <mergeCell ref="A10:C10"/>
    <mergeCell ref="A20:C20"/>
    <mergeCell ref="A12:C12"/>
    <mergeCell ref="A22:C2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ignoredErrors>
    <ignoredError sqref="N13:N15 N23:N25" evalErro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N34"/>
  <sheetViews>
    <sheetView view="pageBreakPreview" topLeftCell="A13" zoomScaleSheetLayoutView="100" workbookViewId="0">
      <selection activeCell="CN23" sqref="CN23"/>
    </sheetView>
  </sheetViews>
  <sheetFormatPr baseColWidth="10" defaultRowHeight="12.75"/>
  <cols>
    <col min="1" max="1" width="7.28515625" customWidth="1"/>
    <col min="2" max="2" width="38.28515625" customWidth="1"/>
    <col min="3" max="3" width="13.5703125" bestFit="1" customWidth="1"/>
    <col min="4" max="6" width="8.42578125" hidden="1" customWidth="1"/>
    <col min="7" max="7" width="8.42578125" customWidth="1"/>
    <col min="8" max="9" width="8.42578125" hidden="1" customWidth="1"/>
    <col min="10" max="43" width="8.28515625" hidden="1" customWidth="1"/>
    <col min="44" max="44" width="8.85546875" hidden="1" customWidth="1"/>
    <col min="45" max="49" width="7.5703125" hidden="1" customWidth="1"/>
    <col min="50" max="78" width="8.5703125" hidden="1" customWidth="1"/>
    <col min="79" max="79" width="7.5703125" hidden="1" customWidth="1"/>
    <col min="80" max="92" width="7.5703125" bestFit="1" customWidth="1"/>
  </cols>
  <sheetData>
    <row r="1" spans="1:14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14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.75">
      <c r="A3" s="132" t="s">
        <v>595</v>
      </c>
    </row>
    <row r="5" spans="1:14" ht="15.75">
      <c r="C5" s="364" t="s">
        <v>1019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</row>
    <row r="8" spans="1:14" ht="19.5" customHeight="1">
      <c r="A8" s="1611" t="s">
        <v>973</v>
      </c>
      <c r="B8" s="1611" t="s">
        <v>955</v>
      </c>
      <c r="C8" s="1611" t="s">
        <v>974</v>
      </c>
      <c r="D8" s="1610"/>
    </row>
    <row r="9" spans="1:14">
      <c r="A9" s="1612"/>
      <c r="B9" s="1612"/>
      <c r="C9" s="1612"/>
    </row>
    <row r="10" spans="1:14">
      <c r="A10" s="1613" t="s">
        <v>963</v>
      </c>
      <c r="B10" s="1612" t="s">
        <v>172</v>
      </c>
      <c r="C10" s="1609">
        <v>0.105</v>
      </c>
    </row>
    <row r="11" spans="1:14">
      <c r="A11" s="1613" t="s">
        <v>964</v>
      </c>
      <c r="B11" s="1612" t="s">
        <v>958</v>
      </c>
      <c r="C11" s="1609">
        <v>0.108</v>
      </c>
    </row>
    <row r="12" spans="1:14">
      <c r="A12" s="1613" t="s">
        <v>965</v>
      </c>
      <c r="B12" s="1612" t="s">
        <v>959</v>
      </c>
      <c r="C12" s="1609">
        <v>0.13300000000000001</v>
      </c>
    </row>
    <row r="13" spans="1:14">
      <c r="A13" s="1613" t="s">
        <v>966</v>
      </c>
      <c r="B13" s="1612" t="s">
        <v>960</v>
      </c>
      <c r="C13" s="1609">
        <v>8.3000000000000004E-2</v>
      </c>
    </row>
    <row r="14" spans="1:14">
      <c r="A14" s="1613" t="s">
        <v>967</v>
      </c>
      <c r="B14" s="1612" t="s">
        <v>961</v>
      </c>
      <c r="C14" s="1609">
        <v>4.5999999999999999E-2</v>
      </c>
    </row>
    <row r="15" spans="1:14">
      <c r="A15" s="1613" t="s">
        <v>968</v>
      </c>
      <c r="B15" s="1614" t="s">
        <v>975</v>
      </c>
      <c r="C15" s="1609">
        <v>7.4999999999999997E-2</v>
      </c>
    </row>
    <row r="16" spans="1:14">
      <c r="A16" s="1613" t="s">
        <v>969</v>
      </c>
      <c r="B16" s="1614" t="s">
        <v>977</v>
      </c>
      <c r="C16" s="1609">
        <v>8.5999999999999993E-2</v>
      </c>
    </row>
    <row r="17" spans="1:92">
      <c r="A17" s="1613" t="s">
        <v>970</v>
      </c>
      <c r="B17" s="1614" t="s">
        <v>976</v>
      </c>
      <c r="C17" s="1609">
        <v>0.14699999999999999</v>
      </c>
    </row>
    <row r="18" spans="1:92">
      <c r="A18" s="1613" t="s">
        <v>971</v>
      </c>
      <c r="B18" s="1612" t="s">
        <v>962</v>
      </c>
      <c r="C18" s="1609">
        <v>4.9000000000000002E-2</v>
      </c>
    </row>
    <row r="19" spans="1:92">
      <c r="A19" s="1613" t="s">
        <v>972</v>
      </c>
      <c r="B19" s="1874" t="s">
        <v>16</v>
      </c>
      <c r="C19" s="1615">
        <v>0.16800000000000001</v>
      </c>
    </row>
    <row r="20" spans="1:92">
      <c r="C20" s="1616">
        <f>SUM(C10:C19)</f>
        <v>1</v>
      </c>
    </row>
    <row r="22" spans="1:92" ht="22.5" customHeight="1">
      <c r="A22" s="1612"/>
      <c r="B22" s="1612"/>
      <c r="C22" s="1736" t="s">
        <v>831</v>
      </c>
      <c r="D22" s="1617">
        <v>42278</v>
      </c>
      <c r="E22" s="1617">
        <v>42309</v>
      </c>
      <c r="F22" s="1617">
        <v>42339</v>
      </c>
      <c r="G22" s="1617">
        <v>42370</v>
      </c>
      <c r="H22" s="1617">
        <v>42401</v>
      </c>
      <c r="I22" s="1617">
        <v>42430</v>
      </c>
      <c r="J22" s="1617">
        <v>42461</v>
      </c>
      <c r="K22" s="1617">
        <v>42491</v>
      </c>
      <c r="L22" s="1617">
        <v>42522</v>
      </c>
      <c r="M22" s="1617">
        <v>42552</v>
      </c>
      <c r="N22" s="1617">
        <v>42583</v>
      </c>
      <c r="O22" s="1617">
        <v>42614</v>
      </c>
      <c r="P22" s="1617">
        <v>42644</v>
      </c>
      <c r="Q22" s="1617">
        <v>42675</v>
      </c>
      <c r="R22" s="1617">
        <v>42705</v>
      </c>
      <c r="S22" s="1617">
        <v>42736</v>
      </c>
      <c r="T22" s="1617">
        <v>42767</v>
      </c>
      <c r="U22" s="1617">
        <v>42795</v>
      </c>
      <c r="V22" s="1617">
        <v>42826</v>
      </c>
      <c r="W22" s="1617">
        <v>42856</v>
      </c>
      <c r="X22" s="1617">
        <v>42887</v>
      </c>
      <c r="Y22" s="1617">
        <v>42917</v>
      </c>
      <c r="Z22" s="1617">
        <v>42948</v>
      </c>
      <c r="AA22" s="1617">
        <v>42979</v>
      </c>
      <c r="AB22" s="1617">
        <v>43009</v>
      </c>
      <c r="AC22" s="1617">
        <v>43040</v>
      </c>
      <c r="AD22" s="1735">
        <v>43070</v>
      </c>
      <c r="AE22" s="1735">
        <v>43101</v>
      </c>
      <c r="AF22" s="1735">
        <v>43132</v>
      </c>
      <c r="AG22" s="1735">
        <v>43160</v>
      </c>
      <c r="AH22" s="1735">
        <v>43191</v>
      </c>
      <c r="AI22" s="1735">
        <v>43221</v>
      </c>
      <c r="AJ22" s="1735">
        <v>43252</v>
      </c>
      <c r="AK22" s="1735">
        <v>43282</v>
      </c>
      <c r="AL22" s="1735">
        <v>43313</v>
      </c>
      <c r="AM22" s="1735">
        <v>43344</v>
      </c>
      <c r="AN22" s="1735">
        <v>43374</v>
      </c>
      <c r="AO22" s="1735">
        <v>43405</v>
      </c>
      <c r="AP22" s="1735">
        <v>43435</v>
      </c>
      <c r="AQ22" s="1735">
        <v>43466</v>
      </c>
      <c r="AR22" s="1735">
        <v>43497</v>
      </c>
      <c r="AS22" s="1735">
        <v>43525</v>
      </c>
      <c r="AT22" s="1735">
        <v>43556</v>
      </c>
      <c r="AU22" s="1735">
        <v>43586</v>
      </c>
      <c r="AV22" s="1735">
        <v>43617</v>
      </c>
      <c r="AW22" s="1735">
        <v>43647</v>
      </c>
      <c r="AX22" s="1735">
        <v>43678</v>
      </c>
      <c r="AY22" s="1735">
        <v>43709</v>
      </c>
      <c r="AZ22" s="1735">
        <v>43739</v>
      </c>
      <c r="BA22" s="1735">
        <v>43770</v>
      </c>
      <c r="BB22" s="1735">
        <v>43800</v>
      </c>
      <c r="BC22" s="1735">
        <v>43831</v>
      </c>
      <c r="BD22" s="1735">
        <v>43862</v>
      </c>
      <c r="BE22" s="1735">
        <v>43891</v>
      </c>
      <c r="BF22" s="1735">
        <v>43922</v>
      </c>
      <c r="BG22" s="1735">
        <v>43952</v>
      </c>
      <c r="BH22" s="1735">
        <v>43983</v>
      </c>
      <c r="BI22" s="1735">
        <v>44013</v>
      </c>
      <c r="BJ22" s="1735">
        <v>44044</v>
      </c>
      <c r="BK22" s="1735">
        <v>44075</v>
      </c>
      <c r="BL22" s="1735">
        <v>44105</v>
      </c>
      <c r="BM22" s="1735">
        <v>44136</v>
      </c>
      <c r="BN22" s="1735">
        <v>44166</v>
      </c>
      <c r="BO22" s="1735">
        <v>44197</v>
      </c>
      <c r="BP22" s="1735">
        <v>44228</v>
      </c>
      <c r="BQ22" s="1735">
        <v>44256</v>
      </c>
      <c r="BR22" s="1735">
        <v>44287</v>
      </c>
      <c r="BS22" s="1735">
        <v>44317</v>
      </c>
      <c r="BT22" s="1735">
        <v>44348</v>
      </c>
      <c r="BU22" s="1735">
        <v>44378</v>
      </c>
      <c r="BV22" s="1735">
        <v>44409</v>
      </c>
      <c r="BW22" s="1735">
        <v>44440</v>
      </c>
      <c r="BX22" s="1735">
        <v>44470</v>
      </c>
      <c r="BY22" s="1735">
        <v>44501</v>
      </c>
      <c r="BZ22" s="1735">
        <v>44531</v>
      </c>
      <c r="CA22" s="1735">
        <v>44562</v>
      </c>
      <c r="CB22" s="1735">
        <v>44593</v>
      </c>
      <c r="CC22" s="1735">
        <v>44621</v>
      </c>
      <c r="CD22" s="1735">
        <v>44652</v>
      </c>
      <c r="CE22" s="1735">
        <v>44682</v>
      </c>
      <c r="CF22" s="1735">
        <v>44713</v>
      </c>
      <c r="CG22" s="1735">
        <v>44743</v>
      </c>
      <c r="CH22" s="1735">
        <v>44774</v>
      </c>
      <c r="CI22" s="1735">
        <v>44805</v>
      </c>
      <c r="CJ22" s="1735">
        <v>44835</v>
      </c>
      <c r="CK22" s="1735">
        <v>44866</v>
      </c>
      <c r="CL22" s="1735">
        <v>44896</v>
      </c>
      <c r="CM22" s="1735">
        <v>44927</v>
      </c>
      <c r="CN22" s="1735">
        <v>44958</v>
      </c>
    </row>
    <row r="23" spans="1:92">
      <c r="A23" s="1613" t="s">
        <v>963</v>
      </c>
      <c r="B23" s="1612" t="s">
        <v>172</v>
      </c>
      <c r="C23" s="1613">
        <v>70</v>
      </c>
      <c r="D23" s="1618">
        <v>1047.8</v>
      </c>
      <c r="E23" s="1618">
        <v>1213.0213603991085</v>
      </c>
      <c r="F23" s="1618">
        <v>1313.732288329898</v>
      </c>
      <c r="G23" s="1618">
        <f>+'Insumos testigos '!FY94</f>
        <v>100</v>
      </c>
      <c r="H23" s="1618">
        <f>+'Insumos testigos '!FZ94</f>
        <v>103.8446307182312</v>
      </c>
      <c r="I23" s="1618">
        <f>+'Insumos testigos '!GA94</f>
        <v>106.92529240449034</v>
      </c>
      <c r="J23" s="1618">
        <f>+'Insumos testigos '!GB94</f>
        <v>106.92529240449034</v>
      </c>
      <c r="K23" s="1618">
        <f>+'Insumos testigos '!GC94</f>
        <v>106.92529240449034</v>
      </c>
      <c r="L23" s="1618">
        <f>+'Insumos testigos '!GD94</f>
        <v>104.52240093878589</v>
      </c>
      <c r="M23" s="1618">
        <f>+'Insumos testigos '!GE94</f>
        <v>104.52240093878589</v>
      </c>
      <c r="N23" s="1618">
        <f>+'Insumos testigos '!GF94</f>
        <v>104.52240093878589</v>
      </c>
      <c r="O23" s="1618">
        <f>+'Insumos testigos '!GG94</f>
        <v>104.52240093878589</v>
      </c>
      <c r="P23" s="1618">
        <f>+'Insumos testigos '!GH94</f>
        <v>104.52240093878589</v>
      </c>
      <c r="Q23" s="1618">
        <f>+'Insumos testigos '!GI94</f>
        <v>104.52240093878589</v>
      </c>
      <c r="R23" s="1618">
        <f>+'Insumos testigos '!GJ94</f>
        <v>106.91734544977557</v>
      </c>
      <c r="S23" s="1618">
        <f>+'Insumos testigos '!GK94</f>
        <v>106.91734544977557</v>
      </c>
      <c r="T23" s="1618">
        <f>+'Insumos testigos '!GL94</f>
        <v>110.53161119762531</v>
      </c>
      <c r="U23" s="1618">
        <f>+'Insumos testigos '!GM94</f>
        <v>110.53161119762531</v>
      </c>
      <c r="V23" s="1618">
        <f>+'Insumos testigos '!GN94</f>
        <v>110.53161119762531</v>
      </c>
      <c r="W23" s="1618">
        <f>+'Insumos testigos '!GO94</f>
        <v>112.22157607110299</v>
      </c>
      <c r="X23" s="1618">
        <f>+'Insumos testigos '!GP94</f>
        <v>112.22157607110299</v>
      </c>
      <c r="Y23" s="1618">
        <f>+'Insumos testigos '!GQ94</f>
        <v>112.22157607110299</v>
      </c>
      <c r="Z23" s="1618">
        <f>+'Insumos testigos '!GR94</f>
        <v>112.22157607110299</v>
      </c>
      <c r="AA23" s="1618">
        <f>+'Insumos testigos '!GS94</f>
        <v>117.26764922265754</v>
      </c>
      <c r="AB23" s="1618">
        <f>+'Insumos testigos '!GT94</f>
        <v>117.26764922265754</v>
      </c>
      <c r="AC23" s="1618">
        <f>+'Insumos testigos '!GU94</f>
        <v>119.67053915261781</v>
      </c>
      <c r="AD23" s="1618">
        <f>+'Insumos testigos '!GV94</f>
        <v>119.67053915261781</v>
      </c>
      <c r="AE23" s="1618">
        <f>+'Insumos testigos '!GW94</f>
        <v>125.67777022991385</v>
      </c>
      <c r="AF23" s="1618">
        <f>+'Insumos testigos '!GX94</f>
        <v>128.08066649781611</v>
      </c>
      <c r="AG23" s="1618">
        <f>+'Insumos testigos '!GY94</f>
        <v>128.08066649781611</v>
      </c>
      <c r="AH23" s="1618">
        <f>+'Insumos testigos '!GZ94</f>
        <v>128.08066649781611</v>
      </c>
      <c r="AI23" s="1618">
        <f>+'Insumos testigos '!HA94</f>
        <v>128.08066649781611</v>
      </c>
      <c r="AJ23" s="1618">
        <f>+'Insumos testigos '!HB94</f>
        <v>148.00433217746973</v>
      </c>
      <c r="AK23" s="1618">
        <f>+'Insumos testigos '!HC94</f>
        <v>148.00433217746973</v>
      </c>
      <c r="AL23" s="1618">
        <f>+'Insumos testigos '!HD94</f>
        <v>160.55603956886625</v>
      </c>
      <c r="AM23" s="1618">
        <f>+'Insumos testigos '!HE94</f>
        <v>166.17550095377661</v>
      </c>
      <c r="AN23" s="1618">
        <f>+'Insumos testigos '!HF94</f>
        <v>171.51056319478033</v>
      </c>
      <c r="AO23" s="1618">
        <f>+'Insumos testigos '!HG94</f>
        <v>168.24474702743686</v>
      </c>
      <c r="AP23" s="1618">
        <f>+'Insumos testigos '!HH94</f>
        <v>168.24474702743686</v>
      </c>
      <c r="AQ23" s="1618">
        <f>+'Insumos testigos '!HI94</f>
        <v>169.98660877712547</v>
      </c>
      <c r="AR23" s="1618">
        <f>+'Insumos testigos '!HJ94</f>
        <v>175.43039480201278</v>
      </c>
      <c r="AS23" s="1618">
        <f>+'Insumos testigos '!HK94</f>
        <v>179.82297448500208</v>
      </c>
      <c r="AT23" s="1618">
        <f>+'Insumos testigos '!HL94</f>
        <v>198.10110014173065</v>
      </c>
      <c r="AU23" s="1618">
        <f>+'Insumos testigos '!HM94</f>
        <v>214.21272394102303</v>
      </c>
      <c r="AV23" s="1618">
        <f>+'Insumos testigos '!HN94</f>
        <v>227.39422431097603</v>
      </c>
      <c r="AW23" s="1618">
        <f>+'Insumos testigos '!HO94</f>
        <v>232.22684136985373</v>
      </c>
      <c r="AX23" s="1618">
        <f>+'Insumos testigos '!HP94</f>
        <v>261.56746778858593</v>
      </c>
      <c r="AY23" s="1618">
        <f>+'Insumos testigos '!HQ94</f>
        <v>282.79414711174343</v>
      </c>
      <c r="AZ23" s="1618">
        <f>+'Insumos testigos '!HR94</f>
        <v>286.61218041849122</v>
      </c>
      <c r="BA23" s="1618">
        <f>+'Insumos testigos '!HS94</f>
        <v>297.96294702298877</v>
      </c>
      <c r="BB23" s="1618">
        <f>+'Insumos testigos '!HT94</f>
        <v>307.31080418449432</v>
      </c>
      <c r="BC23" s="1618">
        <f>+'Insumos testigos '!HU94</f>
        <v>310.61522143378994</v>
      </c>
      <c r="BD23" s="1618">
        <f>+'Insumos testigos '!HV94</f>
        <v>316.83825523108175</v>
      </c>
      <c r="BE23" s="1618">
        <f>+'Insumos testigos '!HW94</f>
        <v>316.83825523108175</v>
      </c>
      <c r="BF23" s="1618">
        <f>+'Insumos testigos '!HX94</f>
        <v>316.83825523108175</v>
      </c>
      <c r="BG23" s="1618">
        <f>+'Insumos testigos '!HY94</f>
        <v>316.83825523108175</v>
      </c>
      <c r="BH23" s="1618">
        <f>+'Insumos testigos '!HZ94</f>
        <v>316.83825523108175</v>
      </c>
      <c r="BI23" s="1618">
        <f>+'Insumos testigos '!IA94</f>
        <v>327.84248347632314</v>
      </c>
      <c r="BJ23" s="1618">
        <f>+'Insumos testigos '!IB94</f>
        <v>334.08983150060976</v>
      </c>
      <c r="BK23" s="1618">
        <f>+'Insumos testigos '!IC94</f>
        <v>338.37096402905388</v>
      </c>
      <c r="BL23" s="1618">
        <f>+'Insumos testigos '!ID94</f>
        <v>351.27069534873675</v>
      </c>
      <c r="BM23" s="1618">
        <f>+'Insumos testigos '!IE94</f>
        <v>359.01219827653262</v>
      </c>
      <c r="BN23" s="1618">
        <f>+'Insumos testigos '!IF94</f>
        <v>363.88084041085642</v>
      </c>
      <c r="BO23" s="1618">
        <f>+'Insumos testigos '!IG94</f>
        <v>394.41337069820412</v>
      </c>
      <c r="BP23" s="1618">
        <f>+'Insumos testigos '!IH94</f>
        <v>409.84066350758246</v>
      </c>
      <c r="BQ23" s="1618">
        <f>+'Insumos testigos '!II94</f>
        <v>409.84066350758246</v>
      </c>
      <c r="BR23" s="1618">
        <f>+'Insumos testigos '!IJ94</f>
        <v>409.84066350758246</v>
      </c>
      <c r="BS23" s="1618">
        <f>+'Insumos testigos '!IK94</f>
        <v>430.65528672615602</v>
      </c>
      <c r="BT23" s="1618">
        <f>+'Insumos testigos '!IL94</f>
        <v>430.65528672615602</v>
      </c>
      <c r="BU23" s="1618">
        <f>+'Insumos testigos '!IM94</f>
        <v>430.65528672615602</v>
      </c>
      <c r="BV23" s="1618">
        <f>+'Insumos testigos '!IN94</f>
        <v>430.65528672615602</v>
      </c>
      <c r="BW23" s="1618">
        <f>+'Insumos testigos '!IO94</f>
        <v>434.97260597558574</v>
      </c>
      <c r="BX23" s="1618">
        <f>+'Insumos testigos '!IP94</f>
        <v>462.78589695132035</v>
      </c>
      <c r="BY23" s="1618">
        <f>+'Insumos testigos '!IQ94</f>
        <v>462.78589695132035</v>
      </c>
      <c r="BZ23" s="1618">
        <f>+'Insumos testigos '!IR94</f>
        <v>469.39712405062488</v>
      </c>
      <c r="CA23" s="1618">
        <f>+'Insumos testigos '!IS94</f>
        <v>501.67173109438511</v>
      </c>
      <c r="CB23" s="1618">
        <f>+'Insumos testigos '!IT94</f>
        <v>502.77917420938377</v>
      </c>
      <c r="CC23" s="1618">
        <f>+'Insumos testigos '!IU94</f>
        <v>523.93800072061708</v>
      </c>
      <c r="CD23" s="1618">
        <f>+'Insumos testigos '!IV94</f>
        <v>567.46723874950555</v>
      </c>
      <c r="CE23" s="1618">
        <f>+'Insumos testigos '!IW94</f>
        <v>602.37097764084422</v>
      </c>
      <c r="CF23" s="1618">
        <f>+'Insumos testigos '!IX94</f>
        <v>650.19067508535022</v>
      </c>
      <c r="CG23" s="1618">
        <f>+'Insumos testigos '!IY94</f>
        <v>726.52584112375246</v>
      </c>
      <c r="CH23" s="1618">
        <f>+'Insumos testigos '!IZ94</f>
        <v>792.7377570959361</v>
      </c>
      <c r="CI23" s="1618">
        <f>+'Insumos testigos '!JA94</f>
        <v>826.32713767624261</v>
      </c>
      <c r="CJ23" s="1618">
        <f>+'Insumos testigos '!JB94</f>
        <v>854.39107820109609</v>
      </c>
      <c r="CK23" s="1618">
        <f>+'Insumos testigos '!JC94</f>
        <v>892.78015678328234</v>
      </c>
      <c r="CL23" s="1618">
        <f>+'Insumos testigos '!JD94</f>
        <v>942.59149955021246</v>
      </c>
      <c r="CM23" s="1618">
        <f>+'Insumos testigos '!JE94</f>
        <v>983.29115909243365</v>
      </c>
      <c r="CN23" s="1618">
        <f>+'Insumos testigos '!JF94</f>
        <v>1117.6379460234236</v>
      </c>
    </row>
    <row r="24" spans="1:92">
      <c r="A24" s="1613" t="s">
        <v>964</v>
      </c>
      <c r="B24" s="1612" t="s">
        <v>958</v>
      </c>
      <c r="C24" s="1613">
        <v>50</v>
      </c>
      <c r="D24" s="1618">
        <v>1179.99</v>
      </c>
      <c r="E24" s="1618">
        <v>1555.7625463977276</v>
      </c>
      <c r="F24" s="1618">
        <v>1626.4125631764164</v>
      </c>
      <c r="G24" s="1618">
        <f>+'Insumos testigos '!FY75</f>
        <v>100</v>
      </c>
      <c r="H24" s="1618">
        <f>+'Insumos testigos '!FZ75</f>
        <v>99.783813953399658</v>
      </c>
      <c r="I24" s="1618">
        <f>+'Insumos testigos '!GA75</f>
        <v>100.87615816821511</v>
      </c>
      <c r="J24" s="1618">
        <f>+'Insumos testigos '!GB75</f>
        <v>100.22949963232732</v>
      </c>
      <c r="K24" s="1618">
        <f>+'Insumos testigos '!GC75</f>
        <v>100.78803427714715</v>
      </c>
      <c r="L24" s="1618">
        <f>+'Insumos testigos '!GD75</f>
        <v>100.58199127217912</v>
      </c>
      <c r="M24" s="1618">
        <f>+'Insumos testigos '!GE75</f>
        <v>103.43743509474234</v>
      </c>
      <c r="N24" s="1618">
        <f>+'Insumos testigos '!GF75</f>
        <v>103.18511191617162</v>
      </c>
      <c r="O24" s="1618">
        <f>+'Insumos testigos '!GG75</f>
        <v>106.65424456948024</v>
      </c>
      <c r="P24" s="1618">
        <f>+'Insumos testigos '!GH75</f>
        <v>106.76391705789028</v>
      </c>
      <c r="Q24" s="1618">
        <f>+'Insumos testigos '!GI75</f>
        <v>107.22291262721188</v>
      </c>
      <c r="R24" s="1618">
        <f>+'Insumos testigos '!GJ75</f>
        <v>108.0749841272218</v>
      </c>
      <c r="S24" s="1618">
        <f>+'Insumos testigos '!GK75</f>
        <v>109.25101961500488</v>
      </c>
      <c r="T24" s="1618">
        <f>+'Insumos testigos '!GL75</f>
        <v>109.3556262660187</v>
      </c>
      <c r="U24" s="1618">
        <f>+'Insumos testigos '!GM75</f>
        <v>110.20579551013699</v>
      </c>
      <c r="V24" s="1618">
        <f>+'Insumos testigos '!GN75</f>
        <v>110.20579551013699</v>
      </c>
      <c r="W24" s="1618">
        <f>+'Insumos testigos '!GO75</f>
        <v>110.46446082240324</v>
      </c>
      <c r="X24" s="1618">
        <f>+'Insumos testigos '!GP75</f>
        <v>113.69523310447326</v>
      </c>
      <c r="Y24" s="1618">
        <f>+'Insumos testigos '!GQ75</f>
        <v>114.35457157932312</v>
      </c>
      <c r="Z24" s="1618">
        <f>+'Insumos testigos '!GR75</f>
        <v>115.53948971070396</v>
      </c>
      <c r="AA24" s="1618">
        <f>+'Insumos testigos '!GS75</f>
        <v>117.35838856397091</v>
      </c>
      <c r="AB24" s="1618">
        <f>+'Insumos testigos '!GT75</f>
        <v>118.57944011334295</v>
      </c>
      <c r="AC24" s="1618">
        <f>+'Insumos testigos '!GU75</f>
        <v>121.44757387517295</v>
      </c>
      <c r="AD24" s="1618">
        <f>+'Insumos testigos '!GV75</f>
        <v>123.90615884515938</v>
      </c>
      <c r="AE24" s="1618">
        <f>+'Insumos testigos '!GW75</f>
        <v>127.73921671826484</v>
      </c>
      <c r="AF24" s="1618">
        <f>+'Insumos testigos '!GX75</f>
        <v>133.1927286027788</v>
      </c>
      <c r="AG24" s="1618">
        <f>+'Insumos testigos '!GY75</f>
        <v>137.03339631892402</v>
      </c>
      <c r="AH24" s="1618">
        <f>+'Insumos testigos '!GZ75</f>
        <v>140.09371770554588</v>
      </c>
      <c r="AI24" s="1618">
        <f>+'Insumos testigos '!HA75</f>
        <v>148.07834723940456</v>
      </c>
      <c r="AJ24" s="1618">
        <f>+'Insumos testigos '!HB75</f>
        <v>158.54179200674278</v>
      </c>
      <c r="AK24" s="1618">
        <f>+'Insumos testigos '!HC75</f>
        <v>169.58576724978144</v>
      </c>
      <c r="AL24" s="1618">
        <f>+'Insumos testigos '!HD75</f>
        <v>172.47860256697547</v>
      </c>
      <c r="AM24" s="1618">
        <f>+'Insumos testigos '!HE75</f>
        <v>187.17270632224012</v>
      </c>
      <c r="AN24" s="1618">
        <f>+'Insumos testigos '!HF75</f>
        <v>203.17186957876319</v>
      </c>
      <c r="AO24" s="1618">
        <f>+'Insumos testigos '!HG75</f>
        <v>212.14065674893763</v>
      </c>
      <c r="AP24" s="1618">
        <f>+'Insumos testigos '!HH75</f>
        <v>217.35588404274085</v>
      </c>
      <c r="AQ24" s="1618">
        <f>+'Insumos testigos '!HI75</f>
        <v>214.13294786619213</v>
      </c>
      <c r="AR24" s="1618">
        <f>+'Insumos testigos '!HJ75</f>
        <v>234.37771339335092</v>
      </c>
      <c r="AS24" s="1618">
        <f>+'Insumos testigos '!HK75</f>
        <v>239.26924079457214</v>
      </c>
      <c r="AT24" s="1618">
        <f>+'Insumos testigos '!HL75</f>
        <v>253.34581269110419</v>
      </c>
      <c r="AU24" s="1618">
        <f>+'Insumos testigos '!HM75</f>
        <v>261.3572268648827</v>
      </c>
      <c r="AV24" s="1618">
        <f>+'Insumos testigos '!HN75</f>
        <v>268.31581373329334</v>
      </c>
      <c r="AW24" s="1618">
        <f>+'Insumos testigos '!HO75</f>
        <v>273.16371225302595</v>
      </c>
      <c r="AX24" s="1618">
        <f>+'Insumos testigos '!HP75</f>
        <v>308.00253931698285</v>
      </c>
      <c r="AY24" s="1618">
        <f>+'Insumos testigos '!HQ75</f>
        <v>326.70365320186619</v>
      </c>
      <c r="AZ24" s="1618">
        <f>+'Insumos testigos '!HR75</f>
        <v>340.1475946791212</v>
      </c>
      <c r="BA24" s="1618">
        <f>+'Insumos testigos '!HS75</f>
        <v>368.83878698745303</v>
      </c>
      <c r="BB24" s="1618">
        <f>+'Insumos testigos '!HT75</f>
        <v>385.10225027203234</v>
      </c>
      <c r="BC24" s="1618">
        <f>+'Insumos testigos '!HU75</f>
        <v>404.75485999174668</v>
      </c>
      <c r="BD24" s="1618">
        <f>+'Insumos testigos '!HV75</f>
        <v>408.15319941680934</v>
      </c>
      <c r="BE24" s="1618">
        <f>+'Insumos testigos '!HW75</f>
        <v>447.11327754295934</v>
      </c>
      <c r="BF24" s="1618">
        <f>+'Insumos testigos '!HX75</f>
        <v>447.11327754295934</v>
      </c>
      <c r="BG24" s="1618">
        <f>+'Insumos testigos '!HY75</f>
        <v>447.11327754295934</v>
      </c>
      <c r="BH24" s="1618">
        <f>+'Insumos testigos '!HZ75</f>
        <v>447.11327754295934</v>
      </c>
      <c r="BI24" s="1618">
        <f>+'Insumos testigos '!IA75</f>
        <v>472.35354321070702</v>
      </c>
      <c r="BJ24" s="1618">
        <f>+'Insumos testigos '!IB75</f>
        <v>496.34406672393203</v>
      </c>
      <c r="BK24" s="1618">
        <f>+'Insumos testigos '!IC75</f>
        <v>509.0815293796835</v>
      </c>
      <c r="BL24" s="1618">
        <f>+'Insumos testigos '!ID75</f>
        <v>543.15721598732057</v>
      </c>
      <c r="BM24" s="1618">
        <f>+'Insumos testigos '!IE75</f>
        <v>542.83203745146807</v>
      </c>
      <c r="BN24" s="1618">
        <f>+'Insumos testigos '!IF75</f>
        <v>562.28365082768755</v>
      </c>
      <c r="BO24" s="1618">
        <f>+'Insumos testigos '!IG75</f>
        <v>576.50942719362808</v>
      </c>
      <c r="BP24" s="1618">
        <f>+'Insumos testigos '!IH75</f>
        <v>591.65564555509172</v>
      </c>
      <c r="BQ24" s="1618">
        <f>+'Insumos testigos '!II75</f>
        <v>602.94375741579597</v>
      </c>
      <c r="BR24" s="1618">
        <f>+'Insumos testigos '!IJ75</f>
        <v>613.39548878088442</v>
      </c>
      <c r="BS24" s="1618">
        <f>+'Insumos testigos '!IK75</f>
        <v>629.27436729895692</v>
      </c>
      <c r="BT24" s="1618">
        <f>+'Insumos testigos '!IL75</f>
        <v>652.94748718091034</v>
      </c>
      <c r="BU24" s="1618">
        <f>+'Insumos testigos '!IM75</f>
        <v>663.52426452772045</v>
      </c>
      <c r="BV24" s="1618">
        <f>+'Insumos testigos '!IN75</f>
        <v>683.20377533737008</v>
      </c>
      <c r="BW24" s="1618">
        <f>+'Insumos testigos '!IO75</f>
        <v>693.40537411070761</v>
      </c>
      <c r="BX24" s="1618">
        <f>+'Insumos testigos '!IP75</f>
        <v>714.31302898642161</v>
      </c>
      <c r="BY24" s="1618">
        <f>+'Insumos testigos '!IQ75</f>
        <v>725.89347181234939</v>
      </c>
      <c r="BZ24" s="1618">
        <f>+'Insumos testigos '!IR75</f>
        <v>757.58199578072902</v>
      </c>
      <c r="CA24" s="1618">
        <f>+'Insumos testigos '!IS75</f>
        <v>798.32741289596663</v>
      </c>
      <c r="CB24" s="1618">
        <f>+'Insumos testigos '!IT75</f>
        <v>832.88924168413575</v>
      </c>
      <c r="CC24" s="1618">
        <f>+'Insumos testigos '!IU75</f>
        <v>865.2571133126479</v>
      </c>
      <c r="CD24" s="1618">
        <f>+'Insumos testigos '!IV75</f>
        <v>918.4992962170121</v>
      </c>
      <c r="CE24" s="1618">
        <f>+'Insumos testigos '!IW75</f>
        <v>963.55408642597183</v>
      </c>
      <c r="CF24" s="1618">
        <f>+'Insumos testigos '!IX75</f>
        <v>1026.4489256342499</v>
      </c>
      <c r="CG24" s="1618">
        <f>+'Insumos testigos '!IY75</f>
        <v>1109.3379449952058</v>
      </c>
      <c r="CH24" s="1618">
        <f>+'Insumos testigos '!IZ75</f>
        <v>1175.4280635488747</v>
      </c>
      <c r="CI24" s="1618">
        <f>+'Insumos testigos '!JA75</f>
        <v>1255.1287498840568</v>
      </c>
      <c r="CJ24" s="1618">
        <f>+'Insumos testigos '!JB75</f>
        <v>1325.9229848741511</v>
      </c>
      <c r="CK24" s="1618">
        <f>+'Insumos testigos '!JC75</f>
        <v>1422.6772704828236</v>
      </c>
      <c r="CL24" s="1618">
        <f>+'Insumos testigos '!JD75</f>
        <v>1504.767594493399</v>
      </c>
      <c r="CM24" s="1618">
        <f>+'Insumos testigos '!JE75</f>
        <v>1551.4960473333108</v>
      </c>
      <c r="CN24" s="1618">
        <f>+'Insumos testigos '!JF75</f>
        <v>1609.4896930293332</v>
      </c>
    </row>
    <row r="25" spans="1:92">
      <c r="A25" s="1613" t="s">
        <v>965</v>
      </c>
      <c r="B25" s="1612" t="s">
        <v>959</v>
      </c>
      <c r="C25" s="1613">
        <v>19</v>
      </c>
      <c r="D25" s="1618">
        <v>1533.5</v>
      </c>
      <c r="E25" s="1618">
        <v>1623.6810462628241</v>
      </c>
      <c r="F25" s="1618">
        <v>1749.3397793492977</v>
      </c>
      <c r="G25" s="1618">
        <f>+'Insumos testigos '!FY44</f>
        <v>100</v>
      </c>
      <c r="H25" s="1618">
        <f>+'Insumos testigos '!FZ44</f>
        <v>100.35725831985474</v>
      </c>
      <c r="I25" s="1618">
        <f>+'Insumos testigos '!GA44</f>
        <v>102.01115479188303</v>
      </c>
      <c r="J25" s="1618">
        <f>+'Insumos testigos '!GB44</f>
        <v>100.81971243449372</v>
      </c>
      <c r="K25" s="1618">
        <f>+'Insumos testigos '!GC44</f>
        <v>100.38317717319775</v>
      </c>
      <c r="L25" s="1618">
        <f>+'Insumos testigos '!GD44</f>
        <v>102.93738965418783</v>
      </c>
      <c r="M25" s="1618">
        <f>+'Insumos testigos '!GE44</f>
        <v>105.47037641850292</v>
      </c>
      <c r="N25" s="1618">
        <f>+'Insumos testigos '!GF44</f>
        <v>104.61561027965898</v>
      </c>
      <c r="O25" s="1618">
        <f>+'Insumos testigos '!GG44</f>
        <v>104.93336277617753</v>
      </c>
      <c r="P25" s="1618">
        <f>+'Insumos testigos '!GH44</f>
        <v>106.27132879897177</v>
      </c>
      <c r="Q25" s="1618">
        <f>+'Insumos testigos '!GI44</f>
        <v>106.28008275292933</v>
      </c>
      <c r="R25" s="1618">
        <f>+'Insumos testigos '!GJ44</f>
        <v>109.14947501226493</v>
      </c>
      <c r="S25" s="1618">
        <f>+'Insumos testigos '!GK44</f>
        <v>110.30939689083743</v>
      </c>
      <c r="T25" s="1618">
        <f>+'Insumos testigos '!GL44</f>
        <v>110.98368456101721</v>
      </c>
      <c r="U25" s="1618">
        <f>+'Insumos testigos '!GM44</f>
        <v>112.31585530759799</v>
      </c>
      <c r="V25" s="1618">
        <f>+'Insumos testigos '!GN44</f>
        <v>111.49594740017506</v>
      </c>
      <c r="W25" s="1618">
        <f>+'Insumos testigos '!GO44</f>
        <v>113.92992635921773</v>
      </c>
      <c r="X25" s="1618">
        <f>+'Insumos testigos '!GP44</f>
        <v>114.04239480692451</v>
      </c>
      <c r="Y25" s="1618">
        <f>+'Insumos testigos '!GQ44</f>
        <v>117.57312962673089</v>
      </c>
      <c r="Z25" s="1618">
        <f>+'Insumos testigos '!GR44</f>
        <v>122.15173009866648</v>
      </c>
      <c r="AA25" s="1618">
        <f>+'Insumos testigos '!GS44</f>
        <v>122.89824615892799</v>
      </c>
      <c r="AB25" s="1618">
        <f>+'Insumos testigos '!GT44</f>
        <v>126.00165612722706</v>
      </c>
      <c r="AC25" s="1618">
        <f>+'Insumos testigos '!GU44</f>
        <v>129.0698174106214</v>
      </c>
      <c r="AD25" s="1618">
        <f>+'Insumos testigos '!GV44</f>
        <v>130.24063952507248</v>
      </c>
      <c r="AE25" s="1618">
        <f>+'Insumos testigos '!GW44</f>
        <v>135.45400187826939</v>
      </c>
      <c r="AF25" s="1618">
        <f>+'Insumos testigos '!GX44</f>
        <v>142.04017718078759</v>
      </c>
      <c r="AG25" s="1618">
        <f>+'Insumos testigos '!GY44</f>
        <v>145.16546109234832</v>
      </c>
      <c r="AH25" s="1618">
        <f>+'Insumos testigos '!GZ44</f>
        <v>158.89319358913633</v>
      </c>
      <c r="AI25" s="1618">
        <f>+'Insumos testigos '!HA44</f>
        <v>179.29715815472014</v>
      </c>
      <c r="AJ25" s="1618">
        <f>+'Insumos testigos '!HB44</f>
        <v>194.89291392347292</v>
      </c>
      <c r="AK25" s="1618">
        <f>+'Insumos testigos '!HC44</f>
        <v>205.42394246091368</v>
      </c>
      <c r="AL25" s="1618">
        <f>+'Insumos testigos '!HD44</f>
        <v>219.45022597633823</v>
      </c>
      <c r="AM25" s="1618">
        <f>+'Insumos testigos '!HE44</f>
        <v>259.90271550941776</v>
      </c>
      <c r="AN25" s="1618">
        <f>+'Insumos testigos '!HF44</f>
        <v>262.05029904581386</v>
      </c>
      <c r="AO25" s="1618">
        <f>+'Insumos testigos '!HG44</f>
        <v>256.87050374372279</v>
      </c>
      <c r="AP25" s="1618">
        <f>+'Insumos testigos '!HH44</f>
        <v>256.87050374372279</v>
      </c>
      <c r="AQ25" s="1618">
        <f>+'Insumos testigos '!HI44</f>
        <v>255.49351659580577</v>
      </c>
      <c r="AR25" s="1618">
        <f>+'Insumos testigos '!HJ44</f>
        <v>266.93186973115081</v>
      </c>
      <c r="AS25" s="1618">
        <f>+'Insumos testigos '!HK44</f>
        <v>280.90649587235589</v>
      </c>
      <c r="AT25" s="1618">
        <f>+'Insumos testigos '!HL44</f>
        <v>295.61818180817625</v>
      </c>
      <c r="AU25" s="1618">
        <f>+'Insumos testigos '!HM44</f>
        <v>315.61965846387085</v>
      </c>
      <c r="AV25" s="1618">
        <f>+'Insumos testigos '!HN44</f>
        <v>320.31261953256308</v>
      </c>
      <c r="AW25" s="1618">
        <f>+'Insumos testigos '!HO44</f>
        <v>319.35790375847921</v>
      </c>
      <c r="AX25" s="1618">
        <f>+'Insumos testigos '!HP44</f>
        <v>395.64451546648365</v>
      </c>
      <c r="AY25" s="1618">
        <f>+'Insumos testigos '!HQ44</f>
        <v>419.69356110602735</v>
      </c>
      <c r="AZ25" s="1618">
        <f>+'Insumos testigos '!HR44</f>
        <v>435.22789318520495</v>
      </c>
      <c r="BA25" s="1618">
        <f>+'Insumos testigos '!HS44</f>
        <v>448.31478552292339</v>
      </c>
      <c r="BB25" s="1618">
        <f>+'Insumos testigos '!HT44</f>
        <v>470.39858805720945</v>
      </c>
      <c r="BC25" s="1618">
        <f>+'Insumos testigos '!HU44</f>
        <v>456.63708634643996</v>
      </c>
      <c r="BD25" s="1618">
        <f>+'Insumos testigos '!HV44</f>
        <v>471.60175303361069</v>
      </c>
      <c r="BE25" s="1618">
        <f>+'Insumos testigos '!HW44</f>
        <v>510.71416891027764</v>
      </c>
      <c r="BF25" s="1618">
        <f>+'Insumos testigos '!HX44</f>
        <v>510.71416891027764</v>
      </c>
      <c r="BG25" s="1618">
        <f>+'Insumos testigos '!HY44</f>
        <v>521.72080186582264</v>
      </c>
      <c r="BH25" s="1618">
        <f>+'Insumos testigos '!HZ44</f>
        <v>521.72080186582264</v>
      </c>
      <c r="BI25" s="1618">
        <f>+'Insumos testigos '!IA44</f>
        <v>521.72080186582264</v>
      </c>
      <c r="BJ25" s="1618">
        <f>+'Insumos testigos '!IB44</f>
        <v>548.03529220947257</v>
      </c>
      <c r="BK25" s="1618">
        <f>+'Insumos testigos '!IC44</f>
        <v>606.37317827139884</v>
      </c>
      <c r="BL25" s="1618">
        <f>+'Insumos testigos '!ID44</f>
        <v>799.2633554437067</v>
      </c>
      <c r="BM25" s="1618">
        <f>+'Insumos testigos '!IE44</f>
        <v>906.80309900662576</v>
      </c>
      <c r="BN25" s="1618">
        <f>+'Insumos testigos '!IF44</f>
        <v>919.83535483515595</v>
      </c>
      <c r="BO25" s="1618">
        <f>+'Insumos testigos '!IG44</f>
        <v>936.17288347472095</v>
      </c>
      <c r="BP25" s="1618">
        <f>+'Insumos testigos '!IH44</f>
        <v>1012.1006922916396</v>
      </c>
      <c r="BQ25" s="1618">
        <f>+'Insumos testigos '!II44</f>
        <v>1012.1006922916396</v>
      </c>
      <c r="BR25" s="1618">
        <f>+'Insumos testigos '!IJ44</f>
        <v>1037.5738084592022</v>
      </c>
      <c r="BS25" s="1618">
        <f>+'Insumos testigos '!IK44</f>
        <v>1065.2639785287838</v>
      </c>
      <c r="BT25" s="1618">
        <f>+'Insumos testigos '!IL44</f>
        <v>1085.5107875724502</v>
      </c>
      <c r="BU25" s="1618">
        <f>+'Insumos testigos '!IM44</f>
        <v>1105.2888854350908</v>
      </c>
      <c r="BV25" s="1618">
        <f>+'Insumos testigos '!IN44</f>
        <v>1132.5593629320722</v>
      </c>
      <c r="BW25" s="1618">
        <f>+'Insumos testigos '!IO44</f>
        <v>1162.124825101414</v>
      </c>
      <c r="BX25" s="1618">
        <f>+'Insumos testigos '!IP44</f>
        <v>1179.6702157213035</v>
      </c>
      <c r="BY25" s="1618">
        <f>+'Insumos testigos '!IQ44</f>
        <v>1202.7654059812901</v>
      </c>
      <c r="BZ25" s="1618">
        <f>+'Insumos testigos '!IR44</f>
        <v>1211.9124289638976</v>
      </c>
      <c r="CA25" s="1618">
        <f>+'Insumos testigos '!IS44</f>
        <v>1261.0612328430116</v>
      </c>
      <c r="CB25" s="1618">
        <f>+'Insumos testigos '!IT44</f>
        <v>1330.4674044972544</v>
      </c>
      <c r="CC25" s="1618">
        <f>+'Insumos testigos '!IU44</f>
        <v>1371.5158410727834</v>
      </c>
      <c r="CD25" s="1618">
        <f>+'Insumos testigos '!IV44</f>
        <v>1447.1851982898827</v>
      </c>
      <c r="CE25" s="1618">
        <f>+'Insumos testigos '!IW44</f>
        <v>1530.2802968962244</v>
      </c>
      <c r="CF25" s="1618">
        <f>+'Insumos testigos '!IX44</f>
        <v>1626.2069036391008</v>
      </c>
      <c r="CG25" s="1618">
        <f>+'Insumos testigos '!IY44</f>
        <v>1815.1540212092902</v>
      </c>
      <c r="CH25" s="1618">
        <f>+'Insumos testigos '!IZ44</f>
        <v>2088.9160407859449</v>
      </c>
      <c r="CI25" s="1618">
        <f>+'Insumos testigos '!JA44</f>
        <v>2068.5882871005324</v>
      </c>
      <c r="CJ25" s="1618">
        <f>+'Insumos testigos '!JB44</f>
        <v>2020.9164131703947</v>
      </c>
      <c r="CK25" s="1618">
        <f>+'Insumos testigos '!JC44</f>
        <v>2084.205099594999</v>
      </c>
      <c r="CL25" s="1618">
        <f>+'Insumos testigos '!JD44</f>
        <v>2102.2638758398843</v>
      </c>
      <c r="CM25" s="1618">
        <f>+'Insumos testigos '!JE44</f>
        <v>2231.0113411214343</v>
      </c>
      <c r="CN25" s="1618">
        <f>+'Insumos testigos '!JF44</f>
        <v>2342.6528937102507</v>
      </c>
    </row>
    <row r="26" spans="1:92">
      <c r="A26" s="1613" t="s">
        <v>966</v>
      </c>
      <c r="B26" s="1612" t="s">
        <v>960</v>
      </c>
      <c r="C26" s="1613">
        <v>11</v>
      </c>
      <c r="D26" s="1618">
        <v>1169.26</v>
      </c>
      <c r="E26" s="1618">
        <v>1122.1588272585423</v>
      </c>
      <c r="F26" s="1618">
        <v>1122.1588272585423</v>
      </c>
      <c r="G26" s="1618">
        <f>+'Insumos testigos '!FY36</f>
        <v>100</v>
      </c>
      <c r="H26" s="1618">
        <f>+'Insumos testigos '!FZ36</f>
        <v>101.46691799163818</v>
      </c>
      <c r="I26" s="1618">
        <f>+'Insumos testigos '!GA36</f>
        <v>110.57907059961281</v>
      </c>
      <c r="J26" s="1618">
        <f>+'Insumos testigos '!GB36</f>
        <v>110.57907059961281</v>
      </c>
      <c r="K26" s="1618">
        <f>+'Insumos testigos '!GC36</f>
        <v>107.4004757024356</v>
      </c>
      <c r="L26" s="1618">
        <f>+'Insumos testigos '!GD36</f>
        <v>107.54932494303863</v>
      </c>
      <c r="M26" s="1618">
        <f>+'Insumos testigos '!GE36</f>
        <v>106.99308471375193</v>
      </c>
      <c r="N26" s="1618">
        <f>+'Insumos testigos '!GF36</f>
        <v>106.99308471375193</v>
      </c>
      <c r="O26" s="1618">
        <f>+'Insumos testigos '!GG36</f>
        <v>106.83682210410674</v>
      </c>
      <c r="P26" s="1618">
        <f>+'Insumos testigos '!GH36</f>
        <v>106.83682210410674</v>
      </c>
      <c r="Q26" s="1618">
        <f>+'Insumos testigos '!GI36</f>
        <v>106.99309210828591</v>
      </c>
      <c r="R26" s="1618">
        <f>+'Insumos testigos '!GJ36</f>
        <v>108.70312288396909</v>
      </c>
      <c r="S26" s="1618">
        <f>+'Insumos testigos '!GK36</f>
        <v>108.70312288396909</v>
      </c>
      <c r="T26" s="1618">
        <f>+'Insumos testigos '!GL36</f>
        <v>110.48977828266577</v>
      </c>
      <c r="U26" s="1618">
        <f>+'Insumos testigos '!GM36</f>
        <v>111.57303438848228</v>
      </c>
      <c r="V26" s="1618">
        <f>+'Insumos testigos '!GN36</f>
        <v>111.95174072547447</v>
      </c>
      <c r="W26" s="1618">
        <f>+'Insumos testigos '!GO36</f>
        <v>111.97001097162891</v>
      </c>
      <c r="X26" s="1618">
        <f>+'Insumos testigos '!GP36</f>
        <v>109.98336806818493</v>
      </c>
      <c r="Y26" s="1618">
        <f>+'Insumos testigos '!GQ36</f>
        <v>110.44410309565124</v>
      </c>
      <c r="Z26" s="1618">
        <f>+'Insumos testigos '!GR36</f>
        <v>113.05125343372963</v>
      </c>
      <c r="AA26" s="1618">
        <f>+'Insumos testigos '!GS36</f>
        <v>113.29553317832369</v>
      </c>
      <c r="AB26" s="1618">
        <f>+'Insumos testigos '!GT36</f>
        <v>115.3970210975924</v>
      </c>
      <c r="AC26" s="1618">
        <f>+'Insumos testigos '!GU36</f>
        <v>115.46965487323138</v>
      </c>
      <c r="AD26" s="1618">
        <f>+'Insumos testigos '!GV36</f>
        <v>115.46965487323138</v>
      </c>
      <c r="AE26" s="1618">
        <f>+'Insumos testigos '!GW36</f>
        <v>117.81360982270314</v>
      </c>
      <c r="AF26" s="1618">
        <f>+'Insumos testigos '!GX36</f>
        <v>122.36615504251182</v>
      </c>
      <c r="AG26" s="1618">
        <f>+'Insumos testigos '!GY36</f>
        <v>124.03628531791416</v>
      </c>
      <c r="AH26" s="1618">
        <f>+'Insumos testigos '!GZ36</f>
        <v>127.72831529355327</v>
      </c>
      <c r="AI26" s="1618">
        <f>+'Insumos testigos '!HA36</f>
        <v>130.00589568948129</v>
      </c>
      <c r="AJ26" s="1618">
        <f>+'Insumos testigos '!HB36</f>
        <v>146.99706082092553</v>
      </c>
      <c r="AK26" s="1618">
        <f>+'Insumos testigos '!HC36</f>
        <v>164.74798250680757</v>
      </c>
      <c r="AL26" s="1618">
        <f>+'Insumos testigos '!HD36</f>
        <v>155.83161107643483</v>
      </c>
      <c r="AM26" s="1618">
        <f>+'Insumos testigos '!HE36</f>
        <v>168.43372743992447</v>
      </c>
      <c r="AN26" s="1618">
        <f>+'Insumos testigos '!HF36</f>
        <v>174.40533917459098</v>
      </c>
      <c r="AO26" s="1618">
        <f>+'Insumos testigos '!HG36</f>
        <v>180.7217916579763</v>
      </c>
      <c r="AP26" s="1618">
        <f>+'Insumos testigos '!HH36</f>
        <v>177.33790625861914</v>
      </c>
      <c r="AQ26" s="1618">
        <f>+'Insumos testigos '!HI36</f>
        <v>180.72444667304504</v>
      </c>
      <c r="AR26" s="1618">
        <f>+'Insumos testigos '!HJ36</f>
        <v>177.34051156044276</v>
      </c>
      <c r="AS26" s="1618">
        <f>+'Insumos testigos '!HK36</f>
        <v>178.43171330279759</v>
      </c>
      <c r="AT26" s="1618">
        <f>+'Insumos testigos '!HL36</f>
        <v>194.97623641742547</v>
      </c>
      <c r="AU26" s="1618">
        <f>+'Insumos testigos '!HM36</f>
        <v>204.58721204472693</v>
      </c>
      <c r="AV26" s="1618">
        <f>+'Insumos testigos '!HN36</f>
        <v>205.62164176854856</v>
      </c>
      <c r="AW26" s="1618">
        <f>+'Insumos testigos '!HO36</f>
        <v>207.5273069770553</v>
      </c>
      <c r="AX26" s="1618">
        <f>+'Insumos testigos '!HP36</f>
        <v>215.34836187955253</v>
      </c>
      <c r="AY26" s="1618">
        <f>+'Insumos testigos '!HQ36</f>
        <v>229.03031396301884</v>
      </c>
      <c r="AZ26" s="1618">
        <f>+'Insumos testigos '!HR36</f>
        <v>229.42262562513048</v>
      </c>
      <c r="BA26" s="1618">
        <f>+'Insumos testigos '!HS36</f>
        <v>237.8726572246658</v>
      </c>
      <c r="BB26" s="1618">
        <f>+'Insumos testigos '!HT36</f>
        <v>239.85680282657475</v>
      </c>
      <c r="BC26" s="1618">
        <f>+'Insumos testigos '!HU36</f>
        <v>241.356716335822</v>
      </c>
      <c r="BD26" s="1618">
        <f>+'Insumos testigos '!HV36</f>
        <v>243.92266970975462</v>
      </c>
      <c r="BE26" s="1618">
        <f>+'Insumos testigos '!HW36</f>
        <v>247.90251575911941</v>
      </c>
      <c r="BF26" s="1618">
        <f>+'Insumos testigos '!HX36</f>
        <v>253.6628192516211</v>
      </c>
      <c r="BG26" s="1618">
        <f>+'Insumos testigos '!HY36</f>
        <v>259.73732111644114</v>
      </c>
      <c r="BH26" s="1618">
        <f>+'Insumos testigos '!HZ36</f>
        <v>270.26296658910337</v>
      </c>
      <c r="BI26" s="1618">
        <f>+'Insumos testigos '!IA36</f>
        <v>277.85609392012833</v>
      </c>
      <c r="BJ26" s="1618">
        <f>+'Insumos testigos '!IB36</f>
        <v>295.13700439763346</v>
      </c>
      <c r="BK26" s="1618">
        <f>+'Insumos testigos '!IC36</f>
        <v>333.6786714020086</v>
      </c>
      <c r="BL26" s="1618">
        <f>+'Insumos testigos '!ID36</f>
        <v>337.29195268366874</v>
      </c>
      <c r="BM26" s="1618">
        <f>+'Insumos testigos '!IE36</f>
        <v>366.19820293695005</v>
      </c>
      <c r="BN26" s="1618">
        <f>+'Insumos testigos '!IF36</f>
        <v>374.73392538492993</v>
      </c>
      <c r="BO26" s="1618">
        <f>+'Insumos testigos '!IG36</f>
        <v>382.64125108827318</v>
      </c>
      <c r="BP26" s="1618">
        <f>+'Insumos testigos '!IH36</f>
        <v>388.03498981307024</v>
      </c>
      <c r="BQ26" s="1618">
        <f>+'Insumos testigos '!II36</f>
        <v>424.37726821121743</v>
      </c>
      <c r="BR26" s="1618">
        <f>+'Insumos testigos '!IJ36</f>
        <v>433.59375379922022</v>
      </c>
      <c r="BS26" s="1618">
        <f>+'Insumos testigos '!IK36</f>
        <v>444.53833043497349</v>
      </c>
      <c r="BT26" s="1618">
        <f>+'Insumos testigos '!IL36</f>
        <v>444.53833043497349</v>
      </c>
      <c r="BU26" s="1618">
        <f>+'Insumos testigos '!IM36</f>
        <v>461.45267614477405</v>
      </c>
      <c r="BV26" s="1618">
        <f>+'Insumos testigos '!IN36</f>
        <v>470.51206254661764</v>
      </c>
      <c r="BW26" s="1618">
        <f>+'Insumos testigos '!IO36</f>
        <v>478.62885383150643</v>
      </c>
      <c r="BX26" s="1618">
        <f>+'Insumos testigos '!IP36</f>
        <v>513.5572395542215</v>
      </c>
      <c r="BY26" s="1618">
        <f>+'Insumos testigos '!IQ36</f>
        <v>545.9720382983902</v>
      </c>
      <c r="BZ26" s="1618">
        <f>+'Insumos testigos '!IR36</f>
        <v>545.9720382983902</v>
      </c>
      <c r="CA26" s="1618">
        <f>+'Insumos testigos '!IS36</f>
        <v>570.74134331614778</v>
      </c>
      <c r="CB26" s="1618">
        <f>+'Insumos testigos '!IT36</f>
        <v>594.88225158926855</v>
      </c>
      <c r="CC26" s="1618">
        <f>+'Insumos testigos '!IU36</f>
        <v>649.13383720955733</v>
      </c>
      <c r="CD26" s="1618">
        <f>+'Insumos testigos '!IV36</f>
        <v>665.36741977933502</v>
      </c>
      <c r="CE26" s="1618">
        <f>+'Insumos testigos '!IW36</f>
        <v>700.03397352511809</v>
      </c>
      <c r="CF26" s="1618">
        <f>+'Insumos testigos '!IX36</f>
        <v>744.85960797585881</v>
      </c>
      <c r="CG26" s="1618">
        <f>+'Insumos testigos '!IY36</f>
        <v>843.1513321160927</v>
      </c>
      <c r="CH26" s="1618">
        <f>+'Insumos testigos '!IZ36</f>
        <v>1020.2021149174411</v>
      </c>
      <c r="CI26" s="1618">
        <f>+'Insumos testigos '!JA36</f>
        <v>1020.2021149174411</v>
      </c>
      <c r="CJ26" s="1618">
        <f>+'Insumos testigos '!JB36</f>
        <v>1068.5886642544556</v>
      </c>
      <c r="CK26" s="1618">
        <f>+'Insumos testigos '!JC36</f>
        <v>1068.5886642544556</v>
      </c>
      <c r="CL26" s="1618">
        <f>+'Insumos testigos '!JD36</f>
        <v>1122.3689523162673</v>
      </c>
      <c r="CM26" s="1618">
        <f>+'Insumos testigos '!JE36</f>
        <v>1135.9318487213393</v>
      </c>
      <c r="CN26" s="1618">
        <f>+'Insumos testigos '!JF36</f>
        <v>1189.29320562006</v>
      </c>
    </row>
    <row r="27" spans="1:92">
      <c r="A27" s="1613" t="s">
        <v>967</v>
      </c>
      <c r="B27" s="1612" t="s">
        <v>961</v>
      </c>
      <c r="C27" s="1613">
        <v>102</v>
      </c>
      <c r="D27" s="1618">
        <v>1391.49</v>
      </c>
      <c r="E27" s="1618">
        <v>1406.7511167882199</v>
      </c>
      <c r="F27" s="1618">
        <v>1500.3813270427718</v>
      </c>
      <c r="G27" s="1618">
        <f>+'Insumos testigos '!FY122</f>
        <v>100</v>
      </c>
      <c r="H27" s="1618">
        <f>+'Insumos testigos '!FZ122</f>
        <v>99.3705153465271</v>
      </c>
      <c r="I27" s="1618">
        <f>+'Insumos testigos '!GA122</f>
        <v>98.787976008899392</v>
      </c>
      <c r="J27" s="1618">
        <f>+'Insumos testigos '!GB122</f>
        <v>97.891117329973198</v>
      </c>
      <c r="K27" s="1618">
        <f>+'Insumos testigos '!GC122</f>
        <v>101.31222692326435</v>
      </c>
      <c r="L27" s="1618">
        <f>+'Insumos testigos '!GD122</f>
        <v>100.5659548583621</v>
      </c>
      <c r="M27" s="1618">
        <f>+'Insumos testigos '!GE122</f>
        <v>99.800046206889348</v>
      </c>
      <c r="N27" s="1618">
        <f>+'Insumos testigos '!GF122</f>
        <v>99.939622897336591</v>
      </c>
      <c r="O27" s="1618">
        <f>+'Insumos testigos '!GG122</f>
        <v>99.811169044912077</v>
      </c>
      <c r="P27" s="1618">
        <f>+'Insumos testigos '!GH122</f>
        <v>103.25781964185818</v>
      </c>
      <c r="Q27" s="1618">
        <f>+'Insumos testigos '!GI122</f>
        <v>103.81106074023866</v>
      </c>
      <c r="R27" s="1618">
        <f>+'Insumos testigos '!GJ122</f>
        <v>104.79036320384382</v>
      </c>
      <c r="S27" s="1618">
        <f>+'Insumos testigos '!GK122</f>
        <v>106.51777983894632</v>
      </c>
      <c r="T27" s="1618">
        <f>+'Insumos testigos '!GL122</f>
        <v>113.4538347825206</v>
      </c>
      <c r="U27" s="1618">
        <f>+'Insumos testigos '!GM122</f>
        <v>114.15029183738905</v>
      </c>
      <c r="V27" s="1618">
        <f>+'Insumos testigos '!GN122</f>
        <v>114.15029183738905</v>
      </c>
      <c r="W27" s="1618">
        <f>+'Insumos testigos '!GO122</f>
        <v>116.83731034234178</v>
      </c>
      <c r="X27" s="1618">
        <f>+'Insumos testigos '!GP122</f>
        <v>118.84933476611197</v>
      </c>
      <c r="Y27" s="1618">
        <f>+'Insumos testigos '!GQ122</f>
        <v>118.90577985803999</v>
      </c>
      <c r="Z27" s="1618">
        <f>+'Insumos testigos '!GR122</f>
        <v>122.95527146841732</v>
      </c>
      <c r="AA27" s="1618">
        <f>+'Insumos testigos '!GS122</f>
        <v>123.24614778094626</v>
      </c>
      <c r="AB27" s="1618">
        <f>+'Insumos testigos '!GT122</f>
        <v>124.35445995908159</v>
      </c>
      <c r="AC27" s="1618">
        <f>+'Insumos testigos '!GU122</f>
        <v>125.70745049171889</v>
      </c>
      <c r="AD27" s="1618">
        <f>+'Insumos testigos '!GV122</f>
        <v>125.70745049171889</v>
      </c>
      <c r="AE27" s="1618">
        <f>+'Insumos testigos '!GW122</f>
        <v>126.44016631200667</v>
      </c>
      <c r="AF27" s="1618">
        <f>+'Insumos testigos '!GX122</f>
        <v>131.48537826472725</v>
      </c>
      <c r="AG27" s="1618">
        <f>+'Insumos testigos '!GY122</f>
        <v>133.98794924898644</v>
      </c>
      <c r="AH27" s="1618">
        <f>+'Insumos testigos '!GZ122</f>
        <v>137.74611229616846</v>
      </c>
      <c r="AI27" s="1618">
        <f>+'Insumos testigos '!HA122</f>
        <v>143.17399623803766</v>
      </c>
      <c r="AJ27" s="1618">
        <f>+'Insumos testigos '!HB122</f>
        <v>171.47669958258223</v>
      </c>
      <c r="AK27" s="1618">
        <f>+'Insumos testigos '!HC122</f>
        <v>191.018556965089</v>
      </c>
      <c r="AL27" s="1618">
        <f>+'Insumos testigos '!HD122</f>
        <v>175.33024840116883</v>
      </c>
      <c r="AM27" s="1618">
        <f>+'Insumos testigos '!HE122</f>
        <v>210.37633931903872</v>
      </c>
      <c r="AN27" s="1618">
        <f>+'Insumos testigos '!HF122</f>
        <v>224.37193761683051</v>
      </c>
      <c r="AO27" s="1618">
        <f>+'Insumos testigos '!HG122</f>
        <v>245.12462020340686</v>
      </c>
      <c r="AP27" s="1618">
        <f>+'Insumos testigos '!HH122</f>
        <v>238.69708054955692</v>
      </c>
      <c r="AQ27" s="1618">
        <f>+'Insumos testigos '!HI122</f>
        <v>257.61486876384862</v>
      </c>
      <c r="AR27" s="1618">
        <f>+'Insumos testigos '!HJ122</f>
        <v>250.47955584477799</v>
      </c>
      <c r="AS27" s="1618">
        <f>+'Insumos testigos '!HK122</f>
        <v>257.73843944333362</v>
      </c>
      <c r="AT27" s="1618">
        <f>+'Insumos testigos '!HL122</f>
        <v>267.33063094001801</v>
      </c>
      <c r="AU27" s="1618">
        <f>+'Insumos testigos '!HM122</f>
        <v>274.67473561057369</v>
      </c>
      <c r="AV27" s="1618">
        <f>+'Insumos testigos '!HN122</f>
        <v>281.02376045499159</v>
      </c>
      <c r="AW27" s="1618">
        <f>+'Insumos testigos '!HO122</f>
        <v>280.71244427458538</v>
      </c>
      <c r="AX27" s="1618">
        <f>+'Insumos testigos '!HP122</f>
        <v>324.01085425266933</v>
      </c>
      <c r="AY27" s="1618">
        <f>+'Insumos testigos '!HQ122</f>
        <v>347.47948057558682</v>
      </c>
      <c r="AZ27" s="1618">
        <f>+'Insumos testigos '!HR122</f>
        <v>362.68403669059569</v>
      </c>
      <c r="BA27" s="1618">
        <f>+'Insumos testigos '!HS122</f>
        <v>396.83574545742073</v>
      </c>
      <c r="BB27" s="1618">
        <f>+'Insumos testigos '!HT122</f>
        <v>404.59694129284514</v>
      </c>
      <c r="BC27" s="1618">
        <f>+'Insumos testigos '!HU122</f>
        <v>425.59422195605998</v>
      </c>
      <c r="BD27" s="1618">
        <f>+'Insumos testigos '!HV122</f>
        <v>433.03332163641579</v>
      </c>
      <c r="BE27" s="1618">
        <f>+'Insumos testigos '!HW122</f>
        <v>433.03382420660529</v>
      </c>
      <c r="BF27" s="1618">
        <f>+'Insumos testigos '!HX122</f>
        <v>460.50654013630697</v>
      </c>
      <c r="BG27" s="1618">
        <f>+'Insumos testigos '!HY122</f>
        <v>477.38523227086392</v>
      </c>
      <c r="BH27" s="1618">
        <f>+'Insumos testigos '!HZ122</f>
        <v>499.33305796060978</v>
      </c>
      <c r="BI27" s="1618">
        <f>+'Insumos testigos '!IA122</f>
        <v>518.32158351640101</v>
      </c>
      <c r="BJ27" s="1618">
        <f>+'Insumos testigos '!IB122</f>
        <v>532.90943631237349</v>
      </c>
      <c r="BK27" s="1618">
        <f>+'Insumos testigos '!IC122</f>
        <v>554.7108678285648</v>
      </c>
      <c r="BL27" s="1618">
        <f>+'Insumos testigos '!ID122</f>
        <v>584.41918867246238</v>
      </c>
      <c r="BM27" s="1618">
        <f>+'Insumos testigos '!IE122</f>
        <v>604.71854979314094</v>
      </c>
      <c r="BN27" s="1618">
        <f>+'Insumos testigos '!IF122</f>
        <v>641.21184533707697</v>
      </c>
      <c r="BO27" s="1618">
        <f>+'Insumos testigos '!IG122</f>
        <v>671.78062649488959</v>
      </c>
      <c r="BP27" s="1618">
        <f>+'Insumos testigos '!IH122</f>
        <v>672.33224723260696</v>
      </c>
      <c r="BQ27" s="1618">
        <f>+'Insumos testigos '!II122</f>
        <v>735.64183769639919</v>
      </c>
      <c r="BR27" s="1618">
        <f>+'Insumos testigos '!IJ122</f>
        <v>757.89064873210873</v>
      </c>
      <c r="BS27" s="1618">
        <f>+'Insumos testigos '!IK122</f>
        <v>775.40551890617996</v>
      </c>
      <c r="BT27" s="1618">
        <f>+'Insumos testigos '!IL122</f>
        <v>804.1769376724269</v>
      </c>
      <c r="BU27" s="1618">
        <f>+'Insumos testigos '!IM122</f>
        <v>828.88808334129169</v>
      </c>
      <c r="BV27" s="1618">
        <f>+'Insumos testigos '!IN122</f>
        <v>876.54939326717852</v>
      </c>
      <c r="BW27" s="1618">
        <f>+'Insumos testigos '!IO122</f>
        <v>894.32669151203015</v>
      </c>
      <c r="BX27" s="1618">
        <f>+'Insumos testigos '!IP122</f>
        <v>926.16495798527671</v>
      </c>
      <c r="BY27" s="1618">
        <f>+'Insumos testigos '!IQ122</f>
        <v>953.39328158508579</v>
      </c>
      <c r="BZ27" s="1618">
        <f>+'Insumos testigos '!IR122</f>
        <v>964.16794707591623</v>
      </c>
      <c r="CA27" s="1618">
        <f>+'Insumos testigos '!IS122</f>
        <v>1013.6999308867394</v>
      </c>
      <c r="CB27" s="1618">
        <f>+'Insumos testigos '!IT122</f>
        <v>1044.4845929207347</v>
      </c>
      <c r="CC27" s="1618">
        <f>+'Insumos testigos '!IU122</f>
        <v>1100.77329276469</v>
      </c>
      <c r="CD27" s="1618">
        <f>+'Insumos testigos '!IV122</f>
        <v>1188.187760905872</v>
      </c>
      <c r="CE27" s="1618">
        <f>+'Insumos testigos '!IW122</f>
        <v>1218.4605077486478</v>
      </c>
      <c r="CF27" s="1618">
        <f>+'Insumos testigos '!IX122</f>
        <v>1287.9152072247343</v>
      </c>
      <c r="CG27" s="1618">
        <f>+'Insumos testigos '!IY122</f>
        <v>1409.6818765883584</v>
      </c>
      <c r="CH27" s="1618">
        <f>+'Insumos testigos '!IZ122</f>
        <v>1486.3898130203263</v>
      </c>
      <c r="CI27" s="1618">
        <f>+'Insumos testigos '!JA122</f>
        <v>1559.33201038876</v>
      </c>
      <c r="CJ27" s="1618">
        <f>+'Insumos testigos '!JB122</f>
        <v>1661.1339028863481</v>
      </c>
      <c r="CK27" s="1618">
        <f>+'Insumos testigos '!JC122</f>
        <v>1830.0698059037163</v>
      </c>
      <c r="CL27" s="1618">
        <f>+'Insumos testigos '!JD122</f>
        <v>2017.4356698050703</v>
      </c>
      <c r="CM27" s="1618">
        <f>+'Insumos testigos '!JE122</f>
        <v>2179.4940523424493</v>
      </c>
      <c r="CN27" s="1618">
        <f>+'Insumos testigos '!JF122</f>
        <v>2276.7303853150584</v>
      </c>
    </row>
    <row r="28" spans="1:92">
      <c r="A28" s="1613" t="s">
        <v>968</v>
      </c>
      <c r="B28" s="1614" t="s">
        <v>975</v>
      </c>
      <c r="C28" s="1613">
        <v>47</v>
      </c>
      <c r="D28" s="1618">
        <v>1505.8</v>
      </c>
      <c r="E28" s="1618">
        <v>1675.4281930800341</v>
      </c>
      <c r="F28" s="1618">
        <v>1774.3204246237256</v>
      </c>
      <c r="G28" s="1618">
        <f>+'Insumos testigos '!FY72</f>
        <v>100</v>
      </c>
      <c r="H28" s="1618">
        <f>+'Insumos testigos '!FZ72</f>
        <v>112.24932670593262</v>
      </c>
      <c r="I28" s="1618">
        <f>+'Insumos testigos '!GA72</f>
        <v>115.68812489169886</v>
      </c>
      <c r="J28" s="1618">
        <f>+'Insumos testigos '!GB72</f>
        <v>120.79651352034666</v>
      </c>
      <c r="K28" s="1618">
        <f>+'Insumos testigos '!GC72</f>
        <v>125.37066586203566</v>
      </c>
      <c r="L28" s="1618">
        <f>+'Insumos testigos '!GD72</f>
        <v>130.391645197385</v>
      </c>
      <c r="M28" s="1618">
        <f>+'Insumos testigos '!GE72</f>
        <v>130.391645197385</v>
      </c>
      <c r="N28" s="1618">
        <f>+'Insumos testigos '!GF72</f>
        <v>131.76718667579206</v>
      </c>
      <c r="O28" s="1618">
        <f>+'Insumos testigos '!GG72</f>
        <v>133.04081241084208</v>
      </c>
      <c r="P28" s="1618">
        <f>+'Insumos testigos '!GH72</f>
        <v>137.45261638046503</v>
      </c>
      <c r="Q28" s="1618">
        <f>+'Insumos testigos '!GI72</f>
        <v>138.37088340099783</v>
      </c>
      <c r="R28" s="1618">
        <f>+'Insumos testigos '!GJ72</f>
        <v>138.59571154182353</v>
      </c>
      <c r="S28" s="1618">
        <f>+'Insumos testigos '!GK72</f>
        <v>139.53866572979209</v>
      </c>
      <c r="T28" s="1618">
        <f>+'Insumos testigos '!GL72</f>
        <v>142.64510559280308</v>
      </c>
      <c r="U28" s="1618">
        <f>+'Insumos testigos '!GM72</f>
        <v>142.9481619606623</v>
      </c>
      <c r="V28" s="1618">
        <f>+'Insumos testigos '!GN72</f>
        <v>146.4891784452733</v>
      </c>
      <c r="W28" s="1618">
        <f>+'Insumos testigos '!GO72</f>
        <v>146.74284410781183</v>
      </c>
      <c r="X28" s="1618">
        <f>+'Insumos testigos '!GP72</f>
        <v>146.93897685929298</v>
      </c>
      <c r="Y28" s="1618">
        <f>+'Insumos testigos '!GQ72</f>
        <v>147.09010914397501</v>
      </c>
      <c r="Z28" s="1618">
        <f>+'Insumos testigos '!GR72</f>
        <v>147.18400643116092</v>
      </c>
      <c r="AA28" s="1618">
        <f>+'Insumos testigos '!GS72</f>
        <v>146.55220328961707</v>
      </c>
      <c r="AB28" s="1618">
        <f>+'Insumos testigos '!GT72</f>
        <v>149.64842704121077</v>
      </c>
      <c r="AC28" s="1618">
        <f>+'Insumos testigos '!GU72</f>
        <v>150.3465930349829</v>
      </c>
      <c r="AD28" s="1618">
        <f>+'Insumos testigos '!GV72</f>
        <v>151.1951796110188</v>
      </c>
      <c r="AE28" s="1618">
        <f>+'Insumos testigos '!GW72</f>
        <v>152.68586179868439</v>
      </c>
      <c r="AF28" s="1618">
        <f>+'Insumos testigos '!GX72</f>
        <v>155.61074538793756</v>
      </c>
      <c r="AG28" s="1618">
        <f>+'Insumos testigos '!GY72</f>
        <v>155.83162317187194</v>
      </c>
      <c r="AH28" s="1618">
        <f>+'Insumos testigos '!GZ72</f>
        <v>155.40103669155235</v>
      </c>
      <c r="AI28" s="1618">
        <f>+'Insumos testigos '!HA72</f>
        <v>158.21418810198847</v>
      </c>
      <c r="AJ28" s="1618">
        <f>+'Insumos testigos '!HB72</f>
        <v>161.81405442551466</v>
      </c>
      <c r="AK28" s="1618">
        <f>+'Insumos testigos '!HC72</f>
        <v>162.7141136224034</v>
      </c>
      <c r="AL28" s="1618">
        <f>+'Insumos testigos '!HD72</f>
        <v>160.80656266992713</v>
      </c>
      <c r="AM28" s="1618">
        <f>+'Insumos testigos '!HE72</f>
        <v>194.57991504651656</v>
      </c>
      <c r="AN28" s="1618">
        <f>+'Insumos testigos '!HF72</f>
        <v>230.33356766573127</v>
      </c>
      <c r="AO28" s="1618">
        <f>+'Insumos testigos '!HG72</f>
        <v>233.41510782734409</v>
      </c>
      <c r="AP28" s="1618">
        <f>+'Insumos testigos '!HH72</f>
        <v>240.34825182585391</v>
      </c>
      <c r="AQ28" s="1618">
        <f>+'Insumos testigos '!HI72</f>
        <v>233.41451289665176</v>
      </c>
      <c r="AR28" s="1618">
        <f>+'Insumos testigos '!HJ72</f>
        <v>263.72741307368705</v>
      </c>
      <c r="AS28" s="1618">
        <f>+'Insumos testigos '!HK72</f>
        <v>275.45585981685946</v>
      </c>
      <c r="AT28" s="1618">
        <f>+'Insumos testigos '!HL72</f>
        <v>289.10481801164462</v>
      </c>
      <c r="AU28" s="1618">
        <f>+'Insumos testigos '!HM72</f>
        <v>295.72335358226707</v>
      </c>
      <c r="AV28" s="1618">
        <f>+'Insumos testigos '!HN72</f>
        <v>306.98462673962337</v>
      </c>
      <c r="AW28" s="1618">
        <f>+'Insumos testigos '!HO72</f>
        <v>310.05415908361272</v>
      </c>
      <c r="AX28" s="1618">
        <f>+'Insumos testigos '!HP72</f>
        <v>381.75416782369558</v>
      </c>
      <c r="AY28" s="1618">
        <f>+'Insumos testigos '!HQ72</f>
        <v>384.0801517171779</v>
      </c>
      <c r="AZ28" s="1618">
        <f>+'Insumos testigos '!HR72</f>
        <v>358.76255225838457</v>
      </c>
      <c r="BA28" s="1618">
        <f>+'Insumos testigos '!HS72</f>
        <v>367.28261297571629</v>
      </c>
      <c r="BB28" s="1618">
        <f>+'Insumos testigos '!HT72</f>
        <v>383.78383047314634</v>
      </c>
      <c r="BC28" s="1618">
        <f>+'Insumos testigos '!HU72</f>
        <v>399.59726372865026</v>
      </c>
      <c r="BD28" s="1618">
        <f>+'Insumos testigos '!HV72</f>
        <v>401.98718782109989</v>
      </c>
      <c r="BE28" s="1618">
        <f>+'Insumos testigos '!HW72</f>
        <v>401.98718782109989</v>
      </c>
      <c r="BF28" s="1618">
        <f>+'Insumos testigos '!HX72</f>
        <v>401.98718782109989</v>
      </c>
      <c r="BG28" s="1618">
        <f>+'Insumos testigos '!HY72</f>
        <v>401.98718782109989</v>
      </c>
      <c r="BH28" s="1618">
        <f>+'Insumos testigos '!HZ72</f>
        <v>401.98718782109989</v>
      </c>
      <c r="BI28" s="1618">
        <f>+'Insumos testigos '!IA72</f>
        <v>401.75675664436091</v>
      </c>
      <c r="BJ28" s="1618">
        <f>+'Insumos testigos '!IB72</f>
        <v>412.73693069760498</v>
      </c>
      <c r="BK28" s="1618">
        <f>+'Insumos testigos '!IC72</f>
        <v>422.1040294521178</v>
      </c>
      <c r="BL28" s="1618">
        <f>+'Insumos testigos '!ID72</f>
        <v>507.85152483279199</v>
      </c>
      <c r="BM28" s="1618">
        <f>+'Insumos testigos '!IE72</f>
        <v>517.85499637855662</v>
      </c>
      <c r="BN28" s="1618">
        <f>+'Insumos testigos '!IF72</f>
        <v>521.24681994122068</v>
      </c>
      <c r="BO28" s="1618">
        <f>+'Insumos testigos '!IG72</f>
        <v>537.54483070974425</v>
      </c>
      <c r="BP28" s="1618">
        <f>+'Insumos testigos '!IH72</f>
        <v>610.32318052890707</v>
      </c>
      <c r="BQ28" s="1618">
        <f>+'Insumos testigos '!II72</f>
        <v>622.40050050411503</v>
      </c>
      <c r="BR28" s="1618">
        <f>+'Insumos testigos '!IJ72</f>
        <v>716.73847444896171</v>
      </c>
      <c r="BS28" s="1618">
        <f>+'Insumos testigos '!IK72</f>
        <v>762.07728806785758</v>
      </c>
      <c r="BT28" s="1618">
        <f>+'Insumos testigos '!IL72</f>
        <v>773.29119290916628</v>
      </c>
      <c r="BU28" s="1618">
        <f>+'Insumos testigos '!IM72</f>
        <v>784.55089557829115</v>
      </c>
      <c r="BV28" s="1618">
        <f>+'Insumos testigos '!IN72</f>
        <v>796.99139147847916</v>
      </c>
      <c r="BW28" s="1618">
        <f>+'Insumos testigos '!IO72</f>
        <v>812.02238345796616</v>
      </c>
      <c r="BX28" s="1618">
        <f>+'Insumos testigos '!IP72</f>
        <v>845.21154203096103</v>
      </c>
      <c r="BY28" s="1618">
        <f>+'Insumos testigos '!IQ72</f>
        <v>912.6230789887245</v>
      </c>
      <c r="BZ28" s="1618">
        <f>+'Insumos testigos '!IR72</f>
        <v>911.99976960018421</v>
      </c>
      <c r="CA28" s="1618">
        <f>+'Insumos testigos '!IS72</f>
        <v>952.59591220819118</v>
      </c>
      <c r="CB28" s="1618">
        <f>+'Insumos testigos '!IT72</f>
        <v>983.90726822296995</v>
      </c>
      <c r="CC28" s="1618">
        <f>+'Insumos testigos '!IU72</f>
        <v>1004.2698069254609</v>
      </c>
      <c r="CD28" s="1618">
        <f>+'Insumos testigos '!IV72</f>
        <v>1025.4596765531076</v>
      </c>
      <c r="CE28" s="1618">
        <f>+'Insumos testigos '!IW72</f>
        <v>1066.1721616286095</v>
      </c>
      <c r="CF28" s="1618">
        <f>+'Insumos testigos '!IX72</f>
        <v>1113.967765587742</v>
      </c>
      <c r="CG28" s="1618">
        <f>+'Insumos testigos '!IY72</f>
        <v>1217.9376793785702</v>
      </c>
      <c r="CH28" s="1618">
        <f>+'Insumos testigos '!IZ72</f>
        <v>1243.3198481001593</v>
      </c>
      <c r="CI28" s="1618">
        <f>+'Insumos testigos '!JA72</f>
        <v>1262.0364585846623</v>
      </c>
      <c r="CJ28" s="1618">
        <f>+'Insumos testigos '!JB72</f>
        <v>1314.4569145222376</v>
      </c>
      <c r="CK28" s="1618">
        <f>+'Insumos testigos '!JC72</f>
        <v>1388.7198759159407</v>
      </c>
      <c r="CL28" s="1618">
        <f>+'Insumos testigos '!JD72</f>
        <v>1461.9424313814241</v>
      </c>
      <c r="CM28" s="1618">
        <f>+'Insumos testigos '!JE72</f>
        <v>1548.5985534464585</v>
      </c>
      <c r="CN28" s="1618">
        <f>+'Insumos testigos '!JF72</f>
        <v>1713.8436166055687</v>
      </c>
    </row>
    <row r="29" spans="1:92">
      <c r="A29" s="1613" t="s">
        <v>969</v>
      </c>
      <c r="B29" s="1614" t="s">
        <v>977</v>
      </c>
      <c r="C29" s="1613">
        <v>24</v>
      </c>
      <c r="D29" s="1618">
        <v>1673.5</v>
      </c>
      <c r="E29" s="1618">
        <v>1673.5</v>
      </c>
      <c r="F29" s="1618">
        <v>1721.8312380043837</v>
      </c>
      <c r="G29" s="1618">
        <f>+'Insumos testigos '!FY49</f>
        <v>100</v>
      </c>
      <c r="H29" s="1618">
        <f>+'Insumos testigos '!FZ49</f>
        <v>100.1292716598646</v>
      </c>
      <c r="I29" s="1618">
        <f>+'Insumos testigos '!GA49</f>
        <v>100.45011788148179</v>
      </c>
      <c r="J29" s="1618">
        <f>+'Insumos testigos '!GB49</f>
        <v>104.11020636741998</v>
      </c>
      <c r="K29" s="1618">
        <f>+'Insumos testigos '!GC49</f>
        <v>113.39237928469683</v>
      </c>
      <c r="L29" s="1618">
        <f>+'Insumos testigos '!GD49</f>
        <v>113.75274805200512</v>
      </c>
      <c r="M29" s="1618">
        <f>+'Insumos testigos '!GE49</f>
        <v>118.26051395777128</v>
      </c>
      <c r="N29" s="1618">
        <f>+'Insumos testigos '!GF49</f>
        <v>124.14909880361965</v>
      </c>
      <c r="O29" s="1618">
        <f>+'Insumos testigos '!GG49</f>
        <v>127.54465952944892</v>
      </c>
      <c r="P29" s="1618">
        <f>+'Insumos testigos '!GH49</f>
        <v>128.31245837913013</v>
      </c>
      <c r="Q29" s="1618">
        <f>+'Insumos testigos '!GI49</f>
        <v>128.31159135883462</v>
      </c>
      <c r="R29" s="1618">
        <f>+'Insumos testigos '!GJ49</f>
        <v>128.3851472077597</v>
      </c>
      <c r="S29" s="1618">
        <f>+'Insumos testigos '!GK49</f>
        <v>128.3851472077597</v>
      </c>
      <c r="T29" s="1618">
        <f>+'Insumos testigos '!GL49</f>
        <v>128.74661382355936</v>
      </c>
      <c r="U29" s="1618">
        <f>+'Insumos testigos '!GM49</f>
        <v>128.74661382355936</v>
      </c>
      <c r="V29" s="1618">
        <f>+'Insumos testigos '!GN49</f>
        <v>128.74612254422783</v>
      </c>
      <c r="W29" s="1618">
        <f>+'Insumos testigos '!GO49</f>
        <v>135.21156912740267</v>
      </c>
      <c r="X29" s="1618">
        <f>+'Insumos testigos '!GP49</f>
        <v>134.85010251160296</v>
      </c>
      <c r="Y29" s="1618">
        <f>+'Insumos testigos '!GQ49</f>
        <v>133.80714644475492</v>
      </c>
      <c r="Z29" s="1618">
        <f>+'Insumos testigos '!GR49</f>
        <v>134.67636798783587</v>
      </c>
      <c r="AA29" s="1618">
        <f>+'Insumos testigos '!GS49</f>
        <v>134.67636798783587</v>
      </c>
      <c r="AB29" s="1618">
        <f>+'Insumos testigos '!GT49</f>
        <v>134.67636798783587</v>
      </c>
      <c r="AC29" s="1618">
        <f>+'Insumos testigos '!GU49</f>
        <v>134.67636798783587</v>
      </c>
      <c r="AD29" s="1618">
        <f>+'Insumos testigos '!GV49</f>
        <v>134.67636798783587</v>
      </c>
      <c r="AE29" s="1618">
        <f>+'Insumos testigos '!GW49</f>
        <v>134.84763235249721</v>
      </c>
      <c r="AF29" s="1618">
        <f>+'Insumos testigos '!GX49</f>
        <v>134.95357473191913</v>
      </c>
      <c r="AG29" s="1618">
        <f>+'Insumos testigos '!GY49</f>
        <v>135.04469615670689</v>
      </c>
      <c r="AH29" s="1618">
        <f>+'Insumos testigos '!GZ49</f>
        <v>141.6458896165276</v>
      </c>
      <c r="AI29" s="1618">
        <f>+'Insumos testigos '!HA49</f>
        <v>145.08506551688893</v>
      </c>
      <c r="AJ29" s="1618">
        <f>+'Insumos testigos '!HB49</f>
        <v>142.51673709823223</v>
      </c>
      <c r="AK29" s="1618">
        <f>+'Insumos testigos '!HC49</f>
        <v>151.60083803804883</v>
      </c>
      <c r="AL29" s="1618">
        <f>+'Insumos testigos '!HD49</f>
        <v>159.40629618825466</v>
      </c>
      <c r="AM29" s="1618">
        <f>+'Insumos testigos '!HE49</f>
        <v>159.40629618825466</v>
      </c>
      <c r="AN29" s="1618">
        <f>+'Insumos testigos '!HF49</f>
        <v>159.40629618825466</v>
      </c>
      <c r="AO29" s="1618">
        <f>+'Insumos testigos '!HG49</f>
        <v>159.40629618825466</v>
      </c>
      <c r="AP29" s="1618">
        <f>+'Insumos testigos '!HH49</f>
        <v>159.40629618825466</v>
      </c>
      <c r="AQ29" s="1618">
        <f>+'Insumos testigos '!HI49</f>
        <v>166.16199902875547</v>
      </c>
      <c r="AR29" s="1618">
        <f>+'Insumos testigos '!HJ49</f>
        <v>167.4477320949245</v>
      </c>
      <c r="AS29" s="1618">
        <f>+'Insumos testigos '!HK49</f>
        <v>180.97182203426522</v>
      </c>
      <c r="AT29" s="1618">
        <f>+'Insumos testigos '!HL49</f>
        <v>186.37898539414493</v>
      </c>
      <c r="AU29" s="1618">
        <f>+'Insumos testigos '!HM49</f>
        <v>189.90724831001418</v>
      </c>
      <c r="AV29" s="1618">
        <f>+'Insumos testigos '!HN49</f>
        <v>183.62812801659422</v>
      </c>
      <c r="AW29" s="1618">
        <f>+'Insumos testigos '!HO49</f>
        <v>190.42912529821848</v>
      </c>
      <c r="AX29" s="1618">
        <f>+'Insumos testigos '!HP49</f>
        <v>206.44080062226496</v>
      </c>
      <c r="AY29" s="1618">
        <f>+'Insumos testigos '!HQ49</f>
        <v>237.3712914819252</v>
      </c>
      <c r="AZ29" s="1618">
        <f>+'Insumos testigos '!HR49</f>
        <v>239.41767532179563</v>
      </c>
      <c r="BA29" s="1618">
        <f>+'Insumos testigos '!HS49</f>
        <v>259.0736854705562</v>
      </c>
      <c r="BB29" s="1618">
        <f>+'Insumos testigos '!HT49</f>
        <v>256.37832407913425</v>
      </c>
      <c r="BC29" s="1618">
        <f>+'Insumos testigos '!HU49</f>
        <v>252.20547960444168</v>
      </c>
      <c r="BD29" s="1618">
        <f>+'Insumos testigos '!HV49</f>
        <v>253.16658719152039</v>
      </c>
      <c r="BE29" s="1618">
        <f>+'Insumos testigos '!HW49</f>
        <v>253.16658719152039</v>
      </c>
      <c r="BF29" s="1618">
        <f>+'Insumos testigos '!HX49</f>
        <v>264.13056806480057</v>
      </c>
      <c r="BG29" s="1618">
        <f>+'Insumos testigos '!HY49</f>
        <v>307.72009000309561</v>
      </c>
      <c r="BH29" s="1618">
        <f>+'Insumos testigos '!HZ49</f>
        <v>314.32010971408988</v>
      </c>
      <c r="BI29" s="1618">
        <f>+'Insumos testigos '!IA49</f>
        <v>321.06168748905418</v>
      </c>
      <c r="BJ29" s="1618">
        <f>+'Insumos testigos '!IB49</f>
        <v>333.84198929053696</v>
      </c>
      <c r="BK29" s="1618">
        <f>+'Insumos testigos '!IC49</f>
        <v>337.24717758130043</v>
      </c>
      <c r="BL29" s="1618">
        <f>+'Insumos testigos '!ID49</f>
        <v>347.89619328759346</v>
      </c>
      <c r="BM29" s="1618">
        <f>+'Insumos testigos '!IE49</f>
        <v>355.16722372730419</v>
      </c>
      <c r="BN29" s="1618">
        <f>+'Insumos testigos '!IF49</f>
        <v>362.55033535000524</v>
      </c>
      <c r="BO29" s="1618">
        <f>+'Insumos testigos '!IG49</f>
        <v>379.47621306662012</v>
      </c>
      <c r="BP29" s="1618">
        <f>+'Insumos testigos '!IH49</f>
        <v>387.81594191737292</v>
      </c>
      <c r="BQ29" s="1618">
        <f>+'Insumos testigos '!II49</f>
        <v>386.7300572800043</v>
      </c>
      <c r="BR29" s="1618">
        <f>+'Insumos testigos '!IJ49</f>
        <v>392.82865838399346</v>
      </c>
      <c r="BS29" s="1618">
        <f>+'Insumos testigos '!IK49</f>
        <v>405.77513949279995</v>
      </c>
      <c r="BT29" s="1618">
        <f>+'Insumos testigos '!IL49</f>
        <v>429.15640683656363</v>
      </c>
      <c r="BU29" s="1618">
        <f>+'Insumos testigos '!IM49</f>
        <v>438.51201650560074</v>
      </c>
      <c r="BV29" s="1618">
        <f>+'Insumos testigos '!IN49</f>
        <v>440.66072538647819</v>
      </c>
      <c r="BW29" s="1618">
        <f>+'Insumos testigos '!IO49</f>
        <v>451.94163995637206</v>
      </c>
      <c r="BX29" s="1618">
        <f>+'Insumos testigos '!IP49</f>
        <v>458.04285209578308</v>
      </c>
      <c r="BY29" s="1618">
        <f>+'Insumos testigos '!IQ49</f>
        <v>460.0582406450045</v>
      </c>
      <c r="BZ29" s="1618">
        <f>+'Insumos testigos '!IR49</f>
        <v>471.05363259642013</v>
      </c>
      <c r="CA29" s="1618">
        <f>+'Insumos testigos '!IS49</f>
        <v>477.28791810857524</v>
      </c>
      <c r="CB29" s="1618">
        <f>+'Insumos testigos '!IT49</f>
        <v>488.83828572680278</v>
      </c>
      <c r="CC29" s="1618">
        <f>+'Insumos testigos '!IU49</f>
        <v>501.25477818426356</v>
      </c>
      <c r="CD29" s="1618">
        <f>+'Insumos testigos '!IV49</f>
        <v>531.22981391968256</v>
      </c>
      <c r="CE29" s="1618">
        <f>+'Insumos testigos '!IW49</f>
        <v>551.42333066481058</v>
      </c>
      <c r="CF29" s="1618">
        <f>+'Insumos testigos '!IX49</f>
        <v>578.38793153431982</v>
      </c>
      <c r="CG29" s="1618">
        <f>+'Insumos testigos '!IY49</f>
        <v>638.22377030346797</v>
      </c>
      <c r="CH29" s="1618">
        <f>+'Insumos testigos '!IZ49</f>
        <v>654.30700931511535</v>
      </c>
      <c r="CI29" s="1618">
        <f>+'Insumos testigos '!JA49</f>
        <v>697.29497982711837</v>
      </c>
      <c r="CJ29" s="1618">
        <f>+'Insumos testigos '!JB49</f>
        <v>729.57973739311399</v>
      </c>
      <c r="CK29" s="1618">
        <f>+'Insumos testigos '!JC49</f>
        <v>761.9730777333682</v>
      </c>
      <c r="CL29" s="1618">
        <f>+'Insumos testigos '!JD49</f>
        <v>811.12034124717047</v>
      </c>
      <c r="CM29" s="1618">
        <f>+'Insumos testigos '!JE49</f>
        <v>842.34847438518659</v>
      </c>
      <c r="CN29" s="1618">
        <f>+'Insumos testigos '!JF49</f>
        <v>878.82216332606515</v>
      </c>
    </row>
    <row r="30" spans="1:92">
      <c r="A30" s="1613" t="s">
        <v>970</v>
      </c>
      <c r="B30" s="1614" t="s">
        <v>976</v>
      </c>
      <c r="C30" s="1613">
        <v>33</v>
      </c>
      <c r="D30" s="1618">
        <v>2083.1</v>
      </c>
      <c r="E30" s="1618">
        <v>2131.6226199787511</v>
      </c>
      <c r="F30" s="1618">
        <v>2541.2898781521149</v>
      </c>
      <c r="G30" s="1618">
        <f>+'Insumos testigos '!FY58</f>
        <v>100</v>
      </c>
      <c r="H30" s="1618">
        <f>+'Insumos testigos '!FZ58</f>
        <v>108.11868906021118</v>
      </c>
      <c r="I30" s="1618">
        <f>+'Insumos testigos '!GA58</f>
        <v>106.63507124920172</v>
      </c>
      <c r="J30" s="1618">
        <f>+'Insumos testigos '!GB58</f>
        <v>105.04842385155955</v>
      </c>
      <c r="K30" s="1618">
        <f>+'Insumos testigos '!GC58</f>
        <v>103.58540998967186</v>
      </c>
      <c r="L30" s="1618">
        <f>+'Insumos testigos '!GD58</f>
        <v>105.41932417002408</v>
      </c>
      <c r="M30" s="1618">
        <f>+'Insumos testigos '!GE58</f>
        <v>106.32598026380872</v>
      </c>
      <c r="N30" s="1618">
        <f>+'Insumos testigos '!GF58</f>
        <v>103.23510727066957</v>
      </c>
      <c r="O30" s="1618">
        <f>+'Insumos testigos '!GG58</f>
        <v>103.23510727066957</v>
      </c>
      <c r="P30" s="1618">
        <f>+'Insumos testigos '!GH58</f>
        <v>98.145473410804996</v>
      </c>
      <c r="Q30" s="1618">
        <f>+'Insumos testigos '!GI58</f>
        <v>98.578192442865927</v>
      </c>
      <c r="R30" s="1618">
        <f>+'Insumos testigos '!GJ58</f>
        <v>98.969703294180775</v>
      </c>
      <c r="S30" s="1618">
        <f>+'Insumos testigos '!GK58</f>
        <v>100.80362480052057</v>
      </c>
      <c r="T30" s="1618">
        <f>+'Insumos testigos '!GL58</f>
        <v>106.07871625923549</v>
      </c>
      <c r="U30" s="1618">
        <f>+'Insumos testigos '!GM58</f>
        <v>106.30537542726796</v>
      </c>
      <c r="V30" s="1618">
        <f>+'Insumos testigos '!GN58</f>
        <v>107.93185144266744</v>
      </c>
      <c r="W30" s="1618">
        <f>+'Insumos testigos '!GO58</f>
        <v>107.19005387659332</v>
      </c>
      <c r="X30" s="1618">
        <f>+'Insumos testigos '!GP58</f>
        <v>107.19005387659332</v>
      </c>
      <c r="Y30" s="1618">
        <f>+'Insumos testigos '!GQ58</f>
        <v>108.44699233762033</v>
      </c>
      <c r="Z30" s="1618">
        <f>+'Insumos testigos '!GR58</f>
        <v>112.6299142177196</v>
      </c>
      <c r="AA30" s="1618">
        <f>+'Insumos testigos '!GS58</f>
        <v>116.81284286752859</v>
      </c>
      <c r="AB30" s="1618">
        <f>+'Insumos testigos '!GT58</f>
        <v>119.34732237733407</v>
      </c>
      <c r="AC30" s="1618">
        <f>+'Insumos testigos '!GU58</f>
        <v>120.50122831517425</v>
      </c>
      <c r="AD30" s="1618">
        <f>+'Insumos testigos '!GV58</f>
        <v>121.03696598583598</v>
      </c>
      <c r="AE30" s="1618">
        <f>+'Insumos testigos '!GW58</f>
        <v>126.27077162520692</v>
      </c>
      <c r="AF30" s="1618">
        <f>+'Insumos testigos '!GX58</f>
        <v>130.18583015014593</v>
      </c>
      <c r="AG30" s="1618">
        <f>+'Insumos testigos '!GY58</f>
        <v>134.7602547211518</v>
      </c>
      <c r="AH30" s="1618">
        <f>+'Insumos testigos '!GZ58</f>
        <v>151.01047593344126</v>
      </c>
      <c r="AI30" s="1618">
        <f>+'Insumos testigos '!HA58</f>
        <v>173.08272613833242</v>
      </c>
      <c r="AJ30" s="1618">
        <f>+'Insumos testigos '!HB58</f>
        <v>183.60878936039512</v>
      </c>
      <c r="AK30" s="1618">
        <f>+'Insumos testigos '!HC58</f>
        <v>196.1620100269385</v>
      </c>
      <c r="AL30" s="1618">
        <f>+'Insumos testigos '!HD58</f>
        <v>199.39544769919536</v>
      </c>
      <c r="AM30" s="1618">
        <f>+'Insumos testigos '!HE58</f>
        <v>264.83691309508458</v>
      </c>
      <c r="AN30" s="1618">
        <f>+'Insumos testigos '!HF58</f>
        <v>287.76388008865069</v>
      </c>
      <c r="AO30" s="1618">
        <f>+'Insumos testigos '!HG58</f>
        <v>271.63103133159501</v>
      </c>
      <c r="AP30" s="1618">
        <f>+'Insumos testigos '!HH58</f>
        <v>270.26417801748357</v>
      </c>
      <c r="AQ30" s="1618">
        <f>+'Insumos testigos '!HI58</f>
        <v>296.51609238981592</v>
      </c>
      <c r="AR30" s="1618">
        <f>+'Insumos testigos '!HJ58</f>
        <v>295.0240169020355</v>
      </c>
      <c r="AS30" s="1618">
        <f>+'Insumos testigos '!HK58</f>
        <v>337.35402563394507</v>
      </c>
      <c r="AT30" s="1618">
        <f>+'Insumos testigos '!HL58</f>
        <v>339.90228109568108</v>
      </c>
      <c r="AU30" s="1618">
        <f>+'Insumos testigos '!HM58</f>
        <v>358.68171946281194</v>
      </c>
      <c r="AV30" s="1618">
        <f>+'Insumos testigos '!HN58</f>
        <v>358.68171946281194</v>
      </c>
      <c r="AW30" s="1618">
        <f>+'Insumos testigos '!HO58</f>
        <v>353.49794321700898</v>
      </c>
      <c r="AX30" s="1618">
        <f>+'Insumos testigos '!HP58</f>
        <v>396.33576049461971</v>
      </c>
      <c r="AY30" s="1618">
        <f>+'Insumos testigos '!HQ58</f>
        <v>450.42918899951951</v>
      </c>
      <c r="AZ30" s="1618">
        <f>+'Insumos testigos '!HR58</f>
        <v>450.42918899951951</v>
      </c>
      <c r="BA30" s="1618">
        <f>+'Insumos testigos '!HS58</f>
        <v>506.06595853753129</v>
      </c>
      <c r="BB30" s="1618">
        <f>+'Insumos testigos '!HT58</f>
        <v>506.07962639143227</v>
      </c>
      <c r="BC30" s="1618">
        <f>+'Insumos testigos '!HU58</f>
        <v>509.02888954146641</v>
      </c>
      <c r="BD30" s="1618">
        <f>+'Insumos testigos '!HV58</f>
        <v>503.39604205824168</v>
      </c>
      <c r="BE30" s="1618">
        <f>+'Insumos testigos '!HW58</f>
        <v>503.39604205824168</v>
      </c>
      <c r="BF30" s="1618">
        <f>+'Insumos testigos '!HX58</f>
        <v>530.1348488416711</v>
      </c>
      <c r="BG30" s="1618">
        <f>+'Insumos testigos '!HY58</f>
        <v>549.71344653167682</v>
      </c>
      <c r="BH30" s="1618">
        <f>+'Insumos testigos '!HZ58</f>
        <v>546.95019498598356</v>
      </c>
      <c r="BI30" s="1618">
        <f>+'Insumos testigos '!IA58</f>
        <v>574.00806017447144</v>
      </c>
      <c r="BJ30" s="1618">
        <f>+'Insumos testigos '!IB58</f>
        <v>616.01955211893642</v>
      </c>
      <c r="BK30" s="1618">
        <f>+'Insumos testigos '!IC58</f>
        <v>631.38275476127853</v>
      </c>
      <c r="BL30" s="1618">
        <f>+'Insumos testigos '!ID58</f>
        <v>743.25841232753783</v>
      </c>
      <c r="BM30" s="1618">
        <f>+'Insumos testigos '!IE58</f>
        <v>791.07270695893146</v>
      </c>
      <c r="BN30" s="1618">
        <f>+'Insumos testigos '!IF58</f>
        <v>854.71760807997339</v>
      </c>
      <c r="BO30" s="1618">
        <f>+'Insumos testigos '!IG58</f>
        <v>928.35438402307989</v>
      </c>
      <c r="BP30" s="1618">
        <f>+'Insumos testigos '!IH58</f>
        <v>971.40790762127381</v>
      </c>
      <c r="BQ30" s="1618">
        <f>+'Insumos testigos '!II58</f>
        <v>1028.6227600228301</v>
      </c>
      <c r="BR30" s="1618">
        <f>+'Insumos testigos '!IJ58</f>
        <v>1095.7666403776213</v>
      </c>
      <c r="BS30" s="1618">
        <f>+'Insumos testigos '!IK58</f>
        <v>1208.7086023644943</v>
      </c>
      <c r="BT30" s="1618">
        <f>+'Insumos testigos '!IL58</f>
        <v>1241.0304903881702</v>
      </c>
      <c r="BU30" s="1618">
        <f>+'Insumos testigos '!IM58</f>
        <v>1243.8846543026889</v>
      </c>
      <c r="BV30" s="1618">
        <f>+'Insumos testigos '!IN58</f>
        <v>1274.3983158384824</v>
      </c>
      <c r="BW30" s="1618">
        <f>+'Insumos testigos '!IO58</f>
        <v>1310.5660586415577</v>
      </c>
      <c r="BX30" s="1618">
        <f>+'Insumos testigos '!IP58</f>
        <v>1349.9448639345826</v>
      </c>
      <c r="BY30" s="1618">
        <f>+'Insumos testigos '!IQ58</f>
        <v>1453.8244711592126</v>
      </c>
      <c r="BZ30" s="1618">
        <f>+'Insumos testigos '!IR58</f>
        <v>1542.2664814844638</v>
      </c>
      <c r="CA30" s="1618">
        <f>+'Insumos testigos '!IS58</f>
        <v>1587.429397656073</v>
      </c>
      <c r="CB30" s="1618">
        <f>+'Insumos testigos '!IT58</f>
        <v>1660.6870761682283</v>
      </c>
      <c r="CC30" s="1618">
        <f>+'Insumos testigos '!IU58</f>
        <v>1708.9966016670592</v>
      </c>
      <c r="CD30" s="1618">
        <f>+'Insumos testigos '!IV58</f>
        <v>1846.17310763879</v>
      </c>
      <c r="CE30" s="1618">
        <f>+'Insumos testigos '!IW58</f>
        <v>1926.7282285538527</v>
      </c>
      <c r="CF30" s="1618">
        <f>+'Insumos testigos '!IX58</f>
        <v>2018.8506772910623</v>
      </c>
      <c r="CG30" s="1618">
        <f>+'Insumos testigos '!IY58</f>
        <v>2589.1678353532461</v>
      </c>
      <c r="CH30" s="1618">
        <f>+'Insumos testigos '!IZ58</f>
        <v>3137.2567986974987</v>
      </c>
      <c r="CI30" s="1618">
        <f>+'Insumos testigos '!JA58</f>
        <v>4483.1000297077644</v>
      </c>
      <c r="CJ30" s="1618">
        <f>+'Insumos testigos '!JB58</f>
        <v>4485.0649315368282</v>
      </c>
      <c r="CK30" s="1618">
        <f>+'Insumos testigos '!JC58</f>
        <v>5130.5998614451173</v>
      </c>
      <c r="CL30" s="1618">
        <f>+'Insumos testigos '!JD58</f>
        <v>5745.3674556900269</v>
      </c>
      <c r="CM30" s="1618">
        <f>+'Insumos testigos '!JE58</f>
        <v>6300.2372197218374</v>
      </c>
      <c r="CN30" s="1618">
        <f>+'Insumos testigos '!JF58</f>
        <v>6708.0444108579222</v>
      </c>
    </row>
    <row r="31" spans="1:92">
      <c r="A31" s="1613" t="s">
        <v>971</v>
      </c>
      <c r="B31" s="1612" t="s">
        <v>962</v>
      </c>
      <c r="C31" s="1613">
        <v>77</v>
      </c>
      <c r="D31" s="1618">
        <v>1069.2</v>
      </c>
      <c r="E31" s="1618">
        <v>1343.2308100202438</v>
      </c>
      <c r="F31" s="1618">
        <v>1375.4623300195292</v>
      </c>
      <c r="G31" s="1618">
        <f>+'Insumos testigos '!FY100</f>
        <v>100</v>
      </c>
      <c r="H31" s="1618">
        <f>+'Insumos testigos '!FZ100</f>
        <v>100.10280609130859</v>
      </c>
      <c r="I31" s="1618">
        <f>+'Insumos testigos '!GA100</f>
        <v>100.86357046293415</v>
      </c>
      <c r="J31" s="1618">
        <f>+'Insumos testigos '!GB100</f>
        <v>99.969150504816398</v>
      </c>
      <c r="K31" s="1618">
        <f>+'Insumos testigos '!GC100</f>
        <v>100.67851297766633</v>
      </c>
      <c r="L31" s="1618">
        <f>+'Insumos testigos '!GD100</f>
        <v>101.45984307121213</v>
      </c>
      <c r="M31" s="1618">
        <f>+'Insumos testigos '!GE100</f>
        <v>101.76826444437869</v>
      </c>
      <c r="N31" s="1618">
        <f>+'Insumos testigos '!GF100</f>
        <v>103.99916689549772</v>
      </c>
      <c r="O31" s="1618">
        <f>+'Insumos testigos '!GG100</f>
        <v>105.14032253372315</v>
      </c>
      <c r="P31" s="1618">
        <f>+'Insumos testigos '!GH100</f>
        <v>104.57488331655803</v>
      </c>
      <c r="Q31" s="1618">
        <f>+'Insumos testigos '!GI100</f>
        <v>106.47680400151442</v>
      </c>
      <c r="R31" s="1618">
        <f>+'Insumos testigos '!GJ100</f>
        <v>107.29926119489885</v>
      </c>
      <c r="S31" s="1618">
        <f>+'Insumos testigos '!GK100</f>
        <v>107.29926119489885</v>
      </c>
      <c r="T31" s="1618">
        <f>+'Insumos testigos '!GL100</f>
        <v>107.66937076762824</v>
      </c>
      <c r="U31" s="1618">
        <f>+'Insumos testigos '!GM100</f>
        <v>106.20951560130578</v>
      </c>
      <c r="V31" s="1618">
        <f>+'Insumos testigos '!GN100</f>
        <v>106.31573008008216</v>
      </c>
      <c r="W31" s="1618">
        <f>+'Insumos testigos '!GO100</f>
        <v>106.76809683196142</v>
      </c>
      <c r="X31" s="1618">
        <f>+'Insumos testigos '!GP100</f>
        <v>108.59811803436986</v>
      </c>
      <c r="Y31" s="1618">
        <f>+'Insumos testigos '!GQ100</f>
        <v>109.6262170400332</v>
      </c>
      <c r="Z31" s="1618">
        <f>+'Insumos testigos '!GR100</f>
        <v>112.2375835434356</v>
      </c>
      <c r="AA31" s="1618">
        <f>+'Insumos testigos '!GS100</f>
        <v>113.2142794533534</v>
      </c>
      <c r="AB31" s="1618">
        <f>+'Insumos testigos '!GT100</f>
        <v>116.17520941566315</v>
      </c>
      <c r="AC31" s="1618">
        <f>+'Insumos testigos '!GU100</f>
        <v>117.38836849931484</v>
      </c>
      <c r="AD31" s="1618">
        <f>+'Insumos testigos '!GV100</f>
        <v>117.38836849931484</v>
      </c>
      <c r="AE31" s="1618">
        <f>+'Insumos testigos '!GW100</f>
        <v>118.00522849227413</v>
      </c>
      <c r="AF31" s="1618">
        <f>+'Insumos testigos '!GX100</f>
        <v>123.28965924631679</v>
      </c>
      <c r="AG31" s="1618">
        <f>+'Insumos testigos '!GY100</f>
        <v>123.28965924631679</v>
      </c>
      <c r="AH31" s="1618">
        <f>+'Insumos testigos '!GZ100</f>
        <v>122.3007312076151</v>
      </c>
      <c r="AI31" s="1618">
        <f>+'Insumos testigos '!HA100</f>
        <v>127.36814577136103</v>
      </c>
      <c r="AJ31" s="1618">
        <f>+'Insumos testigos '!HB100</f>
        <v>130.20103133873803</v>
      </c>
      <c r="AK31" s="1618">
        <f>+'Insumos testigos '!HC100</f>
        <v>130.54206253969232</v>
      </c>
      <c r="AL31" s="1618">
        <f>+'Insumos testigos '!HD100</f>
        <v>128.1253801292203</v>
      </c>
      <c r="AM31" s="1618">
        <f>+'Insumos testigos '!HE100</f>
        <v>137.21543058615435</v>
      </c>
      <c r="AN31" s="1618">
        <f>+'Insumos testigos '!HF100</f>
        <v>140.74138698918006</v>
      </c>
      <c r="AO31" s="1618">
        <f>+'Insumos testigos '!HG100</f>
        <v>139.26880056484427</v>
      </c>
      <c r="AP31" s="1618">
        <f>+'Insumos testigos '!HH100</f>
        <v>142.92979514546639</v>
      </c>
      <c r="AQ31" s="1618">
        <f>+'Insumos testigos '!HI100</f>
        <v>136.98584484531995</v>
      </c>
      <c r="AR31" s="1618">
        <f>+'Insumos testigos '!HJ100</f>
        <v>145.77790307836895</v>
      </c>
      <c r="AS31" s="1618">
        <f>+'Insumos testigos '!HK100</f>
        <v>146.15647317704443</v>
      </c>
      <c r="AT31" s="1618">
        <f>+'Insumos testigos '!HL100</f>
        <v>148.13583106977561</v>
      </c>
      <c r="AU31" s="1618">
        <f>+'Insumos testigos '!HM100</f>
        <v>151.34852731826982</v>
      </c>
      <c r="AV31" s="1618">
        <f>+'Insumos testigos '!HN100</f>
        <v>158.45509714996476</v>
      </c>
      <c r="AW31" s="1618">
        <f>+'Insumos testigos '!HO100</f>
        <v>161.66765785163631</v>
      </c>
      <c r="AX31" s="1618">
        <f>+'Insumos testigos '!HP100</f>
        <v>182.05656999443337</v>
      </c>
      <c r="AY31" s="1618">
        <f>+'Insumos testigos '!HQ100</f>
        <v>200.06064220802159</v>
      </c>
      <c r="AZ31" s="1618">
        <f>+'Insumos testigos '!HR100</f>
        <v>209.81893531892084</v>
      </c>
      <c r="BA31" s="1618">
        <f>+'Insumos testigos '!HS100</f>
        <v>226.48310949425959</v>
      </c>
      <c r="BB31" s="1618">
        <f>+'Insumos testigos '!HT100</f>
        <v>238.05611421559084</v>
      </c>
      <c r="BC31" s="1618">
        <f>+'Insumos testigos '!HU100</f>
        <v>229.77822512998591</v>
      </c>
      <c r="BD31" s="1618">
        <f>+'Insumos testigos '!HV100</f>
        <v>234.99334599085714</v>
      </c>
      <c r="BE31" s="1618">
        <f>+'Insumos testigos '!HW100</f>
        <v>246.68694807492841</v>
      </c>
      <c r="BF31" s="1618">
        <f>+'Insumos testigos '!HX100</f>
        <v>256.61850052989303</v>
      </c>
      <c r="BG31" s="1618">
        <f>+'Insumos testigos '!HY100</f>
        <v>269.43340692339581</v>
      </c>
      <c r="BH31" s="1618">
        <f>+'Insumos testigos '!HZ100</f>
        <v>269.43340692339581</v>
      </c>
      <c r="BI31" s="1618">
        <f>+'Insumos testigos '!IA100</f>
        <v>288.26273463640246</v>
      </c>
      <c r="BJ31" s="1618">
        <f>+'Insumos testigos '!IB100</f>
        <v>295.90981278808664</v>
      </c>
      <c r="BK31" s="1618">
        <f>+'Insumos testigos '!IC100</f>
        <v>311.88241713734175</v>
      </c>
      <c r="BL31" s="1618">
        <f>+'Insumos testigos '!ID100</f>
        <v>348.6648448989738</v>
      </c>
      <c r="BM31" s="1618">
        <f>+'Insumos testigos '!IE100</f>
        <v>371.91630068350389</v>
      </c>
      <c r="BN31" s="1618">
        <f>+'Insumos testigos '!IF100</f>
        <v>384.3266572704685</v>
      </c>
      <c r="BO31" s="1618">
        <f>+'Insumos testigos '!IG100</f>
        <v>441.33225355791939</v>
      </c>
      <c r="BP31" s="1618">
        <f>+'Insumos testigos '!IH100</f>
        <v>457.79648268239714</v>
      </c>
      <c r="BQ31" s="1618">
        <f>+'Insumos testigos '!II100</f>
        <v>457.79648268239714</v>
      </c>
      <c r="BR31" s="1618">
        <f>+'Insumos testigos '!IJ100</f>
        <v>513.88943637867771</v>
      </c>
      <c r="BS31" s="1618">
        <f>+'Insumos testigos '!IK100</f>
        <v>530.98246611870798</v>
      </c>
      <c r="BT31" s="1618">
        <f>+'Insumos testigos '!IL100</f>
        <v>527.63841452202007</v>
      </c>
      <c r="BU31" s="1618">
        <f>+'Insumos testigos '!IM100</f>
        <v>534.70554912137163</v>
      </c>
      <c r="BV31" s="1618">
        <f>+'Insumos testigos '!IN100</f>
        <v>542.10204031350349</v>
      </c>
      <c r="BW31" s="1618">
        <f>+'Insumos testigos '!IO100</f>
        <v>533.3904605256655</v>
      </c>
      <c r="BX31" s="1618">
        <f>+'Insumos testigos '!IP100</f>
        <v>541.43539727646601</v>
      </c>
      <c r="BY31" s="1618">
        <f>+'Insumos testigos '!IQ100</f>
        <v>544.56651817891589</v>
      </c>
      <c r="BZ31" s="1618">
        <f>+'Insumos testigos '!IR100</f>
        <v>558.72494132690213</v>
      </c>
      <c r="CA31" s="1618">
        <f>+'Insumos testigos '!IS100</f>
        <v>558.72494132690213</v>
      </c>
      <c r="CB31" s="1618">
        <f>+'Insumos testigos '!IT100</f>
        <v>565.70720816628034</v>
      </c>
      <c r="CC31" s="1618">
        <f>+'Insumos testigos '!IU100</f>
        <v>578.14607300850241</v>
      </c>
      <c r="CD31" s="1618">
        <f>+'Insumos testigos '!IV100</f>
        <v>613.55482554186881</v>
      </c>
      <c r="CE31" s="1618">
        <f>+'Insumos testigos '!IW100</f>
        <v>674.46432781501392</v>
      </c>
      <c r="CF31" s="1618">
        <f>+'Insumos testigos '!IX100</f>
        <v>687.94766583983278</v>
      </c>
      <c r="CG31" s="1618">
        <f>+'Insumos testigos '!IY100</f>
        <v>731.53258560242875</v>
      </c>
      <c r="CH31" s="1618">
        <f>+'Insumos testigos '!IZ100</f>
        <v>854.85277171427947</v>
      </c>
      <c r="CI31" s="1618">
        <f>+'Insumos testigos '!JA100</f>
        <v>873.51617409251946</v>
      </c>
      <c r="CJ31" s="1618">
        <f>+'Insumos testigos '!JB100</f>
        <v>926.26197958378236</v>
      </c>
      <c r="CK31" s="1618">
        <f>+'Insumos testigos '!JC100</f>
        <v>973.22524601567466</v>
      </c>
      <c r="CL31" s="1618">
        <f>+'Insumos testigos '!JD100</f>
        <v>1054.625509769028</v>
      </c>
      <c r="CM31" s="1618">
        <f>+'Insumos testigos '!JE100</f>
        <v>1111.3879745395636</v>
      </c>
      <c r="CN31" s="1618">
        <f>+'Insumos testigos '!JF100</f>
        <v>1153.9096051156271</v>
      </c>
    </row>
    <row r="32" spans="1:92">
      <c r="A32" s="1613" t="s">
        <v>972</v>
      </c>
      <c r="B32" s="1874" t="s">
        <v>16</v>
      </c>
      <c r="C32" s="1613">
        <v>29</v>
      </c>
      <c r="D32" s="1618">
        <v>1369.1</v>
      </c>
      <c r="E32" s="1618">
        <v>1150.0378999102029</v>
      </c>
      <c r="F32" s="1618">
        <v>1218.9224804166565</v>
      </c>
      <c r="G32" s="1618">
        <f>+'Insumos testigos '!FY115</f>
        <v>100</v>
      </c>
      <c r="H32" s="1618">
        <f>+'Insumos testigos '!FZ115</f>
        <v>101.09763145446777</v>
      </c>
      <c r="I32" s="1618">
        <f>+'Insumos testigos '!GA115</f>
        <v>104.23370866348591</v>
      </c>
      <c r="J32" s="1618">
        <f>+'Insumos testigos '!GB115</f>
        <v>105.17452738873384</v>
      </c>
      <c r="K32" s="1618">
        <f>+'Insumos testigos '!GC115</f>
        <v>105.17452738873384</v>
      </c>
      <c r="L32" s="1618">
        <f>+'Insumos testigos '!GD115</f>
        <v>107.3697799473253</v>
      </c>
      <c r="M32" s="1618">
        <f>+'Insumos testigos '!GE115</f>
        <v>107.3697799473253</v>
      </c>
      <c r="N32" s="1618">
        <f>+'Insumos testigos '!GF115</f>
        <v>108.62420531247737</v>
      </c>
      <c r="O32" s="1618">
        <f>+'Insumos testigos '!GG115</f>
        <v>108.62420531247737</v>
      </c>
      <c r="P32" s="1618">
        <f>+'Insumos testigos '!GH115</f>
        <v>110.97626427779777</v>
      </c>
      <c r="Q32" s="1618">
        <f>+'Insumos testigos '!GI115</f>
        <v>112.54430556379593</v>
      </c>
      <c r="R32" s="1618">
        <f>+'Insumos testigos '!GJ115</f>
        <v>113.48512547428182</v>
      </c>
      <c r="S32" s="1618">
        <f>+'Insumos testigos '!GK115</f>
        <v>115.2099662395905</v>
      </c>
      <c r="T32" s="1618">
        <f>+'Insumos testigos '!GL115</f>
        <v>115.2099662395905</v>
      </c>
      <c r="U32" s="1618">
        <f>+'Insumos testigos '!GM115</f>
        <v>115.2099662395905</v>
      </c>
      <c r="V32" s="1618">
        <f>+'Insumos testigos '!GN115</f>
        <v>118.34367543149544</v>
      </c>
      <c r="W32" s="1618">
        <f>+'Insumos testigos '!GO115</f>
        <v>118.34367543149544</v>
      </c>
      <c r="X32" s="1618">
        <f>+'Insumos testigos '!GP115</f>
        <v>118.34367543149544</v>
      </c>
      <c r="Y32" s="1618">
        <f>+'Insumos testigos '!GQ115</f>
        <v>118.34367543149544</v>
      </c>
      <c r="Z32" s="1618">
        <f>+'Insumos testigos '!GR115</f>
        <v>122.4204944916444</v>
      </c>
      <c r="AA32" s="1618">
        <f>+'Insumos testigos '!GS115</f>
        <v>130.26052979807309</v>
      </c>
      <c r="AB32" s="1618">
        <f>+'Insumos testigos '!GT115</f>
        <v>135.90534924030544</v>
      </c>
      <c r="AC32" s="1618">
        <f>+'Insumos testigos '!GU115</f>
        <v>140.60936189078603</v>
      </c>
      <c r="AD32" s="1618">
        <f>+'Insumos testigos '!GV115</f>
        <v>140.60936189078603</v>
      </c>
      <c r="AE32" s="1618">
        <f>+'Insumos testigos '!GW115</f>
        <v>140.60936189078603</v>
      </c>
      <c r="AF32" s="1618">
        <f>+'Insumos testigos '!GX115</f>
        <v>140.60936189078603</v>
      </c>
      <c r="AG32" s="1618">
        <f>+'Insumos testigos '!GY115</f>
        <v>142.35141377495412</v>
      </c>
      <c r="AH32" s="1618">
        <f>+'Insumos testigos '!GZ115</f>
        <v>153.31054122239109</v>
      </c>
      <c r="AI32" s="1618">
        <f>+'Insumos testigos '!HA115</f>
        <v>155.68986240901236</v>
      </c>
      <c r="AJ32" s="1618">
        <f>+'Insumos testigos '!HB115</f>
        <v>177.19002430356289</v>
      </c>
      <c r="AK32" s="1618">
        <f>+'Insumos testigos '!HC115</f>
        <v>189.0740760405937</v>
      </c>
      <c r="AL32" s="1618">
        <f>+'Insumos testigos '!HD115</f>
        <v>189.07408338171606</v>
      </c>
      <c r="AM32" s="1618">
        <f>+'Insumos testigos '!HE115</f>
        <v>210.65112636891746</v>
      </c>
      <c r="AN32" s="1618">
        <f>+'Insumos testigos '!HF115</f>
        <v>230.57209441888315</v>
      </c>
      <c r="AO32" s="1618">
        <f>+'Insumos testigos '!HG115</f>
        <v>230.57209441888315</v>
      </c>
      <c r="AP32" s="1618">
        <f>+'Insumos testigos '!HH115</f>
        <v>242.1021764084999</v>
      </c>
      <c r="AQ32" s="1618">
        <f>+'Insumos testigos '!HI115</f>
        <v>237.81418403063037</v>
      </c>
      <c r="AR32" s="1618">
        <f>+'Insumos testigos '!HJ115</f>
        <v>261.47655504960477</v>
      </c>
      <c r="AS32" s="1618">
        <f>+'Insumos testigos '!HK115</f>
        <v>274.96771120209354</v>
      </c>
      <c r="AT32" s="1618">
        <f>+'Insumos testigos '!HL115</f>
        <v>275.96486755609629</v>
      </c>
      <c r="AU32" s="1618">
        <f>+'Insumos testigos '!HM115</f>
        <v>296.41765232819677</v>
      </c>
      <c r="AV32" s="1618">
        <f>+'Insumos testigos '!HN115</f>
        <v>299.14690620081905</v>
      </c>
      <c r="AW32" s="1618">
        <f>+'Insumos testigos '!HO115</f>
        <v>301.54746779378854</v>
      </c>
      <c r="AX32" s="1618">
        <f>+'Insumos testigos '!HP115</f>
        <v>342.11307833182445</v>
      </c>
      <c r="AY32" s="1618">
        <f>+'Insumos testigos '!HQ115</f>
        <v>375.75437620110921</v>
      </c>
      <c r="AZ32" s="1618">
        <f>+'Insumos testigos '!HR115</f>
        <v>375.75437620110921</v>
      </c>
      <c r="BA32" s="1618">
        <f>+'Insumos testigos '!HS115</f>
        <v>375.75437620110921</v>
      </c>
      <c r="BB32" s="1618">
        <f>+'Insumos testigos '!HT115</f>
        <v>375.75437620110921</v>
      </c>
      <c r="BC32" s="1618">
        <f>+'Insumos testigos '!HU115</f>
        <v>397.88910466179971</v>
      </c>
      <c r="BD32" s="1618">
        <f>+'Insumos testigos '!HV115</f>
        <v>402.28492932769859</v>
      </c>
      <c r="BE32" s="1618">
        <f>+'Insumos testigos '!HW115</f>
        <v>402.28492932769859</v>
      </c>
      <c r="BF32" s="1618">
        <f>+'Insumos testigos '!HX115</f>
        <v>402.28492932769859</v>
      </c>
      <c r="BG32" s="1618">
        <f>+'Insumos testigos '!HY115</f>
        <v>402.28492932769859</v>
      </c>
      <c r="BH32" s="1618">
        <f>+'Insumos testigos '!HZ115</f>
        <v>402.28492932769859</v>
      </c>
      <c r="BI32" s="1618">
        <f>+'Insumos testigos '!IA115</f>
        <v>402.28492932769859</v>
      </c>
      <c r="BJ32" s="1618">
        <f>+'Insumos testigos '!IB115</f>
        <v>402.28492932769859</v>
      </c>
      <c r="BK32" s="1618">
        <f>+'Insumos testigos '!IC115</f>
        <v>402.28492932769859</v>
      </c>
      <c r="BL32" s="1618">
        <f>+'Insumos testigos '!ID115</f>
        <v>460.32634093925304</v>
      </c>
      <c r="BM32" s="1618">
        <f>+'Insumos testigos '!IE115</f>
        <v>472.22155443465726</v>
      </c>
      <c r="BN32" s="1618">
        <f>+'Insumos testigos '!IF115</f>
        <v>489.29310430788513</v>
      </c>
      <c r="BO32" s="1618">
        <f>+'Insumos testigos '!IG115</f>
        <v>489.29310430788513</v>
      </c>
      <c r="BP32" s="1618">
        <f>+'Insumos testigos '!IH115</f>
        <v>512.94026166546678</v>
      </c>
      <c r="BQ32" s="1618">
        <f>+'Insumos testigos '!II115</f>
        <v>531.83993879931791</v>
      </c>
      <c r="BR32" s="1618">
        <f>+'Insumos testigos '!IJ115</f>
        <v>546.29752984630852</v>
      </c>
      <c r="BS32" s="1618">
        <f>+'Insumos testigos '!IK115</f>
        <v>573.28475857045532</v>
      </c>
      <c r="BT32" s="1618">
        <f>+'Insumos testigos '!IL115</f>
        <v>586.72958088682014</v>
      </c>
      <c r="BU32" s="1618">
        <f>+'Insumos testigos '!IM115</f>
        <v>610.19236401233115</v>
      </c>
      <c r="BV32" s="1618">
        <f>+'Insumos testigos '!IN115</f>
        <v>622.02076735886135</v>
      </c>
      <c r="BW32" s="1618">
        <f>+'Insumos testigos '!IO115</f>
        <v>637.76411298071412</v>
      </c>
      <c r="BX32" s="1618">
        <f>+'Insumos testigos '!IP115</f>
        <v>685.15833699879329</v>
      </c>
      <c r="BY32" s="1618">
        <f>+'Insumos testigos '!IQ115</f>
        <v>737.34068110295834</v>
      </c>
      <c r="BZ32" s="1618">
        <f>+'Insumos testigos '!IR115</f>
        <v>773.06824920995507</v>
      </c>
      <c r="CA32" s="1618">
        <f>+'Insumos testigos '!IS115</f>
        <v>786.64512075483094</v>
      </c>
      <c r="CB32" s="1618">
        <f>+'Insumos testigos '!IT115</f>
        <v>820.54120650437767</v>
      </c>
      <c r="CC32" s="1618">
        <f>+'Insumos testigos '!IU115</f>
        <v>849.70303024193606</v>
      </c>
      <c r="CD32" s="1618">
        <f>+'Insumos testigos '!IV115</f>
        <v>903.18805680424873</v>
      </c>
      <c r="CE32" s="1618">
        <f>+'Insumos testigos '!IW115</f>
        <v>932.66946617632402</v>
      </c>
      <c r="CF32" s="1618">
        <f>+'Insumos testigos '!IX115</f>
        <v>991.76298250543277</v>
      </c>
      <c r="CG32" s="1618">
        <f>+'Insumos testigos '!IY115</f>
        <v>1136.1252661308431</v>
      </c>
      <c r="CH32" s="1618">
        <f>+'Insumos testigos '!IZ115</f>
        <v>1194.6094076769257</v>
      </c>
      <c r="CI32" s="1618">
        <f>+'Insumos testigos '!JA115</f>
        <v>1298.1930968902625</v>
      </c>
      <c r="CJ32" s="1618">
        <f>+'Insumos testigos '!JB115</f>
        <v>1315.1948387500222</v>
      </c>
      <c r="CK32" s="1618">
        <f>+'Insumos testigos '!JC115</f>
        <v>1366.1677656991853</v>
      </c>
      <c r="CL32" s="1618">
        <f>+'Insumos testigos '!JD115</f>
        <v>1435.6735239613663</v>
      </c>
      <c r="CM32" s="1618">
        <f>+'Insumos testigos '!JE115</f>
        <v>1447.9093778587644</v>
      </c>
      <c r="CN32" s="1618">
        <f>+'Insumos testigos '!JF115</f>
        <v>1595.3602084774718</v>
      </c>
    </row>
    <row r="34" spans="1:92">
      <c r="A34" s="1612"/>
      <c r="B34" s="1614" t="s">
        <v>1018</v>
      </c>
      <c r="C34" s="1612"/>
      <c r="D34" s="1619">
        <v>1013</v>
      </c>
      <c r="E34" s="1619">
        <f t="shared" ref="E34:AO34" si="0">SUMPRODUCT(E23:E32/D23:D32*$C$10:$C$19)*D34</f>
        <v>1067.1781316665499</v>
      </c>
      <c r="F34" s="1619">
        <f t="shared" si="0"/>
        <v>1145.4847250602306</v>
      </c>
      <c r="G34" s="1619">
        <v>100</v>
      </c>
      <c r="H34" s="1619">
        <f t="shared" si="0"/>
        <v>102.83335512853738</v>
      </c>
      <c r="I34" s="1619">
        <f t="shared" si="0"/>
        <v>104.87079525743906</v>
      </c>
      <c r="J34" s="1619">
        <f t="shared" si="0"/>
        <v>105.1514934704043</v>
      </c>
      <c r="K34" s="1619">
        <f t="shared" si="0"/>
        <v>105.99855974943954</v>
      </c>
      <c r="L34" s="1619">
        <f t="shared" si="0"/>
        <v>107.09525271464388</v>
      </c>
      <c r="M34" s="1619">
        <f t="shared" si="0"/>
        <v>108.20694165428871</v>
      </c>
      <c r="N34" s="1619">
        <f t="shared" si="0"/>
        <v>108.48396253486349</v>
      </c>
      <c r="O34" s="1619">
        <f t="shared" si="0"/>
        <v>109.29427076107181</v>
      </c>
      <c r="P34" s="1619">
        <f t="shared" si="0"/>
        <v>109.57046408130229</v>
      </c>
      <c r="Q34" s="1619">
        <f t="shared" si="0"/>
        <v>110.14643681290771</v>
      </c>
      <c r="R34" s="1619">
        <f t="shared" si="0"/>
        <v>111.37493304671573</v>
      </c>
      <c r="S34" s="1619">
        <f t="shared" si="0"/>
        <v>112.39228628689699</v>
      </c>
      <c r="T34" s="1619">
        <f t="shared" si="0"/>
        <v>114.48264560211234</v>
      </c>
      <c r="U34" s="1619">
        <f t="shared" si="0"/>
        <v>114.8651610831882</v>
      </c>
      <c r="V34" s="1619">
        <f t="shared" si="0"/>
        <v>115.7882228479468</v>
      </c>
      <c r="W34" s="1619">
        <f t="shared" si="0"/>
        <v>116.8888481828362</v>
      </c>
      <c r="X34" s="1619">
        <f t="shared" si="0"/>
        <v>117.276884798219</v>
      </c>
      <c r="Y34" s="1619">
        <f t="shared" si="0"/>
        <v>118.06418313730168</v>
      </c>
      <c r="Z34" s="1619">
        <f t="shared" si="0"/>
        <v>120.78620764830472</v>
      </c>
      <c r="AA34" s="1619">
        <f t="shared" si="0"/>
        <v>123.66640512587074</v>
      </c>
      <c r="AB34" s="1619">
        <f t="shared" si="0"/>
        <v>126.11143032792934</v>
      </c>
      <c r="AC34" s="1619">
        <f t="shared" si="0"/>
        <v>128.21153850980963</v>
      </c>
      <c r="AD34" s="1619">
        <f t="shared" si="0"/>
        <v>128.78460433691595</v>
      </c>
      <c r="AE34" s="1619">
        <f t="shared" si="0"/>
        <v>131.79190026754171</v>
      </c>
      <c r="AF34" s="1619">
        <f t="shared" si="0"/>
        <v>135.26913835829541</v>
      </c>
      <c r="AG34" s="1619">
        <f t="shared" si="0"/>
        <v>137.36041540168674</v>
      </c>
      <c r="AH34" s="1619">
        <f t="shared" si="0"/>
        <v>144.64236241606403</v>
      </c>
      <c r="AI34" s="1619">
        <f t="shared" si="0"/>
        <v>152.75628350377818</v>
      </c>
      <c r="AJ34" s="1619">
        <f t="shared" si="0"/>
        <v>166.33454824226791</v>
      </c>
      <c r="AK34" s="1619">
        <f t="shared" si="0"/>
        <v>175.86887372332319</v>
      </c>
      <c r="AL34" s="1619">
        <f t="shared" si="0"/>
        <v>178.79229037229203</v>
      </c>
      <c r="AM34" s="1619">
        <f t="shared" si="0"/>
        <v>203.81340736213824</v>
      </c>
      <c r="AN34" s="1619">
        <f t="shared" si="0"/>
        <v>216.72663059339811</v>
      </c>
      <c r="AO34" s="1619">
        <f t="shared" si="0"/>
        <v>216.65064265300919</v>
      </c>
      <c r="AP34" s="1619">
        <f t="shared" ref="AP34" si="1">SUMPRODUCT(AP23:AP32/AO23:AO32*$C$10:$C$19)*AO34</f>
        <v>219.04938162594701</v>
      </c>
      <c r="AQ34" s="1619">
        <f t="shared" ref="AQ34" si="2">SUMPRODUCT(AQ23:AQ32/AP23:AP32*$C$10:$C$19)*AP34</f>
        <v>222.28034758237018</v>
      </c>
      <c r="AR34" s="1619">
        <f t="shared" ref="AR34" si="3">SUMPRODUCT(AR23:AR32/AQ23:AQ32*$C$10:$C$19)*AQ34</f>
        <v>232.55548385541275</v>
      </c>
      <c r="AS34" s="1619">
        <f t="shared" ref="AS34" si="4">SUMPRODUCT(AS23:AS32/AR23:AR32*$C$10:$C$19)*AR34</f>
        <v>245.08045089847343</v>
      </c>
      <c r="AT34" s="1619">
        <f t="shared" ref="AT34" si="5">SUMPRODUCT(AT23:AT32/AS23:AS32*$C$10:$C$19)*AS34</f>
        <v>255.39073636847147</v>
      </c>
      <c r="AU34" s="1619">
        <f t="shared" ref="AU34" si="6">SUMPRODUCT(AU23:AU32/AT23:AT32*$C$10:$C$19)*AT34</f>
        <v>268.48952136059722</v>
      </c>
      <c r="AV34" s="1619">
        <f t="shared" ref="AV34" si="7">SUMPRODUCT(AV23:AV32/AU23:AU32*$C$10:$C$19)*AU34</f>
        <v>272.96183228221423</v>
      </c>
      <c r="AW34" s="1619">
        <f t="shared" ref="AW34" si="8">SUMPRODUCT(AW23:AW32/AV23:AV32*$C$10:$C$19)*AV34</f>
        <v>275.32482148874118</v>
      </c>
      <c r="AX34" s="1619">
        <f t="shared" ref="AX34" si="9">SUMPRODUCT(AX23:AX32/AW23:AW32*$C$10:$C$19)*AW34</f>
        <v>313.92604338517464</v>
      </c>
      <c r="AY34" s="1619">
        <f t="shared" ref="AY34" si="10">SUMPRODUCT(AY23:AY32/AX23:AX32*$C$10:$C$19)*AX34</f>
        <v>341.09289474955563</v>
      </c>
      <c r="AZ34" s="1619">
        <f t="shared" ref="AZ34" si="11">SUMPRODUCT(AZ23:AZ32/AY23:AY32*$C$10:$C$19)*AY34</f>
        <v>344.8883295083408</v>
      </c>
      <c r="BA34" s="1619">
        <f t="shared" ref="BA34" si="12">SUMPRODUCT(BA23:BA32/AZ23:AZ32*$C$10:$C$19)*AZ34</f>
        <v>364.04567015749348</v>
      </c>
      <c r="BB34" s="1619">
        <f t="shared" ref="BB34" si="13">SUMPRODUCT(BB23:BB32/BA23:BA32*$C$10:$C$19)*BA34</f>
        <v>371.75703256199523</v>
      </c>
      <c r="BC34" s="1619">
        <f t="shared" ref="BC34" si="14">SUMPRODUCT(BC23:BC32/BB23:BB32*$C$10:$C$19)*BB34</f>
        <v>377.8522417683813</v>
      </c>
      <c r="BD34" s="1619">
        <f t="shared" ref="BD34" si="15">SUMPRODUCT(BD23:BD32/BC23:BC32*$C$10:$C$19)*BC34</f>
        <v>382.07407095259703</v>
      </c>
      <c r="BE34" s="1619">
        <f t="shared" ref="BE34" si="16">SUMPRODUCT(BE23:BE32/BD23:BD32*$C$10:$C$19)*BD34</f>
        <v>391.67638445705228</v>
      </c>
      <c r="BF34" s="1619">
        <f t="shared" ref="BF34" si="17">SUMPRODUCT(BF23:BF32/BE23:BE32*$C$10:$C$19)*BE34</f>
        <v>398.86454315838267</v>
      </c>
      <c r="BG34" s="1619">
        <f t="shared" ref="BG34" si="18">SUMPRODUCT(BG23:BG32/BF23:BF32*$C$10:$C$19)*BF34</f>
        <v>410.27542656289916</v>
      </c>
      <c r="BH34" s="1619">
        <f t="shared" ref="BH34" si="19">SUMPRODUCT(BH23:BH32/BG23:BG32*$C$10:$C$19)*BG34</f>
        <v>412.97666933815373</v>
      </c>
      <c r="BI34" s="1619">
        <f t="shared" ref="BI34" si="20">SUMPRODUCT(BI23:BI32/BH23:BH32*$C$10:$C$19)*BH34</f>
        <v>423.84737982782917</v>
      </c>
      <c r="BJ34" s="1619">
        <f t="shared" ref="BJ34" si="21">SUMPRODUCT(BJ23:BJ32/BI23:BI32*$C$10:$C$19)*BI34</f>
        <v>440.03113637372184</v>
      </c>
      <c r="BK34" s="1619">
        <f t="shared" ref="BK34" si="22">SUMPRODUCT(BK23:BK32/BJ23:BJ32*$C$10:$C$19)*BJ34</f>
        <v>457.58217919070319</v>
      </c>
      <c r="BL34" s="1619">
        <f t="shared" ref="BL34" si="23">SUMPRODUCT(BL23:BL32/BK23:BK32*$C$10:$C$19)*BK34</f>
        <v>517.48817164770946</v>
      </c>
      <c r="BM34" s="1619">
        <f t="shared" ref="BM34" si="24">SUMPRODUCT(BM23:BM32/BL23:BL32*$C$10:$C$19)*BL34</f>
        <v>542.94629418008537</v>
      </c>
      <c r="BN34" s="1619">
        <f t="shared" ref="BN34" si="25">SUMPRODUCT(BN23:BN32/BM23:BM32*$C$10:$C$19)*BM34</f>
        <v>561.26000848842182</v>
      </c>
      <c r="BO34" s="1619">
        <f t="shared" ref="BO34" si="26">SUMPRODUCT(BO23:BO32/BN23:BN32*$C$10:$C$19)*BN34</f>
        <v>586.03509436905199</v>
      </c>
      <c r="BP34" s="1619">
        <f t="shared" ref="BP34" si="27">SUMPRODUCT(BP23:BP32/BO23:BO32*$C$10:$C$19)*BO34</f>
        <v>614.01706946535398</v>
      </c>
      <c r="BQ34" s="1619">
        <f t="shared" ref="BQ34" si="28">SUMPRODUCT(BQ23:BQ32/BP23:BP32*$C$10:$C$19)*BP34</f>
        <v>632.59548990667247</v>
      </c>
      <c r="BR34" s="1619">
        <f t="shared" ref="BR34" si="29">SUMPRODUCT(BR23:BR32/BQ23:BQ32*$C$10:$C$19)*BQ34</f>
        <v>658.72400953852559</v>
      </c>
      <c r="BS34" s="1619">
        <f t="shared" ref="BS34" si="30">SUMPRODUCT(BS23:BS32/BR23:BR32*$C$10:$C$19)*BR34</f>
        <v>690.01017284034856</v>
      </c>
      <c r="BT34" s="1619">
        <f t="shared" ref="BT34" si="31">SUMPRODUCT(BT23:BT32/BS23:BS32*$C$10:$C$19)*BS34</f>
        <v>705.13446503863406</v>
      </c>
      <c r="BU34" s="1619">
        <f t="shared" ref="BU34" si="32">SUMPRODUCT(BU23:BU32/BT23:BT32*$C$10:$C$19)*BT34</f>
        <v>718.8307913796865</v>
      </c>
      <c r="BV34" s="1619">
        <f t="shared" ref="BV34" si="33">SUMPRODUCT(BV23:BV32/BU23:BU32*$C$10:$C$19)*BU34</f>
        <v>733.14292663750859</v>
      </c>
      <c r="BW34" s="1619">
        <f t="shared" ref="BW34" si="34">SUMPRODUCT(BW23:BW32/BV23:BV32*$C$10:$C$19)*BV34</f>
        <v>747.62588991609891</v>
      </c>
      <c r="BX34" s="1619">
        <f t="shared" ref="BX34" si="35">SUMPRODUCT(BX23:BX32/BW23:BW32*$C$10:$C$19)*BW34</f>
        <v>778.68227901615023</v>
      </c>
      <c r="BY34" s="1619">
        <f t="shared" ref="BY34" si="36">SUMPRODUCT(BY23:BY32/BX23:BX32*$C$10:$C$19)*BX34</f>
        <v>811.15042998963361</v>
      </c>
      <c r="BZ34" s="1619">
        <f t="shared" ref="BZ34" si="37">SUMPRODUCT(BZ23:BZ32/BY23:BY32*$C$10:$C$19)*BY34</f>
        <v>833.9495520574194</v>
      </c>
      <c r="CA34" s="1619">
        <f t="shared" ref="CA34" si="38">SUMPRODUCT(CA23:CA32/BZ23:BZ32*$C$10:$C$19)*BZ34</f>
        <v>864.20725393590953</v>
      </c>
      <c r="CB34" s="1619">
        <f t="shared" ref="CB34" si="39">SUMPRODUCT(CB23:CB32/CA23:CA32*$C$10:$C$19)*CA34</f>
        <v>895.59242995314094</v>
      </c>
      <c r="CC34" s="1619">
        <f t="shared" ref="CC34" si="40">SUMPRODUCT(CC23:CC32/CB23:CB32*$C$10:$C$19)*CB34</f>
        <v>929.47142354097525</v>
      </c>
      <c r="CD34" s="1619">
        <f t="shared" ref="CD34" si="41">SUMPRODUCT(CD23:CD32/CC23:CC32*$C$10:$C$19)*CC34</f>
        <v>985.73794762360569</v>
      </c>
      <c r="CE34" s="1619">
        <f>SUMPRODUCT((CE23:CE32/CD23:CD32)*$C$10:$C$19)*CD34</f>
        <v>1032.9529085055544</v>
      </c>
      <c r="CF34" s="1619">
        <f t="shared" ref="CF34:CN34" si="42">SUMPRODUCT((CF23:CF32/CE23:CE32)*$C$10:$C$19)*CE34</f>
        <v>1092.739394346775</v>
      </c>
      <c r="CG34" s="1619">
        <f t="shared" si="42"/>
        <v>1242.2110617621754</v>
      </c>
      <c r="CH34" s="1619">
        <f t="shared" si="42"/>
        <v>1376.060424295986</v>
      </c>
      <c r="CI34" s="1619">
        <f t="shared" si="42"/>
        <v>1511.2066520727187</v>
      </c>
      <c r="CJ34" s="1619">
        <f t="shared" si="42"/>
        <v>1550.2754866620116</v>
      </c>
      <c r="CK34" s="1619">
        <f t="shared" si="42"/>
        <v>1642.7508753805796</v>
      </c>
      <c r="CL34" s="1619">
        <f t="shared" si="42"/>
        <v>1744.4214484208364</v>
      </c>
      <c r="CM34" s="1619">
        <f t="shared" si="42"/>
        <v>1825.9790590067887</v>
      </c>
      <c r="CN34" s="1619">
        <f t="shared" si="42"/>
        <v>1956.0161797435794</v>
      </c>
    </row>
  </sheetData>
  <printOptions horizontalCentered="1"/>
  <pageMargins left="0" right="0" top="0.39370078740157483" bottom="0" header="0.31496062992125984" footer="0.31496062992125984"/>
  <pageSetup paperSize="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92D050"/>
  </sheetPr>
  <dimension ref="B3:X294"/>
  <sheetViews>
    <sheetView showGridLines="0" showZeros="0" view="pageBreakPreview" topLeftCell="A205" zoomScale="70" zoomScaleNormal="75" zoomScaleSheetLayoutView="70" workbookViewId="0">
      <selection activeCell="I298" sqref="I298"/>
    </sheetView>
  </sheetViews>
  <sheetFormatPr baseColWidth="10" defaultColWidth="11.42578125" defaultRowHeight="15.75"/>
  <cols>
    <col min="1" max="1" width="5.28515625" style="2" customWidth="1"/>
    <col min="2" max="2" width="48.42578125" style="132" customWidth="1"/>
    <col min="3" max="3" width="7.140625" style="132" customWidth="1"/>
    <col min="4" max="4" width="16" style="132" customWidth="1"/>
    <col min="5" max="5" width="14.140625" style="132" customWidth="1"/>
    <col min="6" max="6" width="12.28515625" style="132" customWidth="1"/>
    <col min="7" max="13" width="12.7109375" style="132" customWidth="1"/>
    <col min="14" max="14" width="12" style="132" customWidth="1"/>
    <col min="15" max="15" width="12.28515625" style="132" customWidth="1"/>
    <col min="16" max="16" width="12" style="132" customWidth="1"/>
    <col min="17" max="17" width="9.28515625" style="2" customWidth="1"/>
    <col min="18" max="18" width="4.5703125" style="2" customWidth="1"/>
    <col min="19" max="19" width="2.7109375" style="2" bestFit="1" customWidth="1"/>
    <col min="20" max="20" width="13.5703125" style="2" bestFit="1" customWidth="1"/>
    <col min="21" max="25" width="2.7109375" style="2" bestFit="1" customWidth="1"/>
    <col min="26" max="26" width="6.140625" style="2" bestFit="1" customWidth="1"/>
    <col min="27" max="36" width="2.7109375" style="2" bestFit="1" customWidth="1"/>
    <col min="37" max="16384" width="11.42578125" style="2"/>
  </cols>
  <sheetData>
    <row r="3" spans="2:18" ht="18" customHeight="1">
      <c r="B3" s="132" t="s">
        <v>591</v>
      </c>
      <c r="D3" s="2691" t="s">
        <v>592</v>
      </c>
      <c r="E3" s="2691"/>
      <c r="F3" s="2691"/>
      <c r="G3" s="2691"/>
      <c r="H3" s="2691"/>
      <c r="I3" s="2691"/>
      <c r="J3" s="2691"/>
      <c r="K3" s="2691"/>
      <c r="L3" s="2691"/>
      <c r="M3" s="2691"/>
      <c r="N3" s="2691"/>
      <c r="O3" s="2691"/>
      <c r="Q3" s="119"/>
    </row>
    <row r="4" spans="2:18" ht="15.75" customHeight="1">
      <c r="B4" s="132" t="s">
        <v>593</v>
      </c>
      <c r="D4" s="2691" t="s">
        <v>594</v>
      </c>
      <c r="E4" s="2691"/>
      <c r="F4" s="2691"/>
      <c r="G4" s="2691"/>
      <c r="H4" s="2691"/>
      <c r="I4" s="2691"/>
      <c r="J4" s="2691"/>
      <c r="K4" s="2691"/>
      <c r="L4" s="2691"/>
      <c r="M4" s="2691"/>
      <c r="N4" s="2691"/>
      <c r="O4" s="2691"/>
      <c r="Q4" s="119"/>
    </row>
    <row r="5" spans="2:18" ht="16.5" customHeight="1">
      <c r="B5" s="132" t="s">
        <v>595</v>
      </c>
      <c r="Q5" s="119"/>
    </row>
    <row r="6" spans="2:18" ht="16.5" customHeight="1">
      <c r="D6" s="2690" t="s">
        <v>734</v>
      </c>
      <c r="E6" s="2690"/>
      <c r="F6" s="2690"/>
      <c r="G6" s="2690"/>
      <c r="H6" s="2690"/>
      <c r="I6" s="2690"/>
      <c r="J6" s="2690"/>
      <c r="K6" s="2690"/>
      <c r="L6" s="2690"/>
      <c r="M6" s="2690"/>
      <c r="N6" s="2690"/>
      <c r="O6" s="2690"/>
      <c r="Q6" s="119"/>
    </row>
    <row r="7" spans="2:18">
      <c r="Q7" s="119"/>
    </row>
    <row r="8" spans="2:18" ht="15.75" customHeight="1">
      <c r="B8" s="3" t="s">
        <v>736</v>
      </c>
      <c r="C8" s="3"/>
      <c r="D8" s="3"/>
      <c r="Q8" s="119"/>
    </row>
    <row r="9" spans="2:18" ht="34.5" customHeight="1">
      <c r="B9" s="2873" t="s">
        <v>780</v>
      </c>
      <c r="C9" s="2874"/>
      <c r="D9" s="2874"/>
      <c r="E9" s="2874"/>
      <c r="F9" s="2874"/>
      <c r="G9" s="2874"/>
      <c r="H9" s="2874"/>
      <c r="I9" s="2874"/>
      <c r="J9" s="2874"/>
      <c r="K9" s="2874"/>
      <c r="L9" s="2874"/>
      <c r="M9" s="2874"/>
      <c r="N9" s="2874"/>
      <c r="Q9" s="119"/>
    </row>
    <row r="10" spans="2:18" ht="8.25" customHeight="1" thickBot="1">
      <c r="Q10" s="119"/>
    </row>
    <row r="11" spans="2:18" ht="21" customHeight="1" thickBot="1">
      <c r="B11" s="365" t="s">
        <v>655</v>
      </c>
      <c r="C11" s="2670" t="s">
        <v>831</v>
      </c>
      <c r="D11" s="2765"/>
      <c r="E11" s="559" t="s">
        <v>781</v>
      </c>
      <c r="F11" s="560"/>
      <c r="G11" s="120"/>
      <c r="H11" s="120"/>
      <c r="I11" s="120"/>
      <c r="K11" s="120"/>
      <c r="Q11" s="119"/>
    </row>
    <row r="12" spans="2:18" ht="18.75" customHeight="1">
      <c r="B12" s="366" t="s">
        <v>782</v>
      </c>
      <c r="C12" s="2659">
        <v>98</v>
      </c>
      <c r="D12" s="2660"/>
      <c r="E12" s="561">
        <v>0.8</v>
      </c>
      <c r="F12" s="358"/>
      <c r="G12" s="120"/>
      <c r="H12" s="120"/>
      <c r="I12" s="120"/>
      <c r="J12" s="2653"/>
      <c r="K12" s="2653"/>
      <c r="L12" s="2653"/>
      <c r="M12" s="2653"/>
      <c r="N12" s="2653"/>
      <c r="O12" s="2653"/>
      <c r="P12" s="122"/>
      <c r="Q12" s="122"/>
      <c r="R12" s="9"/>
    </row>
    <row r="13" spans="2:18" ht="16.5" thickBot="1">
      <c r="B13" s="369" t="s">
        <v>783</v>
      </c>
      <c r="C13" s="2642">
        <v>1</v>
      </c>
      <c r="D13" s="2643"/>
      <c r="E13" s="562">
        <v>0.2</v>
      </c>
      <c r="F13" s="358"/>
      <c r="G13" s="120"/>
      <c r="H13" s="123"/>
      <c r="I13" s="124"/>
      <c r="J13" s="2653"/>
      <c r="K13" s="2653"/>
      <c r="L13" s="2653"/>
      <c r="M13" s="2653"/>
      <c r="N13" s="2653"/>
      <c r="O13" s="2653"/>
      <c r="P13" s="122"/>
      <c r="Q13" s="122"/>
      <c r="R13" s="9"/>
    </row>
    <row r="14" spans="2:18" ht="11.25" customHeight="1" thickBot="1">
      <c r="H14" s="122"/>
      <c r="I14" s="122"/>
      <c r="J14" s="122"/>
      <c r="K14" s="122"/>
      <c r="L14" s="122"/>
      <c r="M14" s="122"/>
      <c r="N14" s="122"/>
      <c r="O14" s="122"/>
      <c r="P14" s="122"/>
      <c r="Q14" s="125"/>
      <c r="R14" s="9"/>
    </row>
    <row r="15" spans="2:18" ht="12.75">
      <c r="B15" s="2623" t="s">
        <v>673</v>
      </c>
      <c r="C15" s="2628" t="s">
        <v>656</v>
      </c>
      <c r="D15" s="2629"/>
      <c r="E15" s="2604">
        <v>37226</v>
      </c>
      <c r="F15" s="2604">
        <v>37257</v>
      </c>
      <c r="G15" s="2604">
        <v>37288</v>
      </c>
      <c r="H15" s="2604">
        <v>37319</v>
      </c>
      <c r="I15" s="2604">
        <v>37350</v>
      </c>
      <c r="J15" s="2604">
        <v>37381</v>
      </c>
      <c r="K15" s="2604">
        <v>37412</v>
      </c>
      <c r="L15" s="2604">
        <v>37443</v>
      </c>
      <c r="M15" s="2604">
        <v>37474</v>
      </c>
      <c r="N15" s="2604">
        <v>37505</v>
      </c>
      <c r="O15" s="2604">
        <v>37536</v>
      </c>
      <c r="P15" s="2604">
        <v>37561</v>
      </c>
      <c r="Q15" s="2617">
        <v>37591</v>
      </c>
    </row>
    <row r="16" spans="2:18" ht="12.75">
      <c r="B16" s="2624"/>
      <c r="C16" s="2631"/>
      <c r="D16" s="2871"/>
      <c r="E16" s="2605"/>
      <c r="F16" s="2605"/>
      <c r="G16" s="2605"/>
      <c r="H16" s="2605"/>
      <c r="I16" s="2605"/>
      <c r="J16" s="2605"/>
      <c r="K16" s="2605"/>
      <c r="L16" s="2605"/>
      <c r="M16" s="2605"/>
      <c r="N16" s="2605"/>
      <c r="O16" s="2605"/>
      <c r="P16" s="2605"/>
      <c r="Q16" s="2618"/>
    </row>
    <row r="17" spans="2:24" ht="7.5" customHeight="1" thickBot="1">
      <c r="B17" s="2625"/>
      <c r="C17" s="2761"/>
      <c r="D17" s="2872"/>
      <c r="E17" s="2740"/>
      <c r="F17" s="2740"/>
      <c r="G17" s="2740"/>
      <c r="H17" s="2740"/>
      <c r="I17" s="2740"/>
      <c r="J17" s="2740"/>
      <c r="K17" s="2740"/>
      <c r="L17" s="2740"/>
      <c r="M17" s="2740"/>
      <c r="N17" s="2740"/>
      <c r="O17" s="2740"/>
      <c r="P17" s="2740"/>
      <c r="Q17" s="2868"/>
    </row>
    <row r="18" spans="2:24">
      <c r="B18" s="563" t="str">
        <f>+B12</f>
        <v>Perfiles de Hierro</v>
      </c>
      <c r="C18" s="2672">
        <f>+C12</f>
        <v>98</v>
      </c>
      <c r="D18" s="2672"/>
      <c r="E18" s="564">
        <v>91.63</v>
      </c>
      <c r="F18" s="564">
        <v>97.87</v>
      </c>
      <c r="G18" s="564">
        <v>111.38</v>
      </c>
      <c r="H18" s="564">
        <v>132.13</v>
      </c>
      <c r="I18" s="564">
        <v>169.51</v>
      </c>
      <c r="J18" s="564">
        <v>173.67</v>
      </c>
      <c r="K18" s="564">
        <v>198.39</v>
      </c>
      <c r="L18" s="564">
        <v>223.2</v>
      </c>
      <c r="M18" s="564">
        <v>240.73</v>
      </c>
      <c r="N18" s="564">
        <v>254.68</v>
      </c>
      <c r="O18" s="565">
        <v>259.41000000000003</v>
      </c>
      <c r="P18" s="565">
        <v>259.56</v>
      </c>
      <c r="Q18" s="126">
        <v>259.56</v>
      </c>
    </row>
    <row r="19" spans="2:24">
      <c r="B19" s="372" t="str">
        <f>+B13</f>
        <v>Mano de Obra (Jornal Categoría Ayudante)</v>
      </c>
      <c r="C19" s="2658">
        <f>+C13</f>
        <v>1</v>
      </c>
      <c r="D19" s="2658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27">
        <v>1.17</v>
      </c>
      <c r="Q19" s="128">
        <v>1.17</v>
      </c>
    </row>
    <row r="20" spans="2:24">
      <c r="B20" s="566" t="s">
        <v>784</v>
      </c>
      <c r="C20" s="2626"/>
      <c r="D20" s="2865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27">
        <v>0.56999999999999995</v>
      </c>
      <c r="Q20" s="130">
        <v>0.56999999999999995</v>
      </c>
    </row>
    <row r="21" spans="2:24" ht="16.5" thickBot="1">
      <c r="B21" s="373" t="s">
        <v>785</v>
      </c>
      <c r="C21" s="2661" t="s">
        <v>786</v>
      </c>
      <c r="D21" s="2661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447">
        <v>24.75</v>
      </c>
      <c r="Q21" s="131">
        <v>24.75</v>
      </c>
    </row>
    <row r="22" spans="2:24" ht="16.5" thickBot="1">
      <c r="Q22" s="119"/>
    </row>
    <row r="23" spans="2:24">
      <c r="B23" s="2623" t="s">
        <v>675</v>
      </c>
      <c r="C23" s="2659" t="s">
        <v>787</v>
      </c>
      <c r="D23" s="2866"/>
      <c r="E23" s="516">
        <f t="shared" ref="E23:Q23" si="0">+ROUND((E18*100/$E$18),2)</f>
        <v>100</v>
      </c>
      <c r="F23" s="516">
        <f t="shared" si="0"/>
        <v>106.81</v>
      </c>
      <c r="G23" s="516">
        <f t="shared" si="0"/>
        <v>121.55</v>
      </c>
      <c r="H23" s="516">
        <f t="shared" si="0"/>
        <v>144.19999999999999</v>
      </c>
      <c r="I23" s="516">
        <f t="shared" si="0"/>
        <v>184.99</v>
      </c>
      <c r="J23" s="516">
        <f t="shared" si="0"/>
        <v>189.53</v>
      </c>
      <c r="K23" s="516">
        <f t="shared" si="0"/>
        <v>216.51</v>
      </c>
      <c r="L23" s="516">
        <f t="shared" si="0"/>
        <v>243.59</v>
      </c>
      <c r="M23" s="516">
        <f t="shared" si="0"/>
        <v>262.72000000000003</v>
      </c>
      <c r="N23" s="516">
        <f t="shared" si="0"/>
        <v>277.94</v>
      </c>
      <c r="O23" s="516">
        <f t="shared" si="0"/>
        <v>283.11</v>
      </c>
      <c r="P23" s="516">
        <f t="shared" si="0"/>
        <v>283.27</v>
      </c>
      <c r="Q23" s="133">
        <f t="shared" si="0"/>
        <v>283.27</v>
      </c>
      <c r="W23" s="9"/>
      <c r="X23" s="41"/>
    </row>
    <row r="24" spans="2:24" ht="16.5" thickBot="1">
      <c r="B24" s="2625"/>
      <c r="C24" s="2642" t="s">
        <v>677</v>
      </c>
      <c r="D24" s="2867"/>
      <c r="E24" s="531">
        <f t="shared" ref="E24:Q24" si="1">+ROUND(E21*100/$E$21,2)</f>
        <v>100</v>
      </c>
      <c r="F24" s="531">
        <f t="shared" si="1"/>
        <v>100</v>
      </c>
      <c r="G24" s="531">
        <f t="shared" si="1"/>
        <v>100</v>
      </c>
      <c r="H24" s="531">
        <f t="shared" si="1"/>
        <v>100</v>
      </c>
      <c r="I24" s="531">
        <f t="shared" si="1"/>
        <v>100</v>
      </c>
      <c r="J24" s="531">
        <f t="shared" si="1"/>
        <v>100</v>
      </c>
      <c r="K24" s="531">
        <f t="shared" si="1"/>
        <v>100</v>
      </c>
      <c r="L24" s="531">
        <f t="shared" si="1"/>
        <v>121.32</v>
      </c>
      <c r="M24" s="531">
        <f t="shared" si="1"/>
        <v>121.32</v>
      </c>
      <c r="N24" s="531">
        <f t="shared" si="1"/>
        <v>121.32</v>
      </c>
      <c r="O24" s="531">
        <f t="shared" si="1"/>
        <v>121.32</v>
      </c>
      <c r="P24" s="531">
        <f t="shared" si="1"/>
        <v>121.32</v>
      </c>
      <c r="Q24" s="134">
        <f t="shared" si="1"/>
        <v>121.32</v>
      </c>
    </row>
    <row r="25" spans="2:24" ht="16.5" thickBot="1">
      <c r="D25" s="363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Q25" s="119"/>
    </row>
    <row r="26" spans="2:24" ht="16.5" thickBot="1">
      <c r="B26" s="2636" t="s">
        <v>788</v>
      </c>
      <c r="C26" s="2637"/>
      <c r="D26" s="2638"/>
      <c r="E26" s="135">
        <f t="shared" ref="E26:Q26" si="2">+ROUND(E23*0.8+E24*0.2,2)</f>
        <v>100</v>
      </c>
      <c r="F26" s="135">
        <f t="shared" si="2"/>
        <v>105.45</v>
      </c>
      <c r="G26" s="135">
        <f t="shared" si="2"/>
        <v>117.24</v>
      </c>
      <c r="H26" s="135">
        <f t="shared" si="2"/>
        <v>135.36000000000001</v>
      </c>
      <c r="I26" s="135">
        <f t="shared" si="2"/>
        <v>167.99</v>
      </c>
      <c r="J26" s="135">
        <f t="shared" si="2"/>
        <v>171.62</v>
      </c>
      <c r="K26" s="135">
        <f t="shared" si="2"/>
        <v>193.21</v>
      </c>
      <c r="L26" s="135">
        <f t="shared" si="2"/>
        <v>219.14</v>
      </c>
      <c r="M26" s="135">
        <f t="shared" si="2"/>
        <v>234.44</v>
      </c>
      <c r="N26" s="135">
        <f t="shared" si="2"/>
        <v>246.62</v>
      </c>
      <c r="O26" s="135">
        <f t="shared" si="2"/>
        <v>250.75</v>
      </c>
      <c r="P26" s="135">
        <f t="shared" si="2"/>
        <v>250.88</v>
      </c>
      <c r="Q26" s="136">
        <f t="shared" si="2"/>
        <v>250.88</v>
      </c>
    </row>
    <row r="27" spans="2:24" ht="9.75" customHeight="1">
      <c r="B27" s="137"/>
      <c r="C27" s="137"/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2:24" ht="6.75" customHeight="1" thickBot="1">
      <c r="Q28" s="119"/>
    </row>
    <row r="29" spans="2:24" ht="15">
      <c r="B29" s="2623" t="s">
        <v>673</v>
      </c>
      <c r="C29" s="2628" t="s">
        <v>656</v>
      </c>
      <c r="D29" s="2629"/>
      <c r="E29" s="2619">
        <v>37622</v>
      </c>
      <c r="F29" s="2619">
        <v>37653</v>
      </c>
      <c r="G29" s="2619">
        <v>37681</v>
      </c>
      <c r="H29" s="2619">
        <v>37712</v>
      </c>
      <c r="I29" s="2619">
        <v>37742</v>
      </c>
      <c r="J29" s="2619">
        <v>37773</v>
      </c>
      <c r="K29" s="2619">
        <v>37803</v>
      </c>
      <c r="L29" s="2619">
        <v>37834</v>
      </c>
      <c r="M29" s="2619">
        <v>37865</v>
      </c>
      <c r="N29" s="2619">
        <v>37895</v>
      </c>
      <c r="O29" s="2604">
        <v>37926</v>
      </c>
      <c r="P29" s="2617">
        <v>37956</v>
      </c>
      <c r="Q29" s="119"/>
    </row>
    <row r="30" spans="2:24" ht="15">
      <c r="B30" s="2624"/>
      <c r="C30" s="2631"/>
      <c r="D30" s="2871"/>
      <c r="E30" s="2620"/>
      <c r="F30" s="2620"/>
      <c r="G30" s="2620"/>
      <c r="H30" s="2620"/>
      <c r="I30" s="2620"/>
      <c r="J30" s="2620"/>
      <c r="K30" s="2620"/>
      <c r="L30" s="2620"/>
      <c r="M30" s="2620"/>
      <c r="N30" s="2620"/>
      <c r="O30" s="2605"/>
      <c r="P30" s="2618"/>
      <c r="Q30" s="119"/>
    </row>
    <row r="31" spans="2:24" thickBot="1">
      <c r="B31" s="2625"/>
      <c r="C31" s="2761"/>
      <c r="D31" s="2872"/>
      <c r="E31" s="2870"/>
      <c r="F31" s="2870"/>
      <c r="G31" s="2870"/>
      <c r="H31" s="2870"/>
      <c r="I31" s="2870"/>
      <c r="J31" s="2870"/>
      <c r="K31" s="2870"/>
      <c r="L31" s="2870"/>
      <c r="M31" s="2870"/>
      <c r="N31" s="2870"/>
      <c r="O31" s="2740"/>
      <c r="P31" s="2868"/>
      <c r="Q31" s="119"/>
    </row>
    <row r="32" spans="2:24">
      <c r="B32" s="563" t="str">
        <f>+B12</f>
        <v>Perfiles de Hierro</v>
      </c>
      <c r="C32" s="2672">
        <f>+C18</f>
        <v>98</v>
      </c>
      <c r="D32" s="2672"/>
      <c r="E32" s="567">
        <v>259.56</v>
      </c>
      <c r="F32" s="567">
        <v>267.58</v>
      </c>
      <c r="G32" s="516">
        <v>277.60000000000002</v>
      </c>
      <c r="H32" s="567">
        <v>277.60000000000002</v>
      </c>
      <c r="I32" s="567">
        <v>283.58</v>
      </c>
      <c r="J32" s="567">
        <v>283.58</v>
      </c>
      <c r="K32" s="567">
        <v>280.54000000000002</v>
      </c>
      <c r="L32" s="567">
        <v>280.54000000000002</v>
      </c>
      <c r="M32" s="567">
        <v>280.54000000000002</v>
      </c>
      <c r="N32" s="567">
        <v>280.54000000000002</v>
      </c>
      <c r="O32" s="565">
        <v>280.54000000000002</v>
      </c>
      <c r="P32" s="126">
        <v>285.10000000000002</v>
      </c>
      <c r="Q32" s="119"/>
    </row>
    <row r="33" spans="2:20">
      <c r="B33" s="372" t="str">
        <f>+B13</f>
        <v>Mano de Obra (Jornal Categoría Ayudante)</v>
      </c>
      <c r="C33" s="2658">
        <f>+C19</f>
        <v>1</v>
      </c>
      <c r="D33" s="2658"/>
      <c r="E33" s="139">
        <v>1.17</v>
      </c>
      <c r="F33" s="139">
        <v>1.17</v>
      </c>
      <c r="G33" s="525">
        <v>1.17</v>
      </c>
      <c r="H33" s="139">
        <v>1.17</v>
      </c>
      <c r="I33" s="139">
        <v>1.17</v>
      </c>
      <c r="J33" s="139">
        <v>1.17</v>
      </c>
      <c r="K33" s="139">
        <v>1.42</v>
      </c>
      <c r="L33" s="139">
        <v>1.4770000000000001</v>
      </c>
      <c r="M33" s="139">
        <v>1.617</v>
      </c>
      <c r="N33" s="139">
        <v>1.776</v>
      </c>
      <c r="O33" s="140">
        <v>1.9350000000000001</v>
      </c>
      <c r="P33" s="141">
        <v>2.0950000000000002</v>
      </c>
      <c r="Q33" s="119"/>
    </row>
    <row r="34" spans="2:20">
      <c r="B34" s="566" t="s">
        <v>784</v>
      </c>
      <c r="C34" s="2626"/>
      <c r="D34" s="2865"/>
      <c r="E34" s="568">
        <v>0.74</v>
      </c>
      <c r="F34" s="568">
        <v>0.74</v>
      </c>
      <c r="G34" s="569">
        <v>0.85</v>
      </c>
      <c r="H34" s="568">
        <v>0.85</v>
      </c>
      <c r="I34" s="568">
        <v>1.1399999999999999</v>
      </c>
      <c r="J34" s="568">
        <v>1.1399999999999999</v>
      </c>
      <c r="K34" s="570">
        <v>0.99399999999999999</v>
      </c>
      <c r="L34" s="570">
        <v>0.85199999999999998</v>
      </c>
      <c r="M34" s="570">
        <v>0.71</v>
      </c>
      <c r="N34" s="570">
        <v>0.56799999999999995</v>
      </c>
      <c r="O34" s="571">
        <v>0.42599999999999999</v>
      </c>
      <c r="P34" s="572">
        <v>0.28399999999999997</v>
      </c>
      <c r="Q34" s="119"/>
    </row>
    <row r="35" spans="2:20" ht="16.5" thickBot="1">
      <c r="B35" s="373" t="s">
        <v>785</v>
      </c>
      <c r="C35" s="2661" t="s">
        <v>786</v>
      </c>
      <c r="D35" s="2661"/>
      <c r="E35" s="448">
        <v>26.05</v>
      </c>
      <c r="F35" s="448">
        <v>26.05</v>
      </c>
      <c r="G35" s="573">
        <f t="shared" ref="G35:M35" si="3">+ROUND((G33*7.75*2.25+G34*7.63),2)</f>
        <v>26.89</v>
      </c>
      <c r="H35" s="573">
        <f t="shared" si="3"/>
        <v>26.89</v>
      </c>
      <c r="I35" s="573">
        <f t="shared" si="3"/>
        <v>29.1</v>
      </c>
      <c r="J35" s="573">
        <f t="shared" si="3"/>
        <v>29.1</v>
      </c>
      <c r="K35" s="573">
        <f t="shared" si="3"/>
        <v>32.35</v>
      </c>
      <c r="L35" s="573">
        <f t="shared" si="3"/>
        <v>32.26</v>
      </c>
      <c r="M35" s="573">
        <f t="shared" si="3"/>
        <v>33.61</v>
      </c>
      <c r="N35" s="573">
        <f>N33*8*2.2521+N34*8</f>
        <v>36.541836799999999</v>
      </c>
      <c r="O35" s="573">
        <f>O33*8*2.2521+O34*8</f>
        <v>38.270508</v>
      </c>
      <c r="P35" s="573">
        <f>P33*8*2.2521+P34*8</f>
        <v>40.017195999999998</v>
      </c>
      <c r="Q35" s="119"/>
      <c r="R35" s="2">
        <f>2.095*8*2.2521+0.284*8</f>
        <v>40.017195999999998</v>
      </c>
    </row>
    <row r="36" spans="2:20" ht="16.5" thickBot="1">
      <c r="Q36" s="119"/>
    </row>
    <row r="37" spans="2:20">
      <c r="B37" s="2623" t="s">
        <v>675</v>
      </c>
      <c r="C37" s="2659" t="s">
        <v>787</v>
      </c>
      <c r="D37" s="2866"/>
      <c r="E37" s="516">
        <f t="shared" ref="E37:P37" si="4">+ROUND((E32*100/$E$18),3)</f>
        <v>283.27</v>
      </c>
      <c r="F37" s="516">
        <f t="shared" si="4"/>
        <v>292.02199999999999</v>
      </c>
      <c r="G37" s="516">
        <f t="shared" si="4"/>
        <v>302.95800000000003</v>
      </c>
      <c r="H37" s="516">
        <f t="shared" si="4"/>
        <v>302.95800000000003</v>
      </c>
      <c r="I37" s="516">
        <f t="shared" si="4"/>
        <v>309.48399999999998</v>
      </c>
      <c r="J37" s="516">
        <f t="shared" si="4"/>
        <v>309.48399999999998</v>
      </c>
      <c r="K37" s="516">
        <f t="shared" si="4"/>
        <v>306.166</v>
      </c>
      <c r="L37" s="516">
        <f t="shared" si="4"/>
        <v>306.166</v>
      </c>
      <c r="M37" s="516">
        <f t="shared" si="4"/>
        <v>306.166</v>
      </c>
      <c r="N37" s="516">
        <f t="shared" si="4"/>
        <v>306.166</v>
      </c>
      <c r="O37" s="516">
        <f t="shared" si="4"/>
        <v>306.166</v>
      </c>
      <c r="P37" s="133">
        <f t="shared" si="4"/>
        <v>311.14299999999997</v>
      </c>
      <c r="Q37" s="119"/>
    </row>
    <row r="38" spans="2:20" ht="16.5" thickBot="1">
      <c r="B38" s="2625"/>
      <c r="C38" s="2642" t="s">
        <v>677</v>
      </c>
      <c r="D38" s="2867"/>
      <c r="E38" s="531">
        <f t="shared" ref="E38:P38" si="5">+ROUND(E35*100/$E$21,3)</f>
        <v>127.696</v>
      </c>
      <c r="F38" s="531">
        <f t="shared" si="5"/>
        <v>127.696</v>
      </c>
      <c r="G38" s="531">
        <f t="shared" si="5"/>
        <v>131.81399999999999</v>
      </c>
      <c r="H38" s="531">
        <f t="shared" si="5"/>
        <v>131.81399999999999</v>
      </c>
      <c r="I38" s="531">
        <f t="shared" si="5"/>
        <v>142.64699999999999</v>
      </c>
      <c r="J38" s="531">
        <f t="shared" si="5"/>
        <v>142.64699999999999</v>
      </c>
      <c r="K38" s="531">
        <f t="shared" si="5"/>
        <v>158.578</v>
      </c>
      <c r="L38" s="531">
        <f t="shared" si="5"/>
        <v>158.137</v>
      </c>
      <c r="M38" s="531">
        <f t="shared" si="5"/>
        <v>164.755</v>
      </c>
      <c r="N38" s="531">
        <f t="shared" si="5"/>
        <v>179.12700000000001</v>
      </c>
      <c r="O38" s="531">
        <f t="shared" si="5"/>
        <v>187.601</v>
      </c>
      <c r="P38" s="134">
        <f t="shared" si="5"/>
        <v>196.16300000000001</v>
      </c>
      <c r="Q38" s="119"/>
      <c r="T38" s="2">
        <f>P33*8*2.2521+25/22</f>
        <v>38.881559636363633</v>
      </c>
    </row>
    <row r="39" spans="2:20" ht="16.5" thickBot="1">
      <c r="D39" s="363"/>
      <c r="Q39" s="119"/>
    </row>
    <row r="40" spans="2:20" ht="16.5" thickBot="1">
      <c r="B40" s="2636" t="s">
        <v>788</v>
      </c>
      <c r="C40" s="2637"/>
      <c r="D40" s="2638"/>
      <c r="E40" s="135">
        <f t="shared" ref="E40:P40" si="6">+ROUND(E37*0.8+E38*0.2,2)</f>
        <v>252.16</v>
      </c>
      <c r="F40" s="135">
        <f t="shared" si="6"/>
        <v>259.16000000000003</v>
      </c>
      <c r="G40" s="135">
        <f t="shared" si="6"/>
        <v>268.73</v>
      </c>
      <c r="H40" s="135">
        <f t="shared" si="6"/>
        <v>268.73</v>
      </c>
      <c r="I40" s="135">
        <f t="shared" si="6"/>
        <v>276.12</v>
      </c>
      <c r="J40" s="136">
        <f t="shared" si="6"/>
        <v>276.12</v>
      </c>
      <c r="K40" s="136">
        <f t="shared" si="6"/>
        <v>276.64999999999998</v>
      </c>
      <c r="L40" s="136">
        <f t="shared" si="6"/>
        <v>276.56</v>
      </c>
      <c r="M40" s="136">
        <f t="shared" si="6"/>
        <v>277.88</v>
      </c>
      <c r="N40" s="136">
        <f t="shared" si="6"/>
        <v>280.76</v>
      </c>
      <c r="O40" s="136">
        <f t="shared" si="6"/>
        <v>282.45</v>
      </c>
      <c r="P40" s="136">
        <f t="shared" si="6"/>
        <v>288.14999999999998</v>
      </c>
      <c r="Q40" s="119"/>
    </row>
    <row r="41" spans="2:20">
      <c r="B41" s="137"/>
      <c r="C41" s="137"/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19"/>
    </row>
    <row r="42" spans="2:20" ht="16.5" thickBot="1">
      <c r="Q42" s="119"/>
    </row>
    <row r="43" spans="2:20" ht="15">
      <c r="B43" s="2623" t="s">
        <v>673</v>
      </c>
      <c r="C43" s="2628" t="s">
        <v>656</v>
      </c>
      <c r="D43" s="2629"/>
      <c r="E43" s="2619">
        <v>37987</v>
      </c>
      <c r="F43" s="2619">
        <v>38018</v>
      </c>
      <c r="G43" s="2619">
        <v>38047</v>
      </c>
      <c r="H43" s="2619">
        <v>38078</v>
      </c>
      <c r="I43" s="2619">
        <v>38108</v>
      </c>
      <c r="J43" s="2619">
        <v>38139</v>
      </c>
      <c r="K43" s="2619">
        <v>38169</v>
      </c>
      <c r="L43" s="2619">
        <v>38200</v>
      </c>
      <c r="M43" s="2619">
        <v>38231</v>
      </c>
      <c r="N43" s="2619">
        <v>38261</v>
      </c>
      <c r="O43" s="2604">
        <v>38292</v>
      </c>
      <c r="P43" s="2617">
        <v>38322</v>
      </c>
      <c r="Q43" s="119"/>
    </row>
    <row r="44" spans="2:20" ht="15">
      <c r="B44" s="2624"/>
      <c r="C44" s="2631"/>
      <c r="D44" s="2871"/>
      <c r="E44" s="2620"/>
      <c r="F44" s="2620"/>
      <c r="G44" s="2620"/>
      <c r="H44" s="2620"/>
      <c r="I44" s="2620"/>
      <c r="J44" s="2620"/>
      <c r="K44" s="2620"/>
      <c r="L44" s="2620"/>
      <c r="M44" s="2620"/>
      <c r="N44" s="2620"/>
      <c r="O44" s="2605"/>
      <c r="P44" s="2618"/>
      <c r="Q44" s="119"/>
    </row>
    <row r="45" spans="2:20" thickBot="1">
      <c r="B45" s="2625"/>
      <c r="C45" s="2761"/>
      <c r="D45" s="2872"/>
      <c r="E45" s="2870"/>
      <c r="F45" s="2870"/>
      <c r="G45" s="2870"/>
      <c r="H45" s="2870"/>
      <c r="I45" s="2870"/>
      <c r="J45" s="2870"/>
      <c r="K45" s="2870"/>
      <c r="L45" s="2870"/>
      <c r="M45" s="2870"/>
      <c r="N45" s="2870"/>
      <c r="O45" s="2740"/>
      <c r="P45" s="2868"/>
      <c r="Q45" s="119"/>
    </row>
    <row r="46" spans="2:20">
      <c r="B46" s="563" t="str">
        <f>B32</f>
        <v>Perfiles de Hierro</v>
      </c>
      <c r="C46" s="2672">
        <f>+C32</f>
        <v>98</v>
      </c>
      <c r="D46" s="2672"/>
      <c r="E46" s="567">
        <v>289.45</v>
      </c>
      <c r="F46" s="567">
        <v>326.10000000000002</v>
      </c>
      <c r="G46" s="516">
        <v>340.55</v>
      </c>
      <c r="H46" s="567">
        <v>350.74</v>
      </c>
      <c r="I46" s="567">
        <v>353.38</v>
      </c>
      <c r="J46" s="567">
        <v>364.74</v>
      </c>
      <c r="K46" s="567">
        <v>364.74</v>
      </c>
      <c r="L46" s="567">
        <v>364.76</v>
      </c>
      <c r="M46" s="567">
        <v>368.31</v>
      </c>
      <c r="N46" s="567">
        <f>+'TABLA FINAL '!AS118</f>
        <v>371.65</v>
      </c>
      <c r="O46" s="567">
        <f>+'TABLA FINAL '!AT118</f>
        <v>388.01</v>
      </c>
      <c r="P46" s="574">
        <f>+'TABLA FINAL '!AU118</f>
        <v>388.96</v>
      </c>
      <c r="Q46" s="119"/>
    </row>
    <row r="47" spans="2:20">
      <c r="B47" s="372" t="str">
        <f>B33</f>
        <v>Mano de Obra (Jornal Categoría Ayudante)</v>
      </c>
      <c r="C47" s="2658">
        <f>+C33</f>
        <v>1</v>
      </c>
      <c r="D47" s="2658"/>
      <c r="E47" s="139">
        <v>2.254</v>
      </c>
      <c r="F47" s="139">
        <v>2.41</v>
      </c>
      <c r="G47" s="139">
        <v>2.41</v>
      </c>
      <c r="H47" s="139">
        <v>2.41</v>
      </c>
      <c r="I47" s="139">
        <v>2.41</v>
      </c>
      <c r="J47" s="139">
        <v>2.4129999999999998</v>
      </c>
      <c r="K47" s="139">
        <v>2.4129999999999998</v>
      </c>
      <c r="L47" s="139">
        <v>2.4129999999999998</v>
      </c>
      <c r="M47" s="139">
        <v>2.4129999999999998</v>
      </c>
      <c r="N47" s="139">
        <v>2.4129999999999998</v>
      </c>
      <c r="O47" s="139">
        <v>2.4129999999999998</v>
      </c>
      <c r="P47" s="141">
        <v>2.4129999999999998</v>
      </c>
      <c r="Q47" s="119"/>
    </row>
    <row r="48" spans="2:20">
      <c r="B48" s="566" t="s">
        <v>784</v>
      </c>
      <c r="C48" s="2626">
        <v>8</v>
      </c>
      <c r="D48" s="2865"/>
      <c r="E48" s="568">
        <v>0.42599999999999999</v>
      </c>
      <c r="F48" s="568">
        <v>0.28399999999999997</v>
      </c>
      <c r="G48" s="568">
        <v>0.28399999999999997</v>
      </c>
      <c r="H48" s="568">
        <v>0.28399999999999997</v>
      </c>
      <c r="I48" s="568">
        <v>0.28399999999999997</v>
      </c>
      <c r="J48" s="568">
        <v>0.28000000000000003</v>
      </c>
      <c r="K48" s="570">
        <v>0.28000000000000003</v>
      </c>
      <c r="L48" s="570">
        <v>0.28000000000000003</v>
      </c>
      <c r="M48" s="570">
        <v>0.28399999999999997</v>
      </c>
      <c r="N48" s="570">
        <f>+M48</f>
        <v>0.28399999999999997</v>
      </c>
      <c r="O48" s="570">
        <f>+N48</f>
        <v>0.28399999999999997</v>
      </c>
      <c r="P48" s="572">
        <f>+O48</f>
        <v>0.28399999999999997</v>
      </c>
      <c r="Q48" s="119"/>
    </row>
    <row r="49" spans="2:18" ht="16.5" thickBot="1">
      <c r="B49" s="373" t="s">
        <v>785</v>
      </c>
      <c r="C49" s="2661" t="s">
        <v>786</v>
      </c>
      <c r="D49" s="2661"/>
      <c r="E49" s="448">
        <f t="shared" ref="E49:P49" si="7">E47*8*2.2521+E48*8</f>
        <v>44.017867199999998</v>
      </c>
      <c r="F49" s="448">
        <f t="shared" si="7"/>
        <v>45.692487999999997</v>
      </c>
      <c r="G49" s="448">
        <f t="shared" si="7"/>
        <v>45.692487999999997</v>
      </c>
      <c r="H49" s="448">
        <f t="shared" si="7"/>
        <v>45.692487999999997</v>
      </c>
      <c r="I49" s="448">
        <f t="shared" si="7"/>
        <v>45.692487999999997</v>
      </c>
      <c r="J49" s="448">
        <f t="shared" si="7"/>
        <v>45.714538399999995</v>
      </c>
      <c r="K49" s="448">
        <f t="shared" si="7"/>
        <v>45.714538399999995</v>
      </c>
      <c r="L49" s="448">
        <f t="shared" si="7"/>
        <v>45.714538399999995</v>
      </c>
      <c r="M49" s="448">
        <f t="shared" si="7"/>
        <v>45.746538399999991</v>
      </c>
      <c r="N49" s="448">
        <f t="shared" si="7"/>
        <v>45.746538399999991</v>
      </c>
      <c r="O49" s="448">
        <f t="shared" si="7"/>
        <v>45.746538399999991</v>
      </c>
      <c r="P49" s="131">
        <f t="shared" si="7"/>
        <v>45.746538399999991</v>
      </c>
      <c r="Q49" s="119"/>
      <c r="R49" s="2">
        <f>2.095*8*2.2521+0.284*8</f>
        <v>40.017195999999998</v>
      </c>
    </row>
    <row r="50" spans="2:18" ht="16.5" thickBot="1">
      <c r="Q50" s="119"/>
    </row>
    <row r="51" spans="2:18">
      <c r="B51" s="2623" t="s">
        <v>675</v>
      </c>
      <c r="C51" s="2659" t="s">
        <v>787</v>
      </c>
      <c r="D51" s="2866"/>
      <c r="E51" s="516">
        <f t="shared" ref="E51:P51" si="8">+ROUND((E46*100/$E$18),3)</f>
        <v>315.89</v>
      </c>
      <c r="F51" s="516">
        <f t="shared" si="8"/>
        <v>355.88799999999998</v>
      </c>
      <c r="G51" s="516">
        <f t="shared" si="8"/>
        <v>371.65800000000002</v>
      </c>
      <c r="H51" s="516">
        <f t="shared" si="8"/>
        <v>382.779</v>
      </c>
      <c r="I51" s="516">
        <f t="shared" si="8"/>
        <v>385.66</v>
      </c>
      <c r="J51" s="516">
        <f t="shared" si="8"/>
        <v>398.05700000000002</v>
      </c>
      <c r="K51" s="516">
        <f t="shared" si="8"/>
        <v>398.05700000000002</v>
      </c>
      <c r="L51" s="516">
        <f t="shared" si="8"/>
        <v>398.07900000000001</v>
      </c>
      <c r="M51" s="516">
        <f t="shared" si="8"/>
        <v>401.95400000000001</v>
      </c>
      <c r="N51" s="516">
        <f t="shared" si="8"/>
        <v>405.59899999999999</v>
      </c>
      <c r="O51" s="516">
        <f t="shared" si="8"/>
        <v>423.45299999999997</v>
      </c>
      <c r="P51" s="133">
        <f t="shared" si="8"/>
        <v>424.49</v>
      </c>
      <c r="Q51" s="119"/>
    </row>
    <row r="52" spans="2:18" ht="16.5" thickBot="1">
      <c r="B52" s="2625"/>
      <c r="C52" s="2642" t="s">
        <v>677</v>
      </c>
      <c r="D52" s="2867"/>
      <c r="E52" s="531">
        <f t="shared" ref="E52:P52" si="9">+ROUND(E49*100/$E$21,3)</f>
        <v>215.774</v>
      </c>
      <c r="F52" s="531">
        <f t="shared" si="9"/>
        <v>223.983</v>
      </c>
      <c r="G52" s="531">
        <f t="shared" si="9"/>
        <v>223.983</v>
      </c>
      <c r="H52" s="531">
        <f t="shared" si="9"/>
        <v>223.983</v>
      </c>
      <c r="I52" s="531">
        <f t="shared" si="9"/>
        <v>223.983</v>
      </c>
      <c r="J52" s="531">
        <f t="shared" si="9"/>
        <v>224.09100000000001</v>
      </c>
      <c r="K52" s="531">
        <f t="shared" si="9"/>
        <v>224.09100000000001</v>
      </c>
      <c r="L52" s="531">
        <f t="shared" si="9"/>
        <v>224.09100000000001</v>
      </c>
      <c r="M52" s="531">
        <f t="shared" si="9"/>
        <v>224.24799999999999</v>
      </c>
      <c r="N52" s="531">
        <f t="shared" si="9"/>
        <v>224.24799999999999</v>
      </c>
      <c r="O52" s="531">
        <f t="shared" si="9"/>
        <v>224.24799999999999</v>
      </c>
      <c r="P52" s="134">
        <f t="shared" si="9"/>
        <v>224.24799999999999</v>
      </c>
      <c r="Q52" s="119"/>
    </row>
    <row r="53" spans="2:18" ht="16.5" thickBot="1">
      <c r="D53" s="363"/>
      <c r="Q53" s="119"/>
    </row>
    <row r="54" spans="2:18" ht="16.5" thickBot="1">
      <c r="B54" s="2636" t="s">
        <v>788</v>
      </c>
      <c r="C54" s="2637"/>
      <c r="D54" s="2638"/>
      <c r="E54" s="135">
        <f t="shared" ref="E54:P54" si="10">+ROUND(E51*0.8+E52*0.2,2)</f>
        <v>295.87</v>
      </c>
      <c r="F54" s="135">
        <f t="shared" si="10"/>
        <v>329.51</v>
      </c>
      <c r="G54" s="135">
        <f t="shared" si="10"/>
        <v>342.12</v>
      </c>
      <c r="H54" s="135">
        <f t="shared" si="10"/>
        <v>351.02</v>
      </c>
      <c r="I54" s="135">
        <f t="shared" si="10"/>
        <v>353.32</v>
      </c>
      <c r="J54" s="136">
        <f t="shared" si="10"/>
        <v>363.26</v>
      </c>
      <c r="K54" s="136">
        <f t="shared" si="10"/>
        <v>363.26</v>
      </c>
      <c r="L54" s="136">
        <f t="shared" si="10"/>
        <v>363.28</v>
      </c>
      <c r="M54" s="136">
        <f t="shared" si="10"/>
        <v>366.41</v>
      </c>
      <c r="N54" s="136">
        <f t="shared" si="10"/>
        <v>369.33</v>
      </c>
      <c r="O54" s="136">
        <f t="shared" si="10"/>
        <v>383.61</v>
      </c>
      <c r="P54" s="136">
        <f t="shared" si="10"/>
        <v>384.44</v>
      </c>
      <c r="Q54" s="119"/>
    </row>
    <row r="55" spans="2:18" ht="7.5" customHeight="1">
      <c r="Q55" s="119"/>
    </row>
    <row r="56" spans="2:18" ht="7.5" customHeight="1" thickBot="1">
      <c r="Q56" s="119"/>
    </row>
    <row r="57" spans="2:18" ht="15">
      <c r="B57" s="2623" t="s">
        <v>673</v>
      </c>
      <c r="C57" s="2628" t="s">
        <v>656</v>
      </c>
      <c r="D57" s="2629"/>
      <c r="E57" s="2619">
        <v>38353</v>
      </c>
      <c r="F57" s="2619">
        <v>38384</v>
      </c>
      <c r="G57" s="2619">
        <v>38412</v>
      </c>
      <c r="H57" s="2619">
        <v>38443</v>
      </c>
      <c r="I57" s="2619">
        <v>38473</v>
      </c>
      <c r="J57" s="2619">
        <v>38504</v>
      </c>
      <c r="K57" s="2619">
        <v>38534</v>
      </c>
      <c r="L57" s="2619">
        <v>38565</v>
      </c>
      <c r="M57" s="2619">
        <v>38596</v>
      </c>
      <c r="N57" s="2619">
        <v>38626</v>
      </c>
      <c r="O57" s="2619">
        <v>38657</v>
      </c>
      <c r="P57" s="2617">
        <v>38687</v>
      </c>
      <c r="Q57" s="119"/>
    </row>
    <row r="58" spans="2:18" ht="15">
      <c r="B58" s="2624"/>
      <c r="C58" s="2631"/>
      <c r="D58" s="2871"/>
      <c r="E58" s="2620"/>
      <c r="F58" s="2620"/>
      <c r="G58" s="2620"/>
      <c r="H58" s="2620"/>
      <c r="I58" s="2620"/>
      <c r="J58" s="2620"/>
      <c r="K58" s="2620"/>
      <c r="L58" s="2620"/>
      <c r="M58" s="2620"/>
      <c r="N58" s="2620"/>
      <c r="O58" s="2620"/>
      <c r="P58" s="2618"/>
      <c r="Q58" s="119"/>
    </row>
    <row r="59" spans="2:18" thickBot="1">
      <c r="B59" s="2625"/>
      <c r="C59" s="2761"/>
      <c r="D59" s="2872"/>
      <c r="E59" s="2870"/>
      <c r="F59" s="2870"/>
      <c r="G59" s="2870"/>
      <c r="H59" s="2870"/>
      <c r="I59" s="2870"/>
      <c r="J59" s="2870"/>
      <c r="K59" s="2870"/>
      <c r="L59" s="2870"/>
      <c r="M59" s="2870"/>
      <c r="N59" s="2870"/>
      <c r="O59" s="2870"/>
      <c r="P59" s="2868"/>
      <c r="Q59" s="119"/>
    </row>
    <row r="60" spans="2:18">
      <c r="B60" s="563" t="s">
        <v>782</v>
      </c>
      <c r="C60" s="2672">
        <f>+C46</f>
        <v>98</v>
      </c>
      <c r="D60" s="2672"/>
      <c r="E60" s="567">
        <f>+'TABLA FINAL '!AV118</f>
        <v>388.96</v>
      </c>
      <c r="F60" s="567">
        <f>+'TABLA FINAL '!AW118</f>
        <v>388.96</v>
      </c>
      <c r="G60" s="567">
        <f>+'TABLA FINAL '!AX118</f>
        <v>388.96</v>
      </c>
      <c r="H60" s="567">
        <f>+'TABLA FINAL '!AY118</f>
        <v>366.57</v>
      </c>
      <c r="I60" s="567">
        <f>+'TABLA FINAL '!AZ118</f>
        <v>366.57</v>
      </c>
      <c r="J60" s="567">
        <f>+'TABLA FINAL '!BA118</f>
        <v>366.57</v>
      </c>
      <c r="K60" s="567">
        <f>+'TABLA FINAL '!BB118</f>
        <v>368.54</v>
      </c>
      <c r="L60" s="567">
        <f>+'TABLA FINAL '!BC118</f>
        <v>374.34</v>
      </c>
      <c r="M60" s="567">
        <f>+'TABLA FINAL '!BD118</f>
        <v>374.34</v>
      </c>
      <c r="N60" s="567">
        <f>+'TABLA FINAL '!BE118</f>
        <v>374.31</v>
      </c>
      <c r="O60" s="567">
        <f>+'TABLA FINAL '!BF118</f>
        <v>374.31</v>
      </c>
      <c r="P60" s="574">
        <f>+'TABLA FINAL '!BG118</f>
        <v>374.31</v>
      </c>
      <c r="Q60" s="119"/>
    </row>
    <row r="61" spans="2:18">
      <c r="B61" s="372" t="s">
        <v>783</v>
      </c>
      <c r="C61" s="2658">
        <f>+C47</f>
        <v>1</v>
      </c>
      <c r="D61" s="2658"/>
      <c r="E61" s="139">
        <f>+'TABLA FINAL '!AV5</f>
        <v>2.4129999999999998</v>
      </c>
      <c r="F61" s="139">
        <f>+'TABLA FINAL '!AW5</f>
        <v>2.4129999999999998</v>
      </c>
      <c r="G61" s="139">
        <f>+'TABLA FINAL '!AX5</f>
        <v>2.56</v>
      </c>
      <c r="H61" s="139">
        <f>+'TABLA FINAL '!AY5</f>
        <v>2.9</v>
      </c>
      <c r="I61" s="139">
        <f>+'TABLA FINAL '!AZ5</f>
        <v>2.9</v>
      </c>
      <c r="J61" s="139">
        <f>+'TABLA FINAL '!BA5</f>
        <v>2.9</v>
      </c>
      <c r="K61" s="139">
        <f>+'TABLA FINAL '!BB5</f>
        <v>2.9</v>
      </c>
      <c r="L61" s="139">
        <f>+'TABLA FINAL '!BC5</f>
        <v>2.9</v>
      </c>
      <c r="M61" s="139">
        <f>+'TABLA FINAL '!BD5</f>
        <v>2.9</v>
      </c>
      <c r="N61" s="139">
        <f>+'TABLA FINAL '!BE5</f>
        <v>2.9</v>
      </c>
      <c r="O61" s="139">
        <f>+'TABLA FINAL '!BF5</f>
        <v>3.58</v>
      </c>
      <c r="P61" s="141">
        <f>+'TABLA FINAL '!BG5</f>
        <v>3.58</v>
      </c>
      <c r="Q61" s="119"/>
    </row>
    <row r="62" spans="2:18">
      <c r="B62" s="566" t="s">
        <v>784</v>
      </c>
      <c r="C62" s="2626">
        <v>8</v>
      </c>
      <c r="D62" s="2865"/>
      <c r="E62" s="568">
        <f>+'TABLA FINAL '!AV10</f>
        <v>0.85199999999999998</v>
      </c>
      <c r="F62" s="568">
        <f>+'TABLA FINAL '!AW10</f>
        <v>0.85199999999999998</v>
      </c>
      <c r="G62" s="568">
        <f>+'TABLA FINAL '!AX11</f>
        <v>1.282</v>
      </c>
      <c r="H62" s="570">
        <f>+'TABLA FINAL '!AY11</f>
        <v>1</v>
      </c>
      <c r="I62" s="570">
        <f>+'TABLA FINAL '!AZ11</f>
        <v>1</v>
      </c>
      <c r="J62" s="570">
        <f>+'TABLA FINAL '!BA11</f>
        <v>1</v>
      </c>
      <c r="K62" s="570">
        <f>+'TABLA FINAL '!BB11</f>
        <v>1</v>
      </c>
      <c r="L62" s="570">
        <f>+'TABLA FINAL '!BC11</f>
        <v>1</v>
      </c>
      <c r="M62" s="570">
        <f>+'TABLA FINAL '!BD11</f>
        <v>1</v>
      </c>
      <c r="N62" s="570">
        <f>+'TABLA FINAL '!BE11</f>
        <v>1</v>
      </c>
      <c r="O62" s="570">
        <f>+'TABLA FINAL '!BF11</f>
        <v>0.90900000000000003</v>
      </c>
      <c r="P62" s="572">
        <f>+'TABLA FINAL '!BG11</f>
        <v>0.90900000000000003</v>
      </c>
      <c r="Q62" s="119"/>
    </row>
    <row r="63" spans="2:18" ht="16.5" thickBot="1">
      <c r="B63" s="373" t="s">
        <v>785</v>
      </c>
      <c r="C63" s="2661" t="s">
        <v>786</v>
      </c>
      <c r="D63" s="2661"/>
      <c r="E63" s="448">
        <f t="shared" ref="E63:P63" si="11">E61*8*2.2521+E62*8</f>
        <v>50.290538399999996</v>
      </c>
      <c r="F63" s="448">
        <f t="shared" si="11"/>
        <v>50.290538399999996</v>
      </c>
      <c r="G63" s="448">
        <f t="shared" si="11"/>
        <v>56.379007999999999</v>
      </c>
      <c r="H63" s="448">
        <f t="shared" si="11"/>
        <v>60.248719999999999</v>
      </c>
      <c r="I63" s="448">
        <f t="shared" si="11"/>
        <v>60.248719999999999</v>
      </c>
      <c r="J63" s="448">
        <f t="shared" si="11"/>
        <v>60.248719999999999</v>
      </c>
      <c r="K63" s="448">
        <f t="shared" si="11"/>
        <v>60.248719999999999</v>
      </c>
      <c r="L63" s="448">
        <f t="shared" si="11"/>
        <v>60.248719999999999</v>
      </c>
      <c r="M63" s="448">
        <f t="shared" si="11"/>
        <v>60.248719999999999</v>
      </c>
      <c r="N63" s="448">
        <f t="shared" si="11"/>
        <v>60.248719999999999</v>
      </c>
      <c r="O63" s="448">
        <f t="shared" si="11"/>
        <v>71.772144000000011</v>
      </c>
      <c r="P63" s="131">
        <f t="shared" si="11"/>
        <v>71.772144000000011</v>
      </c>
      <c r="Q63" s="119"/>
      <c r="R63" s="2">
        <f>2.095*8*2.2521+0.284*8</f>
        <v>40.017195999999998</v>
      </c>
    </row>
    <row r="64" spans="2:18" ht="16.5" thickBot="1">
      <c r="Q64" s="119"/>
    </row>
    <row r="65" spans="2:18">
      <c r="B65" s="2623" t="s">
        <v>675</v>
      </c>
      <c r="C65" s="2659" t="s">
        <v>787</v>
      </c>
      <c r="D65" s="2866"/>
      <c r="E65" s="516">
        <f t="shared" ref="E65:P65" si="12">+ROUND((E60*100/$E$18),3)</f>
        <v>424.49</v>
      </c>
      <c r="F65" s="516">
        <f t="shared" si="12"/>
        <v>424.49</v>
      </c>
      <c r="G65" s="516">
        <f t="shared" si="12"/>
        <v>424.49</v>
      </c>
      <c r="H65" s="516">
        <f t="shared" si="12"/>
        <v>400.05500000000001</v>
      </c>
      <c r="I65" s="516">
        <f t="shared" si="12"/>
        <v>400.05500000000001</v>
      </c>
      <c r="J65" s="516">
        <f t="shared" si="12"/>
        <v>400.05500000000001</v>
      </c>
      <c r="K65" s="516">
        <f t="shared" si="12"/>
        <v>402.20499999999998</v>
      </c>
      <c r="L65" s="516">
        <f t="shared" si="12"/>
        <v>408.53399999999999</v>
      </c>
      <c r="M65" s="516">
        <f t="shared" si="12"/>
        <v>408.53399999999999</v>
      </c>
      <c r="N65" s="516">
        <f t="shared" si="12"/>
        <v>408.50200000000001</v>
      </c>
      <c r="O65" s="516">
        <f t="shared" si="12"/>
        <v>408.50200000000001</v>
      </c>
      <c r="P65" s="133">
        <f t="shared" si="12"/>
        <v>408.50200000000001</v>
      </c>
      <c r="Q65" s="119"/>
    </row>
    <row r="66" spans="2:18" ht="16.5" thickBot="1">
      <c r="B66" s="2625"/>
      <c r="C66" s="2642" t="s">
        <v>677</v>
      </c>
      <c r="D66" s="2867"/>
      <c r="E66" s="531">
        <f t="shared" ref="E66:P66" si="13">+ROUND(E63*100/$E$21,3)</f>
        <v>246.52199999999999</v>
      </c>
      <c r="F66" s="531">
        <f t="shared" si="13"/>
        <v>246.52199999999999</v>
      </c>
      <c r="G66" s="531">
        <f t="shared" si="13"/>
        <v>276.36799999999999</v>
      </c>
      <c r="H66" s="531">
        <f t="shared" si="13"/>
        <v>295.33699999999999</v>
      </c>
      <c r="I66" s="531">
        <f t="shared" si="13"/>
        <v>295.33699999999999</v>
      </c>
      <c r="J66" s="531">
        <f t="shared" si="13"/>
        <v>295.33699999999999</v>
      </c>
      <c r="K66" s="531">
        <f t="shared" si="13"/>
        <v>295.33699999999999</v>
      </c>
      <c r="L66" s="531">
        <f t="shared" si="13"/>
        <v>295.33699999999999</v>
      </c>
      <c r="M66" s="531">
        <f t="shared" si="13"/>
        <v>295.33699999999999</v>
      </c>
      <c r="N66" s="531">
        <f t="shared" si="13"/>
        <v>295.33699999999999</v>
      </c>
      <c r="O66" s="531">
        <f t="shared" si="13"/>
        <v>351.82400000000001</v>
      </c>
      <c r="P66" s="134">
        <f t="shared" si="13"/>
        <v>351.82400000000001</v>
      </c>
      <c r="Q66" s="119"/>
    </row>
    <row r="67" spans="2:18" ht="16.5" thickBot="1">
      <c r="D67" s="363"/>
      <c r="Q67" s="119"/>
    </row>
    <row r="68" spans="2:18" ht="16.5" thickBot="1">
      <c r="B68" s="2636" t="s">
        <v>788</v>
      </c>
      <c r="C68" s="2637"/>
      <c r="D68" s="2638"/>
      <c r="E68" s="135">
        <f t="shared" ref="E68:P68" si="14">+ROUND(E65*0.8+E66*0.2,2)</f>
        <v>388.9</v>
      </c>
      <c r="F68" s="135">
        <f t="shared" si="14"/>
        <v>388.9</v>
      </c>
      <c r="G68" s="135">
        <f t="shared" si="14"/>
        <v>394.87</v>
      </c>
      <c r="H68" s="135">
        <f t="shared" si="14"/>
        <v>379.11</v>
      </c>
      <c r="I68" s="135">
        <f t="shared" si="14"/>
        <v>379.11</v>
      </c>
      <c r="J68" s="136">
        <f t="shared" si="14"/>
        <v>379.11</v>
      </c>
      <c r="K68" s="136">
        <f t="shared" si="14"/>
        <v>380.83</v>
      </c>
      <c r="L68" s="136">
        <f t="shared" si="14"/>
        <v>385.89</v>
      </c>
      <c r="M68" s="136">
        <f t="shared" si="14"/>
        <v>385.89</v>
      </c>
      <c r="N68" s="136">
        <f t="shared" si="14"/>
        <v>385.87</v>
      </c>
      <c r="O68" s="136">
        <f t="shared" si="14"/>
        <v>397.17</v>
      </c>
      <c r="P68" s="136">
        <f t="shared" si="14"/>
        <v>397.17</v>
      </c>
      <c r="Q68" s="119"/>
    </row>
    <row r="69" spans="2:18" ht="16.5" thickBot="1">
      <c r="Q69" s="119"/>
    </row>
    <row r="70" spans="2:18" ht="3.75" customHeight="1">
      <c r="B70" s="2623" t="s">
        <v>673</v>
      </c>
      <c r="C70" s="2628"/>
      <c r="D70" s="2629"/>
      <c r="E70" s="2619">
        <v>38718</v>
      </c>
      <c r="F70" s="2619">
        <v>38749</v>
      </c>
      <c r="G70" s="2619">
        <v>38777</v>
      </c>
      <c r="H70" s="2619">
        <v>38808</v>
      </c>
      <c r="I70" s="2619">
        <v>38838</v>
      </c>
      <c r="J70" s="2619">
        <v>38869</v>
      </c>
      <c r="K70" s="2619">
        <v>38899</v>
      </c>
      <c r="L70" s="2619">
        <v>38930</v>
      </c>
      <c r="M70" s="2619">
        <v>38961</v>
      </c>
      <c r="N70" s="2619">
        <v>38991</v>
      </c>
      <c r="O70" s="2619">
        <v>39022</v>
      </c>
      <c r="P70" s="2694">
        <v>39052</v>
      </c>
      <c r="Q70" s="119"/>
    </row>
    <row r="71" spans="2:18" ht="16.5" customHeight="1" thickBot="1">
      <c r="B71" s="2667"/>
      <c r="C71" s="2761" t="s">
        <v>831</v>
      </c>
      <c r="D71" s="2872"/>
      <c r="E71" s="2681"/>
      <c r="F71" s="2620"/>
      <c r="G71" s="2620"/>
      <c r="H71" s="2620"/>
      <c r="I71" s="2620"/>
      <c r="J71" s="2620"/>
      <c r="K71" s="2620"/>
      <c r="L71" s="2620"/>
      <c r="M71" s="2620"/>
      <c r="N71" s="2620"/>
      <c r="O71" s="2620"/>
      <c r="P71" s="2695"/>
      <c r="Q71" s="119"/>
    </row>
    <row r="72" spans="2:18" ht="0.75" customHeight="1" thickBot="1">
      <c r="B72" s="2625"/>
      <c r="C72" s="2670"/>
      <c r="D72" s="2765"/>
      <c r="E72" s="2870"/>
      <c r="F72" s="2870"/>
      <c r="G72" s="2870"/>
      <c r="H72" s="2870"/>
      <c r="I72" s="2870"/>
      <c r="J72" s="2870"/>
      <c r="K72" s="2870"/>
      <c r="L72" s="2870"/>
      <c r="M72" s="2870"/>
      <c r="N72" s="2870"/>
      <c r="O72" s="2870"/>
      <c r="P72" s="2696"/>
      <c r="Q72" s="119"/>
    </row>
    <row r="73" spans="2:18">
      <c r="B73" s="563" t="s">
        <v>782</v>
      </c>
      <c r="C73" s="2672">
        <v>98</v>
      </c>
      <c r="D73" s="2672"/>
      <c r="E73" s="567">
        <f>+'TABLA FINAL '!BH118</f>
        <v>375.42</v>
      </c>
      <c r="F73" s="567">
        <f>+'TABLA FINAL '!BI118</f>
        <v>375.42</v>
      </c>
      <c r="G73" s="567">
        <f>+'TABLA FINAL '!BJ118</f>
        <v>376.7</v>
      </c>
      <c r="H73" s="567">
        <f>+'TABLA FINAL '!BK118</f>
        <v>376.7</v>
      </c>
      <c r="I73" s="567">
        <f>+'TABLA FINAL '!BL118</f>
        <v>376.7</v>
      </c>
      <c r="J73" s="567">
        <f>+'TABLA FINAL '!BM118</f>
        <v>376.7</v>
      </c>
      <c r="K73" s="567">
        <f>+'TABLA FINAL '!BN118</f>
        <v>376.7</v>
      </c>
      <c r="L73" s="567">
        <f>+'TABLA FINAL '!BO118</f>
        <v>376.7</v>
      </c>
      <c r="M73" s="567">
        <f>+'TABLA FINAL '!BP118</f>
        <v>376.7</v>
      </c>
      <c r="N73" s="567">
        <f>+'TABLA FINAL '!BQ118</f>
        <v>376.7</v>
      </c>
      <c r="O73" s="567">
        <f>+'TABLA FINAL '!BR118</f>
        <v>377.62</v>
      </c>
      <c r="P73" s="574">
        <f>+'TABLA FINAL '!BS118</f>
        <v>383.58</v>
      </c>
      <c r="Q73" s="119"/>
    </row>
    <row r="74" spans="2:18">
      <c r="B74" s="372" t="s">
        <v>783</v>
      </c>
      <c r="C74" s="2658">
        <v>1</v>
      </c>
      <c r="D74" s="2658"/>
      <c r="E74" s="139">
        <f>+'TABLA FINAL '!BH5</f>
        <v>3.58</v>
      </c>
      <c r="F74" s="139">
        <f>+'TABLA FINAL '!BI5</f>
        <v>3.58</v>
      </c>
      <c r="G74" s="139">
        <f>+'TABLA FINAL '!BJ5</f>
        <v>3.58</v>
      </c>
      <c r="H74" s="139">
        <f>+'TABLA FINAL '!BK5</f>
        <v>3.58</v>
      </c>
      <c r="I74" s="139">
        <f>+'TABLA FINAL '!BL5</f>
        <v>3.76</v>
      </c>
      <c r="J74" s="139">
        <f>+'TABLA FINAL '!BM5</f>
        <v>3.76</v>
      </c>
      <c r="K74" s="139">
        <f>+'TABLA FINAL '!BN5</f>
        <v>3.76</v>
      </c>
      <c r="L74" s="139">
        <f>+'TABLA FINAL '!BO5</f>
        <v>3.76</v>
      </c>
      <c r="M74" s="139">
        <f>+'TABLA FINAL '!BP5</f>
        <v>3.94</v>
      </c>
      <c r="N74" s="139">
        <f>+'TABLA FINAL '!BQ5</f>
        <v>3.94</v>
      </c>
      <c r="O74" s="139">
        <f>+'TABLA FINAL '!BR5</f>
        <v>3.94</v>
      </c>
      <c r="P74" s="141">
        <f>+'TABLA FINAL '!BS5</f>
        <v>3.94</v>
      </c>
      <c r="Q74" s="119"/>
    </row>
    <row r="75" spans="2:18">
      <c r="B75" s="566" t="s">
        <v>784</v>
      </c>
      <c r="C75" s="2626" t="s">
        <v>473</v>
      </c>
      <c r="D75" s="2865"/>
      <c r="E75" s="568">
        <f>+'TABLA FINAL '!BH11</f>
        <v>0.68181818181818177</v>
      </c>
      <c r="F75" s="568">
        <f>+'TABLA FINAL '!BI11</f>
        <v>0.68181818181818177</v>
      </c>
      <c r="G75" s="568">
        <f>+'TABLA FINAL '!BJ11</f>
        <v>0.68181818181818177</v>
      </c>
      <c r="H75" s="568">
        <f>+'TABLA FINAL '!BK11</f>
        <v>0.45454545454545453</v>
      </c>
      <c r="I75" s="568">
        <f>+'TABLA FINAL '!BL11</f>
        <v>1.0225454545454544</v>
      </c>
      <c r="J75" s="568">
        <f>+'TABLA FINAL '!BM11</f>
        <v>1.0225454545454549</v>
      </c>
      <c r="K75" s="568">
        <f>+'TABLA FINAL '!BN11</f>
        <v>0.54545454545454519</v>
      </c>
      <c r="L75" s="568">
        <f>+'TABLA FINAL '!BO11</f>
        <v>0.54500000000000004</v>
      </c>
      <c r="M75" s="568">
        <f>+'TABLA FINAL '!BP11</f>
        <v>0</v>
      </c>
      <c r="N75" s="568">
        <f>+'TABLA FINAL '!BQ11</f>
        <v>0.5</v>
      </c>
      <c r="O75" s="568">
        <f>+'TABLA FINAL '!BR11</f>
        <v>0.5</v>
      </c>
      <c r="P75" s="575">
        <f>+'TABLA FINAL '!BS11</f>
        <v>0.5</v>
      </c>
      <c r="Q75" s="119"/>
    </row>
    <row r="76" spans="2:18">
      <c r="B76" s="566" t="s">
        <v>496</v>
      </c>
      <c r="C76" s="2626" t="s">
        <v>492</v>
      </c>
      <c r="D76" s="2865"/>
      <c r="E76" s="568">
        <f>+'TABLA FINAL '!BH16</f>
        <v>0.27272727272727271</v>
      </c>
      <c r="F76" s="568">
        <f>+'TABLA FINAL '!BI16</f>
        <v>0.27272727272727271</v>
      </c>
      <c r="G76" s="568">
        <f>+'TABLA FINAL '!BJ16</f>
        <v>0.27272727272727271</v>
      </c>
      <c r="H76" s="568">
        <f>+'TABLA FINAL '!BK16</f>
        <v>0.54545454545454541</v>
      </c>
      <c r="I76" s="568">
        <f>+'TABLA FINAL '!BL16</f>
        <v>0.54545454545454541</v>
      </c>
      <c r="J76" s="568">
        <f>+'TABLA FINAL '!BM16</f>
        <v>0.54545454545454541</v>
      </c>
      <c r="K76" s="568">
        <f>+'TABLA FINAL '!BN16</f>
        <v>0.81818181818181823</v>
      </c>
      <c r="L76" s="568">
        <f>+'TABLA FINAL '!BO16</f>
        <v>0.81818181818181823</v>
      </c>
      <c r="M76" s="568">
        <f>+'TABLA FINAL '!BP16</f>
        <v>0</v>
      </c>
      <c r="N76" s="568">
        <f>+'TABLA FINAL '!BQ16</f>
        <v>1.0909090909090908</v>
      </c>
      <c r="O76" s="568">
        <f>+'TABLA FINAL '!BR16</f>
        <v>1.0909090909090908</v>
      </c>
      <c r="P76" s="575">
        <f>+'TABLA FINAL '!BS16</f>
        <v>1.0909090909090908</v>
      </c>
      <c r="Q76" s="119"/>
    </row>
    <row r="77" spans="2:18" ht="16.5" thickBot="1">
      <c r="B77" s="373" t="s">
        <v>785</v>
      </c>
      <c r="C77" s="2661" t="s">
        <v>786</v>
      </c>
      <c r="D77" s="2661"/>
      <c r="E77" s="448">
        <f t="shared" ref="E77:P77" si="15">(E74+E76)*8*2.2521+E75*8</f>
        <v>74.868362181818171</v>
      </c>
      <c r="F77" s="448">
        <f t="shared" si="15"/>
        <v>74.868362181818171</v>
      </c>
      <c r="G77" s="448">
        <f t="shared" si="15"/>
        <v>74.868362181818171</v>
      </c>
      <c r="H77" s="448">
        <f t="shared" si="15"/>
        <v>77.963853090909083</v>
      </c>
      <c r="I77" s="448">
        <f t="shared" si="15"/>
        <v>85.750877090909086</v>
      </c>
      <c r="J77" s="448">
        <f t="shared" si="15"/>
        <v>85.750877090909086</v>
      </c>
      <c r="K77" s="448">
        <f t="shared" si="15"/>
        <v>86.847822545454534</v>
      </c>
      <c r="L77" s="448">
        <f t="shared" si="15"/>
        <v>86.844186181818174</v>
      </c>
      <c r="M77" s="448">
        <f t="shared" si="15"/>
        <v>70.986192000000003</v>
      </c>
      <c r="N77" s="448">
        <f t="shared" si="15"/>
        <v>94.640882909090919</v>
      </c>
      <c r="O77" s="448">
        <f t="shared" si="15"/>
        <v>94.640882909090919</v>
      </c>
      <c r="P77" s="131">
        <f t="shared" si="15"/>
        <v>94.640882909090919</v>
      </c>
      <c r="Q77" s="119"/>
      <c r="R77" s="2">
        <f>2.095*8*2.2521+0.284*8</f>
        <v>40.017195999999998</v>
      </c>
    </row>
    <row r="78" spans="2:18" ht="16.5" thickBot="1">
      <c r="P78" s="361"/>
      <c r="Q78" s="119"/>
    </row>
    <row r="79" spans="2:18">
      <c r="B79" s="2623" t="s">
        <v>675</v>
      </c>
      <c r="C79" s="2659" t="s">
        <v>787</v>
      </c>
      <c r="D79" s="2866"/>
      <c r="E79" s="516">
        <f t="shared" ref="E79:J79" si="16">+ROUND((E73*100/$E$18),3)</f>
        <v>409.71300000000002</v>
      </c>
      <c r="F79" s="516">
        <f t="shared" si="16"/>
        <v>409.71300000000002</v>
      </c>
      <c r="G79" s="516">
        <f t="shared" si="16"/>
        <v>411.11</v>
      </c>
      <c r="H79" s="516">
        <f t="shared" si="16"/>
        <v>411.11</v>
      </c>
      <c r="I79" s="516">
        <f t="shared" si="16"/>
        <v>411.11</v>
      </c>
      <c r="J79" s="516">
        <f t="shared" si="16"/>
        <v>411.11</v>
      </c>
      <c r="K79" s="516">
        <f t="shared" ref="K79:P79" si="17">+ROUND((K73*100/$E$18),3)</f>
        <v>411.11</v>
      </c>
      <c r="L79" s="516">
        <f t="shared" si="17"/>
        <v>411.11</v>
      </c>
      <c r="M79" s="516">
        <f t="shared" si="17"/>
        <v>411.11</v>
      </c>
      <c r="N79" s="516">
        <f t="shared" si="17"/>
        <v>411.11</v>
      </c>
      <c r="O79" s="516">
        <f t="shared" si="17"/>
        <v>412.11399999999998</v>
      </c>
      <c r="P79" s="133">
        <f t="shared" si="17"/>
        <v>418.61799999999999</v>
      </c>
      <c r="Q79" s="119"/>
    </row>
    <row r="80" spans="2:18" ht="16.5" thickBot="1">
      <c r="B80" s="2625"/>
      <c r="C80" s="2642" t="s">
        <v>677</v>
      </c>
      <c r="D80" s="2867"/>
      <c r="E80" s="531">
        <f t="shared" ref="E80:J80" si="18">+ROUND(E77*100/$E$21,3)</f>
        <v>367.00200000000001</v>
      </c>
      <c r="F80" s="531">
        <f t="shared" si="18"/>
        <v>367.00200000000001</v>
      </c>
      <c r="G80" s="531">
        <f t="shared" si="18"/>
        <v>367.00200000000001</v>
      </c>
      <c r="H80" s="531">
        <f t="shared" si="18"/>
        <v>382.17599999999999</v>
      </c>
      <c r="I80" s="531">
        <f t="shared" si="18"/>
        <v>420.34699999999998</v>
      </c>
      <c r="J80" s="531">
        <f t="shared" si="18"/>
        <v>420.34699999999998</v>
      </c>
      <c r="K80" s="531">
        <f t="shared" ref="K80:P80" si="19">+ROUND(K77*100/$E$21,3)</f>
        <v>425.72500000000002</v>
      </c>
      <c r="L80" s="531">
        <f t="shared" si="19"/>
        <v>425.70699999999999</v>
      </c>
      <c r="M80" s="531">
        <f t="shared" si="19"/>
        <v>347.97199999999998</v>
      </c>
      <c r="N80" s="531">
        <f t="shared" si="19"/>
        <v>463.92599999999999</v>
      </c>
      <c r="O80" s="531">
        <f t="shared" si="19"/>
        <v>463.92599999999999</v>
      </c>
      <c r="P80" s="134">
        <f t="shared" si="19"/>
        <v>463.92599999999999</v>
      </c>
      <c r="Q80" s="119"/>
    </row>
    <row r="81" spans="2:18" ht="16.5" thickBot="1">
      <c r="D81" s="363"/>
      <c r="Q81" s="119"/>
    </row>
    <row r="82" spans="2:18" ht="16.5" thickBot="1">
      <c r="B82" s="2636" t="s">
        <v>788</v>
      </c>
      <c r="C82" s="2637"/>
      <c r="D82" s="2638"/>
      <c r="E82" s="135">
        <f t="shared" ref="E82:O82" si="20">+ROUND(E79*0.8+E80*0.2,2)</f>
        <v>401.17</v>
      </c>
      <c r="F82" s="135">
        <f t="shared" si="20"/>
        <v>401.17</v>
      </c>
      <c r="G82" s="135">
        <f>+ROUND(G79*0.8+G80*0.2,2)</f>
        <v>402.29</v>
      </c>
      <c r="H82" s="135">
        <f t="shared" si="20"/>
        <v>405.32</v>
      </c>
      <c r="I82" s="135">
        <f t="shared" si="20"/>
        <v>412.96</v>
      </c>
      <c r="J82" s="136">
        <f t="shared" si="20"/>
        <v>412.96</v>
      </c>
      <c r="K82" s="136">
        <f t="shared" si="20"/>
        <v>414.03</v>
      </c>
      <c r="L82" s="136">
        <f t="shared" si="20"/>
        <v>414.03</v>
      </c>
      <c r="M82" s="136">
        <f>+ROUND(M79*0.8+M80*0.2,2)</f>
        <v>398.48</v>
      </c>
      <c r="N82" s="136">
        <f t="shared" si="20"/>
        <v>421.67</v>
      </c>
      <c r="O82" s="136">
        <f t="shared" si="20"/>
        <v>422.48</v>
      </c>
      <c r="P82" s="136">
        <f>+ROUND(P79*0.8+P80*0.2,2)</f>
        <v>427.68</v>
      </c>
      <c r="Q82" s="119"/>
    </row>
    <row r="83" spans="2:18" ht="19.5" customHeight="1" thickBot="1">
      <c r="Q83" s="119"/>
    </row>
    <row r="84" spans="2:18" ht="18" customHeight="1" thickBot="1">
      <c r="B84" s="2844" t="s">
        <v>673</v>
      </c>
      <c r="C84" s="2864" t="s">
        <v>831</v>
      </c>
      <c r="D84" s="2765"/>
      <c r="E84" s="2619">
        <v>39083</v>
      </c>
      <c r="F84" s="2619">
        <v>39114</v>
      </c>
      <c r="G84" s="2619">
        <v>39142</v>
      </c>
      <c r="H84" s="2619">
        <v>39173</v>
      </c>
      <c r="I84" s="2619">
        <v>39203</v>
      </c>
      <c r="J84" s="2619">
        <v>39234</v>
      </c>
      <c r="K84" s="2619">
        <v>39264</v>
      </c>
      <c r="L84" s="2619">
        <v>39295</v>
      </c>
      <c r="M84" s="2619">
        <v>39326</v>
      </c>
      <c r="N84" s="2619">
        <v>39356</v>
      </c>
      <c r="O84" s="2619">
        <v>39387</v>
      </c>
      <c r="P84" s="2617">
        <v>39417</v>
      </c>
      <c r="Q84" s="119"/>
    </row>
    <row r="85" spans="2:18" ht="22.5" customHeight="1" thickBot="1">
      <c r="B85" s="2667"/>
      <c r="C85" s="2864"/>
      <c r="D85" s="2765"/>
      <c r="E85" s="2620"/>
      <c r="F85" s="2620"/>
      <c r="G85" s="2620"/>
      <c r="H85" s="2620"/>
      <c r="I85" s="2620"/>
      <c r="J85" s="2620"/>
      <c r="K85" s="2620"/>
      <c r="L85" s="2620"/>
      <c r="M85" s="2620"/>
      <c r="N85" s="2620"/>
      <c r="O85" s="2620"/>
      <c r="P85" s="2618"/>
      <c r="Q85" s="119"/>
    </row>
    <row r="86" spans="2:18" ht="24.75" customHeight="1" thickBot="1">
      <c r="B86" s="2709"/>
      <c r="C86" s="2864"/>
      <c r="D86" s="2765"/>
      <c r="E86" s="2870"/>
      <c r="F86" s="2870"/>
      <c r="G86" s="2870"/>
      <c r="H86" s="2870"/>
      <c r="I86" s="2870"/>
      <c r="J86" s="2870"/>
      <c r="K86" s="2870"/>
      <c r="L86" s="2870"/>
      <c r="M86" s="2870"/>
      <c r="N86" s="2870"/>
      <c r="O86" s="2870"/>
      <c r="P86" s="2868"/>
      <c r="Q86" s="119"/>
    </row>
    <row r="87" spans="2:18">
      <c r="B87" s="563" t="s">
        <v>782</v>
      </c>
      <c r="C87" s="2672">
        <v>98</v>
      </c>
      <c r="D87" s="2672"/>
      <c r="E87" s="567">
        <f>+'TABLA FINAL '!BT118</f>
        <v>383.58</v>
      </c>
      <c r="F87" s="567">
        <f>+'TABLA FINAL '!BU118</f>
        <v>383.58</v>
      </c>
      <c r="G87" s="567">
        <f>+'TABLA FINAL '!BV118</f>
        <v>393.21</v>
      </c>
      <c r="H87" s="567">
        <f>+'TABLA FINAL '!BW118</f>
        <v>393.4</v>
      </c>
      <c r="I87" s="567">
        <f>+'TABLA FINAL '!BX118</f>
        <v>393.4</v>
      </c>
      <c r="J87" s="567">
        <f>+'TABLA FINAL '!BY118</f>
        <v>395.93</v>
      </c>
      <c r="K87" s="567">
        <f>+'TABLA FINAL '!BZ118</f>
        <v>395.93</v>
      </c>
      <c r="L87" s="567">
        <f>+'TABLA FINAL '!CA118</f>
        <v>396.65</v>
      </c>
      <c r="M87" s="567">
        <f>+'TABLA FINAL '!CB118</f>
        <v>415.68</v>
      </c>
      <c r="N87" s="567">
        <f>+'TABLA FINAL '!CC118</f>
        <v>415.68</v>
      </c>
      <c r="O87" s="567">
        <f>+'TABLA FINAL '!CD118</f>
        <v>418.09</v>
      </c>
      <c r="P87" s="574">
        <f>+'TABLA FINAL '!CE118</f>
        <v>420.89</v>
      </c>
      <c r="Q87" s="119"/>
    </row>
    <row r="88" spans="2:18">
      <c r="B88" s="372" t="s">
        <v>783</v>
      </c>
      <c r="C88" s="2658">
        <v>1</v>
      </c>
      <c r="D88" s="2658"/>
      <c r="E88" s="139">
        <f>+'TABLA FINAL '!BT5</f>
        <v>4.54</v>
      </c>
      <c r="F88" s="139">
        <f>+'TABLA FINAL '!BU5</f>
        <v>4.54</v>
      </c>
      <c r="G88" s="139">
        <f>+'TABLA FINAL '!BV5</f>
        <v>4.54</v>
      </c>
      <c r="H88" s="139">
        <f>+'TABLA FINAL '!BW5</f>
        <v>4.54</v>
      </c>
      <c r="I88" s="139">
        <f>+'TABLA FINAL '!BX5</f>
        <v>4.99</v>
      </c>
      <c r="J88" s="139">
        <f>+'TABLA FINAL '!BY5</f>
        <v>4.99</v>
      </c>
      <c r="K88" s="139">
        <f>+'TABLA FINAL '!BZ5</f>
        <v>5.29</v>
      </c>
      <c r="L88" s="139">
        <f>+'TABLA FINAL '!CA5</f>
        <v>5.29</v>
      </c>
      <c r="M88" s="139">
        <f>+'TABLA FINAL '!CB5</f>
        <v>5.29</v>
      </c>
      <c r="N88" s="139">
        <f>+'TABLA FINAL '!CC5</f>
        <v>6.56</v>
      </c>
      <c r="O88" s="139">
        <f>+'TABLA FINAL '!CD5</f>
        <v>6.56</v>
      </c>
      <c r="P88" s="141">
        <f>+'TABLA FINAL '!CE5</f>
        <v>6.56</v>
      </c>
      <c r="Q88" s="119"/>
    </row>
    <row r="89" spans="2:18">
      <c r="B89" s="566" t="s">
        <v>784</v>
      </c>
      <c r="C89" s="2626" t="s">
        <v>473</v>
      </c>
      <c r="D89" s="2865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75">
        <f>'TABLA FINAL '!CE21</f>
        <v>2.2727272727272751</v>
      </c>
      <c r="Q89" s="119"/>
    </row>
    <row r="90" spans="2:18">
      <c r="B90" s="566" t="s">
        <v>496</v>
      </c>
      <c r="C90" s="2626" t="s">
        <v>492</v>
      </c>
      <c r="D90" s="2865"/>
      <c r="E90" s="568">
        <f>+'TABLA FINAL '!BT16</f>
        <v>1.0909090909090908</v>
      </c>
      <c r="F90" s="568">
        <f>+'TABLA FINAL '!BU16</f>
        <v>1.0909090909090908</v>
      </c>
      <c r="G90" s="568">
        <f>+'TABLA FINAL '!BV16</f>
        <v>1.0909090909090908</v>
      </c>
      <c r="H90" s="568">
        <f>+'TABLA FINAL '!BW16</f>
        <v>1.0909090909090908</v>
      </c>
      <c r="I90" s="568">
        <f>+'TABLA FINAL '!BX16</f>
        <v>1.1988636363636365</v>
      </c>
      <c r="J90" s="568">
        <f>+'TABLA FINAL '!BY16</f>
        <v>1.1990000000000001</v>
      </c>
      <c r="K90" s="568">
        <f>+'TABLA FINAL '!BZ16</f>
        <v>1.2727272727272727</v>
      </c>
      <c r="L90" s="568">
        <f>+'TABLA FINAL '!CA16</f>
        <v>1.2729999999999999</v>
      </c>
      <c r="M90" s="568">
        <f>+'TABLA FINAL '!CB16</f>
        <v>1.2729999999999999</v>
      </c>
      <c r="N90" s="568">
        <f>+'TABLA FINAL '!CC16</f>
        <v>0</v>
      </c>
      <c r="O90" s="568">
        <f>+'TABLA FINAL '!CD16</f>
        <v>0</v>
      </c>
      <c r="P90" s="575"/>
      <c r="Q90" s="119"/>
    </row>
    <row r="91" spans="2:18" ht="16.5" thickBot="1">
      <c r="B91" s="373" t="s">
        <v>785</v>
      </c>
      <c r="C91" s="2661" t="s">
        <v>786</v>
      </c>
      <c r="D91" s="2661"/>
      <c r="E91" s="448">
        <f t="shared" ref="E91:P91" si="21">(E88+E90)*8*2.2521+E89*8</f>
        <v>101.4509629090909</v>
      </c>
      <c r="F91" s="448">
        <f t="shared" si="21"/>
        <v>101.4509629090909</v>
      </c>
      <c r="G91" s="448">
        <f t="shared" si="21"/>
        <v>101.4509629090909</v>
      </c>
      <c r="H91" s="448">
        <f t="shared" si="21"/>
        <v>101.4509629090909</v>
      </c>
      <c r="I91" s="448">
        <f t="shared" si="21"/>
        <v>111.50351836363637</v>
      </c>
      <c r="J91" s="448">
        <f t="shared" si="21"/>
        <v>111.50597519999999</v>
      </c>
      <c r="K91" s="448">
        <f t="shared" si="21"/>
        <v>118.23934472727272</v>
      </c>
      <c r="L91" s="448">
        <f t="shared" si="21"/>
        <v>118.24425839999999</v>
      </c>
      <c r="M91" s="448">
        <f t="shared" si="21"/>
        <v>118.24425839999999</v>
      </c>
      <c r="N91" s="448">
        <f t="shared" si="21"/>
        <v>118.190208</v>
      </c>
      <c r="O91" s="448">
        <f t="shared" si="21"/>
        <v>118.190208</v>
      </c>
      <c r="P91" s="131">
        <f t="shared" si="21"/>
        <v>136.3720261818182</v>
      </c>
      <c r="Q91" s="119"/>
      <c r="R91" s="2">
        <f>2.095*8*2.2521+0.284*8</f>
        <v>40.017195999999998</v>
      </c>
    </row>
    <row r="92" spans="2:18" ht="12" customHeight="1" thickBot="1">
      <c r="P92" s="375"/>
      <c r="Q92" s="119"/>
    </row>
    <row r="93" spans="2:18">
      <c r="B93" s="2623" t="s">
        <v>675</v>
      </c>
      <c r="C93" s="2659" t="s">
        <v>787</v>
      </c>
      <c r="D93" s="2866"/>
      <c r="E93" s="516">
        <f t="shared" ref="E93:P93" si="22">+ROUND((E87*100/$E$18),3)</f>
        <v>418.61799999999999</v>
      </c>
      <c r="F93" s="516">
        <f t="shared" si="22"/>
        <v>418.61799999999999</v>
      </c>
      <c r="G93" s="516">
        <f t="shared" si="22"/>
        <v>429.12799999999999</v>
      </c>
      <c r="H93" s="516">
        <f t="shared" si="22"/>
        <v>429.33499999999998</v>
      </c>
      <c r="I93" s="516">
        <f t="shared" si="22"/>
        <v>429.33499999999998</v>
      </c>
      <c r="J93" s="516">
        <f t="shared" si="22"/>
        <v>432.096</v>
      </c>
      <c r="K93" s="516">
        <f t="shared" si="22"/>
        <v>432.096</v>
      </c>
      <c r="L93" s="516">
        <f t="shared" si="22"/>
        <v>432.88200000000001</v>
      </c>
      <c r="M93" s="516">
        <f t="shared" si="22"/>
        <v>453.65100000000001</v>
      </c>
      <c r="N93" s="516">
        <f t="shared" si="22"/>
        <v>453.65100000000001</v>
      </c>
      <c r="O93" s="516">
        <f t="shared" si="22"/>
        <v>456.28100000000001</v>
      </c>
      <c r="P93" s="133">
        <f t="shared" si="22"/>
        <v>459.33600000000001</v>
      </c>
      <c r="Q93" s="119"/>
    </row>
    <row r="94" spans="2:18" ht="16.5" thickBot="1">
      <c r="B94" s="2625"/>
      <c r="C94" s="2642" t="s">
        <v>677</v>
      </c>
      <c r="D94" s="2867"/>
      <c r="E94" s="531">
        <f t="shared" ref="E94:P94" si="23">+ROUND(E91*100/$E$21,3)</f>
        <v>497.30900000000003</v>
      </c>
      <c r="F94" s="531">
        <f t="shared" si="23"/>
        <v>497.30900000000003</v>
      </c>
      <c r="G94" s="531">
        <f t="shared" si="23"/>
        <v>497.30900000000003</v>
      </c>
      <c r="H94" s="531">
        <f t="shared" si="23"/>
        <v>497.30900000000003</v>
      </c>
      <c r="I94" s="531">
        <f t="shared" si="23"/>
        <v>546.58600000000001</v>
      </c>
      <c r="J94" s="531">
        <f t="shared" si="23"/>
        <v>546.59799999999996</v>
      </c>
      <c r="K94" s="531">
        <f t="shared" si="23"/>
        <v>579.60500000000002</v>
      </c>
      <c r="L94" s="531">
        <f t="shared" si="23"/>
        <v>579.62900000000002</v>
      </c>
      <c r="M94" s="531">
        <f t="shared" si="23"/>
        <v>579.62900000000002</v>
      </c>
      <c r="N94" s="531">
        <f t="shared" si="23"/>
        <v>579.36400000000003</v>
      </c>
      <c r="O94" s="531">
        <f t="shared" si="23"/>
        <v>579.36400000000003</v>
      </c>
      <c r="P94" s="134">
        <f t="shared" si="23"/>
        <v>668.49</v>
      </c>
      <c r="Q94" s="119"/>
    </row>
    <row r="95" spans="2:18" ht="7.5" customHeight="1" thickBot="1">
      <c r="D95" s="363"/>
      <c r="Q95" s="119"/>
    </row>
    <row r="96" spans="2:18" ht="23.25" customHeight="1" thickBot="1">
      <c r="B96" s="2636" t="s">
        <v>788</v>
      </c>
      <c r="C96" s="2637"/>
      <c r="D96" s="2638"/>
      <c r="E96" s="135">
        <f t="shared" ref="E96:P96" si="24">+ROUND(E93*0.8+E94*0.2,2)</f>
        <v>434.36</v>
      </c>
      <c r="F96" s="135">
        <f t="shared" si="24"/>
        <v>434.36</v>
      </c>
      <c r="G96" s="135">
        <f t="shared" si="24"/>
        <v>442.76</v>
      </c>
      <c r="H96" s="135">
        <f t="shared" si="24"/>
        <v>442.93</v>
      </c>
      <c r="I96" s="135">
        <f t="shared" si="24"/>
        <v>452.79</v>
      </c>
      <c r="J96" s="135">
        <f>+ROUND(J93*0.8+J94*0.2,2)</f>
        <v>455</v>
      </c>
      <c r="K96" s="136">
        <f t="shared" si="24"/>
        <v>461.6</v>
      </c>
      <c r="L96" s="136">
        <f>+ROUND(L93*0.8+L94*0.2,2)</f>
        <v>462.23</v>
      </c>
      <c r="M96" s="136">
        <f>+ROUND(M93*0.8+M94*0.2,2)</f>
        <v>478.85</v>
      </c>
      <c r="N96" s="136">
        <f>+ROUND(N93*0.8+N94*0.2,2)</f>
        <v>478.79</v>
      </c>
      <c r="O96" s="136">
        <f>+ROUND(O93*0.8+O94*0.2,2)</f>
        <v>480.9</v>
      </c>
      <c r="P96" s="136">
        <f t="shared" si="24"/>
        <v>501.17</v>
      </c>
      <c r="Q96" s="119"/>
    </row>
    <row r="97" spans="2:17" ht="9.75" customHeight="1" thickBot="1">
      <c r="Q97" s="119"/>
    </row>
    <row r="98" spans="2:17" ht="16.5" customHeight="1" thickBot="1">
      <c r="B98" s="2844" t="s">
        <v>673</v>
      </c>
      <c r="C98" s="2864" t="s">
        <v>656</v>
      </c>
      <c r="D98" s="2765"/>
      <c r="E98" s="2619">
        <v>39448</v>
      </c>
      <c r="F98" s="2619">
        <v>39479</v>
      </c>
      <c r="G98" s="2619">
        <v>39508</v>
      </c>
      <c r="H98" s="2619">
        <v>39539</v>
      </c>
      <c r="I98" s="2619">
        <v>39569</v>
      </c>
      <c r="J98" s="2619">
        <v>39600</v>
      </c>
      <c r="K98" s="2619">
        <v>39630</v>
      </c>
      <c r="L98" s="2619">
        <v>39661</v>
      </c>
      <c r="M98" s="2619">
        <v>39692</v>
      </c>
      <c r="N98" s="2619">
        <v>39722</v>
      </c>
      <c r="O98" s="2619">
        <v>39753</v>
      </c>
      <c r="P98" s="2617">
        <v>39783</v>
      </c>
      <c r="Q98" s="119"/>
    </row>
    <row r="99" spans="2:17" ht="11.25" hidden="1" customHeight="1" thickBot="1">
      <c r="B99" s="2667"/>
      <c r="C99" s="2864"/>
      <c r="D99" s="2765"/>
      <c r="E99" s="2620"/>
      <c r="F99" s="2620"/>
      <c r="G99" s="2620"/>
      <c r="H99" s="2620"/>
      <c r="I99" s="2620"/>
      <c r="J99" s="2620"/>
      <c r="K99" s="2620"/>
      <c r="L99" s="2620"/>
      <c r="M99" s="2620"/>
      <c r="N99" s="2620"/>
      <c r="O99" s="2620"/>
      <c r="P99" s="2618"/>
      <c r="Q99" s="119"/>
    </row>
    <row r="100" spans="2:17" ht="3.75" hidden="1" customHeight="1" thickBot="1">
      <c r="B100" s="2709"/>
      <c r="C100" s="2864"/>
      <c r="D100" s="2765"/>
      <c r="E100" s="2870"/>
      <c r="F100" s="2870"/>
      <c r="G100" s="2870"/>
      <c r="H100" s="2870"/>
      <c r="I100" s="2870"/>
      <c r="J100" s="2870"/>
      <c r="K100" s="2870"/>
      <c r="L100" s="2870"/>
      <c r="M100" s="2870"/>
      <c r="N100" s="2870"/>
      <c r="O100" s="2870"/>
      <c r="P100" s="2868"/>
      <c r="Q100" s="119"/>
    </row>
    <row r="101" spans="2:17" ht="19.5" customHeight="1">
      <c r="B101" s="563" t="s">
        <v>782</v>
      </c>
      <c r="C101" s="2869">
        <v>98</v>
      </c>
      <c r="D101" s="2869"/>
      <c r="E101" s="701">
        <f>+'TABLA FINAL '!CF118</f>
        <v>433.46</v>
      </c>
      <c r="F101" s="701">
        <f>+'TABLA FINAL '!CG118</f>
        <v>433.46</v>
      </c>
      <c r="G101" s="701">
        <f>+'TABLA FINAL '!CH118</f>
        <v>433.46</v>
      </c>
      <c r="H101" s="701">
        <f>+'TABLA FINAL '!CI118</f>
        <v>451.41</v>
      </c>
      <c r="I101" s="701">
        <f>+'TABLA FINAL '!CJ118</f>
        <v>451.41</v>
      </c>
      <c r="J101" s="701">
        <f>+'TABLA FINAL '!CK118</f>
        <v>482.83</v>
      </c>
      <c r="K101" s="701">
        <f>+'TABLA FINAL '!CL118</f>
        <v>492.49</v>
      </c>
      <c r="L101" s="701">
        <f>+'TABLA FINAL '!CM118</f>
        <v>492.49</v>
      </c>
      <c r="M101" s="701">
        <f>+'TABLA FINAL '!CN118</f>
        <v>526.75</v>
      </c>
      <c r="N101" s="701">
        <f>+'TABLA FINAL '!CO118</f>
        <v>526.75</v>
      </c>
      <c r="O101" s="701">
        <f>+'TABLA FINAL '!CP118</f>
        <v>526.75</v>
      </c>
      <c r="P101" s="574">
        <f>+'TABLA FINAL '!CQ118</f>
        <v>526.75</v>
      </c>
      <c r="Q101" s="119"/>
    </row>
    <row r="102" spans="2:17">
      <c r="B102" s="372" t="s">
        <v>783</v>
      </c>
      <c r="C102" s="2658">
        <v>1</v>
      </c>
      <c r="D102" s="2658"/>
      <c r="E102" s="139">
        <f>+'TABLA FINAL '!CF5</f>
        <v>6.56</v>
      </c>
      <c r="F102" s="139">
        <f>+'TABLA FINAL '!CG5</f>
        <v>6.56</v>
      </c>
      <c r="G102" s="139">
        <f>+'TABLA FINAL '!CH5</f>
        <v>6.56</v>
      </c>
      <c r="H102" s="139">
        <f>+'TABLA FINAL '!CI5</f>
        <v>7.21</v>
      </c>
      <c r="I102" s="139">
        <f>+'TABLA FINAL '!CJ5</f>
        <v>7.21</v>
      </c>
      <c r="J102" s="139">
        <f>+'TABLA FINAL '!CK5</f>
        <v>7.21</v>
      </c>
      <c r="K102" s="139">
        <f>+'TABLA FINAL '!CL5</f>
        <v>7.54</v>
      </c>
      <c r="L102" s="139">
        <f>+'TABLA FINAL '!CM5</f>
        <v>7.54</v>
      </c>
      <c r="M102" s="139">
        <f>+'TABLA FINAL '!CN5</f>
        <v>7.54</v>
      </c>
      <c r="N102" s="139">
        <f>+'TABLA FINAL '!CO5</f>
        <v>7.84</v>
      </c>
      <c r="O102" s="139">
        <f>+'TABLA FINAL '!CP5</f>
        <v>7.84</v>
      </c>
      <c r="P102" s="141">
        <f>+'TABLA FINAL '!CQ5</f>
        <v>7.84</v>
      </c>
      <c r="Q102" s="119"/>
    </row>
    <row r="103" spans="2:17">
      <c r="B103" s="566" t="s">
        <v>784</v>
      </c>
      <c r="C103" s="2626" t="s">
        <v>473</v>
      </c>
      <c r="D103" s="2865"/>
      <c r="E103" s="568">
        <f>+'TABLA FINAL '!CF11</f>
        <v>0</v>
      </c>
      <c r="F103" s="568">
        <f>+'TABLA FINAL '!CH11</f>
        <v>0</v>
      </c>
      <c r="G103" s="568">
        <f>+'TABLA FINAL '!DH11</f>
        <v>0.56799999999999995</v>
      </c>
      <c r="H103" s="568">
        <f>+'TABLA FINAL '!DN11</f>
        <v>0</v>
      </c>
      <c r="I103" s="568">
        <f>'TABLA FINAL '!CJ26</f>
        <v>0.42599999999999999</v>
      </c>
      <c r="J103" s="568"/>
      <c r="K103" s="568">
        <f>'TABLA FINAL '!CL26</f>
        <v>0.42599999999999999</v>
      </c>
      <c r="L103" s="568">
        <f>'TABLA FINAL '!CM26</f>
        <v>0</v>
      </c>
      <c r="M103" s="568">
        <f>'TABLA FINAL '!CN26</f>
        <v>0.56799999999999995</v>
      </c>
      <c r="N103" s="568">
        <f>'TABLA FINAL '!CO26</f>
        <v>0</v>
      </c>
      <c r="O103" s="568">
        <f>'TABLA FINAL '!CP26</f>
        <v>0</v>
      </c>
      <c r="P103" s="575">
        <f>'TABLA FINAL '!CQ26</f>
        <v>0</v>
      </c>
      <c r="Q103" s="119"/>
    </row>
    <row r="104" spans="2:17">
      <c r="B104" s="566" t="s">
        <v>496</v>
      </c>
      <c r="C104" s="2626" t="s">
        <v>492</v>
      </c>
      <c r="D104" s="2865"/>
      <c r="E104" s="568">
        <f>+'TABLA FINAL '!CF16</f>
        <v>0</v>
      </c>
      <c r="F104" s="568">
        <f>+'TABLA FINAL '!CH16</f>
        <v>0</v>
      </c>
      <c r="G104" s="568">
        <f>+'TABLA FINAL '!DH16</f>
        <v>0</v>
      </c>
      <c r="H104" s="568">
        <f>+'TABLA FINAL '!DN16</f>
        <v>0</v>
      </c>
      <c r="I104" s="568">
        <f>+'TABLA FINAL '!DO16</f>
        <v>0</v>
      </c>
      <c r="J104" s="568">
        <f>+'TABLA FINAL '!DP16</f>
        <v>0</v>
      </c>
      <c r="K104" s="568">
        <f>+'TABLA FINAL '!DQ16</f>
        <v>0</v>
      </c>
      <c r="L104" s="568">
        <f>+'TABLA FINAL '!DR16</f>
        <v>0</v>
      </c>
      <c r="M104" s="568">
        <f>+'TABLA FINAL '!DS16</f>
        <v>0</v>
      </c>
      <c r="N104" s="568">
        <f>+'TABLA FINAL '!DT16</f>
        <v>0</v>
      </c>
      <c r="O104" s="568">
        <f>+'TABLA FINAL '!DU16</f>
        <v>0</v>
      </c>
      <c r="P104" s="575">
        <f>+'TABLA FINAL '!DV16</f>
        <v>0</v>
      </c>
      <c r="Q104" s="119"/>
    </row>
    <row r="105" spans="2:17" ht="16.5" thickBot="1">
      <c r="B105" s="373" t="s">
        <v>785</v>
      </c>
      <c r="C105" s="2661" t="s">
        <v>786</v>
      </c>
      <c r="D105" s="2661"/>
      <c r="E105" s="448">
        <f t="shared" ref="E105:P105" si="25">(E102+E104)*8*2.2521+E103*8</f>
        <v>118.190208</v>
      </c>
      <c r="F105" s="448">
        <f t="shared" si="25"/>
        <v>118.190208</v>
      </c>
      <c r="G105" s="448">
        <f t="shared" si="25"/>
        <v>122.734208</v>
      </c>
      <c r="H105" s="448">
        <f t="shared" si="25"/>
        <v>129.901128</v>
      </c>
      <c r="I105" s="448">
        <f t="shared" si="25"/>
        <v>133.30912799999999</v>
      </c>
      <c r="J105" s="448">
        <f t="shared" si="25"/>
        <v>129.901128</v>
      </c>
      <c r="K105" s="448">
        <f t="shared" si="25"/>
        <v>139.254672</v>
      </c>
      <c r="L105" s="448">
        <f t="shared" si="25"/>
        <v>135.84667200000001</v>
      </c>
      <c r="M105" s="448">
        <f t="shared" si="25"/>
        <v>140.39067200000002</v>
      </c>
      <c r="N105" s="448">
        <f t="shared" si="25"/>
        <v>141.251712</v>
      </c>
      <c r="O105" s="448">
        <f t="shared" si="25"/>
        <v>141.251712</v>
      </c>
      <c r="P105" s="131">
        <f t="shared" si="25"/>
        <v>141.251712</v>
      </c>
      <c r="Q105" s="119"/>
    </row>
    <row r="106" spans="2:17" ht="16.5" thickBot="1">
      <c r="Q106" s="119"/>
    </row>
    <row r="107" spans="2:17">
      <c r="B107" s="2623" t="s">
        <v>675</v>
      </c>
      <c r="C107" s="2659" t="s">
        <v>787</v>
      </c>
      <c r="D107" s="2866"/>
      <c r="E107" s="516">
        <f>+ROUND((E101*100/$E$18),3)</f>
        <v>473.05500000000001</v>
      </c>
      <c r="F107" s="516">
        <f>+ROUND((F101*100/$E$18),3)</f>
        <v>473.05500000000001</v>
      </c>
      <c r="G107" s="516">
        <f t="shared" ref="G107:L107" si="26">+ROUND((G101*100/$E$18),3)</f>
        <v>473.05500000000001</v>
      </c>
      <c r="H107" s="516">
        <f t="shared" si="26"/>
        <v>492.64400000000001</v>
      </c>
      <c r="I107" s="516">
        <f t="shared" si="26"/>
        <v>492.64400000000001</v>
      </c>
      <c r="J107" s="516">
        <f t="shared" si="26"/>
        <v>526.93399999999997</v>
      </c>
      <c r="K107" s="516">
        <f t="shared" si="26"/>
        <v>537.47699999999998</v>
      </c>
      <c r="L107" s="516">
        <f t="shared" si="26"/>
        <v>537.47699999999998</v>
      </c>
      <c r="M107" s="516">
        <f>+ROUND((M101*100/$E$18),3)</f>
        <v>574.86599999999999</v>
      </c>
      <c r="N107" s="516">
        <f>+ROUND((N101*100/$E$18),3)</f>
        <v>574.86599999999999</v>
      </c>
      <c r="O107" s="516">
        <f>+ROUND((O101*100/$E$18),3)</f>
        <v>574.86599999999999</v>
      </c>
      <c r="P107" s="133">
        <f>+ROUND((P101*100/$E$18),3)</f>
        <v>574.86599999999999</v>
      </c>
      <c r="Q107" s="119"/>
    </row>
    <row r="108" spans="2:17" ht="16.5" thickBot="1">
      <c r="B108" s="2625"/>
      <c r="C108" s="2642" t="s">
        <v>677</v>
      </c>
      <c r="D108" s="2867"/>
      <c r="E108" s="531">
        <f>+ROUND(E105*100/$E$21,3)</f>
        <v>579.36400000000003</v>
      </c>
      <c r="F108" s="531">
        <f>+ROUND(F105*100/$E$21,3)</f>
        <v>579.36400000000003</v>
      </c>
      <c r="G108" s="531">
        <f t="shared" ref="G108:L108" si="27">+ROUND(G105*100/$E$21,3)</f>
        <v>601.63800000000003</v>
      </c>
      <c r="H108" s="531">
        <f t="shared" si="27"/>
        <v>636.77</v>
      </c>
      <c r="I108" s="531">
        <f t="shared" si="27"/>
        <v>653.476</v>
      </c>
      <c r="J108" s="531">
        <f t="shared" si="27"/>
        <v>636.77</v>
      </c>
      <c r="K108" s="531">
        <f t="shared" si="27"/>
        <v>682.62099999999998</v>
      </c>
      <c r="L108" s="531">
        <f t="shared" si="27"/>
        <v>665.91499999999996</v>
      </c>
      <c r="M108" s="531">
        <f>+ROUND(M105*100/$E$21,3)</f>
        <v>688.19</v>
      </c>
      <c r="N108" s="531">
        <f>+ROUND(N105*100/$E$21,3)</f>
        <v>692.41</v>
      </c>
      <c r="O108" s="531">
        <f>+ROUND(O105*100/$E$21,3)</f>
        <v>692.41</v>
      </c>
      <c r="P108" s="134">
        <f>+ROUND(P105*100/$E$21,3)</f>
        <v>692.41</v>
      </c>
      <c r="Q108" s="119"/>
    </row>
    <row r="109" spans="2:17" ht="10.5" customHeight="1" thickBot="1">
      <c r="D109" s="363"/>
      <c r="Q109" s="119"/>
    </row>
    <row r="110" spans="2:17" ht="16.5" thickBot="1">
      <c r="B110" s="2636" t="s">
        <v>788</v>
      </c>
      <c r="C110" s="2637"/>
      <c r="D110" s="2638"/>
      <c r="E110" s="135">
        <f>+ROUND(E107*0.8+E108*0.2,2)</f>
        <v>494.32</v>
      </c>
      <c r="F110" s="135">
        <f>+ROUND(F107*0.8+F108*0.2,2)</f>
        <v>494.32</v>
      </c>
      <c r="G110" s="135">
        <f t="shared" ref="G110:L110" si="28">+ROUND(G107*0.8+G108*0.2,2)</f>
        <v>498.77</v>
      </c>
      <c r="H110" s="135">
        <f t="shared" si="28"/>
        <v>521.47</v>
      </c>
      <c r="I110" s="135">
        <f t="shared" si="28"/>
        <v>524.80999999999995</v>
      </c>
      <c r="J110" s="135">
        <f t="shared" si="28"/>
        <v>548.9</v>
      </c>
      <c r="K110" s="135">
        <f t="shared" si="28"/>
        <v>566.51</v>
      </c>
      <c r="L110" s="135">
        <f t="shared" si="28"/>
        <v>563.16</v>
      </c>
      <c r="M110" s="135">
        <f>+ROUND(M107*0.8+M108*0.2,2)</f>
        <v>597.53</v>
      </c>
      <c r="N110" s="135">
        <f>+ROUND(N107*0.8+N108*0.2,2)</f>
        <v>598.37</v>
      </c>
      <c r="O110" s="135">
        <f>+ROUND(O107*0.8+O108*0.2,2)</f>
        <v>598.37</v>
      </c>
      <c r="P110" s="136">
        <f>+ROUND(P107*0.8+P108*0.2,2)</f>
        <v>598.37</v>
      </c>
      <c r="Q110" s="119"/>
    </row>
    <row r="111" spans="2:17" ht="16.5" thickBot="1"/>
    <row r="112" spans="2:17" ht="21" customHeight="1" thickBot="1">
      <c r="B112" s="2844" t="s">
        <v>673</v>
      </c>
      <c r="C112" s="2864" t="s">
        <v>656</v>
      </c>
      <c r="D112" s="2765"/>
      <c r="E112" s="2680">
        <v>39814</v>
      </c>
      <c r="F112" s="2619">
        <v>39845</v>
      </c>
      <c r="G112" s="2619">
        <v>39873</v>
      </c>
      <c r="H112" s="2619">
        <v>39904</v>
      </c>
      <c r="I112" s="2619">
        <v>39934</v>
      </c>
      <c r="J112" s="2619">
        <v>39965</v>
      </c>
      <c r="K112" s="2619">
        <v>39995</v>
      </c>
      <c r="L112" s="2619">
        <v>40026</v>
      </c>
      <c r="M112" s="2619">
        <v>40057</v>
      </c>
      <c r="N112" s="2619">
        <v>40087</v>
      </c>
      <c r="O112" s="2619">
        <v>40118</v>
      </c>
      <c r="P112" s="2617">
        <v>40148</v>
      </c>
    </row>
    <row r="113" spans="2:16" ht="12.75" hidden="1" customHeight="1" thickBot="1">
      <c r="B113" s="2667"/>
      <c r="C113" s="2864"/>
      <c r="D113" s="2765"/>
      <c r="E113" s="2620"/>
      <c r="F113" s="2620"/>
      <c r="G113" s="2620"/>
      <c r="H113" s="2620"/>
      <c r="I113" s="2620"/>
      <c r="J113" s="2620"/>
      <c r="K113" s="2620"/>
      <c r="L113" s="2620"/>
      <c r="M113" s="2620"/>
      <c r="N113" s="2620"/>
      <c r="O113" s="2620"/>
      <c r="P113" s="2618"/>
    </row>
    <row r="114" spans="2:16" ht="0.75" customHeight="1" thickBot="1">
      <c r="B114" s="2709"/>
      <c r="C114" s="2864"/>
      <c r="D114" s="2765"/>
      <c r="E114" s="2870"/>
      <c r="F114" s="2870"/>
      <c r="G114" s="2870"/>
      <c r="H114" s="2870"/>
      <c r="I114" s="2870"/>
      <c r="J114" s="2870"/>
      <c r="K114" s="2870"/>
      <c r="L114" s="2870"/>
      <c r="M114" s="2870"/>
      <c r="N114" s="2870"/>
      <c r="O114" s="2870"/>
      <c r="P114" s="2868"/>
    </row>
    <row r="115" spans="2:16">
      <c r="B115" s="563" t="s">
        <v>782</v>
      </c>
      <c r="C115" s="2869">
        <v>98</v>
      </c>
      <c r="D115" s="2869"/>
      <c r="E115" s="701">
        <f>+'TABLA FINAL '!CR118</f>
        <v>526.75</v>
      </c>
      <c r="F115" s="701">
        <f>+'TABLA FINAL '!CS118</f>
        <v>526.75</v>
      </c>
      <c r="G115" s="701">
        <f>+'TABLA FINAL '!CT118</f>
        <v>526.75</v>
      </c>
      <c r="H115" s="701">
        <f>+'TABLA FINAL '!CU118</f>
        <v>526.75</v>
      </c>
      <c r="I115" s="701">
        <f>+'TABLA FINAL '!CV118</f>
        <v>526.75</v>
      </c>
      <c r="J115" s="701">
        <f>+'TABLA FINAL '!CW118</f>
        <v>526.75</v>
      </c>
      <c r="K115" s="701">
        <f>+'TABLA FINAL '!CX118</f>
        <v>532.78</v>
      </c>
      <c r="L115" s="701">
        <f>+'TABLA FINAL '!CY118</f>
        <v>532.78</v>
      </c>
      <c r="M115" s="701">
        <f>+'TABLA FINAL '!CZ118</f>
        <v>532.78</v>
      </c>
      <c r="N115" s="701">
        <f>+'TABLA FINAL '!DA118</f>
        <v>537.76</v>
      </c>
      <c r="O115" s="701">
        <f>+'TABLA FINAL '!DB118</f>
        <v>537.76</v>
      </c>
      <c r="P115" s="574">
        <f>+'TABLA FINAL '!DC118</f>
        <v>533.17999999999995</v>
      </c>
    </row>
    <row r="116" spans="2:16">
      <c r="B116" s="372" t="s">
        <v>783</v>
      </c>
      <c r="C116" s="2658">
        <v>1</v>
      </c>
      <c r="D116" s="2658"/>
      <c r="E116" s="139">
        <f>+'TABLA FINAL '!CR5</f>
        <v>7.84</v>
      </c>
      <c r="F116" s="139">
        <f>+'TABLA FINAL '!CS5</f>
        <v>7.84</v>
      </c>
      <c r="G116" s="139">
        <f>+'TABLA FINAL '!CT5</f>
        <v>7.84</v>
      </c>
      <c r="H116" s="139">
        <f>+'TABLA FINAL '!CU5</f>
        <v>7.84</v>
      </c>
      <c r="I116" s="139">
        <f>+'TABLA FINAL '!CV5</f>
        <v>7.84</v>
      </c>
      <c r="J116" s="139">
        <f>+'TABLA FINAL '!CW5</f>
        <v>8.5500000000000007</v>
      </c>
      <c r="K116" s="139">
        <f>+'TABLA FINAL '!CX5</f>
        <v>8.5500000000000007</v>
      </c>
      <c r="L116" s="139">
        <f>+'TABLA FINAL '!CY5</f>
        <v>8.5500000000000007</v>
      </c>
      <c r="M116" s="139">
        <f>+'TABLA FINAL '!CZ5</f>
        <v>8.5500000000000007</v>
      </c>
      <c r="N116" s="139">
        <f>+'TABLA FINAL '!DA5</f>
        <v>9.06</v>
      </c>
      <c r="O116" s="139">
        <f>+'TABLA FINAL '!DB5</f>
        <v>9.06</v>
      </c>
      <c r="P116" s="141">
        <f>+'TABLA FINAL '!DC5</f>
        <v>9.06</v>
      </c>
    </row>
    <row r="117" spans="2:16">
      <c r="B117" s="566" t="s">
        <v>784</v>
      </c>
      <c r="C117" s="2626" t="s">
        <v>330</v>
      </c>
      <c r="D117" s="2865"/>
      <c r="E117" s="568">
        <f>+'TABLA FINAL '!CR26</f>
        <v>0</v>
      </c>
      <c r="F117" s="568">
        <f>+'TABLA FINAL '!CS26</f>
        <v>0</v>
      </c>
      <c r="G117" s="568">
        <f>+'TABLA FINAL '!CT26</f>
        <v>0</v>
      </c>
      <c r="H117" s="568">
        <f>+'TABLA FINAL '!CU26</f>
        <v>0</v>
      </c>
      <c r="I117" s="570">
        <f>+'TABLA FINAL '!CV26</f>
        <v>1.0227272727272727</v>
      </c>
      <c r="J117" s="570">
        <f>+'TABLA FINAL '!CW26</f>
        <v>0</v>
      </c>
      <c r="K117" s="568"/>
      <c r="L117" s="568"/>
      <c r="M117" s="568"/>
      <c r="N117" s="568"/>
      <c r="O117" s="568"/>
      <c r="P117" s="575"/>
    </row>
    <row r="118" spans="2:16">
      <c r="B118" s="566" t="s">
        <v>496</v>
      </c>
      <c r="C118" s="2626" t="s">
        <v>492</v>
      </c>
      <c r="D118" s="2865"/>
      <c r="E118" s="568">
        <f>+'TABLA FINAL '!CF30</f>
        <v>0</v>
      </c>
      <c r="F118" s="568">
        <f>+'TABLA FINAL '!CG30</f>
        <v>0</v>
      </c>
      <c r="G118" s="568">
        <f>+'TABLA FINAL '!CH30</f>
        <v>0</v>
      </c>
      <c r="H118" s="568">
        <f>+'TABLA FINAL '!CI30</f>
        <v>0</v>
      </c>
      <c r="I118" s="568">
        <f>+'TABLA FINAL '!CJ30</f>
        <v>0</v>
      </c>
      <c r="J118" s="568">
        <f>+'TABLA FINAL '!CK30</f>
        <v>0</v>
      </c>
      <c r="K118" s="568"/>
      <c r="L118" s="568"/>
      <c r="M118" s="568"/>
      <c r="N118" s="568"/>
      <c r="O118" s="568"/>
      <c r="P118" s="575"/>
    </row>
    <row r="119" spans="2:16" ht="16.5" thickBot="1">
      <c r="B119" s="373" t="s">
        <v>785</v>
      </c>
      <c r="C119" s="2661" t="s">
        <v>786</v>
      </c>
      <c r="D119" s="2661"/>
      <c r="E119" s="448">
        <f t="shared" ref="E119:P119" si="29">(E116+E118)*8*2.2521+E117*8</f>
        <v>141.251712</v>
      </c>
      <c r="F119" s="448">
        <f t="shared" si="29"/>
        <v>141.251712</v>
      </c>
      <c r="G119" s="448">
        <f t="shared" si="29"/>
        <v>141.251712</v>
      </c>
      <c r="H119" s="448">
        <f t="shared" si="29"/>
        <v>141.251712</v>
      </c>
      <c r="I119" s="448">
        <f t="shared" si="29"/>
        <v>149.43353018181818</v>
      </c>
      <c r="J119" s="448">
        <f t="shared" si="29"/>
        <v>154.04364000000001</v>
      </c>
      <c r="K119" s="448">
        <f t="shared" si="29"/>
        <v>154.04364000000001</v>
      </c>
      <c r="L119" s="448">
        <f t="shared" si="29"/>
        <v>154.04364000000001</v>
      </c>
      <c r="M119" s="448">
        <f t="shared" si="29"/>
        <v>154.04364000000001</v>
      </c>
      <c r="N119" s="448">
        <f t="shared" si="29"/>
        <v>163.23220800000001</v>
      </c>
      <c r="O119" s="448">
        <f t="shared" si="29"/>
        <v>163.23220800000001</v>
      </c>
      <c r="P119" s="131">
        <f t="shared" si="29"/>
        <v>163.23220800000001</v>
      </c>
    </row>
    <row r="120" spans="2:16" ht="16.5" thickBot="1">
      <c r="P120" s="361"/>
    </row>
    <row r="121" spans="2:16">
      <c r="B121" s="2623" t="s">
        <v>675</v>
      </c>
      <c r="C121" s="2659" t="s">
        <v>787</v>
      </c>
      <c r="D121" s="2866"/>
      <c r="E121" s="516">
        <f t="shared" ref="E121:J121" si="30">+ROUND((E115*100/$E$18),3)</f>
        <v>574.86599999999999</v>
      </c>
      <c r="F121" s="516">
        <f t="shared" si="30"/>
        <v>574.86599999999999</v>
      </c>
      <c r="G121" s="516">
        <f t="shared" si="30"/>
        <v>574.86599999999999</v>
      </c>
      <c r="H121" s="516">
        <f t="shared" si="30"/>
        <v>574.86599999999999</v>
      </c>
      <c r="I121" s="516">
        <f t="shared" si="30"/>
        <v>574.86599999999999</v>
      </c>
      <c r="J121" s="516">
        <f t="shared" si="30"/>
        <v>574.86599999999999</v>
      </c>
      <c r="K121" s="516">
        <f t="shared" ref="K121:P121" si="31">+ROUND((K115*100/$E$18),3)</f>
        <v>581.447</v>
      </c>
      <c r="L121" s="516">
        <f t="shared" si="31"/>
        <v>581.447</v>
      </c>
      <c r="M121" s="516">
        <f t="shared" si="31"/>
        <v>581.447</v>
      </c>
      <c r="N121" s="516">
        <f t="shared" si="31"/>
        <v>586.88199999999995</v>
      </c>
      <c r="O121" s="516">
        <f t="shared" si="31"/>
        <v>586.88199999999995</v>
      </c>
      <c r="P121" s="133">
        <f t="shared" si="31"/>
        <v>581.88400000000001</v>
      </c>
    </row>
    <row r="122" spans="2:16" ht="16.5" thickBot="1">
      <c r="B122" s="2625"/>
      <c r="C122" s="2642" t="s">
        <v>677</v>
      </c>
      <c r="D122" s="2867"/>
      <c r="E122" s="531">
        <f t="shared" ref="E122:J122" si="32">+ROUND(E119*100/$E$21,3)</f>
        <v>692.41</v>
      </c>
      <c r="F122" s="531">
        <f t="shared" si="32"/>
        <v>692.41</v>
      </c>
      <c r="G122" s="531">
        <f t="shared" si="32"/>
        <v>692.41</v>
      </c>
      <c r="H122" s="531">
        <f t="shared" si="32"/>
        <v>692.41</v>
      </c>
      <c r="I122" s="531">
        <f t="shared" si="32"/>
        <v>732.51700000000005</v>
      </c>
      <c r="J122" s="531">
        <f t="shared" si="32"/>
        <v>755.11599999999999</v>
      </c>
      <c r="K122" s="531">
        <f t="shared" ref="K122:P122" si="33">+ROUND(K119*100/$E$21,3)</f>
        <v>755.11599999999999</v>
      </c>
      <c r="L122" s="531">
        <f t="shared" si="33"/>
        <v>755.11599999999999</v>
      </c>
      <c r="M122" s="531">
        <f t="shared" si="33"/>
        <v>755.11599999999999</v>
      </c>
      <c r="N122" s="531">
        <f t="shared" si="33"/>
        <v>800.15800000000002</v>
      </c>
      <c r="O122" s="531">
        <f t="shared" si="33"/>
        <v>800.15800000000002</v>
      </c>
      <c r="P122" s="134">
        <f t="shared" si="33"/>
        <v>800.15800000000002</v>
      </c>
    </row>
    <row r="123" spans="2:16" ht="7.5" customHeight="1" thickBot="1">
      <c r="D123" s="363"/>
      <c r="P123" s="361"/>
    </row>
    <row r="124" spans="2:16" ht="16.5" thickBot="1">
      <c r="B124" s="2636" t="s">
        <v>788</v>
      </c>
      <c r="C124" s="2637"/>
      <c r="D124" s="2638"/>
      <c r="E124" s="1245">
        <f t="shared" ref="E124:J124" si="34">+ROUND(E121*0.8+E122*0.2,2)</f>
        <v>598.37</v>
      </c>
      <c r="F124" s="135">
        <f t="shared" si="34"/>
        <v>598.37</v>
      </c>
      <c r="G124" s="135">
        <f t="shared" si="34"/>
        <v>598.37</v>
      </c>
      <c r="H124" s="135">
        <f t="shared" si="34"/>
        <v>598.37</v>
      </c>
      <c r="I124" s="135">
        <f t="shared" si="34"/>
        <v>606.4</v>
      </c>
      <c r="J124" s="135">
        <f t="shared" si="34"/>
        <v>610.91999999999996</v>
      </c>
      <c r="K124" s="135">
        <f t="shared" ref="K124:P124" si="35">+ROUND(K121*0.8+K122*0.2,2)</f>
        <v>616.17999999999995</v>
      </c>
      <c r="L124" s="135">
        <f t="shared" si="35"/>
        <v>616.17999999999995</v>
      </c>
      <c r="M124" s="135">
        <f t="shared" si="35"/>
        <v>616.17999999999995</v>
      </c>
      <c r="N124" s="135">
        <f t="shared" si="35"/>
        <v>629.54</v>
      </c>
      <c r="O124" s="135">
        <f t="shared" si="35"/>
        <v>629.54</v>
      </c>
      <c r="P124" s="136">
        <f t="shared" si="35"/>
        <v>625.54</v>
      </c>
    </row>
    <row r="125" spans="2:16" ht="16.5" thickBot="1">
      <c r="P125" s="361"/>
    </row>
    <row r="126" spans="2:16" ht="17.25" customHeight="1" thickBot="1">
      <c r="B126" s="2844" t="s">
        <v>673</v>
      </c>
      <c r="C126" s="2864" t="s">
        <v>656</v>
      </c>
      <c r="D126" s="2765"/>
      <c r="E126" s="2604">
        <v>40179</v>
      </c>
      <c r="F126" s="2604">
        <v>40210</v>
      </c>
      <c r="G126" s="2604">
        <v>40238</v>
      </c>
      <c r="H126" s="2604">
        <v>40269</v>
      </c>
      <c r="I126" s="2604">
        <v>40299</v>
      </c>
      <c r="J126" s="2604">
        <v>40330</v>
      </c>
      <c r="K126" s="2604">
        <v>40360</v>
      </c>
      <c r="L126" s="2604">
        <v>40391</v>
      </c>
      <c r="M126" s="2604">
        <v>40422</v>
      </c>
      <c r="N126" s="2604">
        <v>40452</v>
      </c>
      <c r="O126" s="2604">
        <v>40483</v>
      </c>
      <c r="P126" s="2617">
        <v>40513</v>
      </c>
    </row>
    <row r="127" spans="2:16" ht="12.75" hidden="1" customHeight="1">
      <c r="B127" s="2667"/>
      <c r="C127" s="2864"/>
      <c r="D127" s="2765"/>
      <c r="E127" s="2605"/>
      <c r="F127" s="2605"/>
      <c r="G127" s="2605"/>
      <c r="H127" s="2605"/>
      <c r="I127" s="2605"/>
      <c r="J127" s="2605"/>
      <c r="K127" s="2605"/>
      <c r="L127" s="2605"/>
      <c r="M127" s="2605"/>
      <c r="N127" s="2605"/>
      <c r="O127" s="2605"/>
      <c r="P127" s="2618"/>
    </row>
    <row r="128" spans="2:16" ht="0.75" customHeight="1" thickBot="1">
      <c r="B128" s="2709"/>
      <c r="C128" s="2864"/>
      <c r="D128" s="2765"/>
      <c r="E128" s="2740"/>
      <c r="F128" s="2740"/>
      <c r="G128" s="2740"/>
      <c r="H128" s="2740"/>
      <c r="I128" s="2740"/>
      <c r="J128" s="2740"/>
      <c r="K128" s="2740"/>
      <c r="L128" s="2740"/>
      <c r="M128" s="2740"/>
      <c r="N128" s="2740"/>
      <c r="O128" s="2740"/>
      <c r="P128" s="2868"/>
    </row>
    <row r="129" spans="2:16">
      <c r="B129" s="563" t="s">
        <v>782</v>
      </c>
      <c r="C129" s="2869">
        <v>98</v>
      </c>
      <c r="D129" s="2869"/>
      <c r="E129" s="701">
        <f>+'TABLA FINAL '!DD118</f>
        <v>533.33000000000004</v>
      </c>
      <c r="F129" s="701">
        <f>+'TABLA FINAL '!DE118</f>
        <v>558.57000000000005</v>
      </c>
      <c r="G129" s="701">
        <f>+'TABLA FINAL '!DF118</f>
        <v>565.89</v>
      </c>
      <c r="H129" s="701">
        <f>+'TABLA FINAL '!DG118</f>
        <v>565.35</v>
      </c>
      <c r="I129" s="701">
        <f>+'TABLA FINAL '!DH118</f>
        <v>565.35</v>
      </c>
      <c r="J129" s="701">
        <f>+'TABLA FINAL '!DI118</f>
        <v>574.70000000000005</v>
      </c>
      <c r="K129" s="701">
        <f>+'TABLA FINAL '!DJ118</f>
        <v>574.70000000000005</v>
      </c>
      <c r="L129" s="701">
        <f>+'TABLA FINAL '!DK118</f>
        <v>574.73</v>
      </c>
      <c r="M129" s="701">
        <f>+'TABLA FINAL '!DL118</f>
        <v>587.05999999999995</v>
      </c>
      <c r="N129" s="701">
        <f>+'TABLA FINAL  NO'!DM123</f>
        <v>599.97</v>
      </c>
      <c r="O129" s="701">
        <f>+'TABLA FINAL  NO'!DN123</f>
        <v>625.17999999999995</v>
      </c>
      <c r="P129" s="574">
        <f>+'TABLA FINAL  NO'!DO123</f>
        <v>625.17999999999995</v>
      </c>
    </row>
    <row r="130" spans="2:16">
      <c r="B130" s="372" t="s">
        <v>783</v>
      </c>
      <c r="C130" s="2658">
        <v>1</v>
      </c>
      <c r="D130" s="2658"/>
      <c r="E130" s="139">
        <f>+'TABLA FINAL '!DD5</f>
        <v>9.06</v>
      </c>
      <c r="F130" s="139">
        <f>+'TABLA FINAL '!DE5</f>
        <v>9.06</v>
      </c>
      <c r="G130" s="139">
        <f>+'TABLA FINAL '!DF5</f>
        <v>9.06</v>
      </c>
      <c r="H130" s="139">
        <f>+'TABLA FINAL '!DG5</f>
        <v>9.06</v>
      </c>
      <c r="I130" s="139">
        <f>+'TABLA FINAL '!DH5</f>
        <v>10.06</v>
      </c>
      <c r="J130" s="139">
        <f>+'TABLA FINAL '!DI5</f>
        <v>10.06</v>
      </c>
      <c r="K130" s="139">
        <f>+'TABLA FINAL '!DJ5</f>
        <v>10.06</v>
      </c>
      <c r="L130" s="139">
        <f>+'TABLA FINAL '!DK5</f>
        <v>10.76</v>
      </c>
      <c r="M130" s="139">
        <f>+'TABLA FINAL '!DL5</f>
        <v>10.76</v>
      </c>
      <c r="N130" s="139">
        <f>+'TABLA FINAL  NO'!DM5</f>
        <v>10.76</v>
      </c>
      <c r="O130" s="139">
        <f>+'TABLA FINAL  NO'!DN5</f>
        <v>10.76</v>
      </c>
      <c r="P130" s="141">
        <f>+'TABLA FINAL  NO'!DO5</f>
        <v>11.51</v>
      </c>
    </row>
    <row r="131" spans="2:16">
      <c r="B131" s="566" t="s">
        <v>784</v>
      </c>
      <c r="C131" s="2626" t="s">
        <v>330</v>
      </c>
      <c r="D131" s="2865"/>
      <c r="E131" s="568"/>
      <c r="F131" s="568"/>
      <c r="G131" s="568">
        <f>'TABLA FINAL '!DF26</f>
        <v>1.4204545454545454</v>
      </c>
      <c r="H131" s="568">
        <f>'TABLA FINAL '!DG26</f>
        <v>1.4204545454545454</v>
      </c>
      <c r="I131" s="568">
        <f>'TABLA FINAL '!DH26</f>
        <v>0</v>
      </c>
      <c r="J131" s="568">
        <f>'TABLA FINAL '!DI26</f>
        <v>0</v>
      </c>
      <c r="K131" s="568">
        <f>'TABLA FINAL '!DJ26</f>
        <v>0</v>
      </c>
      <c r="L131" s="568">
        <f>'TABLA FINAL '!DK26</f>
        <v>0</v>
      </c>
      <c r="M131" s="568"/>
      <c r="N131" s="568"/>
      <c r="O131" s="568"/>
      <c r="P131" s="575"/>
    </row>
    <row r="132" spans="2:16">
      <c r="B132" s="566" t="s">
        <v>496</v>
      </c>
      <c r="C132" s="2626" t="s">
        <v>492</v>
      </c>
      <c r="D132" s="2865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75"/>
    </row>
    <row r="133" spans="2:16" ht="16.5" thickBot="1">
      <c r="B133" s="373" t="s">
        <v>785</v>
      </c>
      <c r="C133" s="2661" t="s">
        <v>786</v>
      </c>
      <c r="D133" s="2661"/>
      <c r="E133" s="448">
        <f t="shared" ref="E133:P133" si="36">(E130+E132)*8*2.2521+E131*8</f>
        <v>163.23220800000001</v>
      </c>
      <c r="F133" s="448">
        <f t="shared" si="36"/>
        <v>163.23220800000001</v>
      </c>
      <c r="G133" s="448">
        <f t="shared" si="36"/>
        <v>174.59584436363639</v>
      </c>
      <c r="H133" s="448">
        <f t="shared" si="36"/>
        <v>174.59584436363639</v>
      </c>
      <c r="I133" s="448">
        <f t="shared" si="36"/>
        <v>181.249008</v>
      </c>
      <c r="J133" s="448">
        <f t="shared" si="36"/>
        <v>181.249008</v>
      </c>
      <c r="K133" s="448">
        <f t="shared" si="36"/>
        <v>181.249008</v>
      </c>
      <c r="L133" s="448">
        <f t="shared" si="36"/>
        <v>193.86076800000001</v>
      </c>
      <c r="M133" s="448">
        <f t="shared" si="36"/>
        <v>193.86076800000001</v>
      </c>
      <c r="N133" s="448">
        <f t="shared" si="36"/>
        <v>193.86076800000001</v>
      </c>
      <c r="O133" s="448">
        <f t="shared" si="36"/>
        <v>193.86076800000001</v>
      </c>
      <c r="P133" s="131">
        <f t="shared" si="36"/>
        <v>207.373368</v>
      </c>
    </row>
    <row r="134" spans="2:16" ht="16.5" thickBot="1">
      <c r="P134" s="361"/>
    </row>
    <row r="135" spans="2:16">
      <c r="B135" s="2623" t="s">
        <v>675</v>
      </c>
      <c r="C135" s="2659" t="s">
        <v>787</v>
      </c>
      <c r="D135" s="2866"/>
      <c r="E135" s="516">
        <f t="shared" ref="E135:P135" si="37">+ROUND((E129*100/$E$18),3)</f>
        <v>582.04700000000003</v>
      </c>
      <c r="F135" s="516">
        <f t="shared" si="37"/>
        <v>609.59299999999996</v>
      </c>
      <c r="G135" s="516">
        <f>+ROUND((G129*100/$E$18),3)</f>
        <v>617.58199999999999</v>
      </c>
      <c r="H135" s="516">
        <f t="shared" si="37"/>
        <v>616.99199999999996</v>
      </c>
      <c r="I135" s="516">
        <f t="shared" si="37"/>
        <v>616.99199999999996</v>
      </c>
      <c r="J135" s="516">
        <f>+ROUND((J129*100/$E$18),3)</f>
        <v>627.19600000000003</v>
      </c>
      <c r="K135" s="516">
        <f>+ROUND((K129*100/$E$18),3)</f>
        <v>627.19600000000003</v>
      </c>
      <c r="L135" s="516">
        <f>+ROUND((L129*100/$E$18),3)</f>
        <v>627.22900000000004</v>
      </c>
      <c r="M135" s="516">
        <f t="shared" si="37"/>
        <v>640.68499999999995</v>
      </c>
      <c r="N135" s="516">
        <f>+ROUND((N129*100/$E$18),3)</f>
        <v>654.77499999999998</v>
      </c>
      <c r="O135" s="516">
        <f t="shared" si="37"/>
        <v>682.28700000000003</v>
      </c>
      <c r="P135" s="133">
        <f t="shared" si="37"/>
        <v>682.28700000000003</v>
      </c>
    </row>
    <row r="136" spans="2:16" ht="16.5" thickBot="1">
      <c r="B136" s="2625"/>
      <c r="C136" s="2642" t="s">
        <v>677</v>
      </c>
      <c r="D136" s="2867"/>
      <c r="E136" s="531">
        <f t="shared" ref="E136:P136" si="38">+ROUND(E133*100/$E$21,3)</f>
        <v>800.15800000000002</v>
      </c>
      <c r="F136" s="531">
        <f t="shared" si="38"/>
        <v>800.15800000000002</v>
      </c>
      <c r="G136" s="531">
        <f>+ROUND(G133*100/$E$21,3)</f>
        <v>855.86199999999997</v>
      </c>
      <c r="H136" s="531">
        <f t="shared" si="38"/>
        <v>855.86199999999997</v>
      </c>
      <c r="I136" s="531">
        <f t="shared" si="38"/>
        <v>888.476</v>
      </c>
      <c r="J136" s="531">
        <f>+ROUND(J133*100/$E$21,3)</f>
        <v>888.476</v>
      </c>
      <c r="K136" s="531">
        <f>+ROUND(K133*100/$E$21,3)</f>
        <v>888.476</v>
      </c>
      <c r="L136" s="531">
        <f>+ROUND(L133*100/$E$21,3)</f>
        <v>950.298</v>
      </c>
      <c r="M136" s="531">
        <f t="shared" si="38"/>
        <v>950.298</v>
      </c>
      <c r="N136" s="531">
        <f>+ROUND(N133*100/$E$21,3)</f>
        <v>950.298</v>
      </c>
      <c r="O136" s="531">
        <f t="shared" si="38"/>
        <v>950.298</v>
      </c>
      <c r="P136" s="134">
        <f t="shared" si="38"/>
        <v>1016.5359999999999</v>
      </c>
    </row>
    <row r="137" spans="2:16" ht="4.5" customHeight="1" thickBot="1">
      <c r="D137" s="363"/>
      <c r="P137" s="361"/>
    </row>
    <row r="138" spans="2:16" ht="16.5" thickBot="1">
      <c r="B138" s="2636" t="s">
        <v>788</v>
      </c>
      <c r="C138" s="2637"/>
      <c r="D138" s="2638"/>
      <c r="E138" s="1245">
        <f t="shared" ref="E138:P138" si="39">+ROUND(E135*0.8+E136*0.2,2)</f>
        <v>625.66999999999996</v>
      </c>
      <c r="F138" s="135">
        <f t="shared" si="39"/>
        <v>647.71</v>
      </c>
      <c r="G138" s="135">
        <f>+ROUND(G135*0.8+G136*0.2,2)</f>
        <v>665.24</v>
      </c>
      <c r="H138" s="135">
        <f t="shared" si="39"/>
        <v>664.77</v>
      </c>
      <c r="I138" s="135">
        <f t="shared" si="39"/>
        <v>671.29</v>
      </c>
      <c r="J138" s="135">
        <f>+ROUND(J135*0.8+J136*0.2,2)</f>
        <v>679.45</v>
      </c>
      <c r="K138" s="135">
        <f>+ROUND(K135*0.8+K136*0.2,2)</f>
        <v>679.45</v>
      </c>
      <c r="L138" s="135">
        <f>+ROUND(L135*0.8+L136*0.2,2)</f>
        <v>691.84</v>
      </c>
      <c r="M138" s="135">
        <f t="shared" si="39"/>
        <v>702.61</v>
      </c>
      <c r="N138" s="135">
        <f>+ROUND(N135*0.8+N136*0.2,2)</f>
        <v>713.88</v>
      </c>
      <c r="O138" s="135">
        <f t="shared" si="39"/>
        <v>735.89</v>
      </c>
      <c r="P138" s="136">
        <f t="shared" si="39"/>
        <v>749.14</v>
      </c>
    </row>
    <row r="139" spans="2:16" ht="30.75" customHeight="1" thickBot="1">
      <c r="P139" s="376"/>
    </row>
    <row r="140" spans="2:16" ht="22.5" customHeight="1" thickBot="1">
      <c r="B140" s="1246" t="s">
        <v>673</v>
      </c>
      <c r="C140" s="2864" t="s">
        <v>656</v>
      </c>
      <c r="D140" s="2765"/>
      <c r="E140" s="1247">
        <v>40544</v>
      </c>
      <c r="F140" s="1247">
        <v>40575</v>
      </c>
      <c r="G140" s="1247">
        <v>40603</v>
      </c>
      <c r="H140" s="1247">
        <v>40634</v>
      </c>
      <c r="I140" s="1247">
        <v>40664</v>
      </c>
      <c r="J140" s="1247">
        <v>40695</v>
      </c>
      <c r="K140" s="1247">
        <v>40725</v>
      </c>
      <c r="L140" s="1247">
        <v>40756</v>
      </c>
      <c r="M140" s="1247">
        <v>40787</v>
      </c>
      <c r="N140" s="1247">
        <v>40817</v>
      </c>
      <c r="O140" s="1247">
        <v>40848</v>
      </c>
      <c r="P140" s="1248">
        <v>40878</v>
      </c>
    </row>
    <row r="141" spans="2:16">
      <c r="B141" s="563" t="s">
        <v>782</v>
      </c>
      <c r="C141" s="2869">
        <v>98</v>
      </c>
      <c r="D141" s="2869"/>
      <c r="E141" s="701">
        <f>+'TABLA FINAL  NO'!DP123</f>
        <v>614.66</v>
      </c>
      <c r="F141" s="701">
        <f>+'TABLA FINAL  NO'!DQ123</f>
        <v>625.17999999999995</v>
      </c>
      <c r="G141" s="701">
        <f>+'TABLA FINAL  NO'!DR123</f>
        <v>633.92999999999995</v>
      </c>
      <c r="H141" s="701">
        <f>+'TABLA FINAL  NO'!DS123</f>
        <v>633.92999999999995</v>
      </c>
      <c r="I141" s="701">
        <f>+'TABLA FINAL  NO'!DT123</f>
        <v>633.92999999999995</v>
      </c>
      <c r="J141" s="701">
        <f>+'TABLA FINAL  NO'!DU123</f>
        <v>633.92999999999995</v>
      </c>
      <c r="K141" s="701">
        <f>+'TABLA FINAL  NO'!DV123</f>
        <v>647.82000000000005</v>
      </c>
      <c r="L141" s="549">
        <f>+'TABLA FINAL  NO'!DW123</f>
        <v>650.66</v>
      </c>
      <c r="M141" s="549">
        <f>+'TABLA FINAL  NO'!DX123</f>
        <v>650.66</v>
      </c>
      <c r="N141" s="549">
        <f>+'TABLA FINAL  NO'!DY123</f>
        <v>650.66</v>
      </c>
      <c r="O141" s="549">
        <f>+'TABLA FINAL  NO'!DZ123</f>
        <v>676.2</v>
      </c>
      <c r="P141" s="453">
        <f>+'TABLA FINAL  NO'!EA123</f>
        <v>676.2</v>
      </c>
    </row>
    <row r="142" spans="2:16">
      <c r="B142" s="372" t="s">
        <v>783</v>
      </c>
      <c r="C142" s="2658">
        <v>1</v>
      </c>
      <c r="D142" s="2658"/>
      <c r="E142" s="139">
        <f>+'TABLA FINAL  NO'!DP5</f>
        <v>11.51</v>
      </c>
      <c r="F142" s="139">
        <f>+'TABLA FINAL  NO'!DQ5</f>
        <v>11.51</v>
      </c>
      <c r="G142" s="139">
        <f>+'TABLA FINAL  NO'!DR5</f>
        <v>11.51</v>
      </c>
      <c r="H142" s="139">
        <f>+'TABLA FINAL  NO'!DS5</f>
        <v>12.89</v>
      </c>
      <c r="I142" s="139">
        <f>+'TABLA FINAL  NO'!DT5</f>
        <v>12.89</v>
      </c>
      <c r="J142" s="139">
        <f>+'TABLA FINAL  NO'!DU5</f>
        <v>12.89</v>
      </c>
      <c r="K142" s="139">
        <f>+'TABLA FINAL  NO'!DV5</f>
        <v>12.89</v>
      </c>
      <c r="L142" s="330">
        <f>+'TABLA FINAL  NO'!DW5</f>
        <v>13.66</v>
      </c>
      <c r="M142" s="330">
        <f>+'TABLA FINAL  NO'!DX5</f>
        <v>13.66</v>
      </c>
      <c r="N142" s="330">
        <f>+'TABLA FINAL  NO'!DY5</f>
        <v>13.66</v>
      </c>
      <c r="O142" s="330">
        <f>+'TABLA FINAL  NO'!DZ5</f>
        <v>14.48</v>
      </c>
      <c r="P142" s="332">
        <f>+'TABLA FINAL  NO'!EA5</f>
        <v>14.48</v>
      </c>
    </row>
    <row r="143" spans="2:16">
      <c r="B143" s="566" t="s">
        <v>784</v>
      </c>
      <c r="C143" s="2626" t="s">
        <v>278</v>
      </c>
      <c r="D143" s="2865"/>
      <c r="E143" s="139"/>
      <c r="F143" s="568"/>
      <c r="G143" s="568"/>
      <c r="H143" s="568"/>
      <c r="I143" s="568"/>
      <c r="J143" s="568"/>
      <c r="K143" s="568"/>
      <c r="L143" s="986"/>
      <c r="M143" s="986">
        <f>'TABLA FINAL  NO'!DX11</f>
        <v>2.8977272727272729</v>
      </c>
      <c r="N143" s="986">
        <f>'TABLA FINAL  NO'!DY11</f>
        <v>2.8977272727272729</v>
      </c>
      <c r="O143" s="986">
        <f>'TABLA FINAL  NO'!DZ11</f>
        <v>0</v>
      </c>
      <c r="P143" s="1012">
        <f>'TABLA FINAL  NO'!EA11</f>
        <v>0</v>
      </c>
    </row>
    <row r="144" spans="2:16">
      <c r="B144" s="566" t="s">
        <v>496</v>
      </c>
      <c r="C144" s="2626" t="s">
        <v>278</v>
      </c>
      <c r="D144" s="2865"/>
      <c r="E144" s="568"/>
      <c r="F144" s="568"/>
      <c r="G144" s="568"/>
      <c r="H144" s="568"/>
      <c r="I144" s="568"/>
      <c r="J144" s="568"/>
      <c r="K144" s="568"/>
      <c r="L144" s="986"/>
      <c r="M144" s="986"/>
      <c r="N144" s="986"/>
      <c r="O144" s="986"/>
      <c r="P144" s="1012"/>
    </row>
    <row r="145" spans="2:16" ht="16.5" thickBot="1">
      <c r="B145" s="373" t="s">
        <v>785</v>
      </c>
      <c r="C145" s="2661" t="s">
        <v>786</v>
      </c>
      <c r="D145" s="2661"/>
      <c r="E145" s="448">
        <f t="shared" ref="E145:P145" si="40">(E142+E144)*8*2.2521+E143*8</f>
        <v>207.373368</v>
      </c>
      <c r="F145" s="448">
        <f t="shared" si="40"/>
        <v>207.373368</v>
      </c>
      <c r="G145" s="448">
        <f t="shared" si="40"/>
        <v>207.373368</v>
      </c>
      <c r="H145" s="448">
        <f t="shared" si="40"/>
        <v>232.23655200000002</v>
      </c>
      <c r="I145" s="448">
        <f t="shared" si="40"/>
        <v>232.23655200000002</v>
      </c>
      <c r="J145" s="448">
        <f t="shared" si="40"/>
        <v>232.23655200000002</v>
      </c>
      <c r="K145" s="448">
        <f t="shared" si="40"/>
        <v>232.23655200000002</v>
      </c>
      <c r="L145" s="477">
        <f t="shared" si="40"/>
        <v>246.109488</v>
      </c>
      <c r="M145" s="477">
        <f t="shared" si="40"/>
        <v>269.29130618181819</v>
      </c>
      <c r="N145" s="477">
        <f t="shared" si="40"/>
        <v>269.29130618181819</v>
      </c>
      <c r="O145" s="477">
        <f t="shared" si="40"/>
        <v>260.883264</v>
      </c>
      <c r="P145" s="478">
        <f t="shared" si="40"/>
        <v>260.883264</v>
      </c>
    </row>
    <row r="146" spans="2:16" ht="16.5" thickBot="1">
      <c r="L146" s="1232"/>
      <c r="P146" s="361"/>
    </row>
    <row r="147" spans="2:16">
      <c r="B147" s="2623" t="s">
        <v>675</v>
      </c>
      <c r="C147" s="2659" t="s">
        <v>787</v>
      </c>
      <c r="D147" s="2866"/>
      <c r="E147" s="421">
        <f t="shared" ref="E147:O147" si="41">+ROUND((E141*100/$E$18),3)</f>
        <v>670.80700000000002</v>
      </c>
      <c r="F147" s="421">
        <f t="shared" si="41"/>
        <v>682.28700000000003</v>
      </c>
      <c r="G147" s="421">
        <f t="shared" si="41"/>
        <v>691.83699999999999</v>
      </c>
      <c r="H147" s="421">
        <f t="shared" si="41"/>
        <v>691.83699999999999</v>
      </c>
      <c r="I147" s="421">
        <f t="shared" si="41"/>
        <v>691.83699999999999</v>
      </c>
      <c r="J147" s="421">
        <f t="shared" si="41"/>
        <v>691.83699999999999</v>
      </c>
      <c r="K147" s="516">
        <f t="shared" si="41"/>
        <v>706.99599999999998</v>
      </c>
      <c r="L147" s="553">
        <f t="shared" si="41"/>
        <v>710.09500000000003</v>
      </c>
      <c r="M147" s="516">
        <f t="shared" si="41"/>
        <v>710.09500000000003</v>
      </c>
      <c r="N147" s="516">
        <f t="shared" si="41"/>
        <v>710.09500000000003</v>
      </c>
      <c r="O147" s="516">
        <f t="shared" si="41"/>
        <v>737.96799999999996</v>
      </c>
      <c r="P147" s="133">
        <f>+ROUND((P141*100/$E$18),3)</f>
        <v>737.96799999999996</v>
      </c>
    </row>
    <row r="148" spans="2:16" ht="16.5" thickBot="1">
      <c r="B148" s="2625"/>
      <c r="C148" s="2642" t="s">
        <v>677</v>
      </c>
      <c r="D148" s="2867"/>
      <c r="E148" s="573">
        <f t="shared" ref="E148:O148" si="42">+ROUND(E145*100/$E$21,3)</f>
        <v>1016.5359999999999</v>
      </c>
      <c r="F148" s="573">
        <f t="shared" si="42"/>
        <v>1016.5359999999999</v>
      </c>
      <c r="G148" s="573">
        <f t="shared" si="42"/>
        <v>1016.5359999999999</v>
      </c>
      <c r="H148" s="573">
        <f t="shared" si="42"/>
        <v>1138.414</v>
      </c>
      <c r="I148" s="573">
        <f t="shared" si="42"/>
        <v>1138.414</v>
      </c>
      <c r="J148" s="573">
        <f t="shared" si="42"/>
        <v>1138.414</v>
      </c>
      <c r="K148" s="531">
        <f t="shared" si="42"/>
        <v>1138.414</v>
      </c>
      <c r="L148" s="977">
        <f t="shared" si="42"/>
        <v>1206.4190000000001</v>
      </c>
      <c r="M148" s="531">
        <f t="shared" si="42"/>
        <v>1320.0550000000001</v>
      </c>
      <c r="N148" s="531">
        <f t="shared" si="42"/>
        <v>1320.0550000000001</v>
      </c>
      <c r="O148" s="531">
        <f t="shared" si="42"/>
        <v>1278.8399999999999</v>
      </c>
      <c r="P148" s="134">
        <f>+ROUND(P145*100/$E$21,3)</f>
        <v>1278.8399999999999</v>
      </c>
    </row>
    <row r="149" spans="2:16" ht="16.5" thickBot="1">
      <c r="B149" s="2636" t="s">
        <v>788</v>
      </c>
      <c r="C149" s="2637"/>
      <c r="D149" s="2638"/>
      <c r="E149" s="1245">
        <f t="shared" ref="E149:P149" si="43">+ROUND(E147*0.8+E148*0.2,2)</f>
        <v>739.95</v>
      </c>
      <c r="F149" s="1245">
        <f t="shared" si="43"/>
        <v>749.14</v>
      </c>
      <c r="G149" s="1245">
        <f t="shared" si="43"/>
        <v>756.78</v>
      </c>
      <c r="H149" s="1245">
        <f t="shared" si="43"/>
        <v>781.15</v>
      </c>
      <c r="I149" s="1245">
        <f t="shared" si="43"/>
        <v>781.15</v>
      </c>
      <c r="J149" s="1245">
        <f t="shared" si="43"/>
        <v>781.15</v>
      </c>
      <c r="K149" s="135">
        <f t="shared" si="43"/>
        <v>793.28</v>
      </c>
      <c r="L149" s="135">
        <f t="shared" si="43"/>
        <v>809.36</v>
      </c>
      <c r="M149" s="135">
        <f t="shared" si="43"/>
        <v>832.09</v>
      </c>
      <c r="N149" s="135">
        <f t="shared" si="43"/>
        <v>832.09</v>
      </c>
      <c r="O149" s="135">
        <f t="shared" si="43"/>
        <v>846.14</v>
      </c>
      <c r="P149" s="136">
        <f t="shared" si="43"/>
        <v>846.14</v>
      </c>
    </row>
    <row r="150" spans="2:16" ht="16.5" customHeight="1" thickBot="1"/>
    <row r="151" spans="2:16" ht="21" customHeight="1" thickBot="1">
      <c r="B151" s="1246" t="s">
        <v>673</v>
      </c>
      <c r="C151" s="2864" t="s">
        <v>656</v>
      </c>
      <c r="D151" s="2765"/>
      <c r="E151" s="1233">
        <v>40909</v>
      </c>
      <c r="F151" s="1233">
        <v>40940</v>
      </c>
      <c r="G151" s="1233">
        <v>40969</v>
      </c>
      <c r="H151" s="1233">
        <v>41000</v>
      </c>
      <c r="I151" s="1233">
        <v>41030</v>
      </c>
      <c r="J151" s="1233">
        <v>41061</v>
      </c>
      <c r="K151" s="1233">
        <v>41091</v>
      </c>
      <c r="L151" s="1233">
        <v>41122</v>
      </c>
      <c r="M151" s="1233">
        <v>41153</v>
      </c>
      <c r="N151" s="1233">
        <v>41183</v>
      </c>
      <c r="O151" s="1233">
        <v>41214</v>
      </c>
      <c r="P151" s="1249">
        <v>41244</v>
      </c>
    </row>
    <row r="152" spans="2:16">
      <c r="B152" s="563" t="s">
        <v>782</v>
      </c>
      <c r="C152" s="2672">
        <v>98</v>
      </c>
      <c r="D152" s="2672"/>
      <c r="E152" s="701">
        <f>'TABLA FINAL  NO'!EB123</f>
        <v>676.2</v>
      </c>
      <c r="F152" s="701">
        <f>'TABLA FINAL  NO'!EC123</f>
        <v>676.2</v>
      </c>
      <c r="G152" s="701">
        <f>'TABLA FINAL  NO'!ED123</f>
        <v>676.2</v>
      </c>
      <c r="H152" s="701">
        <f>'TABLA FINAL  NO'!EE123</f>
        <v>676.2</v>
      </c>
      <c r="I152" s="701">
        <f>'TABLA FINAL  NO'!EF123</f>
        <v>714.41</v>
      </c>
      <c r="J152" s="701">
        <f>'TABLA FINAL  NO'!EG123</f>
        <v>714.41</v>
      </c>
      <c r="K152" s="701">
        <f>'TABLA FINAL  NO'!EH123</f>
        <v>714.41</v>
      </c>
      <c r="L152" s="701">
        <f>'TABLA FINAL  NO'!EI123</f>
        <v>716.42</v>
      </c>
      <c r="M152" s="701">
        <f>'TABLA FINAL  NO'!EJ123</f>
        <v>716.42</v>
      </c>
      <c r="N152" s="701">
        <f>'TABLA FINAL  NO'!EK123</f>
        <v>729.31</v>
      </c>
      <c r="O152" s="701">
        <f>'TABLA FINAL  NO'!EL123</f>
        <v>759.48</v>
      </c>
      <c r="P152" s="574">
        <f>'TABLA FINAL  NO'!EM123</f>
        <v>797.96</v>
      </c>
    </row>
    <row r="153" spans="2:16">
      <c r="B153" s="372" t="s">
        <v>783</v>
      </c>
      <c r="C153" s="2658">
        <v>1</v>
      </c>
      <c r="D153" s="2658"/>
      <c r="E153" s="139">
        <f>'TABLA FINAL  NO'!EB5</f>
        <v>14.48</v>
      </c>
      <c r="F153" s="139">
        <f>'TABLA FINAL  NO'!EC5</f>
        <v>14.48</v>
      </c>
      <c r="G153" s="139">
        <f>'TABLA FINAL  NO'!ED5</f>
        <v>14.48</v>
      </c>
      <c r="H153" s="139">
        <f>'TABLA FINAL  NO'!EE5</f>
        <v>14.48</v>
      </c>
      <c r="I153" s="139">
        <f>'TABLA FINAL  NO'!EF5</f>
        <v>14.48</v>
      </c>
      <c r="J153" s="139">
        <f>'TABLA FINAL  NO'!EG5</f>
        <v>18.61</v>
      </c>
      <c r="K153" s="139">
        <f>'TABLA FINAL  NO'!EH5</f>
        <v>18.61</v>
      </c>
      <c r="L153" s="139">
        <f>'TABLA FINAL  NO'!EI5</f>
        <v>18.61</v>
      </c>
      <c r="M153" s="139">
        <f>'TABLA FINAL  NO'!EJ5</f>
        <v>18.61</v>
      </c>
      <c r="N153" s="139">
        <f>'TABLA FINAL  NO'!EK5</f>
        <v>18.61</v>
      </c>
      <c r="O153" s="139">
        <f>'TABLA FINAL  NO'!EL5</f>
        <v>18.61</v>
      </c>
      <c r="P153" s="141">
        <f>'TABLA FINAL  NO'!EM5</f>
        <v>18.61</v>
      </c>
    </row>
    <row r="154" spans="2:16">
      <c r="B154" s="566" t="s">
        <v>784</v>
      </c>
      <c r="C154" s="2626" t="s">
        <v>418</v>
      </c>
      <c r="D154" s="2865"/>
      <c r="E154" s="1250">
        <f>'TABLA FINAL  NO'!EB31</f>
        <v>2.2726999999999999</v>
      </c>
      <c r="F154" s="1250">
        <f>'TABLA FINAL  NO'!EC31</f>
        <v>2.2726999999999999</v>
      </c>
      <c r="G154" s="1250">
        <f>'TABLA FINAL  NO'!ED31</f>
        <v>2.2726999999999999</v>
      </c>
      <c r="H154" s="1250">
        <f>'TABLA FINAL  NO'!EE31</f>
        <v>2.2726999999999999</v>
      </c>
      <c r="I154" s="1250">
        <f>'TABLA FINAL  NO'!EF31</f>
        <v>0</v>
      </c>
      <c r="J154" s="1251">
        <f>'TABLA FINAL  NO'!EG31</f>
        <v>3.2954545454545454</v>
      </c>
      <c r="K154" s="1251">
        <f>'TABLA FINAL  NO'!EH31</f>
        <v>3.2954545454545454</v>
      </c>
      <c r="L154" s="1251">
        <f>'TABLA FINAL  NO'!EI31</f>
        <v>0</v>
      </c>
      <c r="M154" s="1251">
        <f>'TABLA FINAL  NO'!EJ31</f>
        <v>0</v>
      </c>
      <c r="N154" s="1251">
        <f>'TABLA FINAL  NO'!EK31</f>
        <v>0</v>
      </c>
      <c r="O154" s="1251">
        <f>'TABLA FINAL  NO'!EL31</f>
        <v>0</v>
      </c>
      <c r="P154" s="1252">
        <f>'TABLA FINAL  NO'!EM31</f>
        <v>0</v>
      </c>
    </row>
    <row r="155" spans="2:16">
      <c r="B155" s="566" t="s">
        <v>496</v>
      </c>
      <c r="C155" s="2626" t="s">
        <v>278</v>
      </c>
      <c r="D155" s="2865"/>
      <c r="E155" s="568"/>
      <c r="F155" s="568"/>
      <c r="G155" s="568"/>
      <c r="H155" s="568"/>
      <c r="I155" s="568"/>
      <c r="J155" s="568"/>
      <c r="K155" s="568"/>
      <c r="L155" s="986"/>
      <c r="M155" s="986"/>
      <c r="N155" s="986"/>
      <c r="O155" s="986"/>
      <c r="P155" s="1012"/>
    </row>
    <row r="156" spans="2:16" ht="16.5" thickBot="1">
      <c r="B156" s="373" t="s">
        <v>785</v>
      </c>
      <c r="C156" s="2661" t="s">
        <v>786</v>
      </c>
      <c r="D156" s="2661"/>
      <c r="E156" s="448">
        <f t="shared" ref="E156:P156" si="44">(E153+E155)*8*2.2521+E154*8</f>
        <v>279.064864</v>
      </c>
      <c r="F156" s="448">
        <f t="shared" si="44"/>
        <v>279.064864</v>
      </c>
      <c r="G156" s="448">
        <f t="shared" si="44"/>
        <v>279.064864</v>
      </c>
      <c r="H156" s="448">
        <f t="shared" si="44"/>
        <v>279.064864</v>
      </c>
      <c r="I156" s="448">
        <f t="shared" si="44"/>
        <v>260.883264</v>
      </c>
      <c r="J156" s="448">
        <f t="shared" si="44"/>
        <v>361.65628436363636</v>
      </c>
      <c r="K156" s="448">
        <f t="shared" si="44"/>
        <v>361.65628436363636</v>
      </c>
      <c r="L156" s="477">
        <f t="shared" si="44"/>
        <v>335.29264799999999</v>
      </c>
      <c r="M156" s="477">
        <f t="shared" si="44"/>
        <v>335.29264799999999</v>
      </c>
      <c r="N156" s="477">
        <f t="shared" si="44"/>
        <v>335.29264799999999</v>
      </c>
      <c r="O156" s="477">
        <f t="shared" si="44"/>
        <v>335.29264799999999</v>
      </c>
      <c r="P156" s="478">
        <f t="shared" si="44"/>
        <v>335.29264799999999</v>
      </c>
    </row>
    <row r="157" spans="2:16" ht="16.5" thickBot="1">
      <c r="B157" s="425"/>
      <c r="C157" s="122"/>
      <c r="D157" s="122"/>
      <c r="L157" s="1232"/>
      <c r="P157" s="361"/>
    </row>
    <row r="158" spans="2:16">
      <c r="B158" s="2623" t="s">
        <v>675</v>
      </c>
      <c r="C158" s="2659" t="s">
        <v>787</v>
      </c>
      <c r="D158" s="2866"/>
      <c r="E158" s="421">
        <f t="shared" ref="E158:N158" si="45">+ROUND((E152*100/$E$18),3)</f>
        <v>737.96799999999996</v>
      </c>
      <c r="F158" s="421">
        <f t="shared" si="45"/>
        <v>737.96799999999996</v>
      </c>
      <c r="G158" s="421">
        <f>+ROUND((G152*100/$E$18),3)</f>
        <v>737.96799999999996</v>
      </c>
      <c r="H158" s="421">
        <f>+ROUND((H152*100/$E$18),3)</f>
        <v>737.96799999999996</v>
      </c>
      <c r="I158" s="421">
        <f>+ROUND((I152*100/$E$18),3)</f>
        <v>779.66800000000001</v>
      </c>
      <c r="J158" s="421">
        <f t="shared" si="45"/>
        <v>779.66800000000001</v>
      </c>
      <c r="K158" s="516">
        <f t="shared" si="45"/>
        <v>779.66800000000001</v>
      </c>
      <c r="L158" s="553">
        <f t="shared" si="45"/>
        <v>781.86199999999997</v>
      </c>
      <c r="M158" s="516">
        <f t="shared" si="45"/>
        <v>781.86199999999997</v>
      </c>
      <c r="N158" s="516">
        <f t="shared" si="45"/>
        <v>795.92899999999997</v>
      </c>
      <c r="O158" s="516">
        <f>+ROUND((O152*100/$E$18),3)</f>
        <v>828.85500000000002</v>
      </c>
      <c r="P158" s="133">
        <f>+ROUND((P152*100/$E$18),3)</f>
        <v>870.85</v>
      </c>
    </row>
    <row r="159" spans="2:16" ht="16.5" thickBot="1">
      <c r="B159" s="2625"/>
      <c r="C159" s="2642" t="s">
        <v>677</v>
      </c>
      <c r="D159" s="2867"/>
      <c r="E159" s="573">
        <f t="shared" ref="E159:N159" si="46">+ROUND(E156*100/$E$21,3)</f>
        <v>1367.9649999999999</v>
      </c>
      <c r="F159" s="573">
        <f t="shared" si="46"/>
        <v>1367.9649999999999</v>
      </c>
      <c r="G159" s="573">
        <f>+ROUND(G156*100/$E$21,3)</f>
        <v>1367.9649999999999</v>
      </c>
      <c r="H159" s="573">
        <f>+ROUND(H156*100/$E$21,3)</f>
        <v>1367.9649999999999</v>
      </c>
      <c r="I159" s="573">
        <f>+ROUND(I156*100/$E$21,3)</f>
        <v>1278.8399999999999</v>
      </c>
      <c r="J159" s="573">
        <f t="shared" si="46"/>
        <v>1772.825</v>
      </c>
      <c r="K159" s="531">
        <f t="shared" si="46"/>
        <v>1772.825</v>
      </c>
      <c r="L159" s="977">
        <f t="shared" si="46"/>
        <v>1643.5909999999999</v>
      </c>
      <c r="M159" s="531">
        <f t="shared" si="46"/>
        <v>1643.5909999999999</v>
      </c>
      <c r="N159" s="531">
        <f t="shared" si="46"/>
        <v>1643.5909999999999</v>
      </c>
      <c r="O159" s="531">
        <f>+ROUND(O156*100/$E$21,3)</f>
        <v>1643.5909999999999</v>
      </c>
      <c r="P159" s="134">
        <f>+ROUND(P156*100/$E$21,3)</f>
        <v>1643.5909999999999</v>
      </c>
    </row>
    <row r="160" spans="2:16" ht="21" customHeight="1" thickBot="1">
      <c r="B160" s="425"/>
      <c r="C160" s="122"/>
      <c r="D160" s="360"/>
      <c r="P160" s="361"/>
    </row>
    <row r="161" spans="2:16" ht="16.5" thickBot="1">
      <c r="B161" s="2636" t="s">
        <v>788</v>
      </c>
      <c r="C161" s="2637"/>
      <c r="D161" s="2638"/>
      <c r="E161" s="1245">
        <f t="shared" ref="E161:P161" si="47">+ROUND(E158*0.8+E159*0.2,2)</f>
        <v>863.97</v>
      </c>
      <c r="F161" s="1245">
        <f t="shared" si="47"/>
        <v>863.97</v>
      </c>
      <c r="G161" s="1245">
        <f>+ROUND(G158*0.8+G159*0.2,2)</f>
        <v>863.97</v>
      </c>
      <c r="H161" s="1245">
        <f t="shared" si="47"/>
        <v>863.97</v>
      </c>
      <c r="I161" s="1245">
        <f t="shared" si="47"/>
        <v>879.5</v>
      </c>
      <c r="J161" s="1245">
        <f t="shared" si="47"/>
        <v>978.3</v>
      </c>
      <c r="K161" s="135">
        <f t="shared" si="47"/>
        <v>978.3</v>
      </c>
      <c r="L161" s="135">
        <f t="shared" si="47"/>
        <v>954.21</v>
      </c>
      <c r="M161" s="135">
        <f t="shared" si="47"/>
        <v>954.21</v>
      </c>
      <c r="N161" s="135">
        <f t="shared" si="47"/>
        <v>965.46</v>
      </c>
      <c r="O161" s="135">
        <f>+ROUND(O158*0.8+O159*0.2,2)</f>
        <v>991.8</v>
      </c>
      <c r="P161" s="136">
        <f t="shared" si="47"/>
        <v>1025.4000000000001</v>
      </c>
    </row>
    <row r="162" spans="2:16" ht="19.5" customHeight="1" thickBot="1"/>
    <row r="163" spans="2:16" ht="17.25" customHeight="1" thickBot="1">
      <c r="B163" s="1246" t="s">
        <v>673</v>
      </c>
      <c r="C163" s="2864" t="s">
        <v>656</v>
      </c>
      <c r="D163" s="2765"/>
      <c r="E163" s="1233">
        <v>41275</v>
      </c>
      <c r="F163" s="1233">
        <v>41306</v>
      </c>
      <c r="G163" s="1233">
        <v>41334</v>
      </c>
      <c r="H163" s="1233">
        <v>41365</v>
      </c>
      <c r="I163" s="1233">
        <v>41395</v>
      </c>
      <c r="J163" s="1233">
        <v>41426</v>
      </c>
      <c r="K163" s="1233">
        <v>41456</v>
      </c>
      <c r="L163" s="1233">
        <v>41487</v>
      </c>
      <c r="M163" s="1233">
        <v>41518</v>
      </c>
      <c r="N163" s="1233">
        <v>41548</v>
      </c>
      <c r="O163" s="1233">
        <v>41579</v>
      </c>
      <c r="P163" s="1249">
        <v>41609</v>
      </c>
    </row>
    <row r="164" spans="2:16">
      <c r="B164" s="563" t="s">
        <v>782</v>
      </c>
      <c r="C164" s="2672">
        <v>98</v>
      </c>
      <c r="D164" s="2672"/>
      <c r="E164" s="701">
        <f>+'TABLA FINAL  NO'!EN123</f>
        <v>800.48</v>
      </c>
      <c r="F164" s="701">
        <f>+'TABLA FINAL  NO'!EO123</f>
        <v>800.48</v>
      </c>
      <c r="G164" s="701">
        <f>+'TABLA FINAL  NO'!EP123</f>
        <v>800.48</v>
      </c>
      <c r="H164" s="701">
        <f>+'TABLA FINAL  NO'!EQ123</f>
        <v>800.48</v>
      </c>
      <c r="I164" s="701">
        <f>+'TABLA FINAL  NO'!ER123</f>
        <v>800.48</v>
      </c>
      <c r="J164" s="701">
        <f>+'TABLA FINAL  NO'!ES123</f>
        <v>833.44</v>
      </c>
      <c r="K164" s="701">
        <f>+'TABLA FINAL  NO'!ET123</f>
        <v>847.85</v>
      </c>
      <c r="L164" s="701">
        <f>+'TABLA FINAL  NO'!EU123</f>
        <v>847.85</v>
      </c>
      <c r="M164" s="701">
        <f>+'TABLA FINAL  NO'!EV123</f>
        <v>847.85</v>
      </c>
      <c r="N164" s="701">
        <f>+'TABLA FINAL  NO'!EW123</f>
        <v>847.85</v>
      </c>
      <c r="O164" s="701">
        <f>+'TABLA FINAL  NO'!EX123</f>
        <v>847.85</v>
      </c>
      <c r="P164" s="574">
        <f>+'TABLA FINAL  NO'!EY123</f>
        <v>914.86</v>
      </c>
    </row>
    <row r="165" spans="2:16">
      <c r="B165" s="372" t="s">
        <v>783</v>
      </c>
      <c r="C165" s="2658">
        <v>1</v>
      </c>
      <c r="D165" s="2658"/>
      <c r="E165" s="139">
        <f>+'TABLA FINAL  NO'!EN5</f>
        <v>18.61</v>
      </c>
      <c r="F165" s="139">
        <f>+'TABLA FINAL  NO'!EO5</f>
        <v>18.61</v>
      </c>
      <c r="G165" s="139">
        <f>+'TABLA FINAL  NO'!EP5</f>
        <v>18.61</v>
      </c>
      <c r="H165" s="139">
        <f>+'TABLA FINAL  NO'!EQ5</f>
        <v>18.61</v>
      </c>
      <c r="I165" s="139">
        <f>+'TABLA FINAL  NO'!ER5</f>
        <v>18.61</v>
      </c>
      <c r="J165" s="139">
        <f>+'TABLA FINAL  NO'!ES5</f>
        <v>21.96</v>
      </c>
      <c r="K165" s="139">
        <f>+'TABLA FINAL  NO'!ET5</f>
        <v>21.96</v>
      </c>
      <c r="L165" s="139">
        <f>+'TABLA FINAL  NO'!EU5</f>
        <v>21.96</v>
      </c>
      <c r="M165" s="139">
        <f>+'TABLA FINAL  NO'!EV5</f>
        <v>23.28</v>
      </c>
      <c r="N165" s="139">
        <f>+'TABLA FINAL  NO'!EW5</f>
        <v>23.28</v>
      </c>
      <c r="O165" s="139">
        <f>+'TABLA FINAL  NO'!EX5</f>
        <v>23.28</v>
      </c>
      <c r="P165" s="141">
        <f>+'TABLA FINAL  NO'!EY5</f>
        <v>23.28</v>
      </c>
    </row>
    <row r="166" spans="2:16">
      <c r="B166" s="566" t="s">
        <v>784</v>
      </c>
      <c r="C166" s="2626" t="s">
        <v>473</v>
      </c>
      <c r="D166" s="2865"/>
      <c r="E166" s="1250"/>
      <c r="F166" s="1250"/>
      <c r="G166" s="568">
        <f>'TABLA FINAL  NO'!EP31</f>
        <v>2.84</v>
      </c>
      <c r="H166" s="568">
        <f>'TABLA FINAL  NO'!EQ31</f>
        <v>2.84</v>
      </c>
      <c r="I166" s="568">
        <f>'TABLA FINAL  NO'!ER31</f>
        <v>2.84</v>
      </c>
      <c r="J166" s="568">
        <f>'TABLA FINAL  NO'!ES31</f>
        <v>2.84</v>
      </c>
      <c r="K166" s="568">
        <f>'TABLA FINAL  NO'!ET31</f>
        <v>3.4089999999999998</v>
      </c>
      <c r="L166" s="568">
        <f>'TABLA FINAL  NO'!EU31</f>
        <v>3.4089999999999998</v>
      </c>
      <c r="M166" s="568">
        <f>'TABLA FINAL  NO'!EV31</f>
        <v>0</v>
      </c>
      <c r="N166" s="986"/>
      <c r="O166" s="986"/>
      <c r="P166" s="1012"/>
    </row>
    <row r="167" spans="2:16">
      <c r="B167" s="566" t="s">
        <v>496</v>
      </c>
      <c r="C167" s="2626" t="s">
        <v>278</v>
      </c>
      <c r="D167" s="2865"/>
      <c r="E167" s="568"/>
      <c r="F167" s="568"/>
      <c r="G167" s="568"/>
      <c r="H167" s="568"/>
      <c r="I167" s="568"/>
      <c r="J167" s="568"/>
      <c r="K167" s="568"/>
      <c r="L167" s="986"/>
      <c r="M167" s="986"/>
      <c r="N167" s="986"/>
      <c r="O167" s="986"/>
      <c r="P167" s="1012"/>
    </row>
    <row r="168" spans="2:16" ht="16.5" thickBot="1">
      <c r="B168" s="373" t="s">
        <v>785</v>
      </c>
      <c r="C168" s="2661" t="s">
        <v>786</v>
      </c>
      <c r="D168" s="2661"/>
      <c r="E168" s="448">
        <f t="shared" ref="E168:P168" si="48">(E165+E167)*8*2.2521+E166*8</f>
        <v>335.29264799999999</v>
      </c>
      <c r="F168" s="448">
        <f t="shared" si="48"/>
        <v>335.29264799999999</v>
      </c>
      <c r="G168" s="448">
        <f t="shared" si="48"/>
        <v>358.01264800000001</v>
      </c>
      <c r="H168" s="448">
        <f t="shared" si="48"/>
        <v>358.01264800000001</v>
      </c>
      <c r="I168" s="448">
        <f t="shared" si="48"/>
        <v>358.01264800000001</v>
      </c>
      <c r="J168" s="448">
        <f t="shared" si="48"/>
        <v>418.36892799999998</v>
      </c>
      <c r="K168" s="448">
        <f t="shared" si="48"/>
        <v>422.920928</v>
      </c>
      <c r="L168" s="477">
        <f t="shared" si="48"/>
        <v>422.920928</v>
      </c>
      <c r="M168" s="477">
        <f t="shared" si="48"/>
        <v>419.431104</v>
      </c>
      <c r="N168" s="477">
        <f t="shared" si="48"/>
        <v>419.431104</v>
      </c>
      <c r="O168" s="477">
        <f t="shared" si="48"/>
        <v>419.431104</v>
      </c>
      <c r="P168" s="478">
        <f t="shared" si="48"/>
        <v>419.431104</v>
      </c>
    </row>
    <row r="169" spans="2:16" ht="16.5" thickBot="1">
      <c r="B169" s="425"/>
      <c r="C169" s="122"/>
      <c r="D169" s="122"/>
      <c r="L169" s="1232"/>
      <c r="P169" s="361"/>
    </row>
    <row r="170" spans="2:16">
      <c r="B170" s="2623" t="s">
        <v>675</v>
      </c>
      <c r="C170" s="2659" t="s">
        <v>787</v>
      </c>
      <c r="D170" s="2866"/>
      <c r="E170" s="421">
        <f t="shared" ref="E170:O170" si="49">+ROUND((E164*100/$E$18),3)</f>
        <v>873.6</v>
      </c>
      <c r="F170" s="421">
        <f t="shared" si="49"/>
        <v>873.6</v>
      </c>
      <c r="G170" s="421">
        <f t="shared" si="49"/>
        <v>873.6</v>
      </c>
      <c r="H170" s="421">
        <f t="shared" si="49"/>
        <v>873.6</v>
      </c>
      <c r="I170" s="421">
        <f t="shared" si="49"/>
        <v>873.6</v>
      </c>
      <c r="J170" s="421">
        <f t="shared" si="49"/>
        <v>909.57100000000003</v>
      </c>
      <c r="K170" s="516">
        <f t="shared" si="49"/>
        <v>925.29700000000003</v>
      </c>
      <c r="L170" s="553">
        <f t="shared" si="49"/>
        <v>925.29700000000003</v>
      </c>
      <c r="M170" s="516">
        <f t="shared" si="49"/>
        <v>925.29700000000003</v>
      </c>
      <c r="N170" s="516">
        <f t="shared" si="49"/>
        <v>925.29700000000003</v>
      </c>
      <c r="O170" s="516">
        <f t="shared" si="49"/>
        <v>925.29700000000003</v>
      </c>
      <c r="P170" s="133">
        <f>+ROUND((P164*100/$E$18),3)</f>
        <v>998.428</v>
      </c>
    </row>
    <row r="171" spans="2:16" ht="16.5" thickBot="1">
      <c r="B171" s="2625"/>
      <c r="C171" s="2642" t="s">
        <v>677</v>
      </c>
      <c r="D171" s="2867"/>
      <c r="E171" s="573">
        <f t="shared" ref="E171:O171" si="50">+ROUND(E168*100/$E$21,3)</f>
        <v>1643.5909999999999</v>
      </c>
      <c r="F171" s="573">
        <f t="shared" si="50"/>
        <v>1643.5909999999999</v>
      </c>
      <c r="G171" s="573">
        <f t="shared" si="50"/>
        <v>1754.9639999999999</v>
      </c>
      <c r="H171" s="573">
        <f t="shared" si="50"/>
        <v>1754.9639999999999</v>
      </c>
      <c r="I171" s="573">
        <f t="shared" si="50"/>
        <v>1754.9639999999999</v>
      </c>
      <c r="J171" s="573">
        <f t="shared" si="50"/>
        <v>2050.828</v>
      </c>
      <c r="K171" s="531">
        <f t="shared" si="50"/>
        <v>2073.1419999999998</v>
      </c>
      <c r="L171" s="977">
        <f t="shared" si="50"/>
        <v>2073.1419999999998</v>
      </c>
      <c r="M171" s="531">
        <f t="shared" si="50"/>
        <v>2056.0349999999999</v>
      </c>
      <c r="N171" s="531">
        <f t="shared" si="50"/>
        <v>2056.0349999999999</v>
      </c>
      <c r="O171" s="531">
        <f t="shared" si="50"/>
        <v>2056.0349999999999</v>
      </c>
      <c r="P171" s="134">
        <f>+ROUND(P168*100/$E$21,3)</f>
        <v>2056.0349999999999</v>
      </c>
    </row>
    <row r="172" spans="2:16" ht="7.5" customHeight="1" thickBot="1">
      <c r="B172" s="425"/>
      <c r="C172" s="122"/>
      <c r="D172" s="360"/>
      <c r="P172" s="361"/>
    </row>
    <row r="173" spans="2:16" ht="16.5" thickBot="1">
      <c r="B173" s="2636" t="s">
        <v>788</v>
      </c>
      <c r="C173" s="2637"/>
      <c r="D173" s="2638"/>
      <c r="E173" s="1362">
        <f>+ROUND(E170*0.8+E171*0.2,2)</f>
        <v>1027.5999999999999</v>
      </c>
      <c r="F173" s="1362">
        <f>+ROUND(F170*0.8+F171*0.2,2)</f>
        <v>1027.5999999999999</v>
      </c>
      <c r="G173" s="1362">
        <f>+ROUND(G170*0.8+G171*0.2,2)</f>
        <v>1049.8699999999999</v>
      </c>
      <c r="H173" s="1362">
        <f t="shared" ref="H173:N173" si="51">+ROUND(H170*0.8+H171*0.2,2)</f>
        <v>1049.8699999999999</v>
      </c>
      <c r="I173" s="1362">
        <f t="shared" si="51"/>
        <v>1049.8699999999999</v>
      </c>
      <c r="J173" s="1362">
        <f t="shared" si="51"/>
        <v>1137.82</v>
      </c>
      <c r="K173" s="135">
        <f t="shared" si="51"/>
        <v>1154.8699999999999</v>
      </c>
      <c r="L173" s="135">
        <f t="shared" si="51"/>
        <v>1154.8699999999999</v>
      </c>
      <c r="M173" s="135">
        <f t="shared" si="51"/>
        <v>1151.44</v>
      </c>
      <c r="N173" s="135">
        <f t="shared" si="51"/>
        <v>1151.44</v>
      </c>
      <c r="O173" s="135">
        <f>+ROUND(O170*0.8+O171*0.2,2)</f>
        <v>1151.44</v>
      </c>
      <c r="P173" s="136">
        <f>+ROUND(P170*0.8+P171*0.2,2)</f>
        <v>1209.95</v>
      </c>
    </row>
    <row r="174" spans="2:16" ht="20.100000000000001" customHeight="1" thickBot="1"/>
    <row r="175" spans="2:16" ht="16.5" thickBot="1">
      <c r="B175" s="1246" t="s">
        <v>673</v>
      </c>
      <c r="C175" s="2864" t="s">
        <v>656</v>
      </c>
      <c r="D175" s="2765"/>
      <c r="E175" s="1233">
        <v>41640</v>
      </c>
      <c r="F175" s="1233">
        <v>41671</v>
      </c>
      <c r="G175" s="1233">
        <v>41699</v>
      </c>
      <c r="H175" s="1233">
        <v>41730</v>
      </c>
      <c r="I175" s="1233">
        <v>41760</v>
      </c>
      <c r="J175" s="1233">
        <v>41791</v>
      </c>
      <c r="K175" s="1233">
        <v>41821</v>
      </c>
      <c r="L175" s="1233">
        <v>41852</v>
      </c>
      <c r="M175" s="1233">
        <v>41883</v>
      </c>
      <c r="N175" s="1233">
        <v>41913</v>
      </c>
      <c r="O175" s="1233">
        <v>41944</v>
      </c>
      <c r="P175" s="1233">
        <v>41974</v>
      </c>
    </row>
    <row r="176" spans="2:16">
      <c r="B176" s="563" t="s">
        <v>782</v>
      </c>
      <c r="C176" s="2672">
        <v>98</v>
      </c>
      <c r="D176" s="2672"/>
      <c r="E176" s="691">
        <f>+'TABLA FINAL  NO'!EZ123</f>
        <v>974.71</v>
      </c>
      <c r="F176" s="691">
        <f>+'TABLA FINAL  NO'!FA123</f>
        <v>1031.07</v>
      </c>
      <c r="G176" s="691">
        <f>+'TABLA FINAL  NO'!FB123</f>
        <v>1040.8599999999999</v>
      </c>
      <c r="H176" s="691">
        <f>+'TABLA FINAL  NO'!FC123</f>
        <v>1101.25</v>
      </c>
      <c r="I176" s="691">
        <f>+'TABLA FINAL  NO'!FD123</f>
        <v>1150.5999999999999</v>
      </c>
      <c r="J176" s="691">
        <f>+'TABLA FINAL  NO'!FE123</f>
        <v>1161.1099999999999</v>
      </c>
      <c r="K176" s="691">
        <f>+'TABLA FINAL  NO'!FF123</f>
        <v>1163.06</v>
      </c>
      <c r="L176" s="691">
        <f>+'TABLA FINAL  NO'!FG123</f>
        <v>1177.3499999999999</v>
      </c>
      <c r="M176" s="691">
        <f>+'TABLA FINAL  NO'!FH123</f>
        <v>1200.76</v>
      </c>
      <c r="N176" s="691">
        <f>+'TABLA FINAL  NO'!FI123</f>
        <v>1218.04</v>
      </c>
      <c r="O176" s="691">
        <f>+'TABLA FINAL  NO'!FJ123</f>
        <v>1223.0999999999999</v>
      </c>
      <c r="P176" s="574">
        <f>+'TABLA FINAL  NO'!FK123</f>
        <v>1229.6600000000001</v>
      </c>
    </row>
    <row r="177" spans="2:16">
      <c r="B177" s="372" t="s">
        <v>783</v>
      </c>
      <c r="C177" s="2658">
        <v>1</v>
      </c>
      <c r="D177" s="2658"/>
      <c r="E177" s="139">
        <f>+'TABLA FINAL  NO'!EZ5</f>
        <v>23.28</v>
      </c>
      <c r="F177" s="140">
        <f>+'TABLA FINAL  NO'!FA5</f>
        <v>23.28</v>
      </c>
      <c r="G177" s="140">
        <f>+'TABLA FINAL  NO'!FB5</f>
        <v>23.28</v>
      </c>
      <c r="H177" s="140">
        <f>+'TABLA FINAL  NO'!FC5</f>
        <v>27.42</v>
      </c>
      <c r="I177" s="140">
        <f>+'TABLA FINAL  NO'!FD5</f>
        <v>27.42</v>
      </c>
      <c r="J177" s="140">
        <f>+'TABLA FINAL  NO'!FE5</f>
        <v>27.42</v>
      </c>
      <c r="K177" s="140">
        <f>+'TABLA FINAL  NO'!FF5</f>
        <v>30.16</v>
      </c>
      <c r="L177" s="140">
        <f>+'TABLA FINAL  NO'!FG5</f>
        <v>30.16</v>
      </c>
      <c r="M177" s="140">
        <f>+'TABLA FINAL  NO'!FH5</f>
        <v>30.16</v>
      </c>
      <c r="N177" s="140">
        <f>+'TABLA FINAL  NO'!FI5</f>
        <v>30.16</v>
      </c>
      <c r="O177" s="140">
        <f>+'TABLA FINAL  NO'!FJ5</f>
        <v>30.16</v>
      </c>
      <c r="P177" s="141">
        <f>+'TABLA FINAL  NO'!FK5</f>
        <v>30.16</v>
      </c>
    </row>
    <row r="178" spans="2:16">
      <c r="B178" s="566" t="s">
        <v>784</v>
      </c>
      <c r="C178" s="2626" t="s">
        <v>473</v>
      </c>
      <c r="D178" s="2865"/>
      <c r="E178" s="1250"/>
      <c r="F178" s="1259"/>
      <c r="G178" s="748"/>
      <c r="H178" s="703"/>
      <c r="I178" s="748"/>
      <c r="J178" s="703"/>
      <c r="K178" s="568"/>
      <c r="L178" s="568"/>
      <c r="M178" s="568"/>
      <c r="N178" s="568"/>
      <c r="O178" s="568"/>
      <c r="P178" s="575"/>
    </row>
    <row r="179" spans="2:16">
      <c r="B179" s="566" t="s">
        <v>496</v>
      </c>
      <c r="C179" s="2626" t="s">
        <v>278</v>
      </c>
      <c r="D179" s="2865"/>
      <c r="E179" s="568"/>
      <c r="F179" s="703"/>
      <c r="G179" s="748"/>
      <c r="H179" s="140"/>
      <c r="I179" s="748"/>
      <c r="J179" s="140"/>
      <c r="K179" s="568"/>
      <c r="L179" s="568"/>
      <c r="M179" s="568"/>
      <c r="N179" s="568"/>
      <c r="O179" s="568"/>
      <c r="P179" s="575"/>
    </row>
    <row r="180" spans="2:16" ht="16.5" thickBot="1">
      <c r="B180" s="373" t="s">
        <v>785</v>
      </c>
      <c r="C180" s="2661" t="s">
        <v>786</v>
      </c>
      <c r="D180" s="2661"/>
      <c r="E180" s="352">
        <f t="shared" ref="E180:L180" si="52">(E177+E179)*8*2.2521+E178*8</f>
        <v>419.431104</v>
      </c>
      <c r="F180" s="350">
        <f t="shared" si="52"/>
        <v>419.431104</v>
      </c>
      <c r="G180" s="350">
        <f t="shared" si="52"/>
        <v>419.431104</v>
      </c>
      <c r="H180" s="350">
        <f t="shared" si="52"/>
        <v>494.02065600000003</v>
      </c>
      <c r="I180" s="350">
        <f t="shared" si="52"/>
        <v>494.02065600000003</v>
      </c>
      <c r="J180" s="350">
        <f t="shared" si="52"/>
        <v>494.02065600000003</v>
      </c>
      <c r="K180" s="350">
        <f t="shared" si="52"/>
        <v>543.38668800000005</v>
      </c>
      <c r="L180" s="350">
        <f t="shared" si="52"/>
        <v>543.38668800000005</v>
      </c>
      <c r="M180" s="350">
        <f>(M177+M179)*8*2.2521+M178*8</f>
        <v>543.38668800000005</v>
      </c>
      <c r="N180" s="350">
        <f>(N177+N179)*8*2.2521+N178*8</f>
        <v>543.38668800000005</v>
      </c>
      <c r="O180" s="350">
        <f>(O177+O179)*8*2.2521+O178*8</f>
        <v>543.38668800000005</v>
      </c>
      <c r="P180" s="354">
        <f>(P177+P179)*8*2.2521+P178*8</f>
        <v>543.38668800000005</v>
      </c>
    </row>
    <row r="181" spans="2:16" ht="16.5" thickBot="1">
      <c r="B181" s="425"/>
      <c r="C181" s="122"/>
      <c r="D181" s="122"/>
      <c r="L181" s="1232"/>
      <c r="P181" s="361"/>
    </row>
    <row r="182" spans="2:16">
      <c r="B182" s="2623" t="s">
        <v>675</v>
      </c>
      <c r="C182" s="2659" t="s">
        <v>787</v>
      </c>
      <c r="D182" s="2866"/>
      <c r="E182" s="421">
        <f t="shared" ref="E182:N182" si="53">+ROUND((E176*100/$E$18),3)</f>
        <v>1063.7449999999999</v>
      </c>
      <c r="F182" s="421">
        <f t="shared" si="53"/>
        <v>1125.2539999999999</v>
      </c>
      <c r="G182" s="421">
        <f t="shared" si="53"/>
        <v>1135.9380000000001</v>
      </c>
      <c r="H182" s="421">
        <f t="shared" si="53"/>
        <v>1201.8440000000001</v>
      </c>
      <c r="I182" s="421">
        <f t="shared" si="53"/>
        <v>1255.702</v>
      </c>
      <c r="J182" s="421">
        <f>+ROUND((J176*100/$E$18),3)</f>
        <v>1267.172</v>
      </c>
      <c r="K182" s="516">
        <f t="shared" si="53"/>
        <v>1269.3</v>
      </c>
      <c r="L182" s="553">
        <f t="shared" si="53"/>
        <v>1284.896</v>
      </c>
      <c r="M182" s="516">
        <f t="shared" si="53"/>
        <v>1310.444</v>
      </c>
      <c r="N182" s="516">
        <f t="shared" si="53"/>
        <v>1329.3030000000001</v>
      </c>
      <c r="O182" s="516">
        <f>+ROUND((O176*100/$E$18),3)</f>
        <v>1334.825</v>
      </c>
      <c r="P182" s="133">
        <f>+ROUND((P176*100/$E$18),3)</f>
        <v>1341.9839999999999</v>
      </c>
    </row>
    <row r="183" spans="2:16" ht="16.5" thickBot="1">
      <c r="B183" s="2625"/>
      <c r="C183" s="2642" t="s">
        <v>677</v>
      </c>
      <c r="D183" s="2867"/>
      <c r="E183" s="573">
        <f t="shared" ref="E183:N183" si="54">+ROUND(E180*100/$E$21,3)</f>
        <v>2056.0349999999999</v>
      </c>
      <c r="F183" s="573">
        <f t="shared" si="54"/>
        <v>2056.0349999999999</v>
      </c>
      <c r="G183" s="573">
        <f t="shared" si="54"/>
        <v>2056.0349999999999</v>
      </c>
      <c r="H183" s="573">
        <f t="shared" si="54"/>
        <v>2421.67</v>
      </c>
      <c r="I183" s="573">
        <f t="shared" si="54"/>
        <v>2421.67</v>
      </c>
      <c r="J183" s="573">
        <f>+ROUND(J180*100/$E$21,3)</f>
        <v>2421.67</v>
      </c>
      <c r="K183" s="531">
        <f t="shared" si="54"/>
        <v>2663.66</v>
      </c>
      <c r="L183" s="977">
        <f t="shared" si="54"/>
        <v>2663.66</v>
      </c>
      <c r="M183" s="531">
        <f t="shared" si="54"/>
        <v>2663.66</v>
      </c>
      <c r="N183" s="531">
        <f t="shared" si="54"/>
        <v>2663.66</v>
      </c>
      <c r="O183" s="531">
        <f>+ROUND(O180*100/$E$21,3)</f>
        <v>2663.66</v>
      </c>
      <c r="P183" s="134">
        <f>+ROUND(P180*100/$E$21,3)</f>
        <v>2663.66</v>
      </c>
    </row>
    <row r="184" spans="2:16" ht="16.5" thickBot="1">
      <c r="B184" s="425"/>
      <c r="C184" s="122"/>
      <c r="D184" s="360"/>
      <c r="P184" s="361"/>
    </row>
    <row r="185" spans="2:16" ht="16.5" thickBot="1">
      <c r="B185" s="2636" t="s">
        <v>788</v>
      </c>
      <c r="C185" s="2637"/>
      <c r="D185" s="2638"/>
      <c r="E185" s="1362">
        <f>+ROUND(E182*0.8+E183*0.2,2)</f>
        <v>1262.2</v>
      </c>
      <c r="F185" s="1362">
        <f>+ROUND(F182*0.8+F183*0.2,2)</f>
        <v>1311.41</v>
      </c>
      <c r="G185" s="1362">
        <f>+ROUND(G182*0.8+G183*0.2,2)</f>
        <v>1319.96</v>
      </c>
      <c r="H185" s="1362">
        <f t="shared" ref="H185:N185" si="55">+ROUND(H182*0.8+H183*0.2,2)</f>
        <v>1445.81</v>
      </c>
      <c r="I185" s="1362">
        <f t="shared" si="55"/>
        <v>1488.9</v>
      </c>
      <c r="J185" s="1362">
        <f t="shared" si="55"/>
        <v>1498.07</v>
      </c>
      <c r="K185" s="135">
        <f t="shared" si="55"/>
        <v>1548.17</v>
      </c>
      <c r="L185" s="135">
        <f t="shared" si="55"/>
        <v>1560.65</v>
      </c>
      <c r="M185" s="135">
        <f t="shared" si="55"/>
        <v>1581.09</v>
      </c>
      <c r="N185" s="135">
        <f t="shared" si="55"/>
        <v>1596.17</v>
      </c>
      <c r="O185" s="135">
        <f>+ROUND(O182*0.8+O183*0.2,2)</f>
        <v>1600.59</v>
      </c>
      <c r="P185" s="136">
        <f>+ROUND(P182*0.8+P183*0.2,2)</f>
        <v>1606.32</v>
      </c>
    </row>
    <row r="186" spans="2:16" ht="9.9499999999999993" customHeight="1"/>
    <row r="187" spans="2:16" ht="9.9499999999999993" customHeight="1" thickBot="1"/>
    <row r="188" spans="2:16" ht="16.5" thickBot="1">
      <c r="B188" s="1246" t="s">
        <v>673</v>
      </c>
      <c r="C188" s="2864" t="s">
        <v>656</v>
      </c>
      <c r="D188" s="2765"/>
      <c r="E188" s="1233">
        <v>42005</v>
      </c>
      <c r="F188" s="1233">
        <v>42036</v>
      </c>
      <c r="G188" s="1233">
        <v>42064</v>
      </c>
      <c r="H188" s="1233">
        <v>42095</v>
      </c>
      <c r="I188" s="1233">
        <v>42125</v>
      </c>
      <c r="J188" s="1233">
        <v>42156</v>
      </c>
      <c r="K188" s="1233">
        <v>42186</v>
      </c>
      <c r="L188" s="1233">
        <v>42217</v>
      </c>
      <c r="M188" s="1233">
        <v>42248</v>
      </c>
      <c r="N188" s="1233">
        <v>42278</v>
      </c>
      <c r="O188" s="1233">
        <v>42309</v>
      </c>
      <c r="P188" s="1428">
        <v>42339</v>
      </c>
    </row>
    <row r="189" spans="2:16">
      <c r="B189" s="563" t="s">
        <v>782</v>
      </c>
      <c r="C189" s="2672">
        <v>98</v>
      </c>
      <c r="D189" s="2672"/>
      <c r="E189" s="691">
        <f>+'TABLA FINAL  NO'!FL123</f>
        <v>1235.23</v>
      </c>
      <c r="F189" s="691">
        <f>+'TABLA FINAL  NO'!FM123</f>
        <v>1248.8599999999999</v>
      </c>
      <c r="G189" s="691">
        <f>+'TABLA FINAL  NO'!FN123</f>
        <v>1263.02</v>
      </c>
      <c r="H189" s="691">
        <f>+'TABLA FINAL  NO'!FO123</f>
        <v>1274.52</v>
      </c>
      <c r="I189" s="691">
        <f>+'TABLA FINAL  NO'!FP123</f>
        <v>1286.26</v>
      </c>
      <c r="J189" s="691">
        <f>+'TABLA FINAL  NO'!FQ123</f>
        <v>1299.3399999999999</v>
      </c>
      <c r="K189" s="691">
        <f>+'TABLA FINAL  NO'!FR123</f>
        <v>1308.51</v>
      </c>
      <c r="L189" s="691">
        <f>+'TABLA FINAL  NO'!FS123</f>
        <v>1329.31</v>
      </c>
      <c r="M189" s="691">
        <f>+'TABLA FINAL  NO'!FT123</f>
        <v>1346.84</v>
      </c>
      <c r="N189" s="691">
        <f>+'TABLA FINAL  NO'!FU123</f>
        <v>1364.66</v>
      </c>
      <c r="O189" s="691" t="e">
        <f>+#REF!</f>
        <v>#REF!</v>
      </c>
      <c r="P189" s="574" t="e">
        <f>+#REF!</f>
        <v>#REF!</v>
      </c>
    </row>
    <row r="190" spans="2:16">
      <c r="B190" s="372" t="s">
        <v>783</v>
      </c>
      <c r="C190" s="2658">
        <v>1</v>
      </c>
      <c r="D190" s="2658"/>
      <c r="E190" s="139">
        <f>+'TABLA FINAL  NO'!FL5</f>
        <v>30.16</v>
      </c>
      <c r="F190" s="139">
        <f>+'TABLA FINAL  NO'!FM5</f>
        <v>30.16</v>
      </c>
      <c r="G190" s="139">
        <f>+'TABLA FINAL  NO'!FN5</f>
        <v>30.16</v>
      </c>
      <c r="H190" s="139">
        <f>+'TABLA FINAL  NO'!FO5</f>
        <v>35.409999999999997</v>
      </c>
      <c r="I190" s="139">
        <f>+'TABLA FINAL  NO'!FP5</f>
        <v>35.409999999999997</v>
      </c>
      <c r="J190" s="139">
        <f>+'TABLA FINAL  NO'!FQ5</f>
        <v>35.409999999999997</v>
      </c>
      <c r="K190" s="139">
        <f>+'TABLA FINAL  NO'!FR5</f>
        <v>35.409999999999997</v>
      </c>
      <c r="L190" s="139">
        <f>+'TABLA FINAL  NO'!FS5</f>
        <v>38.42</v>
      </c>
      <c r="M190" s="139">
        <f>+'TABLA FINAL  NO'!FT5</f>
        <v>38.42</v>
      </c>
      <c r="N190" s="139">
        <f>+'TABLA FINAL  NO'!FU5</f>
        <v>38.42</v>
      </c>
      <c r="O190" s="139" t="e">
        <f>+#REF!</f>
        <v>#REF!</v>
      </c>
      <c r="P190" s="141" t="e">
        <f>+#REF!</f>
        <v>#REF!</v>
      </c>
    </row>
    <row r="191" spans="2:16">
      <c r="B191" s="566" t="s">
        <v>784</v>
      </c>
      <c r="C191" s="2626" t="s">
        <v>473</v>
      </c>
      <c r="D191" s="2865"/>
      <c r="E191" s="1250">
        <f>+'TABLA FINAL  NO'!FL31</f>
        <v>0</v>
      </c>
      <c r="F191" s="1259"/>
      <c r="G191" s="1259"/>
      <c r="H191" s="1259"/>
      <c r="I191" s="1259"/>
      <c r="J191" s="1259"/>
      <c r="K191" s="1259"/>
      <c r="L191" s="1259"/>
      <c r="M191" s="1259"/>
      <c r="N191" s="1259"/>
      <c r="O191" s="1259"/>
      <c r="P191" s="1260"/>
    </row>
    <row r="192" spans="2:16">
      <c r="B192" s="566" t="s">
        <v>496</v>
      </c>
      <c r="C192" s="2626" t="s">
        <v>278</v>
      </c>
      <c r="D192" s="2865"/>
      <c r="E192" s="568"/>
      <c r="F192" s="703"/>
      <c r="G192" s="703"/>
      <c r="H192" s="703"/>
      <c r="I192" s="703"/>
      <c r="J192" s="703"/>
      <c r="K192" s="703"/>
      <c r="L192" s="703"/>
      <c r="M192" s="703"/>
      <c r="N192" s="703"/>
      <c r="O192" s="703"/>
      <c r="P192" s="575"/>
    </row>
    <row r="193" spans="2:16" ht="16.5" thickBot="1">
      <c r="B193" s="373" t="s">
        <v>785</v>
      </c>
      <c r="C193" s="2661" t="s">
        <v>786</v>
      </c>
      <c r="D193" s="2661"/>
      <c r="E193" s="352">
        <f t="shared" ref="E193:J193" si="56">(E190+E192)*8*2.2521+E191*8</f>
        <v>543.38668800000005</v>
      </c>
      <c r="F193" s="352">
        <f t="shared" si="56"/>
        <v>543.38668800000005</v>
      </c>
      <c r="G193" s="352">
        <f t="shared" si="56"/>
        <v>543.38668800000005</v>
      </c>
      <c r="H193" s="352">
        <f t="shared" si="56"/>
        <v>637.97488799999996</v>
      </c>
      <c r="I193" s="352">
        <f t="shared" si="56"/>
        <v>637.97488799999996</v>
      </c>
      <c r="J193" s="352">
        <f t="shared" si="56"/>
        <v>637.97488799999996</v>
      </c>
      <c r="K193" s="352">
        <f t="shared" ref="K193:P193" si="57">(K190+K192)*8*2.2521+K191*8</f>
        <v>637.97488799999996</v>
      </c>
      <c r="L193" s="352">
        <f t="shared" si="57"/>
        <v>692.20545600000003</v>
      </c>
      <c r="M193" s="352">
        <f t="shared" si="57"/>
        <v>692.20545600000003</v>
      </c>
      <c r="N193" s="352">
        <f t="shared" si="57"/>
        <v>692.20545600000003</v>
      </c>
      <c r="O193" s="352" t="e">
        <f t="shared" si="57"/>
        <v>#REF!</v>
      </c>
      <c r="P193" s="354" t="e">
        <f t="shared" si="57"/>
        <v>#REF!</v>
      </c>
    </row>
    <row r="194" spans="2:16" ht="16.5" thickBot="1">
      <c r="B194" s="425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361"/>
    </row>
    <row r="195" spans="2:16">
      <c r="B195" s="2623" t="s">
        <v>675</v>
      </c>
      <c r="C195" s="2659" t="s">
        <v>787</v>
      </c>
      <c r="D195" s="2866"/>
      <c r="E195" s="421">
        <f t="shared" ref="E195:J195" si="58">+ROUND((E189*100/$E$18),3)</f>
        <v>1348.0630000000001</v>
      </c>
      <c r="F195" s="421">
        <f t="shared" si="58"/>
        <v>1362.9380000000001</v>
      </c>
      <c r="G195" s="421">
        <f t="shared" si="58"/>
        <v>1378.3910000000001</v>
      </c>
      <c r="H195" s="421">
        <f t="shared" si="58"/>
        <v>1390.942</v>
      </c>
      <c r="I195" s="421">
        <f t="shared" si="58"/>
        <v>1403.7539999999999</v>
      </c>
      <c r="J195" s="421">
        <f t="shared" si="58"/>
        <v>1418.029</v>
      </c>
      <c r="K195" s="421">
        <f t="shared" ref="K195:P195" si="59">+ROUND((K189*100/$E$18),3)</f>
        <v>1428.037</v>
      </c>
      <c r="L195" s="421">
        <f t="shared" si="59"/>
        <v>1450.7370000000001</v>
      </c>
      <c r="M195" s="421">
        <f t="shared" si="59"/>
        <v>1469.8679999999999</v>
      </c>
      <c r="N195" s="421">
        <f t="shared" si="59"/>
        <v>1489.316</v>
      </c>
      <c r="O195" s="421" t="e">
        <f t="shared" si="59"/>
        <v>#REF!</v>
      </c>
      <c r="P195" s="422" t="e">
        <f t="shared" si="59"/>
        <v>#REF!</v>
      </c>
    </row>
    <row r="196" spans="2:16" ht="16.5" thickBot="1">
      <c r="B196" s="2625"/>
      <c r="C196" s="2642" t="s">
        <v>677</v>
      </c>
      <c r="D196" s="2867"/>
      <c r="E196" s="573">
        <f t="shared" ref="E196:J196" si="60">+ROUND(E193*100/$E$21,3)</f>
        <v>2663.66</v>
      </c>
      <c r="F196" s="573">
        <f t="shared" si="60"/>
        <v>2663.66</v>
      </c>
      <c r="G196" s="573">
        <f t="shared" si="60"/>
        <v>2663.66</v>
      </c>
      <c r="H196" s="573">
        <f t="shared" si="60"/>
        <v>3127.328</v>
      </c>
      <c r="I196" s="573">
        <f t="shared" si="60"/>
        <v>3127.328</v>
      </c>
      <c r="J196" s="573">
        <f t="shared" si="60"/>
        <v>3127.328</v>
      </c>
      <c r="K196" s="573">
        <f t="shared" ref="K196:P196" si="61">+ROUND(K193*100/$E$21,3)</f>
        <v>3127.328</v>
      </c>
      <c r="L196" s="573">
        <f t="shared" si="61"/>
        <v>3393.1640000000002</v>
      </c>
      <c r="M196" s="573">
        <f t="shared" si="61"/>
        <v>3393.1640000000002</v>
      </c>
      <c r="N196" s="573">
        <f t="shared" si="61"/>
        <v>3393.1640000000002</v>
      </c>
      <c r="O196" s="573" t="e">
        <f t="shared" si="61"/>
        <v>#REF!</v>
      </c>
      <c r="P196" s="503" t="e">
        <f t="shared" si="61"/>
        <v>#REF!</v>
      </c>
    </row>
    <row r="197" spans="2:16" ht="16.5" thickBot="1">
      <c r="B197" s="425"/>
      <c r="C197" s="122"/>
      <c r="D197" s="360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361"/>
    </row>
    <row r="198" spans="2:16" ht="16.5" thickBot="1">
      <c r="B198" s="2636" t="s">
        <v>788</v>
      </c>
      <c r="C198" s="2637"/>
      <c r="D198" s="2638"/>
      <c r="E198" s="1362">
        <f t="shared" ref="E198:J198" si="62">+ROUND(E195*0.8+E196*0.2,2)</f>
        <v>1611.18</v>
      </c>
      <c r="F198" s="1362">
        <f t="shared" si="62"/>
        <v>1623.08</v>
      </c>
      <c r="G198" s="1362">
        <f t="shared" si="62"/>
        <v>1635.44</v>
      </c>
      <c r="H198" s="1362">
        <f t="shared" si="62"/>
        <v>1738.22</v>
      </c>
      <c r="I198" s="1362">
        <f t="shared" si="62"/>
        <v>1748.47</v>
      </c>
      <c r="J198" s="1362">
        <f t="shared" si="62"/>
        <v>1759.89</v>
      </c>
      <c r="K198" s="1362">
        <f t="shared" ref="K198:P198" si="63">+ROUND(K195*0.8+K196*0.2,2)</f>
        <v>1767.9</v>
      </c>
      <c r="L198" s="1362">
        <f t="shared" si="63"/>
        <v>1839.22</v>
      </c>
      <c r="M198" s="1362">
        <f t="shared" si="63"/>
        <v>1854.53</v>
      </c>
      <c r="N198" s="1362">
        <f t="shared" si="63"/>
        <v>1870.09</v>
      </c>
      <c r="O198" s="1362" t="e">
        <f t="shared" si="63"/>
        <v>#REF!</v>
      </c>
      <c r="P198" s="1744" t="e">
        <f t="shared" si="63"/>
        <v>#REF!</v>
      </c>
    </row>
    <row r="199" spans="2:16" ht="16.5" thickBot="1"/>
    <row r="200" spans="2:16" ht="16.5" thickBot="1">
      <c r="B200" s="1246" t="s">
        <v>673</v>
      </c>
      <c r="C200" s="2864" t="s">
        <v>656</v>
      </c>
      <c r="D200" s="2765"/>
      <c r="E200" s="1233">
        <v>42370</v>
      </c>
      <c r="F200" s="1233">
        <v>42401</v>
      </c>
      <c r="G200" s="1233">
        <v>42430</v>
      </c>
      <c r="H200" s="1233">
        <v>42461</v>
      </c>
      <c r="I200" s="1233">
        <v>42491</v>
      </c>
      <c r="J200" s="1233">
        <v>42522</v>
      </c>
      <c r="K200" s="1233">
        <v>42552</v>
      </c>
      <c r="L200" s="1233">
        <v>42583</v>
      </c>
      <c r="M200" s="1233">
        <v>42614</v>
      </c>
      <c r="N200" s="1233">
        <v>42644</v>
      </c>
      <c r="O200" s="1233">
        <v>42675</v>
      </c>
      <c r="P200" s="1428">
        <v>42705</v>
      </c>
    </row>
    <row r="201" spans="2:16">
      <c r="B201" s="563" t="s">
        <v>782</v>
      </c>
      <c r="C201" s="2672">
        <v>98</v>
      </c>
      <c r="D201" s="2672"/>
      <c r="E201" s="691">
        <f>+'Insumos testigos '!FY118</f>
        <v>100</v>
      </c>
      <c r="F201" s="691">
        <f>+'Insumos testigos '!FZ118</f>
        <v>102.43468284606934</v>
      </c>
      <c r="G201" s="691">
        <f>+'Insumos testigos '!GA118</f>
        <v>104.16513935813896</v>
      </c>
      <c r="H201" s="691">
        <f>+'Insumos testigos '!GB118</f>
        <v>101.2452189205552</v>
      </c>
      <c r="I201" s="691">
        <f>+'Insumos testigos '!GC118</f>
        <v>101.69664958977773</v>
      </c>
      <c r="J201" s="691">
        <f>+'Insumos testigos '!GD118</f>
        <v>101.23076770006665</v>
      </c>
      <c r="K201" s="691">
        <f>+'Insumos testigos '!GE118</f>
        <v>106.78064276550749</v>
      </c>
      <c r="L201" s="691">
        <f>+'Insumos testigos '!GF118</f>
        <v>106.55601615134677</v>
      </c>
      <c r="M201" s="691">
        <f>+'Insumos testigos '!GG118</f>
        <v>107.61223898343054</v>
      </c>
      <c r="N201" s="691">
        <f>+'Insumos testigos '!GH118</f>
        <v>108.58566917665232</v>
      </c>
      <c r="O201" s="691">
        <f>+'Insumos testigos '!GI118</f>
        <v>110.08973316966664</v>
      </c>
      <c r="P201" s="691">
        <f>+'Insumos testigos '!GJ118</f>
        <v>113.12611551159192</v>
      </c>
    </row>
    <row r="202" spans="2:16">
      <c r="B202" s="372" t="s">
        <v>783</v>
      </c>
      <c r="C202" s="2658">
        <v>1</v>
      </c>
      <c r="D202" s="2658"/>
      <c r="E202" s="139">
        <f>+'Insumos testigos '!FY5</f>
        <v>38.42</v>
      </c>
      <c r="F202" s="139">
        <f>+'Insumos testigos '!FZ5</f>
        <v>38.42</v>
      </c>
      <c r="G202" s="139">
        <f>+'Insumos testigos '!GA5</f>
        <v>38.42</v>
      </c>
      <c r="H202" s="139">
        <f>+'Insumos testigos '!GB5</f>
        <v>46.87</v>
      </c>
      <c r="I202" s="139">
        <f>+'Insumos testigos '!GC5</f>
        <v>46.87</v>
      </c>
      <c r="J202" s="139">
        <f>+'Insumos testigos '!GD5</f>
        <v>46.87</v>
      </c>
      <c r="K202" s="139">
        <f>+'Insumos testigos '!GE5</f>
        <v>46.87</v>
      </c>
      <c r="L202" s="139">
        <f>+'Insumos testigos '!GF5</f>
        <v>46.87</v>
      </c>
      <c r="M202" s="139">
        <f>+'Insumos testigos '!GG5</f>
        <v>46.87</v>
      </c>
      <c r="N202" s="139">
        <f>+'Insumos testigos '!GH5</f>
        <v>51.48</v>
      </c>
      <c r="O202" s="139">
        <f>+'Insumos testigos '!GI5</f>
        <v>51.48</v>
      </c>
      <c r="P202" s="139">
        <f>+'Insumos testigos '!GJ5</f>
        <v>51.48</v>
      </c>
    </row>
    <row r="203" spans="2:16">
      <c r="B203" s="566" t="s">
        <v>784</v>
      </c>
      <c r="C203" s="2626" t="s">
        <v>473</v>
      </c>
      <c r="D203" s="2865"/>
      <c r="E203" s="1250"/>
      <c r="F203" s="1250"/>
      <c r="G203" s="1250"/>
      <c r="H203" s="1250"/>
      <c r="I203" s="1250"/>
      <c r="J203" s="1250"/>
      <c r="K203" s="1250"/>
      <c r="L203" s="1250"/>
      <c r="M203" s="1250"/>
      <c r="N203" s="1250"/>
      <c r="O203" s="1250"/>
      <c r="P203" s="1260"/>
    </row>
    <row r="204" spans="2:16">
      <c r="B204" s="566" t="s">
        <v>496</v>
      </c>
      <c r="C204" s="2626" t="s">
        <v>278</v>
      </c>
      <c r="D204" s="2865"/>
      <c r="E204" s="568"/>
      <c r="F204" s="568"/>
      <c r="G204" s="568"/>
      <c r="H204" s="568"/>
      <c r="I204" s="568"/>
      <c r="J204" s="568"/>
      <c r="K204" s="568"/>
      <c r="L204" s="568"/>
      <c r="M204" s="568"/>
      <c r="N204" s="568"/>
      <c r="O204" s="568"/>
      <c r="P204" s="575"/>
    </row>
    <row r="205" spans="2:16" ht="16.5" thickBot="1">
      <c r="B205" s="373" t="s">
        <v>785</v>
      </c>
      <c r="C205" s="2661" t="s">
        <v>786</v>
      </c>
      <c r="D205" s="2661"/>
      <c r="E205" s="352">
        <f>(E202+E204)*8*2.2521+E203*8</f>
        <v>692.20545600000003</v>
      </c>
      <c r="F205" s="352">
        <f t="shared" ref="F205:L205" si="64">(F202+F204)*8*2.2521+F203*8</f>
        <v>692.20545600000003</v>
      </c>
      <c r="G205" s="352">
        <f t="shared" si="64"/>
        <v>692.20545600000003</v>
      </c>
      <c r="H205" s="352">
        <f t="shared" si="64"/>
        <v>844.44741599999998</v>
      </c>
      <c r="I205" s="352">
        <f t="shared" si="64"/>
        <v>844.44741599999998</v>
      </c>
      <c r="J205" s="352">
        <f t="shared" si="64"/>
        <v>844.44741599999998</v>
      </c>
      <c r="K205" s="352">
        <f t="shared" si="64"/>
        <v>844.44741599999998</v>
      </c>
      <c r="L205" s="352">
        <f t="shared" si="64"/>
        <v>844.44741599999998</v>
      </c>
      <c r="M205" s="352">
        <f>(M202+M204)*8*2.2521+M203*8</f>
        <v>844.44741599999998</v>
      </c>
      <c r="N205" s="352">
        <f>(N202+N204)*8*2.2521+N203*8</f>
        <v>927.50486399999988</v>
      </c>
      <c r="O205" s="352">
        <f>(O202+O204)*8*2.2521+O203*8</f>
        <v>927.50486399999988</v>
      </c>
      <c r="P205" s="354">
        <f>(P202+P204)*8*2.2521+P203*8</f>
        <v>927.50486399999988</v>
      </c>
    </row>
    <row r="206" spans="2:16" ht="16.5" thickBot="1">
      <c r="B206" s="425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361"/>
    </row>
    <row r="207" spans="2:16">
      <c r="B207" s="2623" t="s">
        <v>675</v>
      </c>
      <c r="C207" s="2659" t="s">
        <v>787</v>
      </c>
      <c r="D207" s="2866"/>
      <c r="E207" s="421">
        <v>100</v>
      </c>
      <c r="F207" s="421">
        <f>+ROUND((F201*100/$E$201),3)</f>
        <v>102.435</v>
      </c>
      <c r="G207" s="421">
        <f t="shared" ref="G207:P207" si="65">+ROUND((G201*100/$E$201),3)</f>
        <v>104.16500000000001</v>
      </c>
      <c r="H207" s="421">
        <f t="shared" si="65"/>
        <v>101.245</v>
      </c>
      <c r="I207" s="421">
        <f t="shared" si="65"/>
        <v>101.697</v>
      </c>
      <c r="J207" s="421">
        <f t="shared" si="65"/>
        <v>101.23099999999999</v>
      </c>
      <c r="K207" s="421">
        <f t="shared" si="65"/>
        <v>106.78100000000001</v>
      </c>
      <c r="L207" s="421">
        <f t="shared" si="65"/>
        <v>106.556</v>
      </c>
      <c r="M207" s="421">
        <f t="shared" si="65"/>
        <v>107.61199999999999</v>
      </c>
      <c r="N207" s="421">
        <f t="shared" si="65"/>
        <v>108.586</v>
      </c>
      <c r="O207" s="421">
        <f t="shared" si="65"/>
        <v>110.09</v>
      </c>
      <c r="P207" s="421">
        <f t="shared" si="65"/>
        <v>113.126</v>
      </c>
    </row>
    <row r="208" spans="2:16" ht="16.5" thickBot="1">
      <c r="B208" s="2625"/>
      <c r="C208" s="2642" t="s">
        <v>677</v>
      </c>
      <c r="D208" s="2867"/>
      <c r="E208" s="573">
        <v>100</v>
      </c>
      <c r="F208" s="573">
        <f>+ROUND(F205*100/$E$205,3)</f>
        <v>100</v>
      </c>
      <c r="G208" s="573">
        <f t="shared" ref="G208:P208" si="66">+ROUND(G205*100/$E$205,3)</f>
        <v>100</v>
      </c>
      <c r="H208" s="573">
        <f t="shared" si="66"/>
        <v>121.994</v>
      </c>
      <c r="I208" s="573">
        <f t="shared" si="66"/>
        <v>121.994</v>
      </c>
      <c r="J208" s="573">
        <f t="shared" si="66"/>
        <v>121.994</v>
      </c>
      <c r="K208" s="573">
        <f t="shared" si="66"/>
        <v>121.994</v>
      </c>
      <c r="L208" s="573">
        <f t="shared" si="66"/>
        <v>121.994</v>
      </c>
      <c r="M208" s="573">
        <f t="shared" si="66"/>
        <v>121.994</v>
      </c>
      <c r="N208" s="573">
        <f t="shared" si="66"/>
        <v>133.99299999999999</v>
      </c>
      <c r="O208" s="573">
        <f t="shared" si="66"/>
        <v>133.99299999999999</v>
      </c>
      <c r="P208" s="573">
        <f t="shared" si="66"/>
        <v>133.99299999999999</v>
      </c>
    </row>
    <row r="209" spans="2:16" ht="16.5" thickBot="1">
      <c r="B209" s="425"/>
      <c r="C209" s="122"/>
      <c r="D209" s="360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361"/>
    </row>
    <row r="210" spans="2:16" ht="16.5" thickBot="1">
      <c r="B210" s="2636" t="s">
        <v>788</v>
      </c>
      <c r="C210" s="2637"/>
      <c r="D210" s="2638"/>
      <c r="E210" s="1362">
        <f t="shared" ref="E210:P210" si="67">+ROUND(E207*0.8+E208*0.2,2)</f>
        <v>100</v>
      </c>
      <c r="F210" s="1362">
        <f t="shared" si="67"/>
        <v>101.95</v>
      </c>
      <c r="G210" s="1362">
        <f t="shared" si="67"/>
        <v>103.33</v>
      </c>
      <c r="H210" s="1362">
        <f t="shared" si="67"/>
        <v>105.39</v>
      </c>
      <c r="I210" s="1362">
        <f t="shared" si="67"/>
        <v>105.76</v>
      </c>
      <c r="J210" s="1362">
        <f t="shared" si="67"/>
        <v>105.38</v>
      </c>
      <c r="K210" s="1362">
        <f t="shared" si="67"/>
        <v>109.82</v>
      </c>
      <c r="L210" s="1362">
        <f t="shared" si="67"/>
        <v>109.64</v>
      </c>
      <c r="M210" s="1362">
        <f t="shared" si="67"/>
        <v>110.49</v>
      </c>
      <c r="N210" s="1362">
        <f t="shared" si="67"/>
        <v>113.67</v>
      </c>
      <c r="O210" s="1362">
        <f t="shared" si="67"/>
        <v>114.87</v>
      </c>
      <c r="P210" s="1744">
        <f t="shared" si="67"/>
        <v>117.3</v>
      </c>
    </row>
    <row r="212" spans="2:16" ht="16.5" hidden="1" thickBot="1">
      <c r="B212" s="1246" t="s">
        <v>673</v>
      </c>
      <c r="C212" s="2864" t="s">
        <v>656</v>
      </c>
      <c r="D212" s="2765"/>
      <c r="E212" s="1233">
        <v>42736</v>
      </c>
      <c r="F212" s="1233">
        <v>42767</v>
      </c>
      <c r="G212" s="1233">
        <v>42795</v>
      </c>
      <c r="H212" s="1233">
        <v>42826</v>
      </c>
      <c r="I212" s="1233">
        <v>42856</v>
      </c>
      <c r="J212" s="1233">
        <v>42887</v>
      </c>
      <c r="K212" s="1233">
        <v>42917</v>
      </c>
      <c r="L212" s="1233">
        <v>42948</v>
      </c>
      <c r="M212" s="1233">
        <v>42979</v>
      </c>
      <c r="N212" s="1233">
        <v>43009</v>
      </c>
      <c r="O212" s="1233">
        <v>43040</v>
      </c>
      <c r="P212" s="1428">
        <v>43070</v>
      </c>
    </row>
    <row r="213" spans="2:16" hidden="1">
      <c r="B213" s="563" t="s">
        <v>782</v>
      </c>
      <c r="C213" s="2672">
        <v>98</v>
      </c>
      <c r="D213" s="2672"/>
      <c r="E213" s="691">
        <f>+'Insumos testigos '!GK118</f>
        <v>113.06155954295517</v>
      </c>
      <c r="F213" s="691">
        <f>+'Insumos testigos '!GL118</f>
        <v>111.78024090083363</v>
      </c>
      <c r="G213" s="691">
        <f>+'Insumos testigos '!GM118</f>
        <v>106.30842303636383</v>
      </c>
      <c r="H213" s="691">
        <f>+'Insumos testigos '!GN118</f>
        <v>105.80876657428398</v>
      </c>
      <c r="I213" s="691">
        <f>+'Insumos testigos '!GO118</f>
        <v>104.87839047001427</v>
      </c>
      <c r="J213" s="691">
        <f>+'Insumos testigos '!GP118</f>
        <v>103.50646225710328</v>
      </c>
      <c r="K213" s="691">
        <f>+'Insumos testigos '!GQ118</f>
        <v>109.087299428965</v>
      </c>
      <c r="L213" s="691">
        <f>+'Insumos testigos '!GR118</f>
        <v>111.02669670293919</v>
      </c>
      <c r="M213" s="691">
        <f>+'Insumos testigos '!GS118</f>
        <v>110.89648670359681</v>
      </c>
      <c r="N213" s="691">
        <f>+'Insumos testigos '!GT118</f>
        <v>113.19163170811622</v>
      </c>
      <c r="O213" s="691">
        <f>+'Insumos testigos '!GU118</f>
        <v>114.67591604800822</v>
      </c>
      <c r="P213" s="691">
        <f>+'Insumos testigos '!GV118</f>
        <v>113.84813706411757</v>
      </c>
    </row>
    <row r="214" spans="2:16" hidden="1">
      <c r="B214" s="372" t="s">
        <v>783</v>
      </c>
      <c r="C214" s="2658">
        <v>1</v>
      </c>
      <c r="D214" s="2658"/>
      <c r="E214" s="139">
        <f>+'Insumos testigos '!GK5</f>
        <v>53.4</v>
      </c>
      <c r="F214" s="139">
        <f>+'Insumos testigos '!GL5</f>
        <v>53.4</v>
      </c>
      <c r="G214" s="139">
        <f>+'Insumos testigos '!GM5</f>
        <v>53.4</v>
      </c>
      <c r="H214" s="139">
        <f>+'Insumos testigos '!GN5</f>
        <v>59.28</v>
      </c>
      <c r="I214" s="139">
        <f>+'Insumos testigos '!GO5</f>
        <v>59.28</v>
      </c>
      <c r="J214" s="139">
        <f>+'Insumos testigos '!GP5</f>
        <v>59.28</v>
      </c>
      <c r="K214" s="139">
        <f>+'Insumos testigos '!GQ5</f>
        <v>65.209999999999994</v>
      </c>
      <c r="L214" s="139">
        <f>+'Insumos testigos '!GR5</f>
        <v>65.209999999999994</v>
      </c>
      <c r="M214" s="139">
        <f>+'Insumos testigos '!GS5</f>
        <v>65.209999999999994</v>
      </c>
      <c r="N214" s="139">
        <f>+'Insumos testigos '!GT5</f>
        <v>65.209999999999994</v>
      </c>
      <c r="O214" s="139">
        <f>+'Insumos testigos '!GU5</f>
        <v>65.209999999999994</v>
      </c>
      <c r="P214" s="139">
        <f>+'Insumos testigos '!GV5</f>
        <v>65.209999999999994</v>
      </c>
    </row>
    <row r="215" spans="2:16" hidden="1">
      <c r="B215" s="566" t="s">
        <v>784</v>
      </c>
      <c r="C215" s="2626" t="s">
        <v>473</v>
      </c>
      <c r="D215" s="2865"/>
      <c r="E215" s="1250"/>
      <c r="F215" s="1250"/>
      <c r="G215" s="1250"/>
      <c r="H215" s="1250"/>
      <c r="I215" s="1250"/>
      <c r="J215" s="1250"/>
      <c r="K215" s="1250"/>
      <c r="L215" s="1250"/>
      <c r="M215" s="1250"/>
      <c r="N215" s="1250"/>
      <c r="O215" s="1250"/>
      <c r="P215" s="1260"/>
    </row>
    <row r="216" spans="2:16" hidden="1">
      <c r="B216" s="566" t="s">
        <v>496</v>
      </c>
      <c r="C216" s="2626" t="s">
        <v>278</v>
      </c>
      <c r="D216" s="2865"/>
      <c r="E216" s="568"/>
      <c r="F216" s="568"/>
      <c r="G216" s="568"/>
      <c r="H216" s="568"/>
      <c r="I216" s="568"/>
      <c r="J216" s="568"/>
      <c r="K216" s="568"/>
      <c r="L216" s="568"/>
      <c r="M216" s="568"/>
      <c r="N216" s="568"/>
      <c r="O216" s="568"/>
      <c r="P216" s="575"/>
    </row>
    <row r="217" spans="2:16" ht="16.5" hidden="1" thickBot="1">
      <c r="B217" s="373" t="s">
        <v>785</v>
      </c>
      <c r="C217" s="2661" t="s">
        <v>786</v>
      </c>
      <c r="D217" s="2661"/>
      <c r="E217" s="352">
        <f t="shared" ref="E217:P217" si="68">(E214+E216)*8*2.2521+E215*8</f>
        <v>962.09712000000002</v>
      </c>
      <c r="F217" s="352">
        <f t="shared" si="68"/>
        <v>962.09712000000002</v>
      </c>
      <c r="G217" s="352">
        <f t="shared" si="68"/>
        <v>962.09712000000002</v>
      </c>
      <c r="H217" s="352">
        <f t="shared" si="68"/>
        <v>1068.0359040000001</v>
      </c>
      <c r="I217" s="352">
        <f t="shared" si="68"/>
        <v>1068.0359040000001</v>
      </c>
      <c r="J217" s="352">
        <f t="shared" si="68"/>
        <v>1068.0359040000001</v>
      </c>
      <c r="K217" s="352">
        <f t="shared" si="68"/>
        <v>1174.8755279999998</v>
      </c>
      <c r="L217" s="352">
        <f t="shared" si="68"/>
        <v>1174.8755279999998</v>
      </c>
      <c r="M217" s="352">
        <f t="shared" si="68"/>
        <v>1174.8755279999998</v>
      </c>
      <c r="N217" s="352">
        <f t="shared" si="68"/>
        <v>1174.8755279999998</v>
      </c>
      <c r="O217" s="352">
        <f t="shared" si="68"/>
        <v>1174.8755279999998</v>
      </c>
      <c r="P217" s="354">
        <f t="shared" si="68"/>
        <v>1174.8755279999998</v>
      </c>
    </row>
    <row r="218" spans="2:16" ht="16.5" hidden="1" thickBot="1">
      <c r="B218" s="425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361"/>
    </row>
    <row r="219" spans="2:16" hidden="1">
      <c r="B219" s="2623" t="s">
        <v>675</v>
      </c>
      <c r="C219" s="2659" t="s">
        <v>787</v>
      </c>
      <c r="D219" s="2866"/>
      <c r="E219" s="421">
        <f>+ROUND((E213*100/$E$201),3)</f>
        <v>113.062</v>
      </c>
      <c r="F219" s="421">
        <f t="shared" ref="F219:P219" si="69">+ROUND((F213*100/$E$201),3)</f>
        <v>111.78</v>
      </c>
      <c r="G219" s="421">
        <f t="shared" si="69"/>
        <v>106.30800000000001</v>
      </c>
      <c r="H219" s="421">
        <f t="shared" si="69"/>
        <v>105.809</v>
      </c>
      <c r="I219" s="421">
        <f t="shared" si="69"/>
        <v>104.878</v>
      </c>
      <c r="J219" s="421">
        <f t="shared" si="69"/>
        <v>103.506</v>
      </c>
      <c r="K219" s="421">
        <f t="shared" si="69"/>
        <v>109.087</v>
      </c>
      <c r="L219" s="421">
        <f t="shared" si="69"/>
        <v>111.027</v>
      </c>
      <c r="M219" s="421">
        <f t="shared" si="69"/>
        <v>110.896</v>
      </c>
      <c r="N219" s="421">
        <f t="shared" si="69"/>
        <v>113.19199999999999</v>
      </c>
      <c r="O219" s="421">
        <f t="shared" si="69"/>
        <v>114.676</v>
      </c>
      <c r="P219" s="421">
        <f t="shared" si="69"/>
        <v>113.848</v>
      </c>
    </row>
    <row r="220" spans="2:16" ht="16.5" hidden="1" thickBot="1">
      <c r="B220" s="2625"/>
      <c r="C220" s="2642" t="s">
        <v>677</v>
      </c>
      <c r="D220" s="2867"/>
      <c r="E220" s="573">
        <f>+ROUND(E217*100/$E$205,3)</f>
        <v>138.99</v>
      </c>
      <c r="F220" s="573">
        <f t="shared" ref="F220:P220" si="70">+ROUND(F217*100/$E$205,3)</f>
        <v>138.99</v>
      </c>
      <c r="G220" s="573">
        <f t="shared" si="70"/>
        <v>138.99</v>
      </c>
      <c r="H220" s="573">
        <f t="shared" si="70"/>
        <v>154.29499999999999</v>
      </c>
      <c r="I220" s="573">
        <f t="shared" si="70"/>
        <v>154.29499999999999</v>
      </c>
      <c r="J220" s="573">
        <f t="shared" si="70"/>
        <v>154.29499999999999</v>
      </c>
      <c r="K220" s="573">
        <f t="shared" si="70"/>
        <v>169.72900000000001</v>
      </c>
      <c r="L220" s="573">
        <f t="shared" si="70"/>
        <v>169.72900000000001</v>
      </c>
      <c r="M220" s="573">
        <f t="shared" si="70"/>
        <v>169.72900000000001</v>
      </c>
      <c r="N220" s="573">
        <f t="shared" si="70"/>
        <v>169.72900000000001</v>
      </c>
      <c r="O220" s="573">
        <f t="shared" si="70"/>
        <v>169.72900000000001</v>
      </c>
      <c r="P220" s="573">
        <f t="shared" si="70"/>
        <v>169.72900000000001</v>
      </c>
    </row>
    <row r="221" spans="2:16" ht="16.5" hidden="1" thickBot="1">
      <c r="B221" s="425"/>
      <c r="C221" s="122"/>
      <c r="D221" s="360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361"/>
    </row>
    <row r="222" spans="2:16" ht="16.5" hidden="1" thickBot="1">
      <c r="B222" s="2636" t="s">
        <v>788</v>
      </c>
      <c r="C222" s="2637"/>
      <c r="D222" s="2638"/>
      <c r="E222" s="1362">
        <f t="shared" ref="E222:P222" si="71">+ROUND(E219*0.8+E220*0.2,2)</f>
        <v>118.25</v>
      </c>
      <c r="F222" s="1362">
        <f t="shared" si="71"/>
        <v>117.22</v>
      </c>
      <c r="G222" s="1362">
        <f t="shared" si="71"/>
        <v>112.84</v>
      </c>
      <c r="H222" s="1362">
        <f t="shared" si="71"/>
        <v>115.51</v>
      </c>
      <c r="I222" s="1362">
        <f t="shared" si="71"/>
        <v>114.76</v>
      </c>
      <c r="J222" s="1362">
        <f t="shared" si="71"/>
        <v>113.66</v>
      </c>
      <c r="K222" s="1362">
        <f t="shared" si="71"/>
        <v>121.22</v>
      </c>
      <c r="L222" s="1362">
        <f t="shared" si="71"/>
        <v>122.77</v>
      </c>
      <c r="M222" s="1362">
        <f t="shared" si="71"/>
        <v>122.66</v>
      </c>
      <c r="N222" s="1362">
        <f t="shared" si="71"/>
        <v>124.5</v>
      </c>
      <c r="O222" s="1362">
        <f t="shared" si="71"/>
        <v>125.69</v>
      </c>
      <c r="P222" s="1744">
        <f t="shared" si="71"/>
        <v>125.02</v>
      </c>
    </row>
    <row r="223" spans="2:16" hidden="1"/>
    <row r="224" spans="2:16" ht="16.5" hidden="1" thickBot="1">
      <c r="B224" s="1246" t="s">
        <v>673</v>
      </c>
      <c r="C224" s="2864" t="s">
        <v>656</v>
      </c>
      <c r="D224" s="2765"/>
      <c r="E224" s="1233">
        <v>43101</v>
      </c>
      <c r="F224" s="1233">
        <v>43132</v>
      </c>
      <c r="G224" s="1233">
        <v>43160</v>
      </c>
      <c r="H224" s="1233">
        <v>43191</v>
      </c>
      <c r="I224" s="1233">
        <v>43221</v>
      </c>
      <c r="J224" s="1233">
        <v>43252</v>
      </c>
      <c r="K224" s="1233">
        <v>43282</v>
      </c>
      <c r="L224" s="1233">
        <v>43313</v>
      </c>
      <c r="M224" s="1233">
        <v>43344</v>
      </c>
      <c r="N224" s="1233">
        <v>43374</v>
      </c>
      <c r="O224" s="1233">
        <v>43405</v>
      </c>
      <c r="P224" s="1428">
        <v>43435</v>
      </c>
    </row>
    <row r="225" spans="2:16" hidden="1">
      <c r="B225" s="563" t="s">
        <v>782</v>
      </c>
      <c r="C225" s="2672">
        <v>98</v>
      </c>
      <c r="D225" s="2672"/>
      <c r="E225" s="691">
        <f>+'Insumos testigos '!GW118</f>
        <v>119.56587695620712</v>
      </c>
      <c r="F225" s="691">
        <f>+'Insumos testigos '!GX118</f>
        <v>126.26462985469128</v>
      </c>
      <c r="G225" s="691">
        <f>+'Insumos testigos '!GY118</f>
        <v>131.60840652000954</v>
      </c>
      <c r="H225" s="691">
        <f>+'Insumos testigos '!GZ118</f>
        <v>141.12869346182868</v>
      </c>
      <c r="I225" s="691">
        <f>+'Insumos testigos '!HA118</f>
        <v>181.04020186552151</v>
      </c>
      <c r="J225" s="691">
        <f>+'Insumos testigos '!HB118</f>
        <v>190.50005379844177</v>
      </c>
      <c r="K225" s="691">
        <f>+'Insumos testigos '!HC118</f>
        <v>171.02492435664146</v>
      </c>
      <c r="L225" s="691">
        <f>+'Insumos testigos '!HD118</f>
        <v>219.91820448447214</v>
      </c>
      <c r="M225" s="691">
        <f>+'Insumos testigos '!HE118</f>
        <v>215.61215670942616</v>
      </c>
      <c r="N225" s="691">
        <f>+'Insumos testigos '!HF118</f>
        <v>212.87528853026441</v>
      </c>
      <c r="O225" s="691">
        <f>+'Insumos testigos '!HG118</f>
        <v>203.10052029072713</v>
      </c>
      <c r="P225" s="691">
        <f>+'Insumos testigos '!HH118</f>
        <v>208.82364169017646</v>
      </c>
    </row>
    <row r="226" spans="2:16" hidden="1">
      <c r="B226" s="372" t="s">
        <v>783</v>
      </c>
      <c r="C226" s="2658">
        <v>1</v>
      </c>
      <c r="D226" s="2658"/>
      <c r="E226" s="139">
        <f>+'Insumos testigos '!GW5</f>
        <v>65.209999999999994</v>
      </c>
      <c r="F226" s="139">
        <f>+'Insumos testigos '!GX5</f>
        <v>66.180000000000007</v>
      </c>
      <c r="G226" s="139">
        <f>+'Insumos testigos '!GY5</f>
        <v>67.16</v>
      </c>
      <c r="H226" s="139">
        <f>+'Insumos testigos '!GZ5</f>
        <v>73.88</v>
      </c>
      <c r="I226" s="139">
        <f>+'Insumos testigos '!HA5</f>
        <v>73.88</v>
      </c>
      <c r="J226" s="139">
        <f>+'Insumos testigos '!HB5</f>
        <v>73.88</v>
      </c>
      <c r="K226" s="139">
        <f>+'Insumos testigos '!HC5</f>
        <v>73.88</v>
      </c>
      <c r="L226" s="139">
        <f>+'Insumos testigos '!HD5</f>
        <v>77.569999999999993</v>
      </c>
      <c r="M226" s="139">
        <f>+'Insumos testigos '!HE5</f>
        <v>80.680000000000007</v>
      </c>
      <c r="N226" s="139">
        <f>+'Insumos testigos '!HF5</f>
        <v>83.1</v>
      </c>
      <c r="O226" s="139">
        <f>+'Insumos testigos '!HG5</f>
        <v>85.52</v>
      </c>
      <c r="P226" s="139">
        <f>+'Insumos testigos '!HH5</f>
        <v>85.52</v>
      </c>
    </row>
    <row r="227" spans="2:16" hidden="1">
      <c r="B227" s="566" t="s">
        <v>784</v>
      </c>
      <c r="C227" s="2626" t="s">
        <v>473</v>
      </c>
      <c r="D227" s="2865"/>
      <c r="E227" s="1250"/>
      <c r="F227" s="1250"/>
      <c r="G227" s="1250"/>
      <c r="H227" s="1250"/>
      <c r="I227" s="1250"/>
      <c r="J227" s="1250"/>
      <c r="K227" s="1250"/>
      <c r="L227" s="1250"/>
      <c r="M227" s="1250"/>
      <c r="N227" s="1250"/>
      <c r="O227" s="1250"/>
      <c r="P227" s="1260"/>
    </row>
    <row r="228" spans="2:16" hidden="1">
      <c r="B228" s="566" t="s">
        <v>496</v>
      </c>
      <c r="C228" s="2626" t="s">
        <v>278</v>
      </c>
      <c r="D228" s="2865"/>
      <c r="E228" s="568"/>
      <c r="F228" s="568"/>
      <c r="G228" s="568"/>
      <c r="H228" s="568"/>
      <c r="I228" s="568"/>
      <c r="J228" s="568"/>
      <c r="K228" s="568"/>
      <c r="L228" s="568"/>
      <c r="M228" s="568"/>
      <c r="N228" s="568"/>
      <c r="O228" s="568"/>
      <c r="P228" s="575"/>
    </row>
    <row r="229" spans="2:16" ht="16.5" hidden="1" thickBot="1">
      <c r="B229" s="373" t="s">
        <v>785</v>
      </c>
      <c r="C229" s="2661" t="s">
        <v>786</v>
      </c>
      <c r="D229" s="2661"/>
      <c r="E229" s="352">
        <f t="shared" ref="E229:P229" si="72">(E226+E228)*8*2.2521+E227*8</f>
        <v>1174.8755279999998</v>
      </c>
      <c r="F229" s="352">
        <f t="shared" si="72"/>
        <v>1192.3518240000001</v>
      </c>
      <c r="G229" s="352">
        <f t="shared" si="72"/>
        <v>1210.008288</v>
      </c>
      <c r="H229" s="352">
        <f t="shared" si="72"/>
        <v>1331.0811839999999</v>
      </c>
      <c r="I229" s="352">
        <f t="shared" si="72"/>
        <v>1331.0811839999999</v>
      </c>
      <c r="J229" s="352">
        <f t="shared" si="72"/>
        <v>1331.0811839999999</v>
      </c>
      <c r="K229" s="352">
        <f t="shared" si="72"/>
        <v>1331.0811839999999</v>
      </c>
      <c r="L229" s="352">
        <f t="shared" si="72"/>
        <v>1397.5631759999999</v>
      </c>
      <c r="M229" s="352">
        <f t="shared" si="72"/>
        <v>1453.5954240000001</v>
      </c>
      <c r="N229" s="352">
        <f t="shared" si="72"/>
        <v>1497.1960799999999</v>
      </c>
      <c r="O229" s="352">
        <f t="shared" si="72"/>
        <v>1540.796736</v>
      </c>
      <c r="P229" s="354">
        <f t="shared" si="72"/>
        <v>1540.796736</v>
      </c>
    </row>
    <row r="230" spans="2:16" ht="16.5" hidden="1" thickBot="1">
      <c r="B230" s="425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361"/>
    </row>
    <row r="231" spans="2:16" hidden="1">
      <c r="B231" s="2623" t="s">
        <v>675</v>
      </c>
      <c r="C231" s="2659" t="s">
        <v>787</v>
      </c>
      <c r="D231" s="2866"/>
      <c r="E231" s="421">
        <f>+ROUND((E225*100/$E$201),3)</f>
        <v>119.566</v>
      </c>
      <c r="F231" s="421">
        <f t="shared" ref="F231:P231" si="73">+ROUND((F225*100/$E$201),3)</f>
        <v>126.265</v>
      </c>
      <c r="G231" s="421">
        <f t="shared" si="73"/>
        <v>131.608</v>
      </c>
      <c r="H231" s="421">
        <f t="shared" si="73"/>
        <v>141.12899999999999</v>
      </c>
      <c r="I231" s="421">
        <f t="shared" si="73"/>
        <v>181.04</v>
      </c>
      <c r="J231" s="421">
        <f t="shared" si="73"/>
        <v>190.5</v>
      </c>
      <c r="K231" s="421">
        <f t="shared" si="73"/>
        <v>171.02500000000001</v>
      </c>
      <c r="L231" s="421">
        <f t="shared" si="73"/>
        <v>219.91800000000001</v>
      </c>
      <c r="M231" s="421">
        <f t="shared" si="73"/>
        <v>215.61199999999999</v>
      </c>
      <c r="N231" s="421">
        <f t="shared" si="73"/>
        <v>212.875</v>
      </c>
      <c r="O231" s="421">
        <f t="shared" si="73"/>
        <v>203.101</v>
      </c>
      <c r="P231" s="421">
        <f t="shared" si="73"/>
        <v>208.82400000000001</v>
      </c>
    </row>
    <row r="232" spans="2:16" ht="16.5" hidden="1" thickBot="1">
      <c r="B232" s="2625"/>
      <c r="C232" s="2642" t="s">
        <v>677</v>
      </c>
      <c r="D232" s="2867"/>
      <c r="E232" s="573">
        <f>+ROUND(E229*100/$E$205,3)</f>
        <v>169.72900000000001</v>
      </c>
      <c r="F232" s="573">
        <f t="shared" ref="F232:P232" si="74">+ROUND(F229*100/$E$205,3)</f>
        <v>172.25399999999999</v>
      </c>
      <c r="G232" s="573">
        <f t="shared" si="74"/>
        <v>174.80500000000001</v>
      </c>
      <c r="H232" s="573">
        <f t="shared" si="74"/>
        <v>192.29599999999999</v>
      </c>
      <c r="I232" s="573">
        <f t="shared" si="74"/>
        <v>192.29599999999999</v>
      </c>
      <c r="J232" s="573">
        <f t="shared" si="74"/>
        <v>192.29599999999999</v>
      </c>
      <c r="K232" s="573">
        <f t="shared" si="74"/>
        <v>192.29599999999999</v>
      </c>
      <c r="L232" s="573">
        <f t="shared" si="74"/>
        <v>201.9</v>
      </c>
      <c r="M232" s="573">
        <f t="shared" si="74"/>
        <v>209.995</v>
      </c>
      <c r="N232" s="573">
        <f t="shared" si="74"/>
        <v>216.29400000000001</v>
      </c>
      <c r="O232" s="573">
        <f t="shared" si="74"/>
        <v>222.59200000000001</v>
      </c>
      <c r="P232" s="573">
        <f t="shared" si="74"/>
        <v>222.59200000000001</v>
      </c>
    </row>
    <row r="233" spans="2:16" ht="16.5" hidden="1" thickBot="1">
      <c r="B233" s="425"/>
      <c r="C233" s="122"/>
      <c r="D233" s="360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361"/>
    </row>
    <row r="234" spans="2:16" ht="16.5" hidden="1" thickBot="1">
      <c r="B234" s="2636" t="s">
        <v>788</v>
      </c>
      <c r="C234" s="2637"/>
      <c r="D234" s="2638"/>
      <c r="E234" s="1362">
        <f t="shared" ref="E234:P234" si="75">+ROUND(E231*0.8+E232*0.2,2)</f>
        <v>129.6</v>
      </c>
      <c r="F234" s="1362">
        <f t="shared" si="75"/>
        <v>135.46</v>
      </c>
      <c r="G234" s="1362">
        <f t="shared" si="75"/>
        <v>140.25</v>
      </c>
      <c r="H234" s="1362">
        <f t="shared" si="75"/>
        <v>151.36000000000001</v>
      </c>
      <c r="I234" s="1362">
        <f t="shared" si="75"/>
        <v>183.29</v>
      </c>
      <c r="J234" s="1362">
        <f t="shared" si="75"/>
        <v>190.86</v>
      </c>
      <c r="K234" s="1362">
        <f t="shared" si="75"/>
        <v>175.28</v>
      </c>
      <c r="L234" s="1362">
        <f t="shared" si="75"/>
        <v>216.31</v>
      </c>
      <c r="M234" s="1362">
        <f t="shared" si="75"/>
        <v>214.49</v>
      </c>
      <c r="N234" s="1362">
        <f t="shared" si="75"/>
        <v>213.56</v>
      </c>
      <c r="O234" s="1362">
        <f t="shared" si="75"/>
        <v>207</v>
      </c>
      <c r="P234" s="1744">
        <f t="shared" si="75"/>
        <v>211.58</v>
      </c>
    </row>
    <row r="235" spans="2:16" ht="16.5" hidden="1" thickBot="1"/>
    <row r="236" spans="2:16" ht="16.5" hidden="1" thickBot="1">
      <c r="B236" s="1246" t="s">
        <v>673</v>
      </c>
      <c r="C236" s="2864" t="s">
        <v>656</v>
      </c>
      <c r="D236" s="2765"/>
      <c r="E236" s="1233">
        <v>43466</v>
      </c>
      <c r="F236" s="1233">
        <v>43497</v>
      </c>
      <c r="G236" s="1233">
        <v>43525</v>
      </c>
      <c r="H236" s="1233">
        <v>43556</v>
      </c>
      <c r="I236" s="1233">
        <v>43586</v>
      </c>
      <c r="J236" s="1233">
        <v>43617</v>
      </c>
      <c r="K236" s="1233">
        <v>43647</v>
      </c>
      <c r="L236" s="1233">
        <v>43678</v>
      </c>
      <c r="M236" s="1233">
        <v>43709</v>
      </c>
      <c r="N236" s="1233">
        <v>43739</v>
      </c>
      <c r="O236" s="1233">
        <v>43770</v>
      </c>
      <c r="P236" s="1428">
        <v>43800</v>
      </c>
    </row>
    <row r="237" spans="2:16" hidden="1">
      <c r="B237" s="563" t="s">
        <v>782</v>
      </c>
      <c r="C237" s="2672">
        <v>98</v>
      </c>
      <c r="D237" s="2672"/>
      <c r="E237" s="691">
        <f>+'Insumos testigos '!HI118</f>
        <v>204.5184408124247</v>
      </c>
      <c r="F237" s="691">
        <f>+'Insumos testigos '!HJ118</f>
        <v>216.70121496964614</v>
      </c>
      <c r="G237" s="691">
        <f>+'Insumos testigos '!HK118</f>
        <v>235.27181860264835</v>
      </c>
      <c r="H237" s="691">
        <f>+'Insumos testigos '!HL118</f>
        <v>245.51880481141836</v>
      </c>
      <c r="I237" s="691">
        <f>+'Insumos testigos '!HM118</f>
        <v>259.6835857187512</v>
      </c>
      <c r="J237" s="691">
        <f>+'Insumos testigos '!HN118</f>
        <v>257.42665324361695</v>
      </c>
      <c r="K237" s="691">
        <f>+'Insumos testigos '!HO118</f>
        <v>246.47671552637595</v>
      </c>
      <c r="L237" s="691">
        <f>+'Insumos testigos '!HP118</f>
        <v>339.6849837057087</v>
      </c>
      <c r="M237" s="691">
        <f>+'Insumos testigos '!HQ118</f>
        <v>330.01874702831884</v>
      </c>
      <c r="N237" s="691">
        <f>+'Insumos testigos '!HR118</f>
        <v>351.44860844788235</v>
      </c>
      <c r="O237" s="691">
        <f>+'Insumos testigos '!HS118</f>
        <v>387.24566512063552</v>
      </c>
      <c r="P237" s="691">
        <f>+'Insumos testigos '!HT118</f>
        <v>392.40725625906327</v>
      </c>
    </row>
    <row r="238" spans="2:16" hidden="1">
      <c r="B238" s="372" t="s">
        <v>783</v>
      </c>
      <c r="C238" s="2658">
        <v>1</v>
      </c>
      <c r="D238" s="2658"/>
      <c r="E238" s="139">
        <f>+'Insumos testigos '!HI5</f>
        <v>88.08</v>
      </c>
      <c r="F238" s="139">
        <f>+'Insumos testigos '!HJ5</f>
        <v>88.08</v>
      </c>
      <c r="G238" s="139">
        <f>+'Insumos testigos '!HK5</f>
        <v>94.25</v>
      </c>
      <c r="H238" s="139">
        <f>+'Insumos testigos '!HL5</f>
        <v>103.67</v>
      </c>
      <c r="I238" s="139">
        <f>+'Insumos testigos '!HM5</f>
        <v>108.86</v>
      </c>
      <c r="J238" s="139">
        <f>+'Insumos testigos '!HN5</f>
        <v>108.86</v>
      </c>
      <c r="K238" s="139">
        <f>+'Insumos testigos '!HO5</f>
        <v>113.52</v>
      </c>
      <c r="L238" s="139">
        <f>+'Insumos testigos '!HP5</f>
        <v>117.49</v>
      </c>
      <c r="M238" s="139">
        <f>+'Insumos testigos '!HQ5</f>
        <v>117.49</v>
      </c>
      <c r="N238" s="139">
        <f>+'Insumos testigos '!HR5</f>
        <v>126.67</v>
      </c>
      <c r="O238" s="139">
        <f>+'Insumos testigos '!HS5</f>
        <v>134.27000000000001</v>
      </c>
      <c r="P238" s="139">
        <f>+'Insumos testigos '!HT5</f>
        <v>134.27000000000001</v>
      </c>
    </row>
    <row r="239" spans="2:16" hidden="1">
      <c r="B239" s="566" t="s">
        <v>784</v>
      </c>
      <c r="C239" s="2626" t="s">
        <v>473</v>
      </c>
      <c r="D239" s="2865"/>
      <c r="E239" s="1250"/>
      <c r="F239" s="1250"/>
      <c r="G239" s="1250"/>
      <c r="H239" s="1250"/>
      <c r="I239" s="1250"/>
      <c r="J239" s="1250"/>
      <c r="K239" s="1250"/>
      <c r="L239" s="1250"/>
      <c r="M239" s="1250"/>
      <c r="N239" s="1250"/>
      <c r="O239" s="1250"/>
      <c r="P239" s="1250"/>
    </row>
    <row r="240" spans="2:16" hidden="1">
      <c r="B240" s="566" t="s">
        <v>496</v>
      </c>
      <c r="C240" s="2626" t="s">
        <v>278</v>
      </c>
      <c r="D240" s="2865"/>
      <c r="E240" s="568"/>
      <c r="F240" s="568"/>
      <c r="G240" s="568"/>
      <c r="H240" s="568"/>
      <c r="I240" s="568"/>
      <c r="J240" s="568"/>
      <c r="K240" s="568"/>
      <c r="L240" s="568"/>
      <c r="M240" s="568"/>
      <c r="N240" s="568"/>
      <c r="O240" s="568"/>
      <c r="P240" s="568"/>
    </row>
    <row r="241" spans="2:16" ht="16.5" hidden="1" thickBot="1">
      <c r="B241" s="373" t="s">
        <v>785</v>
      </c>
      <c r="C241" s="2661" t="s">
        <v>786</v>
      </c>
      <c r="D241" s="2661"/>
      <c r="E241" s="352">
        <f t="shared" ref="E241:J241" si="76">(E238+E240)*8*2.2521+E239*8</f>
        <v>1586.919744</v>
      </c>
      <c r="F241" s="352">
        <f t="shared" si="76"/>
        <v>1586.919744</v>
      </c>
      <c r="G241" s="352">
        <f t="shared" si="76"/>
        <v>1698.0834</v>
      </c>
      <c r="H241" s="352">
        <f t="shared" si="76"/>
        <v>1867.8016560000001</v>
      </c>
      <c r="I241" s="352">
        <f t="shared" si="76"/>
        <v>1961.3088479999999</v>
      </c>
      <c r="J241" s="352">
        <f t="shared" si="76"/>
        <v>1961.3088479999999</v>
      </c>
      <c r="K241" s="352">
        <f t="shared" ref="K241:P241" si="77">(K238+K240)*8*2.2521+K239*8</f>
        <v>2045.2671359999999</v>
      </c>
      <c r="L241" s="352">
        <f t="shared" si="77"/>
        <v>2116.7938319999998</v>
      </c>
      <c r="M241" s="352">
        <f t="shared" si="77"/>
        <v>2116.7938319999998</v>
      </c>
      <c r="N241" s="352">
        <f t="shared" si="77"/>
        <v>2282.188056</v>
      </c>
      <c r="O241" s="352">
        <f t="shared" si="77"/>
        <v>2419.1157360000002</v>
      </c>
      <c r="P241" s="352">
        <f t="shared" si="77"/>
        <v>2419.1157360000002</v>
      </c>
    </row>
    <row r="242" spans="2:16" ht="16.5" hidden="1" thickBot="1">
      <c r="B242" s="425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</row>
    <row r="243" spans="2:16" hidden="1">
      <c r="B243" s="2623" t="s">
        <v>675</v>
      </c>
      <c r="C243" s="2659" t="s">
        <v>787</v>
      </c>
      <c r="D243" s="2866"/>
      <c r="E243" s="421">
        <f>+ROUND((E237*100/$E$201),3)</f>
        <v>204.518</v>
      </c>
      <c r="F243" s="421">
        <f t="shared" ref="F243:P243" si="78">+ROUND((F237*100/$E$201),3)</f>
        <v>216.70099999999999</v>
      </c>
      <c r="G243" s="421">
        <f t="shared" si="78"/>
        <v>235.27199999999999</v>
      </c>
      <c r="H243" s="421">
        <f t="shared" si="78"/>
        <v>245.51900000000001</v>
      </c>
      <c r="I243" s="421">
        <f t="shared" si="78"/>
        <v>259.68400000000003</v>
      </c>
      <c r="J243" s="421">
        <f t="shared" si="78"/>
        <v>257.42700000000002</v>
      </c>
      <c r="K243" s="421">
        <f t="shared" si="78"/>
        <v>246.477</v>
      </c>
      <c r="L243" s="421">
        <f t="shared" si="78"/>
        <v>339.685</v>
      </c>
      <c r="M243" s="421">
        <f t="shared" si="78"/>
        <v>330.01900000000001</v>
      </c>
      <c r="N243" s="421">
        <f t="shared" si="78"/>
        <v>351.44900000000001</v>
      </c>
      <c r="O243" s="421">
        <f t="shared" si="78"/>
        <v>387.24599999999998</v>
      </c>
      <c r="P243" s="421">
        <f t="shared" si="78"/>
        <v>392.40699999999998</v>
      </c>
    </row>
    <row r="244" spans="2:16" ht="16.5" hidden="1" thickBot="1">
      <c r="B244" s="2625"/>
      <c r="C244" s="2642" t="s">
        <v>677</v>
      </c>
      <c r="D244" s="2867"/>
      <c r="E244" s="573">
        <f>+ROUND(E241*100/$E$205,3)</f>
        <v>229.256</v>
      </c>
      <c r="F244" s="573">
        <f t="shared" ref="F244:P244" si="79">+ROUND(F241*100/$E$205,3)</f>
        <v>229.256</v>
      </c>
      <c r="G244" s="573">
        <f t="shared" si="79"/>
        <v>245.315</v>
      </c>
      <c r="H244" s="573">
        <f t="shared" si="79"/>
        <v>269.83300000000003</v>
      </c>
      <c r="I244" s="573">
        <f t="shared" si="79"/>
        <v>283.34199999999998</v>
      </c>
      <c r="J244" s="573">
        <f t="shared" si="79"/>
        <v>283.34199999999998</v>
      </c>
      <c r="K244" s="573">
        <f t="shared" si="79"/>
        <v>295.471</v>
      </c>
      <c r="L244" s="573">
        <f t="shared" si="79"/>
        <v>305.80399999999997</v>
      </c>
      <c r="M244" s="573">
        <f t="shared" si="79"/>
        <v>305.80399999999997</v>
      </c>
      <c r="N244" s="573">
        <f t="shared" si="79"/>
        <v>329.69799999999998</v>
      </c>
      <c r="O244" s="573">
        <f t="shared" si="79"/>
        <v>349.47899999999998</v>
      </c>
      <c r="P244" s="573">
        <f t="shared" si="79"/>
        <v>349.47899999999998</v>
      </c>
    </row>
    <row r="245" spans="2:16" ht="16.5" hidden="1" thickBot="1">
      <c r="B245" s="425"/>
      <c r="C245" s="122"/>
      <c r="D245" s="360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</row>
    <row r="246" spans="2:16" ht="16.5" hidden="1" thickBot="1">
      <c r="B246" s="2636" t="s">
        <v>788</v>
      </c>
      <c r="C246" s="2637"/>
      <c r="D246" s="2638"/>
      <c r="E246" s="1362">
        <f t="shared" ref="E246:N246" si="80">+ROUND(E243*0.8+E244*0.2,2)</f>
        <v>209.47</v>
      </c>
      <c r="F246" s="1362">
        <f t="shared" si="80"/>
        <v>219.21</v>
      </c>
      <c r="G246" s="1362">
        <f t="shared" si="80"/>
        <v>237.28</v>
      </c>
      <c r="H246" s="1362">
        <f t="shared" si="80"/>
        <v>250.38</v>
      </c>
      <c r="I246" s="1362">
        <f t="shared" si="80"/>
        <v>264.42</v>
      </c>
      <c r="J246" s="1362">
        <f t="shared" si="80"/>
        <v>262.61</v>
      </c>
      <c r="K246" s="1362">
        <f t="shared" si="80"/>
        <v>256.27999999999997</v>
      </c>
      <c r="L246" s="1362">
        <f t="shared" si="80"/>
        <v>332.91</v>
      </c>
      <c r="M246" s="1362">
        <f t="shared" si="80"/>
        <v>325.18</v>
      </c>
      <c r="N246" s="1362">
        <f t="shared" si="80"/>
        <v>347.1</v>
      </c>
      <c r="O246" s="1362">
        <f>+ROUND(O243*0.8+O244*0.2,2)</f>
        <v>379.69</v>
      </c>
      <c r="P246" s="1362">
        <f>+ROUND(P243*0.8+P244*0.2,2)</f>
        <v>383.82</v>
      </c>
    </row>
    <row r="247" spans="2:16" ht="16.5" hidden="1" thickBot="1"/>
    <row r="248" spans="2:16" ht="16.5" hidden="1" thickBot="1">
      <c r="B248" s="1246" t="s">
        <v>673</v>
      </c>
      <c r="C248" s="2864" t="s">
        <v>656</v>
      </c>
      <c r="D248" s="2765"/>
      <c r="E248" s="1851">
        <v>43831</v>
      </c>
      <c r="F248" s="1851">
        <v>43862</v>
      </c>
      <c r="G248" s="1851">
        <v>43891</v>
      </c>
      <c r="H248" s="1851">
        <v>43922</v>
      </c>
      <c r="I248" s="1851">
        <v>43952</v>
      </c>
      <c r="J248" s="1851">
        <v>43983</v>
      </c>
      <c r="K248" s="1851">
        <v>44013</v>
      </c>
      <c r="L248" s="1851">
        <v>44044</v>
      </c>
      <c r="M248" s="1851">
        <v>44075</v>
      </c>
      <c r="N248" s="1851">
        <v>44105</v>
      </c>
      <c r="O248" s="1851">
        <v>44136</v>
      </c>
      <c r="P248" s="1851">
        <v>44166</v>
      </c>
    </row>
    <row r="249" spans="2:16" hidden="1">
      <c r="B249" s="563" t="s">
        <v>782</v>
      </c>
      <c r="C249" s="2672">
        <v>98</v>
      </c>
      <c r="D249" s="2672"/>
      <c r="E249" s="691">
        <f>+'Insumos testigos '!HU118</f>
        <v>393.73448442505611</v>
      </c>
      <c r="F249" s="691">
        <f>+'Insumos testigos '!HV118</f>
        <v>397.81297131975248</v>
      </c>
      <c r="G249" s="691">
        <f>+'Insumos testigos '!HW118</f>
        <v>404.97692320707159</v>
      </c>
      <c r="H249" s="691">
        <f>+'Insumos testigos '!HX118</f>
        <v>404.97692320707159</v>
      </c>
      <c r="I249" s="691">
        <f>+'Insumos testigos '!HY118</f>
        <v>404.97692320707159</v>
      </c>
      <c r="J249" s="691">
        <f>+'Insumos testigos '!HZ118</f>
        <v>404.97692320707159</v>
      </c>
      <c r="K249" s="691">
        <f>+'Insumos testigos '!IA118</f>
        <v>404.97692320707159</v>
      </c>
      <c r="L249" s="691">
        <f>+'Insumos testigos '!IB118</f>
        <v>409.87161676711429</v>
      </c>
      <c r="M249" s="691">
        <f>+'Insumos testigos '!IC118</f>
        <v>460.45996033423938</v>
      </c>
      <c r="N249" s="691">
        <f>+'Insumos testigos '!ID118</f>
        <v>529.18042355565308</v>
      </c>
      <c r="O249" s="691">
        <f>+'Insumos testigos '!IE118</f>
        <v>540.07053761067732</v>
      </c>
      <c r="P249" s="691">
        <f>+'Insumos testigos '!IF118</f>
        <v>538.48757048531036</v>
      </c>
    </row>
    <row r="250" spans="2:16" hidden="1">
      <c r="B250" s="372" t="s">
        <v>783</v>
      </c>
      <c r="C250" s="2658">
        <v>1</v>
      </c>
      <c r="D250" s="2658"/>
      <c r="E250" s="139">
        <f>+'Insumos testigos '!HU5</f>
        <v>142.47999999999999</v>
      </c>
      <c r="F250" s="139">
        <f>+'Insumos testigos '!HV5</f>
        <v>148.16999999999999</v>
      </c>
      <c r="G250" s="139">
        <f>+'Insumos testigos '!HW5</f>
        <v>148.16999999999999</v>
      </c>
      <c r="H250" s="139">
        <f>+'Insumos testigos '!HX5</f>
        <v>148.16999999999999</v>
      </c>
      <c r="I250" s="139">
        <f>+'Insumos testigos '!HY5</f>
        <v>148.16999999999999</v>
      </c>
      <c r="J250" s="139">
        <f>+'Insumos testigos '!HZ5</f>
        <v>148.16999999999999</v>
      </c>
      <c r="K250" s="139">
        <f>+'Insumos testigos '!IA5</f>
        <v>148.16999999999999</v>
      </c>
      <c r="L250" s="139">
        <f>+'Insumos testigos '!IB5</f>
        <v>148.16999999999999</v>
      </c>
      <c r="M250" s="139">
        <f>+'Insumos testigos '!IC5</f>
        <v>148.16999999999999</v>
      </c>
      <c r="N250" s="139">
        <f>+'Insumos testigos '!ID5</f>
        <v>148.16999999999999</v>
      </c>
      <c r="O250" s="139">
        <f>+'Insumos testigos '!IE5</f>
        <v>185.22</v>
      </c>
      <c r="P250" s="139">
        <f>+'Insumos testigos '!IF5</f>
        <v>185.22</v>
      </c>
    </row>
    <row r="251" spans="2:16" hidden="1">
      <c r="B251" s="566" t="s">
        <v>784</v>
      </c>
      <c r="C251" s="2626" t="s">
        <v>473</v>
      </c>
      <c r="D251" s="2865"/>
      <c r="E251" s="1250"/>
      <c r="F251" s="1250"/>
      <c r="G251" s="1250"/>
      <c r="H251" s="1250"/>
      <c r="I251" s="1250"/>
      <c r="J251" s="1250"/>
      <c r="K251" s="1250"/>
      <c r="L251" s="1250"/>
      <c r="M251" s="1250"/>
      <c r="N251" s="1250"/>
      <c r="O251" s="1250"/>
      <c r="P251" s="1250"/>
    </row>
    <row r="252" spans="2:16" hidden="1">
      <c r="B252" s="566" t="s">
        <v>496</v>
      </c>
      <c r="C252" s="2626" t="s">
        <v>278</v>
      </c>
      <c r="D252" s="2865"/>
      <c r="E252" s="568"/>
      <c r="F252" s="568"/>
      <c r="G252" s="568"/>
      <c r="H252" s="568"/>
      <c r="I252" s="568"/>
      <c r="J252" s="568"/>
      <c r="K252" s="568"/>
      <c r="L252" s="568"/>
      <c r="M252" s="568"/>
      <c r="N252" s="568"/>
      <c r="O252" s="568"/>
      <c r="P252" s="568"/>
    </row>
    <row r="253" spans="2:16" ht="16.5" hidden="1" thickBot="1">
      <c r="B253" s="373" t="s">
        <v>785</v>
      </c>
      <c r="C253" s="2661" t="s">
        <v>786</v>
      </c>
      <c r="D253" s="2661"/>
      <c r="E253" s="352">
        <f t="shared" ref="E253" si="81">(E250+E252)*8*2.2521+E251*8</f>
        <v>2567.0336639999996</v>
      </c>
      <c r="F253" s="352">
        <f t="shared" ref="F253:G253" si="82">(F250+F252)*8*2.2521+F251*8</f>
        <v>2669.5492559999998</v>
      </c>
      <c r="G253" s="352">
        <f t="shared" si="82"/>
        <v>2669.5492559999998</v>
      </c>
      <c r="H253" s="352">
        <f t="shared" ref="H253:I253" si="83">(H250+H252)*8*2.2521+H251*8</f>
        <v>2669.5492559999998</v>
      </c>
      <c r="I253" s="352">
        <f t="shared" si="83"/>
        <v>2669.5492559999998</v>
      </c>
      <c r="J253" s="352">
        <f t="shared" ref="J253:K253" si="84">(J250+J252)*8*2.2521+J251*8</f>
        <v>2669.5492559999998</v>
      </c>
      <c r="K253" s="352">
        <f t="shared" si="84"/>
        <v>2669.5492559999998</v>
      </c>
      <c r="L253" s="352">
        <f t="shared" ref="L253:M253" si="85">(L250+L252)*8*2.2521+L251*8</f>
        <v>2669.5492559999998</v>
      </c>
      <c r="M253" s="352">
        <f t="shared" si="85"/>
        <v>2669.5492559999998</v>
      </c>
      <c r="N253" s="352">
        <f t="shared" ref="N253:O253" si="86">(N250+N252)*8*2.2521+N251*8</f>
        <v>2669.5492559999998</v>
      </c>
      <c r="O253" s="352">
        <f t="shared" si="86"/>
        <v>3337.071696</v>
      </c>
      <c r="P253" s="352">
        <f t="shared" ref="P253" si="87">(P250+P252)*8*2.2521+P251*8</f>
        <v>3337.071696</v>
      </c>
    </row>
    <row r="254" spans="2:16" ht="16.5" hidden="1" thickBot="1">
      <c r="B254" s="425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</row>
    <row r="255" spans="2:16" hidden="1">
      <c r="B255" s="2623" t="s">
        <v>675</v>
      </c>
      <c r="C255" s="2659" t="s">
        <v>787</v>
      </c>
      <c r="D255" s="2866"/>
      <c r="E255" s="421">
        <f>+ROUND((E249*100/$E$201),3)</f>
        <v>393.73399999999998</v>
      </c>
      <c r="F255" s="421">
        <f t="shared" ref="F255:P255" si="88">+ROUND((F249*100/$E$201),3)</f>
        <v>397.81299999999999</v>
      </c>
      <c r="G255" s="421">
        <f t="shared" si="88"/>
        <v>404.97699999999998</v>
      </c>
      <c r="H255" s="421">
        <f t="shared" si="88"/>
        <v>404.97699999999998</v>
      </c>
      <c r="I255" s="421">
        <f t="shared" si="88"/>
        <v>404.97699999999998</v>
      </c>
      <c r="J255" s="421">
        <f t="shared" si="88"/>
        <v>404.97699999999998</v>
      </c>
      <c r="K255" s="421">
        <f t="shared" si="88"/>
        <v>404.97699999999998</v>
      </c>
      <c r="L255" s="421">
        <f t="shared" si="88"/>
        <v>409.87200000000001</v>
      </c>
      <c r="M255" s="421">
        <f t="shared" si="88"/>
        <v>460.46</v>
      </c>
      <c r="N255" s="421">
        <f t="shared" si="88"/>
        <v>529.17999999999995</v>
      </c>
      <c r="O255" s="421">
        <f t="shared" si="88"/>
        <v>540.07100000000003</v>
      </c>
      <c r="P255" s="421">
        <f t="shared" si="88"/>
        <v>538.48800000000006</v>
      </c>
    </row>
    <row r="256" spans="2:16" ht="16.5" hidden="1" thickBot="1">
      <c r="B256" s="2625"/>
      <c r="C256" s="2642" t="s">
        <v>677</v>
      </c>
      <c r="D256" s="2867"/>
      <c r="E256" s="573">
        <f>+ROUND(E253*100/$E$205,3)</f>
        <v>370.84899999999999</v>
      </c>
      <c r="F256" s="573">
        <f t="shared" ref="F256:P256" si="89">+ROUND(F253*100/$E$205,3)</f>
        <v>385.65899999999999</v>
      </c>
      <c r="G256" s="573">
        <f t="shared" si="89"/>
        <v>385.65899999999999</v>
      </c>
      <c r="H256" s="573">
        <f t="shared" si="89"/>
        <v>385.65899999999999</v>
      </c>
      <c r="I256" s="573">
        <f t="shared" si="89"/>
        <v>385.65899999999999</v>
      </c>
      <c r="J256" s="573">
        <f t="shared" si="89"/>
        <v>385.65899999999999</v>
      </c>
      <c r="K256" s="573">
        <f t="shared" si="89"/>
        <v>385.65899999999999</v>
      </c>
      <c r="L256" s="573">
        <f t="shared" si="89"/>
        <v>385.65899999999999</v>
      </c>
      <c r="M256" s="573">
        <f t="shared" si="89"/>
        <v>385.65899999999999</v>
      </c>
      <c r="N256" s="573">
        <f t="shared" si="89"/>
        <v>385.65899999999999</v>
      </c>
      <c r="O256" s="573">
        <f t="shared" si="89"/>
        <v>482.09300000000002</v>
      </c>
      <c r="P256" s="573">
        <f t="shared" si="89"/>
        <v>482.09300000000002</v>
      </c>
    </row>
    <row r="257" spans="2:16" ht="16.5" hidden="1" thickBot="1">
      <c r="B257" s="425"/>
      <c r="C257" s="122"/>
      <c r="D257" s="360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</row>
    <row r="258" spans="2:16" ht="16.5" hidden="1" thickBot="1">
      <c r="B258" s="2636" t="s">
        <v>788</v>
      </c>
      <c r="C258" s="2637"/>
      <c r="D258" s="2638"/>
      <c r="E258" s="1362">
        <f t="shared" ref="E258:G258" si="90">+ROUND(E255*0.8+E256*0.2,2)</f>
        <v>389.16</v>
      </c>
      <c r="F258" s="1362">
        <f t="shared" si="90"/>
        <v>395.38</v>
      </c>
      <c r="G258" s="1362">
        <f t="shared" si="90"/>
        <v>401.11</v>
      </c>
      <c r="H258" s="1362">
        <f t="shared" ref="H258:I258" si="91">+ROUND(H255*0.8+H256*0.2,2)</f>
        <v>401.11</v>
      </c>
      <c r="I258" s="1362">
        <f t="shared" si="91"/>
        <v>401.11</v>
      </c>
      <c r="J258" s="1362">
        <f t="shared" ref="J258:M258" si="92">+ROUND(J255*0.8+J256*0.2,2)</f>
        <v>401.11</v>
      </c>
      <c r="K258" s="1362">
        <f t="shared" si="92"/>
        <v>401.11</v>
      </c>
      <c r="L258" s="1362">
        <f t="shared" si="92"/>
        <v>405.03</v>
      </c>
      <c r="M258" s="1362">
        <f t="shared" si="92"/>
        <v>445.5</v>
      </c>
      <c r="N258" s="1362">
        <f t="shared" ref="N258:O258" si="93">+ROUND(N255*0.8+N256*0.2,2)</f>
        <v>500.48</v>
      </c>
      <c r="O258" s="1362">
        <f t="shared" si="93"/>
        <v>528.48</v>
      </c>
      <c r="P258" s="1362">
        <f t="shared" ref="P258" si="94">+ROUND(P255*0.8+P256*0.2,2)</f>
        <v>527.21</v>
      </c>
    </row>
    <row r="259" spans="2:16" ht="16.5" hidden="1" thickBot="1"/>
    <row r="260" spans="2:16" ht="16.5" hidden="1" thickBot="1">
      <c r="B260" s="1246" t="s">
        <v>673</v>
      </c>
      <c r="C260" s="2864" t="s">
        <v>656</v>
      </c>
      <c r="D260" s="2765"/>
      <c r="E260" s="1920">
        <v>44197</v>
      </c>
      <c r="F260" s="1920">
        <v>44228</v>
      </c>
      <c r="G260" s="1920">
        <v>44256</v>
      </c>
      <c r="H260" s="1920">
        <v>44287</v>
      </c>
      <c r="I260" s="1920">
        <v>44317</v>
      </c>
      <c r="J260" s="1920">
        <v>44348</v>
      </c>
      <c r="K260" s="1920">
        <v>44378</v>
      </c>
      <c r="L260" s="1920">
        <v>44409</v>
      </c>
      <c r="M260" s="1920">
        <v>44440</v>
      </c>
      <c r="N260" s="1920">
        <v>44470</v>
      </c>
      <c r="O260" s="1920">
        <v>44501</v>
      </c>
      <c r="P260" s="1920">
        <v>44531</v>
      </c>
    </row>
    <row r="261" spans="2:16" hidden="1">
      <c r="B261" s="563" t="s">
        <v>782</v>
      </c>
      <c r="C261" s="2672">
        <v>98</v>
      </c>
      <c r="D261" s="2672"/>
      <c r="E261" s="691">
        <f>+'Insumos testigos '!IG118</f>
        <v>551.25267912469815</v>
      </c>
      <c r="F261" s="691">
        <f>+'Insumos testigos '!IH118</f>
        <v>593.7391762332104</v>
      </c>
      <c r="G261" s="691">
        <f>+'Insumos testigos '!II118</f>
        <v>603.88843451412299</v>
      </c>
      <c r="H261" s="691">
        <f>+'Insumos testigos '!IJ118</f>
        <v>623.39578147760267</v>
      </c>
      <c r="I261" s="691">
        <f>+'Insumos testigos '!IK118</f>
        <v>638.82853271950012</v>
      </c>
      <c r="J261" s="691">
        <f>+'Insumos testigos '!IL118</f>
        <v>668.89276944108474</v>
      </c>
      <c r="K261" s="691">
        <f>+'Insumos testigos '!IM118</f>
        <v>673.50392151375286</v>
      </c>
      <c r="L261" s="691">
        <f>+'Insumos testigos '!IN118</f>
        <v>676.51673268587751</v>
      </c>
      <c r="M261" s="691">
        <f>+'Insumos testigos '!IO118</f>
        <v>679.93060524819361</v>
      </c>
      <c r="N261" s="691">
        <f>+'Insumos testigos '!IP118</f>
        <v>680.11411642120186</v>
      </c>
      <c r="O261" s="691">
        <f>+'Insumos testigos '!IQ118</f>
        <v>686.08738867720012</v>
      </c>
      <c r="P261" s="691">
        <f>+'Insumos testigos '!IR118</f>
        <v>693.30655456911904</v>
      </c>
    </row>
    <row r="262" spans="2:16" hidden="1">
      <c r="B262" s="372" t="s">
        <v>783</v>
      </c>
      <c r="C262" s="2658">
        <v>1</v>
      </c>
      <c r="D262" s="2658"/>
      <c r="E262" s="139">
        <f>+'Insumos testigos '!IG5</f>
        <v>185.22</v>
      </c>
      <c r="F262" s="139">
        <f>+'Insumos testigos '!IH5</f>
        <v>197.07</v>
      </c>
      <c r="G262" s="139">
        <f>+'Insumos testigos '!II5</f>
        <v>197.07</v>
      </c>
      <c r="H262" s="139">
        <f>+'Insumos testigos '!IJ5</f>
        <v>220.72</v>
      </c>
      <c r="I262" s="139">
        <f>+'Insumos testigos '!IK5</f>
        <v>220.72</v>
      </c>
      <c r="J262" s="139">
        <f>+'Insumos testigos '!IL5</f>
        <v>220.72</v>
      </c>
      <c r="K262" s="139">
        <f>+'Insumos testigos '!IM5</f>
        <v>240.43</v>
      </c>
      <c r="L262" s="139">
        <f>+'Insumos testigos '!IN5</f>
        <v>240.43</v>
      </c>
      <c r="M262" s="139">
        <f>+'Insumos testigos '!IO5</f>
        <v>250.28</v>
      </c>
      <c r="N262" s="139">
        <f>+'Insumos testigos '!IP5</f>
        <v>264.08</v>
      </c>
      <c r="O262" s="139">
        <f>+'Insumos testigos '!IQ5</f>
        <v>264.08</v>
      </c>
      <c r="P262" s="139">
        <f>+'Insumos testigos '!IR5</f>
        <v>264.08</v>
      </c>
    </row>
    <row r="263" spans="2:16" hidden="1">
      <c r="B263" s="566" t="s">
        <v>784</v>
      </c>
      <c r="C263" s="2626" t="s">
        <v>473</v>
      </c>
      <c r="D263" s="2865"/>
      <c r="E263" s="1250"/>
      <c r="F263" s="1250"/>
      <c r="G263" s="1250"/>
      <c r="H263" s="1250"/>
      <c r="I263" s="1250"/>
      <c r="J263" s="1250"/>
      <c r="K263" s="1250"/>
      <c r="L263" s="1250"/>
      <c r="M263" s="1250"/>
      <c r="N263" s="1250"/>
      <c r="O263" s="1250"/>
      <c r="P263" s="1250"/>
    </row>
    <row r="264" spans="2:16" hidden="1">
      <c r="B264" s="566" t="s">
        <v>496</v>
      </c>
      <c r="C264" s="2626" t="s">
        <v>278</v>
      </c>
      <c r="D264" s="2865"/>
      <c r="E264" s="568"/>
      <c r="F264" s="568"/>
      <c r="G264" s="568"/>
      <c r="H264" s="568"/>
      <c r="I264" s="568"/>
      <c r="J264" s="568"/>
      <c r="K264" s="568"/>
      <c r="L264" s="568"/>
      <c r="M264" s="568"/>
      <c r="N264" s="568"/>
      <c r="O264" s="568"/>
      <c r="P264" s="568"/>
    </row>
    <row r="265" spans="2:16" ht="16.5" hidden="1" thickBot="1">
      <c r="B265" s="373" t="s">
        <v>785</v>
      </c>
      <c r="C265" s="2661" t="s">
        <v>786</v>
      </c>
      <c r="D265" s="2661"/>
      <c r="E265" s="352">
        <f t="shared" ref="E265" si="95">(E262+E264)*8*2.2521+E263*8</f>
        <v>3337.071696</v>
      </c>
      <c r="F265" s="352">
        <f t="shared" ref="F265:G265" si="96">(F262+F264)*8*2.2521+F263*8</f>
        <v>3550.570776</v>
      </c>
      <c r="G265" s="352">
        <f t="shared" si="96"/>
        <v>3550.570776</v>
      </c>
      <c r="H265" s="352">
        <f t="shared" ref="H265:I265" si="97">(H262+H264)*8*2.2521+H263*8</f>
        <v>3976.6680959999999</v>
      </c>
      <c r="I265" s="352">
        <f t="shared" si="97"/>
        <v>3976.6680959999999</v>
      </c>
      <c r="J265" s="352">
        <f t="shared" ref="J265:K265" si="98">(J262+J264)*8*2.2521+J263*8</f>
        <v>3976.6680959999999</v>
      </c>
      <c r="K265" s="352">
        <f t="shared" si="98"/>
        <v>4331.7792239999999</v>
      </c>
      <c r="L265" s="352">
        <f t="shared" ref="L265:M265" si="99">(L262+L264)*8*2.2521+L263*8</f>
        <v>4331.7792239999999</v>
      </c>
      <c r="M265" s="352">
        <f t="shared" si="99"/>
        <v>4509.2447039999997</v>
      </c>
      <c r="N265" s="352">
        <f t="shared" ref="N265:O265" si="100">(N262+N264)*8*2.2521+N263*8</f>
        <v>4757.8765439999997</v>
      </c>
      <c r="O265" s="352">
        <f t="shared" si="100"/>
        <v>4757.8765439999997</v>
      </c>
      <c r="P265" s="352">
        <f t="shared" ref="P265" si="101">(P262+P264)*8*2.2521+P263*8</f>
        <v>4757.8765439999997</v>
      </c>
    </row>
    <row r="266" spans="2:16" ht="16.5" hidden="1" thickBot="1">
      <c r="B266" s="425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</row>
    <row r="267" spans="2:16" hidden="1">
      <c r="B267" s="2623" t="s">
        <v>675</v>
      </c>
      <c r="C267" s="2659" t="s">
        <v>787</v>
      </c>
      <c r="D267" s="2866"/>
      <c r="E267" s="421">
        <f>+ROUND((E261*100/$E$201),3)</f>
        <v>551.25300000000004</v>
      </c>
      <c r="F267" s="421">
        <f t="shared" ref="F267:P267" si="102">+ROUND((F261*100/$E$201),3)</f>
        <v>593.73900000000003</v>
      </c>
      <c r="G267" s="421">
        <f t="shared" si="102"/>
        <v>603.88800000000003</v>
      </c>
      <c r="H267" s="421">
        <f t="shared" si="102"/>
        <v>623.39599999999996</v>
      </c>
      <c r="I267" s="421">
        <f t="shared" si="102"/>
        <v>638.82899999999995</v>
      </c>
      <c r="J267" s="421">
        <f t="shared" si="102"/>
        <v>668.89300000000003</v>
      </c>
      <c r="K267" s="421">
        <f t="shared" si="102"/>
        <v>673.50400000000002</v>
      </c>
      <c r="L267" s="421">
        <f t="shared" si="102"/>
        <v>676.51700000000005</v>
      </c>
      <c r="M267" s="421">
        <f t="shared" si="102"/>
        <v>679.93100000000004</v>
      </c>
      <c r="N267" s="421">
        <f t="shared" si="102"/>
        <v>680.11400000000003</v>
      </c>
      <c r="O267" s="421">
        <f t="shared" si="102"/>
        <v>686.08699999999999</v>
      </c>
      <c r="P267" s="421">
        <f t="shared" si="102"/>
        <v>693.30700000000002</v>
      </c>
    </row>
    <row r="268" spans="2:16" ht="16.5" hidden="1" thickBot="1">
      <c r="B268" s="2625"/>
      <c r="C268" s="2642" t="s">
        <v>677</v>
      </c>
      <c r="D268" s="2867"/>
      <c r="E268" s="573">
        <f>+ROUND(E265*100/$E$205,3)</f>
        <v>482.09300000000002</v>
      </c>
      <c r="F268" s="573">
        <f t="shared" ref="F268:P268" si="103">+ROUND(F265*100/$E$205,3)</f>
        <v>512.93600000000004</v>
      </c>
      <c r="G268" s="573">
        <f t="shared" si="103"/>
        <v>512.93600000000004</v>
      </c>
      <c r="H268" s="573">
        <f t="shared" si="103"/>
        <v>574.49199999999996</v>
      </c>
      <c r="I268" s="573">
        <f t="shared" si="103"/>
        <v>574.49199999999996</v>
      </c>
      <c r="J268" s="573">
        <f t="shared" si="103"/>
        <v>574.49199999999996</v>
      </c>
      <c r="K268" s="573">
        <f t="shared" si="103"/>
        <v>625.79399999999998</v>
      </c>
      <c r="L268" s="573">
        <f t="shared" si="103"/>
        <v>625.79399999999998</v>
      </c>
      <c r="M268" s="573">
        <f t="shared" si="103"/>
        <v>651.43200000000002</v>
      </c>
      <c r="N268" s="573">
        <f t="shared" si="103"/>
        <v>687.35</v>
      </c>
      <c r="O268" s="573">
        <f t="shared" si="103"/>
        <v>687.35</v>
      </c>
      <c r="P268" s="573">
        <f t="shared" si="103"/>
        <v>687.35</v>
      </c>
    </row>
    <row r="269" spans="2:16" ht="16.5" hidden="1" thickBot="1">
      <c r="B269" s="425"/>
      <c r="C269" s="122"/>
      <c r="D269" s="360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</row>
    <row r="270" spans="2:16" ht="16.5" hidden="1" thickBot="1">
      <c r="B270" s="2636" t="s">
        <v>788</v>
      </c>
      <c r="C270" s="2637"/>
      <c r="D270" s="2638"/>
      <c r="E270" s="1362">
        <f t="shared" ref="E270:P270" si="104">+ROUND(E267*0.8+E268*0.2,2)</f>
        <v>537.41999999999996</v>
      </c>
      <c r="F270" s="1362">
        <f t="shared" ref="F270:G270" si="105">+ROUND(F267*0.8+F268*0.2,2)</f>
        <v>577.58000000000004</v>
      </c>
      <c r="G270" s="1362">
        <f t="shared" si="105"/>
        <v>585.70000000000005</v>
      </c>
      <c r="H270" s="1362">
        <f t="shared" ref="H270:K270" si="106">+ROUND(H267*0.8+H268*0.2,2)</f>
        <v>613.62</v>
      </c>
      <c r="I270" s="1362">
        <f t="shared" si="106"/>
        <v>625.96</v>
      </c>
      <c r="J270" s="1362">
        <f t="shared" si="106"/>
        <v>650.01</v>
      </c>
      <c r="K270" s="1362">
        <f t="shared" si="106"/>
        <v>663.96</v>
      </c>
      <c r="L270" s="1362">
        <f t="shared" ref="L270:N270" si="107">+ROUND(L267*0.8+L268*0.2,2)</f>
        <v>666.37</v>
      </c>
      <c r="M270" s="1362">
        <f t="shared" si="107"/>
        <v>674.23</v>
      </c>
      <c r="N270" s="1362">
        <f t="shared" si="107"/>
        <v>681.56</v>
      </c>
      <c r="O270" s="1362">
        <f t="shared" ref="O270" si="108">+ROUND(O267*0.8+O268*0.2,2)</f>
        <v>686.34</v>
      </c>
      <c r="P270" s="1362">
        <f t="shared" si="104"/>
        <v>692.12</v>
      </c>
    </row>
    <row r="271" spans="2:16" ht="16.5" thickBot="1"/>
    <row r="272" spans="2:16" ht="16.5" thickBot="1">
      <c r="B272" s="1246" t="s">
        <v>673</v>
      </c>
      <c r="C272" s="2864" t="s">
        <v>656</v>
      </c>
      <c r="D272" s="2765"/>
      <c r="E272" s="1978">
        <v>44562</v>
      </c>
      <c r="F272" s="1978">
        <v>44593</v>
      </c>
      <c r="G272" s="1978">
        <v>44621</v>
      </c>
      <c r="H272" s="1978">
        <v>44652</v>
      </c>
      <c r="I272" s="1978">
        <v>44682</v>
      </c>
      <c r="J272" s="1978">
        <v>44713</v>
      </c>
      <c r="K272" s="1978">
        <v>44743</v>
      </c>
      <c r="L272" s="1978">
        <v>44774</v>
      </c>
      <c r="M272" s="1978">
        <v>44805</v>
      </c>
      <c r="N272" s="1978">
        <v>44835</v>
      </c>
      <c r="O272" s="1978">
        <v>44866</v>
      </c>
      <c r="P272" s="1978">
        <v>44896</v>
      </c>
    </row>
    <row r="273" spans="2:16">
      <c r="B273" s="563" t="s">
        <v>782</v>
      </c>
      <c r="C273" s="2672">
        <v>98</v>
      </c>
      <c r="D273" s="2672"/>
      <c r="E273" s="691">
        <f>+'Insumos testigos '!IS118</f>
        <v>703.33807742268243</v>
      </c>
      <c r="F273" s="691">
        <f>+'Insumos testigos '!IT118</f>
        <v>717.44763447236778</v>
      </c>
      <c r="G273" s="691">
        <f>+'Insumos testigos '!IU118</f>
        <v>740.55578277453037</v>
      </c>
      <c r="H273" s="691">
        <f>+'Insumos testigos '!IV118</f>
        <v>754.84871359719693</v>
      </c>
      <c r="I273" s="691">
        <f>+'Insumos testigos '!IW118</f>
        <v>795.4112450363981</v>
      </c>
      <c r="J273" s="691">
        <f>+'Insumos testigos '!IX118</f>
        <v>822.0436673126012</v>
      </c>
      <c r="K273" s="691">
        <f>+'Insumos testigos '!IY118</f>
        <v>944.68824281593572</v>
      </c>
      <c r="L273" s="691">
        <f>+'Insumos testigos '!IZ118</f>
        <v>1034.4476103480299</v>
      </c>
      <c r="M273" s="691">
        <f>+'Insumos testigos '!JA118</f>
        <v>1050.1978386102869</v>
      </c>
      <c r="N273" s="691">
        <f>+'Insumos testigos '!JB118</f>
        <v>1068.6836893112675</v>
      </c>
      <c r="O273" s="691">
        <f>+'Insumos testigos '!JC118</f>
        <v>1140.2635888230386</v>
      </c>
      <c r="P273" s="691">
        <f>+'Insumos testigos '!JD118</f>
        <v>1201.9898707232451</v>
      </c>
    </row>
    <row r="274" spans="2:16">
      <c r="B274" s="372" t="s">
        <v>783</v>
      </c>
      <c r="C274" s="2658">
        <v>1</v>
      </c>
      <c r="D274" s="2658"/>
      <c r="E274" s="139">
        <f>+'Insumos testigos '!IS5</f>
        <v>273.93</v>
      </c>
      <c r="F274" s="139">
        <f>+'Insumos testigos '!IT5</f>
        <v>287.33</v>
      </c>
      <c r="G274" s="139">
        <f>+'Insumos testigos '!IU5</f>
        <v>303.49</v>
      </c>
      <c r="H274" s="139">
        <f>+'Insumos testigos '!IV5</f>
        <v>303.49</v>
      </c>
      <c r="I274" s="139">
        <f>+'Insumos testigos '!IW5</f>
        <v>334</v>
      </c>
      <c r="J274" s="139">
        <f>+'Insumos testigos '!IX5</f>
        <v>364</v>
      </c>
      <c r="K274" s="139">
        <f>+'Insumos testigos '!IY5</f>
        <v>364</v>
      </c>
      <c r="L274" s="139">
        <f>+'Insumos testigos '!IZ5</f>
        <v>388</v>
      </c>
      <c r="M274" s="139">
        <f>+'Insumos testigos '!JA5</f>
        <v>428</v>
      </c>
      <c r="N274" s="139">
        <f>+'Insumos testigos '!JB5</f>
        <v>467</v>
      </c>
      <c r="O274" s="139">
        <f>+'Insumos testigos '!JC5</f>
        <v>504</v>
      </c>
      <c r="P274" s="139">
        <f>+'Insumos testigos '!JD5</f>
        <v>504</v>
      </c>
    </row>
    <row r="275" spans="2:16">
      <c r="B275" s="566" t="s">
        <v>784</v>
      </c>
      <c r="C275" s="2626" t="s">
        <v>473</v>
      </c>
      <c r="D275" s="2865"/>
      <c r="E275" s="1250"/>
      <c r="F275" s="1250"/>
      <c r="G275" s="1250"/>
      <c r="H275" s="1250"/>
      <c r="I275" s="1250"/>
      <c r="J275" s="1250"/>
      <c r="K275" s="1250"/>
      <c r="L275" s="1250"/>
      <c r="M275" s="1250"/>
      <c r="N275" s="1250"/>
      <c r="O275" s="1250"/>
      <c r="P275" s="1250"/>
    </row>
    <row r="276" spans="2:16">
      <c r="B276" s="566" t="s">
        <v>496</v>
      </c>
      <c r="C276" s="2626" t="s">
        <v>278</v>
      </c>
      <c r="D276" s="2865"/>
      <c r="E276" s="568"/>
      <c r="F276" s="568"/>
      <c r="G276" s="568"/>
      <c r="H276" s="568"/>
      <c r="I276" s="568"/>
      <c r="J276" s="568"/>
      <c r="K276" s="568"/>
      <c r="L276" s="568"/>
      <c r="M276" s="568"/>
      <c r="N276" s="568"/>
      <c r="O276" s="568"/>
      <c r="P276" s="568"/>
    </row>
    <row r="277" spans="2:16" ht="16.5" thickBot="1">
      <c r="B277" s="373" t="s">
        <v>785</v>
      </c>
      <c r="C277" s="2661" t="s">
        <v>786</v>
      </c>
      <c r="D277" s="2661"/>
      <c r="E277" s="352">
        <f t="shared" ref="E277" si="109">(E274+E276)*8*2.2521+E275*8</f>
        <v>4935.3420240000005</v>
      </c>
      <c r="F277" s="352">
        <f t="shared" ref="F277:G277" si="110">(F274+F276)*8*2.2521+F275*8</f>
        <v>5176.7671439999995</v>
      </c>
      <c r="G277" s="352">
        <f t="shared" si="110"/>
        <v>5467.9186319999999</v>
      </c>
      <c r="H277" s="352">
        <f t="shared" ref="H277:I277" si="111">(H274+H276)*8*2.2521+H275*8</f>
        <v>5467.9186319999999</v>
      </c>
      <c r="I277" s="352">
        <f t="shared" si="111"/>
        <v>6017.6112000000003</v>
      </c>
      <c r="J277" s="352">
        <f t="shared" ref="J277:K277" si="112">(J274+J276)*8*2.2521+J275*8</f>
        <v>6558.1152000000002</v>
      </c>
      <c r="K277" s="352">
        <f t="shared" si="112"/>
        <v>6558.1152000000002</v>
      </c>
      <c r="L277" s="352">
        <f t="shared" ref="L277:M277" si="113">(L274+L276)*8*2.2521+L275*8</f>
        <v>6990.5183999999999</v>
      </c>
      <c r="M277" s="352">
        <f t="shared" si="113"/>
        <v>7711.1904000000004</v>
      </c>
      <c r="N277" s="352">
        <f t="shared" ref="N277:O277" si="114">(N274+N276)*8*2.2521+N275*8</f>
        <v>8413.8456000000006</v>
      </c>
      <c r="O277" s="352">
        <f t="shared" si="114"/>
        <v>9080.4671999999991</v>
      </c>
      <c r="P277" s="352">
        <f t="shared" ref="P277" si="115">(P274+P276)*8*2.2521+P275*8</f>
        <v>9080.4671999999991</v>
      </c>
    </row>
    <row r="278" spans="2:16" ht="16.5" thickBot="1">
      <c r="B278" s="425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</row>
    <row r="279" spans="2:16">
      <c r="B279" s="2623" t="s">
        <v>675</v>
      </c>
      <c r="C279" s="2659" t="s">
        <v>787</v>
      </c>
      <c r="D279" s="2866"/>
      <c r="E279" s="421">
        <f>+ROUND((E273*100/$E$201),3)</f>
        <v>703.33799999999997</v>
      </c>
      <c r="F279" s="421">
        <f t="shared" ref="F279:P279" si="116">+ROUND((F273*100/$E$201),3)</f>
        <v>717.44799999999998</v>
      </c>
      <c r="G279" s="421">
        <f t="shared" si="116"/>
        <v>740.55600000000004</v>
      </c>
      <c r="H279" s="421">
        <f t="shared" si="116"/>
        <v>754.84900000000005</v>
      </c>
      <c r="I279" s="421">
        <f t="shared" si="116"/>
        <v>795.41099999999994</v>
      </c>
      <c r="J279" s="421">
        <f t="shared" si="116"/>
        <v>822.04399999999998</v>
      </c>
      <c r="K279" s="421">
        <f t="shared" si="116"/>
        <v>944.68799999999999</v>
      </c>
      <c r="L279" s="421">
        <f t="shared" si="116"/>
        <v>1034.4480000000001</v>
      </c>
      <c r="M279" s="421">
        <f t="shared" si="116"/>
        <v>1050.1980000000001</v>
      </c>
      <c r="N279" s="421">
        <f t="shared" si="116"/>
        <v>1068.684</v>
      </c>
      <c r="O279" s="421">
        <f t="shared" si="116"/>
        <v>1140.2639999999999</v>
      </c>
      <c r="P279" s="421">
        <f t="shared" si="116"/>
        <v>1201.99</v>
      </c>
    </row>
    <row r="280" spans="2:16" ht="16.5" thickBot="1">
      <c r="B280" s="2625"/>
      <c r="C280" s="2642" t="s">
        <v>677</v>
      </c>
      <c r="D280" s="2867"/>
      <c r="E280" s="573">
        <f>+ROUND(E277*100/$E$205,3)</f>
        <v>712.98800000000006</v>
      </c>
      <c r="F280" s="573">
        <f t="shared" ref="F280:P280" si="117">+ROUND(F277*100/$E$205,3)</f>
        <v>747.86599999999999</v>
      </c>
      <c r="G280" s="573">
        <f t="shared" si="117"/>
        <v>789.92700000000002</v>
      </c>
      <c r="H280" s="573">
        <f t="shared" si="117"/>
        <v>789.92700000000002</v>
      </c>
      <c r="I280" s="573">
        <f t="shared" si="117"/>
        <v>869.33900000000006</v>
      </c>
      <c r="J280" s="573">
        <f t="shared" si="117"/>
        <v>947.423</v>
      </c>
      <c r="K280" s="573">
        <f t="shared" si="117"/>
        <v>947.423</v>
      </c>
      <c r="L280" s="573">
        <f t="shared" si="117"/>
        <v>1009.891</v>
      </c>
      <c r="M280" s="573">
        <f t="shared" si="117"/>
        <v>1114.0029999999999</v>
      </c>
      <c r="N280" s="573">
        <f t="shared" si="117"/>
        <v>1215.5129999999999</v>
      </c>
      <c r="O280" s="573">
        <f t="shared" si="117"/>
        <v>1311.817</v>
      </c>
      <c r="P280" s="573">
        <f t="shared" si="117"/>
        <v>1311.817</v>
      </c>
    </row>
    <row r="281" spans="2:16" ht="16.5" thickBot="1">
      <c r="B281" s="425"/>
      <c r="C281" s="122"/>
      <c r="D281" s="360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</row>
    <row r="282" spans="2:16" ht="16.5" thickBot="1">
      <c r="B282" s="2636" t="s">
        <v>788</v>
      </c>
      <c r="C282" s="2637"/>
      <c r="D282" s="2638"/>
      <c r="E282" s="1362">
        <f t="shared" ref="E282:J282" si="118">+ROUND(E279*0.8+E280*0.2,2)</f>
        <v>705.27</v>
      </c>
      <c r="F282" s="1362">
        <f t="shared" si="118"/>
        <v>723.53</v>
      </c>
      <c r="G282" s="1362">
        <f t="shared" ref="G282" si="119">+ROUND(G279*0.8+G280*0.2,2)</f>
        <v>750.43</v>
      </c>
      <c r="H282" s="1362">
        <f t="shared" si="118"/>
        <v>761.86</v>
      </c>
      <c r="I282" s="1362">
        <f t="shared" ref="I282" si="120">+ROUND(I279*0.8+I280*0.2,2)</f>
        <v>810.2</v>
      </c>
      <c r="J282" s="1362">
        <f t="shared" si="118"/>
        <v>847.12</v>
      </c>
      <c r="K282" s="1362">
        <f t="shared" ref="K282:L282" si="121">+ROUND(K279*0.8+K280*0.2,2)</f>
        <v>945.24</v>
      </c>
      <c r="L282" s="1362">
        <f t="shared" si="121"/>
        <v>1029.54</v>
      </c>
      <c r="M282" s="1362">
        <f t="shared" ref="M282:N282" si="122">+ROUND(M279*0.8+M280*0.2,2)</f>
        <v>1062.96</v>
      </c>
      <c r="N282" s="1362">
        <f t="shared" si="122"/>
        <v>1098.05</v>
      </c>
      <c r="O282" s="1362">
        <f t="shared" ref="O282:P282" si="123">+ROUND(O279*0.8+O280*0.2,2)</f>
        <v>1174.57</v>
      </c>
      <c r="P282" s="1362">
        <f t="shared" si="123"/>
        <v>1223.96</v>
      </c>
    </row>
    <row r="283" spans="2:16" ht="16.5" thickBot="1"/>
    <row r="284" spans="2:16" ht="16.5" thickBot="1">
      <c r="B284" s="1246" t="s">
        <v>673</v>
      </c>
      <c r="C284" s="2864" t="s">
        <v>656</v>
      </c>
      <c r="D284" s="2765"/>
      <c r="E284" s="2445">
        <v>44927</v>
      </c>
      <c r="F284" s="2445">
        <v>44958</v>
      </c>
      <c r="G284" s="2445">
        <v>44986</v>
      </c>
      <c r="H284" s="2445">
        <v>45017</v>
      </c>
      <c r="I284" s="2445">
        <v>45047</v>
      </c>
      <c r="J284" s="2445">
        <v>45078</v>
      </c>
      <c r="K284" s="2445">
        <v>45108</v>
      </c>
      <c r="L284" s="2445">
        <v>45139</v>
      </c>
      <c r="M284" s="2445">
        <v>45170</v>
      </c>
      <c r="N284" s="2445">
        <v>45200</v>
      </c>
      <c r="O284" s="2445">
        <v>45231</v>
      </c>
      <c r="P284" s="2445">
        <v>45261</v>
      </c>
    </row>
    <row r="285" spans="2:16">
      <c r="B285" s="563" t="s">
        <v>782</v>
      </c>
      <c r="C285" s="2672">
        <v>98</v>
      </c>
      <c r="D285" s="2672"/>
      <c r="E285" s="691">
        <f>+'Insumos testigos '!JE118</f>
        <v>1267.3019863439299</v>
      </c>
      <c r="F285" s="691">
        <f>+'Insumos testigos '!JF118</f>
        <v>1336.1773595592174</v>
      </c>
      <c r="G285" s="691"/>
      <c r="H285" s="691"/>
      <c r="I285" s="691"/>
      <c r="J285" s="691"/>
      <c r="K285" s="691"/>
      <c r="L285" s="691"/>
      <c r="M285" s="691"/>
      <c r="N285" s="691"/>
      <c r="O285" s="691"/>
      <c r="P285" s="691"/>
    </row>
    <row r="286" spans="2:16">
      <c r="B286" s="372" t="s">
        <v>783</v>
      </c>
      <c r="C286" s="2658">
        <v>1</v>
      </c>
      <c r="D286" s="2658"/>
      <c r="E286" s="139">
        <f>+'Insumos testigos '!JE5</f>
        <v>519</v>
      </c>
      <c r="F286" s="139">
        <f>+'Insumos testigos '!JF5</f>
        <v>607</v>
      </c>
      <c r="G286" s="139">
        <f>+'Insumos testigos '!IU17</f>
        <v>0</v>
      </c>
      <c r="H286" s="139">
        <f>+'Insumos testigos '!IV17</f>
        <v>0</v>
      </c>
      <c r="I286" s="139">
        <f>+'Insumos testigos '!IW17</f>
        <v>0</v>
      </c>
      <c r="J286" s="139">
        <f>+'Insumos testigos '!IX17</f>
        <v>0</v>
      </c>
      <c r="K286" s="139">
        <f>+'Insumos testigos '!IY17</f>
        <v>0</v>
      </c>
      <c r="L286" s="139">
        <f>+'Insumos testigos '!IZ17</f>
        <v>0</v>
      </c>
      <c r="M286" s="139">
        <f>+'Insumos testigos '!JA17</f>
        <v>0</v>
      </c>
      <c r="N286" s="139">
        <f>+'Insumos testigos '!JB17</f>
        <v>0</v>
      </c>
      <c r="O286" s="139">
        <f>+'Insumos testigos '!JC17</f>
        <v>0</v>
      </c>
      <c r="P286" s="139">
        <f>+'Insumos testigos '!JD17</f>
        <v>0</v>
      </c>
    </row>
    <row r="287" spans="2:16">
      <c r="B287" s="566" t="s">
        <v>784</v>
      </c>
      <c r="C287" s="2626" t="s">
        <v>473</v>
      </c>
      <c r="D287" s="2865"/>
      <c r="E287" s="1250"/>
      <c r="F287" s="1250"/>
      <c r="G287" s="1250"/>
      <c r="H287" s="1250"/>
      <c r="I287" s="1250"/>
      <c r="J287" s="1250"/>
      <c r="K287" s="1250"/>
      <c r="L287" s="1250"/>
      <c r="M287" s="1250"/>
      <c r="N287" s="1250"/>
      <c r="O287" s="1250"/>
      <c r="P287" s="1250"/>
    </row>
    <row r="288" spans="2:16">
      <c r="B288" s="566" t="s">
        <v>496</v>
      </c>
      <c r="C288" s="2626" t="s">
        <v>278</v>
      </c>
      <c r="D288" s="2865"/>
      <c r="E288" s="568"/>
      <c r="F288" s="568"/>
      <c r="G288" s="568"/>
      <c r="H288" s="568"/>
      <c r="I288" s="568"/>
      <c r="J288" s="568"/>
      <c r="K288" s="568"/>
      <c r="L288" s="568"/>
      <c r="M288" s="568"/>
      <c r="N288" s="568"/>
      <c r="O288" s="568"/>
      <c r="P288" s="568"/>
    </row>
    <row r="289" spans="2:16" ht="16.5" thickBot="1">
      <c r="B289" s="373" t="s">
        <v>785</v>
      </c>
      <c r="C289" s="2661" t="s">
        <v>786</v>
      </c>
      <c r="D289" s="2661"/>
      <c r="E289" s="352">
        <f t="shared" ref="E289:P289" si="124">(E286+E288)*8*2.2521+E287*8</f>
        <v>9350.7191999999995</v>
      </c>
      <c r="F289" s="352">
        <f t="shared" si="124"/>
        <v>10936.1976</v>
      </c>
      <c r="G289" s="352">
        <f t="shared" si="124"/>
        <v>0</v>
      </c>
      <c r="H289" s="352">
        <f t="shared" si="124"/>
        <v>0</v>
      </c>
      <c r="I289" s="352">
        <f t="shared" si="124"/>
        <v>0</v>
      </c>
      <c r="J289" s="352">
        <f t="shared" si="124"/>
        <v>0</v>
      </c>
      <c r="K289" s="352">
        <f t="shared" si="124"/>
        <v>0</v>
      </c>
      <c r="L289" s="352">
        <f t="shared" si="124"/>
        <v>0</v>
      </c>
      <c r="M289" s="352">
        <f t="shared" si="124"/>
        <v>0</v>
      </c>
      <c r="N289" s="352">
        <f t="shared" si="124"/>
        <v>0</v>
      </c>
      <c r="O289" s="352">
        <f t="shared" si="124"/>
        <v>0</v>
      </c>
      <c r="P289" s="352">
        <f t="shared" si="124"/>
        <v>0</v>
      </c>
    </row>
    <row r="290" spans="2:16" ht="16.5" thickBot="1">
      <c r="B290" s="425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</row>
    <row r="291" spans="2:16">
      <c r="B291" s="2623" t="s">
        <v>675</v>
      </c>
      <c r="C291" s="2659" t="s">
        <v>787</v>
      </c>
      <c r="D291" s="2866"/>
      <c r="E291" s="421">
        <f>+ROUND((E285*100/$E$201),3)</f>
        <v>1267.3019999999999</v>
      </c>
      <c r="F291" s="421">
        <f t="shared" ref="F291:P291" si="125">+ROUND((F285*100/$E$201),3)</f>
        <v>1336.1769999999999</v>
      </c>
      <c r="G291" s="421">
        <f t="shared" si="125"/>
        <v>0</v>
      </c>
      <c r="H291" s="421">
        <f t="shared" si="125"/>
        <v>0</v>
      </c>
      <c r="I291" s="421">
        <f t="shared" si="125"/>
        <v>0</v>
      </c>
      <c r="J291" s="421">
        <f t="shared" si="125"/>
        <v>0</v>
      </c>
      <c r="K291" s="421">
        <f t="shared" si="125"/>
        <v>0</v>
      </c>
      <c r="L291" s="421">
        <f t="shared" si="125"/>
        <v>0</v>
      </c>
      <c r="M291" s="421">
        <f t="shared" si="125"/>
        <v>0</v>
      </c>
      <c r="N291" s="421">
        <f t="shared" si="125"/>
        <v>0</v>
      </c>
      <c r="O291" s="421">
        <f t="shared" si="125"/>
        <v>0</v>
      </c>
      <c r="P291" s="421">
        <f t="shared" si="125"/>
        <v>0</v>
      </c>
    </row>
    <row r="292" spans="2:16" ht="16.5" thickBot="1">
      <c r="B292" s="2625"/>
      <c r="C292" s="2642" t="s">
        <v>677</v>
      </c>
      <c r="D292" s="2867"/>
      <c r="E292" s="573">
        <f>+ROUND(E289*100/$E$205,3)</f>
        <v>1350.8589999999999</v>
      </c>
      <c r="F292" s="573">
        <f t="shared" ref="F292:P292" si="126">+ROUND(F289*100/$E$205,3)</f>
        <v>1579.9059999999999</v>
      </c>
      <c r="G292" s="573">
        <f t="shared" si="126"/>
        <v>0</v>
      </c>
      <c r="H292" s="573">
        <f t="shared" si="126"/>
        <v>0</v>
      </c>
      <c r="I292" s="573">
        <f t="shared" si="126"/>
        <v>0</v>
      </c>
      <c r="J292" s="573">
        <f t="shared" si="126"/>
        <v>0</v>
      </c>
      <c r="K292" s="573">
        <f t="shared" si="126"/>
        <v>0</v>
      </c>
      <c r="L292" s="573">
        <f t="shared" si="126"/>
        <v>0</v>
      </c>
      <c r="M292" s="573">
        <f t="shared" si="126"/>
        <v>0</v>
      </c>
      <c r="N292" s="573">
        <f t="shared" si="126"/>
        <v>0</v>
      </c>
      <c r="O292" s="573">
        <f t="shared" si="126"/>
        <v>0</v>
      </c>
      <c r="P292" s="573">
        <f t="shared" si="126"/>
        <v>0</v>
      </c>
    </row>
    <row r="293" spans="2:16" ht="16.5" thickBot="1">
      <c r="B293" s="425"/>
      <c r="C293" s="122"/>
      <c r="D293" s="360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</row>
    <row r="294" spans="2:16" ht="16.5" thickBot="1">
      <c r="B294" s="2636" t="s">
        <v>788</v>
      </c>
      <c r="C294" s="2637"/>
      <c r="D294" s="2638"/>
      <c r="E294" s="1362">
        <f t="shared" ref="E294:P294" si="127">+ROUND(E291*0.8+E292*0.2,2)</f>
        <v>1284.01</v>
      </c>
      <c r="F294" s="1362">
        <f t="shared" si="127"/>
        <v>1384.92</v>
      </c>
      <c r="G294" s="1362">
        <f t="shared" si="127"/>
        <v>0</v>
      </c>
      <c r="H294" s="1362">
        <f t="shared" si="127"/>
        <v>0</v>
      </c>
      <c r="I294" s="1362">
        <f t="shared" si="127"/>
        <v>0</v>
      </c>
      <c r="J294" s="1362">
        <f t="shared" si="127"/>
        <v>0</v>
      </c>
      <c r="K294" s="1362">
        <f t="shared" si="127"/>
        <v>0</v>
      </c>
      <c r="L294" s="1362">
        <f t="shared" si="127"/>
        <v>0</v>
      </c>
      <c r="M294" s="1362">
        <f t="shared" si="127"/>
        <v>0</v>
      </c>
      <c r="N294" s="1362">
        <f t="shared" si="127"/>
        <v>0</v>
      </c>
      <c r="O294" s="1362">
        <f t="shared" si="127"/>
        <v>0</v>
      </c>
      <c r="P294" s="1362">
        <f t="shared" si="127"/>
        <v>0</v>
      </c>
    </row>
  </sheetData>
  <mergeCells count="353">
    <mergeCell ref="B258:D258"/>
    <mergeCell ref="C248:D248"/>
    <mergeCell ref="C249:D249"/>
    <mergeCell ref="C250:D250"/>
    <mergeCell ref="C251:D251"/>
    <mergeCell ref="C252:D252"/>
    <mergeCell ref="C253:D253"/>
    <mergeCell ref="B255:B256"/>
    <mergeCell ref="C255:D255"/>
    <mergeCell ref="C256:D256"/>
    <mergeCell ref="B195:B196"/>
    <mergeCell ref="C195:D195"/>
    <mergeCell ref="C196:D196"/>
    <mergeCell ref="B246:D246"/>
    <mergeCell ref="C236:D236"/>
    <mergeCell ref="C237:D237"/>
    <mergeCell ref="C238:D238"/>
    <mergeCell ref="C239:D239"/>
    <mergeCell ref="C240:D240"/>
    <mergeCell ref="C241:D241"/>
    <mergeCell ref="B243:B244"/>
    <mergeCell ref="C243:D243"/>
    <mergeCell ref="C244:D244"/>
    <mergeCell ref="B222:D222"/>
    <mergeCell ref="C212:D212"/>
    <mergeCell ref="C213:D213"/>
    <mergeCell ref="C214:D214"/>
    <mergeCell ref="C215:D215"/>
    <mergeCell ref="C216:D216"/>
    <mergeCell ref="C217:D217"/>
    <mergeCell ref="B219:B220"/>
    <mergeCell ref="C219:D219"/>
    <mergeCell ref="C220:D220"/>
    <mergeCell ref="B234:D234"/>
    <mergeCell ref="K126:K128"/>
    <mergeCell ref="L126:L128"/>
    <mergeCell ref="M126:M128"/>
    <mergeCell ref="N126:N128"/>
    <mergeCell ref="G126:G128"/>
    <mergeCell ref="H126:H128"/>
    <mergeCell ref="C62:D62"/>
    <mergeCell ref="C63:D63"/>
    <mergeCell ref="B65:B66"/>
    <mergeCell ref="I70:I72"/>
    <mergeCell ref="J70:J72"/>
    <mergeCell ref="B70:B72"/>
    <mergeCell ref="E70:E72"/>
    <mergeCell ref="F70:F72"/>
    <mergeCell ref="B82:D82"/>
    <mergeCell ref="C76:D76"/>
    <mergeCell ref="C80:D80"/>
    <mergeCell ref="C72:D72"/>
    <mergeCell ref="C65:D65"/>
    <mergeCell ref="C66:D66"/>
    <mergeCell ref="C75:D75"/>
    <mergeCell ref="C77:D77"/>
    <mergeCell ref="B79:B80"/>
    <mergeCell ref="C79:D79"/>
    <mergeCell ref="D3:O3"/>
    <mergeCell ref="C12:D12"/>
    <mergeCell ref="B9:N9"/>
    <mergeCell ref="J13:O13"/>
    <mergeCell ref="L15:L17"/>
    <mergeCell ref="C32:D32"/>
    <mergeCell ref="B40:D40"/>
    <mergeCell ref="C33:D33"/>
    <mergeCell ref="C34:D34"/>
    <mergeCell ref="C35:D35"/>
    <mergeCell ref="C37:D37"/>
    <mergeCell ref="C38:D38"/>
    <mergeCell ref="B37:B38"/>
    <mergeCell ref="B15:B17"/>
    <mergeCell ref="C19:D19"/>
    <mergeCell ref="M29:M31"/>
    <mergeCell ref="B29:B31"/>
    <mergeCell ref="B23:B24"/>
    <mergeCell ref="C21:D21"/>
    <mergeCell ref="C23:D23"/>
    <mergeCell ref="C24:D24"/>
    <mergeCell ref="C20:D20"/>
    <mergeCell ref="E29:E31"/>
    <mergeCell ref="H29:H31"/>
    <mergeCell ref="Q15:Q17"/>
    <mergeCell ref="D6:O6"/>
    <mergeCell ref="D4:O4"/>
    <mergeCell ref="G15:G17"/>
    <mergeCell ref="J12:O12"/>
    <mergeCell ref="M15:M17"/>
    <mergeCell ref="J15:J17"/>
    <mergeCell ref="C15:D17"/>
    <mergeCell ref="C11:D11"/>
    <mergeCell ref="C13:D13"/>
    <mergeCell ref="P15:P17"/>
    <mergeCell ref="E15:E17"/>
    <mergeCell ref="I15:I17"/>
    <mergeCell ref="O15:O17"/>
    <mergeCell ref="N15:N17"/>
    <mergeCell ref="H15:H17"/>
    <mergeCell ref="K15:K17"/>
    <mergeCell ref="F15:F17"/>
    <mergeCell ref="B26:D26"/>
    <mergeCell ref="F29:F31"/>
    <mergeCell ref="I29:I31"/>
    <mergeCell ref="P29:P31"/>
    <mergeCell ref="N29:N31"/>
    <mergeCell ref="C18:D18"/>
    <mergeCell ref="L29:L31"/>
    <mergeCell ref="G29:G31"/>
    <mergeCell ref="C29:D31"/>
    <mergeCell ref="J29:J31"/>
    <mergeCell ref="K29:K31"/>
    <mergeCell ref="O29:O31"/>
    <mergeCell ref="B43:B45"/>
    <mergeCell ref="C43:D45"/>
    <mergeCell ref="E43:E45"/>
    <mergeCell ref="F43:F45"/>
    <mergeCell ref="O43:O45"/>
    <mergeCell ref="C48:D48"/>
    <mergeCell ref="C49:D49"/>
    <mergeCell ref="C73:D73"/>
    <mergeCell ref="C74:D74"/>
    <mergeCell ref="B51:B52"/>
    <mergeCell ref="C51:D51"/>
    <mergeCell ref="C60:D60"/>
    <mergeCell ref="C52:D52"/>
    <mergeCell ref="K70:K72"/>
    <mergeCell ref="L70:L72"/>
    <mergeCell ref="M70:M72"/>
    <mergeCell ref="B68:D68"/>
    <mergeCell ref="N70:N72"/>
    <mergeCell ref="G70:G72"/>
    <mergeCell ref="H70:H72"/>
    <mergeCell ref="B54:D54"/>
    <mergeCell ref="B57:B59"/>
    <mergeCell ref="C70:D70"/>
    <mergeCell ref="C71:D71"/>
    <mergeCell ref="P43:P45"/>
    <mergeCell ref="C46:D46"/>
    <mergeCell ref="C47:D47"/>
    <mergeCell ref="K43:K45"/>
    <mergeCell ref="L43:L45"/>
    <mergeCell ref="M43:M45"/>
    <mergeCell ref="N43:N45"/>
    <mergeCell ref="G43:G45"/>
    <mergeCell ref="H43:H45"/>
    <mergeCell ref="I43:I45"/>
    <mergeCell ref="J43:J45"/>
    <mergeCell ref="P57:P59"/>
    <mergeCell ref="C61:D61"/>
    <mergeCell ref="K57:K59"/>
    <mergeCell ref="L57:L59"/>
    <mergeCell ref="M57:M59"/>
    <mergeCell ref="N57:N59"/>
    <mergeCell ref="G57:G59"/>
    <mergeCell ref="H57:H59"/>
    <mergeCell ref="O57:O59"/>
    <mergeCell ref="J57:J59"/>
    <mergeCell ref="C57:D59"/>
    <mergeCell ref="E57:E59"/>
    <mergeCell ref="F57:F59"/>
    <mergeCell ref="I57:I59"/>
    <mergeCell ref="O70:O72"/>
    <mergeCell ref="P70:P72"/>
    <mergeCell ref="O84:O86"/>
    <mergeCell ref="B98:B100"/>
    <mergeCell ref="B96:D96"/>
    <mergeCell ref="C89:D89"/>
    <mergeCell ref="C90:D90"/>
    <mergeCell ref="C91:D91"/>
    <mergeCell ref="P84:P86"/>
    <mergeCell ref="O98:O100"/>
    <mergeCell ref="K84:K86"/>
    <mergeCell ref="L84:L86"/>
    <mergeCell ref="M84:M86"/>
    <mergeCell ref="N84:N86"/>
    <mergeCell ref="C94:D94"/>
    <mergeCell ref="E84:E86"/>
    <mergeCell ref="F84:F86"/>
    <mergeCell ref="C84:D84"/>
    <mergeCell ref="C85:D85"/>
    <mergeCell ref="C86:D86"/>
    <mergeCell ref="C87:D87"/>
    <mergeCell ref="C88:D88"/>
    <mergeCell ref="B93:B94"/>
    <mergeCell ref="P98:P100"/>
    <mergeCell ref="B84:B86"/>
    <mergeCell ref="C102:D102"/>
    <mergeCell ref="K98:K100"/>
    <mergeCell ref="L98:L100"/>
    <mergeCell ref="M98:M100"/>
    <mergeCell ref="N98:N100"/>
    <mergeCell ref="G98:G100"/>
    <mergeCell ref="H98:H100"/>
    <mergeCell ref="G84:G86"/>
    <mergeCell ref="H84:H86"/>
    <mergeCell ref="I84:I86"/>
    <mergeCell ref="J84:J86"/>
    <mergeCell ref="I98:I100"/>
    <mergeCell ref="J98:J100"/>
    <mergeCell ref="E98:E100"/>
    <mergeCell ref="F98:F100"/>
    <mergeCell ref="C98:D98"/>
    <mergeCell ref="C99:D99"/>
    <mergeCell ref="C100:D100"/>
    <mergeCell ref="C93:D93"/>
    <mergeCell ref="C101:D101"/>
    <mergeCell ref="B110:D110"/>
    <mergeCell ref="C103:D103"/>
    <mergeCell ref="C104:D104"/>
    <mergeCell ref="C105:D105"/>
    <mergeCell ref="B107:B108"/>
    <mergeCell ref="C107:D107"/>
    <mergeCell ref="C108:D108"/>
    <mergeCell ref="C140:D140"/>
    <mergeCell ref="B124:D124"/>
    <mergeCell ref="C117:D117"/>
    <mergeCell ref="C118:D118"/>
    <mergeCell ref="C119:D119"/>
    <mergeCell ref="B112:B114"/>
    <mergeCell ref="C127:D127"/>
    <mergeCell ref="C128:D128"/>
    <mergeCell ref="B147:B148"/>
    <mergeCell ref="C132:D132"/>
    <mergeCell ref="B138:D138"/>
    <mergeCell ref="C133:D133"/>
    <mergeCell ref="B135:B136"/>
    <mergeCell ref="C135:D135"/>
    <mergeCell ref="C136:D136"/>
    <mergeCell ref="B121:B122"/>
    <mergeCell ref="C121:D121"/>
    <mergeCell ref="C122:D122"/>
    <mergeCell ref="C129:D129"/>
    <mergeCell ref="C130:D130"/>
    <mergeCell ref="C131:D131"/>
    <mergeCell ref="B126:B128"/>
    <mergeCell ref="C126:D126"/>
    <mergeCell ref="C147:D147"/>
    <mergeCell ref="C148:D148"/>
    <mergeCell ref="C141:D141"/>
    <mergeCell ref="C142:D142"/>
    <mergeCell ref="C143:D143"/>
    <mergeCell ref="C144:D144"/>
    <mergeCell ref="P112:P114"/>
    <mergeCell ref="C115:D115"/>
    <mergeCell ref="C116:D116"/>
    <mergeCell ref="K112:K114"/>
    <mergeCell ref="C145:D145"/>
    <mergeCell ref="C112:D112"/>
    <mergeCell ref="C113:D113"/>
    <mergeCell ref="C114:D114"/>
    <mergeCell ref="O112:O114"/>
    <mergeCell ref="I126:I128"/>
    <mergeCell ref="J126:J128"/>
    <mergeCell ref="E126:E128"/>
    <mergeCell ref="F126:F128"/>
    <mergeCell ref="N112:N114"/>
    <mergeCell ref="G112:G114"/>
    <mergeCell ref="H112:H114"/>
    <mergeCell ref="I112:I114"/>
    <mergeCell ref="J112:J114"/>
    <mergeCell ref="F112:F114"/>
    <mergeCell ref="E112:E114"/>
    <mergeCell ref="L112:L114"/>
    <mergeCell ref="M112:M114"/>
    <mergeCell ref="O126:O128"/>
    <mergeCell ref="P126:P128"/>
    <mergeCell ref="C151:D151"/>
    <mergeCell ref="B149:D149"/>
    <mergeCell ref="B185:D185"/>
    <mergeCell ref="C179:D179"/>
    <mergeCell ref="C180:D180"/>
    <mergeCell ref="B182:B183"/>
    <mergeCell ref="C182:D182"/>
    <mergeCell ref="C183:D183"/>
    <mergeCell ref="C153:D153"/>
    <mergeCell ref="C168:D168"/>
    <mergeCell ref="B170:B171"/>
    <mergeCell ref="C170:D170"/>
    <mergeCell ref="C171:D171"/>
    <mergeCell ref="C175:D175"/>
    <mergeCell ref="C176:D176"/>
    <mergeCell ref="C177:D177"/>
    <mergeCell ref="C178:D178"/>
    <mergeCell ref="B161:D161"/>
    <mergeCell ref="C156:D156"/>
    <mergeCell ref="B158:B159"/>
    <mergeCell ref="C158:D158"/>
    <mergeCell ref="C152:D152"/>
    <mergeCell ref="C159:D159"/>
    <mergeCell ref="C163:D163"/>
    <mergeCell ref="C164:D164"/>
    <mergeCell ref="C165:D165"/>
    <mergeCell ref="C166:D166"/>
    <mergeCell ref="B173:D173"/>
    <mergeCell ref="C167:D167"/>
    <mergeCell ref="C154:D154"/>
    <mergeCell ref="C155:D155"/>
    <mergeCell ref="B210:D210"/>
    <mergeCell ref="C200:D200"/>
    <mergeCell ref="C201:D201"/>
    <mergeCell ref="C202:D202"/>
    <mergeCell ref="C203:D203"/>
    <mergeCell ref="C204:D204"/>
    <mergeCell ref="C205:D205"/>
    <mergeCell ref="B207:B208"/>
    <mergeCell ref="C207:D207"/>
    <mergeCell ref="C208:D208"/>
    <mergeCell ref="B198:D198"/>
    <mergeCell ref="C188:D188"/>
    <mergeCell ref="C189:D189"/>
    <mergeCell ref="C190:D190"/>
    <mergeCell ref="C191:D191"/>
    <mergeCell ref="C192:D192"/>
    <mergeCell ref="C193:D193"/>
    <mergeCell ref="C224:D224"/>
    <mergeCell ref="C225:D225"/>
    <mergeCell ref="C226:D226"/>
    <mergeCell ref="C227:D227"/>
    <mergeCell ref="C228:D228"/>
    <mergeCell ref="C229:D229"/>
    <mergeCell ref="B231:B232"/>
    <mergeCell ref="C231:D231"/>
    <mergeCell ref="C232:D232"/>
    <mergeCell ref="B270:D270"/>
    <mergeCell ref="C260:D260"/>
    <mergeCell ref="C261:D261"/>
    <mergeCell ref="C262:D262"/>
    <mergeCell ref="C263:D263"/>
    <mergeCell ref="C264:D264"/>
    <mergeCell ref="C265:D265"/>
    <mergeCell ref="B267:B268"/>
    <mergeCell ref="C267:D267"/>
    <mergeCell ref="C268:D268"/>
    <mergeCell ref="B282:D282"/>
    <mergeCell ref="C272:D272"/>
    <mergeCell ref="C273:D273"/>
    <mergeCell ref="C274:D274"/>
    <mergeCell ref="C275:D275"/>
    <mergeCell ref="C276:D276"/>
    <mergeCell ref="C277:D277"/>
    <mergeCell ref="B279:B280"/>
    <mergeCell ref="C279:D279"/>
    <mergeCell ref="C280:D280"/>
    <mergeCell ref="B294:D294"/>
    <mergeCell ref="C284:D284"/>
    <mergeCell ref="C285:D285"/>
    <mergeCell ref="C286:D286"/>
    <mergeCell ref="C287:D287"/>
    <mergeCell ref="C288:D288"/>
    <mergeCell ref="C289:D289"/>
    <mergeCell ref="B291:B292"/>
    <mergeCell ref="C291:D291"/>
    <mergeCell ref="C292:D292"/>
  </mergeCells>
  <phoneticPr fontId="0" type="noConversion"/>
  <printOptions horizontalCentered="1"/>
  <pageMargins left="0" right="0" top="0.59055118110236227" bottom="0.23622047244094491" header="0" footer="0"/>
  <pageSetup paperSize="5" scale="60" firstPageNumber="17" pageOrder="overThenDown" orientation="landscape" useFirstPageNumber="1" r:id="rId1"/>
  <headerFooter alignWithMargins="0"/>
  <ignoredErrors>
    <ignoredError sqref="I74:I76" emptyCellReferenc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92D050"/>
  </sheetPr>
  <dimension ref="B1:ID319"/>
  <sheetViews>
    <sheetView showGridLines="0" showZeros="0" view="pageBreakPreview" topLeftCell="A236" zoomScale="70" zoomScaleNormal="65" zoomScaleSheetLayoutView="70" workbookViewId="0">
      <selection activeCell="F319" sqref="F319"/>
    </sheetView>
  </sheetViews>
  <sheetFormatPr baseColWidth="10" defaultColWidth="11.42578125" defaultRowHeight="15.75"/>
  <cols>
    <col min="1" max="1" width="4.7109375" style="2" customWidth="1"/>
    <col min="2" max="2" width="57.85546875" style="132" customWidth="1"/>
    <col min="3" max="3" width="7.5703125" style="132" customWidth="1"/>
    <col min="4" max="4" width="12.140625" style="132" customWidth="1"/>
    <col min="5" max="5" width="15" style="132" customWidth="1"/>
    <col min="6" max="6" width="14.85546875" style="132" customWidth="1"/>
    <col min="7" max="9" width="14.7109375" style="132" customWidth="1"/>
    <col min="10" max="10" width="16.140625" style="132" customWidth="1"/>
    <col min="11" max="11" width="15.85546875" style="132" customWidth="1"/>
    <col min="12" max="12" width="15.7109375" style="132" customWidth="1"/>
    <col min="13" max="13" width="16.5703125" style="132" customWidth="1"/>
    <col min="14" max="16" width="14.7109375" style="132" customWidth="1"/>
    <col min="17" max="17" width="3.28515625" style="2" customWidth="1"/>
    <col min="18" max="16384" width="11.42578125" style="2"/>
  </cols>
  <sheetData>
    <row r="1" spans="2:17">
      <c r="B1" s="132" t="s">
        <v>591</v>
      </c>
      <c r="D1" s="2691" t="s">
        <v>592</v>
      </c>
      <c r="E1" s="2691"/>
      <c r="F1" s="2691"/>
      <c r="G1" s="2691"/>
      <c r="H1" s="2691"/>
      <c r="I1" s="2691"/>
      <c r="J1" s="2691"/>
      <c r="K1" s="2691"/>
      <c r="L1" s="2691"/>
      <c r="M1" s="2691"/>
      <c r="N1" s="2691"/>
      <c r="O1" s="2691"/>
    </row>
    <row r="2" spans="2:17">
      <c r="B2" s="132" t="s">
        <v>593</v>
      </c>
      <c r="D2" s="2691" t="s">
        <v>594</v>
      </c>
      <c r="E2" s="2691"/>
      <c r="F2" s="2691"/>
      <c r="G2" s="2691"/>
      <c r="H2" s="2691"/>
      <c r="I2" s="2691"/>
      <c r="J2" s="2691"/>
      <c r="K2" s="2691"/>
      <c r="L2" s="2691"/>
      <c r="M2" s="2691"/>
      <c r="N2" s="2691"/>
      <c r="O2" s="2691"/>
    </row>
    <row r="3" spans="2:17">
      <c r="B3" s="132" t="s">
        <v>595</v>
      </c>
    </row>
    <row r="4" spans="2:17">
      <c r="D4" s="2690" t="s">
        <v>789</v>
      </c>
      <c r="E4" s="2690"/>
      <c r="F4" s="2690"/>
      <c r="G4" s="2690"/>
      <c r="H4" s="2690"/>
      <c r="I4" s="2690"/>
      <c r="J4" s="2690"/>
      <c r="K4" s="2690"/>
      <c r="L4" s="2690"/>
      <c r="M4" s="2690"/>
      <c r="N4" s="2690"/>
      <c r="O4" s="2690"/>
    </row>
    <row r="6" spans="2:17">
      <c r="B6" s="3" t="s">
        <v>790</v>
      </c>
      <c r="C6" s="3"/>
      <c r="D6" s="3"/>
    </row>
    <row r="7" spans="2:17">
      <c r="B7" s="2873" t="s">
        <v>485</v>
      </c>
      <c r="C7" s="2874"/>
      <c r="D7" s="2874"/>
      <c r="E7" s="2874"/>
      <c r="F7" s="2874"/>
      <c r="G7" s="2874"/>
      <c r="H7" s="2874"/>
      <c r="I7" s="2874"/>
      <c r="J7" s="2874"/>
      <c r="K7" s="2874"/>
      <c r="L7" s="2874"/>
      <c r="M7" s="2874"/>
      <c r="N7" s="2874"/>
    </row>
    <row r="8" spans="2:17" ht="16.5" thickBot="1"/>
    <row r="9" spans="2:17" ht="16.5" thickBot="1">
      <c r="B9" s="365" t="s">
        <v>655</v>
      </c>
      <c r="C9" s="2670" t="s">
        <v>656</v>
      </c>
      <c r="D9" s="2765"/>
      <c r="E9" s="1253" t="s">
        <v>489</v>
      </c>
      <c r="F9" s="560"/>
      <c r="G9" s="120"/>
      <c r="H9" s="120"/>
      <c r="I9" s="120"/>
      <c r="K9" s="120"/>
    </row>
    <row r="10" spans="2:17">
      <c r="B10" s="366" t="s">
        <v>791</v>
      </c>
      <c r="C10" s="2659">
        <v>118</v>
      </c>
      <c r="D10" s="2660"/>
      <c r="E10" s="1254">
        <v>0.3</v>
      </c>
      <c r="F10" s="358"/>
      <c r="G10" s="120"/>
      <c r="H10" s="120"/>
      <c r="I10" s="120"/>
      <c r="J10" s="2653"/>
      <c r="K10" s="2653"/>
      <c r="L10" s="2653"/>
      <c r="M10" s="2653"/>
      <c r="N10" s="2653"/>
      <c r="O10" s="2653"/>
      <c r="P10" s="122"/>
      <c r="Q10" s="9"/>
    </row>
    <row r="11" spans="2:17">
      <c r="B11" s="425" t="s">
        <v>792</v>
      </c>
      <c r="C11" s="2626">
        <v>302</v>
      </c>
      <c r="D11" s="2865"/>
      <c r="E11" s="1255">
        <v>0.3</v>
      </c>
      <c r="F11" s="358"/>
      <c r="G11" s="120"/>
      <c r="H11" s="120"/>
      <c r="I11" s="120"/>
      <c r="J11" s="121"/>
      <c r="K11" s="121"/>
      <c r="L11" s="121"/>
      <c r="M11" s="121"/>
      <c r="N11" s="121"/>
      <c r="O11" s="121"/>
      <c r="P11" s="122"/>
      <c r="Q11" s="9"/>
    </row>
    <row r="12" spans="2:17" ht="16.5" thickBot="1">
      <c r="B12" s="369" t="s">
        <v>783</v>
      </c>
      <c r="C12" s="2642">
        <v>1</v>
      </c>
      <c r="D12" s="2867"/>
      <c r="E12" s="562">
        <v>0.4</v>
      </c>
      <c r="F12" s="358"/>
      <c r="G12" s="120"/>
      <c r="H12" s="123"/>
      <c r="I12" s="124"/>
      <c r="J12" s="2653"/>
      <c r="K12" s="2653"/>
      <c r="L12" s="2653"/>
      <c r="M12" s="2653"/>
      <c r="N12" s="2653"/>
      <c r="O12" s="2653"/>
      <c r="P12" s="122"/>
      <c r="Q12" s="9"/>
    </row>
    <row r="13" spans="2:17" ht="16.5" thickBot="1">
      <c r="H13" s="122"/>
      <c r="I13" s="122"/>
      <c r="J13" s="122"/>
      <c r="K13" s="122"/>
      <c r="L13" s="122"/>
      <c r="M13" s="122"/>
      <c r="N13" s="122"/>
      <c r="O13" s="122"/>
      <c r="P13" s="122"/>
      <c r="Q13" s="9"/>
    </row>
    <row r="14" spans="2:17" ht="12.75">
      <c r="B14" s="2623" t="s">
        <v>673</v>
      </c>
      <c r="C14" s="2628" t="s">
        <v>656</v>
      </c>
      <c r="D14" s="2629"/>
      <c r="E14" s="2604">
        <v>37226</v>
      </c>
      <c r="F14" s="2604">
        <v>37257</v>
      </c>
      <c r="G14" s="2604">
        <v>37288</v>
      </c>
      <c r="H14" s="2604">
        <v>37319</v>
      </c>
      <c r="I14" s="2604">
        <v>37350</v>
      </c>
      <c r="J14" s="2604">
        <v>37381</v>
      </c>
      <c r="K14" s="2604">
        <v>37412</v>
      </c>
      <c r="L14" s="2604">
        <v>37443</v>
      </c>
      <c r="M14" s="2604">
        <v>37474</v>
      </c>
      <c r="N14" s="2604">
        <v>37505</v>
      </c>
      <c r="O14" s="2604">
        <v>37536</v>
      </c>
      <c r="P14" s="2617">
        <v>37561</v>
      </c>
    </row>
    <row r="15" spans="2:17" ht="12.75">
      <c r="B15" s="2624"/>
      <c r="C15" s="2631"/>
      <c r="D15" s="2871"/>
      <c r="E15" s="2605"/>
      <c r="F15" s="2605"/>
      <c r="G15" s="2605"/>
      <c r="H15" s="2605"/>
      <c r="I15" s="2605"/>
      <c r="J15" s="2605"/>
      <c r="K15" s="2605"/>
      <c r="L15" s="2605"/>
      <c r="M15" s="2605"/>
      <c r="N15" s="2605"/>
      <c r="O15" s="2605"/>
      <c r="P15" s="2618"/>
    </row>
    <row r="16" spans="2:17" ht="13.5" thickBot="1">
      <c r="B16" s="2625"/>
      <c r="C16" s="2761"/>
      <c r="D16" s="2872"/>
      <c r="E16" s="2740"/>
      <c r="F16" s="2740"/>
      <c r="G16" s="2740"/>
      <c r="H16" s="2740"/>
      <c r="I16" s="2740"/>
      <c r="J16" s="2740"/>
      <c r="K16" s="2740"/>
      <c r="L16" s="2740"/>
      <c r="M16" s="2740"/>
      <c r="N16" s="2740"/>
      <c r="O16" s="2740"/>
      <c r="P16" s="2868"/>
    </row>
    <row r="17" spans="2:16">
      <c r="B17" s="563" t="s">
        <v>793</v>
      </c>
      <c r="C17" s="2672">
        <f>+C10</f>
        <v>118</v>
      </c>
      <c r="D17" s="2672"/>
      <c r="E17" s="564">
        <v>109.5</v>
      </c>
      <c r="F17" s="564">
        <v>113.05</v>
      </c>
      <c r="G17" s="564">
        <v>128.77000000000001</v>
      </c>
      <c r="H17" s="564">
        <v>131.41</v>
      </c>
      <c r="I17" s="564">
        <v>163.56</v>
      </c>
      <c r="J17" s="564">
        <v>176.19</v>
      </c>
      <c r="K17" s="564">
        <v>203.93</v>
      </c>
      <c r="L17" s="564">
        <v>210.6</v>
      </c>
      <c r="M17" s="564">
        <v>245.08</v>
      </c>
      <c r="N17" s="564">
        <v>245.08</v>
      </c>
      <c r="O17" s="565">
        <v>245.08</v>
      </c>
      <c r="P17" s="126">
        <v>245.08</v>
      </c>
    </row>
    <row r="18" spans="2:16">
      <c r="B18" s="563" t="s">
        <v>794</v>
      </c>
      <c r="C18" s="2626">
        <v>302</v>
      </c>
      <c r="D18" s="2865"/>
      <c r="E18" s="142">
        <v>100</v>
      </c>
      <c r="F18" s="142">
        <v>104.21</v>
      </c>
      <c r="G18" s="142">
        <v>111.83</v>
      </c>
      <c r="H18" s="142">
        <v>116.04</v>
      </c>
      <c r="I18" s="142">
        <v>134.22</v>
      </c>
      <c r="J18" s="142">
        <v>144.53</v>
      </c>
      <c r="K18" s="142">
        <v>159.44</v>
      </c>
      <c r="L18" s="142">
        <v>180.2</v>
      </c>
      <c r="M18" s="142">
        <v>192.26</v>
      </c>
      <c r="N18" s="142">
        <v>201.71</v>
      </c>
      <c r="O18" s="513">
        <v>208.85</v>
      </c>
      <c r="P18" s="1256">
        <v>213.12</v>
      </c>
    </row>
    <row r="19" spans="2:16">
      <c r="B19" s="372" t="str">
        <f>+B12</f>
        <v>Mano de Obra (Jornal Categoría Ayudante)</v>
      </c>
      <c r="C19" s="2658">
        <f>+C12</f>
        <v>1</v>
      </c>
      <c r="D19" s="2658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30">
        <v>1.17</v>
      </c>
    </row>
    <row r="20" spans="2:16">
      <c r="B20" s="566" t="s">
        <v>784</v>
      </c>
      <c r="C20" s="2626"/>
      <c r="D20" s="2865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30">
        <v>0.56999999999999995</v>
      </c>
    </row>
    <row r="21" spans="2:16" ht="16.5" thickBot="1">
      <c r="B21" s="373" t="s">
        <v>785</v>
      </c>
      <c r="C21" s="2661" t="s">
        <v>786</v>
      </c>
      <c r="D21" s="2661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131">
        <v>24.75</v>
      </c>
    </row>
    <row r="22" spans="2:16" ht="16.5" thickBot="1"/>
    <row r="23" spans="2:16">
      <c r="B23" s="2623" t="s">
        <v>675</v>
      </c>
      <c r="C23" s="2659" t="s">
        <v>795</v>
      </c>
      <c r="D23" s="2866"/>
      <c r="E23" s="516">
        <f t="shared" ref="E23:P23" si="0">+ROUND((E17*100/$E$17),2)</f>
        <v>100</v>
      </c>
      <c r="F23" s="516">
        <f t="shared" si="0"/>
        <v>103.24</v>
      </c>
      <c r="G23" s="516">
        <f t="shared" si="0"/>
        <v>117.6</v>
      </c>
      <c r="H23" s="516">
        <f t="shared" si="0"/>
        <v>120.01</v>
      </c>
      <c r="I23" s="516">
        <f t="shared" si="0"/>
        <v>149.37</v>
      </c>
      <c r="J23" s="516">
        <f t="shared" si="0"/>
        <v>160.9</v>
      </c>
      <c r="K23" s="516">
        <f t="shared" si="0"/>
        <v>186.24</v>
      </c>
      <c r="L23" s="516">
        <f t="shared" si="0"/>
        <v>192.33</v>
      </c>
      <c r="M23" s="516">
        <f t="shared" si="0"/>
        <v>223.82</v>
      </c>
      <c r="N23" s="516">
        <f t="shared" si="0"/>
        <v>223.82</v>
      </c>
      <c r="O23" s="516">
        <f t="shared" si="0"/>
        <v>223.82</v>
      </c>
      <c r="P23" s="133">
        <f t="shared" si="0"/>
        <v>223.82</v>
      </c>
    </row>
    <row r="24" spans="2:16">
      <c r="B24" s="2640"/>
      <c r="C24" s="2626" t="s">
        <v>796</v>
      </c>
      <c r="D24" s="2865"/>
      <c r="E24" s="1257">
        <f t="shared" ref="E24:P24" si="1">+ROUND((E18*100/$E$18),2)</f>
        <v>100</v>
      </c>
      <c r="F24" s="1257">
        <f t="shared" si="1"/>
        <v>104.21</v>
      </c>
      <c r="G24" s="1257">
        <f t="shared" si="1"/>
        <v>111.83</v>
      </c>
      <c r="H24" s="1257">
        <f t="shared" si="1"/>
        <v>116.04</v>
      </c>
      <c r="I24" s="1257">
        <f t="shared" si="1"/>
        <v>134.22</v>
      </c>
      <c r="J24" s="1257">
        <f t="shared" si="1"/>
        <v>144.53</v>
      </c>
      <c r="K24" s="1257">
        <f t="shared" si="1"/>
        <v>159.44</v>
      </c>
      <c r="L24" s="1257">
        <f t="shared" si="1"/>
        <v>180.2</v>
      </c>
      <c r="M24" s="1257">
        <f t="shared" si="1"/>
        <v>192.26</v>
      </c>
      <c r="N24" s="1257">
        <f t="shared" si="1"/>
        <v>201.71</v>
      </c>
      <c r="O24" s="1257">
        <f t="shared" si="1"/>
        <v>208.85</v>
      </c>
      <c r="P24" s="1258">
        <f t="shared" si="1"/>
        <v>213.12</v>
      </c>
    </row>
    <row r="25" spans="2:16" ht="16.5" thickBot="1">
      <c r="B25" s="2625"/>
      <c r="C25" s="2642" t="s">
        <v>677</v>
      </c>
      <c r="D25" s="2867"/>
      <c r="E25" s="531">
        <f t="shared" ref="E25:P25" si="2">+ROUND(E21*100/$E$21,2)</f>
        <v>100</v>
      </c>
      <c r="F25" s="531">
        <f t="shared" si="2"/>
        <v>100</v>
      </c>
      <c r="G25" s="531">
        <f t="shared" si="2"/>
        <v>100</v>
      </c>
      <c r="H25" s="531">
        <f t="shared" si="2"/>
        <v>100</v>
      </c>
      <c r="I25" s="531">
        <f t="shared" si="2"/>
        <v>100</v>
      </c>
      <c r="J25" s="531">
        <f t="shared" si="2"/>
        <v>100</v>
      </c>
      <c r="K25" s="531">
        <f t="shared" si="2"/>
        <v>100</v>
      </c>
      <c r="L25" s="531">
        <f t="shared" si="2"/>
        <v>121.32</v>
      </c>
      <c r="M25" s="531">
        <f t="shared" si="2"/>
        <v>121.32</v>
      </c>
      <c r="N25" s="531">
        <f t="shared" si="2"/>
        <v>121.32</v>
      </c>
      <c r="O25" s="531">
        <f t="shared" si="2"/>
        <v>121.32</v>
      </c>
      <c r="P25" s="134">
        <f t="shared" si="2"/>
        <v>121.32</v>
      </c>
    </row>
    <row r="26" spans="2:16" ht="16.5" thickBot="1">
      <c r="D26" s="363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</row>
    <row r="27" spans="2:16" ht="16.5" thickBot="1">
      <c r="B27" s="2636" t="s">
        <v>797</v>
      </c>
      <c r="C27" s="2637"/>
      <c r="D27" s="2638"/>
      <c r="E27" s="135">
        <f t="shared" ref="E27:P27" si="3">+ROUND(E23*0.3+E24*0.3+E25*0.4,2)</f>
        <v>100</v>
      </c>
      <c r="F27" s="135">
        <f t="shared" si="3"/>
        <v>102.24</v>
      </c>
      <c r="G27" s="135">
        <f t="shared" si="3"/>
        <v>108.83</v>
      </c>
      <c r="H27" s="135">
        <f t="shared" si="3"/>
        <v>110.82</v>
      </c>
      <c r="I27" s="135">
        <f t="shared" si="3"/>
        <v>125.08</v>
      </c>
      <c r="J27" s="135">
        <f t="shared" si="3"/>
        <v>131.63</v>
      </c>
      <c r="K27" s="135">
        <f t="shared" si="3"/>
        <v>143.69999999999999</v>
      </c>
      <c r="L27" s="135">
        <f t="shared" si="3"/>
        <v>160.29</v>
      </c>
      <c r="M27" s="135">
        <f t="shared" si="3"/>
        <v>173.35</v>
      </c>
      <c r="N27" s="135">
        <f t="shared" si="3"/>
        <v>176.19</v>
      </c>
      <c r="O27" s="135">
        <f t="shared" si="3"/>
        <v>178.33</v>
      </c>
      <c r="P27" s="136">
        <f t="shared" si="3"/>
        <v>179.61</v>
      </c>
    </row>
    <row r="28" spans="2:16">
      <c r="B28" s="137"/>
      <c r="C28" s="137"/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2:16">
      <c r="B29" s="137"/>
      <c r="C29" s="137"/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1" spans="2:16" ht="16.5" thickBot="1"/>
    <row r="32" spans="2:16" ht="12.75">
      <c r="B32" s="2623" t="s">
        <v>673</v>
      </c>
      <c r="C32" s="2628" t="s">
        <v>656</v>
      </c>
      <c r="D32" s="2629"/>
      <c r="E32" s="2619">
        <v>37622</v>
      </c>
      <c r="F32" s="2619">
        <v>37653</v>
      </c>
      <c r="G32" s="2619">
        <v>37681</v>
      </c>
      <c r="H32" s="2619">
        <v>37712</v>
      </c>
      <c r="I32" s="2619">
        <v>37742</v>
      </c>
      <c r="J32" s="2619">
        <v>37773</v>
      </c>
      <c r="K32" s="2619">
        <v>37803</v>
      </c>
      <c r="L32" s="2619">
        <v>37834</v>
      </c>
      <c r="M32" s="2604">
        <v>37865</v>
      </c>
      <c r="N32" s="2619">
        <v>37895</v>
      </c>
      <c r="O32" s="2617">
        <v>37926</v>
      </c>
      <c r="P32" s="2617">
        <v>37956</v>
      </c>
    </row>
    <row r="33" spans="2:16" ht="12.75">
      <c r="B33" s="2624"/>
      <c r="C33" s="2631"/>
      <c r="D33" s="2871"/>
      <c r="E33" s="2620"/>
      <c r="F33" s="2620"/>
      <c r="G33" s="2620"/>
      <c r="H33" s="2620"/>
      <c r="I33" s="2620"/>
      <c r="J33" s="2620"/>
      <c r="K33" s="2620"/>
      <c r="L33" s="2620"/>
      <c r="M33" s="2605"/>
      <c r="N33" s="2620"/>
      <c r="O33" s="2618"/>
      <c r="P33" s="2618"/>
    </row>
    <row r="34" spans="2:16" ht="13.5" thickBot="1">
      <c r="B34" s="2625"/>
      <c r="C34" s="2761"/>
      <c r="D34" s="2872"/>
      <c r="E34" s="2870"/>
      <c r="F34" s="2870"/>
      <c r="G34" s="2870"/>
      <c r="H34" s="2870"/>
      <c r="I34" s="2870"/>
      <c r="J34" s="2870"/>
      <c r="K34" s="2870"/>
      <c r="L34" s="2870"/>
      <c r="M34" s="2740"/>
      <c r="N34" s="2870"/>
      <c r="O34" s="2868"/>
      <c r="P34" s="2868"/>
    </row>
    <row r="35" spans="2:16">
      <c r="B35" s="563" t="s">
        <v>793</v>
      </c>
      <c r="C35" s="2672">
        <v>118</v>
      </c>
      <c r="D35" s="2672"/>
      <c r="E35" s="378">
        <v>245.08</v>
      </c>
      <c r="F35" s="378">
        <v>245.08</v>
      </c>
      <c r="G35" s="378">
        <v>247.92</v>
      </c>
      <c r="H35" s="378">
        <v>247.99</v>
      </c>
      <c r="I35" s="378">
        <v>247.99</v>
      </c>
      <c r="J35" s="378">
        <v>247.99</v>
      </c>
      <c r="K35" s="378">
        <v>247.99</v>
      </c>
      <c r="L35" s="378">
        <v>247.99</v>
      </c>
      <c r="M35" s="378">
        <v>247.99</v>
      </c>
      <c r="N35" s="378">
        <v>247.99</v>
      </c>
      <c r="O35" s="378">
        <v>251.4</v>
      </c>
      <c r="P35" s="541">
        <v>251.06</v>
      </c>
    </row>
    <row r="36" spans="2:16">
      <c r="B36" s="563" t="s">
        <v>794</v>
      </c>
      <c r="C36" s="2626">
        <v>302</v>
      </c>
      <c r="D36" s="2865"/>
      <c r="E36" s="139">
        <v>217.62</v>
      </c>
      <c r="F36" s="139">
        <v>217.6</v>
      </c>
      <c r="G36" s="525">
        <v>219.48</v>
      </c>
      <c r="H36" s="139">
        <v>220.88</v>
      </c>
      <c r="I36" s="139">
        <v>223.55</v>
      </c>
      <c r="J36" s="139">
        <v>224.06</v>
      </c>
      <c r="K36" s="139">
        <v>228.33</v>
      </c>
      <c r="L36" s="139">
        <v>228.29</v>
      </c>
      <c r="M36" s="139">
        <v>230.72</v>
      </c>
      <c r="N36" s="139">
        <v>232.68</v>
      </c>
      <c r="O36" s="140">
        <v>236.17</v>
      </c>
      <c r="P36" s="141">
        <v>239.63</v>
      </c>
    </row>
    <row r="37" spans="2:16">
      <c r="B37" s="372" t="str">
        <f>+B19</f>
        <v>Mano de Obra (Jornal Categoría Ayudante)</v>
      </c>
      <c r="C37" s="2658">
        <v>1</v>
      </c>
      <c r="D37" s="2658"/>
      <c r="E37" s="139">
        <v>1.17</v>
      </c>
      <c r="F37" s="139">
        <v>1.17</v>
      </c>
      <c r="G37" s="525">
        <v>1.17</v>
      </c>
      <c r="H37" s="139">
        <v>1.17</v>
      </c>
      <c r="I37" s="139">
        <v>1.17</v>
      </c>
      <c r="J37" s="139">
        <v>1.17</v>
      </c>
      <c r="K37" s="139">
        <v>1.42</v>
      </c>
      <c r="L37" s="139">
        <v>1.4770000000000001</v>
      </c>
      <c r="M37" s="1259">
        <v>1.617</v>
      </c>
      <c r="N37" s="139">
        <v>1.776</v>
      </c>
      <c r="O37" s="1259">
        <v>1.9350000000000001</v>
      </c>
      <c r="P37" s="1260">
        <v>2.0950000000000002</v>
      </c>
    </row>
    <row r="38" spans="2:16">
      <c r="B38" s="566" t="s">
        <v>784</v>
      </c>
      <c r="C38" s="2626"/>
      <c r="D38" s="2865"/>
      <c r="E38" s="568">
        <v>0.74</v>
      </c>
      <c r="F38" s="568">
        <v>0.74</v>
      </c>
      <c r="G38" s="569">
        <v>0.85</v>
      </c>
      <c r="H38" s="568">
        <v>0.85</v>
      </c>
      <c r="I38" s="568">
        <v>1.1399999999999999</v>
      </c>
      <c r="J38" s="568">
        <v>1.1399999999999999</v>
      </c>
      <c r="K38" s="570">
        <v>0.99399999999999999</v>
      </c>
      <c r="L38" s="570">
        <v>0.85199999999999998</v>
      </c>
      <c r="M38" s="571">
        <v>0.71</v>
      </c>
      <c r="N38" s="570">
        <v>0.56799999999999995</v>
      </c>
      <c r="O38" s="571">
        <v>0.42599999999999999</v>
      </c>
      <c r="P38" s="572">
        <v>0.28399999999999997</v>
      </c>
    </row>
    <row r="39" spans="2:16" ht="16.5" thickBot="1">
      <c r="B39" s="373" t="s">
        <v>785</v>
      </c>
      <c r="C39" s="2661" t="s">
        <v>786</v>
      </c>
      <c r="D39" s="2661"/>
      <c r="E39" s="448">
        <v>26.05</v>
      </c>
      <c r="F39" s="448">
        <v>26.05</v>
      </c>
      <c r="G39" s="573">
        <f t="shared" ref="G39:M39" si="4">+ROUND((G37*7.75*2.25+G38*7.63),2)</f>
        <v>26.89</v>
      </c>
      <c r="H39" s="573">
        <f t="shared" si="4"/>
        <v>26.89</v>
      </c>
      <c r="I39" s="573">
        <f t="shared" si="4"/>
        <v>29.1</v>
      </c>
      <c r="J39" s="573">
        <f t="shared" si="4"/>
        <v>29.1</v>
      </c>
      <c r="K39" s="573">
        <f t="shared" si="4"/>
        <v>32.35</v>
      </c>
      <c r="L39" s="573">
        <f t="shared" si="4"/>
        <v>32.26</v>
      </c>
      <c r="M39" s="573">
        <f t="shared" si="4"/>
        <v>33.61</v>
      </c>
      <c r="N39" s="573">
        <f>+ROUND((N37*8*2.25+N38*8),2)</f>
        <v>36.51</v>
      </c>
      <c r="O39" s="573">
        <f>+ROUND((O37*8*2.25+O38*8),2)</f>
        <v>38.24</v>
      </c>
      <c r="P39" s="503">
        <f>+ROUND((P37*8*2.25+P38*8),2)</f>
        <v>39.979999999999997</v>
      </c>
    </row>
    <row r="40" spans="2:16" ht="16.5" thickBot="1">
      <c r="M40" s="1242"/>
    </row>
    <row r="41" spans="2:16">
      <c r="B41" s="2623" t="s">
        <v>675</v>
      </c>
      <c r="C41" s="2659" t="s">
        <v>795</v>
      </c>
      <c r="D41" s="2866"/>
      <c r="E41" s="516">
        <f t="shared" ref="E41:P41" si="5">+ROUND((E35*100/$E$17),3)</f>
        <v>223.81700000000001</v>
      </c>
      <c r="F41" s="516">
        <f t="shared" si="5"/>
        <v>223.81700000000001</v>
      </c>
      <c r="G41" s="516">
        <f t="shared" si="5"/>
        <v>226.411</v>
      </c>
      <c r="H41" s="516">
        <f t="shared" si="5"/>
        <v>226.47499999999999</v>
      </c>
      <c r="I41" s="516">
        <f t="shared" si="5"/>
        <v>226.47499999999999</v>
      </c>
      <c r="J41" s="516">
        <f t="shared" si="5"/>
        <v>226.47499999999999</v>
      </c>
      <c r="K41" s="516">
        <f t="shared" si="5"/>
        <v>226.47499999999999</v>
      </c>
      <c r="L41" s="516">
        <f t="shared" si="5"/>
        <v>226.47499999999999</v>
      </c>
      <c r="M41" s="516">
        <f t="shared" si="5"/>
        <v>226.47499999999999</v>
      </c>
      <c r="N41" s="516">
        <f t="shared" si="5"/>
        <v>226.47499999999999</v>
      </c>
      <c r="O41" s="516">
        <f t="shared" si="5"/>
        <v>229.589</v>
      </c>
      <c r="P41" s="133">
        <f t="shared" si="5"/>
        <v>229.279</v>
      </c>
    </row>
    <row r="42" spans="2:16">
      <c r="B42" s="2640"/>
      <c r="C42" s="2626" t="s">
        <v>796</v>
      </c>
      <c r="D42" s="2865"/>
      <c r="E42" s="1257">
        <f t="shared" ref="E42:P42" si="6">+ROUND((E36*100/$E$18),2)</f>
        <v>217.62</v>
      </c>
      <c r="F42" s="1257">
        <f t="shared" si="6"/>
        <v>217.6</v>
      </c>
      <c r="G42" s="1257">
        <f t="shared" si="6"/>
        <v>219.48</v>
      </c>
      <c r="H42" s="1257">
        <f t="shared" si="6"/>
        <v>220.88</v>
      </c>
      <c r="I42" s="1257">
        <f t="shared" si="6"/>
        <v>223.55</v>
      </c>
      <c r="J42" s="1257">
        <f t="shared" si="6"/>
        <v>224.06</v>
      </c>
      <c r="K42" s="1257">
        <f t="shared" si="6"/>
        <v>228.33</v>
      </c>
      <c r="L42" s="1257">
        <f t="shared" si="6"/>
        <v>228.29</v>
      </c>
      <c r="M42" s="1257">
        <f t="shared" si="6"/>
        <v>230.72</v>
      </c>
      <c r="N42" s="1257">
        <f t="shared" si="6"/>
        <v>232.68</v>
      </c>
      <c r="O42" s="1257">
        <f t="shared" si="6"/>
        <v>236.17</v>
      </c>
      <c r="P42" s="1258">
        <f t="shared" si="6"/>
        <v>239.63</v>
      </c>
    </row>
    <row r="43" spans="2:16" ht="16.5" thickBot="1">
      <c r="B43" s="2625"/>
      <c r="C43" s="2642" t="s">
        <v>677</v>
      </c>
      <c r="D43" s="2867"/>
      <c r="E43" s="531">
        <f t="shared" ref="E43:P43" si="7">+ROUND(E39*100/$E$21,3)</f>
        <v>127.696</v>
      </c>
      <c r="F43" s="531">
        <f t="shared" si="7"/>
        <v>127.696</v>
      </c>
      <c r="G43" s="531">
        <f t="shared" si="7"/>
        <v>131.81399999999999</v>
      </c>
      <c r="H43" s="531">
        <f t="shared" si="7"/>
        <v>131.81399999999999</v>
      </c>
      <c r="I43" s="531">
        <f t="shared" si="7"/>
        <v>142.64699999999999</v>
      </c>
      <c r="J43" s="531">
        <f t="shared" si="7"/>
        <v>142.64699999999999</v>
      </c>
      <c r="K43" s="531">
        <f t="shared" si="7"/>
        <v>158.578</v>
      </c>
      <c r="L43" s="531">
        <f t="shared" si="7"/>
        <v>158.137</v>
      </c>
      <c r="M43" s="531">
        <f t="shared" si="7"/>
        <v>164.755</v>
      </c>
      <c r="N43" s="531">
        <f t="shared" si="7"/>
        <v>178.971</v>
      </c>
      <c r="O43" s="531">
        <f t="shared" si="7"/>
        <v>187.45099999999999</v>
      </c>
      <c r="P43" s="134">
        <f t="shared" si="7"/>
        <v>195.98</v>
      </c>
    </row>
    <row r="44" spans="2:16" ht="16.5" thickBot="1">
      <c r="D44" s="363"/>
    </row>
    <row r="45" spans="2:16" ht="16.5" thickBot="1">
      <c r="B45" s="2636" t="s">
        <v>797</v>
      </c>
      <c r="C45" s="2637"/>
      <c r="D45" s="2638"/>
      <c r="E45" s="135">
        <f t="shared" ref="E45:P45" si="8">+ROUND(E41*0.3+E42*0.3+E43*0.4,2)</f>
        <v>183.51</v>
      </c>
      <c r="F45" s="135">
        <f t="shared" si="8"/>
        <v>183.5</v>
      </c>
      <c r="G45" s="135">
        <f t="shared" si="8"/>
        <v>186.49</v>
      </c>
      <c r="H45" s="135">
        <f t="shared" si="8"/>
        <v>186.93</v>
      </c>
      <c r="I45" s="135">
        <f t="shared" si="8"/>
        <v>192.07</v>
      </c>
      <c r="J45" s="135">
        <f t="shared" si="8"/>
        <v>192.22</v>
      </c>
      <c r="K45" s="135">
        <f t="shared" si="8"/>
        <v>199.87</v>
      </c>
      <c r="L45" s="135">
        <f t="shared" si="8"/>
        <v>199.68</v>
      </c>
      <c r="M45" s="135">
        <f t="shared" si="8"/>
        <v>203.06</v>
      </c>
      <c r="N45" s="135">
        <f t="shared" si="8"/>
        <v>209.33</v>
      </c>
      <c r="O45" s="135">
        <f t="shared" si="8"/>
        <v>214.71</v>
      </c>
      <c r="P45" s="135">
        <f t="shared" si="8"/>
        <v>219.06</v>
      </c>
    </row>
    <row r="47" spans="2:16" ht="16.5" thickBot="1"/>
    <row r="48" spans="2:16" ht="12.75">
      <c r="B48" s="2623" t="s">
        <v>673</v>
      </c>
      <c r="C48" s="2628" t="s">
        <v>656</v>
      </c>
      <c r="D48" s="2629"/>
      <c r="E48" s="2619">
        <v>37987</v>
      </c>
      <c r="F48" s="2619">
        <v>38018</v>
      </c>
      <c r="G48" s="2619">
        <v>38047</v>
      </c>
      <c r="H48" s="2619">
        <v>38078</v>
      </c>
      <c r="I48" s="2619">
        <v>38108</v>
      </c>
      <c r="J48" s="2619">
        <v>38139</v>
      </c>
      <c r="K48" s="2619">
        <v>38169</v>
      </c>
      <c r="L48" s="2619">
        <v>38200</v>
      </c>
      <c r="M48" s="2604">
        <v>38231</v>
      </c>
      <c r="N48" s="2619">
        <v>38261</v>
      </c>
      <c r="O48" s="2617">
        <v>38292</v>
      </c>
      <c r="P48" s="2617">
        <v>38322</v>
      </c>
    </row>
    <row r="49" spans="2:238" ht="12.75">
      <c r="B49" s="2624"/>
      <c r="C49" s="2631"/>
      <c r="D49" s="2871"/>
      <c r="E49" s="2620"/>
      <c r="F49" s="2620"/>
      <c r="G49" s="2620"/>
      <c r="H49" s="2620"/>
      <c r="I49" s="2620"/>
      <c r="J49" s="2620"/>
      <c r="K49" s="2620"/>
      <c r="L49" s="2620"/>
      <c r="M49" s="2605"/>
      <c r="N49" s="2620"/>
      <c r="O49" s="2618"/>
      <c r="P49" s="2618"/>
    </row>
    <row r="50" spans="2:238" ht="13.5" thickBot="1">
      <c r="B50" s="2625"/>
      <c r="C50" s="2761"/>
      <c r="D50" s="2872"/>
      <c r="E50" s="2870"/>
      <c r="F50" s="2870"/>
      <c r="G50" s="2870"/>
      <c r="H50" s="2870"/>
      <c r="I50" s="2870"/>
      <c r="J50" s="2870"/>
      <c r="K50" s="2870"/>
      <c r="L50" s="2870"/>
      <c r="M50" s="2740"/>
      <c r="N50" s="2870"/>
      <c r="O50" s="2868"/>
      <c r="P50" s="2868"/>
    </row>
    <row r="51" spans="2:238">
      <c r="B51" s="563" t="s">
        <v>793</v>
      </c>
      <c r="C51" s="2672">
        <v>118</v>
      </c>
      <c r="D51" s="2672"/>
      <c r="E51" s="378">
        <v>251.06</v>
      </c>
      <c r="F51" s="378">
        <v>264.77999999999997</v>
      </c>
      <c r="G51" s="378">
        <v>276.06</v>
      </c>
      <c r="H51" s="378">
        <v>280.27999999999997</v>
      </c>
      <c r="I51" s="378">
        <v>323.83</v>
      </c>
      <c r="J51" s="378">
        <v>335.98</v>
      </c>
      <c r="K51" s="378">
        <v>335.89</v>
      </c>
      <c r="L51" s="378">
        <v>335.89</v>
      </c>
      <c r="M51" s="378">
        <v>335.89</v>
      </c>
      <c r="N51" s="378">
        <f>+'TABLA FINAL '!AS138</f>
        <v>335.89</v>
      </c>
      <c r="O51" s="421">
        <f>+'TABLA FINAL '!AT138</f>
        <v>369.92</v>
      </c>
      <c r="P51" s="422">
        <f>+'TABLA FINAL '!AU138</f>
        <v>369.92</v>
      </c>
    </row>
    <row r="52" spans="2:238">
      <c r="B52" s="563" t="s">
        <v>794</v>
      </c>
      <c r="C52" s="2626">
        <v>302</v>
      </c>
      <c r="D52" s="2865"/>
      <c r="E52" s="139">
        <v>222.23</v>
      </c>
      <c r="F52" s="139">
        <v>211.41</v>
      </c>
      <c r="G52" s="525">
        <v>220.41</v>
      </c>
      <c r="H52" s="139">
        <v>266.73</v>
      </c>
      <c r="I52" s="139">
        <v>273.52999999999997</v>
      </c>
      <c r="J52" s="139">
        <v>277.99</v>
      </c>
      <c r="K52" s="139">
        <v>278.89</v>
      </c>
      <c r="L52" s="139">
        <v>279.92</v>
      </c>
      <c r="M52" s="139">
        <v>281.01</v>
      </c>
      <c r="N52" s="139">
        <f>+'ANEXO B'!M95</f>
        <v>284.93</v>
      </c>
      <c r="O52" s="139">
        <f>+'ANEXO B'!N95</f>
        <v>286.45</v>
      </c>
      <c r="P52" s="141">
        <f>+'ANEXO B'!O95</f>
        <v>286.63</v>
      </c>
      <c r="ID52" s="15"/>
    </row>
    <row r="53" spans="2:238">
      <c r="B53" s="372" t="str">
        <f>+B37</f>
        <v>Mano de Obra (Jornal Categoría Ayudante)</v>
      </c>
      <c r="C53" s="2658">
        <v>1</v>
      </c>
      <c r="D53" s="2658"/>
      <c r="E53" s="139">
        <v>2.254</v>
      </c>
      <c r="F53" s="139">
        <v>2.41</v>
      </c>
      <c r="G53" s="139">
        <v>2.41</v>
      </c>
      <c r="H53" s="139">
        <v>2.41</v>
      </c>
      <c r="I53" s="139">
        <v>2.41</v>
      </c>
      <c r="J53" s="139">
        <v>2.41</v>
      </c>
      <c r="K53" s="139">
        <v>2.41</v>
      </c>
      <c r="L53" s="139">
        <v>2.41</v>
      </c>
      <c r="M53" s="139">
        <v>2.41</v>
      </c>
      <c r="N53" s="139">
        <v>2.41</v>
      </c>
      <c r="O53" s="139">
        <v>2.41</v>
      </c>
      <c r="P53" s="141">
        <v>2.41</v>
      </c>
    </row>
    <row r="54" spans="2:238">
      <c r="B54" s="566" t="s">
        <v>784</v>
      </c>
      <c r="C54" s="2626"/>
      <c r="D54" s="2865"/>
      <c r="E54" s="568">
        <v>0.42599999999999999</v>
      </c>
      <c r="F54" s="568">
        <v>0.28399999999999997</v>
      </c>
      <c r="G54" s="569">
        <v>0.28399999999999997</v>
      </c>
      <c r="H54" s="568">
        <v>0.28399999999999997</v>
      </c>
      <c r="I54" s="568">
        <v>0.28399999999999997</v>
      </c>
      <c r="J54" s="568">
        <v>0.28000000000000003</v>
      </c>
      <c r="K54" s="570">
        <v>0.28000000000000003</v>
      </c>
      <c r="L54" s="570">
        <v>0.28000000000000003</v>
      </c>
      <c r="M54" s="139">
        <f>+'ANEXO G'!M48</f>
        <v>0.28399999999999997</v>
      </c>
      <c r="N54" s="570">
        <f>+M54</f>
        <v>0.28399999999999997</v>
      </c>
      <c r="O54" s="570">
        <f>+N54</f>
        <v>0.28399999999999997</v>
      </c>
      <c r="P54" s="572">
        <f>+O54</f>
        <v>0.28399999999999997</v>
      </c>
    </row>
    <row r="55" spans="2:238" ht="16.5" thickBot="1">
      <c r="B55" s="373" t="s">
        <v>785</v>
      </c>
      <c r="C55" s="2661" t="s">
        <v>786</v>
      </c>
      <c r="D55" s="2661"/>
      <c r="E55" s="448">
        <f t="shared" ref="E55:P55" si="9">E53*8*2.2521+E54*8</f>
        <v>44.017867199999998</v>
      </c>
      <c r="F55" s="448">
        <f t="shared" si="9"/>
        <v>45.692487999999997</v>
      </c>
      <c r="G55" s="448">
        <f t="shared" si="9"/>
        <v>45.692487999999997</v>
      </c>
      <c r="H55" s="448">
        <f t="shared" si="9"/>
        <v>45.692487999999997</v>
      </c>
      <c r="I55" s="448">
        <f t="shared" si="9"/>
        <v>45.692487999999997</v>
      </c>
      <c r="J55" s="448">
        <f t="shared" si="9"/>
        <v>45.660488000000001</v>
      </c>
      <c r="K55" s="448">
        <f t="shared" si="9"/>
        <v>45.660488000000001</v>
      </c>
      <c r="L55" s="448">
        <f t="shared" si="9"/>
        <v>45.660488000000001</v>
      </c>
      <c r="M55" s="448">
        <f t="shared" si="9"/>
        <v>45.692487999999997</v>
      </c>
      <c r="N55" s="448">
        <f t="shared" si="9"/>
        <v>45.692487999999997</v>
      </c>
      <c r="O55" s="448">
        <f t="shared" si="9"/>
        <v>45.692487999999997</v>
      </c>
      <c r="P55" s="131">
        <f t="shared" si="9"/>
        <v>45.692487999999997</v>
      </c>
    </row>
    <row r="56" spans="2:238" ht="16.5" thickBot="1">
      <c r="M56" s="1242"/>
    </row>
    <row r="57" spans="2:238">
      <c r="B57" s="2623" t="s">
        <v>675</v>
      </c>
      <c r="C57" s="2659" t="s">
        <v>795</v>
      </c>
      <c r="D57" s="2866"/>
      <c r="E57" s="516">
        <f t="shared" ref="E57:K57" si="10">+ROUND((E51*100/$E$17),3)</f>
        <v>229.279</v>
      </c>
      <c r="F57" s="516">
        <f t="shared" si="10"/>
        <v>241.80799999999999</v>
      </c>
      <c r="G57" s="516">
        <f t="shared" si="10"/>
        <v>252.11</v>
      </c>
      <c r="H57" s="516">
        <f t="shared" si="10"/>
        <v>255.96299999999999</v>
      </c>
      <c r="I57" s="516">
        <f t="shared" si="10"/>
        <v>295.73500000000001</v>
      </c>
      <c r="J57" s="516">
        <f t="shared" si="10"/>
        <v>306.83100000000002</v>
      </c>
      <c r="K57" s="516">
        <f t="shared" si="10"/>
        <v>306.74900000000002</v>
      </c>
      <c r="L57" s="516">
        <f>+ROUND((L51*100/$E$17),3)</f>
        <v>306.74900000000002</v>
      </c>
      <c r="M57" s="516">
        <f>+ROUND((M51*100/$E$17),3)</f>
        <v>306.74900000000002</v>
      </c>
      <c r="N57" s="516">
        <f>+ROUND((N51*100/$E$17),3)</f>
        <v>306.74900000000002</v>
      </c>
      <c r="O57" s="421">
        <f>+ROUND((O51*100/$E$17),3)</f>
        <v>337.82600000000002</v>
      </c>
      <c r="P57" s="422">
        <f>+ROUND((P51*100/$E$17),3)</f>
        <v>337.82600000000002</v>
      </c>
    </row>
    <row r="58" spans="2:238">
      <c r="B58" s="2640"/>
      <c r="C58" s="2626" t="s">
        <v>796</v>
      </c>
      <c r="D58" s="2865"/>
      <c r="E58" s="1257">
        <f t="shared" ref="E58:K58" si="11">+ROUND((E52*100/$E$18),2)</f>
        <v>222.23</v>
      </c>
      <c r="F58" s="1257">
        <f t="shared" si="11"/>
        <v>211.41</v>
      </c>
      <c r="G58" s="1257">
        <f t="shared" si="11"/>
        <v>220.41</v>
      </c>
      <c r="H58" s="1257">
        <f t="shared" si="11"/>
        <v>266.73</v>
      </c>
      <c r="I58" s="1257">
        <f t="shared" si="11"/>
        <v>273.52999999999997</v>
      </c>
      <c r="J58" s="1257">
        <f t="shared" si="11"/>
        <v>277.99</v>
      </c>
      <c r="K58" s="1257">
        <f t="shared" si="11"/>
        <v>278.89</v>
      </c>
      <c r="L58" s="1257">
        <f>+ROUND((L52*100/$E$18),2)</f>
        <v>279.92</v>
      </c>
      <c r="M58" s="1257">
        <f>+ROUND((M52*100/$E$18),2)</f>
        <v>281.01</v>
      </c>
      <c r="N58" s="1257">
        <f>+ROUND((N52*100/$E$18),2)</f>
        <v>284.93</v>
      </c>
      <c r="O58" s="1261">
        <f>+ROUND((O52*100/$E$18),2)</f>
        <v>286.45</v>
      </c>
      <c r="P58" s="1262">
        <f>+ROUND((P52*100/$E$18),2)</f>
        <v>286.63</v>
      </c>
    </row>
    <row r="59" spans="2:238" ht="16.5" thickBot="1">
      <c r="B59" s="2625"/>
      <c r="C59" s="2642" t="s">
        <v>677</v>
      </c>
      <c r="D59" s="2867"/>
      <c r="E59" s="531">
        <f t="shared" ref="E59:K59" si="12">+ROUND(E55*100/$E$21,3)</f>
        <v>215.774</v>
      </c>
      <c r="F59" s="531">
        <f t="shared" si="12"/>
        <v>223.983</v>
      </c>
      <c r="G59" s="531">
        <f t="shared" si="12"/>
        <v>223.983</v>
      </c>
      <c r="H59" s="531">
        <f t="shared" si="12"/>
        <v>223.983</v>
      </c>
      <c r="I59" s="531">
        <f t="shared" si="12"/>
        <v>223.983</v>
      </c>
      <c r="J59" s="531">
        <f t="shared" si="12"/>
        <v>223.82599999999999</v>
      </c>
      <c r="K59" s="531">
        <f t="shared" si="12"/>
        <v>223.82599999999999</v>
      </c>
      <c r="L59" s="531">
        <f>+ROUND(L55*100/$E$21,3)</f>
        <v>223.82599999999999</v>
      </c>
      <c r="M59" s="531">
        <f>+ROUND(M55*100/$E$21,3)</f>
        <v>223.983</v>
      </c>
      <c r="N59" s="531">
        <f>+ROUND(N55*100/$E$21,3)</f>
        <v>223.983</v>
      </c>
      <c r="O59" s="573">
        <f>+ROUND(O55*100/$E$21,3)</f>
        <v>223.983</v>
      </c>
      <c r="P59" s="503">
        <f>+ROUND(P55*100/$E$21,3)</f>
        <v>223.983</v>
      </c>
    </row>
    <row r="60" spans="2:238" ht="16.5" thickBot="1">
      <c r="D60" s="363"/>
    </row>
    <row r="61" spans="2:238" ht="16.5" thickBot="1">
      <c r="B61" s="2636" t="s">
        <v>797</v>
      </c>
      <c r="C61" s="2637"/>
      <c r="D61" s="2638"/>
      <c r="E61" s="135">
        <f t="shared" ref="E61:L61" si="13">+ROUND(E57*0.3+E58*0.3+E59*0.4,2)</f>
        <v>221.76</v>
      </c>
      <c r="F61" s="135">
        <f t="shared" si="13"/>
        <v>225.56</v>
      </c>
      <c r="G61" s="135">
        <f t="shared" si="13"/>
        <v>231.35</v>
      </c>
      <c r="H61" s="135">
        <f t="shared" si="13"/>
        <v>246.4</v>
      </c>
      <c r="I61" s="135">
        <f t="shared" si="13"/>
        <v>260.37</v>
      </c>
      <c r="J61" s="135">
        <f t="shared" si="13"/>
        <v>264.98</v>
      </c>
      <c r="K61" s="135">
        <f t="shared" si="13"/>
        <v>265.22000000000003</v>
      </c>
      <c r="L61" s="135">
        <f t="shared" si="13"/>
        <v>265.52999999999997</v>
      </c>
      <c r="M61" s="135">
        <f>+ROUND(M57*0.3+M58*0.3+M59*0.4,2)</f>
        <v>265.92</v>
      </c>
      <c r="N61" s="135">
        <f>+ROUND(N57*0.3+N58*0.3+N59*0.4,2)</f>
        <v>267.10000000000002</v>
      </c>
      <c r="O61" s="135">
        <f>+ROUND(O57*0.3+O58*0.3+O59*0.4,2)</f>
        <v>276.88</v>
      </c>
      <c r="P61" s="136">
        <f>+ROUND(P57*0.3+P58*0.3+P59*0.4,2)</f>
        <v>276.93</v>
      </c>
    </row>
    <row r="63" spans="2:238" ht="16.5" thickBot="1"/>
    <row r="64" spans="2:238" ht="12.75">
      <c r="B64" s="2623" t="s">
        <v>673</v>
      </c>
      <c r="C64" s="2628" t="s">
        <v>656</v>
      </c>
      <c r="D64" s="2629"/>
      <c r="E64" s="2619">
        <v>38353</v>
      </c>
      <c r="F64" s="2619">
        <v>38384</v>
      </c>
      <c r="G64" s="2619">
        <v>38412</v>
      </c>
      <c r="H64" s="2619">
        <v>38443</v>
      </c>
      <c r="I64" s="2619">
        <v>38473</v>
      </c>
      <c r="J64" s="2619">
        <v>38504</v>
      </c>
      <c r="K64" s="2619">
        <v>38534</v>
      </c>
      <c r="L64" s="2619">
        <v>38565</v>
      </c>
      <c r="M64" s="2619">
        <v>38596</v>
      </c>
      <c r="N64" s="2619">
        <v>38626</v>
      </c>
      <c r="O64" s="2619">
        <v>38657</v>
      </c>
      <c r="P64" s="2617">
        <v>38687</v>
      </c>
    </row>
    <row r="65" spans="2:238" ht="12.75">
      <c r="B65" s="2624"/>
      <c r="C65" s="2631"/>
      <c r="D65" s="2871"/>
      <c r="E65" s="2620"/>
      <c r="F65" s="2620"/>
      <c r="G65" s="2620"/>
      <c r="H65" s="2620"/>
      <c r="I65" s="2620"/>
      <c r="J65" s="2620"/>
      <c r="K65" s="2620"/>
      <c r="L65" s="2620"/>
      <c r="M65" s="2620"/>
      <c r="N65" s="2620"/>
      <c r="O65" s="2620"/>
      <c r="P65" s="2618"/>
    </row>
    <row r="66" spans="2:238" ht="13.5" thickBot="1">
      <c r="B66" s="2625"/>
      <c r="C66" s="2761"/>
      <c r="D66" s="2872"/>
      <c r="E66" s="2870"/>
      <c r="F66" s="2870"/>
      <c r="G66" s="2870"/>
      <c r="H66" s="2870"/>
      <c r="I66" s="2870"/>
      <c r="J66" s="2870"/>
      <c r="K66" s="2870"/>
      <c r="L66" s="2870"/>
      <c r="M66" s="2870"/>
      <c r="N66" s="2870"/>
      <c r="O66" s="2870"/>
      <c r="P66" s="2868"/>
    </row>
    <row r="67" spans="2:238">
      <c r="B67" s="563" t="s">
        <v>793</v>
      </c>
      <c r="C67" s="2672">
        <v>118</v>
      </c>
      <c r="D67" s="2672"/>
      <c r="E67" s="378">
        <f>+'TABLA FINAL '!AV138</f>
        <v>369.92</v>
      </c>
      <c r="F67" s="378">
        <f>+'TABLA FINAL '!AW138</f>
        <v>369.92</v>
      </c>
      <c r="G67" s="378">
        <f>+'TABLA FINAL '!AX138</f>
        <v>369.92</v>
      </c>
      <c r="H67" s="378">
        <f>+'TABLA FINAL '!AY138</f>
        <v>382.99</v>
      </c>
      <c r="I67" s="378">
        <f>+'TABLA FINAL '!AZ138</f>
        <v>382.99</v>
      </c>
      <c r="J67" s="378">
        <f>+'TABLA FINAL '!BA138</f>
        <v>382.99</v>
      </c>
      <c r="K67" s="378">
        <f>+'TABLA FINAL '!BB138</f>
        <v>387.31</v>
      </c>
      <c r="L67" s="378">
        <f>+'TABLA FINAL '!BC138</f>
        <v>387.31</v>
      </c>
      <c r="M67" s="378">
        <f>+'TABLA FINAL '!BD138</f>
        <v>387.31</v>
      </c>
      <c r="N67" s="378">
        <f>+'TABLA FINAL '!BE138</f>
        <v>387.31</v>
      </c>
      <c r="O67" s="378">
        <f>+'TABLA FINAL '!BF138</f>
        <v>387.31</v>
      </c>
      <c r="P67" s="541">
        <f>+'TABLA FINAL '!BG138</f>
        <v>387.31</v>
      </c>
    </row>
    <row r="68" spans="2:238">
      <c r="B68" s="563" t="s">
        <v>794</v>
      </c>
      <c r="C68" s="2626">
        <v>302</v>
      </c>
      <c r="D68" s="2865"/>
      <c r="E68" s="139">
        <f>+'TABLA FINAL '!AV187</f>
        <v>290.56</v>
      </c>
      <c r="F68" s="139">
        <f>+'TABLA FINAL '!AW187</f>
        <v>292.25</v>
      </c>
      <c r="G68" s="139">
        <f>+'TABLA FINAL '!AX187</f>
        <v>298.17</v>
      </c>
      <c r="H68" s="139">
        <f>+'TABLA FINAL '!AY187</f>
        <v>301.97000000000003</v>
      </c>
      <c r="I68" s="139">
        <f>+'TABLA FINAL '!AZ187</f>
        <v>301.87</v>
      </c>
      <c r="J68" s="139">
        <f>+'TABLA FINAL '!BA187</f>
        <v>301.69</v>
      </c>
      <c r="K68" s="139">
        <f>+'TABLA FINAL '!BB187</f>
        <v>301.68</v>
      </c>
      <c r="L68" s="139">
        <f>+'TABLA FINAL '!BC187</f>
        <v>301.31</v>
      </c>
      <c r="M68" s="139">
        <f>+'TABLA FINAL '!BD187</f>
        <v>301.89999999999998</v>
      </c>
      <c r="N68" s="139">
        <f>+'TABLA FINAL '!BE187</f>
        <v>304.02</v>
      </c>
      <c r="O68" s="139">
        <f>+'TABLA FINAL '!BF187</f>
        <v>314.69</v>
      </c>
      <c r="P68" s="141">
        <f>+'TABLA FINAL '!BG187</f>
        <v>315.44</v>
      </c>
      <c r="ID68" s="15"/>
    </row>
    <row r="69" spans="2:238">
      <c r="B69" s="372" t="str">
        <f>+B53</f>
        <v>Mano de Obra (Jornal Categoría Ayudante)</v>
      </c>
      <c r="C69" s="2658">
        <v>1</v>
      </c>
      <c r="D69" s="2658"/>
      <c r="E69" s="139">
        <f>+'TABLA FINAL '!AV5</f>
        <v>2.4129999999999998</v>
      </c>
      <c r="F69" s="139">
        <f>+'TABLA FINAL '!AW5</f>
        <v>2.4129999999999998</v>
      </c>
      <c r="G69" s="139">
        <f>+'TABLA FINAL '!AX5</f>
        <v>2.56</v>
      </c>
      <c r="H69" s="139">
        <f>+'TABLA FINAL '!AY5</f>
        <v>2.9</v>
      </c>
      <c r="I69" s="139">
        <f>+'TABLA FINAL '!AZ5</f>
        <v>2.9</v>
      </c>
      <c r="J69" s="139">
        <f>+'TABLA FINAL '!BA5</f>
        <v>2.9</v>
      </c>
      <c r="K69" s="139">
        <f>+'TABLA FINAL '!BB5</f>
        <v>2.9</v>
      </c>
      <c r="L69" s="139">
        <f>+'TABLA FINAL '!BC5</f>
        <v>2.9</v>
      </c>
      <c r="M69" s="139">
        <f>+'TABLA FINAL '!BD5</f>
        <v>2.9</v>
      </c>
      <c r="N69" s="139">
        <f>+'TABLA FINAL '!BE5</f>
        <v>2.9</v>
      </c>
      <c r="O69" s="139">
        <f>+'TABLA FINAL '!BF5</f>
        <v>3.58</v>
      </c>
      <c r="P69" s="141">
        <f>+'TABLA FINAL '!BG5</f>
        <v>3.58</v>
      </c>
    </row>
    <row r="70" spans="2:238">
      <c r="B70" s="566" t="s">
        <v>784</v>
      </c>
      <c r="C70" s="2626"/>
      <c r="D70" s="2865"/>
      <c r="E70" s="568">
        <f>+'TABLA FINAL '!AV10</f>
        <v>0.85199999999999998</v>
      </c>
      <c r="F70" s="568">
        <f>+'TABLA FINAL '!AW10</f>
        <v>0.85199999999999998</v>
      </c>
      <c r="G70" s="568">
        <f>+'ANEXO G'!G62</f>
        <v>1.282</v>
      </c>
      <c r="H70" s="568">
        <f>+'ANEXO G'!H62</f>
        <v>1</v>
      </c>
      <c r="I70" s="568">
        <f>+'ANEXO G'!I62</f>
        <v>1</v>
      </c>
      <c r="J70" s="568">
        <f>+'ANEXO G'!J62</f>
        <v>1</v>
      </c>
      <c r="K70" s="568">
        <f>+'ANEXO G'!K62</f>
        <v>1</v>
      </c>
      <c r="L70" s="568">
        <f>+'ANEXO G'!L62</f>
        <v>1</v>
      </c>
      <c r="M70" s="568">
        <f>+'ANEXO G'!M62</f>
        <v>1</v>
      </c>
      <c r="N70" s="568">
        <f>+'ANEXO G'!N62</f>
        <v>1</v>
      </c>
      <c r="O70" s="568">
        <f>+'ANEXO G'!O62</f>
        <v>0.90900000000000003</v>
      </c>
      <c r="P70" s="575">
        <f>+'ANEXO G'!P62</f>
        <v>0.90900000000000003</v>
      </c>
    </row>
    <row r="71" spans="2:238" ht="16.5" thickBot="1">
      <c r="B71" s="373" t="s">
        <v>785</v>
      </c>
      <c r="C71" s="2661" t="s">
        <v>786</v>
      </c>
      <c r="D71" s="2661"/>
      <c r="E71" s="448">
        <f t="shared" ref="E71:P71" si="14">E69*8*2.2521+E70*8</f>
        <v>50.290538399999996</v>
      </c>
      <c r="F71" s="448">
        <f t="shared" si="14"/>
        <v>50.290538399999996</v>
      </c>
      <c r="G71" s="448">
        <f t="shared" si="14"/>
        <v>56.379007999999999</v>
      </c>
      <c r="H71" s="448">
        <f t="shared" si="14"/>
        <v>60.248719999999999</v>
      </c>
      <c r="I71" s="448">
        <f t="shared" si="14"/>
        <v>60.248719999999999</v>
      </c>
      <c r="J71" s="448">
        <f t="shared" si="14"/>
        <v>60.248719999999999</v>
      </c>
      <c r="K71" s="448">
        <f t="shared" si="14"/>
        <v>60.248719999999999</v>
      </c>
      <c r="L71" s="448">
        <f t="shared" si="14"/>
        <v>60.248719999999999</v>
      </c>
      <c r="M71" s="448">
        <f t="shared" si="14"/>
        <v>60.248719999999999</v>
      </c>
      <c r="N71" s="448">
        <f t="shared" si="14"/>
        <v>60.248719999999999</v>
      </c>
      <c r="O71" s="448">
        <f t="shared" si="14"/>
        <v>71.772144000000011</v>
      </c>
      <c r="P71" s="131">
        <f t="shared" si="14"/>
        <v>71.772144000000011</v>
      </c>
    </row>
    <row r="72" spans="2:238" ht="16.5" thickBot="1">
      <c r="M72" s="1242"/>
    </row>
    <row r="73" spans="2:238">
      <c r="B73" s="2623" t="s">
        <v>675</v>
      </c>
      <c r="C73" s="2659" t="s">
        <v>795</v>
      </c>
      <c r="D73" s="2866"/>
      <c r="E73" s="516">
        <f t="shared" ref="E73:K73" si="15">+ROUND((E67*100/$E$17),3)</f>
        <v>337.82600000000002</v>
      </c>
      <c r="F73" s="516">
        <f t="shared" si="15"/>
        <v>337.82600000000002</v>
      </c>
      <c r="G73" s="516">
        <f t="shared" si="15"/>
        <v>337.82600000000002</v>
      </c>
      <c r="H73" s="421">
        <f t="shared" si="15"/>
        <v>349.76299999999998</v>
      </c>
      <c r="I73" s="516">
        <f t="shared" si="15"/>
        <v>349.76299999999998</v>
      </c>
      <c r="J73" s="516">
        <f t="shared" si="15"/>
        <v>349.76299999999998</v>
      </c>
      <c r="K73" s="516">
        <f t="shared" si="15"/>
        <v>353.70800000000003</v>
      </c>
      <c r="L73" s="516">
        <f>+ROUND((L67*100/$E$17),3)</f>
        <v>353.70800000000003</v>
      </c>
      <c r="M73" s="516">
        <f>+ROUND((M67*100/$E$17),3)</f>
        <v>353.70800000000003</v>
      </c>
      <c r="N73" s="516">
        <f>+ROUND((N67*100/$E$17),3)</f>
        <v>353.70800000000003</v>
      </c>
      <c r="O73" s="421">
        <f>+ROUND((O67*100/$E$17),3)</f>
        <v>353.70800000000003</v>
      </c>
      <c r="P73" s="422">
        <f>+ROUND((P67*100/$E$17),3)</f>
        <v>353.70800000000003</v>
      </c>
    </row>
    <row r="74" spans="2:238">
      <c r="B74" s="2640"/>
      <c r="C74" s="2626" t="s">
        <v>796</v>
      </c>
      <c r="D74" s="2865"/>
      <c r="E74" s="1257">
        <f t="shared" ref="E74:K74" si="16">+ROUND((E68*100/$E$18),2)</f>
        <v>290.56</v>
      </c>
      <c r="F74" s="1257">
        <f t="shared" si="16"/>
        <v>292.25</v>
      </c>
      <c r="G74" s="1257">
        <f t="shared" si="16"/>
        <v>298.17</v>
      </c>
      <c r="H74" s="1261">
        <f t="shared" si="16"/>
        <v>301.97000000000003</v>
      </c>
      <c r="I74" s="1257">
        <f t="shared" si="16"/>
        <v>301.87</v>
      </c>
      <c r="J74" s="1257">
        <f t="shared" si="16"/>
        <v>301.69</v>
      </c>
      <c r="K74" s="1257">
        <f t="shared" si="16"/>
        <v>301.68</v>
      </c>
      <c r="L74" s="1257">
        <f>+ROUND((L68*100/$E$18),2)</f>
        <v>301.31</v>
      </c>
      <c r="M74" s="1257">
        <f>+ROUND((M68*100/$E$18),2)</f>
        <v>301.89999999999998</v>
      </c>
      <c r="N74" s="1257">
        <f>+ROUND((N68*100/$E$18),2)</f>
        <v>304.02</v>
      </c>
      <c r="O74" s="1261">
        <f>+ROUND((O68*100/$E$18),2)</f>
        <v>314.69</v>
      </c>
      <c r="P74" s="1262">
        <f>+ROUND((P68*100/$E$18),2)</f>
        <v>315.44</v>
      </c>
    </row>
    <row r="75" spans="2:238" ht="16.5" thickBot="1">
      <c r="B75" s="2625"/>
      <c r="C75" s="2642" t="s">
        <v>677</v>
      </c>
      <c r="D75" s="2867"/>
      <c r="E75" s="531">
        <f t="shared" ref="E75:K75" si="17">+ROUND(E71*100/$E$21,3)</f>
        <v>246.52199999999999</v>
      </c>
      <c r="F75" s="531">
        <f t="shared" si="17"/>
        <v>246.52199999999999</v>
      </c>
      <c r="G75" s="531">
        <f t="shared" si="17"/>
        <v>276.36799999999999</v>
      </c>
      <c r="H75" s="573">
        <f t="shared" si="17"/>
        <v>295.33699999999999</v>
      </c>
      <c r="I75" s="531">
        <f t="shared" si="17"/>
        <v>295.33699999999999</v>
      </c>
      <c r="J75" s="531">
        <f t="shared" si="17"/>
        <v>295.33699999999999</v>
      </c>
      <c r="K75" s="531">
        <f t="shared" si="17"/>
        <v>295.33699999999999</v>
      </c>
      <c r="L75" s="531">
        <f>+ROUND(L71*100/$E$21,3)</f>
        <v>295.33699999999999</v>
      </c>
      <c r="M75" s="531">
        <f>+ROUND(M71*100/$E$21,3)</f>
        <v>295.33699999999999</v>
      </c>
      <c r="N75" s="531">
        <f>+ROUND(N71*100/$E$21,3)</f>
        <v>295.33699999999999</v>
      </c>
      <c r="O75" s="573">
        <f>+ROUND(O71*100/$E$21,3)</f>
        <v>351.82400000000001</v>
      </c>
      <c r="P75" s="503">
        <f>+ROUND(P71*100/$E$21,3)</f>
        <v>351.82400000000001</v>
      </c>
    </row>
    <row r="76" spans="2:238" ht="16.5" thickBot="1">
      <c r="D76" s="363"/>
    </row>
    <row r="77" spans="2:238" ht="16.5" thickBot="1">
      <c r="B77" s="2636" t="s">
        <v>797</v>
      </c>
      <c r="C77" s="2637"/>
      <c r="D77" s="2638"/>
      <c r="E77" s="135">
        <f t="shared" ref="E77:L77" si="18">+ROUND(E73*0.3+E74*0.3+E75*0.4,2)</f>
        <v>287.12</v>
      </c>
      <c r="F77" s="135">
        <f t="shared" si="18"/>
        <v>287.63</v>
      </c>
      <c r="G77" s="135">
        <f t="shared" si="18"/>
        <v>301.35000000000002</v>
      </c>
      <c r="H77" s="135">
        <f t="shared" si="18"/>
        <v>313.64999999999998</v>
      </c>
      <c r="I77" s="135">
        <f t="shared" si="18"/>
        <v>313.62</v>
      </c>
      <c r="J77" s="135">
        <f t="shared" si="18"/>
        <v>313.57</v>
      </c>
      <c r="K77" s="135">
        <f t="shared" si="18"/>
        <v>314.75</v>
      </c>
      <c r="L77" s="135">
        <f t="shared" si="18"/>
        <v>314.64</v>
      </c>
      <c r="M77" s="135">
        <f>+ROUND(M73*0.3+M74*0.3+M75*0.4,2)</f>
        <v>314.82</v>
      </c>
      <c r="N77" s="135">
        <f>+ROUND(N73*0.3+N74*0.3+N75*0.4,2)</f>
        <v>315.45</v>
      </c>
      <c r="O77" s="135">
        <f>+ROUND(O73*0.3+O74*0.3+O75*0.4,2)</f>
        <v>341.25</v>
      </c>
      <c r="P77" s="136">
        <f>+ROUND(P73*0.3+P74*0.3+P75*0.4,2)</f>
        <v>341.47</v>
      </c>
    </row>
    <row r="78" spans="2:238" ht="16.5" thickBot="1"/>
    <row r="79" spans="2:238" ht="12.75">
      <c r="B79" s="2623" t="s">
        <v>673</v>
      </c>
      <c r="C79" s="2628" t="s">
        <v>656</v>
      </c>
      <c r="D79" s="2629"/>
      <c r="E79" s="2619">
        <v>38718</v>
      </c>
      <c r="F79" s="2619">
        <v>38749</v>
      </c>
      <c r="G79" s="2619">
        <v>38777</v>
      </c>
      <c r="H79" s="2619">
        <v>38808</v>
      </c>
      <c r="I79" s="2619">
        <v>38838</v>
      </c>
      <c r="J79" s="2619">
        <v>38869</v>
      </c>
      <c r="K79" s="2619">
        <v>38899</v>
      </c>
      <c r="L79" s="2619">
        <v>38930</v>
      </c>
      <c r="M79" s="2619">
        <v>38961</v>
      </c>
      <c r="N79" s="2619">
        <v>38991</v>
      </c>
      <c r="O79" s="2619">
        <v>39022</v>
      </c>
      <c r="P79" s="2617">
        <v>39052</v>
      </c>
    </row>
    <row r="80" spans="2:238" ht="12.75">
      <c r="B80" s="2624"/>
      <c r="C80" s="2631"/>
      <c r="D80" s="2871"/>
      <c r="E80" s="2620"/>
      <c r="F80" s="2620"/>
      <c r="G80" s="2620"/>
      <c r="H80" s="2620"/>
      <c r="I80" s="2620"/>
      <c r="J80" s="2620"/>
      <c r="K80" s="2620"/>
      <c r="L80" s="2620"/>
      <c r="M80" s="2620"/>
      <c r="N80" s="2620"/>
      <c r="O80" s="2620"/>
      <c r="P80" s="2618"/>
    </row>
    <row r="81" spans="2:238" ht="13.5" thickBot="1">
      <c r="B81" s="2625"/>
      <c r="C81" s="2761"/>
      <c r="D81" s="2872"/>
      <c r="E81" s="2870"/>
      <c r="F81" s="2870"/>
      <c r="G81" s="2870"/>
      <c r="H81" s="2870"/>
      <c r="I81" s="2870"/>
      <c r="J81" s="2870"/>
      <c r="K81" s="2870"/>
      <c r="L81" s="2870"/>
      <c r="M81" s="2870"/>
      <c r="N81" s="2870"/>
      <c r="O81" s="2870"/>
      <c r="P81" s="2868"/>
    </row>
    <row r="82" spans="2:238">
      <c r="B82" s="563" t="s">
        <v>793</v>
      </c>
      <c r="C82" s="2672">
        <v>118</v>
      </c>
      <c r="D82" s="2672"/>
      <c r="E82" s="378">
        <f>+'TABLA FINAL '!BH138</f>
        <v>387.31</v>
      </c>
      <c r="F82" s="378">
        <f>+'TABLA FINAL '!BI138</f>
        <v>387.31</v>
      </c>
      <c r="G82" s="378">
        <f>+'TABLA FINAL '!BJ138</f>
        <v>398.74</v>
      </c>
      <c r="H82" s="378">
        <f>+'TABLA FINAL '!BK138</f>
        <v>398.74</v>
      </c>
      <c r="I82" s="378">
        <f>+'TABLA FINAL '!BL138</f>
        <v>398.74</v>
      </c>
      <c r="J82" s="378">
        <f>+'TABLA FINAL '!BM138</f>
        <v>398.74</v>
      </c>
      <c r="K82" s="378">
        <f>+'TABLA FINAL '!BN138</f>
        <v>398.74</v>
      </c>
      <c r="L82" s="378">
        <f>+'TABLA FINAL '!BO138</f>
        <v>398.74</v>
      </c>
      <c r="M82" s="378">
        <f>+'TABLA FINAL '!BP138</f>
        <v>398.74</v>
      </c>
      <c r="N82" s="378">
        <f>+'TABLA FINAL '!BQ138</f>
        <v>398.74</v>
      </c>
      <c r="O82" s="378">
        <f>+'TABLA FINAL '!BR138</f>
        <v>398.74</v>
      </c>
      <c r="P82" s="541">
        <f>+'TABLA FINAL '!BS138</f>
        <v>400.92</v>
      </c>
    </row>
    <row r="83" spans="2:238">
      <c r="B83" s="563" t="s">
        <v>794</v>
      </c>
      <c r="C83" s="2626">
        <v>302</v>
      </c>
      <c r="D83" s="2865"/>
      <c r="E83" s="139">
        <f>+'TABLA FINAL '!BG187</f>
        <v>315.44</v>
      </c>
      <c r="F83" s="139">
        <f>+'TABLA FINAL '!BH187</f>
        <v>319.67</v>
      </c>
      <c r="G83" s="139">
        <f>+'TABLA FINAL '!BJ187</f>
        <v>320.3</v>
      </c>
      <c r="H83" s="139">
        <f>+'TABLA FINAL '!BK187</f>
        <v>329.56</v>
      </c>
      <c r="I83" s="139">
        <f>+'TABLA FINAL '!BL187</f>
        <v>337.12</v>
      </c>
      <c r="J83" s="139">
        <f>+'TABLA FINAL '!BM187</f>
        <v>337.66</v>
      </c>
      <c r="K83" s="139">
        <f>+'TABLA FINAL '!BN187</f>
        <v>338.51</v>
      </c>
      <c r="L83" s="139">
        <f>+'TABLA FINAL '!BO187</f>
        <v>340.39</v>
      </c>
      <c r="M83" s="139">
        <f>+'TABLA FINAL '!BP187</f>
        <v>326.08</v>
      </c>
      <c r="N83" s="139">
        <f>+'TABLA FINAL '!BQ187</f>
        <v>347.7</v>
      </c>
      <c r="O83" s="139">
        <f>+'TABLA FINAL '!BR187</f>
        <v>348.45</v>
      </c>
      <c r="P83" s="141">
        <f>+'TABLA FINAL '!BS187</f>
        <v>354.03</v>
      </c>
      <c r="ID83" s="15"/>
    </row>
    <row r="84" spans="2:238">
      <c r="B84" s="372" t="str">
        <f>+B69</f>
        <v>Mano de Obra (Jornal Categoría Ayudante)</v>
      </c>
      <c r="C84" s="2658">
        <v>1</v>
      </c>
      <c r="D84" s="2658"/>
      <c r="E84" s="139">
        <f>+'TABLA FINAL '!BH5</f>
        <v>3.58</v>
      </c>
      <c r="F84" s="139">
        <f>+'TABLA FINAL '!BI5</f>
        <v>3.58</v>
      </c>
      <c r="G84" s="139">
        <f>+'TABLA FINAL '!BJ5</f>
        <v>3.58</v>
      </c>
      <c r="H84" s="139">
        <f>+'TABLA FINAL '!BK5</f>
        <v>3.58</v>
      </c>
      <c r="I84" s="139">
        <f>+'TABLA FINAL '!BL5</f>
        <v>3.76</v>
      </c>
      <c r="J84" s="139">
        <f>+'TABLA FINAL '!BM5</f>
        <v>3.76</v>
      </c>
      <c r="K84" s="139">
        <f>+'TABLA FINAL '!BN5</f>
        <v>3.76</v>
      </c>
      <c r="L84" s="139">
        <f>+'TABLA FINAL '!BO5</f>
        <v>3.76</v>
      </c>
      <c r="M84" s="139">
        <f>+'TABLA FINAL '!BP5</f>
        <v>3.94</v>
      </c>
      <c r="N84" s="139">
        <f>+'TABLA FINAL '!BQ5</f>
        <v>3.94</v>
      </c>
      <c r="O84" s="139">
        <f>+'TABLA FINAL '!BR5</f>
        <v>3.94</v>
      </c>
      <c r="P84" s="141">
        <f>+'TABLA FINAL '!BS5</f>
        <v>3.94</v>
      </c>
    </row>
    <row r="85" spans="2:238">
      <c r="B85" s="566" t="s">
        <v>784</v>
      </c>
      <c r="C85" s="2626" t="s">
        <v>473</v>
      </c>
      <c r="D85" s="2865"/>
      <c r="E85" s="568">
        <f>+'TABLA FINAL '!BH11</f>
        <v>0.68181818181818177</v>
      </c>
      <c r="F85" s="568">
        <f>+'TABLA FINAL '!BI11</f>
        <v>0.68181818181818177</v>
      </c>
      <c r="G85" s="568">
        <f>+'TABLA FINAL '!BJ11</f>
        <v>0.68181818181818177</v>
      </c>
      <c r="H85" s="568">
        <f>+'TABLA FINAL '!BK11</f>
        <v>0.45454545454545453</v>
      </c>
      <c r="I85" s="568">
        <f>+'TABLA FINAL '!BL11</f>
        <v>1.0225454545454544</v>
      </c>
      <c r="J85" s="568">
        <f>+'TABLA FINAL '!BM11</f>
        <v>1.0225454545454549</v>
      </c>
      <c r="K85" s="568">
        <f>+'TABLA FINAL '!BN11</f>
        <v>0.54545454545454519</v>
      </c>
      <c r="L85" s="568">
        <f>+'TABLA FINAL '!BO11</f>
        <v>0.54500000000000004</v>
      </c>
      <c r="M85" s="568">
        <f>+'TABLA FINAL '!BP11</f>
        <v>0</v>
      </c>
      <c r="N85" s="568">
        <f>+'TABLA FINAL '!BQ11</f>
        <v>0.5</v>
      </c>
      <c r="O85" s="568">
        <f>+'TABLA FINAL '!BR11</f>
        <v>0.5</v>
      </c>
      <c r="P85" s="575">
        <f>+'TABLA FINAL '!BS11</f>
        <v>0.5</v>
      </c>
    </row>
    <row r="86" spans="2:238">
      <c r="B86" s="566" t="s">
        <v>496</v>
      </c>
      <c r="C86" s="2626" t="s">
        <v>492</v>
      </c>
      <c r="D86" s="2865"/>
      <c r="E86" s="568">
        <f>+'TABLA FINAL '!BH16</f>
        <v>0.27272727272727271</v>
      </c>
      <c r="F86" s="568">
        <f>+'TABLA FINAL '!BI16</f>
        <v>0.27272727272727271</v>
      </c>
      <c r="G86" s="568">
        <f>+'TABLA FINAL '!BJ16</f>
        <v>0.27272727272727271</v>
      </c>
      <c r="H86" s="568">
        <f>+'TABLA FINAL '!BK16</f>
        <v>0.54545454545454541</v>
      </c>
      <c r="I86" s="568">
        <f>+'TABLA FINAL '!BL16</f>
        <v>0.54545454545454541</v>
      </c>
      <c r="J86" s="568">
        <f>+'TABLA FINAL '!BM16</f>
        <v>0.54545454545454541</v>
      </c>
      <c r="K86" s="568">
        <f>+'TABLA FINAL '!BN16</f>
        <v>0.81818181818181823</v>
      </c>
      <c r="L86" s="568">
        <f>+'TABLA FINAL '!BO16</f>
        <v>0.81818181818181823</v>
      </c>
      <c r="M86" s="568">
        <f>+'TABLA FINAL '!BP16</f>
        <v>0</v>
      </c>
      <c r="N86" s="568">
        <f>+'TABLA FINAL '!BQ16</f>
        <v>1.0909090909090908</v>
      </c>
      <c r="O86" s="568">
        <f>+'TABLA FINAL '!BR16</f>
        <v>1.0909090909090908</v>
      </c>
      <c r="P86" s="575">
        <f>+'TABLA FINAL '!BS16</f>
        <v>1.0909090909090908</v>
      </c>
    </row>
    <row r="87" spans="2:238" ht="16.5" thickBot="1">
      <c r="B87" s="373" t="s">
        <v>785</v>
      </c>
      <c r="C87" s="2661" t="s">
        <v>786</v>
      </c>
      <c r="D87" s="2661"/>
      <c r="E87" s="448">
        <f t="shared" ref="E87:P87" si="19">(E84+E86)*8*2.2521+E85*8</f>
        <v>74.868362181818171</v>
      </c>
      <c r="F87" s="448">
        <f t="shared" si="19"/>
        <v>74.868362181818171</v>
      </c>
      <c r="G87" s="448">
        <f t="shared" si="19"/>
        <v>74.868362181818171</v>
      </c>
      <c r="H87" s="448">
        <f t="shared" si="19"/>
        <v>77.963853090909083</v>
      </c>
      <c r="I87" s="448">
        <f t="shared" si="19"/>
        <v>85.750877090909086</v>
      </c>
      <c r="J87" s="448">
        <f t="shared" si="19"/>
        <v>85.750877090909086</v>
      </c>
      <c r="K87" s="448">
        <f t="shared" si="19"/>
        <v>86.847822545454534</v>
      </c>
      <c r="L87" s="448">
        <f t="shared" si="19"/>
        <v>86.844186181818174</v>
      </c>
      <c r="M87" s="448">
        <f t="shared" si="19"/>
        <v>70.986192000000003</v>
      </c>
      <c r="N87" s="448">
        <f t="shared" si="19"/>
        <v>94.640882909090919</v>
      </c>
      <c r="O87" s="448">
        <f t="shared" si="19"/>
        <v>94.640882909090919</v>
      </c>
      <c r="P87" s="131">
        <f t="shared" si="19"/>
        <v>94.640882909090919</v>
      </c>
    </row>
    <row r="88" spans="2:238" ht="16.5" thickBot="1">
      <c r="M88" s="1242"/>
    </row>
    <row r="89" spans="2:238">
      <c r="B89" s="2623" t="s">
        <v>675</v>
      </c>
      <c r="C89" s="2659" t="s">
        <v>795</v>
      </c>
      <c r="D89" s="2866"/>
      <c r="E89" s="516">
        <f t="shared" ref="E89:J89" si="20">+ROUND((E82*100/$E$17),3)</f>
        <v>353.70800000000003</v>
      </c>
      <c r="F89" s="516">
        <f t="shared" si="20"/>
        <v>353.70800000000003</v>
      </c>
      <c r="G89" s="516">
        <f t="shared" si="20"/>
        <v>364.14600000000002</v>
      </c>
      <c r="H89" s="516">
        <f t="shared" si="20"/>
        <v>364.14600000000002</v>
      </c>
      <c r="I89" s="516">
        <f t="shared" si="20"/>
        <v>364.14600000000002</v>
      </c>
      <c r="J89" s="516">
        <f t="shared" si="20"/>
        <v>364.14600000000002</v>
      </c>
      <c r="K89" s="516">
        <f t="shared" ref="K89:P89" si="21">+ROUND((K82*100/$E$17),3)</f>
        <v>364.14600000000002</v>
      </c>
      <c r="L89" s="516">
        <f t="shared" si="21"/>
        <v>364.14600000000002</v>
      </c>
      <c r="M89" s="516">
        <f t="shared" si="21"/>
        <v>364.14600000000002</v>
      </c>
      <c r="N89" s="516">
        <f t="shared" si="21"/>
        <v>364.14600000000002</v>
      </c>
      <c r="O89" s="516">
        <f t="shared" si="21"/>
        <v>364.14600000000002</v>
      </c>
      <c r="P89" s="133">
        <f t="shared" si="21"/>
        <v>366.137</v>
      </c>
    </row>
    <row r="90" spans="2:238">
      <c r="B90" s="2640"/>
      <c r="C90" s="2626" t="s">
        <v>796</v>
      </c>
      <c r="D90" s="2865"/>
      <c r="E90" s="1257">
        <f t="shared" ref="E90:J90" si="22">+ROUND((E83*100/$E$18),2)</f>
        <v>315.44</v>
      </c>
      <c r="F90" s="1257">
        <f t="shared" si="22"/>
        <v>319.67</v>
      </c>
      <c r="G90" s="1257">
        <f t="shared" si="22"/>
        <v>320.3</v>
      </c>
      <c r="H90" s="1257">
        <f t="shared" si="22"/>
        <v>329.56</v>
      </c>
      <c r="I90" s="1257">
        <f t="shared" si="22"/>
        <v>337.12</v>
      </c>
      <c r="J90" s="1257">
        <f t="shared" si="22"/>
        <v>337.66</v>
      </c>
      <c r="K90" s="1257">
        <f t="shared" ref="K90:P90" si="23">+ROUND((K83*100/$E$18),2)</f>
        <v>338.51</v>
      </c>
      <c r="L90" s="1257">
        <f t="shared" si="23"/>
        <v>340.39</v>
      </c>
      <c r="M90" s="1257">
        <f t="shared" si="23"/>
        <v>326.08</v>
      </c>
      <c r="N90" s="1257">
        <f t="shared" si="23"/>
        <v>347.7</v>
      </c>
      <c r="O90" s="1257">
        <f t="shared" si="23"/>
        <v>348.45</v>
      </c>
      <c r="P90" s="1258">
        <f t="shared" si="23"/>
        <v>354.03</v>
      </c>
    </row>
    <row r="91" spans="2:238" ht="16.5" thickBot="1">
      <c r="B91" s="2625"/>
      <c r="C91" s="2642" t="s">
        <v>677</v>
      </c>
      <c r="D91" s="2867"/>
      <c r="E91" s="531">
        <f t="shared" ref="E91:J91" si="24">+ROUND(E87*100/$E$21,3)</f>
        <v>367.00200000000001</v>
      </c>
      <c r="F91" s="531">
        <f t="shared" si="24"/>
        <v>367.00200000000001</v>
      </c>
      <c r="G91" s="531">
        <f t="shared" si="24"/>
        <v>367.00200000000001</v>
      </c>
      <c r="H91" s="531">
        <f t="shared" si="24"/>
        <v>382.17599999999999</v>
      </c>
      <c r="I91" s="531">
        <f t="shared" si="24"/>
        <v>420.34699999999998</v>
      </c>
      <c r="J91" s="531">
        <f t="shared" si="24"/>
        <v>420.34699999999998</v>
      </c>
      <c r="K91" s="531">
        <f t="shared" ref="K91:P91" si="25">+ROUND(K87*100/$E$21,3)</f>
        <v>425.72500000000002</v>
      </c>
      <c r="L91" s="531">
        <f t="shared" si="25"/>
        <v>425.70699999999999</v>
      </c>
      <c r="M91" s="531">
        <f t="shared" si="25"/>
        <v>347.97199999999998</v>
      </c>
      <c r="N91" s="531">
        <f t="shared" si="25"/>
        <v>463.92599999999999</v>
      </c>
      <c r="O91" s="531">
        <f t="shared" si="25"/>
        <v>463.92599999999999</v>
      </c>
      <c r="P91" s="134">
        <f t="shared" si="25"/>
        <v>463.92599999999999</v>
      </c>
    </row>
    <row r="92" spans="2:238" ht="16.5" thickBot="1">
      <c r="D92" s="363"/>
    </row>
    <row r="93" spans="2:238" ht="16.5" thickBot="1">
      <c r="B93" s="2636" t="s">
        <v>797</v>
      </c>
      <c r="C93" s="2637"/>
      <c r="D93" s="2638"/>
      <c r="E93" s="135">
        <f t="shared" ref="E93:L93" si="26">+ROUND(E89*0.3+E90*0.3+E91*0.4,2)</f>
        <v>347.55</v>
      </c>
      <c r="F93" s="135">
        <f t="shared" si="26"/>
        <v>348.81</v>
      </c>
      <c r="G93" s="135">
        <f>+ROUND(G89*0.3+G90*0.3+G91*0.4,2)</f>
        <v>352.13</v>
      </c>
      <c r="H93" s="135">
        <f t="shared" si="26"/>
        <v>360.98</v>
      </c>
      <c r="I93" s="135">
        <f t="shared" si="26"/>
        <v>378.52</v>
      </c>
      <c r="J93" s="135">
        <f t="shared" si="26"/>
        <v>378.68</v>
      </c>
      <c r="K93" s="135">
        <f t="shared" si="26"/>
        <v>381.09</v>
      </c>
      <c r="L93" s="135">
        <f t="shared" si="26"/>
        <v>381.64</v>
      </c>
      <c r="M93" s="135">
        <f>+ROUND(M89*0.3+M90*0.3+M91*0.4,2)</f>
        <v>346.26</v>
      </c>
      <c r="N93" s="135">
        <f>+ROUND(N89*0.3+N90*0.3+N91*0.4,2)</f>
        <v>399.12</v>
      </c>
      <c r="O93" s="135">
        <f>+ROUND(O89*0.3+O90*0.3+O91*0.4,2)</f>
        <v>399.35</v>
      </c>
      <c r="P93" s="136">
        <f>+ROUND(P89*0.3+P90*0.3+P91*0.4,2)</f>
        <v>401.62</v>
      </c>
    </row>
    <row r="94" spans="2:238" ht="16.5" thickBot="1"/>
    <row r="95" spans="2:238" ht="12.75">
      <c r="B95" s="2623" t="s">
        <v>673</v>
      </c>
      <c r="C95" s="2628" t="s">
        <v>656</v>
      </c>
      <c r="D95" s="2629"/>
      <c r="E95" s="2619">
        <v>39083</v>
      </c>
      <c r="F95" s="2619">
        <v>39114</v>
      </c>
      <c r="G95" s="2619">
        <v>39142</v>
      </c>
      <c r="H95" s="2619">
        <v>39173</v>
      </c>
      <c r="I95" s="2619">
        <v>39203</v>
      </c>
      <c r="J95" s="2619">
        <v>39234</v>
      </c>
      <c r="K95" s="2619">
        <v>39264</v>
      </c>
      <c r="L95" s="2619">
        <v>39295</v>
      </c>
      <c r="M95" s="2619">
        <v>39326</v>
      </c>
      <c r="N95" s="2619">
        <v>39356</v>
      </c>
      <c r="O95" s="2619">
        <v>39387</v>
      </c>
      <c r="P95" s="2617">
        <v>39417</v>
      </c>
    </row>
    <row r="96" spans="2:238" ht="12.75">
      <c r="B96" s="2624"/>
      <c r="C96" s="2631"/>
      <c r="D96" s="2871"/>
      <c r="E96" s="2620"/>
      <c r="F96" s="2620"/>
      <c r="G96" s="2620"/>
      <c r="H96" s="2620"/>
      <c r="I96" s="2620"/>
      <c r="J96" s="2620"/>
      <c r="K96" s="2620"/>
      <c r="L96" s="2620"/>
      <c r="M96" s="2620"/>
      <c r="N96" s="2620"/>
      <c r="O96" s="2620"/>
      <c r="P96" s="2618"/>
    </row>
    <row r="97" spans="2:238" ht="13.5" thickBot="1">
      <c r="B97" s="2625"/>
      <c r="C97" s="2761"/>
      <c r="D97" s="2872"/>
      <c r="E97" s="2870"/>
      <c r="F97" s="2870"/>
      <c r="G97" s="2870"/>
      <c r="H97" s="2870"/>
      <c r="I97" s="2870"/>
      <c r="J97" s="2870"/>
      <c r="K97" s="2870"/>
      <c r="L97" s="2870"/>
      <c r="M97" s="2870"/>
      <c r="N97" s="2870"/>
      <c r="O97" s="2870"/>
      <c r="P97" s="2868"/>
    </row>
    <row r="98" spans="2:238">
      <c r="B98" s="563" t="s">
        <v>793</v>
      </c>
      <c r="C98" s="2672">
        <v>118</v>
      </c>
      <c r="D98" s="2672"/>
      <c r="E98" s="378">
        <f>+'TABLA FINAL '!BT138</f>
        <v>400.92</v>
      </c>
      <c r="F98" s="378">
        <f>+'TABLA FINAL '!BU138</f>
        <v>400.92</v>
      </c>
      <c r="G98" s="378">
        <f>+'TABLA FINAL '!BV138</f>
        <v>408.63</v>
      </c>
      <c r="H98" s="378">
        <f>+'TABLA FINAL '!BW138</f>
        <v>409.58</v>
      </c>
      <c r="I98" s="378">
        <f>+'TABLA FINAL '!BX138</f>
        <v>411.22</v>
      </c>
      <c r="J98" s="378">
        <f>+'TABLA FINAL '!BY138</f>
        <v>411.22</v>
      </c>
      <c r="K98" s="378">
        <f>+'TABLA FINAL '!BZ138</f>
        <v>411.22</v>
      </c>
      <c r="L98" s="378">
        <f>+'TABLA FINAL '!CA138</f>
        <v>411.22</v>
      </c>
      <c r="M98" s="378">
        <f>+'TABLA FINAL '!CB138</f>
        <v>426.09</v>
      </c>
      <c r="N98" s="378">
        <f>+'TABLA FINAL '!CC138</f>
        <v>426.09</v>
      </c>
      <c r="O98" s="378">
        <f>+'TABLA FINAL '!CD138</f>
        <v>433.44</v>
      </c>
      <c r="P98" s="541">
        <f>+'TABLA FINAL '!CE138</f>
        <v>434.48</v>
      </c>
    </row>
    <row r="99" spans="2:238">
      <c r="B99" s="563" t="s">
        <v>794</v>
      </c>
      <c r="C99" s="2626">
        <v>302</v>
      </c>
      <c r="D99" s="2865"/>
      <c r="E99" s="139">
        <f>+'ANEXO B'!D178</f>
        <v>366.55</v>
      </c>
      <c r="F99" s="139">
        <f>+'ANEXO B'!E178</f>
        <v>367.47</v>
      </c>
      <c r="G99" s="139">
        <f>+'ANEXO B'!F178</f>
        <v>375.15</v>
      </c>
      <c r="H99" s="139">
        <f>+'ANEXO B'!G178</f>
        <v>376.95</v>
      </c>
      <c r="I99" s="139">
        <f>+'ANEXO B'!H178</f>
        <v>387.48</v>
      </c>
      <c r="J99" s="139">
        <f>+'ANEXO B'!I178</f>
        <v>393.38</v>
      </c>
      <c r="K99" s="139">
        <f>+'ANEXO B'!J178</f>
        <v>402.02</v>
      </c>
      <c r="L99" s="139">
        <f>+'ANEXO B'!K178</f>
        <v>408.8</v>
      </c>
      <c r="M99" s="139">
        <f>+'ANEXO B'!L178</f>
        <v>411.63</v>
      </c>
      <c r="N99" s="139">
        <f>+'ANEXO B'!M178</f>
        <v>413.33</v>
      </c>
      <c r="O99" s="139">
        <f>+'ANEXO B'!N178</f>
        <v>428</v>
      </c>
      <c r="P99" s="141">
        <f>+'ANEXO B'!O178</f>
        <v>449.05</v>
      </c>
      <c r="ID99" s="15"/>
    </row>
    <row r="100" spans="2:238">
      <c r="B100" s="372" t="s">
        <v>783</v>
      </c>
      <c r="C100" s="2658">
        <v>1</v>
      </c>
      <c r="D100" s="2658"/>
      <c r="E100" s="139">
        <f>+'TABLA FINAL '!BT5</f>
        <v>4.54</v>
      </c>
      <c r="F100" s="139">
        <f>+'TABLA FINAL '!BU5</f>
        <v>4.54</v>
      </c>
      <c r="G100" s="139">
        <f>+'TABLA FINAL '!BV5</f>
        <v>4.54</v>
      </c>
      <c r="H100" s="139">
        <f>+'TABLA FINAL '!BW5</f>
        <v>4.54</v>
      </c>
      <c r="I100" s="139">
        <f>+'TABLA FINAL '!BX5</f>
        <v>4.99</v>
      </c>
      <c r="J100" s="139">
        <f>+'TABLA FINAL '!BY5</f>
        <v>4.99</v>
      </c>
      <c r="K100" s="139">
        <f>+'TABLA FINAL '!BZ5</f>
        <v>5.29</v>
      </c>
      <c r="L100" s="139">
        <f>+'TABLA FINAL '!CA5</f>
        <v>5.29</v>
      </c>
      <c r="M100" s="139">
        <f>+'TABLA FINAL '!CB5</f>
        <v>5.29</v>
      </c>
      <c r="N100" s="139">
        <f>+'TABLA FINAL '!CC5</f>
        <v>6.56</v>
      </c>
      <c r="O100" s="139">
        <f>+'TABLA FINAL '!CD5</f>
        <v>6.56</v>
      </c>
      <c r="P100" s="141">
        <f>+'TABLA FINAL '!CE5</f>
        <v>6.56</v>
      </c>
    </row>
    <row r="101" spans="2:238">
      <c r="B101" s="566" t="s">
        <v>784</v>
      </c>
      <c r="C101" s="2626" t="s">
        <v>473</v>
      </c>
      <c r="D101" s="2865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75">
        <f>'TABLA FINAL '!CE21</f>
        <v>2.2727272727272751</v>
      </c>
    </row>
    <row r="102" spans="2:238">
      <c r="B102" s="566" t="s">
        <v>496</v>
      </c>
      <c r="C102" s="2626" t="s">
        <v>492</v>
      </c>
      <c r="D102" s="2865"/>
      <c r="E102" s="568">
        <f>+'TABLA FINAL '!BT16</f>
        <v>1.0909090909090908</v>
      </c>
      <c r="F102" s="568">
        <f>+'TABLA FINAL '!BU16</f>
        <v>1.0909090909090908</v>
      </c>
      <c r="G102" s="568">
        <f>+'TABLA FINAL '!BV16</f>
        <v>1.0909090909090908</v>
      </c>
      <c r="H102" s="568">
        <f>+'TABLA FINAL '!BW16</f>
        <v>1.0909090909090908</v>
      </c>
      <c r="I102" s="568">
        <f>+'TABLA FINAL '!BX16</f>
        <v>1.1988636363636365</v>
      </c>
      <c r="J102" s="568">
        <f>+'TABLA FINAL '!BY16</f>
        <v>1.1990000000000001</v>
      </c>
      <c r="K102" s="568">
        <f>+'TABLA FINAL '!BZ16</f>
        <v>1.2727272727272727</v>
      </c>
      <c r="L102" s="568">
        <f>+'TABLA FINAL '!CA16</f>
        <v>1.2729999999999999</v>
      </c>
      <c r="M102" s="568">
        <f>+'TABLA FINAL '!CB16</f>
        <v>1.2729999999999999</v>
      </c>
      <c r="N102" s="568">
        <f>+'TABLA FINAL '!CC16</f>
        <v>0</v>
      </c>
      <c r="O102" s="568">
        <f>+'TABLA FINAL '!CD16</f>
        <v>0</v>
      </c>
      <c r="P102" s="575"/>
    </row>
    <row r="103" spans="2:238" ht="16.5" thickBot="1">
      <c r="B103" s="373" t="s">
        <v>785</v>
      </c>
      <c r="C103" s="2661" t="s">
        <v>786</v>
      </c>
      <c r="D103" s="2661"/>
      <c r="E103" s="448">
        <f t="shared" ref="E103:P103" si="27">(E100+E102)*8*2.2521+E101*8</f>
        <v>101.4509629090909</v>
      </c>
      <c r="F103" s="448">
        <f t="shared" si="27"/>
        <v>101.4509629090909</v>
      </c>
      <c r="G103" s="448">
        <f t="shared" si="27"/>
        <v>101.4509629090909</v>
      </c>
      <c r="H103" s="448">
        <f t="shared" si="27"/>
        <v>101.4509629090909</v>
      </c>
      <c r="I103" s="448">
        <f t="shared" si="27"/>
        <v>111.50351836363637</v>
      </c>
      <c r="J103" s="448">
        <f t="shared" si="27"/>
        <v>111.50597519999999</v>
      </c>
      <c r="K103" s="448">
        <f t="shared" si="27"/>
        <v>118.23934472727272</v>
      </c>
      <c r="L103" s="448">
        <f t="shared" si="27"/>
        <v>118.24425839999999</v>
      </c>
      <c r="M103" s="448">
        <f t="shared" si="27"/>
        <v>118.24425839999999</v>
      </c>
      <c r="N103" s="448">
        <f t="shared" si="27"/>
        <v>118.190208</v>
      </c>
      <c r="O103" s="448">
        <f t="shared" si="27"/>
        <v>118.190208</v>
      </c>
      <c r="P103" s="131">
        <f t="shared" si="27"/>
        <v>136.3720261818182</v>
      </c>
    </row>
    <row r="104" spans="2:238" ht="16.5" thickBot="1"/>
    <row r="105" spans="2:238">
      <c r="B105" s="2623" t="s">
        <v>675</v>
      </c>
      <c r="C105" s="2659" t="s">
        <v>795</v>
      </c>
      <c r="D105" s="2866"/>
      <c r="E105" s="516">
        <f t="shared" ref="E105:P105" si="28">+ROUND((E98*100/$E$17),3)</f>
        <v>366.137</v>
      </c>
      <c r="F105" s="516">
        <f t="shared" si="28"/>
        <v>366.137</v>
      </c>
      <c r="G105" s="516">
        <f t="shared" si="28"/>
        <v>373.178</v>
      </c>
      <c r="H105" s="516">
        <f t="shared" si="28"/>
        <v>374.04599999999999</v>
      </c>
      <c r="I105" s="516">
        <f t="shared" si="28"/>
        <v>375.54300000000001</v>
      </c>
      <c r="J105" s="516">
        <f t="shared" ref="J105:O105" si="29">+ROUND((J98*100/$E$17),3)</f>
        <v>375.54300000000001</v>
      </c>
      <c r="K105" s="516">
        <f t="shared" si="29"/>
        <v>375.54300000000001</v>
      </c>
      <c r="L105" s="516">
        <f t="shared" si="29"/>
        <v>375.54300000000001</v>
      </c>
      <c r="M105" s="516">
        <f t="shared" si="29"/>
        <v>389.12299999999999</v>
      </c>
      <c r="N105" s="516">
        <f t="shared" si="29"/>
        <v>389.12299999999999</v>
      </c>
      <c r="O105" s="516">
        <f t="shared" si="29"/>
        <v>395.83600000000001</v>
      </c>
      <c r="P105" s="133">
        <f t="shared" si="28"/>
        <v>396.78500000000003</v>
      </c>
    </row>
    <row r="106" spans="2:238">
      <c r="B106" s="2640"/>
      <c r="C106" s="2626" t="s">
        <v>796</v>
      </c>
      <c r="D106" s="2865"/>
      <c r="E106" s="1257">
        <f t="shared" ref="E106:P106" si="30">+ROUND((E99*100/$E$18),2)</f>
        <v>366.55</v>
      </c>
      <c r="F106" s="1257">
        <f t="shared" si="30"/>
        <v>367.47</v>
      </c>
      <c r="G106" s="1257">
        <f t="shared" si="30"/>
        <v>375.15</v>
      </c>
      <c r="H106" s="1257">
        <f t="shared" si="30"/>
        <v>376.95</v>
      </c>
      <c r="I106" s="1257">
        <f t="shared" si="30"/>
        <v>387.48</v>
      </c>
      <c r="J106" s="1257">
        <f t="shared" ref="J106:O106" si="31">+ROUND((J99*100/$E$18),2)</f>
        <v>393.38</v>
      </c>
      <c r="K106" s="1257">
        <f t="shared" si="31"/>
        <v>402.02</v>
      </c>
      <c r="L106" s="1257">
        <f t="shared" si="31"/>
        <v>408.8</v>
      </c>
      <c r="M106" s="1257">
        <f t="shared" si="31"/>
        <v>411.63</v>
      </c>
      <c r="N106" s="1257">
        <f t="shared" si="31"/>
        <v>413.33</v>
      </c>
      <c r="O106" s="1257">
        <f t="shared" si="31"/>
        <v>428</v>
      </c>
      <c r="P106" s="1258">
        <f t="shared" si="30"/>
        <v>449.05</v>
      </c>
    </row>
    <row r="107" spans="2:238" ht="16.5" thickBot="1">
      <c r="B107" s="2625"/>
      <c r="C107" s="2642" t="s">
        <v>677</v>
      </c>
      <c r="D107" s="2867"/>
      <c r="E107" s="531">
        <f t="shared" ref="E107:P107" si="32">+ROUND(E103*100/$E$21,3)</f>
        <v>497.30900000000003</v>
      </c>
      <c r="F107" s="531">
        <f t="shared" si="32"/>
        <v>497.30900000000003</v>
      </c>
      <c r="G107" s="531">
        <f t="shared" si="32"/>
        <v>497.30900000000003</v>
      </c>
      <c r="H107" s="531">
        <f t="shared" si="32"/>
        <v>497.30900000000003</v>
      </c>
      <c r="I107" s="531">
        <f t="shared" si="32"/>
        <v>546.58600000000001</v>
      </c>
      <c r="J107" s="531">
        <f t="shared" ref="J107:O107" si="33">+ROUND(J103*100/$E$21,3)</f>
        <v>546.59799999999996</v>
      </c>
      <c r="K107" s="531">
        <f t="shared" si="33"/>
        <v>579.60500000000002</v>
      </c>
      <c r="L107" s="531">
        <f t="shared" si="33"/>
        <v>579.62900000000002</v>
      </c>
      <c r="M107" s="531">
        <f t="shared" si="33"/>
        <v>579.62900000000002</v>
      </c>
      <c r="N107" s="531">
        <f t="shared" si="33"/>
        <v>579.36400000000003</v>
      </c>
      <c r="O107" s="531">
        <f t="shared" si="33"/>
        <v>579.36400000000003</v>
      </c>
      <c r="P107" s="134">
        <f t="shared" si="32"/>
        <v>668.49</v>
      </c>
    </row>
    <row r="108" spans="2:238" ht="16.5" thickBot="1">
      <c r="D108" s="363"/>
    </row>
    <row r="109" spans="2:238" ht="16.5" thickBot="1">
      <c r="B109" s="2636" t="s">
        <v>797</v>
      </c>
      <c r="C109" s="2637"/>
      <c r="D109" s="2638"/>
      <c r="E109" s="135">
        <f t="shared" ref="E109:P109" si="34">+ROUND(E105*0.3+E106*0.3+E107*0.4,2)</f>
        <v>418.73</v>
      </c>
      <c r="F109" s="135">
        <f t="shared" si="34"/>
        <v>419.01</v>
      </c>
      <c r="G109" s="135">
        <f t="shared" si="34"/>
        <v>423.42</v>
      </c>
      <c r="H109" s="135">
        <f t="shared" si="34"/>
        <v>424.22</v>
      </c>
      <c r="I109" s="135">
        <f t="shared" si="34"/>
        <v>447.54</v>
      </c>
      <c r="J109" s="135">
        <f t="shared" ref="J109:O109" si="35">+ROUND(J105*0.3+J106*0.3+J107*0.4,2)</f>
        <v>449.32</v>
      </c>
      <c r="K109" s="135">
        <f t="shared" si="35"/>
        <v>465.11</v>
      </c>
      <c r="L109" s="135">
        <f t="shared" si="35"/>
        <v>467.15</v>
      </c>
      <c r="M109" s="135">
        <f t="shared" si="35"/>
        <v>472.08</v>
      </c>
      <c r="N109" s="135">
        <f t="shared" si="35"/>
        <v>472.48</v>
      </c>
      <c r="O109" s="135">
        <f t="shared" si="35"/>
        <v>478.9</v>
      </c>
      <c r="P109" s="136">
        <f t="shared" si="34"/>
        <v>521.15</v>
      </c>
    </row>
    <row r="110" spans="2:238" ht="16.5" thickBot="1"/>
    <row r="111" spans="2:238" ht="12.75">
      <c r="B111" s="2623" t="s">
        <v>673</v>
      </c>
      <c r="C111" s="2628" t="s">
        <v>831</v>
      </c>
      <c r="D111" s="2629"/>
      <c r="E111" s="2619">
        <v>39448</v>
      </c>
      <c r="F111" s="2619">
        <v>39479</v>
      </c>
      <c r="G111" s="2619">
        <v>39508</v>
      </c>
      <c r="H111" s="2619">
        <v>39539</v>
      </c>
      <c r="I111" s="2619">
        <v>39569</v>
      </c>
      <c r="J111" s="2619">
        <v>39600</v>
      </c>
      <c r="K111" s="2619">
        <v>39630</v>
      </c>
      <c r="L111" s="2619">
        <v>39661</v>
      </c>
      <c r="M111" s="2619">
        <v>39692</v>
      </c>
      <c r="N111" s="2619">
        <v>39722</v>
      </c>
      <c r="O111" s="2619">
        <v>39753</v>
      </c>
      <c r="P111" s="2617">
        <v>39783</v>
      </c>
    </row>
    <row r="112" spans="2:238" ht="12.75">
      <c r="B112" s="2624"/>
      <c r="C112" s="2631"/>
      <c r="D112" s="2871"/>
      <c r="E112" s="2620"/>
      <c r="F112" s="2620"/>
      <c r="G112" s="2620"/>
      <c r="H112" s="2620"/>
      <c r="I112" s="2620"/>
      <c r="J112" s="2620"/>
      <c r="K112" s="2620"/>
      <c r="L112" s="2620"/>
      <c r="M112" s="2620"/>
      <c r="N112" s="2620"/>
      <c r="O112" s="2620"/>
      <c r="P112" s="2618"/>
    </row>
    <row r="113" spans="2:16" ht="13.5" thickBot="1">
      <c r="B113" s="2625"/>
      <c r="C113" s="2761"/>
      <c r="D113" s="2872"/>
      <c r="E113" s="2870"/>
      <c r="F113" s="2870"/>
      <c r="G113" s="2870"/>
      <c r="H113" s="2870"/>
      <c r="I113" s="2870"/>
      <c r="J113" s="2870"/>
      <c r="K113" s="2870"/>
      <c r="L113" s="2870"/>
      <c r="M113" s="2870"/>
      <c r="N113" s="2870"/>
      <c r="O113" s="2870"/>
      <c r="P113" s="2868"/>
    </row>
    <row r="114" spans="2:16">
      <c r="B114" s="563" t="s">
        <v>793</v>
      </c>
      <c r="C114" s="2672">
        <v>118</v>
      </c>
      <c r="D114" s="2672"/>
      <c r="E114" s="378">
        <f>+'TABLA FINAL '!CF138</f>
        <v>462.37</v>
      </c>
      <c r="F114" s="378">
        <f>+'TABLA FINAL '!CG138</f>
        <v>468.42</v>
      </c>
      <c r="G114" s="378">
        <f>+'TABLA FINAL '!CH138</f>
        <v>481.11</v>
      </c>
      <c r="H114" s="378">
        <f>+'TABLA FINAL '!CI138</f>
        <v>484.53</v>
      </c>
      <c r="I114" s="378">
        <f>+'TABLA FINAL '!CJ138</f>
        <v>485.75</v>
      </c>
      <c r="J114" s="378">
        <f>+'TABLA FINAL '!CK138</f>
        <v>495.61</v>
      </c>
      <c r="K114" s="378">
        <f>+'TABLA FINAL '!CL138</f>
        <v>487.5</v>
      </c>
      <c r="L114" s="378">
        <f>+'TABLA FINAL '!CM138</f>
        <v>493.3</v>
      </c>
      <c r="M114" s="378">
        <f>+'TABLA FINAL '!CN138</f>
        <v>495.8</v>
      </c>
      <c r="N114" s="378">
        <f>+'TABLA FINAL '!CO138</f>
        <v>495.8</v>
      </c>
      <c r="O114" s="378">
        <f>+'TABLA FINAL '!CP138</f>
        <v>512.77</v>
      </c>
      <c r="P114" s="378">
        <f>+'TABLA FINAL '!CQ138</f>
        <v>512.77</v>
      </c>
    </row>
    <row r="115" spans="2:16">
      <c r="B115" s="563" t="s">
        <v>794</v>
      </c>
      <c r="C115" s="2626">
        <v>302</v>
      </c>
      <c r="D115" s="2865"/>
      <c r="E115" s="139">
        <f>+'ANEXO B'!D203</f>
        <v>442.75</v>
      </c>
      <c r="F115" s="139">
        <f>+'ANEXO B'!E203</f>
        <v>436.59</v>
      </c>
      <c r="G115" s="139">
        <f>+'ANEXO B'!F203</f>
        <v>440.2</v>
      </c>
      <c r="H115" s="139">
        <f>+'ANEXO B'!G203</f>
        <v>459.57</v>
      </c>
      <c r="I115" s="139">
        <f>+'ANEXO B'!H203</f>
        <v>469.46</v>
      </c>
      <c r="J115" s="139">
        <f>+'ANEXO B'!I203</f>
        <v>475.16</v>
      </c>
      <c r="K115" s="139">
        <f>+'ANEXO B'!J203</f>
        <v>485.82</v>
      </c>
      <c r="L115" s="139">
        <f>+'ANEXO B'!K203</f>
        <v>484.58</v>
      </c>
      <c r="M115" s="139">
        <f>+'ANEXO B'!L203</f>
        <v>495.74</v>
      </c>
      <c r="N115" s="139">
        <f>+'ANEXO B'!M203</f>
        <v>499.05</v>
      </c>
      <c r="O115" s="139">
        <f>+'ANEXO B'!N203</f>
        <v>495.08</v>
      </c>
      <c r="P115" s="141">
        <f>+'ANEXO B'!O203</f>
        <v>492.33</v>
      </c>
    </row>
    <row r="116" spans="2:16">
      <c r="B116" s="372" t="s">
        <v>783</v>
      </c>
      <c r="C116" s="2658">
        <v>1</v>
      </c>
      <c r="D116" s="2658"/>
      <c r="E116" s="139">
        <f>+'TABLA FINAL '!CF5</f>
        <v>6.56</v>
      </c>
      <c r="F116" s="139">
        <f>+'TABLA FINAL '!CG5</f>
        <v>6.56</v>
      </c>
      <c r="G116" s="139">
        <f>+'TABLA FINAL '!CH5</f>
        <v>6.56</v>
      </c>
      <c r="H116" s="139">
        <f>+'TABLA FINAL '!CI5</f>
        <v>7.21</v>
      </c>
      <c r="I116" s="139">
        <f>+'TABLA FINAL '!CJ5</f>
        <v>7.21</v>
      </c>
      <c r="J116" s="139">
        <f>+'TABLA FINAL '!CK5</f>
        <v>7.21</v>
      </c>
      <c r="K116" s="139">
        <f>+'TABLA FINAL '!CL5</f>
        <v>7.54</v>
      </c>
      <c r="L116" s="139">
        <f>+'TABLA FINAL '!CM5</f>
        <v>7.54</v>
      </c>
      <c r="M116" s="139">
        <f>+'TABLA FINAL '!CN5</f>
        <v>7.54</v>
      </c>
      <c r="N116" s="139">
        <f>+'TABLA FINAL '!CO5</f>
        <v>7.84</v>
      </c>
      <c r="O116" s="139">
        <f>+'TABLA FINAL '!CP5</f>
        <v>7.84</v>
      </c>
      <c r="P116" s="139">
        <f>+'TABLA FINAL '!CQ5</f>
        <v>7.84</v>
      </c>
    </row>
    <row r="117" spans="2:16">
      <c r="B117" s="566" t="s">
        <v>784</v>
      </c>
      <c r="C117" s="2626" t="s">
        <v>473</v>
      </c>
      <c r="D117" s="2865"/>
      <c r="E117" s="568">
        <f>+'TABLA FINAL '!CF11</f>
        <v>0</v>
      </c>
      <c r="F117" s="568">
        <f>+'TABLA FINAL '!CH11</f>
        <v>0</v>
      </c>
      <c r="G117" s="568">
        <f>+'TABLA FINAL '!DH11</f>
        <v>0.56799999999999995</v>
      </c>
      <c r="H117" s="568"/>
      <c r="I117" s="568">
        <f>'TABLA FINAL '!CJ26</f>
        <v>0.42599999999999999</v>
      </c>
      <c r="J117" s="568"/>
      <c r="K117" s="568">
        <f>'TABLA FINAL '!CL26</f>
        <v>0.42599999999999999</v>
      </c>
      <c r="L117" s="568">
        <f>'TABLA FINAL '!CM26</f>
        <v>0</v>
      </c>
      <c r="M117" s="568">
        <f>'TABLA FINAL '!CN26</f>
        <v>0.56799999999999995</v>
      </c>
      <c r="N117" s="568">
        <f>'TABLA FINAL '!CO26</f>
        <v>0</v>
      </c>
      <c r="O117" s="568">
        <f>'TABLA FINAL '!CP26</f>
        <v>0</v>
      </c>
      <c r="P117" s="575">
        <f>+'TABLA FINAL '!DV11</f>
        <v>0</v>
      </c>
    </row>
    <row r="118" spans="2:16">
      <c r="B118" s="566" t="s">
        <v>496</v>
      </c>
      <c r="C118" s="2626" t="s">
        <v>492</v>
      </c>
      <c r="D118" s="2865"/>
      <c r="E118" s="568">
        <f>+'TABLA FINAL '!CF16</f>
        <v>0</v>
      </c>
      <c r="F118" s="568">
        <f>+'TABLA FINAL '!CH16</f>
        <v>0</v>
      </c>
      <c r="G118" s="568">
        <f>+'TABLA FINAL '!DH16</f>
        <v>0</v>
      </c>
      <c r="H118" s="568">
        <f>+'TABLA FINAL '!DN16</f>
        <v>0</v>
      </c>
      <c r="I118" s="568">
        <f>+'TABLA FINAL '!DO16</f>
        <v>0</v>
      </c>
      <c r="J118" s="568">
        <f>+'TABLA FINAL '!DP16</f>
        <v>0</v>
      </c>
      <c r="K118" s="568">
        <f>+'TABLA FINAL '!DQ16</f>
        <v>0</v>
      </c>
      <c r="L118" s="568">
        <f>+'TABLA FINAL '!DR16</f>
        <v>0</v>
      </c>
      <c r="M118" s="568">
        <f>+'TABLA FINAL '!DS16</f>
        <v>0</v>
      </c>
      <c r="N118" s="568">
        <f>+'TABLA FINAL '!DT16</f>
        <v>0</v>
      </c>
      <c r="O118" s="568">
        <f>+'TABLA FINAL '!DU16</f>
        <v>0</v>
      </c>
      <c r="P118" s="575">
        <f>+'TABLA FINAL '!DV16</f>
        <v>0</v>
      </c>
    </row>
    <row r="119" spans="2:16" ht="16.5" thickBot="1">
      <c r="B119" s="373" t="s">
        <v>785</v>
      </c>
      <c r="C119" s="2661" t="s">
        <v>786</v>
      </c>
      <c r="D119" s="2661"/>
      <c r="E119" s="448">
        <f t="shared" ref="E119:P119" si="36">(E116+E118)*8*2.2521+E117*8</f>
        <v>118.190208</v>
      </c>
      <c r="F119" s="448">
        <f t="shared" si="36"/>
        <v>118.190208</v>
      </c>
      <c r="G119" s="448">
        <f t="shared" si="36"/>
        <v>122.734208</v>
      </c>
      <c r="H119" s="448">
        <f t="shared" si="36"/>
        <v>129.901128</v>
      </c>
      <c r="I119" s="448">
        <f t="shared" si="36"/>
        <v>133.30912799999999</v>
      </c>
      <c r="J119" s="448">
        <f t="shared" si="36"/>
        <v>129.901128</v>
      </c>
      <c r="K119" s="448">
        <f t="shared" si="36"/>
        <v>139.254672</v>
      </c>
      <c r="L119" s="448">
        <f t="shared" si="36"/>
        <v>135.84667200000001</v>
      </c>
      <c r="M119" s="448">
        <f t="shared" si="36"/>
        <v>140.39067200000002</v>
      </c>
      <c r="N119" s="448">
        <f t="shared" si="36"/>
        <v>141.251712</v>
      </c>
      <c r="O119" s="448">
        <f t="shared" si="36"/>
        <v>141.251712</v>
      </c>
      <c r="P119" s="131">
        <f t="shared" si="36"/>
        <v>141.251712</v>
      </c>
    </row>
    <row r="120" spans="2:16" ht="16.5" thickBot="1"/>
    <row r="121" spans="2:16">
      <c r="B121" s="2623" t="s">
        <v>675</v>
      </c>
      <c r="C121" s="2659" t="s">
        <v>795</v>
      </c>
      <c r="D121" s="2866"/>
      <c r="E121" s="516">
        <f>+ROUND((E114*100/$E$17),3)</f>
        <v>422.25599999999997</v>
      </c>
      <c r="F121" s="516">
        <f t="shared" ref="F121:P121" si="37">+ROUND((F114*100/$E$17),3)</f>
        <v>427.78100000000001</v>
      </c>
      <c r="G121" s="516">
        <f>+ROUND((G114*100/$E$17),3)</f>
        <v>439.37</v>
      </c>
      <c r="H121" s="516">
        <f t="shared" si="37"/>
        <v>442.49299999999999</v>
      </c>
      <c r="I121" s="516">
        <f t="shared" si="37"/>
        <v>443.60700000000003</v>
      </c>
      <c r="J121" s="516">
        <f>+ROUND((J114*100/$E$17),3)</f>
        <v>452.61200000000002</v>
      </c>
      <c r="K121" s="516">
        <f>+ROUND((K114*100/$E$17),3)</f>
        <v>445.20499999999998</v>
      </c>
      <c r="L121" s="516">
        <f>+ROUND((L114*100/$E$17),3)</f>
        <v>450.50200000000001</v>
      </c>
      <c r="M121" s="516">
        <f>+ROUND((M114*100/$E$17),3)</f>
        <v>452.78500000000003</v>
      </c>
      <c r="N121" s="516">
        <f>+ROUND((N114*100/$E$17),3)</f>
        <v>452.78500000000003</v>
      </c>
      <c r="O121" s="516">
        <f t="shared" si="37"/>
        <v>468.28300000000002</v>
      </c>
      <c r="P121" s="133">
        <f t="shared" si="37"/>
        <v>468.28300000000002</v>
      </c>
    </row>
    <row r="122" spans="2:16">
      <c r="B122" s="2640"/>
      <c r="C122" s="2626" t="s">
        <v>796</v>
      </c>
      <c r="D122" s="2865"/>
      <c r="E122" s="1257">
        <f>+ROUND((E115*100/$E$18),2)</f>
        <v>442.75</v>
      </c>
      <c r="F122" s="1257">
        <f t="shared" ref="F122:P122" si="38">+ROUND((F115*100/$E$18),2)</f>
        <v>436.59</v>
      </c>
      <c r="G122" s="1257">
        <f>+ROUND((G115*100/$E$18),2)</f>
        <v>440.2</v>
      </c>
      <c r="H122" s="1257">
        <f t="shared" si="38"/>
        <v>459.57</v>
      </c>
      <c r="I122" s="1257">
        <f t="shared" si="38"/>
        <v>469.46</v>
      </c>
      <c r="J122" s="1257">
        <f>+ROUND((J115*100/$E$18),2)</f>
        <v>475.16</v>
      </c>
      <c r="K122" s="1257">
        <f>+ROUND((K115*100/$E$18),2)</f>
        <v>485.82</v>
      </c>
      <c r="L122" s="1257">
        <f>+ROUND((L115*100/$E$18),2)</f>
        <v>484.58</v>
      </c>
      <c r="M122" s="1257">
        <f>+ROUND((M115*100/$E$18),2)</f>
        <v>495.74</v>
      </c>
      <c r="N122" s="1257">
        <f>+ROUND((N115*100/$E$18),2)</f>
        <v>499.05</v>
      </c>
      <c r="O122" s="1257">
        <f t="shared" si="38"/>
        <v>495.08</v>
      </c>
      <c r="P122" s="1258">
        <f t="shared" si="38"/>
        <v>492.33</v>
      </c>
    </row>
    <row r="123" spans="2:16" ht="16.5" thickBot="1">
      <c r="B123" s="2625"/>
      <c r="C123" s="2642" t="s">
        <v>677</v>
      </c>
      <c r="D123" s="2867"/>
      <c r="E123" s="531">
        <f>+ROUND(E119*100/$E$21,3)</f>
        <v>579.36400000000003</v>
      </c>
      <c r="F123" s="531">
        <f t="shared" ref="F123:P123" si="39">+ROUND(F119*100/$E$21,3)</f>
        <v>579.36400000000003</v>
      </c>
      <c r="G123" s="531">
        <f>+ROUND(G119*100/$E$21,3)</f>
        <v>601.63800000000003</v>
      </c>
      <c r="H123" s="531">
        <f t="shared" si="39"/>
        <v>636.77</v>
      </c>
      <c r="I123" s="531">
        <f t="shared" si="39"/>
        <v>653.476</v>
      </c>
      <c r="J123" s="531">
        <f>+ROUND(J119*100/$E$21,3)</f>
        <v>636.77</v>
      </c>
      <c r="K123" s="531">
        <f>+ROUND(K119*100/$E$21,3)</f>
        <v>682.62099999999998</v>
      </c>
      <c r="L123" s="531">
        <f>+ROUND(L119*100/$E$21,3)</f>
        <v>665.91499999999996</v>
      </c>
      <c r="M123" s="531">
        <f>+ROUND(M119*100/$E$21,3)</f>
        <v>688.19</v>
      </c>
      <c r="N123" s="531">
        <f>+ROUND(N119*100/$E$21,3)</f>
        <v>692.41</v>
      </c>
      <c r="O123" s="531">
        <f t="shared" si="39"/>
        <v>692.41</v>
      </c>
      <c r="P123" s="134">
        <f t="shared" si="39"/>
        <v>692.41</v>
      </c>
    </row>
    <row r="124" spans="2:16" ht="16.5" thickBot="1">
      <c r="D124" s="363"/>
    </row>
    <row r="125" spans="2:16" ht="16.5" thickBot="1">
      <c r="B125" s="2636" t="s">
        <v>797</v>
      </c>
      <c r="C125" s="2637"/>
      <c r="D125" s="2638"/>
      <c r="E125" s="135">
        <f>+ROUND(E121*0.3+E122*0.3+E123*0.4,2)</f>
        <v>491.25</v>
      </c>
      <c r="F125" s="135">
        <f t="shared" ref="F125:P125" si="40">+ROUND(F121*0.3+F122*0.3+F123*0.4,2)</f>
        <v>491.06</v>
      </c>
      <c r="G125" s="135">
        <f>+ROUND(G121*0.3+G122*0.3+G123*0.4,2)</f>
        <v>504.53</v>
      </c>
      <c r="H125" s="135">
        <f t="shared" si="40"/>
        <v>525.33000000000004</v>
      </c>
      <c r="I125" s="135">
        <f t="shared" si="40"/>
        <v>535.30999999999995</v>
      </c>
      <c r="J125" s="135">
        <f>+ROUND(J121*0.3+J122*0.3+J123*0.4,2)</f>
        <v>533.04</v>
      </c>
      <c r="K125" s="135">
        <f>+ROUND(K121*0.3+K122*0.3+K123*0.4,2)</f>
        <v>552.36</v>
      </c>
      <c r="L125" s="135">
        <f>+ROUND(L121*0.3+L122*0.3+L123*0.4,2)</f>
        <v>546.89</v>
      </c>
      <c r="M125" s="135">
        <f>+ROUND(M121*0.3+M122*0.3+M123*0.4,2)</f>
        <v>559.83000000000004</v>
      </c>
      <c r="N125" s="135">
        <f>+ROUND(N121*0.3+N122*0.3+N123*0.4,2)</f>
        <v>562.51</v>
      </c>
      <c r="O125" s="135">
        <f t="shared" si="40"/>
        <v>565.97</v>
      </c>
      <c r="P125" s="136">
        <f t="shared" si="40"/>
        <v>565.15</v>
      </c>
    </row>
    <row r="126" spans="2:16" ht="16.5" thickBot="1">
      <c r="P126" s="375"/>
    </row>
    <row r="127" spans="2:16" ht="12.75">
      <c r="B127" s="2623" t="s">
        <v>673</v>
      </c>
      <c r="C127" s="2628" t="s">
        <v>831</v>
      </c>
      <c r="D127" s="2629"/>
      <c r="E127" s="2619">
        <v>39814</v>
      </c>
      <c r="F127" s="2619">
        <v>39845</v>
      </c>
      <c r="G127" s="2619">
        <v>39873</v>
      </c>
      <c r="H127" s="2619">
        <v>39904</v>
      </c>
      <c r="I127" s="2619">
        <v>39934</v>
      </c>
      <c r="J127" s="2619">
        <v>39965</v>
      </c>
      <c r="K127" s="2619">
        <v>39995</v>
      </c>
      <c r="L127" s="2619">
        <v>40026</v>
      </c>
      <c r="M127" s="2619">
        <v>40057</v>
      </c>
      <c r="N127" s="2619">
        <v>40087</v>
      </c>
      <c r="O127" s="2619">
        <v>40118</v>
      </c>
      <c r="P127" s="2617">
        <v>40148</v>
      </c>
    </row>
    <row r="128" spans="2:16" ht="12.75">
      <c r="B128" s="2624"/>
      <c r="C128" s="2631"/>
      <c r="D128" s="2871"/>
      <c r="E128" s="2620"/>
      <c r="F128" s="2620"/>
      <c r="G128" s="2620"/>
      <c r="H128" s="2620"/>
      <c r="I128" s="2620"/>
      <c r="J128" s="2620"/>
      <c r="K128" s="2620"/>
      <c r="L128" s="2620"/>
      <c r="M128" s="2620"/>
      <c r="N128" s="2620"/>
      <c r="O128" s="2620"/>
      <c r="P128" s="2618"/>
    </row>
    <row r="129" spans="2:16" ht="13.5" thickBot="1">
      <c r="B129" s="2625"/>
      <c r="C129" s="2761"/>
      <c r="D129" s="2872"/>
      <c r="E129" s="2870"/>
      <c r="F129" s="2870"/>
      <c r="G129" s="2870"/>
      <c r="H129" s="2870"/>
      <c r="I129" s="2870"/>
      <c r="J129" s="2870"/>
      <c r="K129" s="2870"/>
      <c r="L129" s="2870"/>
      <c r="M129" s="2870"/>
      <c r="N129" s="2870"/>
      <c r="O129" s="2870"/>
      <c r="P129" s="2868"/>
    </row>
    <row r="130" spans="2:16">
      <c r="B130" s="563" t="s">
        <v>793</v>
      </c>
      <c r="C130" s="2672">
        <v>118</v>
      </c>
      <c r="D130" s="2672"/>
      <c r="E130" s="378">
        <f>+'TABLA FINAL '!CR138</f>
        <v>512.77</v>
      </c>
      <c r="F130" s="378">
        <f>+'TABLA FINAL '!CS138</f>
        <v>512.77</v>
      </c>
      <c r="G130" s="378">
        <f>+'TABLA FINAL '!CT138</f>
        <v>512.77</v>
      </c>
      <c r="H130" s="378">
        <f>+'TABLA FINAL '!CU138</f>
        <v>512.77</v>
      </c>
      <c r="I130" s="378">
        <f>+'TABLA FINAL '!CV138</f>
        <v>534.4</v>
      </c>
      <c r="J130" s="378">
        <f>+'TABLA FINAL '!CW138</f>
        <v>534.4</v>
      </c>
      <c r="K130" s="378">
        <f>+'TABLA FINAL '!CX138</f>
        <v>512.77</v>
      </c>
      <c r="L130" s="378">
        <f>+'TABLA FINAL '!CY138</f>
        <v>512.77</v>
      </c>
      <c r="M130" s="378">
        <f>+'TABLA FINAL '!CZ138</f>
        <v>533.47</v>
      </c>
      <c r="N130" s="378">
        <f>+'TABLA FINAL '!DA138</f>
        <v>541.41</v>
      </c>
      <c r="O130" s="378">
        <f>+'TABLA FINAL '!DB138</f>
        <v>541.6</v>
      </c>
      <c r="P130" s="541">
        <f>+'TABLA FINAL '!DC138</f>
        <v>544.76</v>
      </c>
    </row>
    <row r="131" spans="2:16">
      <c r="B131" s="563" t="s">
        <v>794</v>
      </c>
      <c r="C131" s="2626">
        <v>302</v>
      </c>
      <c r="D131" s="2865"/>
      <c r="E131" s="139">
        <f>+'ANEXO B'!D228</f>
        <v>499.37</v>
      </c>
      <c r="F131" s="139">
        <f>+'ANEXO B'!E228</f>
        <v>498.68</v>
      </c>
      <c r="G131" s="139">
        <f>+'ANEXO B'!F228</f>
        <v>497.69</v>
      </c>
      <c r="H131" s="139">
        <f>+'ANEXO B'!G228</f>
        <v>499.06</v>
      </c>
      <c r="I131" s="139">
        <f>+'ANEXO B'!H228</f>
        <v>506.93</v>
      </c>
      <c r="J131" s="139">
        <f>+'ANEXO B'!I228</f>
        <v>515.05999999999995</v>
      </c>
      <c r="K131" s="139">
        <f>+'ANEXO B'!J228</f>
        <v>517.91999999999996</v>
      </c>
      <c r="L131" s="139">
        <f>+'ANEXO B'!K228</f>
        <v>524.64</v>
      </c>
      <c r="M131" s="139">
        <f>+'ANEXO B'!L228</f>
        <v>526.57000000000005</v>
      </c>
      <c r="N131" s="139">
        <f>+'ANEXO B'!M228</f>
        <v>539.04</v>
      </c>
      <c r="O131" s="139">
        <f>+'ANEXO B'!N228</f>
        <v>540.84</v>
      </c>
      <c r="P131" s="141">
        <f>+'ANEXO B'!O228</f>
        <v>542.82000000000005</v>
      </c>
    </row>
    <row r="132" spans="2:16">
      <c r="B132" s="372" t="s">
        <v>783</v>
      </c>
      <c r="C132" s="2658">
        <v>1</v>
      </c>
      <c r="D132" s="2658"/>
      <c r="E132" s="139">
        <f>+'TABLA FINAL '!CR5</f>
        <v>7.84</v>
      </c>
      <c r="F132" s="139">
        <f>+'TABLA FINAL '!CS5</f>
        <v>7.84</v>
      </c>
      <c r="G132" s="139">
        <f>+'TABLA FINAL '!CT5</f>
        <v>7.84</v>
      </c>
      <c r="H132" s="139">
        <f>+'TABLA FINAL '!CU5</f>
        <v>7.84</v>
      </c>
      <c r="I132" s="139">
        <f>+'TABLA FINAL '!CV5</f>
        <v>7.84</v>
      </c>
      <c r="J132" s="139">
        <f>+'TABLA FINAL '!CW5</f>
        <v>8.5500000000000007</v>
      </c>
      <c r="K132" s="139">
        <f>+'TABLA FINAL '!CX5</f>
        <v>8.5500000000000007</v>
      </c>
      <c r="L132" s="139">
        <f>+'TABLA FINAL '!CY5</f>
        <v>8.5500000000000007</v>
      </c>
      <c r="M132" s="139">
        <f>+'TABLA FINAL '!CZ5</f>
        <v>8.5500000000000007</v>
      </c>
      <c r="N132" s="139">
        <f>+'TABLA FINAL '!DA5</f>
        <v>9.06</v>
      </c>
      <c r="O132" s="139">
        <f>+'TABLA FINAL '!DB5</f>
        <v>9.06</v>
      </c>
      <c r="P132" s="141">
        <f>+'TABLA FINAL '!DC5</f>
        <v>9.06</v>
      </c>
    </row>
    <row r="133" spans="2:16">
      <c r="B133" s="566" t="s">
        <v>784</v>
      </c>
      <c r="C133" s="2626" t="s">
        <v>330</v>
      </c>
      <c r="D133" s="2865"/>
      <c r="E133" s="568">
        <f>+'TABLA FINAL '!CF27</f>
        <v>0</v>
      </c>
      <c r="F133" s="568">
        <f>+'TABLA FINAL '!CG27</f>
        <v>0</v>
      </c>
      <c r="G133" s="568">
        <f>+'TABLA FINAL '!CH27</f>
        <v>0</v>
      </c>
      <c r="H133" s="568">
        <f>+'TABLA FINAL '!CI27</f>
        <v>0</v>
      </c>
      <c r="I133" s="570">
        <f>'TABLA FINAL '!CV26</f>
        <v>1.0227272727272727</v>
      </c>
      <c r="J133" s="570">
        <f>'TABLA FINAL '!CW26</f>
        <v>0</v>
      </c>
      <c r="K133" s="570">
        <f>'TABLA FINAL '!CX26</f>
        <v>0</v>
      </c>
      <c r="L133" s="570">
        <f>'TABLA FINAL '!CY26</f>
        <v>0</v>
      </c>
      <c r="M133" s="570">
        <f>'TABLA FINAL '!CZ26</f>
        <v>0</v>
      </c>
      <c r="N133" s="570">
        <f>'TABLA FINAL '!DA26</f>
        <v>0</v>
      </c>
      <c r="O133" s="570">
        <f>'TABLA FINAL '!DB26</f>
        <v>0</v>
      </c>
      <c r="P133" s="572">
        <f>'TABLA FINAL '!DC26</f>
        <v>0</v>
      </c>
    </row>
    <row r="134" spans="2:16">
      <c r="B134" s="566" t="s">
        <v>496</v>
      </c>
      <c r="C134" s="2626" t="s">
        <v>492</v>
      </c>
      <c r="D134" s="2865"/>
      <c r="E134" s="568"/>
      <c r="F134" s="568"/>
      <c r="G134" s="568"/>
      <c r="H134" s="568"/>
      <c r="I134" s="568"/>
      <c r="J134" s="568"/>
      <c r="K134" s="568"/>
      <c r="L134" s="568"/>
      <c r="M134" s="568"/>
      <c r="N134" s="568"/>
      <c r="O134" s="568"/>
      <c r="P134" s="575"/>
    </row>
    <row r="135" spans="2:16" ht="16.5" thickBot="1">
      <c r="B135" s="373" t="s">
        <v>785</v>
      </c>
      <c r="C135" s="2661" t="s">
        <v>786</v>
      </c>
      <c r="D135" s="2661"/>
      <c r="E135" s="448">
        <f t="shared" ref="E135:P135" si="41">(E132+E134)*8*2.2521+E133*8</f>
        <v>141.251712</v>
      </c>
      <c r="F135" s="448">
        <f t="shared" si="41"/>
        <v>141.251712</v>
      </c>
      <c r="G135" s="448">
        <f t="shared" si="41"/>
        <v>141.251712</v>
      </c>
      <c r="H135" s="448">
        <f t="shared" si="41"/>
        <v>141.251712</v>
      </c>
      <c r="I135" s="448">
        <f t="shared" si="41"/>
        <v>149.43353018181818</v>
      </c>
      <c r="J135" s="448">
        <f t="shared" si="41"/>
        <v>154.04364000000001</v>
      </c>
      <c r="K135" s="448">
        <f t="shared" si="41"/>
        <v>154.04364000000001</v>
      </c>
      <c r="L135" s="448">
        <f t="shared" si="41"/>
        <v>154.04364000000001</v>
      </c>
      <c r="M135" s="448">
        <f t="shared" si="41"/>
        <v>154.04364000000001</v>
      </c>
      <c r="N135" s="448">
        <f t="shared" si="41"/>
        <v>163.23220800000001</v>
      </c>
      <c r="O135" s="448">
        <f t="shared" si="41"/>
        <v>163.23220800000001</v>
      </c>
      <c r="P135" s="131">
        <f t="shared" si="41"/>
        <v>163.23220800000001</v>
      </c>
    </row>
    <row r="136" spans="2:16" ht="16.5" thickBot="1">
      <c r="P136" s="361"/>
    </row>
    <row r="137" spans="2:16">
      <c r="B137" s="2623" t="s">
        <v>675</v>
      </c>
      <c r="C137" s="2659" t="s">
        <v>795</v>
      </c>
      <c r="D137" s="2866"/>
      <c r="E137" s="516">
        <f t="shared" ref="E137:J137" si="42">+ROUND((E130*100/$E$17),3)</f>
        <v>468.28300000000002</v>
      </c>
      <c r="F137" s="516">
        <f t="shared" si="42"/>
        <v>468.28300000000002</v>
      </c>
      <c r="G137" s="516">
        <f t="shared" si="42"/>
        <v>468.28300000000002</v>
      </c>
      <c r="H137" s="516">
        <f t="shared" si="42"/>
        <v>468.28300000000002</v>
      </c>
      <c r="I137" s="516">
        <f t="shared" si="42"/>
        <v>488.03699999999998</v>
      </c>
      <c r="J137" s="516">
        <f t="shared" si="42"/>
        <v>488.03699999999998</v>
      </c>
      <c r="K137" s="516">
        <f t="shared" ref="K137:P137" si="43">+ROUND((K130*100/$E$17),3)</f>
        <v>468.28300000000002</v>
      </c>
      <c r="L137" s="516">
        <f t="shared" si="43"/>
        <v>468.28300000000002</v>
      </c>
      <c r="M137" s="516">
        <f t="shared" si="43"/>
        <v>487.18700000000001</v>
      </c>
      <c r="N137" s="516">
        <f t="shared" si="43"/>
        <v>494.43799999999999</v>
      </c>
      <c r="O137" s="516">
        <f t="shared" si="43"/>
        <v>494.61200000000002</v>
      </c>
      <c r="P137" s="133">
        <f t="shared" si="43"/>
        <v>497.49799999999999</v>
      </c>
    </row>
    <row r="138" spans="2:16">
      <c r="B138" s="2640"/>
      <c r="C138" s="2626" t="s">
        <v>796</v>
      </c>
      <c r="D138" s="2865"/>
      <c r="E138" s="1257">
        <f t="shared" ref="E138:J138" si="44">+ROUND((E131*100/$E$18),2)</f>
        <v>499.37</v>
      </c>
      <c r="F138" s="1257">
        <f t="shared" si="44"/>
        <v>498.68</v>
      </c>
      <c r="G138" s="1257">
        <f t="shared" si="44"/>
        <v>497.69</v>
      </c>
      <c r="H138" s="1257">
        <f t="shared" si="44"/>
        <v>499.06</v>
      </c>
      <c r="I138" s="1257">
        <f t="shared" si="44"/>
        <v>506.93</v>
      </c>
      <c r="J138" s="1257">
        <f t="shared" si="44"/>
        <v>515.05999999999995</v>
      </c>
      <c r="K138" s="1257">
        <f t="shared" ref="K138:P138" si="45">+ROUND((K131*100/$E$18),2)</f>
        <v>517.91999999999996</v>
      </c>
      <c r="L138" s="1257">
        <f t="shared" si="45"/>
        <v>524.64</v>
      </c>
      <c r="M138" s="1257">
        <f t="shared" si="45"/>
        <v>526.57000000000005</v>
      </c>
      <c r="N138" s="1257">
        <f t="shared" si="45"/>
        <v>539.04</v>
      </c>
      <c r="O138" s="1257">
        <f t="shared" si="45"/>
        <v>540.84</v>
      </c>
      <c r="P138" s="1258">
        <f t="shared" si="45"/>
        <v>542.82000000000005</v>
      </c>
    </row>
    <row r="139" spans="2:16" ht="16.5" thickBot="1">
      <c r="B139" s="2625"/>
      <c r="C139" s="2642" t="s">
        <v>677</v>
      </c>
      <c r="D139" s="2867"/>
      <c r="E139" s="531">
        <f t="shared" ref="E139:J139" si="46">+ROUND(E135*100/$E$21,3)</f>
        <v>692.41</v>
      </c>
      <c r="F139" s="531">
        <f t="shared" si="46"/>
        <v>692.41</v>
      </c>
      <c r="G139" s="531">
        <f t="shared" si="46"/>
        <v>692.41</v>
      </c>
      <c r="H139" s="531">
        <f t="shared" si="46"/>
        <v>692.41</v>
      </c>
      <c r="I139" s="531">
        <f t="shared" si="46"/>
        <v>732.51700000000005</v>
      </c>
      <c r="J139" s="531">
        <f t="shared" si="46"/>
        <v>755.11599999999999</v>
      </c>
      <c r="K139" s="531">
        <f t="shared" ref="K139:P139" si="47">+ROUND(K135*100/$E$21,3)</f>
        <v>755.11599999999999</v>
      </c>
      <c r="L139" s="531">
        <f t="shared" si="47"/>
        <v>755.11599999999999</v>
      </c>
      <c r="M139" s="531">
        <f t="shared" si="47"/>
        <v>755.11599999999999</v>
      </c>
      <c r="N139" s="531">
        <f t="shared" si="47"/>
        <v>800.15800000000002</v>
      </c>
      <c r="O139" s="531">
        <f t="shared" si="47"/>
        <v>800.15800000000002</v>
      </c>
      <c r="P139" s="134">
        <f t="shared" si="47"/>
        <v>800.15800000000002</v>
      </c>
    </row>
    <row r="140" spans="2:16" ht="16.5" thickBot="1">
      <c r="D140" s="363"/>
      <c r="P140" s="361"/>
    </row>
    <row r="141" spans="2:16" ht="16.5" thickBot="1">
      <c r="B141" s="2636" t="s">
        <v>797</v>
      </c>
      <c r="C141" s="2637"/>
      <c r="D141" s="2638"/>
      <c r="E141" s="135">
        <f t="shared" ref="E141:J141" si="48">+ROUND(E137*0.3+E138*0.3+E139*0.4,2)</f>
        <v>567.26</v>
      </c>
      <c r="F141" s="135">
        <f t="shared" si="48"/>
        <v>567.04999999999995</v>
      </c>
      <c r="G141" s="135">
        <f t="shared" si="48"/>
        <v>566.76</v>
      </c>
      <c r="H141" s="135">
        <f t="shared" si="48"/>
        <v>567.16999999999996</v>
      </c>
      <c r="I141" s="135">
        <f t="shared" si="48"/>
        <v>591.5</v>
      </c>
      <c r="J141" s="135">
        <f t="shared" si="48"/>
        <v>602.98</v>
      </c>
      <c r="K141" s="135">
        <f t="shared" ref="K141:P141" si="49">+ROUND(K137*0.3+K138*0.3+K139*0.4,2)</f>
        <v>597.91</v>
      </c>
      <c r="L141" s="135">
        <f t="shared" si="49"/>
        <v>599.91999999999996</v>
      </c>
      <c r="M141" s="135">
        <f t="shared" si="49"/>
        <v>606.16999999999996</v>
      </c>
      <c r="N141" s="135">
        <f t="shared" si="49"/>
        <v>630.11</v>
      </c>
      <c r="O141" s="135">
        <f t="shared" si="49"/>
        <v>630.70000000000005</v>
      </c>
      <c r="P141" s="136">
        <f t="shared" si="49"/>
        <v>632.16</v>
      </c>
    </row>
    <row r="142" spans="2:16" ht="16.5" thickBot="1">
      <c r="P142" s="361"/>
    </row>
    <row r="143" spans="2:16" ht="12.75">
      <c r="B143" s="2623" t="s">
        <v>673</v>
      </c>
      <c r="C143" s="2628" t="s">
        <v>831</v>
      </c>
      <c r="D143" s="2629"/>
      <c r="E143" s="2619">
        <v>40179</v>
      </c>
      <c r="F143" s="2619">
        <v>40210</v>
      </c>
      <c r="G143" s="2619">
        <v>40238</v>
      </c>
      <c r="H143" s="2619">
        <v>40269</v>
      </c>
      <c r="I143" s="2619">
        <v>40299</v>
      </c>
      <c r="J143" s="2619">
        <v>40330</v>
      </c>
      <c r="K143" s="2619">
        <v>40360</v>
      </c>
      <c r="L143" s="2619">
        <v>40391</v>
      </c>
      <c r="M143" s="2619">
        <v>40422</v>
      </c>
      <c r="N143" s="2619">
        <v>40452</v>
      </c>
      <c r="O143" s="2619">
        <v>40483</v>
      </c>
      <c r="P143" s="2617">
        <v>40513</v>
      </c>
    </row>
    <row r="144" spans="2:16" ht="12.75">
      <c r="B144" s="2624"/>
      <c r="C144" s="2631"/>
      <c r="D144" s="2871"/>
      <c r="E144" s="2620"/>
      <c r="F144" s="2620"/>
      <c r="G144" s="2620"/>
      <c r="H144" s="2620"/>
      <c r="I144" s="2620"/>
      <c r="J144" s="2620"/>
      <c r="K144" s="2620"/>
      <c r="L144" s="2620"/>
      <c r="M144" s="2620"/>
      <c r="N144" s="2620"/>
      <c r="O144" s="2620"/>
      <c r="P144" s="2618"/>
    </row>
    <row r="145" spans="2:16" ht="13.5" thickBot="1">
      <c r="B145" s="2625"/>
      <c r="C145" s="2761"/>
      <c r="D145" s="2872"/>
      <c r="E145" s="2870"/>
      <c r="F145" s="2870"/>
      <c r="G145" s="2870"/>
      <c r="H145" s="2870"/>
      <c r="I145" s="2870"/>
      <c r="J145" s="2870"/>
      <c r="K145" s="2870"/>
      <c r="L145" s="2870"/>
      <c r="M145" s="2870"/>
      <c r="N145" s="2870"/>
      <c r="O145" s="2870"/>
      <c r="P145" s="2868"/>
    </row>
    <row r="146" spans="2:16">
      <c r="B146" s="563" t="s">
        <v>793</v>
      </c>
      <c r="C146" s="2672">
        <v>118</v>
      </c>
      <c r="D146" s="2672"/>
      <c r="E146" s="378">
        <f>+'TABLA FINAL '!DD138</f>
        <v>544.57000000000005</v>
      </c>
      <c r="F146" s="378">
        <f>+'TABLA FINAL '!DE138</f>
        <v>562.38</v>
      </c>
      <c r="G146" s="378">
        <f>+'TABLA FINAL '!DF138</f>
        <v>562.38</v>
      </c>
      <c r="H146" s="378">
        <f>+'TABLA FINAL '!DG138</f>
        <v>562.38</v>
      </c>
      <c r="I146" s="378">
        <f>+'TABLA FINAL '!DH138</f>
        <v>562.77</v>
      </c>
      <c r="J146" s="378">
        <f>+'TABLA FINAL '!DI138</f>
        <v>562.38</v>
      </c>
      <c r="K146" s="378">
        <f>+'TABLA FINAL '!DJ138</f>
        <v>562.38</v>
      </c>
      <c r="L146" s="378">
        <f>+'TABLA FINAL '!DK138</f>
        <v>556.23</v>
      </c>
      <c r="M146" s="378">
        <f>+'TABLA FINAL '!DL138</f>
        <v>556.62</v>
      </c>
      <c r="N146" s="378">
        <f>+'TABLA FINAL  NO'!DM143</f>
        <v>556.62</v>
      </c>
      <c r="O146" s="378">
        <f>+'TABLA FINAL  NO'!DN143</f>
        <v>579.16</v>
      </c>
      <c r="P146" s="541">
        <f>+'TABLA FINAL  NO'!DO143</f>
        <v>579.16</v>
      </c>
    </row>
    <row r="147" spans="2:16">
      <c r="B147" s="563" t="s">
        <v>794</v>
      </c>
      <c r="C147" s="2626">
        <v>302</v>
      </c>
      <c r="D147" s="2865"/>
      <c r="E147" s="139">
        <f>+'ANEXO B'!D253</f>
        <v>551.16999999999996</v>
      </c>
      <c r="F147" s="139">
        <f>+'ANEXO B'!E253</f>
        <v>556.57000000000005</v>
      </c>
      <c r="G147" s="139">
        <f>+'ANEXO B'!F253</f>
        <v>568.23</v>
      </c>
      <c r="H147" s="139">
        <f>+'ANEXO B'!G253</f>
        <v>572.29</v>
      </c>
      <c r="I147" s="139">
        <f>+'ANEXO B'!H253</f>
        <v>587.79999999999995</v>
      </c>
      <c r="J147" s="139">
        <f>+'ANEXO B'!I253</f>
        <v>589.46</v>
      </c>
      <c r="K147" s="139">
        <f>+'ANEXO B'!J253</f>
        <v>591</v>
      </c>
      <c r="L147" s="139">
        <f>+'ANEXO B'!K253</f>
        <v>600.77</v>
      </c>
      <c r="M147" s="139">
        <f>+'ANEXO B'!L253</f>
        <v>602.57000000000005</v>
      </c>
      <c r="N147" s="139">
        <f>+'ANEXO B'!M253</f>
        <v>604.69000000000005</v>
      </c>
      <c r="O147" s="139">
        <f>+'ANEXO B'!N253</f>
        <v>613.16</v>
      </c>
      <c r="P147" s="141">
        <f>+'ANEXO B'!O253</f>
        <v>626.46</v>
      </c>
    </row>
    <row r="148" spans="2:16">
      <c r="B148" s="372" t="s">
        <v>783</v>
      </c>
      <c r="C148" s="2658">
        <v>1</v>
      </c>
      <c r="D148" s="2658"/>
      <c r="E148" s="139">
        <f>+'TABLA FINAL '!DD5</f>
        <v>9.06</v>
      </c>
      <c r="F148" s="139">
        <f>+'TABLA FINAL '!DE5</f>
        <v>9.06</v>
      </c>
      <c r="G148" s="139">
        <f>+'TABLA FINAL '!DF5</f>
        <v>9.06</v>
      </c>
      <c r="H148" s="139">
        <f>+'TABLA FINAL '!DG5</f>
        <v>9.06</v>
      </c>
      <c r="I148" s="139">
        <f>+'TABLA FINAL '!DH5</f>
        <v>10.06</v>
      </c>
      <c r="J148" s="139">
        <f>+'TABLA FINAL '!DI5</f>
        <v>10.06</v>
      </c>
      <c r="K148" s="139">
        <f>+'TABLA FINAL '!DJ5</f>
        <v>10.06</v>
      </c>
      <c r="L148" s="139">
        <f>+'TABLA FINAL '!DK5</f>
        <v>10.76</v>
      </c>
      <c r="M148" s="139">
        <f>+'TABLA FINAL '!DL5</f>
        <v>10.76</v>
      </c>
      <c r="N148" s="139">
        <f>+'TABLA FINAL  NO'!DM5</f>
        <v>10.76</v>
      </c>
      <c r="O148" s="139">
        <f>+'TABLA FINAL  NO'!DN5</f>
        <v>10.76</v>
      </c>
      <c r="P148" s="141">
        <f>+'TABLA FINAL  NO'!DO5</f>
        <v>11.51</v>
      </c>
    </row>
    <row r="149" spans="2:16">
      <c r="B149" s="566" t="s">
        <v>784</v>
      </c>
      <c r="C149" s="2626" t="s">
        <v>330</v>
      </c>
      <c r="D149" s="2865"/>
      <c r="E149" s="568"/>
      <c r="F149" s="568"/>
      <c r="G149" s="568">
        <f>'TABLA FINAL '!DF26</f>
        <v>1.4204545454545454</v>
      </c>
      <c r="H149" s="568">
        <f>'TABLA FINAL '!DG26</f>
        <v>1.4204545454545454</v>
      </c>
      <c r="I149" s="568">
        <f>'TABLA FINAL '!DH26</f>
        <v>0</v>
      </c>
      <c r="J149" s="568">
        <f>'TABLA FINAL '!DI26</f>
        <v>0</v>
      </c>
      <c r="K149" s="568">
        <f>'TABLA FINAL '!DJ26</f>
        <v>0</v>
      </c>
      <c r="L149" s="568">
        <f>'TABLA FINAL '!DK26</f>
        <v>0</v>
      </c>
      <c r="M149" s="570"/>
      <c r="N149" s="570"/>
      <c r="O149" s="570"/>
      <c r="P149" s="572"/>
    </row>
    <row r="150" spans="2:16">
      <c r="B150" s="566" t="s">
        <v>496</v>
      </c>
      <c r="C150" s="2626" t="s">
        <v>492</v>
      </c>
      <c r="D150" s="2865"/>
      <c r="E150" s="568"/>
      <c r="F150" s="568"/>
      <c r="G150" s="568"/>
      <c r="H150" s="568"/>
      <c r="I150" s="568"/>
      <c r="J150" s="568"/>
      <c r="K150" s="568"/>
      <c r="L150" s="568"/>
      <c r="M150" s="568"/>
      <c r="N150" s="568"/>
      <c r="O150" s="568"/>
      <c r="P150" s="575"/>
    </row>
    <row r="151" spans="2:16" ht="16.5" thickBot="1">
      <c r="B151" s="373" t="s">
        <v>785</v>
      </c>
      <c r="C151" s="2661" t="s">
        <v>786</v>
      </c>
      <c r="D151" s="2661"/>
      <c r="E151" s="448">
        <f t="shared" ref="E151:P151" si="50">(E148+E150)*8*2.2521+E149*8</f>
        <v>163.23220800000001</v>
      </c>
      <c r="F151" s="448">
        <f t="shared" si="50"/>
        <v>163.23220800000001</v>
      </c>
      <c r="G151" s="448">
        <f t="shared" si="50"/>
        <v>174.59584436363639</v>
      </c>
      <c r="H151" s="448">
        <f t="shared" si="50"/>
        <v>174.59584436363639</v>
      </c>
      <c r="I151" s="448">
        <f t="shared" si="50"/>
        <v>181.249008</v>
      </c>
      <c r="J151" s="448">
        <f t="shared" si="50"/>
        <v>181.249008</v>
      </c>
      <c r="K151" s="448">
        <f t="shared" si="50"/>
        <v>181.249008</v>
      </c>
      <c r="L151" s="448">
        <f t="shared" si="50"/>
        <v>193.86076800000001</v>
      </c>
      <c r="M151" s="448">
        <f t="shared" si="50"/>
        <v>193.86076800000001</v>
      </c>
      <c r="N151" s="448">
        <f t="shared" si="50"/>
        <v>193.86076800000001</v>
      </c>
      <c r="O151" s="448">
        <f t="shared" si="50"/>
        <v>193.86076800000001</v>
      </c>
      <c r="P151" s="131">
        <f t="shared" si="50"/>
        <v>207.373368</v>
      </c>
    </row>
    <row r="152" spans="2:16" ht="16.5" thickBot="1">
      <c r="P152" s="361"/>
    </row>
    <row r="153" spans="2:16">
      <c r="B153" s="2623" t="s">
        <v>675</v>
      </c>
      <c r="C153" s="2659" t="s">
        <v>795</v>
      </c>
      <c r="D153" s="2866"/>
      <c r="E153" s="516">
        <f t="shared" ref="E153:P153" si="51">+ROUND((E146*100/$E$17),3)</f>
        <v>497.32400000000001</v>
      </c>
      <c r="F153" s="516">
        <f t="shared" si="51"/>
        <v>513.58900000000006</v>
      </c>
      <c r="G153" s="516">
        <f>+ROUND((G146*100/$E$17),3)</f>
        <v>513.58900000000006</v>
      </c>
      <c r="H153" s="516">
        <f t="shared" si="51"/>
        <v>513.58900000000006</v>
      </c>
      <c r="I153" s="516">
        <f t="shared" si="51"/>
        <v>513.94500000000005</v>
      </c>
      <c r="J153" s="516">
        <f>+ROUND((J146*100/$E$17),3)</f>
        <v>513.58900000000006</v>
      </c>
      <c r="K153" s="516">
        <f>+ROUND((K146*100/$E$17),3)</f>
        <v>513.58900000000006</v>
      </c>
      <c r="L153" s="516">
        <f>+ROUND((L146*100/$E$17),3)</f>
        <v>507.97300000000001</v>
      </c>
      <c r="M153" s="516">
        <f t="shared" si="51"/>
        <v>508.32900000000001</v>
      </c>
      <c r="N153" s="516">
        <f>+ROUND((N146*100/$E$17),3)</f>
        <v>508.32900000000001</v>
      </c>
      <c r="O153" s="516">
        <f t="shared" si="51"/>
        <v>528.91300000000001</v>
      </c>
      <c r="P153" s="133">
        <f t="shared" si="51"/>
        <v>528.91300000000001</v>
      </c>
    </row>
    <row r="154" spans="2:16">
      <c r="B154" s="2640"/>
      <c r="C154" s="2626" t="s">
        <v>796</v>
      </c>
      <c r="D154" s="2865"/>
      <c r="E154" s="1257">
        <f t="shared" ref="E154:P154" si="52">+ROUND((E147*100/$E$18),2)</f>
        <v>551.16999999999996</v>
      </c>
      <c r="F154" s="1257">
        <f t="shared" si="52"/>
        <v>556.57000000000005</v>
      </c>
      <c r="G154" s="1257">
        <f>+ROUND((G147*100/$E$18),2)</f>
        <v>568.23</v>
      </c>
      <c r="H154" s="1257">
        <f t="shared" si="52"/>
        <v>572.29</v>
      </c>
      <c r="I154" s="1257">
        <f t="shared" si="52"/>
        <v>587.79999999999995</v>
      </c>
      <c r="J154" s="1257">
        <f>+ROUND((J147*100/$E$18),2)</f>
        <v>589.46</v>
      </c>
      <c r="K154" s="1257">
        <f>+ROUND((K147*100/$E$18),2)</f>
        <v>591</v>
      </c>
      <c r="L154" s="1257">
        <f>+ROUND((L147*100/$E$18),2)</f>
        <v>600.77</v>
      </c>
      <c r="M154" s="1257">
        <f t="shared" si="52"/>
        <v>602.57000000000005</v>
      </c>
      <c r="N154" s="1257">
        <f>+ROUND((N147*100/$E$18),2)</f>
        <v>604.69000000000005</v>
      </c>
      <c r="O154" s="1257">
        <f t="shared" si="52"/>
        <v>613.16</v>
      </c>
      <c r="P154" s="1258">
        <f t="shared" si="52"/>
        <v>626.46</v>
      </c>
    </row>
    <row r="155" spans="2:16" ht="16.5" thickBot="1">
      <c r="B155" s="2625"/>
      <c r="C155" s="2642" t="s">
        <v>677</v>
      </c>
      <c r="D155" s="2867"/>
      <c r="E155" s="531">
        <f t="shared" ref="E155:P155" si="53">+ROUND(E151*100/$E$21,3)</f>
        <v>800.15800000000002</v>
      </c>
      <c r="F155" s="531">
        <f t="shared" si="53"/>
        <v>800.15800000000002</v>
      </c>
      <c r="G155" s="531">
        <f>+ROUND(G151*100/$E$21,3)</f>
        <v>855.86199999999997</v>
      </c>
      <c r="H155" s="531">
        <f t="shared" si="53"/>
        <v>855.86199999999997</v>
      </c>
      <c r="I155" s="531">
        <f t="shared" si="53"/>
        <v>888.476</v>
      </c>
      <c r="J155" s="531">
        <f>+ROUND(J151*100/$E$21,3)</f>
        <v>888.476</v>
      </c>
      <c r="K155" s="531">
        <f>+ROUND(K151*100/$E$21,3)</f>
        <v>888.476</v>
      </c>
      <c r="L155" s="531">
        <f>+ROUND(L151*100/$E$21,3)</f>
        <v>950.298</v>
      </c>
      <c r="M155" s="531">
        <f t="shared" si="53"/>
        <v>950.298</v>
      </c>
      <c r="N155" s="531">
        <f>+ROUND(N151*100/$E$21,3)</f>
        <v>950.298</v>
      </c>
      <c r="O155" s="531">
        <f t="shared" si="53"/>
        <v>950.298</v>
      </c>
      <c r="P155" s="134">
        <f t="shared" si="53"/>
        <v>1016.5359999999999</v>
      </c>
    </row>
    <row r="156" spans="2:16" ht="16.5" thickBot="1">
      <c r="D156" s="363"/>
      <c r="P156" s="361"/>
    </row>
    <row r="157" spans="2:16" ht="16.5" thickBot="1">
      <c r="B157" s="2636" t="s">
        <v>797</v>
      </c>
      <c r="C157" s="2637"/>
      <c r="D157" s="2638"/>
      <c r="E157" s="135">
        <f t="shared" ref="E157:P157" si="54">+ROUND(E153*0.3+E154*0.3+E155*0.4,2)</f>
        <v>634.61</v>
      </c>
      <c r="F157" s="135">
        <f t="shared" si="54"/>
        <v>641.11</v>
      </c>
      <c r="G157" s="135">
        <f>+ROUND(G153*0.3+G154*0.3+G155*0.4,2)</f>
        <v>666.89</v>
      </c>
      <c r="H157" s="135">
        <f t="shared" si="54"/>
        <v>668.11</v>
      </c>
      <c r="I157" s="135">
        <f t="shared" si="54"/>
        <v>685.91</v>
      </c>
      <c r="J157" s="135">
        <f>+ROUND(J153*0.3+J154*0.3+J155*0.4,2)</f>
        <v>686.31</v>
      </c>
      <c r="K157" s="135">
        <f>+ROUND(K153*0.3+K154*0.3+K155*0.4,2)</f>
        <v>686.77</v>
      </c>
      <c r="L157" s="135">
        <f>+ROUND(L153*0.3+L154*0.3+L155*0.4,2)</f>
        <v>712.74</v>
      </c>
      <c r="M157" s="135">
        <f t="shared" si="54"/>
        <v>713.39</v>
      </c>
      <c r="N157" s="135">
        <f>+ROUND(N153*0.3+N154*0.3+N155*0.4,2)</f>
        <v>714.02</v>
      </c>
      <c r="O157" s="135">
        <f t="shared" si="54"/>
        <v>722.74</v>
      </c>
      <c r="P157" s="136">
        <f t="shared" si="54"/>
        <v>753.23</v>
      </c>
    </row>
    <row r="158" spans="2:16" ht="16.5" thickBot="1"/>
    <row r="159" spans="2:16" ht="12.75">
      <c r="B159" s="2623" t="s">
        <v>673</v>
      </c>
      <c r="C159" s="2628" t="s">
        <v>831</v>
      </c>
      <c r="D159" s="2629"/>
      <c r="E159" s="2619">
        <v>40544</v>
      </c>
      <c r="F159" s="2619">
        <v>40575</v>
      </c>
      <c r="G159" s="2619">
        <v>40603</v>
      </c>
      <c r="H159" s="2619">
        <v>40634</v>
      </c>
      <c r="I159" s="2619">
        <v>40664</v>
      </c>
      <c r="J159" s="2619">
        <v>40695</v>
      </c>
      <c r="K159" s="2619">
        <v>40725</v>
      </c>
      <c r="L159" s="2619">
        <v>40756</v>
      </c>
      <c r="M159" s="2619">
        <v>40787</v>
      </c>
      <c r="N159" s="2619">
        <v>40817</v>
      </c>
      <c r="O159" s="2619">
        <v>40848</v>
      </c>
      <c r="P159" s="2617">
        <v>40878</v>
      </c>
    </row>
    <row r="160" spans="2:16" ht="12.75">
      <c r="B160" s="2624"/>
      <c r="C160" s="2631"/>
      <c r="D160" s="2871"/>
      <c r="E160" s="2620"/>
      <c r="F160" s="2620"/>
      <c r="G160" s="2620"/>
      <c r="H160" s="2620"/>
      <c r="I160" s="2620"/>
      <c r="J160" s="2620"/>
      <c r="K160" s="2620"/>
      <c r="L160" s="2620"/>
      <c r="M160" s="2620"/>
      <c r="N160" s="2620"/>
      <c r="O160" s="2620"/>
      <c r="P160" s="2618"/>
    </row>
    <row r="161" spans="2:16" ht="13.5" thickBot="1">
      <c r="B161" s="2625"/>
      <c r="C161" s="2761"/>
      <c r="D161" s="2872"/>
      <c r="E161" s="2870"/>
      <c r="F161" s="2870"/>
      <c r="G161" s="2870"/>
      <c r="H161" s="2870"/>
      <c r="I161" s="2870"/>
      <c r="J161" s="2870"/>
      <c r="K161" s="2870"/>
      <c r="L161" s="2870"/>
      <c r="M161" s="2870"/>
      <c r="N161" s="2870"/>
      <c r="O161" s="2870"/>
      <c r="P161" s="2868"/>
    </row>
    <row r="162" spans="2:16">
      <c r="B162" s="563" t="s">
        <v>793</v>
      </c>
      <c r="C162" s="2672">
        <v>118</v>
      </c>
      <c r="D162" s="2672"/>
      <c r="E162" s="378">
        <f>+'TABLA FINAL  NO'!DP143</f>
        <v>579.16</v>
      </c>
      <c r="F162" s="378">
        <f>+'TABLA FINAL  NO'!DQ143</f>
        <v>579.16</v>
      </c>
      <c r="G162" s="378">
        <f>+'TABLA FINAL  NO'!DR143</f>
        <v>579.16</v>
      </c>
      <c r="H162" s="378">
        <f>+'TABLA FINAL  NO'!DS143</f>
        <v>586.1</v>
      </c>
      <c r="I162" s="378">
        <f>+'TABLA FINAL  NO'!DT143</f>
        <v>590.65</v>
      </c>
      <c r="J162" s="378">
        <f>+'TABLA FINAL  NO'!DU143</f>
        <v>590.65</v>
      </c>
      <c r="K162" s="378">
        <f>+'TABLA FINAL  NO'!DV143</f>
        <v>607.87</v>
      </c>
      <c r="L162" s="464">
        <f>+'TABLA FINAL  NO'!DW143</f>
        <v>612.99</v>
      </c>
      <c r="M162" s="464">
        <f>+'TABLA FINAL  NO'!DX143</f>
        <v>622.64</v>
      </c>
      <c r="N162" s="464">
        <f>+'TABLA FINAL  NO'!DY143</f>
        <v>622.64</v>
      </c>
      <c r="O162" s="464">
        <f>+'TABLA FINAL  NO'!DZ143</f>
        <v>629.70000000000005</v>
      </c>
      <c r="P162" s="468">
        <f>+'TABLA FINAL  NO'!EA143</f>
        <v>629.70000000000005</v>
      </c>
    </row>
    <row r="163" spans="2:16">
      <c r="B163" s="563" t="s">
        <v>794</v>
      </c>
      <c r="C163" s="2626">
        <v>302</v>
      </c>
      <c r="D163" s="2865"/>
      <c r="E163" s="139">
        <f>+'ANEXO B'!D279</f>
        <v>627.91999999999996</v>
      </c>
      <c r="F163" s="139">
        <f>+'ANEXO B'!E279</f>
        <v>634.5</v>
      </c>
      <c r="G163" s="139">
        <f>+'ANEXO B'!F279</f>
        <v>637.38</v>
      </c>
      <c r="H163" s="139">
        <f>+'ANEXO B'!G279</f>
        <v>663.15</v>
      </c>
      <c r="I163" s="139">
        <f>+'ANEXO B'!H279</f>
        <v>669.02</v>
      </c>
      <c r="J163" s="139">
        <f>+'ANEXO B'!I279</f>
        <v>676.19</v>
      </c>
      <c r="K163" s="139">
        <f>+'ANEXO B'!J279</f>
        <v>678.43</v>
      </c>
      <c r="L163" s="330">
        <f>+'ANEXO B'!K279</f>
        <v>694.65</v>
      </c>
      <c r="M163" s="330">
        <f>+'ANEXO B'!L279</f>
        <v>695.98</v>
      </c>
      <c r="N163" s="330">
        <f>+'ANEXO B'!M279</f>
        <v>697.77</v>
      </c>
      <c r="O163" s="330">
        <f>+'ANEXO B'!N279</f>
        <v>712.47</v>
      </c>
      <c r="P163" s="332">
        <f>+'ANEXO B'!O279</f>
        <v>722.97</v>
      </c>
    </row>
    <row r="164" spans="2:16">
      <c r="B164" s="372" t="s">
        <v>783</v>
      </c>
      <c r="C164" s="2658">
        <v>1</v>
      </c>
      <c r="D164" s="2658"/>
      <c r="E164" s="139">
        <f>+'TABLA FINAL  NO'!DP5</f>
        <v>11.51</v>
      </c>
      <c r="F164" s="139">
        <f>+'TABLA FINAL  NO'!DQ5</f>
        <v>11.51</v>
      </c>
      <c r="G164" s="139">
        <f>+'TABLA FINAL  NO'!DR5</f>
        <v>11.51</v>
      </c>
      <c r="H164" s="139">
        <f>+'TABLA FINAL  NO'!DS5</f>
        <v>12.89</v>
      </c>
      <c r="I164" s="139">
        <f>+'TABLA FINAL  NO'!DT5</f>
        <v>12.89</v>
      </c>
      <c r="J164" s="139">
        <f>+'TABLA FINAL  NO'!DU5</f>
        <v>12.89</v>
      </c>
      <c r="K164" s="139">
        <f>+'TABLA FINAL  NO'!DV5</f>
        <v>12.89</v>
      </c>
      <c r="L164" s="330">
        <f>+'TABLA FINAL  NO'!DW5</f>
        <v>13.66</v>
      </c>
      <c r="M164" s="330">
        <f>+'TABLA FINAL  NO'!DX5</f>
        <v>13.66</v>
      </c>
      <c r="N164" s="330">
        <f>+'TABLA FINAL  NO'!DY5</f>
        <v>13.66</v>
      </c>
      <c r="O164" s="330">
        <f>+'TABLA FINAL  NO'!DZ5</f>
        <v>14.48</v>
      </c>
      <c r="P164" s="332">
        <f>+'TABLA FINAL  NO'!EA5</f>
        <v>14.48</v>
      </c>
    </row>
    <row r="165" spans="2:16">
      <c r="B165" s="566" t="s">
        <v>784</v>
      </c>
      <c r="C165" s="2626" t="s">
        <v>330</v>
      </c>
      <c r="D165" s="2865"/>
      <c r="E165" s="568"/>
      <c r="F165" s="568"/>
      <c r="G165" s="568"/>
      <c r="H165" s="568"/>
      <c r="I165" s="568">
        <f>'TABLA FINAL  NO'!DT11</f>
        <v>2.8977272727272729</v>
      </c>
      <c r="J165" s="568"/>
      <c r="K165" s="568">
        <f>'TABLA FINAL  NO'!DV11</f>
        <v>2.8977272727272729</v>
      </c>
      <c r="L165" s="986">
        <f>'TABLA FINAL  NO'!DW11</f>
        <v>0</v>
      </c>
      <c r="M165" s="986">
        <f>'TABLA FINAL  NO'!DX11</f>
        <v>2.8977272727272729</v>
      </c>
      <c r="N165" s="986">
        <f>'TABLA FINAL  NO'!DY11</f>
        <v>2.8977272727272729</v>
      </c>
      <c r="O165" s="986">
        <f>'TABLA FINAL  NO'!DZ11</f>
        <v>0</v>
      </c>
      <c r="P165" s="1012">
        <f>'TABLA FINAL  NO'!EA11</f>
        <v>0</v>
      </c>
    </row>
    <row r="166" spans="2:16">
      <c r="B166" s="566" t="s">
        <v>496</v>
      </c>
      <c r="C166" s="2626" t="s">
        <v>492</v>
      </c>
      <c r="D166" s="2865"/>
      <c r="E166" s="568"/>
      <c r="F166" s="568"/>
      <c r="G166" s="568"/>
      <c r="H166" s="568"/>
      <c r="I166" s="568"/>
      <c r="J166" s="568"/>
      <c r="K166" s="568"/>
      <c r="L166" s="986"/>
      <c r="M166" s="986"/>
      <c r="N166" s="986"/>
      <c r="O166" s="986"/>
      <c r="P166" s="1012"/>
    </row>
    <row r="167" spans="2:16" ht="16.5" thickBot="1">
      <c r="B167" s="373" t="s">
        <v>785</v>
      </c>
      <c r="C167" s="2661" t="s">
        <v>786</v>
      </c>
      <c r="D167" s="2661"/>
      <c r="E167" s="448">
        <f t="shared" ref="E167:P167" si="55">(E164+E166)*8*2.2521+E165*8</f>
        <v>207.373368</v>
      </c>
      <c r="F167" s="448">
        <f t="shared" si="55"/>
        <v>207.373368</v>
      </c>
      <c r="G167" s="448">
        <f t="shared" si="55"/>
        <v>207.373368</v>
      </c>
      <c r="H167" s="448">
        <f t="shared" si="55"/>
        <v>232.23655200000002</v>
      </c>
      <c r="I167" s="448">
        <f t="shared" si="55"/>
        <v>255.4183701818182</v>
      </c>
      <c r="J167" s="448">
        <f t="shared" si="55"/>
        <v>232.23655200000002</v>
      </c>
      <c r="K167" s="448">
        <f t="shared" si="55"/>
        <v>255.4183701818182</v>
      </c>
      <c r="L167" s="477">
        <f t="shared" si="55"/>
        <v>246.109488</v>
      </c>
      <c r="M167" s="477">
        <f t="shared" si="55"/>
        <v>269.29130618181819</v>
      </c>
      <c r="N167" s="477">
        <f t="shared" si="55"/>
        <v>269.29130618181819</v>
      </c>
      <c r="O167" s="477">
        <f t="shared" si="55"/>
        <v>260.883264</v>
      </c>
      <c r="P167" s="478">
        <f t="shared" si="55"/>
        <v>260.883264</v>
      </c>
    </row>
    <row r="168" spans="2:16" ht="16.5" thickBot="1">
      <c r="L168" s="1232"/>
      <c r="P168" s="361"/>
    </row>
    <row r="169" spans="2:16">
      <c r="B169" s="2623" t="s">
        <v>675</v>
      </c>
      <c r="C169" s="2659" t="s">
        <v>795</v>
      </c>
      <c r="D169" s="2866"/>
      <c r="E169" s="516">
        <f>+ROUND((E162*100/$E$17),3)</f>
        <v>528.91300000000001</v>
      </c>
      <c r="F169" s="516">
        <f t="shared" ref="F169:K169" si="56">+ROUND((F162*100/$E$17),3)</f>
        <v>528.91300000000001</v>
      </c>
      <c r="G169" s="516">
        <f t="shared" si="56"/>
        <v>528.91300000000001</v>
      </c>
      <c r="H169" s="516">
        <f t="shared" si="56"/>
        <v>535.25099999999998</v>
      </c>
      <c r="I169" s="516">
        <f t="shared" si="56"/>
        <v>539.40599999999995</v>
      </c>
      <c r="J169" s="516">
        <f t="shared" si="56"/>
        <v>539.40599999999995</v>
      </c>
      <c r="K169" s="516">
        <f t="shared" si="56"/>
        <v>555.13199999999995</v>
      </c>
      <c r="L169" s="553">
        <f>+ROUND((L162*100/$E$17),3)</f>
        <v>559.80799999999999</v>
      </c>
      <c r="M169" s="516">
        <f>+ROUND((M162*100/$E$17),3)</f>
        <v>568.62099999999998</v>
      </c>
      <c r="N169" s="516">
        <f>+ROUND((N162*100/$E$17),3)</f>
        <v>568.62099999999998</v>
      </c>
      <c r="O169" s="516">
        <f>+ROUND((O162*100/$E$17),3)</f>
        <v>575.06799999999998</v>
      </c>
      <c r="P169" s="133">
        <f>+ROUND((P162*100/$E$17),3)</f>
        <v>575.06799999999998</v>
      </c>
    </row>
    <row r="170" spans="2:16">
      <c r="B170" s="2640"/>
      <c r="C170" s="2626" t="s">
        <v>796</v>
      </c>
      <c r="D170" s="2865"/>
      <c r="E170" s="1257">
        <f>+ROUND((E163*100/$E$18),2)</f>
        <v>627.91999999999996</v>
      </c>
      <c r="F170" s="1257">
        <f t="shared" ref="F170:K170" si="57">+ROUND((F163*100/$E$18),2)</f>
        <v>634.5</v>
      </c>
      <c r="G170" s="1257">
        <f t="shared" si="57"/>
        <v>637.38</v>
      </c>
      <c r="H170" s="1257">
        <f t="shared" si="57"/>
        <v>663.15</v>
      </c>
      <c r="I170" s="1257">
        <f t="shared" si="57"/>
        <v>669.02</v>
      </c>
      <c r="J170" s="1257">
        <f t="shared" si="57"/>
        <v>676.19</v>
      </c>
      <c r="K170" s="1257">
        <f t="shared" si="57"/>
        <v>678.43</v>
      </c>
      <c r="L170" s="1263">
        <f>+ROUND((L163*100/$E$18),2)</f>
        <v>694.65</v>
      </c>
      <c r="M170" s="1257">
        <f>+ROUND((M163*100/$E$18),2)</f>
        <v>695.98</v>
      </c>
      <c r="N170" s="1257">
        <f>+ROUND((N163*100/$E$18),2)</f>
        <v>697.77</v>
      </c>
      <c r="O170" s="1257">
        <f>+ROUND((O163*100/$E$18),2)</f>
        <v>712.47</v>
      </c>
      <c r="P170" s="1258">
        <f>+ROUND((P163*100/$E$18),2)</f>
        <v>722.97</v>
      </c>
    </row>
    <row r="171" spans="2:16" ht="16.5" thickBot="1">
      <c r="B171" s="2625"/>
      <c r="C171" s="2642" t="s">
        <v>677</v>
      </c>
      <c r="D171" s="2867"/>
      <c r="E171" s="531">
        <f>+ROUND(E167*100/$E$21,3)</f>
        <v>1016.5359999999999</v>
      </c>
      <c r="F171" s="531">
        <f t="shared" ref="F171:K171" si="58">+ROUND(F167*100/$E$21,3)</f>
        <v>1016.5359999999999</v>
      </c>
      <c r="G171" s="531">
        <f t="shared" si="58"/>
        <v>1016.5359999999999</v>
      </c>
      <c r="H171" s="531">
        <f t="shared" si="58"/>
        <v>1138.414</v>
      </c>
      <c r="I171" s="531">
        <f t="shared" si="58"/>
        <v>1252.0509999999999</v>
      </c>
      <c r="J171" s="531">
        <f t="shared" si="58"/>
        <v>1138.414</v>
      </c>
      <c r="K171" s="531">
        <f t="shared" si="58"/>
        <v>1252.0509999999999</v>
      </c>
      <c r="L171" s="977">
        <f>+ROUND(L167*100/$E$21,3)</f>
        <v>1206.4190000000001</v>
      </c>
      <c r="M171" s="531">
        <f>+ROUND(M167*100/$E$21,3)</f>
        <v>1320.0550000000001</v>
      </c>
      <c r="N171" s="531">
        <f>+ROUND(N167*100/$E$21,3)</f>
        <v>1320.0550000000001</v>
      </c>
      <c r="O171" s="531">
        <f>+ROUND(O167*100/$E$21,3)</f>
        <v>1278.8399999999999</v>
      </c>
      <c r="P171" s="134">
        <f>+ROUND(P167*100/$E$21,3)</f>
        <v>1278.8399999999999</v>
      </c>
    </row>
    <row r="172" spans="2:16" ht="16.5" thickBot="1">
      <c r="D172" s="363"/>
      <c r="P172" s="361"/>
    </row>
    <row r="173" spans="2:16" ht="16.5" thickBot="1">
      <c r="B173" s="2636" t="s">
        <v>797</v>
      </c>
      <c r="C173" s="2637"/>
      <c r="D173" s="2638"/>
      <c r="E173" s="135">
        <f>+ROUND(E169*0.3+E170*0.3+E171*0.4,2)</f>
        <v>753.66</v>
      </c>
      <c r="F173" s="1264">
        <f t="shared" ref="F173:K173" si="59">+ROUND(F169*0.3+F170*0.3+F171*0.4,2)</f>
        <v>755.64</v>
      </c>
      <c r="G173" s="1264">
        <f t="shared" si="59"/>
        <v>756.5</v>
      </c>
      <c r="H173" s="1264">
        <f t="shared" si="59"/>
        <v>814.89</v>
      </c>
      <c r="I173" s="1264">
        <f t="shared" si="59"/>
        <v>863.35</v>
      </c>
      <c r="J173" s="1264">
        <f t="shared" si="59"/>
        <v>820.04</v>
      </c>
      <c r="K173" s="1264">
        <f t="shared" si="59"/>
        <v>870.89</v>
      </c>
      <c r="L173" s="135">
        <f>+ROUND(L169*0.3+L170*0.3+L171*0.4,2)</f>
        <v>858.91</v>
      </c>
      <c r="M173" s="135">
        <f>+ROUND(M169*0.3+M170*0.3+M171*0.4,2)</f>
        <v>907.4</v>
      </c>
      <c r="N173" s="135">
        <f>+ROUND(N169*0.3+N170*0.3+N171*0.4,2)</f>
        <v>907.94</v>
      </c>
      <c r="O173" s="135">
        <f>+ROUND(O169*0.3+O170*0.3+O171*0.4,2)</f>
        <v>897.8</v>
      </c>
      <c r="P173" s="136">
        <f>+ROUND(P169*0.3+P170*0.3+P171*0.4,2)</f>
        <v>900.95</v>
      </c>
    </row>
    <row r="174" spans="2:16" ht="16.5" thickBot="1"/>
    <row r="175" spans="2:16" ht="16.5" thickBot="1">
      <c r="B175" s="1265" t="s">
        <v>673</v>
      </c>
      <c r="C175" s="2670" t="s">
        <v>831</v>
      </c>
      <c r="D175" s="2765"/>
      <c r="E175" s="1233">
        <v>40909</v>
      </c>
      <c r="F175" s="1233">
        <v>40940</v>
      </c>
      <c r="G175" s="1233">
        <v>40969</v>
      </c>
      <c r="H175" s="1233">
        <v>41000</v>
      </c>
      <c r="I175" s="1233">
        <v>41030</v>
      </c>
      <c r="J175" s="1233">
        <v>41061</v>
      </c>
      <c r="K175" s="1233">
        <v>41091</v>
      </c>
      <c r="L175" s="1233">
        <v>41122</v>
      </c>
      <c r="M175" s="1233">
        <v>41153</v>
      </c>
      <c r="N175" s="1233">
        <v>41183</v>
      </c>
      <c r="O175" s="1233">
        <v>41214</v>
      </c>
      <c r="P175" s="1233">
        <v>41244</v>
      </c>
    </row>
    <row r="176" spans="2:16">
      <c r="B176" s="563" t="s">
        <v>793</v>
      </c>
      <c r="C176" s="2672">
        <v>118</v>
      </c>
      <c r="D176" s="2672"/>
      <c r="E176" s="1266">
        <f>'TABLA FINAL  NO'!EB143</f>
        <v>629.70000000000005</v>
      </c>
      <c r="F176" s="1266">
        <f>'TABLA FINAL  NO'!EC143</f>
        <v>629.70000000000005</v>
      </c>
      <c r="G176" s="1266">
        <f>'TABLA FINAL  NO'!ED143</f>
        <v>629.70000000000005</v>
      </c>
      <c r="H176" s="1266">
        <f>'TABLA FINAL  NO'!EE143</f>
        <v>629.70000000000005</v>
      </c>
      <c r="I176" s="1266">
        <f>'TABLA FINAL  NO'!EF143</f>
        <v>640.63</v>
      </c>
      <c r="J176" s="1266">
        <f>'TABLA FINAL  NO'!EG143</f>
        <v>667.72</v>
      </c>
      <c r="K176" s="1266">
        <f>'TABLA FINAL  NO'!EH143</f>
        <v>609.51</v>
      </c>
      <c r="L176" s="1266">
        <f>'TABLA FINAL  NO'!EI143</f>
        <v>609.51</v>
      </c>
      <c r="M176" s="1266">
        <f>'TABLA FINAL  NO'!EJ143</f>
        <v>609.51</v>
      </c>
      <c r="N176" s="1266">
        <f>'TABLA FINAL  NO'!EK143</f>
        <v>641.99</v>
      </c>
      <c r="O176" s="1266">
        <f>'TABLA FINAL  NO'!EL143</f>
        <v>698.02</v>
      </c>
      <c r="P176" s="482">
        <f>'TABLA FINAL  NO'!EM143</f>
        <v>698.02</v>
      </c>
    </row>
    <row r="177" spans="2:16">
      <c r="B177" s="563" t="s">
        <v>794</v>
      </c>
      <c r="C177" s="2626">
        <v>302</v>
      </c>
      <c r="D177" s="2865"/>
      <c r="E177" s="139">
        <f>'ANEXO B'!D304</f>
        <v>727.87</v>
      </c>
      <c r="F177" s="139">
        <f>'ANEXO B'!E304</f>
        <v>730.81</v>
      </c>
      <c r="G177" s="139">
        <f>'ANEXO B'!F304</f>
        <v>732.07</v>
      </c>
      <c r="H177" s="139">
        <f>'ANEXO B'!G304</f>
        <v>739.28</v>
      </c>
      <c r="I177" s="139">
        <f>'ANEXO B'!H304</f>
        <v>742.4</v>
      </c>
      <c r="J177" s="139">
        <f>'ANEXO B'!I304</f>
        <v>814.87</v>
      </c>
      <c r="K177" s="139">
        <f>'ANEXO B'!J304</f>
        <v>821.28</v>
      </c>
      <c r="L177" s="139">
        <f>'ANEXO B'!K304</f>
        <v>828.1</v>
      </c>
      <c r="M177" s="139">
        <f>'ANEXO B'!L304</f>
        <v>830.45</v>
      </c>
      <c r="N177" s="139">
        <f>'ANEXO B'!M304</f>
        <v>840.13</v>
      </c>
      <c r="O177" s="139">
        <f>'ANEXO B'!N304</f>
        <v>849.48</v>
      </c>
      <c r="P177" s="141">
        <f>'ANEXO B'!O304</f>
        <v>853.18</v>
      </c>
    </row>
    <row r="178" spans="2:16">
      <c r="B178" s="372" t="s">
        <v>783</v>
      </c>
      <c r="C178" s="2658">
        <v>1</v>
      </c>
      <c r="D178" s="2658"/>
      <c r="E178" s="139">
        <f>'TABLA FINAL  NO'!EB5</f>
        <v>14.48</v>
      </c>
      <c r="F178" s="139">
        <f>'TABLA FINAL  NO'!EC5</f>
        <v>14.48</v>
      </c>
      <c r="G178" s="139">
        <f>'TABLA FINAL  NO'!ED5</f>
        <v>14.48</v>
      </c>
      <c r="H178" s="139">
        <f>'TABLA FINAL  NO'!EE5</f>
        <v>14.48</v>
      </c>
      <c r="I178" s="139">
        <f>'TABLA FINAL  NO'!EF5</f>
        <v>14.48</v>
      </c>
      <c r="J178" s="139">
        <f>'TABLA FINAL  NO'!EG5</f>
        <v>18.61</v>
      </c>
      <c r="K178" s="139">
        <f>'TABLA FINAL  NO'!EH5</f>
        <v>18.61</v>
      </c>
      <c r="L178" s="139">
        <f>'TABLA FINAL  NO'!EI5</f>
        <v>18.61</v>
      </c>
      <c r="M178" s="139">
        <f>'TABLA FINAL  NO'!EJ5</f>
        <v>18.61</v>
      </c>
      <c r="N178" s="139">
        <f>'TABLA FINAL  NO'!EK5</f>
        <v>18.61</v>
      </c>
      <c r="O178" s="139">
        <f>'TABLA FINAL  NO'!EL5</f>
        <v>18.61</v>
      </c>
      <c r="P178" s="141">
        <f>'TABLA FINAL  NO'!EM5</f>
        <v>18.61</v>
      </c>
    </row>
    <row r="179" spans="2:16">
      <c r="B179" s="566" t="s">
        <v>784</v>
      </c>
      <c r="C179" s="2626" t="s">
        <v>418</v>
      </c>
      <c r="D179" s="2865"/>
      <c r="E179" s="568">
        <f>'TABLA FINAL  NO'!EB31</f>
        <v>2.2726999999999999</v>
      </c>
      <c r="F179" s="568">
        <f>'TABLA FINAL  NO'!EC31</f>
        <v>2.2726999999999999</v>
      </c>
      <c r="G179" s="568">
        <f>'TABLA FINAL  NO'!ED31</f>
        <v>2.2726999999999999</v>
      </c>
      <c r="H179" s="568">
        <f>'TABLA FINAL  NO'!EE31</f>
        <v>2.2726999999999999</v>
      </c>
      <c r="I179" s="568">
        <f>'TABLA FINAL  NO'!EF31</f>
        <v>0</v>
      </c>
      <c r="J179" s="568">
        <f>'TABLA FINAL  NO'!EG31</f>
        <v>3.2954545454545454</v>
      </c>
      <c r="K179" s="568">
        <f>'TABLA FINAL  NO'!EH31</f>
        <v>3.2954545454545454</v>
      </c>
      <c r="L179" s="568">
        <f>'TABLA FINAL  NO'!EI31</f>
        <v>0</v>
      </c>
      <c r="M179" s="986"/>
      <c r="N179" s="986"/>
      <c r="O179" s="986"/>
      <c r="P179" s="1012"/>
    </row>
    <row r="180" spans="2:16">
      <c r="B180" s="566" t="s">
        <v>496</v>
      </c>
      <c r="C180" s="2626" t="s">
        <v>278</v>
      </c>
      <c r="D180" s="2865"/>
      <c r="E180" s="568"/>
      <c r="F180" s="568"/>
      <c r="G180" s="568"/>
      <c r="H180" s="568"/>
      <c r="I180" s="568"/>
      <c r="J180" s="568"/>
      <c r="K180" s="568"/>
      <c r="L180" s="986"/>
      <c r="M180" s="986"/>
      <c r="N180" s="986"/>
      <c r="O180" s="986"/>
      <c r="P180" s="1012"/>
    </row>
    <row r="181" spans="2:16">
      <c r="B181" s="566" t="s">
        <v>785</v>
      </c>
      <c r="C181" s="2668" t="s">
        <v>786</v>
      </c>
      <c r="D181" s="2668"/>
      <c r="E181" s="1004">
        <f t="shared" ref="E181:P181" si="60">(E178+E180)*8*2.2521+E179*8</f>
        <v>279.064864</v>
      </c>
      <c r="F181" s="1004">
        <f t="shared" si="60"/>
        <v>279.064864</v>
      </c>
      <c r="G181" s="1004">
        <f t="shared" si="60"/>
        <v>279.064864</v>
      </c>
      <c r="H181" s="1004">
        <f t="shared" si="60"/>
        <v>279.064864</v>
      </c>
      <c r="I181" s="1004">
        <f t="shared" si="60"/>
        <v>260.883264</v>
      </c>
      <c r="J181" s="1004">
        <f t="shared" si="60"/>
        <v>361.65628436363636</v>
      </c>
      <c r="K181" s="1004">
        <f t="shared" si="60"/>
        <v>361.65628436363636</v>
      </c>
      <c r="L181" s="986">
        <f t="shared" si="60"/>
        <v>335.29264799999999</v>
      </c>
      <c r="M181" s="986">
        <f t="shared" si="60"/>
        <v>335.29264799999999</v>
      </c>
      <c r="N181" s="986">
        <f t="shared" si="60"/>
        <v>335.29264799999999</v>
      </c>
      <c r="O181" s="986">
        <f t="shared" si="60"/>
        <v>335.29264799999999</v>
      </c>
      <c r="P181" s="1012">
        <f t="shared" si="60"/>
        <v>335.29264799999999</v>
      </c>
    </row>
    <row r="182" spans="2:16">
      <c r="B182" s="2624" t="s">
        <v>675</v>
      </c>
      <c r="C182" s="2626" t="s">
        <v>795</v>
      </c>
      <c r="D182" s="2865"/>
      <c r="E182" s="391">
        <f>+ROUND((E176*100/$E$17),3)</f>
        <v>575.06799999999998</v>
      </c>
      <c r="F182" s="391">
        <f t="shared" ref="F182:K182" si="61">+ROUND((F176*100/$E$17),3)</f>
        <v>575.06799999999998</v>
      </c>
      <c r="G182" s="391">
        <f>+ROUND((G176*100/$E$17),3)</f>
        <v>575.06799999999998</v>
      </c>
      <c r="H182" s="391">
        <f>+ROUND((H176*100/$E$17),3)</f>
        <v>575.06799999999998</v>
      </c>
      <c r="I182" s="391">
        <f>+ROUND((I176*100/$E$17),3)</f>
        <v>585.04999999999995</v>
      </c>
      <c r="J182" s="391">
        <f t="shared" si="61"/>
        <v>609.79</v>
      </c>
      <c r="K182" s="391">
        <f t="shared" si="61"/>
        <v>556.63</v>
      </c>
      <c r="L182" s="394">
        <f>+ROUND((L176*100/$E$17),3)</f>
        <v>556.63</v>
      </c>
      <c r="M182" s="391">
        <f>+ROUND((M176*100/$E$17),3)</f>
        <v>556.63</v>
      </c>
      <c r="N182" s="391">
        <f>+ROUND((N176*100/$E$17),3)</f>
        <v>586.29200000000003</v>
      </c>
      <c r="O182" s="391">
        <f>+ROUND((O176*100/$E$17),3)</f>
        <v>637.46100000000001</v>
      </c>
      <c r="P182" s="520">
        <f>+ROUND((P176*100/$E$17),3)</f>
        <v>637.46100000000001</v>
      </c>
    </row>
    <row r="183" spans="2:16">
      <c r="B183" s="2640"/>
      <c r="C183" s="2626" t="s">
        <v>796</v>
      </c>
      <c r="D183" s="2865"/>
      <c r="E183" s="1257">
        <f>+ROUND((E177*100/$E$18),2)</f>
        <v>727.87</v>
      </c>
      <c r="F183" s="1257">
        <f t="shared" ref="F183:K183" si="62">+ROUND((F177*100/$E$18),2)</f>
        <v>730.81</v>
      </c>
      <c r="G183" s="1257">
        <f>+ROUND((G177*100/$E$18),2)</f>
        <v>732.07</v>
      </c>
      <c r="H183" s="1257">
        <f>+ROUND((H177*100/$E$18),2)</f>
        <v>739.28</v>
      </c>
      <c r="I183" s="1257">
        <f>+ROUND((I177*100/$E$18),2)</f>
        <v>742.4</v>
      </c>
      <c r="J183" s="1257">
        <f t="shared" si="62"/>
        <v>814.87</v>
      </c>
      <c r="K183" s="1257">
        <f t="shared" si="62"/>
        <v>821.28</v>
      </c>
      <c r="L183" s="1263">
        <f>+ROUND((L177*100/$E$18),2)</f>
        <v>828.1</v>
      </c>
      <c r="M183" s="1257">
        <f>+ROUND((M177*100/$E$18),2)</f>
        <v>830.45</v>
      </c>
      <c r="N183" s="1257">
        <f>+ROUND((N177*100/$E$18),2)</f>
        <v>840.13</v>
      </c>
      <c r="O183" s="1257">
        <f>+ROUND((O177*100/$E$18),2)</f>
        <v>849.48</v>
      </c>
      <c r="P183" s="1258">
        <f>+ROUND((P177*100/$E$18),2)</f>
        <v>853.18</v>
      </c>
    </row>
    <row r="184" spans="2:16" ht="16.5" thickBot="1">
      <c r="B184" s="2625"/>
      <c r="C184" s="2642" t="s">
        <v>677</v>
      </c>
      <c r="D184" s="2867"/>
      <c r="E184" s="531">
        <f>+ROUND(E181*100/$E$21,3)</f>
        <v>1367.9649999999999</v>
      </c>
      <c r="F184" s="531">
        <f t="shared" ref="F184:K184" si="63">+ROUND(F181*100/$E$21,3)</f>
        <v>1367.9649999999999</v>
      </c>
      <c r="G184" s="531">
        <f>+ROUND(G181*100/$E$21,3)</f>
        <v>1367.9649999999999</v>
      </c>
      <c r="H184" s="531">
        <f>+ROUND(H181*100/$E$21,3)</f>
        <v>1367.9649999999999</v>
      </c>
      <c r="I184" s="531">
        <f>+ROUND(I181*100/$E$21,3)</f>
        <v>1278.8399999999999</v>
      </c>
      <c r="J184" s="531">
        <f t="shared" si="63"/>
        <v>1772.825</v>
      </c>
      <c r="K184" s="531">
        <f t="shared" si="63"/>
        <v>1772.825</v>
      </c>
      <c r="L184" s="977">
        <f>+ROUND(L181*100/$E$21,3)</f>
        <v>1643.5909999999999</v>
      </c>
      <c r="M184" s="531">
        <f>+ROUND(M181*100/$E$21,3)</f>
        <v>1643.5909999999999</v>
      </c>
      <c r="N184" s="531">
        <f>+ROUND(N181*100/$E$21,3)</f>
        <v>1643.5909999999999</v>
      </c>
      <c r="O184" s="531">
        <f>+ROUND(O181*100/$E$21,3)</f>
        <v>1643.5909999999999</v>
      </c>
      <c r="P184" s="134">
        <f>+ROUND(P181*100/$E$21,3)</f>
        <v>1643.5909999999999</v>
      </c>
    </row>
    <row r="185" spans="2:16" ht="16.5" thickBot="1">
      <c r="B185" s="2636" t="s">
        <v>797</v>
      </c>
      <c r="C185" s="2637"/>
      <c r="D185" s="2637"/>
      <c r="E185" s="338">
        <f>+ROUND(E182*0.3+E183*0.3+E184*0.4,2)</f>
        <v>938.07</v>
      </c>
      <c r="F185" s="1264">
        <f t="shared" ref="F185:K185" si="64">+ROUND(F182*0.3+F183*0.3+F184*0.4,2)</f>
        <v>938.95</v>
      </c>
      <c r="G185" s="1264">
        <f>+ROUND(G182*0.3+G183*0.3+G184*0.4,2)</f>
        <v>939.33</v>
      </c>
      <c r="H185" s="1264">
        <f t="shared" si="64"/>
        <v>941.49</v>
      </c>
      <c r="I185" s="1264">
        <f t="shared" si="64"/>
        <v>909.77</v>
      </c>
      <c r="J185" s="1264">
        <f t="shared" si="64"/>
        <v>1136.53</v>
      </c>
      <c r="K185" s="1264">
        <f t="shared" si="64"/>
        <v>1122.5</v>
      </c>
      <c r="L185" s="135">
        <f>+ROUND(L182*0.3+L183*0.3+L184*0.4,2)</f>
        <v>1072.8599999999999</v>
      </c>
      <c r="M185" s="135">
        <f>+ROUND(M182*0.3+M183*0.3+M184*0.4,2)</f>
        <v>1073.56</v>
      </c>
      <c r="N185" s="135">
        <f>+ROUND(N182*0.3+N183*0.3+N184*0.4,2)</f>
        <v>1085.3599999999999</v>
      </c>
      <c r="O185" s="135">
        <f>+ROUND(O182*0.3+O183*0.3+O184*0.4,2)</f>
        <v>1103.52</v>
      </c>
      <c r="P185" s="136">
        <f>+ROUND(P182*0.3+P183*0.3+P184*0.4,2)</f>
        <v>1104.6300000000001</v>
      </c>
    </row>
    <row r="186" spans="2:16" ht="16.5" thickBot="1"/>
    <row r="187" spans="2:16" ht="16.5" thickBot="1">
      <c r="B187" s="365" t="s">
        <v>673</v>
      </c>
      <c r="C187" s="2628" t="s">
        <v>831</v>
      </c>
      <c r="D187" s="2629"/>
      <c r="E187" s="1233">
        <v>41275</v>
      </c>
      <c r="F187" s="1233">
        <v>41306</v>
      </c>
      <c r="G187" s="1233">
        <v>41334</v>
      </c>
      <c r="H187" s="1233">
        <v>41365</v>
      </c>
      <c r="I187" s="1233">
        <v>41395</v>
      </c>
      <c r="J187" s="1233">
        <v>41426</v>
      </c>
      <c r="K187" s="1233">
        <v>41456</v>
      </c>
      <c r="L187" s="1233">
        <v>41487</v>
      </c>
      <c r="M187" s="1233">
        <v>41518</v>
      </c>
      <c r="N187" s="1233">
        <v>41548</v>
      </c>
      <c r="O187" s="1233">
        <v>41579</v>
      </c>
      <c r="P187" s="1428">
        <v>41609</v>
      </c>
    </row>
    <row r="188" spans="2:16">
      <c r="B188" s="377" t="s">
        <v>793</v>
      </c>
      <c r="C188" s="2869">
        <v>118</v>
      </c>
      <c r="D188" s="2869"/>
      <c r="E188" s="1266">
        <f>+'TABLA FINAL  NO'!EN143</f>
        <v>698.02</v>
      </c>
      <c r="F188" s="1266">
        <f>+'TABLA FINAL  NO'!EO143</f>
        <v>669.24</v>
      </c>
      <c r="G188" s="1266">
        <f>+'TABLA FINAL  NO'!EP143</f>
        <v>678.09</v>
      </c>
      <c r="H188" s="1266">
        <f>+'TABLA FINAL  NO'!EQ143</f>
        <v>698.17</v>
      </c>
      <c r="I188" s="1266">
        <f>+'TABLA FINAL  NO'!ER143</f>
        <v>698.17</v>
      </c>
      <c r="J188" s="1266">
        <f>+'TABLA FINAL  NO'!ES143</f>
        <v>716.34</v>
      </c>
      <c r="K188" s="1266">
        <f>+'TABLA FINAL  NO'!ET143</f>
        <v>718.08</v>
      </c>
      <c r="L188" s="1266">
        <f>+'TABLA FINAL  NO'!EU143</f>
        <v>718.08</v>
      </c>
      <c r="M188" s="1266">
        <f>+'TABLA FINAL  NO'!EV143</f>
        <v>721.32</v>
      </c>
      <c r="N188" s="1266">
        <f>+'TABLA FINAL  NO'!EW143</f>
        <v>731.76</v>
      </c>
      <c r="O188" s="1266">
        <f>+'TABLA FINAL  NO'!EX143</f>
        <v>742.79</v>
      </c>
      <c r="P188" s="482">
        <f>+'TABLA FINAL  NO'!EY143</f>
        <v>787</v>
      </c>
    </row>
    <row r="189" spans="2:16">
      <c r="B189" s="563" t="s">
        <v>794</v>
      </c>
      <c r="C189" s="2626">
        <v>302</v>
      </c>
      <c r="D189" s="2865"/>
      <c r="E189" s="139">
        <f>+'ANEXO B'!D328</f>
        <v>855.12</v>
      </c>
      <c r="F189" s="139">
        <f>+'ANEXO B'!E328</f>
        <v>860.73</v>
      </c>
      <c r="G189" s="139">
        <f>+'ANEXO B'!F328</f>
        <v>862.21</v>
      </c>
      <c r="H189" s="139">
        <f>+'ANEXO B'!G328</f>
        <v>865.44</v>
      </c>
      <c r="I189" s="139">
        <f>+'ANEXO B'!H328</f>
        <v>876.61</v>
      </c>
      <c r="J189" s="139">
        <f>+'ANEXO B'!I328</f>
        <v>944.67</v>
      </c>
      <c r="K189" s="139">
        <f>+'ANEXO B'!J328</f>
        <v>950.09</v>
      </c>
      <c r="L189" s="139">
        <f>+'ANEXO B'!K328</f>
        <v>953.48</v>
      </c>
      <c r="M189" s="139">
        <f>+'ANEXO B'!L328</f>
        <v>984.58</v>
      </c>
      <c r="N189" s="139">
        <f>+'ANEXO B'!M328</f>
        <v>994.59</v>
      </c>
      <c r="O189" s="139">
        <f>+'ANEXO B'!N328</f>
        <v>998.36</v>
      </c>
      <c r="P189" s="141">
        <f>+'ANEXO B'!O328</f>
        <v>1019.21</v>
      </c>
    </row>
    <row r="190" spans="2:16">
      <c r="B190" s="372" t="s">
        <v>783</v>
      </c>
      <c r="C190" s="2658">
        <v>1</v>
      </c>
      <c r="D190" s="2658"/>
      <c r="E190" s="139">
        <f>+'TABLA FINAL  NO'!EN5</f>
        <v>18.61</v>
      </c>
      <c r="F190" s="139">
        <f>+'TABLA FINAL  NO'!EO5</f>
        <v>18.61</v>
      </c>
      <c r="G190" s="139">
        <f>+'TABLA FINAL  NO'!EP5</f>
        <v>18.61</v>
      </c>
      <c r="H190" s="139">
        <f>+'TABLA FINAL  NO'!EQ5</f>
        <v>18.61</v>
      </c>
      <c r="I190" s="139">
        <f>+'TABLA FINAL  NO'!ER5</f>
        <v>18.61</v>
      </c>
      <c r="J190" s="139">
        <f>+'TABLA FINAL  NO'!ES5</f>
        <v>21.96</v>
      </c>
      <c r="K190" s="139">
        <f>+'TABLA FINAL  NO'!ET5</f>
        <v>21.96</v>
      </c>
      <c r="L190" s="139">
        <f>+'TABLA FINAL  NO'!EU5</f>
        <v>21.96</v>
      </c>
      <c r="M190" s="139">
        <f>+'TABLA FINAL  NO'!EV5</f>
        <v>23.28</v>
      </c>
      <c r="N190" s="139">
        <f>+'TABLA FINAL  NO'!EW5</f>
        <v>23.28</v>
      </c>
      <c r="O190" s="139">
        <f>+'TABLA FINAL  NO'!EX5</f>
        <v>23.28</v>
      </c>
      <c r="P190" s="141">
        <f>+'TABLA FINAL  NO'!EY5</f>
        <v>23.28</v>
      </c>
    </row>
    <row r="191" spans="2:16">
      <c r="B191" s="566" t="s">
        <v>784</v>
      </c>
      <c r="C191" s="2626" t="s">
        <v>473</v>
      </c>
      <c r="D191" s="2865"/>
      <c r="E191" s="568"/>
      <c r="F191" s="568"/>
      <c r="G191" s="568">
        <f>'TABLA FINAL  NO'!EP31</f>
        <v>2.84</v>
      </c>
      <c r="H191" s="568">
        <f>'TABLA FINAL  NO'!EQ31</f>
        <v>2.84</v>
      </c>
      <c r="I191" s="568">
        <f>'TABLA FINAL  NO'!ER31</f>
        <v>2.84</v>
      </c>
      <c r="J191" s="568">
        <f>'TABLA FINAL  NO'!ES31</f>
        <v>2.84</v>
      </c>
      <c r="K191" s="568">
        <f>'TABLA FINAL  NO'!ET31</f>
        <v>3.4089999999999998</v>
      </c>
      <c r="L191" s="568">
        <f>'TABLA FINAL  NO'!EU31</f>
        <v>3.4089999999999998</v>
      </c>
      <c r="M191" s="568">
        <f>'TABLA FINAL  NO'!EV31</f>
        <v>0</v>
      </c>
      <c r="N191" s="986"/>
      <c r="O191" s="986"/>
      <c r="P191" s="1012"/>
    </row>
    <row r="192" spans="2:16">
      <c r="B192" s="566" t="s">
        <v>496</v>
      </c>
      <c r="C192" s="2626" t="s">
        <v>278</v>
      </c>
      <c r="D192" s="2865"/>
      <c r="E192" s="568"/>
      <c r="F192" s="568"/>
      <c r="G192" s="568"/>
      <c r="H192" s="568"/>
      <c r="I192" s="568"/>
      <c r="J192" s="568"/>
      <c r="K192" s="568"/>
      <c r="L192" s="986"/>
      <c r="M192" s="986"/>
      <c r="N192" s="986"/>
      <c r="O192" s="986"/>
      <c r="P192" s="1012"/>
    </row>
    <row r="193" spans="2:16">
      <c r="B193" s="566" t="s">
        <v>785</v>
      </c>
      <c r="C193" s="2668" t="s">
        <v>786</v>
      </c>
      <c r="D193" s="2668"/>
      <c r="E193" s="1004">
        <f t="shared" ref="E193:P193" si="65">(E190+E192)*8*2.2521+E191*8</f>
        <v>335.29264799999999</v>
      </c>
      <c r="F193" s="1004">
        <f t="shared" si="65"/>
        <v>335.29264799999999</v>
      </c>
      <c r="G193" s="1004">
        <f t="shared" si="65"/>
        <v>358.01264800000001</v>
      </c>
      <c r="H193" s="1004">
        <f t="shared" si="65"/>
        <v>358.01264800000001</v>
      </c>
      <c r="I193" s="1004">
        <f t="shared" si="65"/>
        <v>358.01264800000001</v>
      </c>
      <c r="J193" s="1004">
        <f t="shared" si="65"/>
        <v>418.36892799999998</v>
      </c>
      <c r="K193" s="1004">
        <f t="shared" si="65"/>
        <v>422.920928</v>
      </c>
      <c r="L193" s="986">
        <f t="shared" si="65"/>
        <v>422.920928</v>
      </c>
      <c r="M193" s="986">
        <f t="shared" si="65"/>
        <v>419.431104</v>
      </c>
      <c r="N193" s="986">
        <f t="shared" si="65"/>
        <v>419.431104</v>
      </c>
      <c r="O193" s="986">
        <f t="shared" si="65"/>
        <v>419.431104</v>
      </c>
      <c r="P193" s="1012">
        <f t="shared" si="65"/>
        <v>419.431104</v>
      </c>
    </row>
    <row r="194" spans="2:16">
      <c r="B194" s="2624" t="s">
        <v>675</v>
      </c>
      <c r="C194" s="2626" t="s">
        <v>795</v>
      </c>
      <c r="D194" s="2865"/>
      <c r="E194" s="391">
        <f t="shared" ref="E194:O194" si="66">+ROUND((E188*100/$E$17),3)</f>
        <v>637.46100000000001</v>
      </c>
      <c r="F194" s="391">
        <f t="shared" si="66"/>
        <v>611.178</v>
      </c>
      <c r="G194" s="391">
        <f t="shared" si="66"/>
        <v>619.26</v>
      </c>
      <c r="H194" s="391">
        <f t="shared" si="66"/>
        <v>637.59799999999996</v>
      </c>
      <c r="I194" s="391">
        <f t="shared" si="66"/>
        <v>637.59799999999996</v>
      </c>
      <c r="J194" s="391">
        <f t="shared" si="66"/>
        <v>654.19200000000001</v>
      </c>
      <c r="K194" s="391">
        <f t="shared" si="66"/>
        <v>655.78099999999995</v>
      </c>
      <c r="L194" s="394">
        <f t="shared" si="66"/>
        <v>655.78099999999995</v>
      </c>
      <c r="M194" s="391">
        <f t="shared" si="66"/>
        <v>658.74</v>
      </c>
      <c r="N194" s="391">
        <f t="shared" si="66"/>
        <v>668.274</v>
      </c>
      <c r="O194" s="391">
        <f t="shared" si="66"/>
        <v>678.34699999999998</v>
      </c>
      <c r="P194" s="520">
        <f>+ROUND((P188*100/$E$17),3)</f>
        <v>718.721</v>
      </c>
    </row>
    <row r="195" spans="2:16">
      <c r="B195" s="2640"/>
      <c r="C195" s="2626" t="s">
        <v>796</v>
      </c>
      <c r="D195" s="2865"/>
      <c r="E195" s="1257">
        <f t="shared" ref="E195:O195" si="67">+ROUND((E189*100/$E$18),2)</f>
        <v>855.12</v>
      </c>
      <c r="F195" s="1257">
        <f t="shared" si="67"/>
        <v>860.73</v>
      </c>
      <c r="G195" s="1257">
        <f t="shared" si="67"/>
        <v>862.21</v>
      </c>
      <c r="H195" s="1257">
        <f t="shared" si="67"/>
        <v>865.44</v>
      </c>
      <c r="I195" s="1257">
        <f t="shared" si="67"/>
        <v>876.61</v>
      </c>
      <c r="J195" s="1257">
        <f t="shared" si="67"/>
        <v>944.67</v>
      </c>
      <c r="K195" s="1257">
        <f t="shared" si="67"/>
        <v>950.09</v>
      </c>
      <c r="L195" s="1263">
        <f t="shared" si="67"/>
        <v>953.48</v>
      </c>
      <c r="M195" s="1257">
        <f t="shared" si="67"/>
        <v>984.58</v>
      </c>
      <c r="N195" s="1257">
        <f t="shared" si="67"/>
        <v>994.59</v>
      </c>
      <c r="O195" s="1257">
        <f t="shared" si="67"/>
        <v>998.36</v>
      </c>
      <c r="P195" s="1258">
        <f>+ROUND((P189*100/$E$18),2)</f>
        <v>1019.21</v>
      </c>
    </row>
    <row r="196" spans="2:16" ht="16.5" thickBot="1">
      <c r="B196" s="2625"/>
      <c r="C196" s="2642" t="s">
        <v>677</v>
      </c>
      <c r="D196" s="2867"/>
      <c r="E196" s="531">
        <f t="shared" ref="E196:O196" si="68">+ROUND(E193*100/$E$21,3)</f>
        <v>1643.5909999999999</v>
      </c>
      <c r="F196" s="531">
        <f t="shared" si="68"/>
        <v>1643.5909999999999</v>
      </c>
      <c r="G196" s="531">
        <f t="shared" si="68"/>
        <v>1754.9639999999999</v>
      </c>
      <c r="H196" s="531">
        <f t="shared" si="68"/>
        <v>1754.9639999999999</v>
      </c>
      <c r="I196" s="531">
        <f t="shared" si="68"/>
        <v>1754.9639999999999</v>
      </c>
      <c r="J196" s="531">
        <f t="shared" si="68"/>
        <v>2050.828</v>
      </c>
      <c r="K196" s="531">
        <f t="shared" si="68"/>
        <v>2073.1419999999998</v>
      </c>
      <c r="L196" s="977">
        <f t="shared" si="68"/>
        <v>2073.1419999999998</v>
      </c>
      <c r="M196" s="531">
        <f t="shared" si="68"/>
        <v>2056.0349999999999</v>
      </c>
      <c r="N196" s="531">
        <f t="shared" si="68"/>
        <v>2056.0349999999999</v>
      </c>
      <c r="O196" s="531">
        <f t="shared" si="68"/>
        <v>2056.0349999999999</v>
      </c>
      <c r="P196" s="134">
        <f>+ROUND(P193*100/$E$21,3)</f>
        <v>2056.0349999999999</v>
      </c>
    </row>
    <row r="197" spans="2:16" ht="16.5" thickBot="1">
      <c r="B197" s="2636" t="s">
        <v>797</v>
      </c>
      <c r="C197" s="2637"/>
      <c r="D197" s="2637"/>
      <c r="E197" s="1267">
        <f t="shared" ref="E197:P197" si="69">+ROUND(E194*0.3+E195*0.3+E196*0.4,2)</f>
        <v>1105.21</v>
      </c>
      <c r="F197" s="1268">
        <f t="shared" si="69"/>
        <v>1099.01</v>
      </c>
      <c r="G197" s="1268">
        <f t="shared" si="69"/>
        <v>1146.43</v>
      </c>
      <c r="H197" s="1268">
        <f t="shared" si="69"/>
        <v>1152.9000000000001</v>
      </c>
      <c r="I197" s="1268">
        <f t="shared" si="69"/>
        <v>1156.25</v>
      </c>
      <c r="J197" s="1268">
        <f t="shared" si="69"/>
        <v>1299.99</v>
      </c>
      <c r="K197" s="1268">
        <f t="shared" si="69"/>
        <v>1311.02</v>
      </c>
      <c r="L197" s="337">
        <f t="shared" si="69"/>
        <v>1312.04</v>
      </c>
      <c r="M197" s="337">
        <f t="shared" si="69"/>
        <v>1315.41</v>
      </c>
      <c r="N197" s="337">
        <f t="shared" si="69"/>
        <v>1321.27</v>
      </c>
      <c r="O197" s="1268">
        <f t="shared" si="69"/>
        <v>1325.43</v>
      </c>
      <c r="P197" s="1488">
        <f t="shared" si="69"/>
        <v>1343.79</v>
      </c>
    </row>
    <row r="199" spans="2:16" ht="16.5" thickBot="1">
      <c r="B199" s="365" t="s">
        <v>673</v>
      </c>
      <c r="C199" s="2628" t="s">
        <v>831</v>
      </c>
      <c r="D199" s="2629"/>
      <c r="E199" s="1233">
        <v>41640</v>
      </c>
      <c r="F199" s="1233">
        <v>41671</v>
      </c>
      <c r="G199" s="1233">
        <v>41699</v>
      </c>
      <c r="H199" s="1233">
        <v>41730</v>
      </c>
      <c r="I199" s="1233">
        <v>41760</v>
      </c>
      <c r="J199" s="1233">
        <v>41791</v>
      </c>
      <c r="K199" s="1233">
        <v>41821</v>
      </c>
      <c r="L199" s="1233">
        <v>41852</v>
      </c>
      <c r="M199" s="1233">
        <v>41883</v>
      </c>
      <c r="N199" s="1233">
        <v>41913</v>
      </c>
      <c r="O199" s="1233">
        <v>41944</v>
      </c>
      <c r="P199" s="1249">
        <v>41974</v>
      </c>
    </row>
    <row r="200" spans="2:16">
      <c r="B200" s="377" t="s">
        <v>793</v>
      </c>
      <c r="C200" s="2869">
        <v>118</v>
      </c>
      <c r="D200" s="2869"/>
      <c r="E200" s="800">
        <f>+'TABLA FINAL  NO'!EZ143</f>
        <v>889.1</v>
      </c>
      <c r="F200" s="800">
        <f>+'TABLA FINAL  NO'!FA143</f>
        <v>941.06</v>
      </c>
      <c r="G200" s="800">
        <f>+'TABLA FINAL  NO'!FB143</f>
        <v>942.94</v>
      </c>
      <c r="H200" s="800">
        <f>+'TABLA FINAL  NO'!FC143</f>
        <v>963.75</v>
      </c>
      <c r="I200" s="800">
        <f>+'TABLA FINAL  NO'!FD143</f>
        <v>970.38</v>
      </c>
      <c r="J200" s="800">
        <f>+'TABLA FINAL  NO'!FE143</f>
        <v>972.41</v>
      </c>
      <c r="K200" s="800">
        <f>+'TABLA FINAL  NO'!FF143</f>
        <v>972.78</v>
      </c>
      <c r="L200" s="800">
        <f>+'TABLA FINAL  NO'!FG143</f>
        <v>1022.19</v>
      </c>
      <c r="M200" s="800">
        <f>+'TABLA FINAL  NO'!FH143</f>
        <v>1024.52</v>
      </c>
      <c r="N200" s="800">
        <f>+'TABLA FINAL  NO'!FI143</f>
        <v>1034.95</v>
      </c>
      <c r="O200" s="800">
        <f>+'TABLA FINAL  NO'!FJ143</f>
        <v>1035.58</v>
      </c>
      <c r="P200" s="468">
        <f>+'TABLA FINAL  NO'!FK143</f>
        <v>1036.4100000000001</v>
      </c>
    </row>
    <row r="201" spans="2:16">
      <c r="B201" s="563" t="s">
        <v>794</v>
      </c>
      <c r="C201" s="2626">
        <v>302</v>
      </c>
      <c r="D201" s="2865"/>
      <c r="E201" s="330">
        <f>'ANEXO B'!D348</f>
        <v>1060.98</v>
      </c>
      <c r="F201" s="330">
        <f>'ANEXO B'!E348</f>
        <v>1108.93</v>
      </c>
      <c r="G201" s="330">
        <f>'ANEXO B'!F348</f>
        <v>1154.04</v>
      </c>
      <c r="H201" s="330">
        <f>'ANEXO B'!G348</f>
        <v>1238.71</v>
      </c>
      <c r="I201" s="330">
        <f>'ANEXO B'!H348</f>
        <v>1246.3800000000001</v>
      </c>
      <c r="J201" s="330">
        <f>'ANEXO B'!I348</f>
        <v>1269.06</v>
      </c>
      <c r="K201" s="330">
        <f>'ANEXO B'!J348</f>
        <v>1320.4</v>
      </c>
      <c r="L201" s="330">
        <f>'ANEXO B'!K348</f>
        <v>1333.15</v>
      </c>
      <c r="M201" s="330">
        <f>'ANEXO B'!L348</f>
        <v>1358.39</v>
      </c>
      <c r="N201" s="330">
        <f>'ANEXO B'!M348</f>
        <v>1363.98</v>
      </c>
      <c r="O201" s="330">
        <f>'ANEXO B'!N348</f>
        <v>1381.89</v>
      </c>
      <c r="P201" s="332">
        <f>'ANEXO B'!O348</f>
        <v>1388.18</v>
      </c>
    </row>
    <row r="202" spans="2:16">
      <c r="B202" s="372" t="s">
        <v>783</v>
      </c>
      <c r="C202" s="2658">
        <v>1</v>
      </c>
      <c r="D202" s="2658"/>
      <c r="E202" s="330">
        <f>+'TABLA FINAL  NO'!EZ5</f>
        <v>23.28</v>
      </c>
      <c r="F202" s="330">
        <f>+'TABLA FINAL  NO'!FA5</f>
        <v>23.28</v>
      </c>
      <c r="G202" s="330">
        <f>+'TABLA FINAL  NO'!FB5</f>
        <v>23.28</v>
      </c>
      <c r="H202" s="330">
        <f>+'TABLA FINAL  NO'!FC5</f>
        <v>27.42</v>
      </c>
      <c r="I202" s="330">
        <f>+'TABLA FINAL  NO'!FD5</f>
        <v>27.42</v>
      </c>
      <c r="J202" s="330">
        <f>+'TABLA FINAL  NO'!FE5</f>
        <v>27.42</v>
      </c>
      <c r="K202" s="330">
        <f>+'TABLA FINAL  NO'!FF5</f>
        <v>30.16</v>
      </c>
      <c r="L202" s="330">
        <f>+'TABLA FINAL  NO'!FG5</f>
        <v>30.16</v>
      </c>
      <c r="M202" s="330">
        <f>+'TABLA FINAL  NO'!FH5</f>
        <v>30.16</v>
      </c>
      <c r="N202" s="330">
        <f>+'TABLA FINAL  NO'!FI5</f>
        <v>30.16</v>
      </c>
      <c r="O202" s="330">
        <f>+'TABLA FINAL  NO'!FJ5</f>
        <v>30.16</v>
      </c>
      <c r="P202" s="332">
        <f>+'TABLA FINAL  NO'!FK5</f>
        <v>30.16</v>
      </c>
    </row>
    <row r="203" spans="2:16">
      <c r="B203" s="566" t="s">
        <v>784</v>
      </c>
      <c r="C203" s="2626" t="s">
        <v>473</v>
      </c>
      <c r="D203" s="2865"/>
      <c r="E203" s="986"/>
      <c r="F203" s="986"/>
      <c r="G203" s="568"/>
      <c r="H203" s="568"/>
      <c r="I203" s="568"/>
      <c r="J203" s="568"/>
      <c r="K203" s="568"/>
      <c r="L203" s="568"/>
      <c r="M203" s="568"/>
      <c r="N203" s="568"/>
      <c r="O203" s="568"/>
      <c r="P203" s="575"/>
    </row>
    <row r="204" spans="2:16">
      <c r="B204" s="566" t="s">
        <v>496</v>
      </c>
      <c r="C204" s="2626" t="s">
        <v>278</v>
      </c>
      <c r="D204" s="2865"/>
      <c r="E204" s="986"/>
      <c r="F204" s="986"/>
      <c r="G204" s="568"/>
      <c r="H204" s="568"/>
      <c r="I204" s="568"/>
      <c r="J204" s="568"/>
      <c r="K204" s="568"/>
      <c r="L204" s="986"/>
      <c r="M204" s="986"/>
      <c r="N204" s="986"/>
      <c r="O204" s="986"/>
      <c r="P204" s="1012"/>
    </row>
    <row r="205" spans="2:16">
      <c r="B205" s="566" t="s">
        <v>785</v>
      </c>
      <c r="C205" s="2668" t="s">
        <v>786</v>
      </c>
      <c r="D205" s="2668"/>
      <c r="E205" s="986">
        <f t="shared" ref="E205:L205" si="70">(E202+E204)*8*2.2521+E203*8</f>
        <v>419.431104</v>
      </c>
      <c r="F205" s="986">
        <f t="shared" si="70"/>
        <v>419.431104</v>
      </c>
      <c r="G205" s="986">
        <f t="shared" si="70"/>
        <v>419.431104</v>
      </c>
      <c r="H205" s="986">
        <f t="shared" si="70"/>
        <v>494.02065600000003</v>
      </c>
      <c r="I205" s="986">
        <f t="shared" si="70"/>
        <v>494.02065600000003</v>
      </c>
      <c r="J205" s="986">
        <f t="shared" si="70"/>
        <v>494.02065600000003</v>
      </c>
      <c r="K205" s="986">
        <f t="shared" si="70"/>
        <v>543.38668800000005</v>
      </c>
      <c r="L205" s="986">
        <f t="shared" si="70"/>
        <v>543.38668800000005</v>
      </c>
      <c r="M205" s="986">
        <f>(M202+M204)*8*2.2521+M203*8</f>
        <v>543.38668800000005</v>
      </c>
      <c r="N205" s="986">
        <f>(N202+N204)*8*2.2521+N203*8</f>
        <v>543.38668800000005</v>
      </c>
      <c r="O205" s="986">
        <f>(O202+O204)*8*2.2521+O203*8</f>
        <v>543.38668800000005</v>
      </c>
      <c r="P205" s="1012">
        <f>(P202+P204)*8*2.2521+P203*8</f>
        <v>543.38668800000005</v>
      </c>
    </row>
    <row r="206" spans="2:16">
      <c r="B206" s="2624" t="s">
        <v>675</v>
      </c>
      <c r="C206" s="2626" t="s">
        <v>795</v>
      </c>
      <c r="D206" s="2865"/>
      <c r="E206" s="700">
        <f t="shared" ref="E206:J206" si="71">+ROUND((E200*100/$E$17),3)</f>
        <v>811.96299999999997</v>
      </c>
      <c r="F206" s="700">
        <f t="shared" si="71"/>
        <v>859.41600000000005</v>
      </c>
      <c r="G206" s="700">
        <f t="shared" si="71"/>
        <v>861.13199999999995</v>
      </c>
      <c r="H206" s="700">
        <f t="shared" si="71"/>
        <v>880.13699999999994</v>
      </c>
      <c r="I206" s="700">
        <f t="shared" si="71"/>
        <v>886.19200000000001</v>
      </c>
      <c r="J206" s="700">
        <f t="shared" si="71"/>
        <v>888.04600000000005</v>
      </c>
      <c r="K206" s="700">
        <f t="shared" ref="K206:P206" si="72">+ROUND((K200*100/$E$17),3)</f>
        <v>888.38400000000001</v>
      </c>
      <c r="L206" s="700">
        <f t="shared" si="72"/>
        <v>933.50699999999995</v>
      </c>
      <c r="M206" s="700">
        <f t="shared" si="72"/>
        <v>935.63499999999999</v>
      </c>
      <c r="N206" s="700">
        <f t="shared" si="72"/>
        <v>945.16</v>
      </c>
      <c r="O206" s="700">
        <f t="shared" si="72"/>
        <v>945.73500000000001</v>
      </c>
      <c r="P206" s="658">
        <f t="shared" si="72"/>
        <v>946.49300000000005</v>
      </c>
    </row>
    <row r="207" spans="2:16">
      <c r="B207" s="2640"/>
      <c r="C207" s="2626" t="s">
        <v>796</v>
      </c>
      <c r="D207" s="2865"/>
      <c r="E207" s="1489">
        <f t="shared" ref="E207:J207" si="73">+ROUND((E201*100/$E$18),2)</f>
        <v>1060.98</v>
      </c>
      <c r="F207" s="1489">
        <f t="shared" si="73"/>
        <v>1108.93</v>
      </c>
      <c r="G207" s="1489">
        <f t="shared" si="73"/>
        <v>1154.04</v>
      </c>
      <c r="H207" s="1489">
        <f t="shared" si="73"/>
        <v>1238.71</v>
      </c>
      <c r="I207" s="1489">
        <f t="shared" si="73"/>
        <v>1246.3800000000001</v>
      </c>
      <c r="J207" s="1489">
        <f t="shared" si="73"/>
        <v>1269.06</v>
      </c>
      <c r="K207" s="1489">
        <f t="shared" ref="K207:P207" si="74">+ROUND((K201*100/$E$18),2)</f>
        <v>1320.4</v>
      </c>
      <c r="L207" s="1489">
        <f t="shared" si="74"/>
        <v>1333.15</v>
      </c>
      <c r="M207" s="1489">
        <f t="shared" si="74"/>
        <v>1358.39</v>
      </c>
      <c r="N207" s="1489">
        <f t="shared" si="74"/>
        <v>1363.98</v>
      </c>
      <c r="O207" s="1489">
        <f t="shared" si="74"/>
        <v>1381.89</v>
      </c>
      <c r="P207" s="1509">
        <f t="shared" si="74"/>
        <v>1388.18</v>
      </c>
    </row>
    <row r="208" spans="2:16" ht="16.5" thickBot="1">
      <c r="B208" s="2625"/>
      <c r="C208" s="2642" t="s">
        <v>677</v>
      </c>
      <c r="D208" s="2867"/>
      <c r="E208" s="980">
        <f t="shared" ref="E208:J208" si="75">+ROUND(E205*100/$E$21,3)</f>
        <v>2056.0349999999999</v>
      </c>
      <c r="F208" s="980">
        <f t="shared" si="75"/>
        <v>2056.0349999999999</v>
      </c>
      <c r="G208" s="980">
        <f t="shared" si="75"/>
        <v>2056.0349999999999</v>
      </c>
      <c r="H208" s="980">
        <f t="shared" si="75"/>
        <v>2421.67</v>
      </c>
      <c r="I208" s="980">
        <f t="shared" si="75"/>
        <v>2421.67</v>
      </c>
      <c r="J208" s="980">
        <f t="shared" si="75"/>
        <v>2421.67</v>
      </c>
      <c r="K208" s="980">
        <f t="shared" ref="K208:P208" si="76">+ROUND(K205*100/$E$21,3)</f>
        <v>2663.66</v>
      </c>
      <c r="L208" s="980">
        <f t="shared" si="76"/>
        <v>2663.66</v>
      </c>
      <c r="M208" s="980">
        <f t="shared" si="76"/>
        <v>2663.66</v>
      </c>
      <c r="N208" s="980">
        <f t="shared" si="76"/>
        <v>2663.66</v>
      </c>
      <c r="O208" s="980">
        <f t="shared" si="76"/>
        <v>2663.66</v>
      </c>
      <c r="P208" s="972">
        <f t="shared" si="76"/>
        <v>2663.66</v>
      </c>
    </row>
    <row r="209" spans="2:16" ht="16.5" thickBot="1">
      <c r="B209" s="2636" t="s">
        <v>797</v>
      </c>
      <c r="C209" s="2637"/>
      <c r="D209" s="2637"/>
      <c r="E209" s="1490">
        <f t="shared" ref="E209:L209" si="77">+ROUND(E206*0.3+E207*0.3+E208*0.4,2)</f>
        <v>1384.3</v>
      </c>
      <c r="F209" s="1490">
        <f t="shared" si="77"/>
        <v>1412.92</v>
      </c>
      <c r="G209" s="1490">
        <f t="shared" si="77"/>
        <v>1426.97</v>
      </c>
      <c r="H209" s="1490">
        <f t="shared" si="77"/>
        <v>1604.32</v>
      </c>
      <c r="I209" s="1490">
        <f t="shared" si="77"/>
        <v>1608.44</v>
      </c>
      <c r="J209" s="1490">
        <f t="shared" si="77"/>
        <v>1615.8</v>
      </c>
      <c r="K209" s="1490">
        <f t="shared" si="77"/>
        <v>1728.1</v>
      </c>
      <c r="L209" s="1490">
        <f t="shared" si="77"/>
        <v>1745.46</v>
      </c>
      <c r="M209" s="1490">
        <f>+ROUND(M206*0.3+M207*0.3+M208*0.4,2)</f>
        <v>1753.67</v>
      </c>
      <c r="N209" s="1490">
        <f>+ROUND(N206*0.3+N207*0.3+N208*0.4,2)</f>
        <v>1758.21</v>
      </c>
      <c r="O209" s="1490">
        <f>+ROUND(O206*0.3+O207*0.3+O208*0.4,2)</f>
        <v>1763.75</v>
      </c>
      <c r="P209" s="1488">
        <f>+ROUND(P206*0.3+P207*0.3+P208*0.4,2)</f>
        <v>1765.87</v>
      </c>
    </row>
    <row r="212" spans="2:16" ht="16.5" thickBot="1"/>
    <row r="213" spans="2:16" ht="16.5" thickBot="1">
      <c r="B213" s="365" t="s">
        <v>673</v>
      </c>
      <c r="C213" s="2628" t="s">
        <v>831</v>
      </c>
      <c r="D213" s="2629"/>
      <c r="E213" s="1233">
        <v>42005</v>
      </c>
      <c r="F213" s="1233">
        <v>42036</v>
      </c>
      <c r="G213" s="1233">
        <v>42064</v>
      </c>
      <c r="H213" s="1233">
        <v>42095</v>
      </c>
      <c r="I213" s="1233">
        <v>42125</v>
      </c>
      <c r="J213" s="1233">
        <v>42156</v>
      </c>
      <c r="K213" s="1233">
        <v>42186</v>
      </c>
      <c r="L213" s="1233">
        <v>42217</v>
      </c>
      <c r="M213" s="1233">
        <v>42248</v>
      </c>
      <c r="N213" s="1233">
        <v>42278</v>
      </c>
      <c r="O213" s="1233">
        <v>42309</v>
      </c>
      <c r="P213" s="1428">
        <v>42339</v>
      </c>
    </row>
    <row r="214" spans="2:16">
      <c r="B214" s="377" t="s">
        <v>793</v>
      </c>
      <c r="C214" s="2869">
        <v>118</v>
      </c>
      <c r="D214" s="2869"/>
      <c r="E214" s="800">
        <f>+'TABLA FINAL  NO'!FL143</f>
        <v>1037.22</v>
      </c>
      <c r="F214" s="800">
        <f>+'TABLA FINAL  NO'!FM143</f>
        <v>1069.04</v>
      </c>
      <c r="G214" s="800">
        <f>+'TABLA FINAL  NO'!FN143</f>
        <v>1052.3</v>
      </c>
      <c r="H214" s="800">
        <f>+'TABLA FINAL  NO'!FO143</f>
        <v>1065.28</v>
      </c>
      <c r="I214" s="800">
        <f>+'TABLA FINAL  NO'!FP143</f>
        <v>1072.67</v>
      </c>
      <c r="J214" s="800">
        <f>+'TABLA FINAL  NO'!FQ143</f>
        <v>1074.4000000000001</v>
      </c>
      <c r="K214" s="800">
        <f>+'TABLA FINAL  NO'!FR143</f>
        <v>1145.8800000000001</v>
      </c>
      <c r="L214" s="800">
        <f>+'TABLA FINAL  NO'!FS143</f>
        <v>1147.8800000000001</v>
      </c>
      <c r="M214" s="800">
        <f>+'TABLA FINAL  NO'!FT143</f>
        <v>1150.3</v>
      </c>
      <c r="N214" s="800">
        <f>+'TABLA FINAL  NO'!FU143</f>
        <v>1152.32</v>
      </c>
      <c r="O214" s="800" t="e">
        <f>+#REF!</f>
        <v>#REF!</v>
      </c>
      <c r="P214" s="468" t="e">
        <f>+#REF!</f>
        <v>#REF!</v>
      </c>
    </row>
    <row r="215" spans="2:16">
      <c r="B215" s="563" t="s">
        <v>794</v>
      </c>
      <c r="C215" s="2626">
        <v>302</v>
      </c>
      <c r="D215" s="2865"/>
      <c r="E215" s="330">
        <f>+'ANEXO B'!D368</f>
        <v>1392.53</v>
      </c>
      <c r="F215" s="330">
        <f>+'ANEXO B'!E368</f>
        <v>1395.78</v>
      </c>
      <c r="G215" s="330">
        <f>+'ANEXO B'!F368</f>
        <v>1423.5</v>
      </c>
      <c r="H215" s="330">
        <f>+'ANEXO B'!G368</f>
        <v>1522.23</v>
      </c>
      <c r="I215" s="330">
        <f>+'ANEXO B'!H368</f>
        <v>1536.26</v>
      </c>
      <c r="J215" s="330">
        <f>+'ANEXO B'!I368</f>
        <v>1547.97</v>
      </c>
      <c r="K215" s="330">
        <f>+'ANEXO B'!J368</f>
        <v>1567.81</v>
      </c>
      <c r="L215" s="330">
        <f>+'ANEXO B'!K368</f>
        <v>1644.98</v>
      </c>
      <c r="M215" s="330">
        <f>+'ANEXO B'!L368</f>
        <v>1657.56</v>
      </c>
      <c r="N215" s="330">
        <f>+'ANEXO B'!M368</f>
        <v>1671.15</v>
      </c>
      <c r="O215" s="330" t="e">
        <f>+'ANEXO B'!N368</f>
        <v>#REF!</v>
      </c>
      <c r="P215" s="332" t="e">
        <f>+'ANEXO B'!O368</f>
        <v>#REF!</v>
      </c>
    </row>
    <row r="216" spans="2:16">
      <c r="B216" s="372" t="s">
        <v>783</v>
      </c>
      <c r="C216" s="2658">
        <v>1</v>
      </c>
      <c r="D216" s="2658"/>
      <c r="E216" s="330">
        <f>+'TABLA FINAL  NO'!FL5</f>
        <v>30.16</v>
      </c>
      <c r="F216" s="330">
        <f>+'TABLA FINAL  NO'!FM5</f>
        <v>30.16</v>
      </c>
      <c r="G216" s="330">
        <f>+'TABLA FINAL  NO'!FN5</f>
        <v>30.16</v>
      </c>
      <c r="H216" s="330">
        <f>+'TABLA FINAL  NO'!FO5</f>
        <v>35.409999999999997</v>
      </c>
      <c r="I216" s="330">
        <f>+'TABLA FINAL  NO'!FP5</f>
        <v>35.409999999999997</v>
      </c>
      <c r="J216" s="330">
        <f>+'TABLA FINAL  NO'!FQ5</f>
        <v>35.409999999999997</v>
      </c>
      <c r="K216" s="330">
        <f>+'TABLA FINAL  NO'!FR5</f>
        <v>35.409999999999997</v>
      </c>
      <c r="L216" s="330">
        <f>+'TABLA FINAL  NO'!FS5</f>
        <v>38.42</v>
      </c>
      <c r="M216" s="330">
        <f>+'TABLA FINAL  NO'!FT5</f>
        <v>38.42</v>
      </c>
      <c r="N216" s="330">
        <f>+'TABLA FINAL  NO'!FU5</f>
        <v>38.42</v>
      </c>
      <c r="O216" s="330" t="e">
        <f>+#REF!</f>
        <v>#REF!</v>
      </c>
      <c r="P216" s="332" t="e">
        <f>+#REF!</f>
        <v>#REF!</v>
      </c>
    </row>
    <row r="217" spans="2:16">
      <c r="B217" s="566" t="s">
        <v>784</v>
      </c>
      <c r="C217" s="2626" t="s">
        <v>473</v>
      </c>
      <c r="D217" s="2865"/>
      <c r="E217" s="986">
        <f>+'TABLA FINAL  NO'!FL31</f>
        <v>0</v>
      </c>
      <c r="F217" s="986"/>
      <c r="G217" s="986"/>
      <c r="H217" s="986"/>
      <c r="I217" s="986"/>
      <c r="J217" s="986"/>
      <c r="K217" s="986"/>
      <c r="L217" s="986"/>
      <c r="M217" s="986"/>
      <c r="N217" s="986"/>
      <c r="O217" s="986"/>
      <c r="P217" s="1012"/>
    </row>
    <row r="218" spans="2:16">
      <c r="B218" s="566" t="s">
        <v>496</v>
      </c>
      <c r="C218" s="2626" t="s">
        <v>278</v>
      </c>
      <c r="D218" s="2865"/>
      <c r="E218" s="986"/>
      <c r="F218" s="986"/>
      <c r="G218" s="986"/>
      <c r="H218" s="986"/>
      <c r="I218" s="986"/>
      <c r="J218" s="986"/>
      <c r="K218" s="986"/>
      <c r="L218" s="986"/>
      <c r="M218" s="986"/>
      <c r="N218" s="986"/>
      <c r="O218" s="986"/>
      <c r="P218" s="1012"/>
    </row>
    <row r="219" spans="2:16">
      <c r="B219" s="566" t="s">
        <v>785</v>
      </c>
      <c r="C219" s="2668" t="s">
        <v>786</v>
      </c>
      <c r="D219" s="2668"/>
      <c r="E219" s="986">
        <f t="shared" ref="E219:J219" si="78">(E216+E218)*8*2.2521+E217*8</f>
        <v>543.38668800000005</v>
      </c>
      <c r="F219" s="986">
        <f t="shared" si="78"/>
        <v>543.38668800000005</v>
      </c>
      <c r="G219" s="986">
        <f t="shared" si="78"/>
        <v>543.38668800000005</v>
      </c>
      <c r="H219" s="986">
        <f t="shared" si="78"/>
        <v>637.97488799999996</v>
      </c>
      <c r="I219" s="986">
        <f t="shared" si="78"/>
        <v>637.97488799999996</v>
      </c>
      <c r="J219" s="986">
        <f t="shared" si="78"/>
        <v>637.97488799999996</v>
      </c>
      <c r="K219" s="986">
        <f t="shared" ref="K219:P219" si="79">(K216+K218)*8*2.2521+K217*8</f>
        <v>637.97488799999996</v>
      </c>
      <c r="L219" s="986">
        <f t="shared" si="79"/>
        <v>692.20545600000003</v>
      </c>
      <c r="M219" s="986">
        <f t="shared" si="79"/>
        <v>692.20545600000003</v>
      </c>
      <c r="N219" s="986">
        <f t="shared" si="79"/>
        <v>692.20545600000003</v>
      </c>
      <c r="O219" s="986" t="e">
        <f t="shared" si="79"/>
        <v>#REF!</v>
      </c>
      <c r="P219" s="1012" t="e">
        <f t="shared" si="79"/>
        <v>#REF!</v>
      </c>
    </row>
    <row r="220" spans="2:16">
      <c r="B220" s="2624" t="s">
        <v>675</v>
      </c>
      <c r="C220" s="2626" t="s">
        <v>795</v>
      </c>
      <c r="D220" s="2865"/>
      <c r="E220" s="700">
        <f t="shared" ref="E220:J220" si="80">+ROUND((E214*100/$E$17),3)</f>
        <v>947.23299999999995</v>
      </c>
      <c r="F220" s="700">
        <f t="shared" si="80"/>
        <v>976.29200000000003</v>
      </c>
      <c r="G220" s="700">
        <f t="shared" si="80"/>
        <v>961.005</v>
      </c>
      <c r="H220" s="700">
        <f t="shared" si="80"/>
        <v>972.85799999999995</v>
      </c>
      <c r="I220" s="700">
        <f t="shared" si="80"/>
        <v>979.60699999999997</v>
      </c>
      <c r="J220" s="700">
        <f t="shared" si="80"/>
        <v>981.18700000000001</v>
      </c>
      <c r="K220" s="700">
        <f t="shared" ref="K220:P220" si="81">+ROUND((K214*100/$E$17),3)</f>
        <v>1046.4659999999999</v>
      </c>
      <c r="L220" s="700">
        <f t="shared" si="81"/>
        <v>1048.2919999999999</v>
      </c>
      <c r="M220" s="700">
        <f t="shared" si="81"/>
        <v>1050.502</v>
      </c>
      <c r="N220" s="700">
        <f t="shared" si="81"/>
        <v>1052.347</v>
      </c>
      <c r="O220" s="700" t="e">
        <f t="shared" si="81"/>
        <v>#REF!</v>
      </c>
      <c r="P220" s="658" t="e">
        <f t="shared" si="81"/>
        <v>#REF!</v>
      </c>
    </row>
    <row r="221" spans="2:16">
      <c r="B221" s="2640"/>
      <c r="C221" s="2626" t="s">
        <v>796</v>
      </c>
      <c r="D221" s="2865"/>
      <c r="E221" s="1489">
        <f t="shared" ref="E221:J221" si="82">+ROUND((E215*100/$E$18),2)</f>
        <v>1392.53</v>
      </c>
      <c r="F221" s="1489">
        <f t="shared" si="82"/>
        <v>1395.78</v>
      </c>
      <c r="G221" s="1489">
        <f t="shared" si="82"/>
        <v>1423.5</v>
      </c>
      <c r="H221" s="1489">
        <f t="shared" si="82"/>
        <v>1522.23</v>
      </c>
      <c r="I221" s="1489">
        <f t="shared" si="82"/>
        <v>1536.26</v>
      </c>
      <c r="J221" s="1489">
        <f t="shared" si="82"/>
        <v>1547.97</v>
      </c>
      <c r="K221" s="1489">
        <f t="shared" ref="K221:P221" si="83">+ROUND((K215*100/$E$18),2)</f>
        <v>1567.81</v>
      </c>
      <c r="L221" s="1489">
        <f t="shared" si="83"/>
        <v>1644.98</v>
      </c>
      <c r="M221" s="1489">
        <f t="shared" si="83"/>
        <v>1657.56</v>
      </c>
      <c r="N221" s="1489">
        <f t="shared" si="83"/>
        <v>1671.15</v>
      </c>
      <c r="O221" s="1489" t="e">
        <f t="shared" si="83"/>
        <v>#REF!</v>
      </c>
      <c r="P221" s="1509" t="e">
        <f t="shared" si="83"/>
        <v>#REF!</v>
      </c>
    </row>
    <row r="222" spans="2:16" ht="16.5" thickBot="1">
      <c r="B222" s="2625"/>
      <c r="C222" s="2642" t="s">
        <v>677</v>
      </c>
      <c r="D222" s="2867"/>
      <c r="E222" s="980">
        <f t="shared" ref="E222:J222" si="84">+ROUND(E219*100/$E$21,3)</f>
        <v>2663.66</v>
      </c>
      <c r="F222" s="980">
        <f t="shared" si="84"/>
        <v>2663.66</v>
      </c>
      <c r="G222" s="980">
        <f t="shared" si="84"/>
        <v>2663.66</v>
      </c>
      <c r="H222" s="980">
        <f t="shared" si="84"/>
        <v>3127.328</v>
      </c>
      <c r="I222" s="980">
        <f t="shared" si="84"/>
        <v>3127.328</v>
      </c>
      <c r="J222" s="980">
        <f t="shared" si="84"/>
        <v>3127.328</v>
      </c>
      <c r="K222" s="980">
        <f t="shared" ref="K222:P222" si="85">+ROUND(K219*100/$E$21,3)</f>
        <v>3127.328</v>
      </c>
      <c r="L222" s="980">
        <f t="shared" si="85"/>
        <v>3393.1640000000002</v>
      </c>
      <c r="M222" s="980">
        <f t="shared" si="85"/>
        <v>3393.1640000000002</v>
      </c>
      <c r="N222" s="980">
        <f t="shared" si="85"/>
        <v>3393.1640000000002</v>
      </c>
      <c r="O222" s="980" t="e">
        <f t="shared" si="85"/>
        <v>#REF!</v>
      </c>
      <c r="P222" s="972" t="e">
        <f t="shared" si="85"/>
        <v>#REF!</v>
      </c>
    </row>
    <row r="223" spans="2:16" ht="16.5" thickBot="1">
      <c r="B223" s="2636" t="s">
        <v>797</v>
      </c>
      <c r="C223" s="2637"/>
      <c r="D223" s="2637"/>
      <c r="E223" s="1490">
        <f>+ROUND(E220*0.3+E221*0.3+E222*0.4,2)</f>
        <v>1767.39</v>
      </c>
      <c r="F223" s="1490">
        <f>+ROUND(F220*0.3+F221*0.3+F222*0.4,2)</f>
        <v>1777.09</v>
      </c>
      <c r="G223" s="1490">
        <f t="shared" ref="G223:L223" si="86">+ROUND(G220*0.3+G221*0.3+G222*0.4,2)</f>
        <v>1780.82</v>
      </c>
      <c r="H223" s="1490">
        <f t="shared" si="86"/>
        <v>1999.46</v>
      </c>
      <c r="I223" s="1490">
        <f t="shared" si="86"/>
        <v>2005.69</v>
      </c>
      <c r="J223" s="1490">
        <f t="shared" si="86"/>
        <v>2009.68</v>
      </c>
      <c r="K223" s="1490">
        <f t="shared" si="86"/>
        <v>2035.21</v>
      </c>
      <c r="L223" s="1490">
        <f t="shared" si="86"/>
        <v>2165.25</v>
      </c>
      <c r="M223" s="1490">
        <f>+ROUND(M220*0.3+M221*0.3+M222*0.4,2)</f>
        <v>2169.6799999999998</v>
      </c>
      <c r="N223" s="1490">
        <f>+ROUND(N220*0.3+N221*0.3+N222*0.4,2)</f>
        <v>2174.31</v>
      </c>
      <c r="O223" s="1490" t="e">
        <f>+ROUND(O220*0.3+O221*0.3+O222*0.4,2)</f>
        <v>#REF!</v>
      </c>
      <c r="P223" s="1488" t="e">
        <f>+ROUND(P220*0.3+P221*0.3+P222*0.4,2)</f>
        <v>#REF!</v>
      </c>
    </row>
    <row r="224" spans="2:16" ht="16.5" thickBot="1"/>
    <row r="225" spans="2:16" ht="16.5" thickBot="1">
      <c r="B225" s="365" t="s">
        <v>673</v>
      </c>
      <c r="C225" s="2628" t="s">
        <v>831</v>
      </c>
      <c r="D225" s="2629"/>
      <c r="E225" s="1233">
        <v>42370</v>
      </c>
      <c r="F225" s="1233">
        <v>42401</v>
      </c>
      <c r="G225" s="1233">
        <v>42430</v>
      </c>
      <c r="H225" s="1233">
        <v>42461</v>
      </c>
      <c r="I225" s="1233">
        <v>42491</v>
      </c>
      <c r="J225" s="1233">
        <v>42522</v>
      </c>
      <c r="K225" s="1233">
        <v>42552</v>
      </c>
      <c r="L225" s="1233">
        <v>42583</v>
      </c>
      <c r="M225" s="1233">
        <v>42614</v>
      </c>
      <c r="N225" s="1233">
        <v>42644</v>
      </c>
      <c r="O225" s="1233">
        <v>42675</v>
      </c>
      <c r="P225" s="1428">
        <v>42705</v>
      </c>
    </row>
    <row r="226" spans="2:16">
      <c r="B226" s="377" t="s">
        <v>793</v>
      </c>
      <c r="C226" s="2869">
        <v>118</v>
      </c>
      <c r="D226" s="2869"/>
      <c r="E226" s="549">
        <f>+'Insumos testigos '!FY136</f>
        <v>100</v>
      </c>
      <c r="F226" s="549">
        <f>+'Insumos testigos '!FZ136</f>
        <v>104.09826040267944</v>
      </c>
      <c r="G226" s="549">
        <f>+'Insumos testigos '!GA136</f>
        <v>103.23789256321092</v>
      </c>
      <c r="H226" s="549">
        <f>+'Insumos testigos '!GB136</f>
        <v>103.45418660887361</v>
      </c>
      <c r="I226" s="549">
        <f>+'Insumos testigos '!GC136</f>
        <v>102.26373573490486</v>
      </c>
      <c r="J226" s="549">
        <f>+'Insumos testigos '!GD136</f>
        <v>101.01280857474931</v>
      </c>
      <c r="K226" s="549">
        <f>+'Insumos testigos '!GE136</f>
        <v>103.15904272033245</v>
      </c>
      <c r="L226" s="549">
        <f>+'Insumos testigos '!GF136</f>
        <v>106.77842309135025</v>
      </c>
      <c r="M226" s="549">
        <f>+'Insumos testigos '!GG136</f>
        <v>108.13930379641388</v>
      </c>
      <c r="N226" s="549">
        <f>+'Insumos testigos '!GH136</f>
        <v>109.04387997250822</v>
      </c>
      <c r="O226" s="549">
        <f>+'Insumos testigos '!GI136</f>
        <v>108.60210098095139</v>
      </c>
      <c r="P226" s="451">
        <f>+'Insumos testigos '!GJ136</f>
        <v>109.10962494233512</v>
      </c>
    </row>
    <row r="227" spans="2:16">
      <c r="B227" s="563" t="s">
        <v>794</v>
      </c>
      <c r="C227" s="2626">
        <v>302</v>
      </c>
      <c r="D227" s="2865"/>
      <c r="E227" s="330">
        <f>+'Insumos testigos '!FY183</f>
        <v>100</v>
      </c>
      <c r="F227" s="330">
        <f>+'Insumos testigos '!FZ183</f>
        <v>100.21</v>
      </c>
      <c r="G227" s="330">
        <f>+'Insumos testigos '!GA183</f>
        <v>101.81</v>
      </c>
      <c r="H227" s="330">
        <f>+'Insumos testigos '!GB183</f>
        <v>105.23</v>
      </c>
      <c r="I227" s="330">
        <f>+'Insumos testigos '!GC183</f>
        <v>105.71</v>
      </c>
      <c r="J227" s="330">
        <f>+'Insumos testigos '!GD183</f>
        <v>106.23</v>
      </c>
      <c r="K227" s="330">
        <f>+'Insumos testigos '!GE183</f>
        <v>108.64</v>
      </c>
      <c r="L227" s="330">
        <f>+'Insumos testigos '!GF183</f>
        <v>108.54</v>
      </c>
      <c r="M227" s="330">
        <f>+'Insumos testigos '!GG183</f>
        <v>110.46</v>
      </c>
      <c r="N227" s="330">
        <f>+'Insumos testigos '!GH183</f>
        <v>113.36</v>
      </c>
      <c r="O227" s="330">
        <f>+'Insumos testigos '!GI183</f>
        <v>113.89</v>
      </c>
      <c r="P227" s="307">
        <f>+'Insumos testigos '!GJ183</f>
        <v>115.43</v>
      </c>
    </row>
    <row r="228" spans="2:16">
      <c r="B228" s="372" t="s">
        <v>783</v>
      </c>
      <c r="C228" s="2658">
        <v>1</v>
      </c>
      <c r="D228" s="2658"/>
      <c r="E228" s="330">
        <f>+'Insumos testigos '!FY5</f>
        <v>38.42</v>
      </c>
      <c r="F228" s="330">
        <f>+'Insumos testigos '!FZ5</f>
        <v>38.42</v>
      </c>
      <c r="G228" s="330">
        <f>+'Insumos testigos '!GA5</f>
        <v>38.42</v>
      </c>
      <c r="H228" s="330">
        <f>+'Insumos testigos '!GB5</f>
        <v>46.87</v>
      </c>
      <c r="I228" s="330">
        <f>+'Insumos testigos '!GC5</f>
        <v>46.87</v>
      </c>
      <c r="J228" s="330">
        <f>+'Insumos testigos '!GD5</f>
        <v>46.87</v>
      </c>
      <c r="K228" s="330">
        <f>+'Insumos testigos '!GE5</f>
        <v>46.87</v>
      </c>
      <c r="L228" s="330">
        <f>+'Insumos testigos '!GF5</f>
        <v>46.87</v>
      </c>
      <c r="M228" s="330">
        <f>+'Insumos testigos '!GG5</f>
        <v>46.87</v>
      </c>
      <c r="N228" s="330">
        <f>+'Insumos testigos '!GH5</f>
        <v>51.48</v>
      </c>
      <c r="O228" s="330">
        <f>+'Insumos testigos '!GI5</f>
        <v>51.48</v>
      </c>
      <c r="P228" s="307">
        <f>+'Insumos testigos '!GJ5</f>
        <v>51.48</v>
      </c>
    </row>
    <row r="229" spans="2:16">
      <c r="B229" s="566" t="s">
        <v>784</v>
      </c>
      <c r="C229" s="2626" t="s">
        <v>473</v>
      </c>
      <c r="D229" s="2865"/>
      <c r="E229" s="986"/>
      <c r="F229" s="986"/>
      <c r="G229" s="986"/>
      <c r="H229" s="986"/>
      <c r="I229" s="986"/>
      <c r="J229" s="986"/>
      <c r="K229" s="986"/>
      <c r="L229" s="986"/>
      <c r="M229" s="986"/>
      <c r="N229" s="986"/>
      <c r="O229" s="986"/>
      <c r="P229" s="323"/>
    </row>
    <row r="230" spans="2:16">
      <c r="B230" s="566" t="s">
        <v>496</v>
      </c>
      <c r="C230" s="2626" t="s">
        <v>278</v>
      </c>
      <c r="D230" s="2865"/>
      <c r="E230" s="986"/>
      <c r="F230" s="986"/>
      <c r="G230" s="986"/>
      <c r="H230" s="986"/>
      <c r="I230" s="986"/>
      <c r="J230" s="986"/>
      <c r="K230" s="986"/>
      <c r="L230" s="986"/>
      <c r="M230" s="986"/>
      <c r="N230" s="986"/>
      <c r="O230" s="986"/>
      <c r="P230" s="323"/>
    </row>
    <row r="231" spans="2:16">
      <c r="B231" s="566" t="s">
        <v>785</v>
      </c>
      <c r="C231" s="2668" t="s">
        <v>786</v>
      </c>
      <c r="D231" s="2668"/>
      <c r="E231" s="986">
        <f t="shared" ref="E231:F231" si="87">(E228+E230)*8*2.2521+E229*8</f>
        <v>692.20545600000003</v>
      </c>
      <c r="F231" s="986">
        <f t="shared" si="87"/>
        <v>692.20545600000003</v>
      </c>
      <c r="G231" s="986">
        <f t="shared" ref="G231:P231" si="88">(G228+G230)*8*2.2521+G229*8</f>
        <v>692.20545600000003</v>
      </c>
      <c r="H231" s="986">
        <f t="shared" si="88"/>
        <v>844.44741599999998</v>
      </c>
      <c r="I231" s="986">
        <f t="shared" si="88"/>
        <v>844.44741599999998</v>
      </c>
      <c r="J231" s="986">
        <f t="shared" si="88"/>
        <v>844.44741599999998</v>
      </c>
      <c r="K231" s="986">
        <f t="shared" si="88"/>
        <v>844.44741599999998</v>
      </c>
      <c r="L231" s="986">
        <f t="shared" si="88"/>
        <v>844.44741599999998</v>
      </c>
      <c r="M231" s="986">
        <f t="shared" si="88"/>
        <v>844.44741599999998</v>
      </c>
      <c r="N231" s="986">
        <f t="shared" si="88"/>
        <v>927.50486399999988</v>
      </c>
      <c r="O231" s="986">
        <f t="shared" si="88"/>
        <v>927.50486399999988</v>
      </c>
      <c r="P231" s="323">
        <f t="shared" si="88"/>
        <v>927.50486399999988</v>
      </c>
    </row>
    <row r="232" spans="2:16">
      <c r="B232" s="2624" t="s">
        <v>675</v>
      </c>
      <c r="C232" s="2626" t="s">
        <v>795</v>
      </c>
      <c r="D232" s="2865"/>
      <c r="E232" s="700">
        <v>100</v>
      </c>
      <c r="F232" s="700">
        <f>+ROUND((F226*100/$E$226),3)</f>
        <v>104.098</v>
      </c>
      <c r="G232" s="700">
        <f t="shared" ref="G232:P232" si="89">+ROUND((G226*100/$E$226),3)</f>
        <v>103.238</v>
      </c>
      <c r="H232" s="700">
        <f t="shared" si="89"/>
        <v>103.45399999999999</v>
      </c>
      <c r="I232" s="700">
        <f t="shared" si="89"/>
        <v>102.264</v>
      </c>
      <c r="J232" s="700">
        <f t="shared" si="89"/>
        <v>101.01300000000001</v>
      </c>
      <c r="K232" s="700">
        <f t="shared" si="89"/>
        <v>103.15900000000001</v>
      </c>
      <c r="L232" s="700">
        <f t="shared" si="89"/>
        <v>106.77800000000001</v>
      </c>
      <c r="M232" s="700">
        <f t="shared" si="89"/>
        <v>108.139</v>
      </c>
      <c r="N232" s="700">
        <f t="shared" si="89"/>
        <v>109.044</v>
      </c>
      <c r="O232" s="700">
        <f t="shared" si="89"/>
        <v>108.602</v>
      </c>
      <c r="P232" s="394">
        <f t="shared" si="89"/>
        <v>109.11</v>
      </c>
    </row>
    <row r="233" spans="2:16">
      <c r="B233" s="2640"/>
      <c r="C233" s="2626" t="s">
        <v>796</v>
      </c>
      <c r="D233" s="2865"/>
      <c r="E233" s="1489">
        <f t="shared" ref="E233" si="90">+ROUND((E227*100/$E$18),2)</f>
        <v>100</v>
      </c>
      <c r="F233" s="1489">
        <f>+ROUND((F227*100/$E$227),2)</f>
        <v>100.21</v>
      </c>
      <c r="G233" s="1489">
        <f t="shared" ref="G233:P233" si="91">+ROUND((G227*100/$E$227),2)</f>
        <v>101.81</v>
      </c>
      <c r="H233" s="1489">
        <f t="shared" si="91"/>
        <v>105.23</v>
      </c>
      <c r="I233" s="1489">
        <f t="shared" si="91"/>
        <v>105.71</v>
      </c>
      <c r="J233" s="1489">
        <f t="shared" si="91"/>
        <v>106.23</v>
      </c>
      <c r="K233" s="1489">
        <f t="shared" si="91"/>
        <v>108.64</v>
      </c>
      <c r="L233" s="1489">
        <f t="shared" si="91"/>
        <v>108.54</v>
      </c>
      <c r="M233" s="1489">
        <f t="shared" si="91"/>
        <v>110.46</v>
      </c>
      <c r="N233" s="1489">
        <f t="shared" si="91"/>
        <v>113.36</v>
      </c>
      <c r="O233" s="1489">
        <f t="shared" si="91"/>
        <v>113.89</v>
      </c>
      <c r="P233" s="1263">
        <f t="shared" si="91"/>
        <v>115.43</v>
      </c>
    </row>
    <row r="234" spans="2:16" ht="16.5" thickBot="1">
      <c r="B234" s="2625"/>
      <c r="C234" s="2642" t="s">
        <v>677</v>
      </c>
      <c r="D234" s="2867"/>
      <c r="E234" s="980">
        <v>100</v>
      </c>
      <c r="F234" s="980">
        <f>+ROUND(F231*100/$E$231,3)</f>
        <v>100</v>
      </c>
      <c r="G234" s="980">
        <f t="shared" ref="G234:P234" si="92">+ROUND(G231*100/$E$231,3)</f>
        <v>100</v>
      </c>
      <c r="H234" s="980">
        <f t="shared" si="92"/>
        <v>121.994</v>
      </c>
      <c r="I234" s="980">
        <f t="shared" si="92"/>
        <v>121.994</v>
      </c>
      <c r="J234" s="980">
        <f t="shared" si="92"/>
        <v>121.994</v>
      </c>
      <c r="K234" s="980">
        <f t="shared" si="92"/>
        <v>121.994</v>
      </c>
      <c r="L234" s="980">
        <f t="shared" si="92"/>
        <v>121.994</v>
      </c>
      <c r="M234" s="980">
        <f t="shared" si="92"/>
        <v>121.994</v>
      </c>
      <c r="N234" s="980">
        <f t="shared" si="92"/>
        <v>133.99299999999999</v>
      </c>
      <c r="O234" s="980">
        <f t="shared" si="92"/>
        <v>133.99299999999999</v>
      </c>
      <c r="P234" s="977">
        <f t="shared" si="92"/>
        <v>133.99299999999999</v>
      </c>
    </row>
    <row r="235" spans="2:16" ht="16.5" thickBot="1">
      <c r="B235" s="2636" t="s">
        <v>797</v>
      </c>
      <c r="C235" s="2637"/>
      <c r="D235" s="2637"/>
      <c r="E235" s="1490">
        <f t="shared" ref="E235:P235" si="93">+ROUND(E232*0.3+E233*0.3+E234*0.4,2)</f>
        <v>100</v>
      </c>
      <c r="F235" s="1490">
        <f t="shared" si="93"/>
        <v>101.29</v>
      </c>
      <c r="G235" s="1490">
        <f t="shared" si="93"/>
        <v>101.51</v>
      </c>
      <c r="H235" s="1490">
        <f t="shared" si="93"/>
        <v>111.4</v>
      </c>
      <c r="I235" s="1490">
        <f t="shared" si="93"/>
        <v>111.19</v>
      </c>
      <c r="J235" s="1490">
        <f t="shared" si="93"/>
        <v>110.97</v>
      </c>
      <c r="K235" s="1490">
        <f t="shared" si="93"/>
        <v>112.34</v>
      </c>
      <c r="L235" s="1490">
        <f t="shared" si="93"/>
        <v>113.39</v>
      </c>
      <c r="M235" s="1490">
        <f t="shared" si="93"/>
        <v>114.38</v>
      </c>
      <c r="N235" s="1490">
        <f t="shared" si="93"/>
        <v>120.32</v>
      </c>
      <c r="O235" s="1490">
        <f t="shared" si="93"/>
        <v>120.34</v>
      </c>
      <c r="P235" s="1488">
        <f t="shared" si="93"/>
        <v>120.96</v>
      </c>
    </row>
    <row r="237" spans="2:16" ht="16.5" hidden="1" thickBot="1">
      <c r="B237" s="365" t="s">
        <v>673</v>
      </c>
      <c r="C237" s="2628" t="s">
        <v>831</v>
      </c>
      <c r="D237" s="2629"/>
      <c r="E237" s="1233">
        <v>42736</v>
      </c>
      <c r="F237" s="1233">
        <v>42767</v>
      </c>
      <c r="G237" s="1233">
        <v>42795</v>
      </c>
      <c r="H237" s="1233">
        <v>42826</v>
      </c>
      <c r="I237" s="1233">
        <v>42856</v>
      </c>
      <c r="J237" s="1233">
        <v>42887</v>
      </c>
      <c r="K237" s="1233">
        <v>42917</v>
      </c>
      <c r="L237" s="1233">
        <v>42948</v>
      </c>
      <c r="M237" s="1233">
        <v>42979</v>
      </c>
      <c r="N237" s="1233">
        <v>43009</v>
      </c>
      <c r="O237" s="1233">
        <v>43040</v>
      </c>
      <c r="P237" s="1428">
        <v>43070</v>
      </c>
    </row>
    <row r="238" spans="2:16" hidden="1">
      <c r="B238" s="377" t="s">
        <v>793</v>
      </c>
      <c r="C238" s="2869">
        <v>118</v>
      </c>
      <c r="D238" s="2869"/>
      <c r="E238" s="549">
        <f>+'Insumos testigos '!GK136</f>
        <v>109.38724380767836</v>
      </c>
      <c r="F238" s="549">
        <f>+'Insumos testigos '!GL136</f>
        <v>112.01269945908014</v>
      </c>
      <c r="G238" s="549">
        <f>+'Insumos testigos '!GM136</f>
        <v>112.01269945908014</v>
      </c>
      <c r="H238" s="549">
        <f>+'Insumos testigos '!GN136</f>
        <v>111.75477379337356</v>
      </c>
      <c r="I238" s="549">
        <f>+'Insumos testigos '!GO136</f>
        <v>112.98887645621693</v>
      </c>
      <c r="J238" s="549">
        <f>+'Insumos testigos '!GP136</f>
        <v>112.98887645621693</v>
      </c>
      <c r="K238" s="549">
        <f>+'Insumos testigos '!GQ136</f>
        <v>113.70671059292442</v>
      </c>
      <c r="L238" s="549">
        <f>+'Insumos testigos '!GR136</f>
        <v>117.07868078797208</v>
      </c>
      <c r="M238" s="549">
        <f>+'Insumos testigos '!GS136</f>
        <v>117.07868078797208</v>
      </c>
      <c r="N238" s="549">
        <f>+'Insumos testigos '!GT136</f>
        <v>117.56331901539689</v>
      </c>
      <c r="O238" s="549">
        <f>+'Insumos testigos '!GU136</f>
        <v>117.56348719107373</v>
      </c>
      <c r="P238" s="451">
        <f>+'Insumos testigos '!GV136</f>
        <v>118.23543406913302</v>
      </c>
    </row>
    <row r="239" spans="2:16" hidden="1">
      <c r="B239" s="563" t="s">
        <v>794</v>
      </c>
      <c r="C239" s="2626">
        <v>302</v>
      </c>
      <c r="D239" s="2865"/>
      <c r="E239" s="330">
        <f>+'Insumos testigos '!GK183</f>
        <v>117.5</v>
      </c>
      <c r="F239" s="330">
        <f>+'Insumos testigos '!GL183</f>
        <v>117.73</v>
      </c>
      <c r="G239" s="330">
        <f>+'Insumos testigos '!GM183</f>
        <v>118.41</v>
      </c>
      <c r="H239" s="330">
        <f>+'Insumos testigos '!GN183</f>
        <v>121.16</v>
      </c>
      <c r="I239" s="330">
        <f>+'Insumos testigos '!GO183</f>
        <v>122.09</v>
      </c>
      <c r="J239" s="330">
        <f>+'Insumos testigos '!GP183</f>
        <v>123.87</v>
      </c>
      <c r="K239" s="330">
        <f>+'Insumos testigos '!GQ183</f>
        <v>128.28</v>
      </c>
      <c r="L239" s="330">
        <f>+'Insumos testigos '!GR183</f>
        <v>130.08000000000001</v>
      </c>
      <c r="M239" s="330">
        <f>+'Insumos testigos '!GS183</f>
        <v>131.82</v>
      </c>
      <c r="N239" s="330">
        <f>+'Insumos testigos '!GT183</f>
        <v>133.28</v>
      </c>
      <c r="O239" s="330">
        <f>+'Insumos testigos '!GU183</f>
        <v>135.28</v>
      </c>
      <c r="P239" s="307">
        <f>+'Insumos testigos '!GV183</f>
        <v>137.01</v>
      </c>
    </row>
    <row r="240" spans="2:16" hidden="1">
      <c r="B240" s="372" t="s">
        <v>783</v>
      </c>
      <c r="C240" s="2658">
        <v>1</v>
      </c>
      <c r="D240" s="2658"/>
      <c r="E240" s="330">
        <f>+'Insumos testigos '!GK5</f>
        <v>53.4</v>
      </c>
      <c r="F240" s="330">
        <f>+'Insumos testigos '!GL5</f>
        <v>53.4</v>
      </c>
      <c r="G240" s="330">
        <f>+'Insumos testigos '!GM5</f>
        <v>53.4</v>
      </c>
      <c r="H240" s="330">
        <f>+'Insumos testigos '!GN5</f>
        <v>59.28</v>
      </c>
      <c r="I240" s="330">
        <f>+'Insumos testigos '!GO5</f>
        <v>59.28</v>
      </c>
      <c r="J240" s="330">
        <f>+'Insumos testigos '!GP5</f>
        <v>59.28</v>
      </c>
      <c r="K240" s="330">
        <f>+'Insumos testigos '!GQ5</f>
        <v>65.209999999999994</v>
      </c>
      <c r="L240" s="330">
        <f>+'Insumos testigos '!GR5</f>
        <v>65.209999999999994</v>
      </c>
      <c r="M240" s="330">
        <f>+'Insumos testigos '!GS5</f>
        <v>65.209999999999994</v>
      </c>
      <c r="N240" s="330">
        <f>+'Insumos testigos '!GT5</f>
        <v>65.209999999999994</v>
      </c>
      <c r="O240" s="330">
        <f>+'Insumos testigos '!GU5</f>
        <v>65.209999999999994</v>
      </c>
      <c r="P240" s="307">
        <f>+'Insumos testigos '!GV5</f>
        <v>65.209999999999994</v>
      </c>
    </row>
    <row r="241" spans="2:16" hidden="1">
      <c r="B241" s="566" t="s">
        <v>784</v>
      </c>
      <c r="C241" s="2626" t="s">
        <v>473</v>
      </c>
      <c r="D241" s="2865"/>
      <c r="E241" s="986"/>
      <c r="F241" s="986"/>
      <c r="G241" s="986"/>
      <c r="H241" s="986"/>
      <c r="I241" s="986"/>
      <c r="J241" s="986"/>
      <c r="K241" s="986"/>
      <c r="L241" s="986"/>
      <c r="M241" s="986"/>
      <c r="N241" s="986"/>
      <c r="O241" s="986"/>
      <c r="P241" s="323"/>
    </row>
    <row r="242" spans="2:16" hidden="1">
      <c r="B242" s="566" t="s">
        <v>496</v>
      </c>
      <c r="C242" s="2626" t="s">
        <v>278</v>
      </c>
      <c r="D242" s="2865"/>
      <c r="E242" s="986"/>
      <c r="F242" s="986"/>
      <c r="G242" s="986"/>
      <c r="H242" s="986"/>
      <c r="I242" s="986"/>
      <c r="J242" s="986"/>
      <c r="K242" s="986"/>
      <c r="L242" s="986"/>
      <c r="M242" s="986"/>
      <c r="N242" s="986"/>
      <c r="O242" s="986"/>
      <c r="P242" s="323"/>
    </row>
    <row r="243" spans="2:16" hidden="1">
      <c r="B243" s="566" t="s">
        <v>785</v>
      </c>
      <c r="C243" s="2668" t="s">
        <v>786</v>
      </c>
      <c r="D243" s="2668"/>
      <c r="E243" s="986">
        <f t="shared" ref="E243" si="94">(E240+E242)*8*2.2521+E241*8</f>
        <v>962.09712000000002</v>
      </c>
      <c r="F243" s="986">
        <f t="shared" ref="F243:P243" si="95">(F240+F242)*8*2.2521+F241*8</f>
        <v>962.09712000000002</v>
      </c>
      <c r="G243" s="986">
        <f t="shared" si="95"/>
        <v>962.09712000000002</v>
      </c>
      <c r="H243" s="986">
        <f t="shared" si="95"/>
        <v>1068.0359040000001</v>
      </c>
      <c r="I243" s="986">
        <f t="shared" si="95"/>
        <v>1068.0359040000001</v>
      </c>
      <c r="J243" s="986">
        <f t="shared" si="95"/>
        <v>1068.0359040000001</v>
      </c>
      <c r="K243" s="986">
        <f t="shared" si="95"/>
        <v>1174.8755279999998</v>
      </c>
      <c r="L243" s="986">
        <f t="shared" si="95"/>
        <v>1174.8755279999998</v>
      </c>
      <c r="M243" s="986">
        <f t="shared" si="95"/>
        <v>1174.8755279999998</v>
      </c>
      <c r="N243" s="986">
        <f t="shared" si="95"/>
        <v>1174.8755279999998</v>
      </c>
      <c r="O243" s="986">
        <f t="shared" si="95"/>
        <v>1174.8755279999998</v>
      </c>
      <c r="P243" s="323">
        <f t="shared" si="95"/>
        <v>1174.8755279999998</v>
      </c>
    </row>
    <row r="244" spans="2:16" hidden="1">
      <c r="B244" s="2624" t="s">
        <v>675</v>
      </c>
      <c r="C244" s="2626" t="s">
        <v>795</v>
      </c>
      <c r="D244" s="2865"/>
      <c r="E244" s="700">
        <f>+ROUND((E238*100/$E$226),3)</f>
        <v>109.387</v>
      </c>
      <c r="F244" s="700">
        <f t="shared" ref="F244:P244" si="96">+ROUND((F238*100/$E$226),3)</f>
        <v>112.01300000000001</v>
      </c>
      <c r="G244" s="700">
        <f t="shared" si="96"/>
        <v>112.01300000000001</v>
      </c>
      <c r="H244" s="700">
        <f t="shared" si="96"/>
        <v>111.755</v>
      </c>
      <c r="I244" s="700">
        <f t="shared" si="96"/>
        <v>112.989</v>
      </c>
      <c r="J244" s="700">
        <f t="shared" si="96"/>
        <v>112.989</v>
      </c>
      <c r="K244" s="700">
        <f t="shared" si="96"/>
        <v>113.70699999999999</v>
      </c>
      <c r="L244" s="700">
        <f t="shared" si="96"/>
        <v>117.07899999999999</v>
      </c>
      <c r="M244" s="700">
        <f t="shared" si="96"/>
        <v>117.07899999999999</v>
      </c>
      <c r="N244" s="700">
        <f t="shared" si="96"/>
        <v>117.563</v>
      </c>
      <c r="O244" s="700">
        <f t="shared" si="96"/>
        <v>117.563</v>
      </c>
      <c r="P244" s="394">
        <f t="shared" si="96"/>
        <v>118.235</v>
      </c>
    </row>
    <row r="245" spans="2:16" hidden="1">
      <c r="B245" s="2640"/>
      <c r="C245" s="2626" t="s">
        <v>796</v>
      </c>
      <c r="D245" s="2865"/>
      <c r="E245" s="1489">
        <f>+ROUND((E239*100/$E$227),2)</f>
        <v>117.5</v>
      </c>
      <c r="F245" s="1489">
        <f t="shared" ref="F245:P245" si="97">+ROUND((F239*100/$E$227),2)</f>
        <v>117.73</v>
      </c>
      <c r="G245" s="1489">
        <f t="shared" si="97"/>
        <v>118.41</v>
      </c>
      <c r="H245" s="1489">
        <f t="shared" si="97"/>
        <v>121.16</v>
      </c>
      <c r="I245" s="1489">
        <f t="shared" si="97"/>
        <v>122.09</v>
      </c>
      <c r="J245" s="1489">
        <f t="shared" si="97"/>
        <v>123.87</v>
      </c>
      <c r="K245" s="1489">
        <f t="shared" si="97"/>
        <v>128.28</v>
      </c>
      <c r="L245" s="1489">
        <f t="shared" si="97"/>
        <v>130.08000000000001</v>
      </c>
      <c r="M245" s="1489">
        <f t="shared" si="97"/>
        <v>131.82</v>
      </c>
      <c r="N245" s="1489">
        <f t="shared" si="97"/>
        <v>133.28</v>
      </c>
      <c r="O245" s="1489">
        <f t="shared" si="97"/>
        <v>135.28</v>
      </c>
      <c r="P245" s="1263">
        <f t="shared" si="97"/>
        <v>137.01</v>
      </c>
    </row>
    <row r="246" spans="2:16" ht="16.5" hidden="1" thickBot="1">
      <c r="B246" s="2625"/>
      <c r="C246" s="2642" t="s">
        <v>677</v>
      </c>
      <c r="D246" s="2867"/>
      <c r="E246" s="980">
        <f>+ROUND(E243*100/$E$231,3)</f>
        <v>138.99</v>
      </c>
      <c r="F246" s="980">
        <f t="shared" ref="F246:P246" si="98">+ROUND(F243*100/$E$231,3)</f>
        <v>138.99</v>
      </c>
      <c r="G246" s="980">
        <f t="shared" si="98"/>
        <v>138.99</v>
      </c>
      <c r="H246" s="980">
        <f t="shared" si="98"/>
        <v>154.29499999999999</v>
      </c>
      <c r="I246" s="980">
        <f t="shared" si="98"/>
        <v>154.29499999999999</v>
      </c>
      <c r="J246" s="980">
        <f t="shared" si="98"/>
        <v>154.29499999999999</v>
      </c>
      <c r="K246" s="980">
        <f t="shared" si="98"/>
        <v>169.72900000000001</v>
      </c>
      <c r="L246" s="980">
        <f t="shared" si="98"/>
        <v>169.72900000000001</v>
      </c>
      <c r="M246" s="980">
        <f t="shared" si="98"/>
        <v>169.72900000000001</v>
      </c>
      <c r="N246" s="980">
        <f t="shared" si="98"/>
        <v>169.72900000000001</v>
      </c>
      <c r="O246" s="980">
        <f t="shared" si="98"/>
        <v>169.72900000000001</v>
      </c>
      <c r="P246" s="977">
        <f t="shared" si="98"/>
        <v>169.72900000000001</v>
      </c>
    </row>
    <row r="247" spans="2:16" ht="16.5" hidden="1" thickBot="1">
      <c r="B247" s="2636" t="s">
        <v>797</v>
      </c>
      <c r="C247" s="2637"/>
      <c r="D247" s="2637"/>
      <c r="E247" s="1490">
        <f t="shared" ref="E247:J247" si="99">+ROUND(E244*0.3+E245*0.3+E246*0.4,2)</f>
        <v>123.66</v>
      </c>
      <c r="F247" s="1490">
        <f t="shared" si="99"/>
        <v>124.52</v>
      </c>
      <c r="G247" s="1490">
        <f t="shared" si="99"/>
        <v>124.72</v>
      </c>
      <c r="H247" s="1490">
        <f t="shared" si="99"/>
        <v>131.59</v>
      </c>
      <c r="I247" s="1490">
        <f t="shared" si="99"/>
        <v>132.24</v>
      </c>
      <c r="J247" s="1490">
        <f t="shared" si="99"/>
        <v>132.78</v>
      </c>
      <c r="K247" s="1490">
        <f t="shared" ref="K247:P247" si="100">+ROUND(K244*0.3+K245*0.3+K246*0.4,2)</f>
        <v>140.49</v>
      </c>
      <c r="L247" s="1490">
        <f t="shared" si="100"/>
        <v>142.04</v>
      </c>
      <c r="M247" s="1490">
        <f t="shared" si="100"/>
        <v>142.56</v>
      </c>
      <c r="N247" s="1490">
        <f t="shared" si="100"/>
        <v>143.13999999999999</v>
      </c>
      <c r="O247" s="1490">
        <f t="shared" si="100"/>
        <v>143.74</v>
      </c>
      <c r="P247" s="1488">
        <f t="shared" si="100"/>
        <v>144.47</v>
      </c>
    </row>
    <row r="248" spans="2:16" ht="16.5" hidden="1" thickBot="1"/>
    <row r="249" spans="2:16" ht="16.5" hidden="1" thickBot="1">
      <c r="B249" s="365" t="s">
        <v>673</v>
      </c>
      <c r="C249" s="2628" t="s">
        <v>831</v>
      </c>
      <c r="D249" s="2629"/>
      <c r="E249" s="1233">
        <v>43101</v>
      </c>
      <c r="F249" s="1233">
        <v>43132</v>
      </c>
      <c r="G249" s="1233">
        <v>43160</v>
      </c>
      <c r="H249" s="1233">
        <v>43191</v>
      </c>
      <c r="I249" s="1233">
        <v>43221</v>
      </c>
      <c r="J249" s="1233">
        <v>43252</v>
      </c>
      <c r="K249" s="1233">
        <v>43282</v>
      </c>
      <c r="L249" s="1233">
        <v>43313</v>
      </c>
      <c r="M249" s="1233">
        <v>43344</v>
      </c>
      <c r="N249" s="1233">
        <v>43374</v>
      </c>
      <c r="O249" s="1233">
        <v>43405</v>
      </c>
      <c r="P249" s="1428">
        <v>43435</v>
      </c>
    </row>
    <row r="250" spans="2:16" hidden="1">
      <c r="B250" s="377" t="s">
        <v>793</v>
      </c>
      <c r="C250" s="2869">
        <v>118</v>
      </c>
      <c r="D250" s="2869"/>
      <c r="E250" s="549">
        <f>+'Insumos testigos '!GW136</f>
        <v>121.32296217987725</v>
      </c>
      <c r="F250" s="549">
        <f>+'Insumos testigos '!GX136</f>
        <v>125.15459817601807</v>
      </c>
      <c r="G250" s="549">
        <f>+'Insumos testigos '!GY136</f>
        <v>130.11054306679318</v>
      </c>
      <c r="H250" s="549">
        <f>+'Insumos testigos '!GZ136</f>
        <v>132.02726996362341</v>
      </c>
      <c r="I250" s="549">
        <f>+'Insumos testigos '!HA136</f>
        <v>164.01910301221366</v>
      </c>
      <c r="J250" s="549">
        <f>+'Insumos testigos '!HB136</f>
        <v>164.01910301221366</v>
      </c>
      <c r="K250" s="549">
        <f>+'Insumos testigos '!HC136</f>
        <v>184.94779624273656</v>
      </c>
      <c r="L250" s="549">
        <f>+'Insumos testigos '!HD136</f>
        <v>166.55279285708951</v>
      </c>
      <c r="M250" s="549">
        <f>+'Insumos testigos '!HE136</f>
        <v>202.60537911578874</v>
      </c>
      <c r="N250" s="549">
        <f>+'Insumos testigos '!HF136</f>
        <v>242.68732607559184</v>
      </c>
      <c r="O250" s="549">
        <f>+'Insumos testigos '!HG136</f>
        <v>221.20912286358762</v>
      </c>
      <c r="P250" s="451">
        <f>+'Insumos testigos '!HH136</f>
        <v>218.66312124343978</v>
      </c>
    </row>
    <row r="251" spans="2:16" hidden="1">
      <c r="B251" s="563" t="s">
        <v>794</v>
      </c>
      <c r="C251" s="2626">
        <v>302</v>
      </c>
      <c r="D251" s="2865"/>
      <c r="E251" s="330">
        <f>+'Insumos testigos '!GW183</f>
        <v>140.49</v>
      </c>
      <c r="F251" s="330">
        <f>+'Insumos testigos '!GX183</f>
        <v>145.59</v>
      </c>
      <c r="G251" s="330">
        <f>+'Insumos testigos '!GY183</f>
        <v>149.05000000000001</v>
      </c>
      <c r="H251" s="330">
        <f>+'Insumos testigos '!GZ183</f>
        <v>157.05000000000001</v>
      </c>
      <c r="I251" s="330">
        <f>+'Insumos testigos '!HA183</f>
        <v>167.17</v>
      </c>
      <c r="J251" s="330">
        <f>+'Insumos testigos '!HB183</f>
        <v>176.26</v>
      </c>
      <c r="K251" s="330">
        <f>+'Insumos testigos '!HC183</f>
        <v>184.39</v>
      </c>
      <c r="L251" s="330">
        <f>+'Insumos testigos '!HD183</f>
        <v>193.19</v>
      </c>
      <c r="M251" s="330">
        <f>+'Insumos testigos '!HE183</f>
        <v>215.96</v>
      </c>
      <c r="N251" s="330">
        <f>+'Insumos testigos '!HF183</f>
        <v>226.25</v>
      </c>
      <c r="O251" s="330">
        <f>+'Insumos testigos '!HG183</f>
        <v>229.26</v>
      </c>
      <c r="P251" s="307">
        <f>+'Insumos testigos '!HH183</f>
        <v>232.64</v>
      </c>
    </row>
    <row r="252" spans="2:16" hidden="1">
      <c r="B252" s="372" t="s">
        <v>783</v>
      </c>
      <c r="C252" s="2658">
        <v>1</v>
      </c>
      <c r="D252" s="2658"/>
      <c r="E252" s="330">
        <f>+'Insumos testigos '!GW5</f>
        <v>65.209999999999994</v>
      </c>
      <c r="F252" s="330">
        <f>+'Insumos testigos '!GX5</f>
        <v>66.180000000000007</v>
      </c>
      <c r="G252" s="330">
        <f>+'Insumos testigos '!GY5</f>
        <v>67.16</v>
      </c>
      <c r="H252" s="330">
        <f>+'Insumos testigos '!GZ5</f>
        <v>73.88</v>
      </c>
      <c r="I252" s="330">
        <f>+'Insumos testigos '!HA5</f>
        <v>73.88</v>
      </c>
      <c r="J252" s="330">
        <f>+'Insumos testigos '!HB5</f>
        <v>73.88</v>
      </c>
      <c r="K252" s="330">
        <f>+'Insumos testigos '!HC5</f>
        <v>73.88</v>
      </c>
      <c r="L252" s="330">
        <f>+'Insumos testigos '!HD5</f>
        <v>77.569999999999993</v>
      </c>
      <c r="M252" s="330">
        <f>+'Insumos testigos '!HE5</f>
        <v>80.680000000000007</v>
      </c>
      <c r="N252" s="330">
        <f>+'Insumos testigos '!HF5</f>
        <v>83.1</v>
      </c>
      <c r="O252" s="330">
        <f>+'Insumos testigos '!HG5</f>
        <v>85.52</v>
      </c>
      <c r="P252" s="307">
        <f>+'Insumos testigos '!HH5</f>
        <v>85.52</v>
      </c>
    </row>
    <row r="253" spans="2:16" hidden="1">
      <c r="B253" s="566" t="s">
        <v>784</v>
      </c>
      <c r="C253" s="2626" t="s">
        <v>473</v>
      </c>
      <c r="D253" s="2865"/>
      <c r="E253" s="986"/>
      <c r="F253" s="986"/>
      <c r="G253" s="986"/>
      <c r="H253" s="986"/>
      <c r="I253" s="986"/>
      <c r="J253" s="986"/>
      <c r="K253" s="986"/>
      <c r="L253" s="986"/>
      <c r="M253" s="986"/>
      <c r="N253" s="986"/>
      <c r="O253" s="986"/>
      <c r="P253" s="323"/>
    </row>
    <row r="254" spans="2:16" hidden="1">
      <c r="B254" s="566" t="s">
        <v>496</v>
      </c>
      <c r="C254" s="2626" t="s">
        <v>278</v>
      </c>
      <c r="D254" s="2865"/>
      <c r="E254" s="986"/>
      <c r="F254" s="986"/>
      <c r="G254" s="986"/>
      <c r="H254" s="986"/>
      <c r="I254" s="986"/>
      <c r="J254" s="986"/>
      <c r="K254" s="986"/>
      <c r="L254" s="986"/>
      <c r="M254" s="986"/>
      <c r="N254" s="986"/>
      <c r="O254" s="986"/>
      <c r="P254" s="323"/>
    </row>
    <row r="255" spans="2:16" hidden="1">
      <c r="B255" s="566" t="s">
        <v>785</v>
      </c>
      <c r="C255" s="2668" t="s">
        <v>786</v>
      </c>
      <c r="D255" s="2668"/>
      <c r="E255" s="986">
        <f t="shared" ref="E255:F255" si="101">(E252+E254)*8*2.2521+E253*8</f>
        <v>1174.8755279999998</v>
      </c>
      <c r="F255" s="986">
        <f t="shared" si="101"/>
        <v>1192.3518240000001</v>
      </c>
      <c r="G255" s="986">
        <f t="shared" ref="G255:P255" si="102">(G252+G254)*8*2.2521+G253*8</f>
        <v>1210.008288</v>
      </c>
      <c r="H255" s="986">
        <f t="shared" si="102"/>
        <v>1331.0811839999999</v>
      </c>
      <c r="I255" s="986">
        <f t="shared" si="102"/>
        <v>1331.0811839999999</v>
      </c>
      <c r="J255" s="986">
        <f t="shared" si="102"/>
        <v>1331.0811839999999</v>
      </c>
      <c r="K255" s="986">
        <f t="shared" si="102"/>
        <v>1331.0811839999999</v>
      </c>
      <c r="L255" s="986">
        <f t="shared" si="102"/>
        <v>1397.5631759999999</v>
      </c>
      <c r="M255" s="986">
        <f t="shared" si="102"/>
        <v>1453.5954240000001</v>
      </c>
      <c r="N255" s="986">
        <f t="shared" si="102"/>
        <v>1497.1960799999999</v>
      </c>
      <c r="O255" s="986">
        <f t="shared" si="102"/>
        <v>1540.796736</v>
      </c>
      <c r="P255" s="323">
        <f t="shared" si="102"/>
        <v>1540.796736</v>
      </c>
    </row>
    <row r="256" spans="2:16" hidden="1">
      <c r="B256" s="2624" t="s">
        <v>675</v>
      </c>
      <c r="C256" s="2626" t="s">
        <v>795</v>
      </c>
      <c r="D256" s="2865"/>
      <c r="E256" s="700">
        <f t="shared" ref="E256:P256" si="103">+ROUND((E250*100/$E$226),3)</f>
        <v>121.32299999999999</v>
      </c>
      <c r="F256" s="700">
        <f t="shared" si="103"/>
        <v>125.155</v>
      </c>
      <c r="G256" s="700">
        <f t="shared" si="103"/>
        <v>130.11099999999999</v>
      </c>
      <c r="H256" s="700">
        <f t="shared" si="103"/>
        <v>132.02699999999999</v>
      </c>
      <c r="I256" s="700">
        <f t="shared" si="103"/>
        <v>164.01900000000001</v>
      </c>
      <c r="J256" s="700">
        <f t="shared" si="103"/>
        <v>164.01900000000001</v>
      </c>
      <c r="K256" s="700">
        <f t="shared" si="103"/>
        <v>184.94800000000001</v>
      </c>
      <c r="L256" s="700">
        <f t="shared" si="103"/>
        <v>166.553</v>
      </c>
      <c r="M256" s="700">
        <f t="shared" si="103"/>
        <v>202.60499999999999</v>
      </c>
      <c r="N256" s="700">
        <f t="shared" si="103"/>
        <v>242.68700000000001</v>
      </c>
      <c r="O256" s="700">
        <f t="shared" si="103"/>
        <v>221.209</v>
      </c>
      <c r="P256" s="394">
        <f t="shared" si="103"/>
        <v>218.66300000000001</v>
      </c>
    </row>
    <row r="257" spans="2:16" hidden="1">
      <c r="B257" s="2640"/>
      <c r="C257" s="2626" t="s">
        <v>796</v>
      </c>
      <c r="D257" s="2865"/>
      <c r="E257" s="1489">
        <f t="shared" ref="E257:P257" si="104">+ROUND((E251*100/$E$227),2)</f>
        <v>140.49</v>
      </c>
      <c r="F257" s="1489">
        <f t="shared" si="104"/>
        <v>145.59</v>
      </c>
      <c r="G257" s="1489">
        <f t="shared" si="104"/>
        <v>149.05000000000001</v>
      </c>
      <c r="H257" s="1489">
        <f t="shared" si="104"/>
        <v>157.05000000000001</v>
      </c>
      <c r="I257" s="1489">
        <f t="shared" si="104"/>
        <v>167.17</v>
      </c>
      <c r="J257" s="1489">
        <f t="shared" si="104"/>
        <v>176.26</v>
      </c>
      <c r="K257" s="1489">
        <f t="shared" si="104"/>
        <v>184.39</v>
      </c>
      <c r="L257" s="1489">
        <f t="shared" si="104"/>
        <v>193.19</v>
      </c>
      <c r="M257" s="1489">
        <f t="shared" si="104"/>
        <v>215.96</v>
      </c>
      <c r="N257" s="1489">
        <f t="shared" si="104"/>
        <v>226.25</v>
      </c>
      <c r="O257" s="1489">
        <f t="shared" si="104"/>
        <v>229.26</v>
      </c>
      <c r="P257" s="1263">
        <f t="shared" si="104"/>
        <v>232.64</v>
      </c>
    </row>
    <row r="258" spans="2:16" ht="16.5" hidden="1" thickBot="1">
      <c r="B258" s="2625"/>
      <c r="C258" s="2642" t="s">
        <v>677</v>
      </c>
      <c r="D258" s="2867"/>
      <c r="E258" s="980">
        <f t="shared" ref="E258:P258" si="105">+ROUND(E255*100/$E$231,3)</f>
        <v>169.72900000000001</v>
      </c>
      <c r="F258" s="980">
        <f t="shared" si="105"/>
        <v>172.25399999999999</v>
      </c>
      <c r="G258" s="980">
        <f t="shared" si="105"/>
        <v>174.80500000000001</v>
      </c>
      <c r="H258" s="980">
        <f t="shared" si="105"/>
        <v>192.29599999999999</v>
      </c>
      <c r="I258" s="980">
        <f t="shared" si="105"/>
        <v>192.29599999999999</v>
      </c>
      <c r="J258" s="980">
        <f t="shared" si="105"/>
        <v>192.29599999999999</v>
      </c>
      <c r="K258" s="980">
        <f t="shared" si="105"/>
        <v>192.29599999999999</v>
      </c>
      <c r="L258" s="980">
        <f t="shared" si="105"/>
        <v>201.9</v>
      </c>
      <c r="M258" s="980">
        <f t="shared" si="105"/>
        <v>209.995</v>
      </c>
      <c r="N258" s="980">
        <f t="shared" si="105"/>
        <v>216.29400000000001</v>
      </c>
      <c r="O258" s="980">
        <f t="shared" si="105"/>
        <v>222.59200000000001</v>
      </c>
      <c r="P258" s="977">
        <f t="shared" si="105"/>
        <v>222.59200000000001</v>
      </c>
    </row>
    <row r="259" spans="2:16" ht="16.5" hidden="1" thickBot="1">
      <c r="B259" s="2636" t="s">
        <v>797</v>
      </c>
      <c r="C259" s="2637"/>
      <c r="D259" s="2637"/>
      <c r="E259" s="1490">
        <f t="shared" ref="E259:P259" si="106">+ROUND(E256*0.3+E257*0.3+E258*0.4,2)</f>
        <v>146.44</v>
      </c>
      <c r="F259" s="1490">
        <f t="shared" si="106"/>
        <v>150.13</v>
      </c>
      <c r="G259" s="1490">
        <f t="shared" si="106"/>
        <v>153.66999999999999</v>
      </c>
      <c r="H259" s="1490">
        <f t="shared" si="106"/>
        <v>163.63999999999999</v>
      </c>
      <c r="I259" s="1490">
        <f t="shared" si="106"/>
        <v>176.28</v>
      </c>
      <c r="J259" s="1490">
        <f t="shared" si="106"/>
        <v>179</v>
      </c>
      <c r="K259" s="1490">
        <f t="shared" si="106"/>
        <v>187.72</v>
      </c>
      <c r="L259" s="1490">
        <f t="shared" si="106"/>
        <v>188.68</v>
      </c>
      <c r="M259" s="1490">
        <f t="shared" si="106"/>
        <v>209.57</v>
      </c>
      <c r="N259" s="1490">
        <f t="shared" si="106"/>
        <v>227.2</v>
      </c>
      <c r="O259" s="1490">
        <f t="shared" si="106"/>
        <v>224.18</v>
      </c>
      <c r="P259" s="1488">
        <f t="shared" si="106"/>
        <v>224.43</v>
      </c>
    </row>
    <row r="260" spans="2:16" ht="16.5" hidden="1" thickBot="1"/>
    <row r="261" spans="2:16" ht="16.5" hidden="1" thickBot="1">
      <c r="B261" s="365" t="s">
        <v>673</v>
      </c>
      <c r="C261" s="2628" t="s">
        <v>831</v>
      </c>
      <c r="D261" s="2629"/>
      <c r="E261" s="1233">
        <v>43466</v>
      </c>
      <c r="F261" s="1233">
        <v>43497</v>
      </c>
      <c r="G261" s="1233">
        <v>43525</v>
      </c>
      <c r="H261" s="1233">
        <v>43556</v>
      </c>
      <c r="I261" s="1233">
        <v>43586</v>
      </c>
      <c r="J261" s="1233">
        <v>43617</v>
      </c>
      <c r="K261" s="1233">
        <v>43647</v>
      </c>
      <c r="L261" s="1233">
        <v>43678</v>
      </c>
      <c r="M261" s="1233">
        <v>43709</v>
      </c>
      <c r="N261" s="1233">
        <v>43739</v>
      </c>
      <c r="O261" s="1233">
        <v>43770</v>
      </c>
      <c r="P261" s="1428">
        <v>43800</v>
      </c>
    </row>
    <row r="262" spans="2:16" hidden="1">
      <c r="B262" s="377" t="s">
        <v>793</v>
      </c>
      <c r="C262" s="2869">
        <v>118</v>
      </c>
      <c r="D262" s="2869"/>
      <c r="E262" s="549">
        <f>+'Insumos testigos '!HI136</f>
        <v>224.0411888130821</v>
      </c>
      <c r="F262" s="549">
        <f>+'Insumos testigos '!HJ136</f>
        <v>224.94500378354311</v>
      </c>
      <c r="G262" s="549">
        <f>+'Insumos testigos '!HK136</f>
        <v>238.11391014318585</v>
      </c>
      <c r="H262" s="549">
        <f>+'Insumos testigos '!HL136</f>
        <v>249.30603471497454</v>
      </c>
      <c r="I262" s="549">
        <f>+'Insumos testigos '!HM136</f>
        <v>273.2248446161073</v>
      </c>
      <c r="J262" s="549">
        <f>+'Insumos testigos '!HN136</f>
        <v>267.30910024627218</v>
      </c>
      <c r="K262" s="549">
        <f>+'Insumos testigos '!HO136</f>
        <v>260.81177083337491</v>
      </c>
      <c r="L262" s="549">
        <f>+'Insumos testigos '!HP136</f>
        <v>351.48336792786307</v>
      </c>
      <c r="M262" s="549">
        <f>+'Insumos testigos '!HQ136</f>
        <v>351.48336792786307</v>
      </c>
      <c r="N262" s="549">
        <f>+'Insumos testigos '!HR136</f>
        <v>351.48336792786307</v>
      </c>
      <c r="O262" s="549">
        <f>+'Insumos testigos '!HS136</f>
        <v>351.48336792786307</v>
      </c>
      <c r="P262" s="451">
        <f>+'Insumos testigos '!HT136</f>
        <v>351.48336792786307</v>
      </c>
    </row>
    <row r="263" spans="2:16" hidden="1">
      <c r="B263" s="563" t="s">
        <v>794</v>
      </c>
      <c r="C263" s="2626">
        <v>302</v>
      </c>
      <c r="D263" s="2865"/>
      <c r="E263" s="330">
        <f>+'Insumos testigos '!HI183</f>
        <v>231.99</v>
      </c>
      <c r="F263" s="330">
        <f>+'Insumos testigos '!HJ183</f>
        <v>245.33</v>
      </c>
      <c r="G263" s="330">
        <f>+'Insumos testigos '!HK183</f>
        <v>255.57</v>
      </c>
      <c r="H263" s="330">
        <f>+'Insumos testigos '!HL183</f>
        <v>272.52999999999997</v>
      </c>
      <c r="I263" s="330">
        <f>+'Insumos testigos '!HM183</f>
        <v>284.75</v>
      </c>
      <c r="J263" s="330">
        <f>+'Insumos testigos '!HN183</f>
        <v>288.47000000000003</v>
      </c>
      <c r="K263" s="330">
        <f>+'Insumos testigos '!HO183</f>
        <v>293.27999999999997</v>
      </c>
      <c r="L263" s="330">
        <f>+'Insumos testigos '!HP183</f>
        <v>336.76</v>
      </c>
      <c r="M263" s="330">
        <f>+'Insumos testigos '!HQ183</f>
        <v>352.38</v>
      </c>
      <c r="N263" s="330">
        <f>+'Insumos testigos '!HR183</f>
        <v>367.84</v>
      </c>
      <c r="O263" s="330">
        <f>+'Insumos testigos '!HS183</f>
        <v>389.79</v>
      </c>
      <c r="P263" s="307">
        <f>+'Insumos testigos '!HT183</f>
        <v>403.48</v>
      </c>
    </row>
    <row r="264" spans="2:16" hidden="1">
      <c r="B264" s="372" t="s">
        <v>783</v>
      </c>
      <c r="C264" s="2658">
        <v>1</v>
      </c>
      <c r="D264" s="2658"/>
      <c r="E264" s="330">
        <f>+'Insumos testigos '!HI5</f>
        <v>88.08</v>
      </c>
      <c r="F264" s="330">
        <f>+'Insumos testigos '!HJ5</f>
        <v>88.08</v>
      </c>
      <c r="G264" s="330">
        <f>+'Insumos testigos '!HK5</f>
        <v>94.25</v>
      </c>
      <c r="H264" s="330">
        <f>+'Insumos testigos '!HL5</f>
        <v>103.67</v>
      </c>
      <c r="I264" s="330">
        <f>+'Insumos testigos '!HM5</f>
        <v>108.86</v>
      </c>
      <c r="J264" s="330">
        <f>+'Insumos testigos '!HN5</f>
        <v>108.86</v>
      </c>
      <c r="K264" s="330">
        <f>+'Insumos testigos '!HO5</f>
        <v>113.52</v>
      </c>
      <c r="L264" s="330">
        <f>+'Insumos testigos '!HP5</f>
        <v>117.49</v>
      </c>
      <c r="M264" s="330">
        <f>+'Insumos testigos '!HQ5</f>
        <v>117.49</v>
      </c>
      <c r="N264" s="330">
        <f>+'Insumos testigos '!HR5</f>
        <v>126.67</v>
      </c>
      <c r="O264" s="330">
        <f>+'Insumos testigos '!HS5</f>
        <v>134.27000000000001</v>
      </c>
      <c r="P264" s="307">
        <f>+'Insumos testigos '!HT5</f>
        <v>134.27000000000001</v>
      </c>
    </row>
    <row r="265" spans="2:16" hidden="1">
      <c r="B265" s="566" t="s">
        <v>784</v>
      </c>
      <c r="C265" s="2626" t="s">
        <v>473</v>
      </c>
      <c r="D265" s="2865"/>
      <c r="E265" s="986"/>
      <c r="F265" s="986"/>
      <c r="G265" s="986"/>
      <c r="H265" s="986"/>
      <c r="I265" s="986"/>
      <c r="J265" s="986"/>
      <c r="K265" s="986"/>
      <c r="L265" s="986"/>
      <c r="M265" s="986"/>
      <c r="N265" s="986"/>
      <c r="O265" s="986"/>
      <c r="P265" s="323"/>
    </row>
    <row r="266" spans="2:16" hidden="1">
      <c r="B266" s="566" t="s">
        <v>496</v>
      </c>
      <c r="C266" s="2626" t="s">
        <v>278</v>
      </c>
      <c r="D266" s="2865"/>
      <c r="E266" s="986"/>
      <c r="F266" s="986"/>
      <c r="G266" s="986"/>
      <c r="H266" s="986"/>
      <c r="I266" s="986"/>
      <c r="J266" s="986"/>
      <c r="K266" s="986"/>
      <c r="L266" s="986"/>
      <c r="M266" s="986"/>
      <c r="N266" s="986"/>
      <c r="O266" s="986"/>
      <c r="P266" s="323"/>
    </row>
    <row r="267" spans="2:16" hidden="1">
      <c r="B267" s="566" t="s">
        <v>785</v>
      </c>
      <c r="C267" s="2668" t="s">
        <v>786</v>
      </c>
      <c r="D267" s="2668"/>
      <c r="E267" s="986">
        <f t="shared" ref="E267:P267" si="107">(E264+E266)*8*2.2521+E265*8</f>
        <v>1586.919744</v>
      </c>
      <c r="F267" s="986">
        <f t="shared" si="107"/>
        <v>1586.919744</v>
      </c>
      <c r="G267" s="986">
        <f t="shared" si="107"/>
        <v>1698.0834</v>
      </c>
      <c r="H267" s="986">
        <f t="shared" si="107"/>
        <v>1867.8016560000001</v>
      </c>
      <c r="I267" s="986">
        <f t="shared" si="107"/>
        <v>1961.3088479999999</v>
      </c>
      <c r="J267" s="986">
        <f t="shared" si="107"/>
        <v>1961.3088479999999</v>
      </c>
      <c r="K267" s="986">
        <f t="shared" si="107"/>
        <v>2045.2671359999999</v>
      </c>
      <c r="L267" s="986">
        <f t="shared" si="107"/>
        <v>2116.7938319999998</v>
      </c>
      <c r="M267" s="986">
        <f t="shared" si="107"/>
        <v>2116.7938319999998</v>
      </c>
      <c r="N267" s="986">
        <f t="shared" si="107"/>
        <v>2282.188056</v>
      </c>
      <c r="O267" s="986">
        <f t="shared" si="107"/>
        <v>2419.1157360000002</v>
      </c>
      <c r="P267" s="323">
        <f t="shared" si="107"/>
        <v>2419.1157360000002</v>
      </c>
    </row>
    <row r="268" spans="2:16" hidden="1">
      <c r="B268" s="2624" t="s">
        <v>675</v>
      </c>
      <c r="C268" s="2626" t="s">
        <v>795</v>
      </c>
      <c r="D268" s="2865"/>
      <c r="E268" s="700">
        <f>+ROUND((E262*100/$E$226),3)</f>
        <v>224.041</v>
      </c>
      <c r="F268" s="700">
        <f t="shared" ref="F268:P268" si="108">+ROUND((F262*100/$E$226),3)</f>
        <v>224.94499999999999</v>
      </c>
      <c r="G268" s="700">
        <f t="shared" si="108"/>
        <v>238.114</v>
      </c>
      <c r="H268" s="700">
        <f t="shared" si="108"/>
        <v>249.30600000000001</v>
      </c>
      <c r="I268" s="700">
        <f t="shared" si="108"/>
        <v>273.22500000000002</v>
      </c>
      <c r="J268" s="700">
        <f t="shared" si="108"/>
        <v>267.30900000000003</v>
      </c>
      <c r="K268" s="700">
        <f t="shared" si="108"/>
        <v>260.81200000000001</v>
      </c>
      <c r="L268" s="700">
        <f t="shared" si="108"/>
        <v>351.483</v>
      </c>
      <c r="M268" s="700">
        <f t="shared" si="108"/>
        <v>351.483</v>
      </c>
      <c r="N268" s="700">
        <f t="shared" si="108"/>
        <v>351.483</v>
      </c>
      <c r="O268" s="700">
        <f t="shared" si="108"/>
        <v>351.483</v>
      </c>
      <c r="P268" s="394">
        <f t="shared" si="108"/>
        <v>351.483</v>
      </c>
    </row>
    <row r="269" spans="2:16" hidden="1">
      <c r="B269" s="2640"/>
      <c r="C269" s="2626" t="s">
        <v>796</v>
      </c>
      <c r="D269" s="2865"/>
      <c r="E269" s="1489">
        <f>+ROUND((E263*100/$E$227),2)</f>
        <v>231.99</v>
      </c>
      <c r="F269" s="1489">
        <f t="shared" ref="F269:P269" si="109">+ROUND((F263*100/$E$227),2)</f>
        <v>245.33</v>
      </c>
      <c r="G269" s="1489">
        <f t="shared" si="109"/>
        <v>255.57</v>
      </c>
      <c r="H269" s="1489">
        <f t="shared" si="109"/>
        <v>272.52999999999997</v>
      </c>
      <c r="I269" s="1489">
        <f t="shared" si="109"/>
        <v>284.75</v>
      </c>
      <c r="J269" s="1489">
        <f t="shared" si="109"/>
        <v>288.47000000000003</v>
      </c>
      <c r="K269" s="1489">
        <f t="shared" si="109"/>
        <v>293.27999999999997</v>
      </c>
      <c r="L269" s="1489">
        <f t="shared" si="109"/>
        <v>336.76</v>
      </c>
      <c r="M269" s="1489">
        <f t="shared" si="109"/>
        <v>352.38</v>
      </c>
      <c r="N269" s="1489">
        <f t="shared" si="109"/>
        <v>367.84</v>
      </c>
      <c r="O269" s="1489">
        <f t="shared" si="109"/>
        <v>389.79</v>
      </c>
      <c r="P269" s="1263">
        <f t="shared" si="109"/>
        <v>403.48</v>
      </c>
    </row>
    <row r="270" spans="2:16" ht="16.5" hidden="1" thickBot="1">
      <c r="B270" s="2625"/>
      <c r="C270" s="2642" t="s">
        <v>677</v>
      </c>
      <c r="D270" s="2867"/>
      <c r="E270" s="980">
        <f>+ROUND(E267*100/$E$231,3)</f>
        <v>229.256</v>
      </c>
      <c r="F270" s="980">
        <f t="shared" ref="F270:P270" si="110">+ROUND(F267*100/$E$231,3)</f>
        <v>229.256</v>
      </c>
      <c r="G270" s="980">
        <f t="shared" si="110"/>
        <v>245.315</v>
      </c>
      <c r="H270" s="980">
        <f t="shared" si="110"/>
        <v>269.83300000000003</v>
      </c>
      <c r="I270" s="980">
        <f t="shared" si="110"/>
        <v>283.34199999999998</v>
      </c>
      <c r="J270" s="980">
        <f t="shared" si="110"/>
        <v>283.34199999999998</v>
      </c>
      <c r="K270" s="980">
        <f t="shared" si="110"/>
        <v>295.471</v>
      </c>
      <c r="L270" s="980">
        <f t="shared" si="110"/>
        <v>305.80399999999997</v>
      </c>
      <c r="M270" s="980">
        <f t="shared" si="110"/>
        <v>305.80399999999997</v>
      </c>
      <c r="N270" s="980">
        <f t="shared" si="110"/>
        <v>329.69799999999998</v>
      </c>
      <c r="O270" s="980">
        <f t="shared" si="110"/>
        <v>349.47899999999998</v>
      </c>
      <c r="P270" s="977">
        <f t="shared" si="110"/>
        <v>349.47899999999998</v>
      </c>
    </row>
    <row r="271" spans="2:16" ht="16.5" hidden="1" thickBot="1">
      <c r="B271" s="2636" t="s">
        <v>797</v>
      </c>
      <c r="C271" s="2637"/>
      <c r="D271" s="2637"/>
      <c r="E271" s="1490">
        <f t="shared" ref="E271:N271" si="111">+ROUND(E268*0.3+E269*0.3+E270*0.4,2)</f>
        <v>228.51</v>
      </c>
      <c r="F271" s="1490">
        <f t="shared" si="111"/>
        <v>232.78</v>
      </c>
      <c r="G271" s="1490">
        <f t="shared" si="111"/>
        <v>246.23</v>
      </c>
      <c r="H271" s="1490">
        <f t="shared" si="111"/>
        <v>264.48</v>
      </c>
      <c r="I271" s="1490">
        <f t="shared" si="111"/>
        <v>280.73</v>
      </c>
      <c r="J271" s="1490">
        <f t="shared" si="111"/>
        <v>280.07</v>
      </c>
      <c r="K271" s="1490">
        <f t="shared" si="111"/>
        <v>284.42</v>
      </c>
      <c r="L271" s="1490">
        <f t="shared" si="111"/>
        <v>328.79</v>
      </c>
      <c r="M271" s="1490">
        <f t="shared" si="111"/>
        <v>333.48</v>
      </c>
      <c r="N271" s="1490">
        <f t="shared" si="111"/>
        <v>347.68</v>
      </c>
      <c r="O271" s="1490">
        <f>+ROUND(O268*0.3+O269*0.3+O270*0.4,2)</f>
        <v>362.17</v>
      </c>
      <c r="P271" s="1488">
        <f>+ROUND(P268*0.3+P269*0.3+P270*0.4,2)</f>
        <v>366.28</v>
      </c>
    </row>
    <row r="272" spans="2:16" ht="16.5" hidden="1" thickBot="1"/>
    <row r="273" spans="2:16" ht="16.5" hidden="1" thickBot="1">
      <c r="B273" s="365" t="s">
        <v>673</v>
      </c>
      <c r="C273" s="2628" t="s">
        <v>831</v>
      </c>
      <c r="D273" s="2629"/>
      <c r="E273" s="1851">
        <v>43831</v>
      </c>
      <c r="F273" s="1851">
        <v>43862</v>
      </c>
      <c r="G273" s="1851">
        <v>43891</v>
      </c>
      <c r="H273" s="1851">
        <v>43922</v>
      </c>
      <c r="I273" s="1851">
        <v>43952</v>
      </c>
      <c r="J273" s="1851">
        <v>43983</v>
      </c>
      <c r="K273" s="1851">
        <v>44013</v>
      </c>
      <c r="L273" s="1851">
        <v>44044</v>
      </c>
      <c r="M273" s="1851">
        <v>44075</v>
      </c>
      <c r="N273" s="1851">
        <v>44105</v>
      </c>
      <c r="O273" s="1851">
        <v>44136</v>
      </c>
      <c r="P273" s="2364">
        <v>44166</v>
      </c>
    </row>
    <row r="274" spans="2:16" hidden="1">
      <c r="B274" s="377" t="s">
        <v>793</v>
      </c>
      <c r="C274" s="2869">
        <v>118</v>
      </c>
      <c r="D274" s="2869"/>
      <c r="E274" s="549">
        <f>+'Insumos testigos '!HU136</f>
        <v>360.08349518591115</v>
      </c>
      <c r="F274" s="549">
        <f>+'Insumos testigos '!HV136</f>
        <v>370.82104152189379</v>
      </c>
      <c r="G274" s="549">
        <f>+'Insumos testigos '!HW136</f>
        <v>371.86150678235316</v>
      </c>
      <c r="H274" s="549">
        <f>+'Insumos testigos '!HX136</f>
        <v>371.86150678235316</v>
      </c>
      <c r="I274" s="549">
        <f>+'Insumos testigos '!HY136</f>
        <v>374.99143320851636</v>
      </c>
      <c r="J274" s="549">
        <f>+'Insumos testigos '!HZ136</f>
        <v>374.99143320851636</v>
      </c>
      <c r="K274" s="549">
        <f>+'Insumos testigos '!IA136</f>
        <v>374.99143320851636</v>
      </c>
      <c r="L274" s="549">
        <f>+'Insumos testigos '!IB136</f>
        <v>375.60013593670129</v>
      </c>
      <c r="M274" s="549">
        <f>+'Insumos testigos '!IC136</f>
        <v>383.86185727688741</v>
      </c>
      <c r="N274" s="549">
        <f>+'Insumos testigos '!ID136</f>
        <v>422.93481358583585</v>
      </c>
      <c r="O274" s="549">
        <f>+'Insumos testigos '!IE136</f>
        <v>440.0884182294821</v>
      </c>
      <c r="P274" s="451">
        <f>+'Insumos testigos '!IF136</f>
        <v>447.59043615917574</v>
      </c>
    </row>
    <row r="275" spans="2:16" hidden="1">
      <c r="B275" s="563" t="s">
        <v>794</v>
      </c>
      <c r="C275" s="2626">
        <v>302</v>
      </c>
      <c r="D275" s="2865"/>
      <c r="E275" s="330">
        <f>+'Insumos testigos '!HU183</f>
        <v>415.22</v>
      </c>
      <c r="F275" s="330">
        <f>+'Insumos testigos '!HV183</f>
        <v>423.47</v>
      </c>
      <c r="G275" s="330">
        <f>+'Insumos testigos '!HW183</f>
        <v>449.98</v>
      </c>
      <c r="H275" s="330">
        <f>+'Insumos testigos '!HX183</f>
        <v>449.98</v>
      </c>
      <c r="I275" s="330">
        <f>+'Insumos testigos '!HY183</f>
        <v>454.66</v>
      </c>
      <c r="J275" s="330">
        <f>+'Insumos testigos '!HZ183</f>
        <v>456.6</v>
      </c>
      <c r="K275" s="330">
        <f>+'Insumos testigos '!IA183</f>
        <v>471.53</v>
      </c>
      <c r="L275" s="330">
        <f>+'Insumos testigos '!IB183</f>
        <v>495.85</v>
      </c>
      <c r="M275" s="330">
        <f>+'Insumos testigos '!IC183</f>
        <v>518.94000000000005</v>
      </c>
      <c r="N275" s="330">
        <f>+'Insumos testigos '!ID183</f>
        <v>584.19000000000005</v>
      </c>
      <c r="O275" s="330">
        <f>+'Insumos testigos '!IE183</f>
        <v>633.95000000000005</v>
      </c>
      <c r="P275" s="307">
        <f>+'Insumos testigos '!IF183</f>
        <v>651.30999999999995</v>
      </c>
    </row>
    <row r="276" spans="2:16" hidden="1">
      <c r="B276" s="372" t="s">
        <v>783</v>
      </c>
      <c r="C276" s="2658">
        <v>1</v>
      </c>
      <c r="D276" s="2658"/>
      <c r="E276" s="330">
        <f>+'Insumos testigos '!HU5</f>
        <v>142.47999999999999</v>
      </c>
      <c r="F276" s="330">
        <f>+'Insumos testigos '!HV5</f>
        <v>148.16999999999999</v>
      </c>
      <c r="G276" s="330">
        <f>+'Insumos testigos '!HW5</f>
        <v>148.16999999999999</v>
      </c>
      <c r="H276" s="330">
        <f>+'Insumos testigos '!HX5</f>
        <v>148.16999999999999</v>
      </c>
      <c r="I276" s="330">
        <f>+'Insumos testigos '!HY5</f>
        <v>148.16999999999999</v>
      </c>
      <c r="J276" s="330">
        <f>+'Insumos testigos '!HZ5</f>
        <v>148.16999999999999</v>
      </c>
      <c r="K276" s="330">
        <f>+'Insumos testigos '!IA5</f>
        <v>148.16999999999999</v>
      </c>
      <c r="L276" s="330">
        <f>+'Insumos testigos '!IB5</f>
        <v>148.16999999999999</v>
      </c>
      <c r="M276" s="330">
        <f>+'Insumos testigos '!IC5</f>
        <v>148.16999999999999</v>
      </c>
      <c r="N276" s="330">
        <f>+'Insumos testigos '!ID5</f>
        <v>148.16999999999999</v>
      </c>
      <c r="O276" s="330">
        <f>+'Insumos testigos '!IE5</f>
        <v>185.22</v>
      </c>
      <c r="P276" s="307">
        <f>+'Insumos testigos '!IF5</f>
        <v>185.22</v>
      </c>
    </row>
    <row r="277" spans="2:16" hidden="1">
      <c r="B277" s="566" t="s">
        <v>784</v>
      </c>
      <c r="C277" s="2626" t="s">
        <v>473</v>
      </c>
      <c r="D277" s="2865"/>
      <c r="E277" s="986"/>
      <c r="F277" s="986"/>
      <c r="G277" s="986"/>
      <c r="H277" s="986"/>
      <c r="I277" s="986"/>
      <c r="J277" s="986"/>
      <c r="K277" s="986"/>
      <c r="L277" s="986"/>
      <c r="M277" s="986"/>
      <c r="N277" s="986"/>
      <c r="O277" s="986"/>
      <c r="P277" s="323"/>
    </row>
    <row r="278" spans="2:16" hidden="1">
      <c r="B278" s="566" t="s">
        <v>496</v>
      </c>
      <c r="C278" s="2626" t="s">
        <v>278</v>
      </c>
      <c r="D278" s="2865"/>
      <c r="E278" s="986"/>
      <c r="F278" s="986"/>
      <c r="G278" s="986"/>
      <c r="H278" s="986"/>
      <c r="I278" s="986"/>
      <c r="J278" s="986"/>
      <c r="K278" s="986"/>
      <c r="L278" s="986"/>
      <c r="M278" s="986"/>
      <c r="N278" s="986"/>
      <c r="O278" s="986"/>
      <c r="P278" s="323"/>
    </row>
    <row r="279" spans="2:16" hidden="1">
      <c r="B279" s="566" t="s">
        <v>785</v>
      </c>
      <c r="C279" s="2668" t="s">
        <v>786</v>
      </c>
      <c r="D279" s="2668"/>
      <c r="E279" s="986">
        <f t="shared" ref="E279:P279" si="112">(E276+E278)*8*2.2521+E277*8</f>
        <v>2567.0336639999996</v>
      </c>
      <c r="F279" s="986">
        <f t="shared" si="112"/>
        <v>2669.5492559999998</v>
      </c>
      <c r="G279" s="986">
        <f t="shared" si="112"/>
        <v>2669.5492559999998</v>
      </c>
      <c r="H279" s="986">
        <f t="shared" si="112"/>
        <v>2669.5492559999998</v>
      </c>
      <c r="I279" s="986">
        <f t="shared" si="112"/>
        <v>2669.5492559999998</v>
      </c>
      <c r="J279" s="986">
        <f t="shared" si="112"/>
        <v>2669.5492559999998</v>
      </c>
      <c r="K279" s="986">
        <f t="shared" si="112"/>
        <v>2669.5492559999998</v>
      </c>
      <c r="L279" s="986">
        <f t="shared" si="112"/>
        <v>2669.5492559999998</v>
      </c>
      <c r="M279" s="986">
        <f t="shared" si="112"/>
        <v>2669.5492559999998</v>
      </c>
      <c r="N279" s="986">
        <f t="shared" si="112"/>
        <v>2669.5492559999998</v>
      </c>
      <c r="O279" s="986">
        <f t="shared" si="112"/>
        <v>3337.071696</v>
      </c>
      <c r="P279" s="323">
        <f t="shared" si="112"/>
        <v>3337.071696</v>
      </c>
    </row>
    <row r="280" spans="2:16" hidden="1">
      <c r="B280" s="2624" t="s">
        <v>675</v>
      </c>
      <c r="C280" s="2626" t="s">
        <v>795</v>
      </c>
      <c r="D280" s="2865"/>
      <c r="E280" s="700">
        <f>+ROUND((E274*100/$E$226),3)</f>
        <v>360.08300000000003</v>
      </c>
      <c r="F280" s="700">
        <f t="shared" ref="F280:P280" si="113">+ROUND((F274*100/$E$226),3)</f>
        <v>370.82100000000003</v>
      </c>
      <c r="G280" s="700">
        <f t="shared" si="113"/>
        <v>371.86200000000002</v>
      </c>
      <c r="H280" s="700">
        <f t="shared" si="113"/>
        <v>371.86200000000002</v>
      </c>
      <c r="I280" s="700">
        <f t="shared" si="113"/>
        <v>374.99099999999999</v>
      </c>
      <c r="J280" s="700">
        <f t="shared" si="113"/>
        <v>374.99099999999999</v>
      </c>
      <c r="K280" s="700">
        <f t="shared" si="113"/>
        <v>374.99099999999999</v>
      </c>
      <c r="L280" s="700">
        <f t="shared" si="113"/>
        <v>375.6</v>
      </c>
      <c r="M280" s="700">
        <f t="shared" si="113"/>
        <v>383.86200000000002</v>
      </c>
      <c r="N280" s="700">
        <f t="shared" si="113"/>
        <v>422.935</v>
      </c>
      <c r="O280" s="700">
        <f t="shared" si="113"/>
        <v>440.08800000000002</v>
      </c>
      <c r="P280" s="394">
        <f t="shared" si="113"/>
        <v>447.59</v>
      </c>
    </row>
    <row r="281" spans="2:16" hidden="1">
      <c r="B281" s="2640"/>
      <c r="C281" s="2626" t="s">
        <v>796</v>
      </c>
      <c r="D281" s="2865"/>
      <c r="E281" s="1489">
        <f>+ROUND((E275*100/$E$227),2)</f>
        <v>415.22</v>
      </c>
      <c r="F281" s="1489">
        <f t="shared" ref="F281:P281" si="114">+ROUND((F275*100/$E$227),2)</f>
        <v>423.47</v>
      </c>
      <c r="G281" s="1489">
        <f t="shared" si="114"/>
        <v>449.98</v>
      </c>
      <c r="H281" s="1489">
        <f t="shared" si="114"/>
        <v>449.98</v>
      </c>
      <c r="I281" s="1489">
        <f t="shared" si="114"/>
        <v>454.66</v>
      </c>
      <c r="J281" s="1489">
        <f t="shared" si="114"/>
        <v>456.6</v>
      </c>
      <c r="K281" s="1489">
        <f t="shared" si="114"/>
        <v>471.53</v>
      </c>
      <c r="L281" s="1489">
        <f t="shared" si="114"/>
        <v>495.85</v>
      </c>
      <c r="M281" s="1489">
        <f t="shared" si="114"/>
        <v>518.94000000000005</v>
      </c>
      <c r="N281" s="1489">
        <f t="shared" si="114"/>
        <v>584.19000000000005</v>
      </c>
      <c r="O281" s="1489">
        <f t="shared" si="114"/>
        <v>633.95000000000005</v>
      </c>
      <c r="P281" s="1263">
        <f t="shared" si="114"/>
        <v>651.30999999999995</v>
      </c>
    </row>
    <row r="282" spans="2:16" ht="16.5" hidden="1" thickBot="1">
      <c r="B282" s="2625"/>
      <c r="C282" s="2642" t="s">
        <v>677</v>
      </c>
      <c r="D282" s="2867"/>
      <c r="E282" s="980">
        <f>+ROUND(E279*100/$E$231,3)</f>
        <v>370.84899999999999</v>
      </c>
      <c r="F282" s="980">
        <f t="shared" ref="F282:P282" si="115">+ROUND(F279*100/$E$231,3)</f>
        <v>385.65899999999999</v>
      </c>
      <c r="G282" s="980">
        <f t="shared" si="115"/>
        <v>385.65899999999999</v>
      </c>
      <c r="H282" s="980">
        <f t="shared" si="115"/>
        <v>385.65899999999999</v>
      </c>
      <c r="I282" s="980">
        <f t="shared" si="115"/>
        <v>385.65899999999999</v>
      </c>
      <c r="J282" s="980">
        <f t="shared" si="115"/>
        <v>385.65899999999999</v>
      </c>
      <c r="K282" s="980">
        <f t="shared" si="115"/>
        <v>385.65899999999999</v>
      </c>
      <c r="L282" s="980">
        <f t="shared" si="115"/>
        <v>385.65899999999999</v>
      </c>
      <c r="M282" s="980">
        <f t="shared" si="115"/>
        <v>385.65899999999999</v>
      </c>
      <c r="N282" s="980">
        <f t="shared" si="115"/>
        <v>385.65899999999999</v>
      </c>
      <c r="O282" s="980">
        <f t="shared" si="115"/>
        <v>482.09300000000002</v>
      </c>
      <c r="P282" s="977">
        <f t="shared" si="115"/>
        <v>482.09300000000002</v>
      </c>
    </row>
    <row r="283" spans="2:16" ht="16.5" hidden="1" thickBot="1">
      <c r="B283" s="2636" t="s">
        <v>797</v>
      </c>
      <c r="C283" s="2637"/>
      <c r="D283" s="2637"/>
      <c r="E283" s="1490">
        <f t="shared" ref="E283:F283" si="116">+ROUND(E280*0.3+E281*0.3+E282*0.4,2)</f>
        <v>380.93</v>
      </c>
      <c r="F283" s="1490">
        <f t="shared" si="116"/>
        <v>392.55</v>
      </c>
      <c r="G283" s="1490">
        <f t="shared" ref="G283:H283" si="117">+ROUND(G280*0.3+G281*0.3+G282*0.4,2)</f>
        <v>400.82</v>
      </c>
      <c r="H283" s="1490">
        <f t="shared" si="117"/>
        <v>400.82</v>
      </c>
      <c r="I283" s="1490">
        <f t="shared" ref="I283:J283" si="118">+ROUND(I280*0.3+I281*0.3+I282*0.4,2)</f>
        <v>403.16</v>
      </c>
      <c r="J283" s="1490">
        <f t="shared" si="118"/>
        <v>403.74</v>
      </c>
      <c r="K283" s="1490">
        <f t="shared" ref="K283:L283" si="119">+ROUND(K280*0.3+K281*0.3+K282*0.4,2)</f>
        <v>408.22</v>
      </c>
      <c r="L283" s="1490">
        <f t="shared" si="119"/>
        <v>415.7</v>
      </c>
      <c r="M283" s="1490">
        <f t="shared" ref="M283:N283" si="120">+ROUND(M280*0.3+M281*0.3+M282*0.4,2)</f>
        <v>425.1</v>
      </c>
      <c r="N283" s="1490">
        <f t="shared" si="120"/>
        <v>456.4</v>
      </c>
      <c r="O283" s="1490">
        <f t="shared" ref="O283:P283" si="121">+ROUND(O280*0.3+O281*0.3+O282*0.4,2)</f>
        <v>515.04999999999995</v>
      </c>
      <c r="P283" s="1488">
        <f t="shared" si="121"/>
        <v>522.51</v>
      </c>
    </row>
    <row r="284" spans="2:16" ht="16.5" hidden="1" thickBot="1">
      <c r="P284" s="375"/>
    </row>
    <row r="285" spans="2:16" ht="16.5" hidden="1" thickBot="1">
      <c r="B285" s="365" t="s">
        <v>673</v>
      </c>
      <c r="C285" s="2628" t="s">
        <v>831</v>
      </c>
      <c r="D285" s="2629"/>
      <c r="E285" s="1920">
        <v>44197</v>
      </c>
      <c r="F285" s="1920">
        <v>44228</v>
      </c>
      <c r="G285" s="1920">
        <v>44256</v>
      </c>
      <c r="H285" s="1920">
        <v>44287</v>
      </c>
      <c r="I285" s="1920">
        <v>44317</v>
      </c>
      <c r="J285" s="1920">
        <v>44348</v>
      </c>
      <c r="K285" s="1920">
        <v>44378</v>
      </c>
      <c r="L285" s="1920">
        <v>44409</v>
      </c>
      <c r="M285" s="1920">
        <v>44440</v>
      </c>
      <c r="N285" s="1920">
        <v>44470</v>
      </c>
      <c r="O285" s="1920">
        <v>44501</v>
      </c>
      <c r="P285" s="1918">
        <v>44531</v>
      </c>
    </row>
    <row r="286" spans="2:16" hidden="1">
      <c r="B286" s="377" t="s">
        <v>793</v>
      </c>
      <c r="C286" s="2869">
        <v>118</v>
      </c>
      <c r="D286" s="2869"/>
      <c r="E286" s="549">
        <f>+'Insumos testigos '!IG136</f>
        <v>486.0727459832741</v>
      </c>
      <c r="F286" s="549">
        <f>+'Insumos testigos '!IH136</f>
        <v>495.65325456806397</v>
      </c>
      <c r="G286" s="549">
        <f>+'Insumos testigos '!II136</f>
        <v>495.65325456806397</v>
      </c>
      <c r="H286" s="549">
        <f>+'Insumos testigos '!IJ136</f>
        <v>528.41416512646845</v>
      </c>
      <c r="I286" s="549">
        <f>+'Insumos testigos '!IK136</f>
        <v>584.09249978483069</v>
      </c>
      <c r="J286" s="549">
        <f>+'Insumos testigos '!IL136</f>
        <v>638.74683811034765</v>
      </c>
      <c r="K286" s="549">
        <f>+'Insumos testigos '!IM136</f>
        <v>629.95598143168934</v>
      </c>
      <c r="L286" s="549">
        <f>+'Insumos testigos '!IN136</f>
        <v>645.88433515544637</v>
      </c>
      <c r="M286" s="549">
        <f>+'Insumos testigos '!IO136</f>
        <v>656.95995973469189</v>
      </c>
      <c r="N286" s="549">
        <f>+'Insumos testigos '!IP136</f>
        <v>663.71956162636479</v>
      </c>
      <c r="O286" s="549">
        <f>+'Insumos testigos '!IQ136</f>
        <v>685.07739339993952</v>
      </c>
      <c r="P286" s="451">
        <f>+'Insumos testigos '!IR136</f>
        <v>740.91931846541627</v>
      </c>
    </row>
    <row r="287" spans="2:16" hidden="1">
      <c r="B287" s="563" t="s">
        <v>794</v>
      </c>
      <c r="C287" s="2626">
        <v>302</v>
      </c>
      <c r="D287" s="2865"/>
      <c r="E287" s="330">
        <f>+'Insumos testigos '!IG183</f>
        <v>661.59</v>
      </c>
      <c r="F287" s="330">
        <f>+'Insumos testigos '!IH183</f>
        <v>696.11</v>
      </c>
      <c r="G287" s="330">
        <f>+'Insumos testigos '!II183</f>
        <v>709.81</v>
      </c>
      <c r="H287" s="330">
        <f>+'Insumos testigos '!IJ183</f>
        <v>729.93</v>
      </c>
      <c r="I287" s="330">
        <f>+'Insumos testigos '!IK183</f>
        <v>749.84</v>
      </c>
      <c r="J287" s="330">
        <f>+'Insumos testigos '!IL183</f>
        <v>770.26</v>
      </c>
      <c r="K287" s="330">
        <f>+'Insumos testigos '!IM183</f>
        <v>791.19</v>
      </c>
      <c r="L287" s="330">
        <f>+'Insumos testigos '!IN183</f>
        <v>805.96</v>
      </c>
      <c r="M287" s="330">
        <f>+'Insumos testigos '!IO183</f>
        <v>822.22</v>
      </c>
      <c r="N287" s="330">
        <f>+'Insumos testigos '!IP183</f>
        <v>845.67</v>
      </c>
      <c r="O287" s="330">
        <f>+'Insumos testigos '!IQ183</f>
        <v>856.41</v>
      </c>
      <c r="P287" s="307">
        <f>+'Insumos testigos '!IR183</f>
        <v>874.53</v>
      </c>
    </row>
    <row r="288" spans="2:16" hidden="1">
      <c r="B288" s="372" t="s">
        <v>783</v>
      </c>
      <c r="C288" s="2658">
        <v>1</v>
      </c>
      <c r="D288" s="2658"/>
      <c r="E288" s="330">
        <f>+'Insumos testigos '!IG5</f>
        <v>185.22</v>
      </c>
      <c r="F288" s="330">
        <f>+'Insumos testigos '!IH5</f>
        <v>197.07</v>
      </c>
      <c r="G288" s="330">
        <f>+'Insumos testigos '!II5</f>
        <v>197.07</v>
      </c>
      <c r="H288" s="330">
        <f>+'Insumos testigos '!IJ5</f>
        <v>220.72</v>
      </c>
      <c r="I288" s="330">
        <f>+'Insumos testigos '!IK5</f>
        <v>220.72</v>
      </c>
      <c r="J288" s="330">
        <f>+'Insumos testigos '!IL5</f>
        <v>220.72</v>
      </c>
      <c r="K288" s="330">
        <f>+'Insumos testigos '!IM5</f>
        <v>240.43</v>
      </c>
      <c r="L288" s="330">
        <f>+'Insumos testigos '!IN5</f>
        <v>240.43</v>
      </c>
      <c r="M288" s="330">
        <f>+'Insumos testigos '!IO5</f>
        <v>250.28</v>
      </c>
      <c r="N288" s="330">
        <f>+'Insumos testigos '!IP5</f>
        <v>264.08</v>
      </c>
      <c r="O288" s="330">
        <f>+'Insumos testigos '!IQ5</f>
        <v>264.08</v>
      </c>
      <c r="P288" s="307">
        <f>+'Insumos testigos '!IR5</f>
        <v>264.08</v>
      </c>
    </row>
    <row r="289" spans="2:16" hidden="1">
      <c r="B289" s="566" t="s">
        <v>784</v>
      </c>
      <c r="C289" s="2626" t="s">
        <v>473</v>
      </c>
      <c r="D289" s="2865"/>
      <c r="E289" s="986"/>
      <c r="F289" s="986"/>
      <c r="G289" s="986"/>
      <c r="H289" s="986"/>
      <c r="I289" s="986"/>
      <c r="J289" s="986"/>
      <c r="K289" s="986"/>
      <c r="L289" s="986"/>
      <c r="M289" s="986"/>
      <c r="N289" s="986"/>
      <c r="O289" s="986"/>
      <c r="P289" s="323"/>
    </row>
    <row r="290" spans="2:16" hidden="1">
      <c r="B290" s="566" t="s">
        <v>496</v>
      </c>
      <c r="C290" s="2626" t="s">
        <v>278</v>
      </c>
      <c r="D290" s="2865"/>
      <c r="E290" s="986"/>
      <c r="F290" s="986"/>
      <c r="G290" s="986"/>
      <c r="H290" s="986"/>
      <c r="I290" s="986"/>
      <c r="J290" s="986"/>
      <c r="K290" s="986"/>
      <c r="L290" s="986"/>
      <c r="M290" s="986"/>
      <c r="N290" s="986"/>
      <c r="O290" s="986"/>
      <c r="P290" s="323"/>
    </row>
    <row r="291" spans="2:16" hidden="1">
      <c r="B291" s="566" t="s">
        <v>785</v>
      </c>
      <c r="C291" s="2668" t="s">
        <v>786</v>
      </c>
      <c r="D291" s="2668"/>
      <c r="E291" s="986">
        <f t="shared" ref="E291:P291" si="122">(E288+E290)*8*2.2521+E289*8</f>
        <v>3337.071696</v>
      </c>
      <c r="F291" s="986">
        <f t="shared" si="122"/>
        <v>3550.570776</v>
      </c>
      <c r="G291" s="986">
        <f t="shared" si="122"/>
        <v>3550.570776</v>
      </c>
      <c r="H291" s="986">
        <f t="shared" si="122"/>
        <v>3976.6680959999999</v>
      </c>
      <c r="I291" s="986">
        <f t="shared" si="122"/>
        <v>3976.6680959999999</v>
      </c>
      <c r="J291" s="986">
        <f t="shared" si="122"/>
        <v>3976.6680959999999</v>
      </c>
      <c r="K291" s="986">
        <f t="shared" si="122"/>
        <v>4331.7792239999999</v>
      </c>
      <c r="L291" s="986">
        <f t="shared" si="122"/>
        <v>4331.7792239999999</v>
      </c>
      <c r="M291" s="986">
        <f t="shared" si="122"/>
        <v>4509.2447039999997</v>
      </c>
      <c r="N291" s="986">
        <f t="shared" si="122"/>
        <v>4757.8765439999997</v>
      </c>
      <c r="O291" s="986">
        <f t="shared" si="122"/>
        <v>4757.8765439999997</v>
      </c>
      <c r="P291" s="323">
        <f t="shared" si="122"/>
        <v>4757.8765439999997</v>
      </c>
    </row>
    <row r="292" spans="2:16" hidden="1">
      <c r="B292" s="2624" t="s">
        <v>675</v>
      </c>
      <c r="C292" s="2626" t="s">
        <v>795</v>
      </c>
      <c r="D292" s="2865"/>
      <c r="E292" s="700">
        <f t="shared" ref="E292:P292" si="123">+ROUND((E286*100/$E$226),3)</f>
        <v>486.07299999999998</v>
      </c>
      <c r="F292" s="700">
        <f t="shared" si="123"/>
        <v>495.65300000000002</v>
      </c>
      <c r="G292" s="700">
        <f t="shared" si="123"/>
        <v>495.65300000000002</v>
      </c>
      <c r="H292" s="700">
        <f t="shared" si="123"/>
        <v>528.41399999999999</v>
      </c>
      <c r="I292" s="700">
        <f t="shared" si="123"/>
        <v>584.09199999999998</v>
      </c>
      <c r="J292" s="700">
        <f t="shared" si="123"/>
        <v>638.74699999999996</v>
      </c>
      <c r="K292" s="700">
        <f t="shared" si="123"/>
        <v>629.95600000000002</v>
      </c>
      <c r="L292" s="700">
        <f t="shared" si="123"/>
        <v>645.88400000000001</v>
      </c>
      <c r="M292" s="700">
        <f t="shared" si="123"/>
        <v>656.96</v>
      </c>
      <c r="N292" s="700">
        <f t="shared" si="123"/>
        <v>663.72</v>
      </c>
      <c r="O292" s="700">
        <f t="shared" si="123"/>
        <v>685.077</v>
      </c>
      <c r="P292" s="394">
        <f t="shared" si="123"/>
        <v>740.91899999999998</v>
      </c>
    </row>
    <row r="293" spans="2:16" hidden="1">
      <c r="B293" s="2640"/>
      <c r="C293" s="2626" t="s">
        <v>796</v>
      </c>
      <c r="D293" s="2865"/>
      <c r="E293" s="1489">
        <f t="shared" ref="E293:P293" si="124">+ROUND((E287*100/$E$227),2)</f>
        <v>661.59</v>
      </c>
      <c r="F293" s="1489">
        <f t="shared" si="124"/>
        <v>696.11</v>
      </c>
      <c r="G293" s="1489">
        <f t="shared" si="124"/>
        <v>709.81</v>
      </c>
      <c r="H293" s="1489">
        <f t="shared" si="124"/>
        <v>729.93</v>
      </c>
      <c r="I293" s="1489">
        <f t="shared" si="124"/>
        <v>749.84</v>
      </c>
      <c r="J293" s="1489">
        <f t="shared" si="124"/>
        <v>770.26</v>
      </c>
      <c r="K293" s="1489">
        <f t="shared" si="124"/>
        <v>791.19</v>
      </c>
      <c r="L293" s="1489">
        <f t="shared" si="124"/>
        <v>805.96</v>
      </c>
      <c r="M293" s="1489">
        <f t="shared" si="124"/>
        <v>822.22</v>
      </c>
      <c r="N293" s="1489">
        <f t="shared" si="124"/>
        <v>845.67</v>
      </c>
      <c r="O293" s="1489">
        <f t="shared" si="124"/>
        <v>856.41</v>
      </c>
      <c r="P293" s="1263">
        <f t="shared" si="124"/>
        <v>874.53</v>
      </c>
    </row>
    <row r="294" spans="2:16" ht="16.5" hidden="1" thickBot="1">
      <c r="B294" s="2625"/>
      <c r="C294" s="2642" t="s">
        <v>677</v>
      </c>
      <c r="D294" s="2867"/>
      <c r="E294" s="980">
        <f t="shared" ref="E294:P294" si="125">+ROUND(E291*100/$E$231,3)</f>
        <v>482.09300000000002</v>
      </c>
      <c r="F294" s="980">
        <f t="shared" si="125"/>
        <v>512.93600000000004</v>
      </c>
      <c r="G294" s="980">
        <f t="shared" si="125"/>
        <v>512.93600000000004</v>
      </c>
      <c r="H294" s="980">
        <f t="shared" si="125"/>
        <v>574.49199999999996</v>
      </c>
      <c r="I294" s="980">
        <f t="shared" si="125"/>
        <v>574.49199999999996</v>
      </c>
      <c r="J294" s="980">
        <f t="shared" si="125"/>
        <v>574.49199999999996</v>
      </c>
      <c r="K294" s="980">
        <f t="shared" si="125"/>
        <v>625.79399999999998</v>
      </c>
      <c r="L294" s="980">
        <f t="shared" si="125"/>
        <v>625.79399999999998</v>
      </c>
      <c r="M294" s="980">
        <f t="shared" si="125"/>
        <v>651.43200000000002</v>
      </c>
      <c r="N294" s="980">
        <f t="shared" si="125"/>
        <v>687.35</v>
      </c>
      <c r="O294" s="980">
        <f t="shared" si="125"/>
        <v>687.35</v>
      </c>
      <c r="P294" s="977">
        <f t="shared" si="125"/>
        <v>687.35</v>
      </c>
    </row>
    <row r="295" spans="2:16" ht="21.75" hidden="1" customHeight="1" thickBot="1">
      <c r="B295" s="2636" t="s">
        <v>797</v>
      </c>
      <c r="C295" s="2637"/>
      <c r="D295" s="2637"/>
      <c r="E295" s="1490">
        <f t="shared" ref="E295" si="126">+ROUND(E292*0.3+E293*0.3+E294*0.4,2)</f>
        <v>537.14</v>
      </c>
      <c r="F295" s="1490">
        <f t="shared" ref="F295:G295" si="127">+ROUND(F292*0.3+F293*0.3+F294*0.4,2)</f>
        <v>562.70000000000005</v>
      </c>
      <c r="G295" s="1490">
        <f t="shared" si="127"/>
        <v>566.80999999999995</v>
      </c>
      <c r="H295" s="1490">
        <f t="shared" ref="H295:I295" si="128">+ROUND(H292*0.3+H293*0.3+H294*0.4,2)</f>
        <v>607.29999999999995</v>
      </c>
      <c r="I295" s="1490">
        <f t="shared" si="128"/>
        <v>629.98</v>
      </c>
      <c r="J295" s="1490">
        <f t="shared" ref="J295:K295" si="129">+ROUND(J292*0.3+J293*0.3+J294*0.4,2)</f>
        <v>652.5</v>
      </c>
      <c r="K295" s="1490">
        <f t="shared" si="129"/>
        <v>676.66</v>
      </c>
      <c r="L295" s="1490">
        <f t="shared" ref="L295:M295" si="130">+ROUND(L292*0.3+L293*0.3+L294*0.4,2)</f>
        <v>685.87</v>
      </c>
      <c r="M295" s="1490">
        <f t="shared" si="130"/>
        <v>704.33</v>
      </c>
      <c r="N295" s="1490">
        <f t="shared" ref="N295:O295" si="131">+ROUND(N292*0.3+N293*0.3+N294*0.4,2)</f>
        <v>727.76</v>
      </c>
      <c r="O295" s="1490">
        <f t="shared" si="131"/>
        <v>737.39</v>
      </c>
      <c r="P295" s="1488">
        <f t="shared" ref="P295" si="132">+ROUND(P292*0.3+P293*0.3+P294*0.4,2)</f>
        <v>759.57</v>
      </c>
    </row>
    <row r="296" spans="2:16" ht="16.5" thickBot="1"/>
    <row r="297" spans="2:16" ht="16.5" thickBot="1">
      <c r="B297" s="365" t="s">
        <v>673</v>
      </c>
      <c r="C297" s="2628" t="s">
        <v>831</v>
      </c>
      <c r="D297" s="2629"/>
      <c r="E297" s="1978">
        <v>44562</v>
      </c>
      <c r="F297" s="1978">
        <v>44593</v>
      </c>
      <c r="G297" s="1978">
        <v>44621</v>
      </c>
      <c r="H297" s="1978">
        <v>44652</v>
      </c>
      <c r="I297" s="1978">
        <v>44682</v>
      </c>
      <c r="J297" s="1978">
        <v>44713</v>
      </c>
      <c r="K297" s="1978">
        <v>44743</v>
      </c>
      <c r="L297" s="1978">
        <v>44774</v>
      </c>
      <c r="M297" s="1978">
        <v>44805</v>
      </c>
      <c r="N297" s="1978">
        <v>44835</v>
      </c>
      <c r="O297" s="1978">
        <v>44866</v>
      </c>
      <c r="P297" s="1978">
        <v>44896</v>
      </c>
    </row>
    <row r="298" spans="2:16">
      <c r="B298" s="377" t="s">
        <v>793</v>
      </c>
      <c r="C298" s="2869">
        <v>118</v>
      </c>
      <c r="D298" s="2869"/>
      <c r="E298" s="549">
        <f>+'Insumos testigos '!IS136</f>
        <v>774.66970080782289</v>
      </c>
      <c r="F298" s="549">
        <f>+'Insumos testigos '!IT136</f>
        <v>793.04735941882507</v>
      </c>
      <c r="G298" s="549">
        <f>+'Insumos testigos '!IU136</f>
        <v>794.85546235191998</v>
      </c>
      <c r="H298" s="549">
        <f>+'Insumos testigos '!IV136</f>
        <v>835.17421768861163</v>
      </c>
      <c r="I298" s="549">
        <f>+'Insumos testigos '!IW136</f>
        <v>845.83367809858476</v>
      </c>
      <c r="J298" s="549">
        <f>+'Insumos testigos '!IX136</f>
        <v>896.22387084979471</v>
      </c>
      <c r="K298" s="549">
        <f>+'Insumos testigos '!IY136</f>
        <v>1011.2289125987128</v>
      </c>
      <c r="L298" s="549">
        <f>+'Insumos testigos '!IZ136</f>
        <v>1136.6374654464103</v>
      </c>
      <c r="M298" s="549">
        <f>+'Insumos testigos '!JA136</f>
        <v>1167.3332445675262</v>
      </c>
      <c r="N298" s="549">
        <f>+'Insumos testigos '!JB136</f>
        <v>1207.7525171514455</v>
      </c>
      <c r="O298" s="549">
        <f>+'Insumos testigos '!JC136</f>
        <v>1311.7592729413059</v>
      </c>
      <c r="P298" s="451">
        <f>+'Insumos testigos '!JD136</f>
        <v>1367.1825607306494</v>
      </c>
    </row>
    <row r="299" spans="2:16">
      <c r="B299" s="563" t="s">
        <v>794</v>
      </c>
      <c r="C299" s="2626">
        <v>302</v>
      </c>
      <c r="D299" s="2865"/>
      <c r="E299" s="330">
        <f>+'Insumos testigos '!IS183</f>
        <v>909.46</v>
      </c>
      <c r="F299" s="330">
        <f>+'Insumos testigos '!IT183</f>
        <v>954.34</v>
      </c>
      <c r="G299" s="330">
        <f>+'Insumos testigos '!IU183</f>
        <v>992.49</v>
      </c>
      <c r="H299" s="330">
        <f>+'Insumos testigos '!IV183</f>
        <v>1043.8499999999999</v>
      </c>
      <c r="I299" s="330">
        <f>+'Insumos testigos '!IW183</f>
        <v>1106.4100000000001</v>
      </c>
      <c r="J299" s="330">
        <f>+'Insumos testigos '!IX183</f>
        <v>1182.9000000000001</v>
      </c>
      <c r="K299" s="330">
        <f>+'Insumos testigos '!IY183</f>
        <v>1280.04</v>
      </c>
      <c r="L299" s="330">
        <f>+'Insumos testigos '!IZ183</f>
        <v>1405.3</v>
      </c>
      <c r="M299" s="330">
        <f>+'Insumos testigos '!JA183</f>
        <v>1459.8</v>
      </c>
      <c r="N299" s="330">
        <f>+'Insumos testigos '!JB183</f>
        <v>1508.04</v>
      </c>
      <c r="O299" s="330">
        <f>+'Insumos testigos '!JC183</f>
        <v>1594.39</v>
      </c>
      <c r="P299" s="307">
        <f>+'Insumos testigos '!JD183</f>
        <v>1649.04</v>
      </c>
    </row>
    <row r="300" spans="2:16">
      <c r="B300" s="372" t="s">
        <v>783</v>
      </c>
      <c r="C300" s="2658">
        <v>1</v>
      </c>
      <c r="D300" s="2658"/>
      <c r="E300" s="330">
        <f>+'Insumos testigos '!IS5</f>
        <v>273.93</v>
      </c>
      <c r="F300" s="330">
        <f>+'Insumos testigos '!IT5</f>
        <v>287.33</v>
      </c>
      <c r="G300" s="330">
        <f>+'Insumos testigos '!IU5</f>
        <v>303.49</v>
      </c>
      <c r="H300" s="330">
        <f>+'Insumos testigos '!IV5</f>
        <v>303.49</v>
      </c>
      <c r="I300" s="330">
        <f>+'Insumos testigos '!IW5</f>
        <v>334</v>
      </c>
      <c r="J300" s="330">
        <f>+'Insumos testigos '!IX5</f>
        <v>364</v>
      </c>
      <c r="K300" s="330">
        <f>+'Insumos testigos '!IY5</f>
        <v>364</v>
      </c>
      <c r="L300" s="330">
        <f>+'Insumos testigos '!IZ5</f>
        <v>388</v>
      </c>
      <c r="M300" s="330">
        <f>+'Insumos testigos '!JA5</f>
        <v>428</v>
      </c>
      <c r="N300" s="330">
        <f>+'Insumos testigos '!JB5</f>
        <v>467</v>
      </c>
      <c r="O300" s="330">
        <f>+'Insumos testigos '!JC5</f>
        <v>504</v>
      </c>
      <c r="P300" s="307">
        <f>+'Insumos testigos '!JD5</f>
        <v>504</v>
      </c>
    </row>
    <row r="301" spans="2:16">
      <c r="B301" s="566" t="s">
        <v>784</v>
      </c>
      <c r="C301" s="2626" t="s">
        <v>473</v>
      </c>
      <c r="D301" s="2865"/>
      <c r="E301" s="986"/>
      <c r="F301" s="986"/>
      <c r="G301" s="986"/>
      <c r="H301" s="986"/>
      <c r="I301" s="986"/>
      <c r="J301" s="986"/>
      <c r="K301" s="986"/>
      <c r="L301" s="986"/>
      <c r="M301" s="986"/>
      <c r="N301" s="986"/>
      <c r="O301" s="986"/>
      <c r="P301" s="323"/>
    </row>
    <row r="302" spans="2:16">
      <c r="B302" s="566" t="s">
        <v>496</v>
      </c>
      <c r="C302" s="2626" t="s">
        <v>278</v>
      </c>
      <c r="D302" s="2865"/>
      <c r="E302" s="986"/>
      <c r="F302" s="986"/>
      <c r="G302" s="986"/>
      <c r="H302" s="986"/>
      <c r="I302" s="986"/>
      <c r="J302" s="986"/>
      <c r="K302" s="986"/>
      <c r="L302" s="986"/>
      <c r="M302" s="986"/>
      <c r="N302" s="986"/>
      <c r="O302" s="986"/>
      <c r="P302" s="323"/>
    </row>
    <row r="303" spans="2:16">
      <c r="B303" s="566" t="s">
        <v>785</v>
      </c>
      <c r="C303" s="2668" t="s">
        <v>786</v>
      </c>
      <c r="D303" s="2668"/>
      <c r="E303" s="986">
        <f t="shared" ref="E303:F303" si="133">(E300+E302)*8*2.2521+E301*8</f>
        <v>4935.3420240000005</v>
      </c>
      <c r="F303" s="986">
        <f t="shared" si="133"/>
        <v>5176.7671439999995</v>
      </c>
      <c r="G303" s="986">
        <f t="shared" ref="G303:P303" si="134">(G300+G302)*8*2.2521+G301*8</f>
        <v>5467.9186319999999</v>
      </c>
      <c r="H303" s="986">
        <f t="shared" si="134"/>
        <v>5467.9186319999999</v>
      </c>
      <c r="I303" s="986">
        <f t="shared" si="134"/>
        <v>6017.6112000000003</v>
      </c>
      <c r="J303" s="986">
        <f t="shared" si="134"/>
        <v>6558.1152000000002</v>
      </c>
      <c r="K303" s="986">
        <f t="shared" si="134"/>
        <v>6558.1152000000002</v>
      </c>
      <c r="L303" s="986">
        <f t="shared" si="134"/>
        <v>6990.5183999999999</v>
      </c>
      <c r="M303" s="986">
        <f t="shared" si="134"/>
        <v>7711.1904000000004</v>
      </c>
      <c r="N303" s="986">
        <f t="shared" si="134"/>
        <v>8413.8456000000006</v>
      </c>
      <c r="O303" s="986">
        <f t="shared" si="134"/>
        <v>9080.4671999999991</v>
      </c>
      <c r="P303" s="323">
        <f t="shared" si="134"/>
        <v>9080.4671999999991</v>
      </c>
    </row>
    <row r="304" spans="2:16">
      <c r="B304" s="2624" t="s">
        <v>675</v>
      </c>
      <c r="C304" s="2626" t="s">
        <v>795</v>
      </c>
      <c r="D304" s="2865"/>
      <c r="E304" s="700">
        <f t="shared" ref="E304:P304" si="135">+ROUND((E298*100/$E$226),3)</f>
        <v>774.67</v>
      </c>
      <c r="F304" s="700">
        <f t="shared" si="135"/>
        <v>793.04700000000003</v>
      </c>
      <c r="G304" s="700">
        <f t="shared" si="135"/>
        <v>794.85500000000002</v>
      </c>
      <c r="H304" s="700">
        <f t="shared" si="135"/>
        <v>835.17399999999998</v>
      </c>
      <c r="I304" s="700">
        <f t="shared" si="135"/>
        <v>845.83399999999995</v>
      </c>
      <c r="J304" s="700">
        <f t="shared" si="135"/>
        <v>896.22400000000005</v>
      </c>
      <c r="K304" s="700">
        <f t="shared" si="135"/>
        <v>1011.229</v>
      </c>
      <c r="L304" s="700">
        <f t="shared" si="135"/>
        <v>1136.6369999999999</v>
      </c>
      <c r="M304" s="700">
        <f t="shared" si="135"/>
        <v>1167.3330000000001</v>
      </c>
      <c r="N304" s="700">
        <f t="shared" si="135"/>
        <v>1207.7529999999999</v>
      </c>
      <c r="O304" s="700">
        <f t="shared" si="135"/>
        <v>1311.759</v>
      </c>
      <c r="P304" s="394">
        <f t="shared" si="135"/>
        <v>1367.183</v>
      </c>
    </row>
    <row r="305" spans="2:16">
      <c r="B305" s="2640"/>
      <c r="C305" s="2626" t="s">
        <v>796</v>
      </c>
      <c r="D305" s="2865"/>
      <c r="E305" s="1489">
        <f t="shared" ref="E305:P305" si="136">+ROUND((E299*100/$E$227),2)</f>
        <v>909.46</v>
      </c>
      <c r="F305" s="1489">
        <f t="shared" si="136"/>
        <v>954.34</v>
      </c>
      <c r="G305" s="1489">
        <f t="shared" si="136"/>
        <v>992.49</v>
      </c>
      <c r="H305" s="1489">
        <f t="shared" si="136"/>
        <v>1043.8499999999999</v>
      </c>
      <c r="I305" s="1489">
        <f t="shared" si="136"/>
        <v>1106.4100000000001</v>
      </c>
      <c r="J305" s="1489">
        <f t="shared" si="136"/>
        <v>1182.9000000000001</v>
      </c>
      <c r="K305" s="1489">
        <f t="shared" si="136"/>
        <v>1280.04</v>
      </c>
      <c r="L305" s="1489">
        <f t="shared" si="136"/>
        <v>1405.3</v>
      </c>
      <c r="M305" s="1489">
        <f t="shared" si="136"/>
        <v>1459.8</v>
      </c>
      <c r="N305" s="1489">
        <f t="shared" si="136"/>
        <v>1508.04</v>
      </c>
      <c r="O305" s="1489">
        <f t="shared" si="136"/>
        <v>1594.39</v>
      </c>
      <c r="P305" s="1263">
        <f t="shared" si="136"/>
        <v>1649.04</v>
      </c>
    </row>
    <row r="306" spans="2:16" ht="16.5" thickBot="1">
      <c r="B306" s="2625"/>
      <c r="C306" s="2642" t="s">
        <v>677</v>
      </c>
      <c r="D306" s="2867"/>
      <c r="E306" s="980">
        <f t="shared" ref="E306:P306" si="137">+ROUND(E303*100/$E$231,3)</f>
        <v>712.98800000000006</v>
      </c>
      <c r="F306" s="980">
        <f t="shared" si="137"/>
        <v>747.86599999999999</v>
      </c>
      <c r="G306" s="980">
        <f t="shared" si="137"/>
        <v>789.92700000000002</v>
      </c>
      <c r="H306" s="980">
        <f t="shared" si="137"/>
        <v>789.92700000000002</v>
      </c>
      <c r="I306" s="980">
        <f t="shared" si="137"/>
        <v>869.33900000000006</v>
      </c>
      <c r="J306" s="980">
        <f t="shared" si="137"/>
        <v>947.423</v>
      </c>
      <c r="K306" s="980">
        <f t="shared" si="137"/>
        <v>947.423</v>
      </c>
      <c r="L306" s="980">
        <f t="shared" si="137"/>
        <v>1009.891</v>
      </c>
      <c r="M306" s="980">
        <f t="shared" si="137"/>
        <v>1114.0029999999999</v>
      </c>
      <c r="N306" s="980">
        <f t="shared" si="137"/>
        <v>1215.5129999999999</v>
      </c>
      <c r="O306" s="980">
        <f t="shared" si="137"/>
        <v>1311.817</v>
      </c>
      <c r="P306" s="977">
        <f t="shared" si="137"/>
        <v>1311.817</v>
      </c>
    </row>
    <row r="307" spans="2:16" ht="21.75" customHeight="1" thickBot="1">
      <c r="B307" s="2636" t="s">
        <v>797</v>
      </c>
      <c r="C307" s="2637"/>
      <c r="D307" s="2637"/>
      <c r="E307" s="1490">
        <f t="shared" ref="E307:O307" si="138">+ROUND(E304*0.3+E305*0.3+E306*0.4,2)</f>
        <v>790.43</v>
      </c>
      <c r="F307" s="1490">
        <f t="shared" ref="F307:G307" si="139">+ROUND(F304*0.3+F305*0.3+F306*0.4,2)</f>
        <v>823.36</v>
      </c>
      <c r="G307" s="1490">
        <f t="shared" si="139"/>
        <v>852.17</v>
      </c>
      <c r="H307" s="1490">
        <f t="shared" ref="H307:I307" si="140">+ROUND(H304*0.3+H305*0.3+H306*0.4,2)</f>
        <v>879.68</v>
      </c>
      <c r="I307" s="1490">
        <f t="shared" si="140"/>
        <v>933.41</v>
      </c>
      <c r="J307" s="1490">
        <f t="shared" ref="J307:K307" si="141">+ROUND(J304*0.3+J305*0.3+J306*0.4,2)</f>
        <v>1002.71</v>
      </c>
      <c r="K307" s="1490">
        <f t="shared" si="141"/>
        <v>1066.3499999999999</v>
      </c>
      <c r="L307" s="1490">
        <f t="shared" ref="L307:M307" si="142">+ROUND(L304*0.3+L305*0.3+L306*0.4,2)</f>
        <v>1166.54</v>
      </c>
      <c r="M307" s="1490">
        <f t="shared" si="142"/>
        <v>1233.74</v>
      </c>
      <c r="N307" s="1490">
        <f t="shared" si="138"/>
        <v>1300.94</v>
      </c>
      <c r="O307" s="1490">
        <f t="shared" si="138"/>
        <v>1396.57</v>
      </c>
      <c r="P307" s="1268">
        <f t="shared" ref="P307" si="143">+ROUND(P304*0.3+P305*0.3+P306*0.4,2)</f>
        <v>1429.59</v>
      </c>
    </row>
    <row r="308" spans="2:16" ht="16.5" thickBot="1"/>
    <row r="309" spans="2:16" ht="16.5" thickBot="1">
      <c r="B309" s="365" t="s">
        <v>673</v>
      </c>
      <c r="C309" s="2628" t="s">
        <v>831</v>
      </c>
      <c r="D309" s="2629"/>
      <c r="E309" s="2445">
        <v>44927</v>
      </c>
      <c r="F309" s="2445">
        <v>44958</v>
      </c>
      <c r="G309" s="2445">
        <v>44986</v>
      </c>
      <c r="H309" s="2445">
        <v>45017</v>
      </c>
      <c r="I309" s="2445">
        <v>45047</v>
      </c>
      <c r="J309" s="2445">
        <v>45078</v>
      </c>
      <c r="K309" s="2445">
        <v>45108</v>
      </c>
      <c r="L309" s="2445">
        <v>45139</v>
      </c>
      <c r="M309" s="2445">
        <v>45170</v>
      </c>
      <c r="N309" s="2445">
        <v>45200</v>
      </c>
      <c r="O309" s="2445">
        <v>45231</v>
      </c>
      <c r="P309" s="2445">
        <v>45261</v>
      </c>
    </row>
    <row r="310" spans="2:16">
      <c r="B310" s="377" t="s">
        <v>793</v>
      </c>
      <c r="C310" s="2869">
        <v>118</v>
      </c>
      <c r="D310" s="2869"/>
      <c r="E310" s="549">
        <f>+'Insumos testigos '!JE136</f>
        <v>1408.8018405762355</v>
      </c>
      <c r="F310" s="549">
        <f>+'Insumos testigos '!JF136</f>
        <v>1448.7653089724975</v>
      </c>
      <c r="G310" s="549"/>
      <c r="H310" s="549"/>
      <c r="I310" s="549"/>
      <c r="J310" s="549"/>
      <c r="K310" s="549"/>
      <c r="L310" s="549"/>
      <c r="M310" s="549"/>
      <c r="N310" s="549"/>
      <c r="O310" s="549"/>
      <c r="P310" s="451"/>
    </row>
    <row r="311" spans="2:16">
      <c r="B311" s="563" t="s">
        <v>794</v>
      </c>
      <c r="C311" s="2626">
        <v>302</v>
      </c>
      <c r="D311" s="2865"/>
      <c r="E311" s="330">
        <f>+'Insumos testigos '!JE183</f>
        <v>1718.2</v>
      </c>
      <c r="F311" s="330">
        <f>+'Insumos testigos '!JF183</f>
        <v>1824.92</v>
      </c>
      <c r="G311" s="330"/>
      <c r="H311" s="330"/>
      <c r="I311" s="330"/>
      <c r="J311" s="330"/>
      <c r="K311" s="330"/>
      <c r="L311" s="330"/>
      <c r="M311" s="330"/>
      <c r="N311" s="330"/>
      <c r="O311" s="330"/>
      <c r="P311" s="307"/>
    </row>
    <row r="312" spans="2:16">
      <c r="B312" s="372" t="s">
        <v>783</v>
      </c>
      <c r="C312" s="2658">
        <v>1</v>
      </c>
      <c r="D312" s="2658"/>
      <c r="E312" s="330">
        <f>+'Insumos testigos '!JE5</f>
        <v>519</v>
      </c>
      <c r="F312" s="330">
        <f>+'Insumos testigos '!JF5</f>
        <v>607</v>
      </c>
      <c r="G312" s="330">
        <f>+'Insumos testigos '!IU17</f>
        <v>0</v>
      </c>
      <c r="H312" s="330">
        <f>+'Insumos testigos '!IV17</f>
        <v>0</v>
      </c>
      <c r="I312" s="330">
        <f>+'Insumos testigos '!IW17</f>
        <v>0</v>
      </c>
      <c r="J312" s="330">
        <f>+'Insumos testigos '!IX17</f>
        <v>0</v>
      </c>
      <c r="K312" s="330">
        <f>+'Insumos testigos '!IY17</f>
        <v>0</v>
      </c>
      <c r="L312" s="330">
        <f>+'Insumos testigos '!IZ17</f>
        <v>0</v>
      </c>
      <c r="M312" s="330">
        <f>+'Insumos testigos '!JA17</f>
        <v>0</v>
      </c>
      <c r="N312" s="330">
        <f>+'Insumos testigos '!JB17</f>
        <v>0</v>
      </c>
      <c r="O312" s="330">
        <f>+'Insumos testigos '!JC17</f>
        <v>0</v>
      </c>
      <c r="P312" s="307">
        <f>+'Insumos testigos '!JD17</f>
        <v>0</v>
      </c>
    </row>
    <row r="313" spans="2:16">
      <c r="B313" s="566" t="s">
        <v>784</v>
      </c>
      <c r="C313" s="2626" t="s">
        <v>473</v>
      </c>
      <c r="D313" s="2865"/>
      <c r="E313" s="986"/>
      <c r="F313" s="986"/>
      <c r="G313" s="986"/>
      <c r="H313" s="986"/>
      <c r="I313" s="986"/>
      <c r="J313" s="986"/>
      <c r="K313" s="986"/>
      <c r="L313" s="986"/>
      <c r="M313" s="986"/>
      <c r="N313" s="986"/>
      <c r="O313" s="986"/>
      <c r="P313" s="323"/>
    </row>
    <row r="314" spans="2:16">
      <c r="B314" s="566" t="s">
        <v>496</v>
      </c>
      <c r="C314" s="2626" t="s">
        <v>278</v>
      </c>
      <c r="D314" s="2865"/>
      <c r="E314" s="986"/>
      <c r="F314" s="986"/>
      <c r="G314" s="986"/>
      <c r="H314" s="986"/>
      <c r="I314" s="986"/>
      <c r="J314" s="986"/>
      <c r="K314" s="986"/>
      <c r="L314" s="986"/>
      <c r="M314" s="986"/>
      <c r="N314" s="986"/>
      <c r="O314" s="986"/>
      <c r="P314" s="323"/>
    </row>
    <row r="315" spans="2:16">
      <c r="B315" s="566" t="s">
        <v>785</v>
      </c>
      <c r="C315" s="2668" t="s">
        <v>786</v>
      </c>
      <c r="D315" s="2668"/>
      <c r="E315" s="986">
        <f t="shared" ref="E315:P315" si="144">(E312+E314)*8*2.2521+E313*8</f>
        <v>9350.7191999999995</v>
      </c>
      <c r="F315" s="986">
        <f t="shared" si="144"/>
        <v>10936.1976</v>
      </c>
      <c r="G315" s="986">
        <f t="shared" si="144"/>
        <v>0</v>
      </c>
      <c r="H315" s="986">
        <f t="shared" si="144"/>
        <v>0</v>
      </c>
      <c r="I315" s="986">
        <f t="shared" si="144"/>
        <v>0</v>
      </c>
      <c r="J315" s="986">
        <f t="shared" si="144"/>
        <v>0</v>
      </c>
      <c r="K315" s="986">
        <f t="shared" si="144"/>
        <v>0</v>
      </c>
      <c r="L315" s="986">
        <f t="shared" si="144"/>
        <v>0</v>
      </c>
      <c r="M315" s="986">
        <f t="shared" si="144"/>
        <v>0</v>
      </c>
      <c r="N315" s="986">
        <f t="shared" si="144"/>
        <v>0</v>
      </c>
      <c r="O315" s="986">
        <f t="shared" si="144"/>
        <v>0</v>
      </c>
      <c r="P315" s="323">
        <f t="shared" si="144"/>
        <v>0</v>
      </c>
    </row>
    <row r="316" spans="2:16">
      <c r="B316" s="2624" t="s">
        <v>675</v>
      </c>
      <c r="C316" s="2626" t="s">
        <v>795</v>
      </c>
      <c r="D316" s="2865"/>
      <c r="E316" s="700">
        <f t="shared" ref="E316:P316" si="145">+ROUND((E310*100/$E$226),3)</f>
        <v>1408.8019999999999</v>
      </c>
      <c r="F316" s="700">
        <f t="shared" si="145"/>
        <v>1448.7650000000001</v>
      </c>
      <c r="G316" s="700">
        <f t="shared" si="145"/>
        <v>0</v>
      </c>
      <c r="H316" s="700">
        <f t="shared" si="145"/>
        <v>0</v>
      </c>
      <c r="I316" s="700">
        <f t="shared" si="145"/>
        <v>0</v>
      </c>
      <c r="J316" s="700">
        <f t="shared" si="145"/>
        <v>0</v>
      </c>
      <c r="K316" s="700">
        <f t="shared" si="145"/>
        <v>0</v>
      </c>
      <c r="L316" s="700">
        <f t="shared" si="145"/>
        <v>0</v>
      </c>
      <c r="M316" s="700">
        <f t="shared" si="145"/>
        <v>0</v>
      </c>
      <c r="N316" s="700">
        <f t="shared" si="145"/>
        <v>0</v>
      </c>
      <c r="O316" s="700">
        <f t="shared" si="145"/>
        <v>0</v>
      </c>
      <c r="P316" s="394">
        <f t="shared" si="145"/>
        <v>0</v>
      </c>
    </row>
    <row r="317" spans="2:16">
      <c r="B317" s="2640"/>
      <c r="C317" s="2626" t="s">
        <v>796</v>
      </c>
      <c r="D317" s="2865"/>
      <c r="E317" s="1489">
        <f t="shared" ref="E317:P317" si="146">+ROUND((E311*100/$E$227),2)</f>
        <v>1718.2</v>
      </c>
      <c r="F317" s="1489">
        <f t="shared" si="146"/>
        <v>1824.92</v>
      </c>
      <c r="G317" s="1489">
        <f t="shared" si="146"/>
        <v>0</v>
      </c>
      <c r="H317" s="1489">
        <f t="shared" si="146"/>
        <v>0</v>
      </c>
      <c r="I317" s="1489">
        <f t="shared" si="146"/>
        <v>0</v>
      </c>
      <c r="J317" s="1489">
        <f t="shared" si="146"/>
        <v>0</v>
      </c>
      <c r="K317" s="1489">
        <f t="shared" si="146"/>
        <v>0</v>
      </c>
      <c r="L317" s="1489">
        <f t="shared" si="146"/>
        <v>0</v>
      </c>
      <c r="M317" s="1489">
        <f t="shared" si="146"/>
        <v>0</v>
      </c>
      <c r="N317" s="1489">
        <f t="shared" si="146"/>
        <v>0</v>
      </c>
      <c r="O317" s="1489">
        <f t="shared" si="146"/>
        <v>0</v>
      </c>
      <c r="P317" s="1263">
        <f t="shared" si="146"/>
        <v>0</v>
      </c>
    </row>
    <row r="318" spans="2:16" ht="16.5" thickBot="1">
      <c r="B318" s="2625"/>
      <c r="C318" s="2642" t="s">
        <v>677</v>
      </c>
      <c r="D318" s="2867"/>
      <c r="E318" s="980">
        <f t="shared" ref="E318:P318" si="147">+ROUND(E315*100/$E$231,3)</f>
        <v>1350.8589999999999</v>
      </c>
      <c r="F318" s="980">
        <f t="shared" si="147"/>
        <v>1579.9059999999999</v>
      </c>
      <c r="G318" s="980">
        <f t="shared" si="147"/>
        <v>0</v>
      </c>
      <c r="H318" s="980">
        <f t="shared" si="147"/>
        <v>0</v>
      </c>
      <c r="I318" s="980">
        <f t="shared" si="147"/>
        <v>0</v>
      </c>
      <c r="J318" s="980">
        <f t="shared" si="147"/>
        <v>0</v>
      </c>
      <c r="K318" s="980">
        <f t="shared" si="147"/>
        <v>0</v>
      </c>
      <c r="L318" s="980">
        <f t="shared" si="147"/>
        <v>0</v>
      </c>
      <c r="M318" s="980">
        <f t="shared" si="147"/>
        <v>0</v>
      </c>
      <c r="N318" s="980">
        <f t="shared" si="147"/>
        <v>0</v>
      </c>
      <c r="O318" s="980">
        <f t="shared" si="147"/>
        <v>0</v>
      </c>
      <c r="P318" s="977">
        <f t="shared" si="147"/>
        <v>0</v>
      </c>
    </row>
    <row r="319" spans="2:16" ht="21.75" customHeight="1" thickBot="1">
      <c r="B319" s="2636" t="s">
        <v>797</v>
      </c>
      <c r="C319" s="2637"/>
      <c r="D319" s="2637"/>
      <c r="E319" s="1490">
        <f t="shared" ref="E319:P319" si="148">+ROUND(E316*0.3+E317*0.3+E318*0.4,2)</f>
        <v>1478.44</v>
      </c>
      <c r="F319" s="1490">
        <f t="shared" si="148"/>
        <v>1614.07</v>
      </c>
      <c r="G319" s="1490">
        <f t="shared" si="148"/>
        <v>0</v>
      </c>
      <c r="H319" s="1490">
        <f t="shared" si="148"/>
        <v>0</v>
      </c>
      <c r="I319" s="1490">
        <f t="shared" si="148"/>
        <v>0</v>
      </c>
      <c r="J319" s="1490">
        <f t="shared" si="148"/>
        <v>0</v>
      </c>
      <c r="K319" s="1490">
        <f t="shared" si="148"/>
        <v>0</v>
      </c>
      <c r="L319" s="1490">
        <f t="shared" si="148"/>
        <v>0</v>
      </c>
      <c r="M319" s="1490">
        <f t="shared" si="148"/>
        <v>0</v>
      </c>
      <c r="N319" s="1490">
        <f t="shared" si="148"/>
        <v>0</v>
      </c>
      <c r="O319" s="1490">
        <f t="shared" si="148"/>
        <v>0</v>
      </c>
      <c r="P319" s="1268">
        <f t="shared" si="148"/>
        <v>0</v>
      </c>
    </row>
  </sheetData>
  <mergeCells count="400">
    <mergeCell ref="B283:D283"/>
    <mergeCell ref="C273:D273"/>
    <mergeCell ref="C274:D274"/>
    <mergeCell ref="C275:D275"/>
    <mergeCell ref="C276:D276"/>
    <mergeCell ref="C277:D277"/>
    <mergeCell ref="C278:D278"/>
    <mergeCell ref="C279:D279"/>
    <mergeCell ref="B280:B282"/>
    <mergeCell ref="C280:D280"/>
    <mergeCell ref="C281:D281"/>
    <mergeCell ref="C282:D282"/>
    <mergeCell ref="B271:D271"/>
    <mergeCell ref="C261:D261"/>
    <mergeCell ref="C262:D262"/>
    <mergeCell ref="C263:D263"/>
    <mergeCell ref="C264:D264"/>
    <mergeCell ref="C265:D265"/>
    <mergeCell ref="C266:D266"/>
    <mergeCell ref="C267:D267"/>
    <mergeCell ref="B268:B270"/>
    <mergeCell ref="C268:D268"/>
    <mergeCell ref="C269:D269"/>
    <mergeCell ref="C270:D270"/>
    <mergeCell ref="B247:D247"/>
    <mergeCell ref="C237:D237"/>
    <mergeCell ref="C238:D238"/>
    <mergeCell ref="C239:D239"/>
    <mergeCell ref="C240:D240"/>
    <mergeCell ref="C241:D241"/>
    <mergeCell ref="C242:D242"/>
    <mergeCell ref="C243:D243"/>
    <mergeCell ref="C181:D181"/>
    <mergeCell ref="B182:B184"/>
    <mergeCell ref="C182:D182"/>
    <mergeCell ref="C183:D183"/>
    <mergeCell ref="C184:D184"/>
    <mergeCell ref="B185:D185"/>
    <mergeCell ref="B209:D209"/>
    <mergeCell ref="C203:D203"/>
    <mergeCell ref="C204:D204"/>
    <mergeCell ref="C205:D205"/>
    <mergeCell ref="B206:B208"/>
    <mergeCell ref="C206:D206"/>
    <mergeCell ref="C195:D195"/>
    <mergeCell ref="C207:D207"/>
    <mergeCell ref="C208:D208"/>
    <mergeCell ref="C189:D189"/>
    <mergeCell ref="C162:D162"/>
    <mergeCell ref="C176:D176"/>
    <mergeCell ref="C177:D177"/>
    <mergeCell ref="C178:D178"/>
    <mergeCell ref="C163:D163"/>
    <mergeCell ref="C179:D179"/>
    <mergeCell ref="C169:D169"/>
    <mergeCell ref="C170:D170"/>
    <mergeCell ref="C171:D171"/>
    <mergeCell ref="C175:D175"/>
    <mergeCell ref="C180:D180"/>
    <mergeCell ref="C164:D164"/>
    <mergeCell ref="C165:D165"/>
    <mergeCell ref="C166:D166"/>
    <mergeCell ref="C167:D167"/>
    <mergeCell ref="B173:D173"/>
    <mergeCell ref="B169:B171"/>
    <mergeCell ref="M143:M145"/>
    <mergeCell ref="N143:N145"/>
    <mergeCell ref="G143:G145"/>
    <mergeCell ref="C148:D148"/>
    <mergeCell ref="C149:D149"/>
    <mergeCell ref="C150:D150"/>
    <mergeCell ref="C151:D151"/>
    <mergeCell ref="B153:B155"/>
    <mergeCell ref="C153:D153"/>
    <mergeCell ref="C154:D154"/>
    <mergeCell ref="C155:D155"/>
    <mergeCell ref="G159:G161"/>
    <mergeCell ref="H159:H161"/>
    <mergeCell ref="I159:I161"/>
    <mergeCell ref="J159:J161"/>
    <mergeCell ref="C159:D161"/>
    <mergeCell ref="E159:E161"/>
    <mergeCell ref="C73:D73"/>
    <mergeCell ref="C74:D74"/>
    <mergeCell ref="C75:D75"/>
    <mergeCell ref="C35:D35"/>
    <mergeCell ref="C36:D36"/>
    <mergeCell ref="C10:D10"/>
    <mergeCell ref="C11:D11"/>
    <mergeCell ref="B45:D45"/>
    <mergeCell ref="C42:D42"/>
    <mergeCell ref="C67:D67"/>
    <mergeCell ref="B23:B25"/>
    <mergeCell ref="C12:D12"/>
    <mergeCell ref="B14:B16"/>
    <mergeCell ref="B41:B43"/>
    <mergeCell ref="B57:B59"/>
    <mergeCell ref="C57:D57"/>
    <mergeCell ref="C58:D58"/>
    <mergeCell ref="C53:D53"/>
    <mergeCell ref="C54:D54"/>
    <mergeCell ref="C55:D55"/>
    <mergeCell ref="B32:B34"/>
    <mergeCell ref="P14:P16"/>
    <mergeCell ref="E14:E16"/>
    <mergeCell ref="C59:D59"/>
    <mergeCell ref="C51:D51"/>
    <mergeCell ref="C52:D52"/>
    <mergeCell ref="P64:P66"/>
    <mergeCell ref="C19:D19"/>
    <mergeCell ref="C21:D21"/>
    <mergeCell ref="P48:P50"/>
    <mergeCell ref="K48:K50"/>
    <mergeCell ref="J48:J50"/>
    <mergeCell ref="P32:P34"/>
    <mergeCell ref="O14:O16"/>
    <mergeCell ref="N14:N16"/>
    <mergeCell ref="L14:L16"/>
    <mergeCell ref="K14:K16"/>
    <mergeCell ref="C48:D50"/>
    <mergeCell ref="H14:H16"/>
    <mergeCell ref="L48:L50"/>
    <mergeCell ref="G64:G66"/>
    <mergeCell ref="H64:H66"/>
    <mergeCell ref="C37:D37"/>
    <mergeCell ref="K64:K66"/>
    <mergeCell ref="L64:L66"/>
    <mergeCell ref="J12:O12"/>
    <mergeCell ref="I14:I16"/>
    <mergeCell ref="O48:O50"/>
    <mergeCell ref="C18:D18"/>
    <mergeCell ref="O32:O34"/>
    <mergeCell ref="F14:F16"/>
    <mergeCell ref="M14:M16"/>
    <mergeCell ref="C14:D16"/>
    <mergeCell ref="C17:D17"/>
    <mergeCell ref="E48:E50"/>
    <mergeCell ref="F48:F50"/>
    <mergeCell ref="J14:J16"/>
    <mergeCell ref="C24:D24"/>
    <mergeCell ref="C38:D38"/>
    <mergeCell ref="C39:D39"/>
    <mergeCell ref="C41:D41"/>
    <mergeCell ref="C23:D23"/>
    <mergeCell ref="M32:M34"/>
    <mergeCell ref="M64:M66"/>
    <mergeCell ref="N64:N66"/>
    <mergeCell ref="D1:O1"/>
    <mergeCell ref="D4:O4"/>
    <mergeCell ref="D2:O2"/>
    <mergeCell ref="G14:G16"/>
    <mergeCell ref="J10:O10"/>
    <mergeCell ref="M48:M50"/>
    <mergeCell ref="N48:N50"/>
    <mergeCell ref="G48:G50"/>
    <mergeCell ref="H48:H50"/>
    <mergeCell ref="I48:I50"/>
    <mergeCell ref="B27:D27"/>
    <mergeCell ref="C43:D43"/>
    <mergeCell ref="C32:D34"/>
    <mergeCell ref="C9:D9"/>
    <mergeCell ref="B7:N7"/>
    <mergeCell ref="F32:F34"/>
    <mergeCell ref="H32:H34"/>
    <mergeCell ref="I32:I34"/>
    <mergeCell ref="J32:J34"/>
    <mergeCell ref="N32:N34"/>
    <mergeCell ref="K32:K34"/>
    <mergeCell ref="L32:L34"/>
    <mergeCell ref="B79:B81"/>
    <mergeCell ref="C79:D81"/>
    <mergeCell ref="E79:E81"/>
    <mergeCell ref="F79:F81"/>
    <mergeCell ref="G79:G81"/>
    <mergeCell ref="O64:O66"/>
    <mergeCell ref="C20:D20"/>
    <mergeCell ref="C25:D25"/>
    <mergeCell ref="G32:G34"/>
    <mergeCell ref="E32:E34"/>
    <mergeCell ref="B77:D77"/>
    <mergeCell ref="C69:D69"/>
    <mergeCell ref="C70:D70"/>
    <mergeCell ref="C71:D71"/>
    <mergeCell ref="B73:B75"/>
    <mergeCell ref="B48:B50"/>
    <mergeCell ref="J64:J66"/>
    <mergeCell ref="B61:D61"/>
    <mergeCell ref="I64:I66"/>
    <mergeCell ref="B64:B66"/>
    <mergeCell ref="C64:D66"/>
    <mergeCell ref="E64:E66"/>
    <mergeCell ref="F64:F66"/>
    <mergeCell ref="C68:D68"/>
    <mergeCell ref="N79:N81"/>
    <mergeCell ref="O79:O81"/>
    <mergeCell ref="H79:H81"/>
    <mergeCell ref="I79:I81"/>
    <mergeCell ref="O95:O97"/>
    <mergeCell ref="P95:P97"/>
    <mergeCell ref="P79:P81"/>
    <mergeCell ref="J79:J81"/>
    <mergeCell ref="K79:K81"/>
    <mergeCell ref="L79:L81"/>
    <mergeCell ref="M79:M81"/>
    <mergeCell ref="I95:I97"/>
    <mergeCell ref="C82:D82"/>
    <mergeCell ref="C83:D83"/>
    <mergeCell ref="C84:D84"/>
    <mergeCell ref="C85:D85"/>
    <mergeCell ref="O111:O113"/>
    <mergeCell ref="M95:M97"/>
    <mergeCell ref="N95:N97"/>
    <mergeCell ref="B109:D109"/>
    <mergeCell ref="B105:B107"/>
    <mergeCell ref="C105:D105"/>
    <mergeCell ref="B93:D93"/>
    <mergeCell ref="C86:D86"/>
    <mergeCell ref="C87:D87"/>
    <mergeCell ref="B89:B91"/>
    <mergeCell ref="C89:D89"/>
    <mergeCell ref="C90:D90"/>
    <mergeCell ref="C91:D91"/>
    <mergeCell ref="E95:E97"/>
    <mergeCell ref="F95:F97"/>
    <mergeCell ref="K95:K97"/>
    <mergeCell ref="L95:L97"/>
    <mergeCell ref="C101:D101"/>
    <mergeCell ref="C102:D102"/>
    <mergeCell ref="C103:D103"/>
    <mergeCell ref="G95:G97"/>
    <mergeCell ref="H95:H97"/>
    <mergeCell ref="P111:P113"/>
    <mergeCell ref="C106:D106"/>
    <mergeCell ref="C107:D107"/>
    <mergeCell ref="C100:D100"/>
    <mergeCell ref="J95:J97"/>
    <mergeCell ref="B95:B97"/>
    <mergeCell ref="C95:D97"/>
    <mergeCell ref="C98:D98"/>
    <mergeCell ref="B111:B113"/>
    <mergeCell ref="C114:D114"/>
    <mergeCell ref="C99:D99"/>
    <mergeCell ref="O127:O129"/>
    <mergeCell ref="P127:P129"/>
    <mergeCell ref="C130:D130"/>
    <mergeCell ref="C115:D115"/>
    <mergeCell ref="K111:K113"/>
    <mergeCell ref="L111:L113"/>
    <mergeCell ref="M111:M113"/>
    <mergeCell ref="N111:N113"/>
    <mergeCell ref="G111:G113"/>
    <mergeCell ref="H111:H113"/>
    <mergeCell ref="C111:D113"/>
    <mergeCell ref="E111:E113"/>
    <mergeCell ref="F111:F113"/>
    <mergeCell ref="B125:D125"/>
    <mergeCell ref="B121:B123"/>
    <mergeCell ref="C121:D121"/>
    <mergeCell ref="C122:D122"/>
    <mergeCell ref="C123:D123"/>
    <mergeCell ref="C116:D116"/>
    <mergeCell ref="C117:D117"/>
    <mergeCell ref="C118:D118"/>
    <mergeCell ref="C119:D119"/>
    <mergeCell ref="K127:K129"/>
    <mergeCell ref="L127:L129"/>
    <mergeCell ref="M127:M129"/>
    <mergeCell ref="N127:N129"/>
    <mergeCell ref="G127:G129"/>
    <mergeCell ref="H127:H129"/>
    <mergeCell ref="I127:I129"/>
    <mergeCell ref="J127:J129"/>
    <mergeCell ref="I111:I113"/>
    <mergeCell ref="J111:J113"/>
    <mergeCell ref="O159:O161"/>
    <mergeCell ref="P159:P161"/>
    <mergeCell ref="K159:K161"/>
    <mergeCell ref="L159:L161"/>
    <mergeCell ref="M159:M161"/>
    <mergeCell ref="N159:N161"/>
    <mergeCell ref="B141:D141"/>
    <mergeCell ref="B137:B139"/>
    <mergeCell ref="C137:D137"/>
    <mergeCell ref="C138:D138"/>
    <mergeCell ref="C139:D139"/>
    <mergeCell ref="H143:H145"/>
    <mergeCell ref="I143:I145"/>
    <mergeCell ref="J143:J145"/>
    <mergeCell ref="C143:D145"/>
    <mergeCell ref="E143:E145"/>
    <mergeCell ref="F143:F145"/>
    <mergeCell ref="O143:O145"/>
    <mergeCell ref="B143:B145"/>
    <mergeCell ref="P143:P145"/>
    <mergeCell ref="C146:D146"/>
    <mergeCell ref="C147:D147"/>
    <mergeCell ref="K143:K145"/>
    <mergeCell ref="L143:L145"/>
    <mergeCell ref="F159:F161"/>
    <mergeCell ref="B127:B129"/>
    <mergeCell ref="C127:D129"/>
    <mergeCell ref="E127:E129"/>
    <mergeCell ref="F127:F129"/>
    <mergeCell ref="C132:D132"/>
    <mergeCell ref="C133:D133"/>
    <mergeCell ref="C134:D134"/>
    <mergeCell ref="C135:D135"/>
    <mergeCell ref="C131:D131"/>
    <mergeCell ref="B157:D157"/>
    <mergeCell ref="B159:B161"/>
    <mergeCell ref="C187:D187"/>
    <mergeCell ref="C188:D188"/>
    <mergeCell ref="C200:D200"/>
    <mergeCell ref="C201:D201"/>
    <mergeCell ref="C202:D202"/>
    <mergeCell ref="C231:D231"/>
    <mergeCell ref="B232:B234"/>
    <mergeCell ref="C232:D232"/>
    <mergeCell ref="C225:D225"/>
    <mergeCell ref="C226:D226"/>
    <mergeCell ref="C227:D227"/>
    <mergeCell ref="C221:D221"/>
    <mergeCell ref="C222:D222"/>
    <mergeCell ref="B223:D223"/>
    <mergeCell ref="C213:D213"/>
    <mergeCell ref="C214:D214"/>
    <mergeCell ref="C215:D215"/>
    <mergeCell ref="C216:D216"/>
    <mergeCell ref="C217:D217"/>
    <mergeCell ref="C218:D218"/>
    <mergeCell ref="C219:D219"/>
    <mergeCell ref="B220:B222"/>
    <mergeCell ref="C220:D220"/>
    <mergeCell ref="C190:D190"/>
    <mergeCell ref="B259:D259"/>
    <mergeCell ref="C249:D249"/>
    <mergeCell ref="C250:D250"/>
    <mergeCell ref="C251:D251"/>
    <mergeCell ref="C252:D252"/>
    <mergeCell ref="C253:D253"/>
    <mergeCell ref="C254:D254"/>
    <mergeCell ref="C255:D255"/>
    <mergeCell ref="B256:B258"/>
    <mergeCell ref="C256:D256"/>
    <mergeCell ref="C257:D257"/>
    <mergeCell ref="C258:D258"/>
    <mergeCell ref="C244:D244"/>
    <mergeCell ref="C228:D228"/>
    <mergeCell ref="C229:D229"/>
    <mergeCell ref="C230:D230"/>
    <mergeCell ref="C246:D246"/>
    <mergeCell ref="C245:D245"/>
    <mergeCell ref="C191:D191"/>
    <mergeCell ref="C192:D192"/>
    <mergeCell ref="C193:D193"/>
    <mergeCell ref="B197:D197"/>
    <mergeCell ref="B194:B196"/>
    <mergeCell ref="C194:D194"/>
    <mergeCell ref="C196:D196"/>
    <mergeCell ref="C199:D199"/>
    <mergeCell ref="C233:D233"/>
    <mergeCell ref="C234:D234"/>
    <mergeCell ref="B235:D235"/>
    <mergeCell ref="B244:B246"/>
    <mergeCell ref="B295:D295"/>
    <mergeCell ref="C285:D285"/>
    <mergeCell ref="C286:D286"/>
    <mergeCell ref="C287:D287"/>
    <mergeCell ref="C288:D288"/>
    <mergeCell ref="C289:D289"/>
    <mergeCell ref="C290:D290"/>
    <mergeCell ref="C291:D291"/>
    <mergeCell ref="B292:B294"/>
    <mergeCell ref="C292:D292"/>
    <mergeCell ref="C293:D293"/>
    <mergeCell ref="C294:D294"/>
    <mergeCell ref="B307:D307"/>
    <mergeCell ref="C297:D297"/>
    <mergeCell ref="C298:D298"/>
    <mergeCell ref="C299:D299"/>
    <mergeCell ref="C300:D300"/>
    <mergeCell ref="C301:D301"/>
    <mergeCell ref="C302:D302"/>
    <mergeCell ref="C303:D303"/>
    <mergeCell ref="B304:B306"/>
    <mergeCell ref="C304:D304"/>
    <mergeCell ref="C305:D305"/>
    <mergeCell ref="C306:D306"/>
    <mergeCell ref="B319:D319"/>
    <mergeCell ref="C309:D309"/>
    <mergeCell ref="C310:D310"/>
    <mergeCell ref="C311:D311"/>
    <mergeCell ref="C312:D312"/>
    <mergeCell ref="C313:D313"/>
    <mergeCell ref="C314:D314"/>
    <mergeCell ref="C315:D315"/>
    <mergeCell ref="B316:B318"/>
    <mergeCell ref="C316:D316"/>
    <mergeCell ref="C317:D317"/>
    <mergeCell ref="C318:D318"/>
  </mergeCells>
  <phoneticPr fontId="0" type="noConversion"/>
  <printOptions horizontalCentered="1"/>
  <pageMargins left="0" right="0" top="0.59055118110236227" bottom="0.39370078740157483" header="0" footer="0"/>
  <pageSetup paperSize="5" scale="50" firstPageNumber="18" pageOrder="overThenDown" orientation="landscape" useFirstPageNumber="1" r:id="rId1"/>
  <headerFooter alignWithMargins="0"/>
  <ignoredErrors>
    <ignoredError sqref="K68 M68:N68 O73:O75 P73:P75 I83:I86 J83:J86 M83:M86 O83:O86" emptyCellReferenc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92D050"/>
  </sheetPr>
  <dimension ref="B1:W196"/>
  <sheetViews>
    <sheetView showGridLines="0" showZeros="0" view="pageBreakPreview" topLeftCell="A147" zoomScale="80" zoomScaleNormal="75" zoomScaleSheetLayoutView="80" workbookViewId="0">
      <selection activeCell="H200" sqref="H200"/>
    </sheetView>
  </sheetViews>
  <sheetFormatPr baseColWidth="10" defaultColWidth="11.42578125" defaultRowHeight="15"/>
  <cols>
    <col min="1" max="1" width="4.85546875" style="2" customWidth="1"/>
    <col min="2" max="2" width="45.5703125" style="119" customWidth="1"/>
    <col min="3" max="3" width="9.7109375" style="119" customWidth="1"/>
    <col min="4" max="4" width="10.28515625" style="119" customWidth="1"/>
    <col min="5" max="5" width="9.140625" style="119" customWidth="1"/>
    <col min="6" max="6" width="8.42578125" style="119" customWidth="1"/>
    <col min="7" max="9" width="9" style="119" customWidth="1"/>
    <col min="10" max="11" width="9.28515625" style="119" customWidth="1"/>
    <col min="12" max="12" width="10" style="119" customWidth="1"/>
    <col min="13" max="13" width="9" style="119" customWidth="1"/>
    <col min="14" max="14" width="9.85546875" style="119" customWidth="1"/>
    <col min="15" max="16" width="9.5703125" style="119" customWidth="1"/>
    <col min="17" max="17" width="10.42578125" style="2" customWidth="1"/>
    <col min="18" max="18" width="9.85546875" style="2" customWidth="1"/>
    <col min="19" max="20" width="9.140625" style="2" hidden="1" customWidth="1"/>
    <col min="21" max="22" width="9" style="2" hidden="1" customWidth="1"/>
    <col min="23" max="23" width="8.7109375" style="2" hidden="1" customWidth="1"/>
    <col min="24" max="24" width="4.28515625" style="2" customWidth="1"/>
    <col min="25" max="28" width="2.7109375" style="2" bestFit="1" customWidth="1"/>
    <col min="29" max="16384" width="11.42578125" style="2"/>
  </cols>
  <sheetData>
    <row r="1" spans="2:15" ht="16.5" customHeight="1">
      <c r="B1" s="119" t="s">
        <v>591</v>
      </c>
      <c r="C1" s="2886" t="s">
        <v>592</v>
      </c>
      <c r="D1" s="2886"/>
      <c r="E1" s="2886"/>
      <c r="F1" s="2886"/>
      <c r="G1" s="2886"/>
      <c r="H1" s="2886"/>
      <c r="I1" s="2886"/>
      <c r="J1" s="2886"/>
      <c r="K1" s="2886"/>
      <c r="L1" s="2886"/>
      <c r="M1" s="2886"/>
    </row>
    <row r="2" spans="2:15" ht="21.75" customHeight="1">
      <c r="B2" s="119" t="s">
        <v>593</v>
      </c>
      <c r="C2" s="1269" t="s">
        <v>594</v>
      </c>
      <c r="D2" s="1269"/>
      <c r="E2" s="1269"/>
      <c r="F2" s="1269"/>
      <c r="G2" s="1269"/>
      <c r="H2" s="1269"/>
      <c r="I2" s="1269"/>
      <c r="J2" s="1269"/>
      <c r="K2" s="1269"/>
      <c r="L2" s="1269"/>
      <c r="M2" s="1269"/>
    </row>
    <row r="3" spans="2:15" ht="15.75">
      <c r="B3" s="119" t="s">
        <v>595</v>
      </c>
      <c r="C3" s="2888" t="s">
        <v>801</v>
      </c>
      <c r="D3" s="2888"/>
      <c r="E3" s="2888"/>
      <c r="F3" s="2888"/>
      <c r="G3" s="2888"/>
      <c r="H3" s="2888"/>
      <c r="I3" s="2888"/>
      <c r="J3" s="2888"/>
      <c r="K3" s="2888"/>
      <c r="L3" s="2888"/>
      <c r="M3" s="2888"/>
    </row>
    <row r="4" spans="2:15" ht="8.25" customHeight="1"/>
    <row r="5" spans="2:15" ht="15.75">
      <c r="B5" s="3" t="s">
        <v>1118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5" ht="6" customHeight="1">
      <c r="B6" s="3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5" ht="30" customHeight="1">
      <c r="B7" s="2887" t="s">
        <v>530</v>
      </c>
      <c r="C7" s="2887"/>
      <c r="D7" s="2887"/>
      <c r="E7" s="2887"/>
      <c r="F7" s="2887"/>
      <c r="G7" s="2887"/>
      <c r="H7" s="2887"/>
      <c r="I7" s="2887"/>
      <c r="J7" s="2887"/>
      <c r="K7" s="2887"/>
      <c r="L7" s="2887"/>
      <c r="M7" s="2887"/>
      <c r="N7" s="2887"/>
      <c r="O7" s="2887"/>
    </row>
    <row r="8" spans="2:15" ht="15.75">
      <c r="B8" s="132" t="s">
        <v>1119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2:15" ht="16.5" thickBot="1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2:15" ht="17.25" hidden="1" customHeight="1">
      <c r="B10" s="132"/>
      <c r="C10" s="463">
        <v>2001</v>
      </c>
      <c r="D10" s="2659">
        <v>2002</v>
      </c>
      <c r="E10" s="2660"/>
      <c r="F10" s="2660"/>
      <c r="G10" s="2660"/>
      <c r="H10" s="2660"/>
      <c r="I10" s="2889"/>
      <c r="J10" s="120"/>
      <c r="K10" s="120"/>
      <c r="L10" s="120"/>
      <c r="M10" s="120"/>
      <c r="N10" s="120"/>
      <c r="O10" s="120"/>
    </row>
    <row r="11" spans="2:15" ht="16.5" hidden="1" thickBot="1">
      <c r="B11" s="122"/>
      <c r="C11" s="297" t="s">
        <v>577</v>
      </c>
      <c r="D11" s="282" t="s">
        <v>578</v>
      </c>
      <c r="E11" s="282" t="s">
        <v>579</v>
      </c>
      <c r="F11" s="282" t="s">
        <v>580</v>
      </c>
      <c r="G11" s="282" t="s">
        <v>581</v>
      </c>
      <c r="H11" s="282" t="s">
        <v>582</v>
      </c>
      <c r="I11" s="320" t="s">
        <v>583</v>
      </c>
      <c r="J11" s="120"/>
      <c r="K11" s="120"/>
      <c r="L11" s="120"/>
      <c r="M11" s="120"/>
      <c r="N11" s="120"/>
      <c r="O11" s="120"/>
    </row>
    <row r="12" spans="2:15" ht="15.75" hidden="1">
      <c r="B12" s="361" t="s">
        <v>798</v>
      </c>
      <c r="C12" s="306">
        <v>106.03</v>
      </c>
      <c r="D12" s="302">
        <v>111.59</v>
      </c>
      <c r="E12" s="302">
        <v>128.43</v>
      </c>
      <c r="F12" s="302">
        <v>145.6</v>
      </c>
      <c r="G12" s="302">
        <v>177.14</v>
      </c>
      <c r="H12" s="302">
        <v>210.72</v>
      </c>
      <c r="I12" s="1270">
        <v>251.01</v>
      </c>
      <c r="J12" s="1271"/>
      <c r="K12" s="1271"/>
      <c r="L12" s="1271"/>
      <c r="M12" s="1271"/>
      <c r="N12" s="1271"/>
      <c r="O12" s="1271"/>
    </row>
    <row r="13" spans="2:15" ht="15.75" hidden="1">
      <c r="B13" s="361" t="s">
        <v>799</v>
      </c>
      <c r="C13" s="1153">
        <f>+ROUND((I12/C12-1)*100,1)</f>
        <v>136.69999999999999</v>
      </c>
      <c r="D13" s="475">
        <f>+ROUND((I12/D12-1)*100,1)</f>
        <v>124.9</v>
      </c>
      <c r="E13" s="475">
        <f>+ROUND((I12/E12-1)*100,1)</f>
        <v>95.4</v>
      </c>
      <c r="F13" s="475">
        <v>72.400000000000006</v>
      </c>
      <c r="G13" s="475">
        <v>41.7</v>
      </c>
      <c r="H13" s="475">
        <v>19.100000000000001</v>
      </c>
      <c r="I13" s="1154">
        <v>0</v>
      </c>
      <c r="J13" s="120"/>
      <c r="K13" s="120"/>
      <c r="L13" s="120"/>
      <c r="M13" s="120"/>
      <c r="N13" s="120"/>
      <c r="O13" s="120"/>
    </row>
    <row r="14" spans="2:15" ht="16.5" hidden="1" thickBot="1">
      <c r="B14" s="361" t="s">
        <v>800</v>
      </c>
      <c r="C14" s="1272">
        <f t="shared" ref="C14:H14" si="0">+ROUND($I$14/(C13/100+1),2)</f>
        <v>111.19</v>
      </c>
      <c r="D14" s="1272">
        <f t="shared" si="0"/>
        <v>117.03</v>
      </c>
      <c r="E14" s="1272">
        <f t="shared" si="0"/>
        <v>134.69</v>
      </c>
      <c r="F14" s="1272">
        <f t="shared" si="0"/>
        <v>152.66</v>
      </c>
      <c r="G14" s="1272">
        <f t="shared" si="0"/>
        <v>185.74</v>
      </c>
      <c r="H14" s="1272">
        <f t="shared" si="0"/>
        <v>220.98</v>
      </c>
      <c r="I14" s="1272">
        <v>263.19</v>
      </c>
      <c r="J14" s="265"/>
      <c r="K14" s="265"/>
      <c r="L14" s="265"/>
      <c r="M14" s="265"/>
      <c r="N14" s="265"/>
      <c r="O14" s="265"/>
    </row>
    <row r="15" spans="2:15" ht="15.75" hidden="1">
      <c r="B15" s="269"/>
      <c r="C15" s="138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2:15" ht="20.25" hidden="1" customHeight="1"/>
    <row r="17" spans="2:23" ht="15.75" hidden="1">
      <c r="C17" s="2888" t="s">
        <v>801</v>
      </c>
      <c r="D17" s="2888"/>
      <c r="E17" s="2888"/>
      <c r="F17" s="2888"/>
      <c r="G17" s="2888"/>
      <c r="H17" s="2888"/>
      <c r="I17" s="2888"/>
      <c r="J17" s="2888"/>
      <c r="K17" s="2888"/>
      <c r="L17" s="2888"/>
      <c r="M17" s="2888"/>
    </row>
    <row r="18" spans="2:23" ht="15.75" hidden="1">
      <c r="B18" s="3" t="s">
        <v>802</v>
      </c>
    </row>
    <row r="19" spans="2:23" ht="12.75" hidden="1" customHeight="1">
      <c r="B19" s="2890" t="s">
        <v>487</v>
      </c>
      <c r="C19" s="2891"/>
      <c r="D19" s="2891"/>
      <c r="E19" s="2891"/>
      <c r="F19" s="2891"/>
      <c r="G19" s="2891"/>
      <c r="H19" s="2891"/>
      <c r="I19" s="2891"/>
      <c r="J19" s="2891"/>
      <c r="K19" s="2891"/>
      <c r="L19" s="2891"/>
      <c r="M19" s="2891"/>
      <c r="N19" s="2891"/>
    </row>
    <row r="20" spans="2:23" ht="15.75" customHeight="1" thickBot="1">
      <c r="B20" s="1273" t="s">
        <v>655</v>
      </c>
      <c r="C20" s="2628" t="s">
        <v>656</v>
      </c>
      <c r="D20" s="2629"/>
      <c r="E20" s="1274" t="s">
        <v>781</v>
      </c>
      <c r="F20" s="560"/>
      <c r="G20" s="120"/>
      <c r="H20" s="120"/>
      <c r="I20" s="120"/>
      <c r="K20" s="120"/>
    </row>
    <row r="21" spans="2:23" ht="15.75">
      <c r="B21" s="366" t="s">
        <v>486</v>
      </c>
      <c r="C21" s="2659" t="s">
        <v>803</v>
      </c>
      <c r="D21" s="2866"/>
      <c r="E21" s="1227">
        <v>0.5</v>
      </c>
      <c r="F21" s="358"/>
      <c r="G21" s="120"/>
      <c r="H21" s="120"/>
      <c r="I21" s="120"/>
      <c r="J21" s="2653"/>
      <c r="K21" s="2653"/>
      <c r="L21" s="2653"/>
      <c r="M21" s="2653"/>
      <c r="N21" s="2653"/>
      <c r="O21" s="2653"/>
      <c r="P21" s="122"/>
      <c r="Q21" s="4"/>
    </row>
    <row r="22" spans="2:23" ht="16.5" thickBot="1">
      <c r="B22" s="369" t="s">
        <v>804</v>
      </c>
      <c r="C22" s="2642">
        <v>99</v>
      </c>
      <c r="D22" s="2867"/>
      <c r="E22" s="1229">
        <v>0.5</v>
      </c>
      <c r="F22" s="358"/>
      <c r="G22" s="120"/>
      <c r="H22" s="123"/>
      <c r="I22" s="124"/>
      <c r="J22" s="2653"/>
      <c r="K22" s="2653"/>
      <c r="L22" s="2653"/>
      <c r="M22" s="2653"/>
      <c r="N22" s="2653"/>
      <c r="O22" s="2653"/>
      <c r="P22" s="122"/>
      <c r="Q22" s="4"/>
    </row>
    <row r="23" spans="2:23" ht="8.25" hidden="1" customHeight="1" thickBot="1">
      <c r="H23" s="125"/>
      <c r="I23" s="125"/>
      <c r="J23" s="125"/>
      <c r="K23" s="125"/>
      <c r="L23" s="125"/>
      <c r="M23" s="125"/>
      <c r="N23" s="125"/>
      <c r="O23" s="125"/>
      <c r="P23" s="125"/>
      <c r="Q23" s="9"/>
    </row>
    <row r="24" spans="2:23" ht="2.25" hidden="1" customHeight="1" thickBot="1">
      <c r="B24" s="2623" t="s">
        <v>673</v>
      </c>
      <c r="C24" s="2628" t="s">
        <v>656</v>
      </c>
      <c r="D24" s="2629"/>
      <c r="E24" s="2706">
        <v>37412</v>
      </c>
      <c r="F24" s="2604">
        <v>37443</v>
      </c>
      <c r="G24" s="2604">
        <v>37474</v>
      </c>
      <c r="H24" s="2604">
        <v>37505</v>
      </c>
      <c r="I24" s="2604">
        <v>37536</v>
      </c>
      <c r="J24" s="2604">
        <v>37561</v>
      </c>
      <c r="K24" s="2604">
        <v>37591</v>
      </c>
      <c r="L24" s="2619">
        <v>37622</v>
      </c>
      <c r="M24" s="2619">
        <v>37653</v>
      </c>
      <c r="N24" s="2619">
        <v>37681</v>
      </c>
      <c r="O24" s="2619">
        <v>37712</v>
      </c>
      <c r="P24" s="2619">
        <v>37742</v>
      </c>
      <c r="Q24" s="2619">
        <v>37773</v>
      </c>
      <c r="R24" s="2617">
        <v>37803</v>
      </c>
      <c r="S24" s="2880">
        <v>37834</v>
      </c>
      <c r="T24" s="2877">
        <v>37865</v>
      </c>
      <c r="U24" s="2877">
        <v>37895</v>
      </c>
      <c r="V24" s="2883">
        <v>37926</v>
      </c>
      <c r="W24" s="2883">
        <v>37956</v>
      </c>
    </row>
    <row r="25" spans="2:23" ht="12.75" hidden="1" customHeight="1">
      <c r="B25" s="2624"/>
      <c r="C25" s="2631"/>
      <c r="D25" s="2871"/>
      <c r="E25" s="2707"/>
      <c r="F25" s="2605"/>
      <c r="G25" s="2605"/>
      <c r="H25" s="2605"/>
      <c r="I25" s="2605"/>
      <c r="J25" s="2605"/>
      <c r="K25" s="2605"/>
      <c r="L25" s="2620"/>
      <c r="M25" s="2620"/>
      <c r="N25" s="2620"/>
      <c r="O25" s="2620"/>
      <c r="P25" s="2620"/>
      <c r="Q25" s="2620"/>
      <c r="R25" s="2618"/>
      <c r="S25" s="2881"/>
      <c r="T25" s="2878"/>
      <c r="U25" s="2878"/>
      <c r="V25" s="2884"/>
      <c r="W25" s="2884"/>
    </row>
    <row r="26" spans="2:23" ht="4.5" hidden="1" customHeight="1" thickBot="1">
      <c r="B26" s="2625"/>
      <c r="C26" s="2761"/>
      <c r="D26" s="2872"/>
      <c r="E26" s="2708"/>
      <c r="F26" s="2740"/>
      <c r="G26" s="2740"/>
      <c r="H26" s="2740"/>
      <c r="I26" s="2740"/>
      <c r="J26" s="2740"/>
      <c r="K26" s="2740"/>
      <c r="L26" s="2870"/>
      <c r="M26" s="2870"/>
      <c r="N26" s="2870"/>
      <c r="O26" s="2870"/>
      <c r="P26" s="2870"/>
      <c r="Q26" s="2870"/>
      <c r="R26" s="2868"/>
      <c r="S26" s="2882"/>
      <c r="T26" s="2879"/>
      <c r="U26" s="2879"/>
      <c r="V26" s="2885"/>
      <c r="W26" s="2885"/>
    </row>
    <row r="27" spans="2:23" ht="15.75" hidden="1">
      <c r="B27" s="563" t="str">
        <f>+B21</f>
        <v>Motores Eléctricos</v>
      </c>
      <c r="C27" s="2672" t="str">
        <f>+C21</f>
        <v>46112-1 IPIB mdd</v>
      </c>
      <c r="D27" s="2672"/>
      <c r="E27" s="564">
        <v>181.37</v>
      </c>
      <c r="F27" s="564">
        <v>182.2</v>
      </c>
      <c r="G27" s="564">
        <v>180.16</v>
      </c>
      <c r="H27" s="564">
        <v>185.58</v>
      </c>
      <c r="I27" s="565">
        <v>186.8</v>
      </c>
      <c r="J27" s="565">
        <v>182.18</v>
      </c>
      <c r="K27" s="565">
        <v>181.59</v>
      </c>
      <c r="L27" s="567">
        <v>175.1</v>
      </c>
      <c r="M27" s="567">
        <v>168.92</v>
      </c>
      <c r="N27" s="516">
        <v>171.37</v>
      </c>
      <c r="O27" s="567">
        <v>167.38</v>
      </c>
      <c r="P27" s="567">
        <v>167.12</v>
      </c>
      <c r="Q27" s="567">
        <v>165.94</v>
      </c>
      <c r="R27" s="126">
        <v>165.3</v>
      </c>
      <c r="S27" s="1745">
        <v>166.87</v>
      </c>
      <c r="T27" s="25">
        <v>167.22</v>
      </c>
      <c r="U27" s="25">
        <v>165.35</v>
      </c>
      <c r="V27" s="24">
        <v>169.02</v>
      </c>
      <c r="W27" s="24">
        <v>171.5</v>
      </c>
    </row>
    <row r="28" spans="2:23" ht="16.5" hidden="1" thickBot="1">
      <c r="B28" s="373" t="str">
        <f>+B22</f>
        <v>Piezas Fundidas</v>
      </c>
      <c r="C28" s="2661">
        <f>C22</f>
        <v>99</v>
      </c>
      <c r="D28" s="2661"/>
      <c r="E28" s="447">
        <v>156.91</v>
      </c>
      <c r="F28" s="447">
        <v>186.11</v>
      </c>
      <c r="G28" s="447">
        <v>186.11</v>
      </c>
      <c r="H28" s="447">
        <v>186.11</v>
      </c>
      <c r="I28" s="447">
        <v>197.52</v>
      </c>
      <c r="J28" s="447">
        <v>197.52</v>
      </c>
      <c r="K28" s="447">
        <v>197.52</v>
      </c>
      <c r="L28" s="448">
        <v>197.52</v>
      </c>
      <c r="M28" s="448">
        <v>197.52</v>
      </c>
      <c r="N28" s="573">
        <v>197.52</v>
      </c>
      <c r="O28" s="573">
        <v>186.11</v>
      </c>
      <c r="P28" s="573">
        <v>186.11</v>
      </c>
      <c r="Q28" s="573">
        <v>197.52</v>
      </c>
      <c r="R28" s="503">
        <v>197.52</v>
      </c>
      <c r="S28" s="1746">
        <v>197.52</v>
      </c>
      <c r="T28" s="32">
        <v>197.52</v>
      </c>
      <c r="U28" s="32">
        <v>197.52</v>
      </c>
      <c r="V28" s="42">
        <v>197.52</v>
      </c>
      <c r="W28" s="42">
        <v>197.52</v>
      </c>
    </row>
    <row r="29" spans="2:23" ht="16.5" hidden="1" thickBot="1">
      <c r="B29" s="132"/>
      <c r="C29" s="132"/>
      <c r="D29" s="132"/>
      <c r="E29" s="132"/>
      <c r="F29" s="132"/>
      <c r="G29" s="132"/>
      <c r="H29" s="132"/>
      <c r="I29" s="132"/>
    </row>
    <row r="30" spans="2:23" ht="15.75" hidden="1">
      <c r="B30" s="2623" t="s">
        <v>675</v>
      </c>
      <c r="C30" s="2659" t="s">
        <v>805</v>
      </c>
      <c r="D30" s="2866"/>
      <c r="E30" s="516">
        <f t="shared" ref="E30:W30" si="1">+ROUND(E27/$E$27,3)</f>
        <v>1</v>
      </c>
      <c r="F30" s="516">
        <f t="shared" si="1"/>
        <v>1.0049999999999999</v>
      </c>
      <c r="G30" s="516">
        <f t="shared" si="1"/>
        <v>0.99299999999999999</v>
      </c>
      <c r="H30" s="516">
        <f t="shared" si="1"/>
        <v>1.0229999999999999</v>
      </c>
      <c r="I30" s="516">
        <f t="shared" si="1"/>
        <v>1.03</v>
      </c>
      <c r="J30" s="516">
        <f t="shared" si="1"/>
        <v>1.004</v>
      </c>
      <c r="K30" s="516">
        <f t="shared" si="1"/>
        <v>1.0009999999999999</v>
      </c>
      <c r="L30" s="516">
        <f t="shared" si="1"/>
        <v>0.96499999999999997</v>
      </c>
      <c r="M30" s="516">
        <f t="shared" si="1"/>
        <v>0.93100000000000005</v>
      </c>
      <c r="N30" s="516">
        <f t="shared" si="1"/>
        <v>0.94499999999999995</v>
      </c>
      <c r="O30" s="516">
        <f t="shared" si="1"/>
        <v>0.92300000000000004</v>
      </c>
      <c r="P30" s="516">
        <f t="shared" si="1"/>
        <v>0.92100000000000004</v>
      </c>
      <c r="Q30" s="516">
        <f t="shared" si="1"/>
        <v>0.91500000000000004</v>
      </c>
      <c r="R30" s="133">
        <f t="shared" si="1"/>
        <v>0.91100000000000003</v>
      </c>
      <c r="S30" s="1747">
        <f t="shared" si="1"/>
        <v>0.92</v>
      </c>
      <c r="T30" s="26">
        <f t="shared" si="1"/>
        <v>0.92200000000000004</v>
      </c>
      <c r="U30" s="26">
        <f t="shared" si="1"/>
        <v>0.91200000000000003</v>
      </c>
      <c r="V30" s="29">
        <f t="shared" si="1"/>
        <v>0.93200000000000005</v>
      </c>
      <c r="W30" s="29">
        <f t="shared" si="1"/>
        <v>0.94599999999999995</v>
      </c>
    </row>
    <row r="31" spans="2:23" ht="16.5" hidden="1" thickBot="1">
      <c r="B31" s="2625"/>
      <c r="C31" s="2642" t="s">
        <v>796</v>
      </c>
      <c r="D31" s="2867"/>
      <c r="E31" s="685">
        <f t="shared" ref="E31:W31" si="2">+ROUND(E28/$E$28,3)</f>
        <v>1</v>
      </c>
      <c r="F31" s="685">
        <f t="shared" si="2"/>
        <v>1.1859999999999999</v>
      </c>
      <c r="G31" s="685">
        <f t="shared" si="2"/>
        <v>1.1859999999999999</v>
      </c>
      <c r="H31" s="685">
        <f t="shared" si="2"/>
        <v>1.1859999999999999</v>
      </c>
      <c r="I31" s="685">
        <f t="shared" si="2"/>
        <v>1.2589999999999999</v>
      </c>
      <c r="J31" s="685">
        <f t="shared" si="2"/>
        <v>1.2589999999999999</v>
      </c>
      <c r="K31" s="685">
        <f t="shared" si="2"/>
        <v>1.2589999999999999</v>
      </c>
      <c r="L31" s="685">
        <f t="shared" si="2"/>
        <v>1.2589999999999999</v>
      </c>
      <c r="M31" s="685">
        <f t="shared" si="2"/>
        <v>1.2589999999999999</v>
      </c>
      <c r="N31" s="685">
        <f t="shared" si="2"/>
        <v>1.2589999999999999</v>
      </c>
      <c r="O31" s="685">
        <f t="shared" si="2"/>
        <v>1.1859999999999999</v>
      </c>
      <c r="P31" s="685">
        <f t="shared" si="2"/>
        <v>1.1859999999999999</v>
      </c>
      <c r="Q31" s="685">
        <f t="shared" si="2"/>
        <v>1.2589999999999999</v>
      </c>
      <c r="R31" s="686">
        <f t="shared" si="2"/>
        <v>1.2589999999999999</v>
      </c>
      <c r="S31" s="1748">
        <f t="shared" si="2"/>
        <v>1.2589999999999999</v>
      </c>
      <c r="T31" s="43">
        <f t="shared" si="2"/>
        <v>1.2589999999999999</v>
      </c>
      <c r="U31" s="43">
        <f t="shared" si="2"/>
        <v>1.2589999999999999</v>
      </c>
      <c r="V31" s="44">
        <f t="shared" si="2"/>
        <v>1.2589999999999999</v>
      </c>
      <c r="W31" s="44">
        <f t="shared" si="2"/>
        <v>1.2589999999999999</v>
      </c>
    </row>
    <row r="32" spans="2:23" ht="16.5" hidden="1" thickBot="1">
      <c r="B32" s="2636" t="s">
        <v>806</v>
      </c>
      <c r="C32" s="2637"/>
      <c r="D32" s="2638"/>
      <c r="E32" s="1245">
        <f t="shared" ref="E32:W32" si="3">+ROUND((E30*0.5+E31*0.5)*100,2)</f>
        <v>100</v>
      </c>
      <c r="F32" s="1245">
        <f t="shared" si="3"/>
        <v>109.55</v>
      </c>
      <c r="G32" s="1245">
        <f t="shared" si="3"/>
        <v>108.95</v>
      </c>
      <c r="H32" s="1245">
        <f t="shared" si="3"/>
        <v>110.45</v>
      </c>
      <c r="I32" s="1245">
        <f t="shared" si="3"/>
        <v>114.45</v>
      </c>
      <c r="J32" s="1245">
        <f t="shared" si="3"/>
        <v>113.15</v>
      </c>
      <c r="K32" s="1245">
        <f t="shared" si="3"/>
        <v>113</v>
      </c>
      <c r="L32" s="1245">
        <f t="shared" si="3"/>
        <v>111.2</v>
      </c>
      <c r="M32" s="1245">
        <f t="shared" si="3"/>
        <v>109.5</v>
      </c>
      <c r="N32" s="1245">
        <f t="shared" si="3"/>
        <v>110.2</v>
      </c>
      <c r="O32" s="1245">
        <f t="shared" si="3"/>
        <v>105.45</v>
      </c>
      <c r="P32" s="1245">
        <f t="shared" si="3"/>
        <v>105.35</v>
      </c>
      <c r="Q32" s="1245">
        <f t="shared" si="3"/>
        <v>108.7</v>
      </c>
      <c r="R32" s="1275">
        <f t="shared" si="3"/>
        <v>108.5</v>
      </c>
      <c r="S32" s="1749">
        <f t="shared" si="3"/>
        <v>108.95</v>
      </c>
      <c r="T32" s="14">
        <f t="shared" si="3"/>
        <v>109.05</v>
      </c>
      <c r="U32" s="14">
        <f t="shared" si="3"/>
        <v>108.55</v>
      </c>
      <c r="V32" s="14">
        <f t="shared" si="3"/>
        <v>109.55</v>
      </c>
      <c r="W32" s="14">
        <f t="shared" si="3"/>
        <v>110.25</v>
      </c>
    </row>
    <row r="33" spans="2:16" ht="16.5" hidden="1" thickBot="1">
      <c r="D33" s="132"/>
    </row>
    <row r="34" spans="2:16" ht="12.75" hidden="1" customHeight="1">
      <c r="B34" s="2623" t="s">
        <v>673</v>
      </c>
      <c r="C34" s="2628" t="s">
        <v>656</v>
      </c>
      <c r="D34" s="2629"/>
      <c r="E34" s="2619">
        <v>37987</v>
      </c>
      <c r="F34" s="2619">
        <v>38018</v>
      </c>
      <c r="G34" s="2619">
        <v>38047</v>
      </c>
      <c r="H34" s="2619">
        <v>38078</v>
      </c>
      <c r="I34" s="2619">
        <v>38108</v>
      </c>
      <c r="J34" s="2619">
        <v>38139</v>
      </c>
      <c r="K34" s="2619">
        <v>38169</v>
      </c>
      <c r="L34" s="2619">
        <v>38200</v>
      </c>
      <c r="M34" s="2619">
        <v>38231</v>
      </c>
      <c r="N34" s="2619">
        <v>38261</v>
      </c>
      <c r="O34" s="2619">
        <v>38292</v>
      </c>
      <c r="P34" s="2617">
        <v>38322</v>
      </c>
    </row>
    <row r="35" spans="2:16" ht="12.75" hidden="1">
      <c r="B35" s="2624"/>
      <c r="C35" s="2631"/>
      <c r="D35" s="2871"/>
      <c r="E35" s="2620"/>
      <c r="F35" s="2620"/>
      <c r="G35" s="2620"/>
      <c r="H35" s="2620"/>
      <c r="I35" s="2620"/>
      <c r="J35" s="2620"/>
      <c r="K35" s="2620"/>
      <c r="L35" s="2620"/>
      <c r="M35" s="2620"/>
      <c r="N35" s="2620"/>
      <c r="O35" s="2620"/>
      <c r="P35" s="2618"/>
    </row>
    <row r="36" spans="2:16" ht="13.5" hidden="1" thickBot="1">
      <c r="B36" s="2625"/>
      <c r="C36" s="2761"/>
      <c r="D36" s="2872"/>
      <c r="E36" s="2870"/>
      <c r="F36" s="2870"/>
      <c r="G36" s="2870"/>
      <c r="H36" s="2870"/>
      <c r="I36" s="2870"/>
      <c r="J36" s="2870"/>
      <c r="K36" s="2870"/>
      <c r="L36" s="2870"/>
      <c r="M36" s="2870"/>
      <c r="N36" s="2870"/>
      <c r="O36" s="2870"/>
      <c r="P36" s="2868"/>
    </row>
    <row r="37" spans="2:16" ht="15.75" hidden="1">
      <c r="B37" s="366" t="s">
        <v>486</v>
      </c>
      <c r="C37" s="2672" t="str">
        <f>C27</f>
        <v>46112-1 IPIB mdd</v>
      </c>
      <c r="D37" s="2672"/>
      <c r="E37" s="567">
        <v>173.69</v>
      </c>
      <c r="F37" s="567">
        <v>176.95</v>
      </c>
      <c r="G37" s="516">
        <v>186.37</v>
      </c>
      <c r="H37" s="567">
        <v>187.17</v>
      </c>
      <c r="I37" s="567">
        <v>190.72</v>
      </c>
      <c r="J37" s="567">
        <v>191.89</v>
      </c>
      <c r="K37" s="567">
        <v>193.24</v>
      </c>
      <c r="L37" s="567">
        <v>194.74</v>
      </c>
      <c r="M37" s="567">
        <v>194.31</v>
      </c>
      <c r="N37" s="567">
        <v>194.34</v>
      </c>
      <c r="O37" s="567">
        <v>197.57</v>
      </c>
      <c r="P37" s="574">
        <v>201.6</v>
      </c>
    </row>
    <row r="38" spans="2:16" ht="16.5" hidden="1" thickBot="1">
      <c r="B38" s="369" t="s">
        <v>804</v>
      </c>
      <c r="C38" s="2661">
        <f>C28</f>
        <v>99</v>
      </c>
      <c r="D38" s="2661"/>
      <c r="E38" s="448">
        <v>217.81</v>
      </c>
      <c r="F38" s="448">
        <v>217.81</v>
      </c>
      <c r="G38" s="573">
        <v>217.81</v>
      </c>
      <c r="H38" s="573">
        <v>217.81</v>
      </c>
      <c r="I38" s="573">
        <v>234.38</v>
      </c>
      <c r="J38" s="573">
        <v>240.05</v>
      </c>
      <c r="K38" s="573">
        <v>240.05</v>
      </c>
      <c r="L38" s="573">
        <v>240.05</v>
      </c>
      <c r="M38" s="573">
        <v>240.05</v>
      </c>
      <c r="N38" s="573">
        <f>+'TABLA FINAL '!AS119</f>
        <v>244.5</v>
      </c>
      <c r="O38" s="573">
        <f>+'TABLA FINAL '!AT119</f>
        <v>251.81</v>
      </c>
      <c r="P38" s="503">
        <f>+'TABLA FINAL '!AU119</f>
        <v>251.81</v>
      </c>
    </row>
    <row r="39" spans="2:16" ht="16.5" hidden="1" thickBot="1">
      <c r="B39" s="375"/>
      <c r="C39" s="132"/>
      <c r="D39" s="132"/>
    </row>
    <row r="40" spans="2:16" ht="15.75" hidden="1">
      <c r="B40" s="2623" t="s">
        <v>675</v>
      </c>
      <c r="C40" s="2659" t="s">
        <v>805</v>
      </c>
      <c r="D40" s="2866"/>
      <c r="E40" s="516">
        <f t="shared" ref="E40:K40" si="4">+ROUND(E37/$E$27,3)</f>
        <v>0.95799999999999996</v>
      </c>
      <c r="F40" s="516">
        <f t="shared" si="4"/>
        <v>0.97599999999999998</v>
      </c>
      <c r="G40" s="516">
        <f t="shared" si="4"/>
        <v>1.028</v>
      </c>
      <c r="H40" s="516">
        <f t="shared" si="4"/>
        <v>1.032</v>
      </c>
      <c r="I40" s="516">
        <f t="shared" si="4"/>
        <v>1.052</v>
      </c>
      <c r="J40" s="516">
        <f t="shared" si="4"/>
        <v>1.0580000000000001</v>
      </c>
      <c r="K40" s="516">
        <f t="shared" si="4"/>
        <v>1.0649999999999999</v>
      </c>
      <c r="L40" s="516">
        <f>+ROUND(L37/$E$27,3)</f>
        <v>1.0740000000000001</v>
      </c>
      <c r="M40" s="516">
        <f>+ROUND(M37/$E$27,3)</f>
        <v>1.071</v>
      </c>
      <c r="N40" s="516">
        <f>+ROUND(N37/$E$27,3)</f>
        <v>1.0720000000000001</v>
      </c>
      <c r="O40" s="516">
        <f>+ROUND(O37/$E$27,3)</f>
        <v>1.089</v>
      </c>
      <c r="P40" s="133">
        <f>+ROUND(P37/$E$27,3)</f>
        <v>1.1120000000000001</v>
      </c>
    </row>
    <row r="41" spans="2:16" ht="16.5" hidden="1" thickBot="1">
      <c r="B41" s="2625"/>
      <c r="C41" s="2642" t="s">
        <v>796</v>
      </c>
      <c r="D41" s="2867"/>
      <c r="E41" s="685">
        <f t="shared" ref="E41:K41" si="5">+ROUND(E38/$E$28,3)</f>
        <v>1.3879999999999999</v>
      </c>
      <c r="F41" s="685">
        <f t="shared" si="5"/>
        <v>1.3879999999999999</v>
      </c>
      <c r="G41" s="685">
        <f t="shared" si="5"/>
        <v>1.3879999999999999</v>
      </c>
      <c r="H41" s="685">
        <f t="shared" si="5"/>
        <v>1.3879999999999999</v>
      </c>
      <c r="I41" s="685">
        <f t="shared" si="5"/>
        <v>1.494</v>
      </c>
      <c r="J41" s="685">
        <f t="shared" si="5"/>
        <v>1.53</v>
      </c>
      <c r="K41" s="685">
        <f t="shared" si="5"/>
        <v>1.53</v>
      </c>
      <c r="L41" s="685">
        <f>+ROUND(L38/$E$28,3)</f>
        <v>1.53</v>
      </c>
      <c r="M41" s="685">
        <f>+ROUND(M38/$E$28,3)</f>
        <v>1.53</v>
      </c>
      <c r="N41" s="685">
        <f>+ROUND(N38/$E$28,3)</f>
        <v>1.5580000000000001</v>
      </c>
      <c r="O41" s="685">
        <f>+ROUND(O38/$E$28,3)</f>
        <v>1.605</v>
      </c>
      <c r="P41" s="686">
        <f>+ROUND(P38/$E$28,3)</f>
        <v>1.605</v>
      </c>
    </row>
    <row r="42" spans="2:16" ht="16.5" hidden="1" thickBot="1">
      <c r="B42" s="132"/>
      <c r="C42" s="132"/>
      <c r="D42" s="363"/>
    </row>
    <row r="43" spans="2:16" ht="16.5" hidden="1" thickBot="1">
      <c r="B43" s="2636" t="s">
        <v>806</v>
      </c>
      <c r="C43" s="2637"/>
      <c r="D43" s="2638"/>
      <c r="E43" s="135">
        <f t="shared" ref="E43:L43" si="6">+ROUND((E40*0.5+E41*0.5)*100,2)</f>
        <v>117.3</v>
      </c>
      <c r="F43" s="135">
        <f t="shared" si="6"/>
        <v>118.2</v>
      </c>
      <c r="G43" s="135">
        <f t="shared" si="6"/>
        <v>120.8</v>
      </c>
      <c r="H43" s="135">
        <f t="shared" si="6"/>
        <v>121</v>
      </c>
      <c r="I43" s="135">
        <f t="shared" si="6"/>
        <v>127.3</v>
      </c>
      <c r="J43" s="135">
        <f t="shared" si="6"/>
        <v>129.4</v>
      </c>
      <c r="K43" s="1245">
        <f t="shared" si="6"/>
        <v>129.75</v>
      </c>
      <c r="L43" s="1245">
        <f t="shared" si="6"/>
        <v>130.19999999999999</v>
      </c>
      <c r="M43" s="1245">
        <f>+ROUND((M40*0.5+M41*0.5)*100,2)</f>
        <v>130.05000000000001</v>
      </c>
      <c r="N43" s="1245">
        <f>+ROUND((N40*0.5+N41*0.5)*100,2)</f>
        <v>131.5</v>
      </c>
      <c r="O43" s="1245">
        <f>+ROUND((O40*0.5+O41*0.5)*100,2)</f>
        <v>134.69999999999999</v>
      </c>
      <c r="P43" s="1275">
        <f>+ROUND((P40*0.5+P41*0.5)*100,2)</f>
        <v>135.85</v>
      </c>
    </row>
    <row r="44" spans="2:16" ht="15.75" hidden="1" thickBot="1"/>
    <row r="45" spans="2:16" ht="12.75" hidden="1" customHeight="1">
      <c r="B45" s="2623" t="s">
        <v>673</v>
      </c>
      <c r="C45" s="2628" t="s">
        <v>656</v>
      </c>
      <c r="D45" s="2629"/>
      <c r="E45" s="2619">
        <v>38353</v>
      </c>
      <c r="F45" s="2619">
        <v>38384</v>
      </c>
      <c r="G45" s="2619">
        <v>38412</v>
      </c>
      <c r="H45" s="2619">
        <v>38443</v>
      </c>
      <c r="I45" s="2619">
        <v>38473</v>
      </c>
      <c r="J45" s="2619">
        <v>38504</v>
      </c>
      <c r="K45" s="2619">
        <v>38534</v>
      </c>
      <c r="L45" s="2619">
        <v>38565</v>
      </c>
      <c r="M45" s="2619">
        <v>38596</v>
      </c>
      <c r="N45" s="2619">
        <v>38626</v>
      </c>
      <c r="O45" s="2619">
        <v>38657</v>
      </c>
      <c r="P45" s="2617">
        <v>38687</v>
      </c>
    </row>
    <row r="46" spans="2:16" ht="12.75" hidden="1">
      <c r="B46" s="2624"/>
      <c r="C46" s="2631"/>
      <c r="D46" s="2871"/>
      <c r="E46" s="2620"/>
      <c r="F46" s="2620"/>
      <c r="G46" s="2620"/>
      <c r="H46" s="2620"/>
      <c r="I46" s="2620"/>
      <c r="J46" s="2620"/>
      <c r="K46" s="2620"/>
      <c r="L46" s="2620"/>
      <c r="M46" s="2620"/>
      <c r="N46" s="2620"/>
      <c r="O46" s="2620"/>
      <c r="P46" s="2618"/>
    </row>
    <row r="47" spans="2:16" ht="13.5" hidden="1" thickBot="1">
      <c r="B47" s="2625"/>
      <c r="C47" s="2761"/>
      <c r="D47" s="2872"/>
      <c r="E47" s="2870"/>
      <c r="F47" s="2870"/>
      <c r="G47" s="2870"/>
      <c r="H47" s="2870"/>
      <c r="I47" s="2870"/>
      <c r="J47" s="2870"/>
      <c r="K47" s="2870"/>
      <c r="L47" s="2870"/>
      <c r="M47" s="2870"/>
      <c r="N47" s="2870"/>
      <c r="O47" s="2870"/>
      <c r="P47" s="2868"/>
    </row>
    <row r="48" spans="2:16" ht="15.75" hidden="1">
      <c r="B48" s="366" t="s">
        <v>486</v>
      </c>
      <c r="C48" s="2672" t="str">
        <f>+C37</f>
        <v>46112-1 IPIB mdd</v>
      </c>
      <c r="D48" s="2672"/>
      <c r="E48" s="567">
        <v>203.3</v>
      </c>
      <c r="F48" s="567">
        <v>204.54</v>
      </c>
      <c r="G48" s="421">
        <v>206.66</v>
      </c>
      <c r="H48" s="567">
        <v>210.24</v>
      </c>
      <c r="I48" s="567">
        <v>214.98</v>
      </c>
      <c r="J48" s="567">
        <v>214.45</v>
      </c>
      <c r="K48" s="567">
        <v>212.42</v>
      </c>
      <c r="L48" s="567">
        <v>212.68</v>
      </c>
      <c r="M48" s="567">
        <v>214.59</v>
      </c>
      <c r="N48" s="567">
        <v>215.73</v>
      </c>
      <c r="O48" s="567">
        <v>231.07</v>
      </c>
      <c r="P48" s="574">
        <v>226.54</v>
      </c>
    </row>
    <row r="49" spans="2:16" ht="16.5" hidden="1" thickBot="1">
      <c r="B49" s="369" t="s">
        <v>804</v>
      </c>
      <c r="C49" s="2661">
        <f>+C38</f>
        <v>99</v>
      </c>
      <c r="D49" s="2661"/>
      <c r="E49" s="448">
        <f>+'TABLA FINAL '!AV119</f>
        <v>251.81</v>
      </c>
      <c r="F49" s="448">
        <f>+'TABLA FINAL '!AW119</f>
        <v>252.4</v>
      </c>
      <c r="G49" s="448">
        <f>+'TABLA FINAL '!AX119</f>
        <v>252.4</v>
      </c>
      <c r="H49" s="448">
        <f>+'TABLA FINAL '!AY119</f>
        <v>252.4</v>
      </c>
      <c r="I49" s="448">
        <f>+'TABLA FINAL '!AZ119</f>
        <v>266.25</v>
      </c>
      <c r="J49" s="448">
        <f>+'TABLA FINAL '!BA119</f>
        <v>266.25</v>
      </c>
      <c r="K49" s="448">
        <f>+'TABLA FINAL '!BB119</f>
        <v>274.81</v>
      </c>
      <c r="L49" s="448">
        <f>+'TABLA FINAL '!BC119</f>
        <v>274.81</v>
      </c>
      <c r="M49" s="448">
        <f>+'TABLA FINAL '!BD119</f>
        <v>274.81</v>
      </c>
      <c r="N49" s="448">
        <f>+'TABLA FINAL '!BE119</f>
        <v>290.81</v>
      </c>
      <c r="O49" s="448">
        <f>+'TABLA FINAL '!BF119</f>
        <v>291.86</v>
      </c>
      <c r="P49" s="131">
        <f>+'TABLA FINAL '!BG119</f>
        <v>291.86</v>
      </c>
    </row>
    <row r="50" spans="2:16" ht="16.5" hidden="1" thickBot="1">
      <c r="B50" s="369"/>
      <c r="C50" s="132"/>
      <c r="D50" s="132"/>
    </row>
    <row r="51" spans="2:16" ht="15.75" hidden="1">
      <c r="B51" s="2623" t="s">
        <v>675</v>
      </c>
      <c r="C51" s="2659" t="s">
        <v>805</v>
      </c>
      <c r="D51" s="2866"/>
      <c r="E51" s="516">
        <f t="shared" ref="E51:K51" si="7">+ROUND(E48/$E$27,3)</f>
        <v>1.121</v>
      </c>
      <c r="F51" s="516">
        <f t="shared" si="7"/>
        <v>1.1279999999999999</v>
      </c>
      <c r="G51" s="516">
        <f t="shared" si="7"/>
        <v>1.139</v>
      </c>
      <c r="H51" s="516">
        <f t="shared" si="7"/>
        <v>1.159</v>
      </c>
      <c r="I51" s="516">
        <f t="shared" si="7"/>
        <v>1.1850000000000001</v>
      </c>
      <c r="J51" s="516">
        <f t="shared" si="7"/>
        <v>1.1819999999999999</v>
      </c>
      <c r="K51" s="516">
        <f t="shared" si="7"/>
        <v>1.171</v>
      </c>
      <c r="L51" s="516">
        <f>+ROUND(L48/$E$27,3)</f>
        <v>1.173</v>
      </c>
      <c r="M51" s="516">
        <f>+ROUND(M48/$E$27,3)</f>
        <v>1.1830000000000001</v>
      </c>
      <c r="N51" s="516">
        <f>+ROUND(N48/$E$27,3)</f>
        <v>1.1890000000000001</v>
      </c>
      <c r="O51" s="516">
        <f>+ROUND(O48/$E$27,3)</f>
        <v>1.274</v>
      </c>
      <c r="P51" s="133">
        <f>+ROUND(P48/$E$27,3)</f>
        <v>1.2490000000000001</v>
      </c>
    </row>
    <row r="52" spans="2:16" ht="16.5" hidden="1" thickBot="1">
      <c r="B52" s="2625"/>
      <c r="C52" s="2642" t="s">
        <v>796</v>
      </c>
      <c r="D52" s="2867"/>
      <c r="E52" s="685">
        <f t="shared" ref="E52:K52" si="8">+ROUND(E49/$E$28,3)</f>
        <v>1.605</v>
      </c>
      <c r="F52" s="685">
        <f t="shared" si="8"/>
        <v>1.609</v>
      </c>
      <c r="G52" s="685">
        <f t="shared" si="8"/>
        <v>1.609</v>
      </c>
      <c r="H52" s="685">
        <f t="shared" si="8"/>
        <v>1.609</v>
      </c>
      <c r="I52" s="685">
        <f t="shared" si="8"/>
        <v>1.6970000000000001</v>
      </c>
      <c r="J52" s="685">
        <f t="shared" si="8"/>
        <v>1.6970000000000001</v>
      </c>
      <c r="K52" s="685">
        <f t="shared" si="8"/>
        <v>1.7509999999999999</v>
      </c>
      <c r="L52" s="685">
        <f>+ROUND(L49/$E$28,3)</f>
        <v>1.7509999999999999</v>
      </c>
      <c r="M52" s="685">
        <f>+ROUND(M49/$E$28,3)</f>
        <v>1.7509999999999999</v>
      </c>
      <c r="N52" s="685">
        <f>+ROUND(N49/$E$28,3)</f>
        <v>1.853</v>
      </c>
      <c r="O52" s="685">
        <f>+ROUND(O49/$E$28,3)</f>
        <v>1.86</v>
      </c>
      <c r="P52" s="686">
        <f>+ROUND(P49/$E$28,3)</f>
        <v>1.86</v>
      </c>
    </row>
    <row r="53" spans="2:16" ht="16.5" hidden="1" thickBot="1">
      <c r="B53" s="2636" t="s">
        <v>806</v>
      </c>
      <c r="C53" s="2637"/>
      <c r="D53" s="2638"/>
      <c r="E53" s="135">
        <f t="shared" ref="E53:L53" si="9">+ROUND((E51*0.5+E52*0.5)*100,2)</f>
        <v>136.30000000000001</v>
      </c>
      <c r="F53" s="135">
        <f t="shared" si="9"/>
        <v>136.85</v>
      </c>
      <c r="G53" s="135">
        <f t="shared" si="9"/>
        <v>137.4</v>
      </c>
      <c r="H53" s="135">
        <f t="shared" si="9"/>
        <v>138.4</v>
      </c>
      <c r="I53" s="135">
        <f t="shared" si="9"/>
        <v>144.1</v>
      </c>
      <c r="J53" s="135">
        <f t="shared" si="9"/>
        <v>143.94999999999999</v>
      </c>
      <c r="K53" s="1245">
        <f t="shared" si="9"/>
        <v>146.1</v>
      </c>
      <c r="L53" s="1245">
        <f t="shared" si="9"/>
        <v>146.19999999999999</v>
      </c>
      <c r="M53" s="1245">
        <f>+ROUND((M51*0.5+M52*0.5)*100,2)</f>
        <v>146.69999999999999</v>
      </c>
      <c r="N53" s="1245">
        <f>+ROUND((N51*0.5+N52*0.5)*100,2)</f>
        <v>152.1</v>
      </c>
      <c r="O53" s="1245">
        <f>+ROUND((O51*0.5+O52*0.5)*100,2)</f>
        <v>156.69999999999999</v>
      </c>
      <c r="P53" s="1275">
        <f>+ROUND((P51*0.5+P52*0.5)*100,2)</f>
        <v>155.44999999999999</v>
      </c>
    </row>
    <row r="54" spans="2:16" ht="15.75" hidden="1" thickBot="1"/>
    <row r="55" spans="2:16" ht="12" hidden="1" customHeight="1">
      <c r="B55" s="2623" t="s">
        <v>673</v>
      </c>
      <c r="C55" s="2628" t="s">
        <v>656</v>
      </c>
      <c r="D55" s="2629"/>
      <c r="E55" s="2619">
        <v>38718</v>
      </c>
      <c r="F55" s="2619">
        <v>38749</v>
      </c>
      <c r="G55" s="2619">
        <v>38777</v>
      </c>
      <c r="H55" s="2619">
        <v>38808</v>
      </c>
      <c r="I55" s="2619">
        <v>38838</v>
      </c>
      <c r="J55" s="2619">
        <v>38869</v>
      </c>
      <c r="K55" s="2619">
        <v>38899</v>
      </c>
      <c r="L55" s="2619">
        <v>38930</v>
      </c>
      <c r="M55" s="2619">
        <v>38961</v>
      </c>
      <c r="N55" s="2619">
        <v>38991</v>
      </c>
      <c r="O55" s="2619">
        <v>39022</v>
      </c>
      <c r="P55" s="2617">
        <v>39052</v>
      </c>
    </row>
    <row r="56" spans="2:16" ht="12.75" hidden="1">
      <c r="B56" s="2624"/>
      <c r="C56" s="2631"/>
      <c r="D56" s="2871"/>
      <c r="E56" s="2620"/>
      <c r="F56" s="2620"/>
      <c r="G56" s="2620"/>
      <c r="H56" s="2620"/>
      <c r="I56" s="2620"/>
      <c r="J56" s="2620"/>
      <c r="K56" s="2620"/>
      <c r="L56" s="2620"/>
      <c r="M56" s="2620"/>
      <c r="N56" s="2620"/>
      <c r="O56" s="2620"/>
      <c r="P56" s="2618"/>
    </row>
    <row r="57" spans="2:16" ht="3.75" hidden="1" customHeight="1" thickBot="1">
      <c r="B57" s="2625"/>
      <c r="C57" s="2761"/>
      <c r="D57" s="2872"/>
      <c r="E57" s="2870"/>
      <c r="F57" s="2870"/>
      <c r="G57" s="2870"/>
      <c r="H57" s="2870"/>
      <c r="I57" s="2870"/>
      <c r="J57" s="2870"/>
      <c r="K57" s="2870"/>
      <c r="L57" s="2870"/>
      <c r="M57" s="2870"/>
      <c r="N57" s="2870"/>
      <c r="O57" s="2870"/>
      <c r="P57" s="2868"/>
    </row>
    <row r="58" spans="2:16" ht="15.75" hidden="1">
      <c r="B58" s="366" t="s">
        <v>486</v>
      </c>
      <c r="C58" s="2672" t="str">
        <f>+C48</f>
        <v>46112-1 IPIB mdd</v>
      </c>
      <c r="D58" s="2672"/>
      <c r="E58" s="567">
        <v>229.923</v>
      </c>
      <c r="F58" s="567">
        <v>232.88</v>
      </c>
      <c r="G58" s="421">
        <v>234.58</v>
      </c>
      <c r="H58" s="567">
        <v>230.09</v>
      </c>
      <c r="I58" s="567">
        <v>247.18</v>
      </c>
      <c r="J58" s="567">
        <v>257.05</v>
      </c>
      <c r="K58" s="567">
        <v>263.05</v>
      </c>
      <c r="L58" s="567">
        <v>265.79000000000002</v>
      </c>
      <c r="M58" s="567">
        <v>265.44</v>
      </c>
      <c r="N58" s="567">
        <v>265.48</v>
      </c>
      <c r="O58" s="567">
        <v>266.47000000000003</v>
      </c>
      <c r="P58" s="574">
        <v>268</v>
      </c>
    </row>
    <row r="59" spans="2:16" ht="16.5" hidden="1" thickBot="1">
      <c r="B59" s="369" t="s">
        <v>804</v>
      </c>
      <c r="C59" s="2661">
        <f>+C49</f>
        <v>99</v>
      </c>
      <c r="D59" s="2661"/>
      <c r="E59" s="448">
        <f>+'TABLA FINAL '!BH119</f>
        <v>282.25</v>
      </c>
      <c r="F59" s="448">
        <f>+'TABLA FINAL '!BI119</f>
        <v>290.81</v>
      </c>
      <c r="G59" s="448">
        <f>+'TABLA FINAL '!BJ119</f>
        <v>282.25</v>
      </c>
      <c r="H59" s="448">
        <f>+'TABLA FINAL '!BK119</f>
        <v>290.81</v>
      </c>
      <c r="I59" s="448">
        <f>+'TABLA FINAL '!BL119</f>
        <v>300.06</v>
      </c>
      <c r="J59" s="448">
        <f>+'TABLA FINAL '!BM119</f>
        <v>300.06</v>
      </c>
      <c r="K59" s="448">
        <f>+'TABLA FINAL '!BN119</f>
        <v>318.93</v>
      </c>
      <c r="L59" s="448">
        <f>+'TABLA FINAL '!BO119</f>
        <v>318.93</v>
      </c>
      <c r="M59" s="448">
        <f>+'TABLA FINAL '!BP119</f>
        <v>318.93</v>
      </c>
      <c r="N59" s="448">
        <f>+'TABLA FINAL '!BQ119</f>
        <v>318.93</v>
      </c>
      <c r="O59" s="448">
        <f>+'TABLA FINAL '!BR119</f>
        <v>318.93</v>
      </c>
      <c r="P59" s="131">
        <f>+'TABLA FINAL '!BS119</f>
        <v>318.93</v>
      </c>
    </row>
    <row r="60" spans="2:16" ht="16.5" hidden="1" thickBot="1">
      <c r="B60" s="369"/>
      <c r="C60" s="132"/>
      <c r="D60" s="132"/>
    </row>
    <row r="61" spans="2:16" ht="15.75" hidden="1">
      <c r="B61" s="2623" t="s">
        <v>675</v>
      </c>
      <c r="C61" s="2659" t="s">
        <v>805</v>
      </c>
      <c r="D61" s="2866"/>
      <c r="E61" s="516">
        <f t="shared" ref="E61:J61" si="10">+ROUND(E58/$E$27,3)</f>
        <v>1.268</v>
      </c>
      <c r="F61" s="516">
        <f t="shared" si="10"/>
        <v>1.284</v>
      </c>
      <c r="G61" s="516">
        <f t="shared" si="10"/>
        <v>1.2929999999999999</v>
      </c>
      <c r="H61" s="516">
        <f t="shared" si="10"/>
        <v>1.2689999999999999</v>
      </c>
      <c r="I61" s="516">
        <f t="shared" si="10"/>
        <v>1.363</v>
      </c>
      <c r="J61" s="516">
        <f t="shared" si="10"/>
        <v>1.417</v>
      </c>
      <c r="K61" s="516">
        <f t="shared" ref="K61:P61" si="11">+ROUND(K58/$E$27,3)</f>
        <v>1.45</v>
      </c>
      <c r="L61" s="516">
        <f t="shared" si="11"/>
        <v>1.4650000000000001</v>
      </c>
      <c r="M61" s="516">
        <f t="shared" si="11"/>
        <v>1.464</v>
      </c>
      <c r="N61" s="516">
        <f t="shared" si="11"/>
        <v>1.464</v>
      </c>
      <c r="O61" s="516">
        <f t="shared" si="11"/>
        <v>1.4690000000000001</v>
      </c>
      <c r="P61" s="133">
        <f t="shared" si="11"/>
        <v>1.478</v>
      </c>
    </row>
    <row r="62" spans="2:16" ht="16.5" hidden="1" thickBot="1">
      <c r="B62" s="2625"/>
      <c r="C62" s="2642" t="s">
        <v>796</v>
      </c>
      <c r="D62" s="2867"/>
      <c r="E62" s="685">
        <f t="shared" ref="E62:J62" si="12">+ROUND(E59/$E$28,3)</f>
        <v>1.7989999999999999</v>
      </c>
      <c r="F62" s="685">
        <f t="shared" si="12"/>
        <v>1.853</v>
      </c>
      <c r="G62" s="685">
        <f t="shared" si="12"/>
        <v>1.7989999999999999</v>
      </c>
      <c r="H62" s="685">
        <f t="shared" si="12"/>
        <v>1.853</v>
      </c>
      <c r="I62" s="685">
        <f t="shared" si="12"/>
        <v>1.9119999999999999</v>
      </c>
      <c r="J62" s="685">
        <f t="shared" si="12"/>
        <v>1.9119999999999999</v>
      </c>
      <c r="K62" s="685">
        <f t="shared" ref="K62:P62" si="13">+ROUND(K59/$E$28,3)</f>
        <v>2.0329999999999999</v>
      </c>
      <c r="L62" s="685">
        <f t="shared" si="13"/>
        <v>2.0329999999999999</v>
      </c>
      <c r="M62" s="685">
        <f t="shared" si="13"/>
        <v>2.0329999999999999</v>
      </c>
      <c r="N62" s="685">
        <f t="shared" si="13"/>
        <v>2.0329999999999999</v>
      </c>
      <c r="O62" s="685">
        <f t="shared" si="13"/>
        <v>2.0329999999999999</v>
      </c>
      <c r="P62" s="686">
        <f t="shared" si="13"/>
        <v>2.0329999999999999</v>
      </c>
    </row>
    <row r="63" spans="2:16" ht="16.5" hidden="1" thickBot="1">
      <c r="B63" s="2636" t="s">
        <v>806</v>
      </c>
      <c r="C63" s="2637"/>
      <c r="D63" s="2638"/>
      <c r="E63" s="1245">
        <f t="shared" ref="E63:P63" si="14">+ROUND((E61*0.5+E62*0.5)*100,2)</f>
        <v>153.35</v>
      </c>
      <c r="F63" s="1245">
        <f t="shared" si="14"/>
        <v>156.85</v>
      </c>
      <c r="G63" s="1245">
        <f t="shared" si="14"/>
        <v>154.6</v>
      </c>
      <c r="H63" s="1245">
        <f t="shared" si="14"/>
        <v>156.1</v>
      </c>
      <c r="I63" s="1245">
        <f t="shared" si="14"/>
        <v>163.75</v>
      </c>
      <c r="J63" s="1245">
        <f t="shared" si="14"/>
        <v>166.45</v>
      </c>
      <c r="K63" s="1245">
        <f t="shared" si="14"/>
        <v>174.15</v>
      </c>
      <c r="L63" s="1245">
        <f t="shared" si="14"/>
        <v>174.9</v>
      </c>
      <c r="M63" s="1245">
        <f t="shared" si="14"/>
        <v>174.85</v>
      </c>
      <c r="N63" s="1245">
        <f t="shared" si="14"/>
        <v>174.85</v>
      </c>
      <c r="O63" s="1245">
        <f t="shared" si="14"/>
        <v>175.1</v>
      </c>
      <c r="P63" s="1275">
        <f t="shared" si="14"/>
        <v>175.55</v>
      </c>
    </row>
    <row r="64" spans="2:16" ht="15.75" hidden="1" thickBot="1"/>
    <row r="65" spans="2:16" ht="0.75" hidden="1" customHeight="1">
      <c r="B65" s="2623" t="s">
        <v>673</v>
      </c>
      <c r="C65" s="2628" t="s">
        <v>656</v>
      </c>
      <c r="D65" s="2629"/>
      <c r="E65" s="2619">
        <v>39083</v>
      </c>
      <c r="F65" s="2619">
        <v>39114</v>
      </c>
      <c r="G65" s="2619">
        <v>39142</v>
      </c>
      <c r="H65" s="2619">
        <v>39173</v>
      </c>
      <c r="I65" s="2619">
        <v>39203</v>
      </c>
      <c r="J65" s="2619">
        <v>39234</v>
      </c>
      <c r="K65" s="2619">
        <v>39264</v>
      </c>
      <c r="L65" s="2619">
        <v>39295</v>
      </c>
      <c r="M65" s="2619">
        <v>39326</v>
      </c>
      <c r="N65" s="2619">
        <v>39356</v>
      </c>
      <c r="O65" s="2619">
        <v>39387</v>
      </c>
      <c r="P65" s="2617">
        <v>39417</v>
      </c>
    </row>
    <row r="66" spans="2:16" ht="12.75" hidden="1">
      <c r="B66" s="2624"/>
      <c r="C66" s="2631"/>
      <c r="D66" s="2871"/>
      <c r="E66" s="2620"/>
      <c r="F66" s="2620"/>
      <c r="G66" s="2620"/>
      <c r="H66" s="2620"/>
      <c r="I66" s="2620"/>
      <c r="J66" s="2620"/>
      <c r="K66" s="2620"/>
      <c r="L66" s="2620"/>
      <c r="M66" s="2620"/>
      <c r="N66" s="2620"/>
      <c r="O66" s="2620"/>
      <c r="P66" s="2618"/>
    </row>
    <row r="67" spans="2:16" ht="4.5" hidden="1" customHeight="1" thickBot="1">
      <c r="B67" s="2625"/>
      <c r="C67" s="2761"/>
      <c r="D67" s="2872"/>
      <c r="E67" s="2870"/>
      <c r="F67" s="2870"/>
      <c r="G67" s="2870"/>
      <c r="H67" s="2870"/>
      <c r="I67" s="2870"/>
      <c r="J67" s="2870"/>
      <c r="K67" s="2870"/>
      <c r="L67" s="2870"/>
      <c r="M67" s="2870"/>
      <c r="N67" s="2870"/>
      <c r="O67" s="2870"/>
      <c r="P67" s="2868"/>
    </row>
    <row r="68" spans="2:16" ht="15.75" hidden="1">
      <c r="B68" s="366" t="s">
        <v>486</v>
      </c>
      <c r="C68" s="2672" t="str">
        <f>+C58</f>
        <v>46112-1 IPIB mdd</v>
      </c>
      <c r="D68" s="2672"/>
      <c r="E68" s="567">
        <v>268</v>
      </c>
      <c r="F68" s="567">
        <v>269.58</v>
      </c>
      <c r="G68" s="421">
        <v>273.39999999999998</v>
      </c>
      <c r="H68" s="567">
        <v>279.58</v>
      </c>
      <c r="I68" s="567">
        <v>289.04000000000002</v>
      </c>
      <c r="J68" s="567">
        <v>293.27999999999997</v>
      </c>
      <c r="K68" s="567">
        <v>303.69</v>
      </c>
      <c r="L68" s="567">
        <v>299.27</v>
      </c>
      <c r="M68" s="567">
        <v>300.7</v>
      </c>
      <c r="N68" s="567">
        <v>305.18</v>
      </c>
      <c r="O68" s="567">
        <v>310.83999999999997</v>
      </c>
      <c r="P68" s="574">
        <v>311.33</v>
      </c>
    </row>
    <row r="69" spans="2:16" ht="16.5" hidden="1" thickBot="1">
      <c r="B69" s="369" t="s">
        <v>804</v>
      </c>
      <c r="C69" s="2661">
        <f>+C59</f>
        <v>99</v>
      </c>
      <c r="D69" s="2661"/>
      <c r="E69" s="448">
        <f>+'TABLA FINAL '!BT119</f>
        <v>318.93</v>
      </c>
      <c r="F69" s="448">
        <f>+'TABLA FINAL '!BU119</f>
        <v>338.3</v>
      </c>
      <c r="G69" s="448">
        <f>+'TABLA FINAL '!BV119</f>
        <v>338.3</v>
      </c>
      <c r="H69" s="448">
        <f>+'TABLA FINAL '!BW119</f>
        <v>369.67</v>
      </c>
      <c r="I69" s="448">
        <f>+'TABLA FINAL '!BX119</f>
        <v>384.45</v>
      </c>
      <c r="J69" s="448">
        <f>+'TABLA FINAL '!BY119</f>
        <v>384.45</v>
      </c>
      <c r="K69" s="448">
        <f>+'TABLA FINAL '!BZ119</f>
        <v>392.98</v>
      </c>
      <c r="L69" s="448">
        <f>+'TABLA FINAL '!CA119</f>
        <v>402.6</v>
      </c>
      <c r="M69" s="448">
        <f>+'TABLA FINAL '!CB119</f>
        <v>402.6</v>
      </c>
      <c r="N69" s="448">
        <f>+'TABLA FINAL '!CC119</f>
        <v>402.6</v>
      </c>
      <c r="O69" s="448">
        <f>+'TABLA FINAL '!CD119</f>
        <v>402.6</v>
      </c>
      <c r="P69" s="131">
        <f>+'TABLA FINAL '!CE119</f>
        <v>407.16</v>
      </c>
    </row>
    <row r="70" spans="2:16" ht="16.5" hidden="1" thickBot="1">
      <c r="B70" s="375"/>
      <c r="C70" s="132"/>
      <c r="D70" s="132"/>
    </row>
    <row r="71" spans="2:16" ht="15.75" hidden="1">
      <c r="B71" s="2623" t="s">
        <v>675</v>
      </c>
      <c r="C71" s="2659" t="s">
        <v>805</v>
      </c>
      <c r="D71" s="2866"/>
      <c r="E71" s="516">
        <f t="shared" ref="E71:P71" si="15">+ROUND(E68/$E$27,3)</f>
        <v>1.478</v>
      </c>
      <c r="F71" s="516">
        <f t="shared" si="15"/>
        <v>1.486</v>
      </c>
      <c r="G71" s="516">
        <f t="shared" si="15"/>
        <v>1.5069999999999999</v>
      </c>
      <c r="H71" s="516">
        <f t="shared" si="15"/>
        <v>1.5409999999999999</v>
      </c>
      <c r="I71" s="516">
        <f t="shared" si="15"/>
        <v>1.5940000000000001</v>
      </c>
      <c r="J71" s="516">
        <f t="shared" si="15"/>
        <v>1.617</v>
      </c>
      <c r="K71" s="516">
        <f t="shared" si="15"/>
        <v>1.6739999999999999</v>
      </c>
      <c r="L71" s="516">
        <f>+ROUND(L68/$E$27,3)</f>
        <v>1.65</v>
      </c>
      <c r="M71" s="516">
        <f>+ROUND(M68/$E$27,3)</f>
        <v>1.6579999999999999</v>
      </c>
      <c r="N71" s="516">
        <f t="shared" si="15"/>
        <v>1.6830000000000001</v>
      </c>
      <c r="O71" s="516">
        <f t="shared" si="15"/>
        <v>1.714</v>
      </c>
      <c r="P71" s="133">
        <f t="shared" si="15"/>
        <v>1.7170000000000001</v>
      </c>
    </row>
    <row r="72" spans="2:16" ht="16.5" hidden="1" thickBot="1">
      <c r="B72" s="2625"/>
      <c r="C72" s="2642" t="s">
        <v>796</v>
      </c>
      <c r="D72" s="2867"/>
      <c r="E72" s="685">
        <f t="shared" ref="E72:P72" si="16">+ROUND(E69/$E$28,3)</f>
        <v>2.0329999999999999</v>
      </c>
      <c r="F72" s="685">
        <f t="shared" si="16"/>
        <v>2.1560000000000001</v>
      </c>
      <c r="G72" s="685">
        <f t="shared" si="16"/>
        <v>2.1560000000000001</v>
      </c>
      <c r="H72" s="685">
        <f t="shared" si="16"/>
        <v>2.3559999999999999</v>
      </c>
      <c r="I72" s="685">
        <f t="shared" si="16"/>
        <v>2.4500000000000002</v>
      </c>
      <c r="J72" s="685">
        <f t="shared" si="16"/>
        <v>2.4500000000000002</v>
      </c>
      <c r="K72" s="685">
        <f t="shared" si="16"/>
        <v>2.504</v>
      </c>
      <c r="L72" s="685">
        <f>+ROUND(L69/$E$28,3)</f>
        <v>2.5659999999999998</v>
      </c>
      <c r="M72" s="685">
        <f>+ROUND(M69/$E$28,3)</f>
        <v>2.5659999999999998</v>
      </c>
      <c r="N72" s="685">
        <f t="shared" si="16"/>
        <v>2.5659999999999998</v>
      </c>
      <c r="O72" s="685">
        <f t="shared" si="16"/>
        <v>2.5659999999999998</v>
      </c>
      <c r="P72" s="686">
        <f t="shared" si="16"/>
        <v>2.5950000000000002</v>
      </c>
    </row>
    <row r="73" spans="2:16" ht="16.5" hidden="1" thickBot="1">
      <c r="B73" s="2636" t="s">
        <v>806</v>
      </c>
      <c r="C73" s="2637"/>
      <c r="D73" s="2638"/>
      <c r="E73" s="1245">
        <f t="shared" ref="E73:P73" si="17">+ROUND((E71*0.5+E72*0.5)*100,2)</f>
        <v>175.55</v>
      </c>
      <c r="F73" s="1245">
        <f t="shared" si="17"/>
        <v>182.1</v>
      </c>
      <c r="G73" s="1245">
        <f t="shared" si="17"/>
        <v>183.15</v>
      </c>
      <c r="H73" s="1245">
        <f t="shared" si="17"/>
        <v>194.85</v>
      </c>
      <c r="I73" s="1245">
        <f t="shared" si="17"/>
        <v>202.2</v>
      </c>
      <c r="J73" s="1245">
        <f t="shared" si="17"/>
        <v>203.35</v>
      </c>
      <c r="K73" s="1245">
        <f t="shared" si="17"/>
        <v>208.9</v>
      </c>
      <c r="L73" s="1245">
        <f t="shared" si="17"/>
        <v>210.8</v>
      </c>
      <c r="M73" s="1245">
        <f t="shared" si="17"/>
        <v>211.2</v>
      </c>
      <c r="N73" s="1245">
        <f t="shared" si="17"/>
        <v>212.45</v>
      </c>
      <c r="O73" s="1245">
        <f t="shared" si="17"/>
        <v>214</v>
      </c>
      <c r="P73" s="1275">
        <f t="shared" si="17"/>
        <v>215.6</v>
      </c>
    </row>
    <row r="74" spans="2:16" ht="15.75" hidden="1" thickBot="1"/>
    <row r="75" spans="2:16" ht="5.25" hidden="1" customHeight="1">
      <c r="B75" s="2623" t="s">
        <v>673</v>
      </c>
      <c r="C75" s="2628" t="s">
        <v>831</v>
      </c>
      <c r="D75" s="2629"/>
      <c r="E75" s="2619">
        <v>39448</v>
      </c>
      <c r="F75" s="2619">
        <v>39479</v>
      </c>
      <c r="G75" s="2619">
        <v>39508</v>
      </c>
      <c r="H75" s="2619">
        <v>39539</v>
      </c>
      <c r="I75" s="2619">
        <v>39569</v>
      </c>
      <c r="J75" s="2619">
        <v>39600</v>
      </c>
      <c r="K75" s="2619">
        <v>39630</v>
      </c>
      <c r="L75" s="2619">
        <v>39661</v>
      </c>
      <c r="M75" s="2619">
        <v>39692</v>
      </c>
      <c r="N75" s="2619">
        <v>39722</v>
      </c>
      <c r="O75" s="2619">
        <v>39753</v>
      </c>
      <c r="P75" s="2617">
        <v>39783</v>
      </c>
    </row>
    <row r="76" spans="2:16" ht="12.75" hidden="1" customHeight="1">
      <c r="B76" s="2624"/>
      <c r="C76" s="2631"/>
      <c r="D76" s="2871"/>
      <c r="E76" s="2620"/>
      <c r="F76" s="2620"/>
      <c r="G76" s="2620"/>
      <c r="H76" s="2620"/>
      <c r="I76" s="2620"/>
      <c r="J76" s="2620"/>
      <c r="K76" s="2620"/>
      <c r="L76" s="2620"/>
      <c r="M76" s="2620"/>
      <c r="N76" s="2620"/>
      <c r="O76" s="2620"/>
      <c r="P76" s="2618"/>
    </row>
    <row r="77" spans="2:16" ht="4.5" hidden="1" customHeight="1" thickBot="1">
      <c r="B77" s="2625"/>
      <c r="C77" s="2761"/>
      <c r="D77" s="2872"/>
      <c r="E77" s="2870"/>
      <c r="F77" s="2870"/>
      <c r="G77" s="2870"/>
      <c r="H77" s="2870"/>
      <c r="I77" s="2870"/>
      <c r="J77" s="2870"/>
      <c r="K77" s="2870"/>
      <c r="L77" s="2870"/>
      <c r="M77" s="2870"/>
      <c r="N77" s="2870"/>
      <c r="O77" s="2870"/>
      <c r="P77" s="2868"/>
    </row>
    <row r="78" spans="2:16" ht="15.75" hidden="1">
      <c r="B78" s="366" t="s">
        <v>486</v>
      </c>
      <c r="C78" s="2672" t="str">
        <f>+C68</f>
        <v>46112-1 IPIB mdd</v>
      </c>
      <c r="D78" s="2672"/>
      <c r="E78" s="567">
        <v>311.27</v>
      </c>
      <c r="F78" s="567">
        <v>315.70999999999998</v>
      </c>
      <c r="G78" s="567">
        <v>315.70999999999998</v>
      </c>
      <c r="H78" s="567">
        <v>337.95</v>
      </c>
      <c r="I78" s="567">
        <v>341.63</v>
      </c>
      <c r="J78" s="567">
        <v>339.79</v>
      </c>
      <c r="K78" s="567">
        <v>354.22</v>
      </c>
      <c r="L78" s="567">
        <v>354.26</v>
      </c>
      <c r="M78" s="567">
        <v>356.24</v>
      </c>
      <c r="N78" s="567">
        <v>360.56</v>
      </c>
      <c r="O78" s="567">
        <v>371.91</v>
      </c>
      <c r="P78" s="126">
        <v>372.94</v>
      </c>
    </row>
    <row r="79" spans="2:16" ht="16.5" hidden="1" thickBot="1">
      <c r="B79" s="369" t="s">
        <v>804</v>
      </c>
      <c r="C79" s="2661">
        <f>+C69</f>
        <v>99</v>
      </c>
      <c r="D79" s="2661"/>
      <c r="E79" s="448">
        <f>+'TABLA FINAL '!CF119</f>
        <v>419.71</v>
      </c>
      <c r="F79" s="448">
        <f>+'TABLA FINAL '!CG119</f>
        <v>430.54</v>
      </c>
      <c r="G79" s="448">
        <f>+'TABLA FINAL '!CH119</f>
        <v>430.25</v>
      </c>
      <c r="H79" s="448">
        <f>+'TABLA FINAL '!CI119</f>
        <v>443.43</v>
      </c>
      <c r="I79" s="448">
        <f>+'TABLA FINAL '!CJ119</f>
        <v>459.82</v>
      </c>
      <c r="J79" s="448">
        <f>+'TABLA FINAL '!CK119</f>
        <v>459.82</v>
      </c>
      <c r="K79" s="448">
        <f>+'TABLA FINAL '!CL119</f>
        <v>459.82</v>
      </c>
      <c r="L79" s="448">
        <f>+'TABLA FINAL '!CM119</f>
        <v>470.8</v>
      </c>
      <c r="M79" s="448">
        <f>+'TABLA FINAL '!CN119</f>
        <v>470.8</v>
      </c>
      <c r="N79" s="448">
        <f>+'TABLA FINAL '!CO119</f>
        <v>470.8</v>
      </c>
      <c r="O79" s="448">
        <f>+'TABLA FINAL '!CP119</f>
        <v>470.8</v>
      </c>
      <c r="P79" s="131">
        <f>+'TABLA FINAL '!CQ119</f>
        <v>452.5</v>
      </c>
    </row>
    <row r="80" spans="2:16" ht="9.75" hidden="1" customHeight="1" thickBot="1">
      <c r="B80" s="375"/>
      <c r="C80" s="132"/>
      <c r="D80" s="132"/>
      <c r="P80" s="1276"/>
    </row>
    <row r="81" spans="2:16" ht="15.75" hidden="1">
      <c r="B81" s="2623" t="s">
        <v>675</v>
      </c>
      <c r="C81" s="2659" t="s">
        <v>805</v>
      </c>
      <c r="D81" s="2866"/>
      <c r="E81" s="516">
        <f>+ROUND(E78/$E$27,3)</f>
        <v>1.716</v>
      </c>
      <c r="F81" s="516">
        <f t="shared" ref="F81:P81" si="18">+ROUND(F78/$E$27,3)</f>
        <v>1.7410000000000001</v>
      </c>
      <c r="G81" s="516">
        <f>+ROUND(G78/$E$27,3)</f>
        <v>1.7410000000000001</v>
      </c>
      <c r="H81" s="516">
        <f>+ROUND(H78/$E$27,3)</f>
        <v>1.863</v>
      </c>
      <c r="I81" s="516">
        <f t="shared" si="18"/>
        <v>1.8839999999999999</v>
      </c>
      <c r="J81" s="516">
        <f>+ROUND(J78/$E$27,3)</f>
        <v>1.873</v>
      </c>
      <c r="K81" s="516">
        <f>+ROUND(K78/$E$27,3)</f>
        <v>1.9530000000000001</v>
      </c>
      <c r="L81" s="516">
        <f>+ROUND(L78/$E$27,3)</f>
        <v>1.9530000000000001</v>
      </c>
      <c r="M81" s="516">
        <f t="shared" si="18"/>
        <v>1.964</v>
      </c>
      <c r="N81" s="516">
        <f t="shared" si="18"/>
        <v>1.988</v>
      </c>
      <c r="O81" s="516">
        <f t="shared" si="18"/>
        <v>2.0510000000000002</v>
      </c>
      <c r="P81" s="133">
        <f t="shared" si="18"/>
        <v>2.056</v>
      </c>
    </row>
    <row r="82" spans="2:16" ht="16.5" hidden="1" thickBot="1">
      <c r="B82" s="2625"/>
      <c r="C82" s="2642" t="s">
        <v>796</v>
      </c>
      <c r="D82" s="2867"/>
      <c r="E82" s="685">
        <f>+ROUND(E79/$E$28,3)</f>
        <v>2.6749999999999998</v>
      </c>
      <c r="F82" s="685">
        <f t="shared" ref="F82:P82" si="19">+ROUND(F79/$E$28,3)</f>
        <v>2.7440000000000002</v>
      </c>
      <c r="G82" s="685">
        <f>+ROUND(G79/$E$28,3)</f>
        <v>2.742</v>
      </c>
      <c r="H82" s="685">
        <f>+ROUND(H79/$E$28,3)</f>
        <v>2.8260000000000001</v>
      </c>
      <c r="I82" s="685">
        <f t="shared" si="19"/>
        <v>2.93</v>
      </c>
      <c r="J82" s="685">
        <f>+ROUND(J79/$E$28,3)</f>
        <v>2.93</v>
      </c>
      <c r="K82" s="685">
        <f>+ROUND(K79/$E$28,3)</f>
        <v>2.93</v>
      </c>
      <c r="L82" s="685">
        <f>+ROUND(L79/$E$28,3)</f>
        <v>3</v>
      </c>
      <c r="M82" s="685">
        <f t="shared" si="19"/>
        <v>3</v>
      </c>
      <c r="N82" s="685">
        <f t="shared" si="19"/>
        <v>3</v>
      </c>
      <c r="O82" s="685">
        <f t="shared" si="19"/>
        <v>3</v>
      </c>
      <c r="P82" s="686">
        <f t="shared" si="19"/>
        <v>2.8839999999999999</v>
      </c>
    </row>
    <row r="83" spans="2:16" ht="16.5" hidden="1" thickBot="1">
      <c r="B83" s="2636" t="s">
        <v>806</v>
      </c>
      <c r="C83" s="2637"/>
      <c r="D83" s="2638"/>
      <c r="E83" s="1245">
        <f t="shared" ref="E83:P83" si="20">+ROUND((E81*0.5+E82*0.5)*100,2)</f>
        <v>219.55</v>
      </c>
      <c r="F83" s="135">
        <f t="shared" si="20"/>
        <v>224.25</v>
      </c>
      <c r="G83" s="135">
        <f t="shared" si="20"/>
        <v>224.15</v>
      </c>
      <c r="H83" s="135">
        <f t="shared" si="20"/>
        <v>234.45</v>
      </c>
      <c r="I83" s="135">
        <f t="shared" si="20"/>
        <v>240.7</v>
      </c>
      <c r="J83" s="135">
        <f t="shared" si="20"/>
        <v>240.15</v>
      </c>
      <c r="K83" s="135">
        <f t="shared" si="20"/>
        <v>244.15</v>
      </c>
      <c r="L83" s="1245">
        <f t="shared" si="20"/>
        <v>247.65</v>
      </c>
      <c r="M83" s="135">
        <f t="shared" si="20"/>
        <v>248.2</v>
      </c>
      <c r="N83" s="135">
        <f t="shared" si="20"/>
        <v>249.4</v>
      </c>
      <c r="O83" s="135">
        <f t="shared" si="20"/>
        <v>252.55</v>
      </c>
      <c r="P83" s="136">
        <f t="shared" si="20"/>
        <v>247</v>
      </c>
    </row>
    <row r="84" spans="2:16" ht="15.75" hidden="1" thickBot="1">
      <c r="P84" s="1276"/>
    </row>
    <row r="85" spans="2:16" ht="3.75" hidden="1" customHeight="1">
      <c r="B85" s="2623" t="s">
        <v>673</v>
      </c>
      <c r="C85" s="2628" t="s">
        <v>831</v>
      </c>
      <c r="D85" s="2629"/>
      <c r="E85" s="2619">
        <v>39814</v>
      </c>
      <c r="F85" s="2619">
        <v>39845</v>
      </c>
      <c r="G85" s="2619">
        <v>39873</v>
      </c>
      <c r="H85" s="2619">
        <v>39904</v>
      </c>
      <c r="I85" s="2619">
        <v>39934</v>
      </c>
      <c r="J85" s="2619">
        <v>39965</v>
      </c>
      <c r="K85" s="2619">
        <v>39995</v>
      </c>
      <c r="L85" s="2619">
        <v>40026</v>
      </c>
      <c r="M85" s="2619">
        <v>40057</v>
      </c>
      <c r="N85" s="2619">
        <v>40087</v>
      </c>
      <c r="O85" s="2619">
        <v>40118</v>
      </c>
      <c r="P85" s="2617">
        <v>40148</v>
      </c>
    </row>
    <row r="86" spans="2:16" ht="12.75" hidden="1">
      <c r="B86" s="2624"/>
      <c r="C86" s="2631"/>
      <c r="D86" s="2871"/>
      <c r="E86" s="2620"/>
      <c r="F86" s="2620"/>
      <c r="G86" s="2620"/>
      <c r="H86" s="2620"/>
      <c r="I86" s="2620"/>
      <c r="J86" s="2620"/>
      <c r="K86" s="2620"/>
      <c r="L86" s="2620"/>
      <c r="M86" s="2620"/>
      <c r="N86" s="2620"/>
      <c r="O86" s="2620"/>
      <c r="P86" s="2618"/>
    </row>
    <row r="87" spans="2:16" ht="4.5" hidden="1" customHeight="1" thickBot="1">
      <c r="B87" s="2625"/>
      <c r="C87" s="2761"/>
      <c r="D87" s="2872"/>
      <c r="E87" s="2870"/>
      <c r="F87" s="2870"/>
      <c r="G87" s="2870"/>
      <c r="H87" s="2870"/>
      <c r="I87" s="2870"/>
      <c r="J87" s="2870"/>
      <c r="K87" s="2870"/>
      <c r="L87" s="2870"/>
      <c r="M87" s="2870"/>
      <c r="N87" s="2870"/>
      <c r="O87" s="2870"/>
      <c r="P87" s="2868"/>
    </row>
    <row r="88" spans="2:16" ht="15.75" hidden="1">
      <c r="B88" s="366" t="s">
        <v>486</v>
      </c>
      <c r="C88" s="2672" t="str">
        <f>+C78</f>
        <v>46112-1 IPIB mdd</v>
      </c>
      <c r="D88" s="2672"/>
      <c r="E88" s="567">
        <v>372.94</v>
      </c>
      <c r="F88" s="567">
        <v>375.77</v>
      </c>
      <c r="G88" s="567">
        <v>372.8</v>
      </c>
      <c r="H88" s="567">
        <v>366.21</v>
      </c>
      <c r="I88" s="567">
        <v>375.42</v>
      </c>
      <c r="J88" s="567">
        <v>376.99</v>
      </c>
      <c r="K88" s="567">
        <v>379.08</v>
      </c>
      <c r="L88" s="567">
        <v>380.23</v>
      </c>
      <c r="M88" s="567">
        <v>386.86</v>
      </c>
      <c r="N88" s="567">
        <v>385.38</v>
      </c>
      <c r="O88" s="567">
        <v>390.39</v>
      </c>
      <c r="P88" s="126">
        <v>390.36</v>
      </c>
    </row>
    <row r="89" spans="2:16" ht="16.5" hidden="1" thickBot="1">
      <c r="B89" s="369" t="s">
        <v>804</v>
      </c>
      <c r="C89" s="2661">
        <f>+C79</f>
        <v>99</v>
      </c>
      <c r="D89" s="2661"/>
      <c r="E89" s="448">
        <f>+'TABLA FINAL '!CR119</f>
        <v>452.5</v>
      </c>
      <c r="F89" s="448">
        <f>+'TABLA FINAL '!CS119</f>
        <v>470.8</v>
      </c>
      <c r="G89" s="448">
        <f>+'TABLA FINAL '!CT119</f>
        <v>470.8</v>
      </c>
      <c r="H89" s="448">
        <f>+'TABLA FINAL '!CU119</f>
        <v>470.8</v>
      </c>
      <c r="I89" s="448">
        <f>+'TABLA FINAL '!CV119</f>
        <v>470.8</v>
      </c>
      <c r="J89" s="448">
        <f>+'TABLA FINAL '!CW119</f>
        <v>470.8</v>
      </c>
      <c r="K89" s="448">
        <f>+'TABLA FINAL '!CX119</f>
        <v>470.8</v>
      </c>
      <c r="L89" s="448">
        <f>+'TABLA FINAL '!CY119</f>
        <v>470.8</v>
      </c>
      <c r="M89" s="448">
        <f>+'TABLA FINAL '!CZ119</f>
        <v>492.58</v>
      </c>
      <c r="N89" s="448">
        <f>+'TABLA FINAL '!DA119</f>
        <v>492.58</v>
      </c>
      <c r="O89" s="448">
        <f>+'TABLA FINAL '!DB119</f>
        <v>501.73</v>
      </c>
      <c r="P89" s="131">
        <f>+'TABLA FINAL '!DC119</f>
        <v>502.06</v>
      </c>
    </row>
    <row r="90" spans="2:16" ht="12" hidden="1" customHeight="1" thickBot="1">
      <c r="B90" s="375"/>
      <c r="C90" s="132"/>
      <c r="D90" s="132"/>
      <c r="P90" s="1276"/>
    </row>
    <row r="91" spans="2:16" ht="15.75" hidden="1">
      <c r="B91" s="2623" t="s">
        <v>675</v>
      </c>
      <c r="C91" s="2659" t="s">
        <v>805</v>
      </c>
      <c r="D91" s="2866"/>
      <c r="E91" s="516">
        <f t="shared" ref="E91:J91" si="21">+ROUND(E88/$E$27,3)</f>
        <v>2.056</v>
      </c>
      <c r="F91" s="516">
        <f t="shared" si="21"/>
        <v>2.0720000000000001</v>
      </c>
      <c r="G91" s="516">
        <f t="shared" si="21"/>
        <v>2.0550000000000002</v>
      </c>
      <c r="H91" s="516">
        <f t="shared" si="21"/>
        <v>2.0190000000000001</v>
      </c>
      <c r="I91" s="516">
        <f t="shared" si="21"/>
        <v>2.0699999999999998</v>
      </c>
      <c r="J91" s="516">
        <f t="shared" si="21"/>
        <v>2.0790000000000002</v>
      </c>
      <c r="K91" s="516">
        <f t="shared" ref="K91:P91" si="22">+ROUND(K88/$E$27,3)</f>
        <v>2.09</v>
      </c>
      <c r="L91" s="516">
        <f t="shared" si="22"/>
        <v>2.0960000000000001</v>
      </c>
      <c r="M91" s="516">
        <f t="shared" si="22"/>
        <v>2.133</v>
      </c>
      <c r="N91" s="516">
        <f t="shared" si="22"/>
        <v>2.125</v>
      </c>
      <c r="O91" s="516">
        <f t="shared" si="22"/>
        <v>2.1520000000000001</v>
      </c>
      <c r="P91" s="133">
        <f t="shared" si="22"/>
        <v>2.1520000000000001</v>
      </c>
    </row>
    <row r="92" spans="2:16" ht="16.5" hidden="1" thickBot="1">
      <c r="B92" s="2625"/>
      <c r="C92" s="2642" t="s">
        <v>796</v>
      </c>
      <c r="D92" s="2867"/>
      <c r="E92" s="685">
        <f t="shared" ref="E92:J92" si="23">+ROUND(E89/$E$28,3)</f>
        <v>2.8839999999999999</v>
      </c>
      <c r="F92" s="685">
        <f t="shared" si="23"/>
        <v>3</v>
      </c>
      <c r="G92" s="685">
        <f t="shared" si="23"/>
        <v>3</v>
      </c>
      <c r="H92" s="685">
        <f t="shared" si="23"/>
        <v>3</v>
      </c>
      <c r="I92" s="685">
        <f t="shared" si="23"/>
        <v>3</v>
      </c>
      <c r="J92" s="685">
        <f t="shared" si="23"/>
        <v>3</v>
      </c>
      <c r="K92" s="685">
        <f t="shared" ref="K92:P92" si="24">+ROUND(K89/$E$28,3)</f>
        <v>3</v>
      </c>
      <c r="L92" s="685">
        <f t="shared" si="24"/>
        <v>3</v>
      </c>
      <c r="M92" s="685">
        <f t="shared" si="24"/>
        <v>3.1389999999999998</v>
      </c>
      <c r="N92" s="685">
        <f t="shared" si="24"/>
        <v>3.1389999999999998</v>
      </c>
      <c r="O92" s="685">
        <f t="shared" si="24"/>
        <v>3.198</v>
      </c>
      <c r="P92" s="686">
        <f t="shared" si="24"/>
        <v>3.2</v>
      </c>
    </row>
    <row r="93" spans="2:16" ht="16.5" hidden="1" thickBot="1">
      <c r="B93" s="2636" t="s">
        <v>806</v>
      </c>
      <c r="C93" s="2637"/>
      <c r="D93" s="2638"/>
      <c r="E93" s="1245">
        <f t="shared" ref="E93:P93" si="25">+ROUND((E91*0.5+E92*0.5)*100,2)</f>
        <v>247</v>
      </c>
      <c r="F93" s="1245">
        <f t="shared" si="25"/>
        <v>253.6</v>
      </c>
      <c r="G93" s="1245">
        <f t="shared" si="25"/>
        <v>252.75</v>
      </c>
      <c r="H93" s="1245">
        <f t="shared" si="25"/>
        <v>250.95</v>
      </c>
      <c r="I93" s="1245">
        <f t="shared" si="25"/>
        <v>253.5</v>
      </c>
      <c r="J93" s="1245">
        <f t="shared" si="25"/>
        <v>253.95</v>
      </c>
      <c r="K93" s="1245">
        <f t="shared" si="25"/>
        <v>254.5</v>
      </c>
      <c r="L93" s="1245">
        <f t="shared" si="25"/>
        <v>254.8</v>
      </c>
      <c r="M93" s="1245">
        <f t="shared" si="25"/>
        <v>263.60000000000002</v>
      </c>
      <c r="N93" s="1245">
        <f t="shared" si="25"/>
        <v>263.2</v>
      </c>
      <c r="O93" s="1245">
        <f t="shared" si="25"/>
        <v>267.5</v>
      </c>
      <c r="P93" s="1275">
        <f t="shared" si="25"/>
        <v>267.60000000000002</v>
      </c>
    </row>
    <row r="94" spans="2:16" ht="15.75" hidden="1" thickBot="1">
      <c r="P94" s="1276"/>
    </row>
    <row r="95" spans="2:16" ht="3.75" hidden="1" customHeight="1">
      <c r="B95" s="2623" t="s">
        <v>673</v>
      </c>
      <c r="C95" s="2628" t="s">
        <v>831</v>
      </c>
      <c r="D95" s="2629"/>
      <c r="E95" s="2619">
        <v>40179</v>
      </c>
      <c r="F95" s="2619">
        <v>40210</v>
      </c>
      <c r="G95" s="2619">
        <v>40238</v>
      </c>
      <c r="H95" s="2619">
        <v>40269</v>
      </c>
      <c r="I95" s="2619">
        <v>40299</v>
      </c>
      <c r="J95" s="2619">
        <v>40330</v>
      </c>
      <c r="K95" s="2619">
        <v>40360</v>
      </c>
      <c r="L95" s="2619">
        <v>40391</v>
      </c>
      <c r="M95" s="2619">
        <v>40422</v>
      </c>
      <c r="N95" s="2619">
        <v>40452</v>
      </c>
      <c r="O95" s="2619">
        <v>40483</v>
      </c>
      <c r="P95" s="2617">
        <v>40513</v>
      </c>
    </row>
    <row r="96" spans="2:16" ht="12.75" hidden="1" customHeight="1">
      <c r="B96" s="2624"/>
      <c r="C96" s="2631"/>
      <c r="D96" s="2871"/>
      <c r="E96" s="2620"/>
      <c r="F96" s="2620"/>
      <c r="G96" s="2620"/>
      <c r="H96" s="2620"/>
      <c r="I96" s="2620"/>
      <c r="J96" s="2620"/>
      <c r="K96" s="2620"/>
      <c r="L96" s="2620"/>
      <c r="M96" s="2620"/>
      <c r="N96" s="2620"/>
      <c r="O96" s="2620"/>
      <c r="P96" s="2618"/>
    </row>
    <row r="97" spans="2:16" ht="4.5" hidden="1" customHeight="1" thickBot="1">
      <c r="B97" s="2625"/>
      <c r="C97" s="2761"/>
      <c r="D97" s="2872"/>
      <c r="E97" s="2870"/>
      <c r="F97" s="2870"/>
      <c r="G97" s="2870"/>
      <c r="H97" s="2870"/>
      <c r="I97" s="2870"/>
      <c r="J97" s="2870"/>
      <c r="K97" s="2870"/>
      <c r="L97" s="2870"/>
      <c r="M97" s="2870"/>
      <c r="N97" s="2870"/>
      <c r="O97" s="2870"/>
      <c r="P97" s="2868"/>
    </row>
    <row r="98" spans="2:16" ht="15.75" hidden="1">
      <c r="B98" s="366" t="s">
        <v>486</v>
      </c>
      <c r="C98" s="2672" t="str">
        <f>+C88</f>
        <v>46112-1 IPIB mdd</v>
      </c>
      <c r="D98" s="2672"/>
      <c r="E98" s="567">
        <v>390.36</v>
      </c>
      <c r="F98" s="567">
        <v>372.71</v>
      </c>
      <c r="G98" s="567">
        <v>387.96</v>
      </c>
      <c r="H98" s="567">
        <v>402.13</v>
      </c>
      <c r="I98" s="567">
        <v>420.83</v>
      </c>
      <c r="J98" s="567">
        <v>422.44</v>
      </c>
      <c r="K98" s="567">
        <v>412.85</v>
      </c>
      <c r="L98" s="567">
        <v>421.04</v>
      </c>
      <c r="M98" s="567">
        <v>426.01</v>
      </c>
      <c r="N98" s="567">
        <v>425.78</v>
      </c>
      <c r="O98" s="567">
        <v>430.09</v>
      </c>
      <c r="P98" s="126">
        <v>432.64</v>
      </c>
    </row>
    <row r="99" spans="2:16" ht="16.5" hidden="1" thickBot="1">
      <c r="B99" s="369" t="s">
        <v>804</v>
      </c>
      <c r="C99" s="2661">
        <f>+C89</f>
        <v>99</v>
      </c>
      <c r="D99" s="2661"/>
      <c r="E99" s="448">
        <f>+'TABLA FINAL '!DD119</f>
        <v>517.77</v>
      </c>
      <c r="F99" s="448">
        <f>+'TABLA FINAL '!DE119</f>
        <v>518.92999999999995</v>
      </c>
      <c r="G99" s="448">
        <f>+'TABLA FINAL '!DF119</f>
        <v>521.45000000000005</v>
      </c>
      <c r="H99" s="448">
        <f>+'TABLA FINAL '!DG119</f>
        <v>521.45000000000005</v>
      </c>
      <c r="I99" s="448">
        <f>+'TABLA FINAL '!DH119</f>
        <v>528.52</v>
      </c>
      <c r="J99" s="448">
        <f>+'TABLA FINAL '!DI119</f>
        <v>531.61</v>
      </c>
      <c r="K99" s="448">
        <f>+'TABLA FINAL '!DJ119</f>
        <v>535.59</v>
      </c>
      <c r="L99" s="448">
        <f>+'TABLA FINAL '!DK119</f>
        <v>536.11</v>
      </c>
      <c r="M99" s="448">
        <f>+'TABLA FINAL '!DL119</f>
        <v>536.70000000000005</v>
      </c>
      <c r="N99" s="448">
        <f>+'TABLA FINAL  NO'!DM124</f>
        <v>536.70000000000005</v>
      </c>
      <c r="O99" s="448">
        <f>+'TABLA FINAL  NO'!DN124</f>
        <v>537.73</v>
      </c>
      <c r="P99" s="131">
        <f>+'TABLA FINAL  NO'!DO124</f>
        <v>537.73</v>
      </c>
    </row>
    <row r="100" spans="2:16" ht="12" hidden="1" customHeight="1" thickBot="1">
      <c r="B100" s="375"/>
      <c r="C100" s="132"/>
      <c r="D100" s="132"/>
      <c r="P100" s="1276"/>
    </row>
    <row r="101" spans="2:16" ht="15.75" hidden="1">
      <c r="B101" s="2623" t="s">
        <v>675</v>
      </c>
      <c r="C101" s="2659" t="s">
        <v>805</v>
      </c>
      <c r="D101" s="2866"/>
      <c r="E101" s="516">
        <f t="shared" ref="E101:P101" si="26">+ROUND(E98/$E$27,3)</f>
        <v>2.1520000000000001</v>
      </c>
      <c r="F101" s="516">
        <f>+ROUND(F98/$E$27,3)</f>
        <v>2.0550000000000002</v>
      </c>
      <c r="G101" s="516">
        <f>+ROUND(G98/$E$27,3)</f>
        <v>2.1389999999999998</v>
      </c>
      <c r="H101" s="516">
        <f t="shared" si="26"/>
        <v>2.2170000000000001</v>
      </c>
      <c r="I101" s="516">
        <f t="shared" si="26"/>
        <v>2.3199999999999998</v>
      </c>
      <c r="J101" s="516">
        <f t="shared" si="26"/>
        <v>2.3290000000000002</v>
      </c>
      <c r="K101" s="516">
        <f t="shared" si="26"/>
        <v>2.2759999999999998</v>
      </c>
      <c r="L101" s="516">
        <f t="shared" si="26"/>
        <v>2.3210000000000002</v>
      </c>
      <c r="M101" s="516">
        <f t="shared" si="26"/>
        <v>2.3490000000000002</v>
      </c>
      <c r="N101" s="516">
        <f>+ROUND(N98/$E$27,3)</f>
        <v>2.3479999999999999</v>
      </c>
      <c r="O101" s="516">
        <f t="shared" si="26"/>
        <v>2.371</v>
      </c>
      <c r="P101" s="133">
        <f t="shared" si="26"/>
        <v>2.3849999999999998</v>
      </c>
    </row>
    <row r="102" spans="2:16" ht="16.5" hidden="1" thickBot="1">
      <c r="B102" s="2625"/>
      <c r="C102" s="2642" t="s">
        <v>796</v>
      </c>
      <c r="D102" s="2867"/>
      <c r="E102" s="685">
        <f t="shared" ref="E102:P102" si="27">+ROUND(E99/$E$28,3)</f>
        <v>3.3</v>
      </c>
      <c r="F102" s="685">
        <f>+ROUND(F99/$E$28,3)</f>
        <v>3.3069999999999999</v>
      </c>
      <c r="G102" s="685">
        <f>+ROUND(G99/$E$28,3)</f>
        <v>3.323</v>
      </c>
      <c r="H102" s="685">
        <f t="shared" si="27"/>
        <v>3.323</v>
      </c>
      <c r="I102" s="685">
        <f t="shared" si="27"/>
        <v>3.3679999999999999</v>
      </c>
      <c r="J102" s="685">
        <f t="shared" si="27"/>
        <v>3.3879999999999999</v>
      </c>
      <c r="K102" s="685">
        <f t="shared" si="27"/>
        <v>3.4129999999999998</v>
      </c>
      <c r="L102" s="685">
        <f t="shared" si="27"/>
        <v>3.4169999999999998</v>
      </c>
      <c r="M102" s="685">
        <f t="shared" si="27"/>
        <v>3.42</v>
      </c>
      <c r="N102" s="685">
        <f>+ROUND(N99/$E$28,3)</f>
        <v>3.42</v>
      </c>
      <c r="O102" s="685">
        <f t="shared" si="27"/>
        <v>3.427</v>
      </c>
      <c r="P102" s="686">
        <f t="shared" si="27"/>
        <v>3.427</v>
      </c>
    </row>
    <row r="103" spans="2:16" ht="16.5" hidden="1" thickBot="1">
      <c r="B103" s="2636" t="s">
        <v>806</v>
      </c>
      <c r="C103" s="2637"/>
      <c r="D103" s="2638"/>
      <c r="E103" s="1245">
        <f t="shared" ref="E103:P103" si="28">+ROUND((E101*0.5+E102*0.5)*100,2)</f>
        <v>272.60000000000002</v>
      </c>
      <c r="F103" s="1245">
        <f t="shared" si="28"/>
        <v>268.10000000000002</v>
      </c>
      <c r="G103" s="1245">
        <f t="shared" si="28"/>
        <v>273.10000000000002</v>
      </c>
      <c r="H103" s="1245">
        <f t="shared" si="28"/>
        <v>277</v>
      </c>
      <c r="I103" s="1245">
        <f t="shared" si="28"/>
        <v>284.39999999999998</v>
      </c>
      <c r="J103" s="1245">
        <f t="shared" si="28"/>
        <v>285.85000000000002</v>
      </c>
      <c r="K103" s="1245">
        <f t="shared" si="28"/>
        <v>284.45</v>
      </c>
      <c r="L103" s="1245">
        <f t="shared" si="28"/>
        <v>286.89999999999998</v>
      </c>
      <c r="M103" s="1245">
        <f t="shared" si="28"/>
        <v>288.45</v>
      </c>
      <c r="N103" s="1245">
        <f t="shared" si="28"/>
        <v>288.39999999999998</v>
      </c>
      <c r="O103" s="1245">
        <f t="shared" si="28"/>
        <v>289.89999999999998</v>
      </c>
      <c r="P103" s="1275">
        <f t="shared" si="28"/>
        <v>290.60000000000002</v>
      </c>
    </row>
    <row r="104" spans="2:16" ht="15.75" hidden="1" thickBot="1"/>
    <row r="105" spans="2:16" ht="18.75" hidden="1" customHeight="1">
      <c r="B105" s="2623" t="s">
        <v>673</v>
      </c>
      <c r="C105" s="2628" t="s">
        <v>831</v>
      </c>
      <c r="D105" s="2629"/>
      <c r="E105" s="2619">
        <v>40544</v>
      </c>
      <c r="F105" s="2619">
        <v>40575</v>
      </c>
      <c r="G105" s="2619">
        <v>40603</v>
      </c>
      <c r="H105" s="2619">
        <v>40634</v>
      </c>
      <c r="I105" s="2619">
        <v>40664</v>
      </c>
      <c r="J105" s="2619">
        <v>40695</v>
      </c>
      <c r="K105" s="2619">
        <v>40725</v>
      </c>
      <c r="L105" s="2619">
        <v>40756</v>
      </c>
      <c r="M105" s="2619">
        <v>40787</v>
      </c>
      <c r="N105" s="2619">
        <v>40817</v>
      </c>
      <c r="O105" s="2619">
        <v>40848</v>
      </c>
      <c r="P105" s="2617">
        <v>40878</v>
      </c>
    </row>
    <row r="106" spans="2:16" ht="12.75" hidden="1" customHeight="1">
      <c r="B106" s="2624"/>
      <c r="C106" s="2631"/>
      <c r="D106" s="2871"/>
      <c r="E106" s="2620"/>
      <c r="F106" s="2620"/>
      <c r="G106" s="2620"/>
      <c r="H106" s="2620"/>
      <c r="I106" s="2620"/>
      <c r="J106" s="2620"/>
      <c r="K106" s="2620"/>
      <c r="L106" s="2620"/>
      <c r="M106" s="2620"/>
      <c r="N106" s="2620"/>
      <c r="O106" s="2620"/>
      <c r="P106" s="2618"/>
    </row>
    <row r="107" spans="2:16" ht="14.25" hidden="1" customHeight="1" thickBot="1">
      <c r="B107" s="2625"/>
      <c r="C107" s="2761"/>
      <c r="D107" s="2872"/>
      <c r="E107" s="2870"/>
      <c r="F107" s="2870"/>
      <c r="G107" s="2870"/>
      <c r="H107" s="2870"/>
      <c r="I107" s="2870"/>
      <c r="J107" s="2870"/>
      <c r="K107" s="2870"/>
      <c r="L107" s="2870"/>
      <c r="M107" s="2870"/>
      <c r="N107" s="2870"/>
      <c r="O107" s="2870"/>
      <c r="P107" s="2868"/>
    </row>
    <row r="108" spans="2:16" ht="15.75" hidden="1">
      <c r="B108" s="366" t="s">
        <v>486</v>
      </c>
      <c r="C108" s="2672" t="str">
        <f>+C98</f>
        <v>46112-1 IPIB mdd</v>
      </c>
      <c r="D108" s="2672"/>
      <c r="E108" s="567">
        <f>'TABLA FINAL  NO'!DP218</f>
        <v>433.82</v>
      </c>
      <c r="F108" s="567">
        <f>'TABLA FINAL  NO'!DQ218</f>
        <v>437.87</v>
      </c>
      <c r="G108" s="567">
        <f>'TABLA FINAL  NO'!DR218</f>
        <v>438.97</v>
      </c>
      <c r="H108" s="567">
        <f>'TABLA FINAL  NO'!DS218</f>
        <v>447.66</v>
      </c>
      <c r="I108" s="567">
        <f>'TABLA FINAL  NO'!DT218</f>
        <v>456.95</v>
      </c>
      <c r="J108" s="567">
        <f>'TABLA FINAL  NO'!DU218</f>
        <v>469.57</v>
      </c>
      <c r="K108" s="567">
        <f>'TABLA FINAL  NO'!DV218</f>
        <v>470.95</v>
      </c>
      <c r="L108" s="567">
        <f>'TABLA FINAL  NO'!DW218</f>
        <v>476.41</v>
      </c>
      <c r="M108" s="567">
        <f>'TABLA FINAL  NO'!DX218</f>
        <v>484.19</v>
      </c>
      <c r="N108" s="567">
        <f>'TABLA FINAL  NO'!DY218</f>
        <v>484.56</v>
      </c>
      <c r="O108" s="567">
        <f>'TABLA FINAL  NO'!DZ218</f>
        <v>488.6</v>
      </c>
      <c r="P108" s="574">
        <f>'TABLA FINAL  NO'!EA218</f>
        <v>497.06</v>
      </c>
    </row>
    <row r="109" spans="2:16" ht="15.75" hidden="1">
      <c r="B109" s="1241" t="s">
        <v>804</v>
      </c>
      <c r="C109" s="2668">
        <f>+C99</f>
        <v>99</v>
      </c>
      <c r="D109" s="2668"/>
      <c r="E109" s="1004">
        <f>+'TABLA FINAL  NO'!DP124</f>
        <v>537.73</v>
      </c>
      <c r="F109" s="1004">
        <f>+'TABLA FINAL  NO'!DQ124</f>
        <v>556.49</v>
      </c>
      <c r="G109" s="1004">
        <f>+'TABLA FINAL  NO'!DR124</f>
        <v>557.04</v>
      </c>
      <c r="H109" s="1004">
        <f>+'TABLA FINAL  NO'!DS124</f>
        <v>558.91999999999996</v>
      </c>
      <c r="I109" s="1004">
        <f>+'TABLA FINAL  NO'!DT124</f>
        <v>570.6</v>
      </c>
      <c r="J109" s="1004">
        <f>+'TABLA FINAL  NO'!DU124</f>
        <v>574.92999999999995</v>
      </c>
      <c r="K109" s="1004">
        <f>+'TABLA FINAL  NO'!DV124</f>
        <v>583.48</v>
      </c>
      <c r="L109" s="1004">
        <f>+'TABLA FINAL  NO'!DW124</f>
        <v>591.28</v>
      </c>
      <c r="M109" s="1004">
        <f>+'TABLA FINAL  NO'!DX124</f>
        <v>591.28</v>
      </c>
      <c r="N109" s="1004">
        <f>+'TABLA FINAL  NO'!DY124</f>
        <v>591.29</v>
      </c>
      <c r="O109" s="1004">
        <f>+'TABLA FINAL  NO'!DZ124</f>
        <v>605.39</v>
      </c>
      <c r="P109" s="995">
        <f>+'TABLA FINAL  NO'!EA124</f>
        <v>606.04</v>
      </c>
    </row>
    <row r="110" spans="2:16" ht="15.75" hidden="1">
      <c r="B110" s="2624" t="s">
        <v>675</v>
      </c>
      <c r="C110" s="2626" t="s">
        <v>805</v>
      </c>
      <c r="D110" s="2865"/>
      <c r="E110" s="391">
        <f t="shared" ref="E110:P110" si="29">+ROUND(E108/$E$27,3)</f>
        <v>2.3919999999999999</v>
      </c>
      <c r="F110" s="391">
        <f t="shared" si="29"/>
        <v>2.4140000000000001</v>
      </c>
      <c r="G110" s="391">
        <f t="shared" si="29"/>
        <v>2.42</v>
      </c>
      <c r="H110" s="391">
        <f t="shared" si="29"/>
        <v>2.468</v>
      </c>
      <c r="I110" s="391">
        <f t="shared" si="29"/>
        <v>2.5190000000000001</v>
      </c>
      <c r="J110" s="391">
        <f t="shared" si="29"/>
        <v>2.589</v>
      </c>
      <c r="K110" s="391">
        <f t="shared" si="29"/>
        <v>2.597</v>
      </c>
      <c r="L110" s="391">
        <f t="shared" si="29"/>
        <v>2.6269999999999998</v>
      </c>
      <c r="M110" s="391">
        <f t="shared" si="29"/>
        <v>2.67</v>
      </c>
      <c r="N110" s="391">
        <f t="shared" si="29"/>
        <v>2.6720000000000002</v>
      </c>
      <c r="O110" s="391">
        <f t="shared" si="29"/>
        <v>2.694</v>
      </c>
      <c r="P110" s="520">
        <f t="shared" si="29"/>
        <v>2.7410000000000001</v>
      </c>
    </row>
    <row r="111" spans="2:16" ht="16.5" hidden="1" thickBot="1">
      <c r="B111" s="2625"/>
      <c r="C111" s="2642" t="s">
        <v>796</v>
      </c>
      <c r="D111" s="2867"/>
      <c r="E111" s="685">
        <f t="shared" ref="E111:P111" si="30">+ROUND(E109/$E$28,3)</f>
        <v>3.427</v>
      </c>
      <c r="F111" s="685">
        <f t="shared" si="30"/>
        <v>3.5470000000000002</v>
      </c>
      <c r="G111" s="685">
        <f t="shared" si="30"/>
        <v>3.55</v>
      </c>
      <c r="H111" s="685">
        <f t="shared" si="30"/>
        <v>3.5619999999999998</v>
      </c>
      <c r="I111" s="685">
        <f t="shared" si="30"/>
        <v>3.6360000000000001</v>
      </c>
      <c r="J111" s="685">
        <f t="shared" si="30"/>
        <v>3.6640000000000001</v>
      </c>
      <c r="K111" s="685">
        <f t="shared" si="30"/>
        <v>3.7189999999999999</v>
      </c>
      <c r="L111" s="685">
        <f t="shared" si="30"/>
        <v>3.7679999999999998</v>
      </c>
      <c r="M111" s="685">
        <f t="shared" si="30"/>
        <v>3.7679999999999998</v>
      </c>
      <c r="N111" s="685">
        <f t="shared" si="30"/>
        <v>3.7679999999999998</v>
      </c>
      <c r="O111" s="685">
        <f t="shared" si="30"/>
        <v>3.8580000000000001</v>
      </c>
      <c r="P111" s="686">
        <f t="shared" si="30"/>
        <v>3.8620000000000001</v>
      </c>
    </row>
    <row r="112" spans="2:16" ht="16.5" hidden="1" thickBot="1">
      <c r="B112" s="2636" t="s">
        <v>806</v>
      </c>
      <c r="C112" s="2637"/>
      <c r="D112" s="2637"/>
      <c r="E112" s="1267">
        <f t="shared" ref="E112:P112" si="31">+ROUND((E110*0.5+E111*0.5)*100,2)</f>
        <v>290.95</v>
      </c>
      <c r="F112" s="1267">
        <f t="shared" si="31"/>
        <v>298.05</v>
      </c>
      <c r="G112" s="1267">
        <f t="shared" si="31"/>
        <v>298.5</v>
      </c>
      <c r="H112" s="1267">
        <f t="shared" si="31"/>
        <v>301.5</v>
      </c>
      <c r="I112" s="1267">
        <f t="shared" si="31"/>
        <v>307.75</v>
      </c>
      <c r="J112" s="1267">
        <f t="shared" si="31"/>
        <v>312.64999999999998</v>
      </c>
      <c r="K112" s="1267">
        <f t="shared" si="31"/>
        <v>315.8</v>
      </c>
      <c r="L112" s="1267">
        <f t="shared" si="31"/>
        <v>319.75</v>
      </c>
      <c r="M112" s="1267">
        <f t="shared" si="31"/>
        <v>321.89999999999998</v>
      </c>
      <c r="N112" s="1267">
        <f t="shared" si="31"/>
        <v>322</v>
      </c>
      <c r="O112" s="1267">
        <f t="shared" si="31"/>
        <v>327.60000000000002</v>
      </c>
      <c r="P112" s="1277">
        <f t="shared" si="31"/>
        <v>330.15</v>
      </c>
    </row>
    <row r="113" spans="2:16" ht="27" hidden="1" customHeight="1" thickBot="1"/>
    <row r="114" spans="2:16" ht="27" hidden="1" customHeight="1" thickBot="1">
      <c r="B114" s="1493" t="s">
        <v>673</v>
      </c>
      <c r="C114" s="2875" t="s">
        <v>831</v>
      </c>
      <c r="D114" s="2876"/>
      <c r="E114" s="1494">
        <v>40909</v>
      </c>
      <c r="F114" s="1494">
        <v>40940</v>
      </c>
      <c r="G114" s="1494">
        <v>40969</v>
      </c>
      <c r="H114" s="1494">
        <v>41000</v>
      </c>
      <c r="I114" s="1494">
        <v>41030</v>
      </c>
      <c r="J114" s="1494">
        <v>41061</v>
      </c>
      <c r="K114" s="1494">
        <v>41091</v>
      </c>
      <c r="L114" s="1494">
        <v>41122</v>
      </c>
      <c r="M114" s="1494">
        <v>41153</v>
      </c>
      <c r="N114" s="1494">
        <v>41183</v>
      </c>
      <c r="O114" s="1494">
        <v>41214</v>
      </c>
      <c r="P114" s="1495">
        <v>41244</v>
      </c>
    </row>
    <row r="115" spans="2:16" ht="15.75" hidden="1">
      <c r="B115" s="563" t="s">
        <v>486</v>
      </c>
      <c r="C115" s="2672">
        <v>611</v>
      </c>
      <c r="D115" s="2672"/>
      <c r="E115" s="565">
        <f>'TABLA FINAL  NO'!EB218</f>
        <v>500.11</v>
      </c>
      <c r="F115" s="565">
        <f>'TABLA FINAL  NO'!EC218</f>
        <v>500.14</v>
      </c>
      <c r="G115" s="565">
        <f>'TABLA FINAL  NO'!ED218</f>
        <v>502.45</v>
      </c>
      <c r="H115" s="565">
        <f>'TABLA FINAL  NO'!EE218</f>
        <v>517.23</v>
      </c>
      <c r="I115" s="565">
        <f>'TABLA FINAL  NO'!EF218</f>
        <v>518.65</v>
      </c>
      <c r="J115" s="565">
        <f>'TABLA FINAL  NO'!EG218</f>
        <v>524.22</v>
      </c>
      <c r="K115" s="565">
        <f>'TABLA FINAL  NO'!EH218</f>
        <v>528.02</v>
      </c>
      <c r="L115" s="565">
        <f>'TABLA FINAL  NO'!EI218</f>
        <v>532.4</v>
      </c>
      <c r="M115" s="565">
        <f>'TABLA FINAL  NO'!EJ218</f>
        <v>545.91999999999996</v>
      </c>
      <c r="N115" s="565">
        <f>'TABLA FINAL  NO'!EK218</f>
        <v>555.62</v>
      </c>
      <c r="O115" s="565">
        <f>'TABLA FINAL  NO'!EL218</f>
        <v>562.49</v>
      </c>
      <c r="P115" s="126">
        <f>'TABLA FINAL  NO'!EM218</f>
        <v>574.51</v>
      </c>
    </row>
    <row r="116" spans="2:16" ht="15.75" hidden="1">
      <c r="B116" s="1241" t="s">
        <v>804</v>
      </c>
      <c r="C116" s="2668">
        <f>+C109</f>
        <v>99</v>
      </c>
      <c r="D116" s="2668"/>
      <c r="E116" s="1004">
        <f>'TABLA FINAL  NO'!EB124</f>
        <v>606.08000000000004</v>
      </c>
      <c r="F116" s="1004">
        <f>'TABLA FINAL  NO'!EC124</f>
        <v>614.62</v>
      </c>
      <c r="G116" s="1004">
        <f>'TABLA FINAL  NO'!ED124</f>
        <v>614.69000000000005</v>
      </c>
      <c r="H116" s="1004">
        <f>'TABLA FINAL  NO'!EE124</f>
        <v>616.1</v>
      </c>
      <c r="I116" s="1004">
        <f>'TABLA FINAL  NO'!EF124</f>
        <v>621.03</v>
      </c>
      <c r="J116" s="1004">
        <f>'TABLA FINAL  NO'!EG124</f>
        <v>624.04</v>
      </c>
      <c r="K116" s="1004">
        <f>'TABLA FINAL  NO'!EH124</f>
        <v>626.30999999999995</v>
      </c>
      <c r="L116" s="1004">
        <f>'TABLA FINAL  NO'!EI124</f>
        <v>637.76</v>
      </c>
      <c r="M116" s="1004">
        <f>'TABLA FINAL  NO'!EJ124</f>
        <v>652.33000000000004</v>
      </c>
      <c r="N116" s="1004">
        <f>'TABLA FINAL  NO'!EK124</f>
        <v>659.07</v>
      </c>
      <c r="O116" s="1004">
        <f>'TABLA FINAL  NO'!EL124</f>
        <v>659.2</v>
      </c>
      <c r="P116" s="995">
        <f>'TABLA FINAL  NO'!EM124</f>
        <v>659.2</v>
      </c>
    </row>
    <row r="117" spans="2:16" ht="15.75" hidden="1">
      <c r="B117" s="2624" t="s">
        <v>675</v>
      </c>
      <c r="C117" s="2626" t="s">
        <v>805</v>
      </c>
      <c r="D117" s="2865"/>
      <c r="E117" s="391">
        <f t="shared" ref="E117:P117" si="32">+ROUND(E115/$E$27,3)</f>
        <v>2.7570000000000001</v>
      </c>
      <c r="F117" s="391">
        <f t="shared" si="32"/>
        <v>2.758</v>
      </c>
      <c r="G117" s="391">
        <f>+ROUND(G115/$E$27,3)</f>
        <v>2.77</v>
      </c>
      <c r="H117" s="391">
        <f>+ROUND(H115/$E$27,3)</f>
        <v>2.8519999999999999</v>
      </c>
      <c r="I117" s="391">
        <f>+ROUND(I115/$E$27,3)</f>
        <v>2.86</v>
      </c>
      <c r="J117" s="391">
        <f t="shared" si="32"/>
        <v>2.89</v>
      </c>
      <c r="K117" s="391">
        <f t="shared" si="32"/>
        <v>2.911</v>
      </c>
      <c r="L117" s="391">
        <f t="shared" si="32"/>
        <v>2.9350000000000001</v>
      </c>
      <c r="M117" s="391">
        <f>+ROUND(M115/$E$27,3)</f>
        <v>3.01</v>
      </c>
      <c r="N117" s="391">
        <f t="shared" si="32"/>
        <v>3.0630000000000002</v>
      </c>
      <c r="O117" s="391">
        <f>+ROUND(O115/$E$27,3)</f>
        <v>3.101</v>
      </c>
      <c r="P117" s="520">
        <f t="shared" si="32"/>
        <v>3.1680000000000001</v>
      </c>
    </row>
    <row r="118" spans="2:16" ht="16.5" hidden="1" thickBot="1">
      <c r="B118" s="2625"/>
      <c r="C118" s="2642" t="s">
        <v>796</v>
      </c>
      <c r="D118" s="2867"/>
      <c r="E118" s="685">
        <f t="shared" ref="E118:P118" si="33">+ROUND(E116/$E$28,3)</f>
        <v>3.863</v>
      </c>
      <c r="F118" s="685">
        <f t="shared" si="33"/>
        <v>3.9169999999999998</v>
      </c>
      <c r="G118" s="685">
        <f>+ROUND(G116/$E$28,3)</f>
        <v>3.9169999999999998</v>
      </c>
      <c r="H118" s="685">
        <f>+ROUND(H116/$E$28,3)</f>
        <v>3.9260000000000002</v>
      </c>
      <c r="I118" s="685">
        <f>+ROUND(I116/$E$28,3)</f>
        <v>3.9580000000000002</v>
      </c>
      <c r="J118" s="685">
        <f t="shared" si="33"/>
        <v>3.9769999999999999</v>
      </c>
      <c r="K118" s="685">
        <f t="shared" si="33"/>
        <v>3.992</v>
      </c>
      <c r="L118" s="685">
        <f t="shared" si="33"/>
        <v>4.0640000000000001</v>
      </c>
      <c r="M118" s="685">
        <f>+ROUND(M116/$E$28,3)</f>
        <v>4.157</v>
      </c>
      <c r="N118" s="685">
        <f t="shared" si="33"/>
        <v>4.2</v>
      </c>
      <c r="O118" s="685">
        <f>+ROUND(O116/$E$28,3)</f>
        <v>4.2009999999999996</v>
      </c>
      <c r="P118" s="686">
        <f t="shared" si="33"/>
        <v>4.2009999999999996</v>
      </c>
    </row>
    <row r="119" spans="2:16" ht="16.5" hidden="1" thickBot="1">
      <c r="B119" s="2636" t="s">
        <v>806</v>
      </c>
      <c r="C119" s="2637"/>
      <c r="D119" s="2637"/>
      <c r="E119" s="1267">
        <f t="shared" ref="E119:P119" si="34">+ROUND((E117*0.5+E118*0.5)*100,2)</f>
        <v>331</v>
      </c>
      <c r="F119" s="1267">
        <f t="shared" si="34"/>
        <v>333.75</v>
      </c>
      <c r="G119" s="1267">
        <f t="shared" si="34"/>
        <v>334.35</v>
      </c>
      <c r="H119" s="1267">
        <f t="shared" si="34"/>
        <v>338.9</v>
      </c>
      <c r="I119" s="1267">
        <f t="shared" si="34"/>
        <v>340.9</v>
      </c>
      <c r="J119" s="1267">
        <f t="shared" si="34"/>
        <v>343.35</v>
      </c>
      <c r="K119" s="1267">
        <f t="shared" si="34"/>
        <v>345.15</v>
      </c>
      <c r="L119" s="1267">
        <f t="shared" si="34"/>
        <v>349.95</v>
      </c>
      <c r="M119" s="1267">
        <f t="shared" si="34"/>
        <v>358.35</v>
      </c>
      <c r="N119" s="1267">
        <f t="shared" si="34"/>
        <v>363.15</v>
      </c>
      <c r="O119" s="1267">
        <f t="shared" si="34"/>
        <v>365.1</v>
      </c>
      <c r="P119" s="1277">
        <f t="shared" si="34"/>
        <v>368.45</v>
      </c>
    </row>
    <row r="120" spans="2:16" ht="29.25" hidden="1" customHeight="1" thickBot="1"/>
    <row r="121" spans="2:16" ht="28.5" hidden="1" customHeight="1" thickBot="1">
      <c r="B121" s="1493" t="s">
        <v>673</v>
      </c>
      <c r="C121" s="2875" t="s">
        <v>831</v>
      </c>
      <c r="D121" s="2876"/>
      <c r="E121" s="1494">
        <v>41275</v>
      </c>
      <c r="F121" s="1494">
        <v>41306</v>
      </c>
      <c r="G121" s="1494">
        <v>41334</v>
      </c>
      <c r="H121" s="1494">
        <v>41365</v>
      </c>
      <c r="I121" s="1494">
        <v>41395</v>
      </c>
      <c r="J121" s="1494">
        <v>41426</v>
      </c>
      <c r="K121" s="1494">
        <v>41456</v>
      </c>
      <c r="L121" s="1494">
        <v>41487</v>
      </c>
      <c r="M121" s="1494">
        <v>41518</v>
      </c>
      <c r="N121" s="1494">
        <v>41548</v>
      </c>
      <c r="O121" s="1494">
        <v>41579</v>
      </c>
      <c r="P121" s="1495">
        <v>41609</v>
      </c>
    </row>
    <row r="122" spans="2:16" ht="15.75" hidden="1">
      <c r="B122" s="1278" t="s">
        <v>486</v>
      </c>
      <c r="C122" s="2672">
        <v>611</v>
      </c>
      <c r="D122" s="2672"/>
      <c r="E122" s="567">
        <f>+'TABLA FINAL  NO'!EN218</f>
        <v>579.13</v>
      </c>
      <c r="F122" s="567">
        <f>+'TABLA FINAL  NO'!EO218</f>
        <v>590.95000000000005</v>
      </c>
      <c r="G122" s="567">
        <f>+'TABLA FINAL  NO'!EP218</f>
        <v>607.12</v>
      </c>
      <c r="H122" s="567">
        <f>+'TABLA FINAL  NO'!EQ218</f>
        <v>611.16</v>
      </c>
      <c r="I122" s="567">
        <f>+'TABLA FINAL  NO'!ER218</f>
        <v>613.86</v>
      </c>
      <c r="J122" s="567">
        <f>+'TABLA FINAL  NO'!ES218</f>
        <v>623.59</v>
      </c>
      <c r="K122" s="567">
        <f>+'TABLA FINAL  NO'!ET218</f>
        <v>646.02</v>
      </c>
      <c r="L122" s="567">
        <f>+'TABLA FINAL  NO'!EU218</f>
        <v>662.39</v>
      </c>
      <c r="M122" s="567">
        <f>+'TABLA FINAL  NO'!EV218</f>
        <v>645.42999999999995</v>
      </c>
      <c r="N122" s="567">
        <f>+'TABLA FINAL  NO'!EW218</f>
        <v>565.41</v>
      </c>
      <c r="O122" s="567">
        <f>+'TABLA FINAL  NO'!EX218</f>
        <v>666.03</v>
      </c>
      <c r="P122" s="126">
        <f>+'TABLA FINAL  NO'!EY218</f>
        <v>667.73</v>
      </c>
    </row>
    <row r="123" spans="2:16" ht="15.75" hidden="1">
      <c r="B123" s="1241" t="s">
        <v>804</v>
      </c>
      <c r="C123" s="2668">
        <f>C109</f>
        <v>99</v>
      </c>
      <c r="D123" s="2668"/>
      <c r="E123" s="1004">
        <f>+'TABLA FINAL  NO'!EN124</f>
        <v>660.78</v>
      </c>
      <c r="F123" s="1004">
        <f>+'TABLA FINAL  NO'!EO124</f>
        <v>668.74</v>
      </c>
      <c r="G123" s="1004">
        <f>+'TABLA FINAL  NO'!EP124</f>
        <v>674.39</v>
      </c>
      <c r="H123" s="1004">
        <f>+'TABLA FINAL  NO'!EQ124</f>
        <v>674.71</v>
      </c>
      <c r="I123" s="1004">
        <f>+'TABLA FINAL  NO'!ER124</f>
        <v>697.45</v>
      </c>
      <c r="J123" s="1004">
        <f>+'TABLA FINAL  NO'!ES124</f>
        <v>705.34</v>
      </c>
      <c r="K123" s="1004">
        <f>+'TABLA FINAL  NO'!ET124</f>
        <v>710.11</v>
      </c>
      <c r="L123" s="1004">
        <f>+'TABLA FINAL  NO'!EU124</f>
        <v>711.98</v>
      </c>
      <c r="M123" s="1004">
        <f>+'TABLA FINAL  NO'!EV124</f>
        <v>714.27</v>
      </c>
      <c r="N123" s="1004">
        <f>+'TABLA FINAL  NO'!EW124</f>
        <v>709.84</v>
      </c>
      <c r="O123" s="1004">
        <f>+'TABLA FINAL  NO'!EX124</f>
        <v>699.46</v>
      </c>
      <c r="P123" s="995">
        <f>+'TABLA FINAL  NO'!EY124</f>
        <v>699.46</v>
      </c>
    </row>
    <row r="124" spans="2:16" ht="15.75" hidden="1">
      <c r="B124" s="2624" t="s">
        <v>675</v>
      </c>
      <c r="C124" s="2626" t="s">
        <v>805</v>
      </c>
      <c r="D124" s="2865"/>
      <c r="E124" s="391">
        <f t="shared" ref="E124:O124" si="35">+ROUND(E122/$E$27,3)</f>
        <v>3.1930000000000001</v>
      </c>
      <c r="F124" s="391">
        <f t="shared" si="35"/>
        <v>3.258</v>
      </c>
      <c r="G124" s="391">
        <f>+ROUND(G122/$E$27,3)</f>
        <v>3.347</v>
      </c>
      <c r="H124" s="391">
        <f>+ROUND(H122/$E$27,3)</f>
        <v>3.37</v>
      </c>
      <c r="I124" s="391">
        <f t="shared" si="35"/>
        <v>3.3849999999999998</v>
      </c>
      <c r="J124" s="391">
        <f t="shared" si="35"/>
        <v>3.4380000000000002</v>
      </c>
      <c r="K124" s="391">
        <f t="shared" si="35"/>
        <v>3.5619999999999998</v>
      </c>
      <c r="L124" s="391">
        <f t="shared" si="35"/>
        <v>3.6520000000000001</v>
      </c>
      <c r="M124" s="391">
        <f t="shared" si="35"/>
        <v>3.5590000000000002</v>
      </c>
      <c r="N124" s="391">
        <f t="shared" si="35"/>
        <v>3.117</v>
      </c>
      <c r="O124" s="391">
        <f t="shared" si="35"/>
        <v>3.6720000000000002</v>
      </c>
      <c r="P124" s="520">
        <f>+ROUND(P122/$E$27,3)</f>
        <v>3.6819999999999999</v>
      </c>
    </row>
    <row r="125" spans="2:16" ht="16.5" hidden="1" thickBot="1">
      <c r="B125" s="2625"/>
      <c r="C125" s="2642" t="s">
        <v>796</v>
      </c>
      <c r="D125" s="2867"/>
      <c r="E125" s="685">
        <f t="shared" ref="E125:O125" si="36">+ROUND(E123/$E$28,3)</f>
        <v>4.2110000000000003</v>
      </c>
      <c r="F125" s="685">
        <f t="shared" si="36"/>
        <v>4.2619999999999996</v>
      </c>
      <c r="G125" s="685">
        <f>+ROUND(G123/$E$28,3)</f>
        <v>4.298</v>
      </c>
      <c r="H125" s="685">
        <f>+ROUND(H123/$E$28,3)</f>
        <v>4.3</v>
      </c>
      <c r="I125" s="685">
        <f t="shared" si="36"/>
        <v>4.4450000000000003</v>
      </c>
      <c r="J125" s="685">
        <f t="shared" si="36"/>
        <v>4.4950000000000001</v>
      </c>
      <c r="K125" s="685">
        <f t="shared" si="36"/>
        <v>4.5259999999999998</v>
      </c>
      <c r="L125" s="685">
        <f t="shared" si="36"/>
        <v>4.5380000000000003</v>
      </c>
      <c r="M125" s="685">
        <f t="shared" si="36"/>
        <v>4.5519999999999996</v>
      </c>
      <c r="N125" s="685">
        <f t="shared" si="36"/>
        <v>4.524</v>
      </c>
      <c r="O125" s="685">
        <f t="shared" si="36"/>
        <v>4.4580000000000002</v>
      </c>
      <c r="P125" s="686">
        <f>+ROUND(P123/$E$28,3)</f>
        <v>4.4580000000000002</v>
      </c>
    </row>
    <row r="126" spans="2:16" ht="16.5" hidden="1" thickBot="1">
      <c r="B126" s="2636" t="s">
        <v>806</v>
      </c>
      <c r="C126" s="2637"/>
      <c r="D126" s="2637"/>
      <c r="E126" s="1267">
        <f t="shared" ref="E126:P126" si="37">+ROUND((E124*0.5+E125*0.5)*100,2)</f>
        <v>370.2</v>
      </c>
      <c r="F126" s="1267">
        <f t="shared" si="37"/>
        <v>376</v>
      </c>
      <c r="G126" s="1267">
        <f t="shared" si="37"/>
        <v>382.25</v>
      </c>
      <c r="H126" s="1267">
        <f t="shared" si="37"/>
        <v>383.5</v>
      </c>
      <c r="I126" s="1267">
        <f t="shared" si="37"/>
        <v>391.5</v>
      </c>
      <c r="J126" s="1267">
        <f t="shared" si="37"/>
        <v>396.65</v>
      </c>
      <c r="K126" s="1267">
        <f t="shared" si="37"/>
        <v>404.4</v>
      </c>
      <c r="L126" s="1267">
        <f t="shared" si="37"/>
        <v>409.5</v>
      </c>
      <c r="M126" s="1267">
        <f t="shared" si="37"/>
        <v>405.55</v>
      </c>
      <c r="N126" s="1267">
        <f t="shared" si="37"/>
        <v>382.05</v>
      </c>
      <c r="O126" s="1267">
        <f t="shared" si="37"/>
        <v>406.5</v>
      </c>
      <c r="P126" s="1277">
        <f t="shared" si="37"/>
        <v>407</v>
      </c>
    </row>
    <row r="127" spans="2:16" ht="8.25" hidden="1" customHeight="1" thickBot="1"/>
    <row r="128" spans="2:16" ht="23.25" hidden="1" customHeight="1" thickBot="1">
      <c r="B128" s="1493" t="s">
        <v>673</v>
      </c>
      <c r="C128" s="2875" t="s">
        <v>831</v>
      </c>
      <c r="D128" s="2876"/>
      <c r="E128" s="1494">
        <v>41640</v>
      </c>
      <c r="F128" s="1494">
        <v>41671</v>
      </c>
      <c r="G128" s="1494">
        <v>41699</v>
      </c>
      <c r="H128" s="1494">
        <v>41730</v>
      </c>
      <c r="I128" s="1494">
        <v>41760</v>
      </c>
      <c r="J128" s="1494">
        <v>41791</v>
      </c>
      <c r="K128" s="1494">
        <v>41821</v>
      </c>
      <c r="L128" s="1494">
        <v>41852</v>
      </c>
      <c r="M128" s="1494">
        <v>41883</v>
      </c>
      <c r="N128" s="1494">
        <v>41913</v>
      </c>
      <c r="O128" s="1494">
        <v>41944</v>
      </c>
      <c r="P128" s="1495">
        <v>41974</v>
      </c>
    </row>
    <row r="129" spans="2:16" ht="15.75" hidden="1">
      <c r="B129" s="1278" t="s">
        <v>486</v>
      </c>
      <c r="C129" s="2672">
        <v>611</v>
      </c>
      <c r="D129" s="2672"/>
      <c r="E129" s="567">
        <f>+'TABLA FINAL  NO'!EZ218</f>
        <v>675.54</v>
      </c>
      <c r="F129" s="567">
        <f>+'TABLA FINAL  NO'!FA218</f>
        <v>690.35</v>
      </c>
      <c r="G129" s="567">
        <f>+'TABLA FINAL  NO'!FB218</f>
        <v>809.17</v>
      </c>
      <c r="H129" s="567">
        <f>+'TABLA FINAL  NO'!FC218</f>
        <v>823.68</v>
      </c>
      <c r="I129" s="567">
        <f>+'TABLA FINAL  NO'!FD218</f>
        <v>825.53</v>
      </c>
      <c r="J129" s="567">
        <f>+'TABLA FINAL  NO'!FE218</f>
        <v>834.58</v>
      </c>
      <c r="K129" s="567">
        <f>+'TABLA FINAL  NO'!FF218</f>
        <v>866.24</v>
      </c>
      <c r="L129" s="567">
        <f>+'TABLA FINAL  NO'!FG218</f>
        <v>883.06</v>
      </c>
      <c r="M129" s="567">
        <f>+'TABLA FINAL  NO'!FH218</f>
        <v>892.37</v>
      </c>
      <c r="N129" s="567">
        <f>+'TABLA FINAL  NO'!FI218</f>
        <v>915.7</v>
      </c>
      <c r="O129" s="567">
        <f>+'TABLA FINAL  NO'!FJ218</f>
        <v>917.73</v>
      </c>
      <c r="P129" s="1511">
        <f>+'TABLA FINAL  NO'!FK218</f>
        <v>919</v>
      </c>
    </row>
    <row r="130" spans="2:16" ht="15.75" hidden="1">
      <c r="B130" s="1241" t="s">
        <v>804</v>
      </c>
      <c r="C130" s="2668">
        <f>C116</f>
        <v>99</v>
      </c>
      <c r="D130" s="2668"/>
      <c r="E130" s="1004">
        <f>+'TABLA FINAL  NO'!EZ124</f>
        <v>699.46</v>
      </c>
      <c r="F130" s="1004">
        <f>+'TABLA FINAL  NO'!FA124</f>
        <v>703.53</v>
      </c>
      <c r="G130" s="1004">
        <f>+'TABLA FINAL  NO'!FB124</f>
        <v>745.57</v>
      </c>
      <c r="H130" s="1004">
        <f>+'TABLA FINAL  NO'!FC124</f>
        <v>758.29</v>
      </c>
      <c r="I130" s="1004">
        <f>+'TABLA FINAL  NO'!FD124</f>
        <v>759.22</v>
      </c>
      <c r="J130" s="1004">
        <f>+'TABLA FINAL  NO'!FE124</f>
        <v>781.12</v>
      </c>
      <c r="K130" s="1004">
        <f>+'TABLA FINAL  NO'!FF124</f>
        <v>788.42</v>
      </c>
      <c r="L130" s="1004">
        <f>+'TABLA FINAL  NO'!FG124</f>
        <v>827.12</v>
      </c>
      <c r="M130" s="1004">
        <f>+'TABLA FINAL  NO'!FH124</f>
        <v>829.67</v>
      </c>
      <c r="N130" s="1004">
        <f>+'TABLA FINAL  NO'!FI124</f>
        <v>833.15</v>
      </c>
      <c r="O130" s="1004">
        <f>+'TABLA FINAL  NO'!FJ124</f>
        <v>835.75</v>
      </c>
      <c r="P130" s="1512">
        <f>+'TABLA FINAL  NO'!FK124</f>
        <v>842.79</v>
      </c>
    </row>
    <row r="131" spans="2:16" ht="15.75" hidden="1">
      <c r="B131" s="2624" t="s">
        <v>675</v>
      </c>
      <c r="C131" s="2626" t="s">
        <v>805</v>
      </c>
      <c r="D131" s="2865"/>
      <c r="E131" s="521">
        <f t="shared" ref="E131:J131" si="38">+ROUND(E129/$E$27,3)</f>
        <v>3.7250000000000001</v>
      </c>
      <c r="F131" s="521">
        <f t="shared" si="38"/>
        <v>3.806</v>
      </c>
      <c r="G131" s="521">
        <f t="shared" si="38"/>
        <v>4.4610000000000003</v>
      </c>
      <c r="H131" s="521">
        <f t="shared" si="38"/>
        <v>4.5410000000000004</v>
      </c>
      <c r="I131" s="521">
        <f t="shared" si="38"/>
        <v>4.5519999999999996</v>
      </c>
      <c r="J131" s="521">
        <f t="shared" si="38"/>
        <v>4.6020000000000003</v>
      </c>
      <c r="K131" s="521">
        <f t="shared" ref="K131:P131" si="39">+ROUND(K129/$E$27,3)</f>
        <v>4.7759999999999998</v>
      </c>
      <c r="L131" s="521">
        <f t="shared" si="39"/>
        <v>4.8689999999999998</v>
      </c>
      <c r="M131" s="521">
        <f t="shared" si="39"/>
        <v>4.92</v>
      </c>
      <c r="N131" s="521">
        <f t="shared" si="39"/>
        <v>5.0490000000000004</v>
      </c>
      <c r="O131" s="521">
        <f t="shared" si="39"/>
        <v>5.0599999999999996</v>
      </c>
      <c r="P131" s="520">
        <f t="shared" si="39"/>
        <v>5.0670000000000002</v>
      </c>
    </row>
    <row r="132" spans="2:16" ht="16.5" hidden="1" thickBot="1">
      <c r="B132" s="2625"/>
      <c r="C132" s="2642" t="s">
        <v>796</v>
      </c>
      <c r="D132" s="2867"/>
      <c r="E132" s="1491">
        <f t="shared" ref="E132:J132" si="40">+ROUND(E130/$E$28,3)</f>
        <v>4.4580000000000002</v>
      </c>
      <c r="F132" s="1491">
        <f t="shared" si="40"/>
        <v>4.484</v>
      </c>
      <c r="G132" s="1491">
        <f t="shared" si="40"/>
        <v>4.7519999999999998</v>
      </c>
      <c r="H132" s="1491">
        <f t="shared" si="40"/>
        <v>4.8330000000000002</v>
      </c>
      <c r="I132" s="1491">
        <f t="shared" si="40"/>
        <v>4.8390000000000004</v>
      </c>
      <c r="J132" s="1491">
        <f t="shared" si="40"/>
        <v>4.9779999999999998</v>
      </c>
      <c r="K132" s="1491">
        <f t="shared" ref="K132:P132" si="41">+ROUND(K130/$E$28,3)</f>
        <v>5.0250000000000004</v>
      </c>
      <c r="L132" s="1491">
        <f t="shared" si="41"/>
        <v>5.2709999999999999</v>
      </c>
      <c r="M132" s="1491">
        <f t="shared" si="41"/>
        <v>5.2880000000000003</v>
      </c>
      <c r="N132" s="1491">
        <f t="shared" si="41"/>
        <v>5.31</v>
      </c>
      <c r="O132" s="1491">
        <f t="shared" si="41"/>
        <v>5.3259999999999996</v>
      </c>
      <c r="P132" s="686">
        <f t="shared" si="41"/>
        <v>5.3710000000000004</v>
      </c>
    </row>
    <row r="133" spans="2:16" ht="16.5" hidden="1" thickBot="1">
      <c r="B133" s="2636" t="s">
        <v>806</v>
      </c>
      <c r="C133" s="2637"/>
      <c r="D133" s="2637"/>
      <c r="E133" s="1492">
        <f t="shared" ref="E133:P133" si="42">+ROUND((E131*0.5+E132*0.5)*100,2)</f>
        <v>409.15</v>
      </c>
      <c r="F133" s="1267">
        <f t="shared" si="42"/>
        <v>414.5</v>
      </c>
      <c r="G133" s="1267">
        <f t="shared" si="42"/>
        <v>460.65</v>
      </c>
      <c r="H133" s="1267">
        <f t="shared" si="42"/>
        <v>468.7</v>
      </c>
      <c r="I133" s="1267">
        <f t="shared" si="42"/>
        <v>469.55</v>
      </c>
      <c r="J133" s="1267">
        <f t="shared" si="42"/>
        <v>479</v>
      </c>
      <c r="K133" s="1267">
        <f t="shared" si="42"/>
        <v>490.05</v>
      </c>
      <c r="L133" s="1267">
        <f t="shared" si="42"/>
        <v>507</v>
      </c>
      <c r="M133" s="1267">
        <f t="shared" si="42"/>
        <v>510.4</v>
      </c>
      <c r="N133" s="1267">
        <f t="shared" si="42"/>
        <v>517.95000000000005</v>
      </c>
      <c r="O133" s="1267">
        <f>+ROUND((O131*0.5+O132*0.5)*100,2)</f>
        <v>519.29999999999995</v>
      </c>
      <c r="P133" s="1510">
        <f t="shared" si="42"/>
        <v>521.9</v>
      </c>
    </row>
    <row r="134" spans="2:16" ht="15.75" hidden="1" thickBot="1"/>
    <row r="135" spans="2:16" ht="23.25" hidden="1" customHeight="1" thickBot="1">
      <c r="B135" s="1493" t="s">
        <v>673</v>
      </c>
      <c r="C135" s="2875" t="s">
        <v>831</v>
      </c>
      <c r="D135" s="2876"/>
      <c r="E135" s="1494">
        <v>42005</v>
      </c>
      <c r="F135" s="1494">
        <v>42036</v>
      </c>
      <c r="G135" s="1494">
        <v>42064</v>
      </c>
      <c r="H135" s="1494">
        <v>42095</v>
      </c>
      <c r="I135" s="1494">
        <v>42125</v>
      </c>
      <c r="J135" s="1494">
        <v>42156</v>
      </c>
      <c r="K135" s="1494">
        <v>42186</v>
      </c>
      <c r="L135" s="1494">
        <v>42217</v>
      </c>
      <c r="M135" s="1494">
        <v>42248</v>
      </c>
      <c r="N135" s="1494">
        <v>42278</v>
      </c>
      <c r="O135" s="1494">
        <v>42309</v>
      </c>
      <c r="P135" s="1495">
        <v>42339</v>
      </c>
    </row>
    <row r="136" spans="2:16" ht="15.75" hidden="1">
      <c r="B136" s="1278" t="s">
        <v>486</v>
      </c>
      <c r="C136" s="2672">
        <v>611</v>
      </c>
      <c r="D136" s="2672"/>
      <c r="E136" s="567">
        <f>+'TABLA FINAL  NO'!FL218</f>
        <v>925.82</v>
      </c>
      <c r="F136" s="567">
        <f>+'TABLA FINAL  NO'!FM218</f>
        <v>930.45</v>
      </c>
      <c r="G136" s="567">
        <f>+'TABLA FINAL  NO'!FN218</f>
        <v>947.2</v>
      </c>
      <c r="H136" s="567">
        <f>+'TABLA FINAL  NO'!FO218</f>
        <v>951.81</v>
      </c>
      <c r="I136" s="567">
        <f>+'TABLA FINAL  NO'!FP218</f>
        <v>956.64</v>
      </c>
      <c r="J136" s="567">
        <f>+'TABLA FINAL  NO'!FQ218</f>
        <v>1000.57</v>
      </c>
      <c r="K136" s="567">
        <f>+'TABLA FINAL  NO'!FR218</f>
        <v>1015.09</v>
      </c>
      <c r="L136" s="567">
        <f>+'TABLA FINAL  NO'!FS218</f>
        <v>1023.06</v>
      </c>
      <c r="M136" s="567">
        <f>+'TABLA FINAL  NO'!FT218</f>
        <v>1036.54</v>
      </c>
      <c r="N136" s="567">
        <f>+'TABLA FINAL  NO'!FU218</f>
        <v>1057.55</v>
      </c>
      <c r="O136" s="567" t="e">
        <f>+#REF!</f>
        <v>#REF!</v>
      </c>
      <c r="P136" s="126" t="e">
        <f>+#REF!</f>
        <v>#REF!</v>
      </c>
    </row>
    <row r="137" spans="2:16" ht="15.75" hidden="1">
      <c r="B137" s="1241" t="s">
        <v>804</v>
      </c>
      <c r="C137" s="2668">
        <v>99</v>
      </c>
      <c r="D137" s="2668"/>
      <c r="E137" s="1004">
        <f>+'TABLA FINAL  NO'!FL124</f>
        <v>851.86</v>
      </c>
      <c r="F137" s="1004">
        <f>+'TABLA FINAL  NO'!FM124</f>
        <v>855.18</v>
      </c>
      <c r="G137" s="1004">
        <f>+'TABLA FINAL  NO'!FN124</f>
        <v>872.58</v>
      </c>
      <c r="H137" s="1004">
        <f>+'TABLA FINAL  NO'!FO124</f>
        <v>880.61</v>
      </c>
      <c r="I137" s="1004">
        <f>+'TABLA FINAL  NO'!FP124</f>
        <v>895</v>
      </c>
      <c r="J137" s="1004">
        <f>+'TABLA FINAL  NO'!FQ124</f>
        <v>966.36</v>
      </c>
      <c r="K137" s="1004">
        <f>+'TABLA FINAL  NO'!FR124</f>
        <v>982.52</v>
      </c>
      <c r="L137" s="1004">
        <f>+'TABLA FINAL  NO'!FS124</f>
        <v>985.96</v>
      </c>
      <c r="M137" s="1004">
        <f>+'TABLA FINAL  NO'!FT124</f>
        <v>1003.87</v>
      </c>
      <c r="N137" s="1004">
        <f>+'TABLA FINAL  NO'!FU124</f>
        <v>1060.32</v>
      </c>
      <c r="O137" s="1004" t="e">
        <f>+#REF!</f>
        <v>#REF!</v>
      </c>
      <c r="P137" s="995" t="e">
        <f>+#REF!</f>
        <v>#REF!</v>
      </c>
    </row>
    <row r="138" spans="2:16" ht="15.75" hidden="1">
      <c r="B138" s="2624" t="s">
        <v>675</v>
      </c>
      <c r="C138" s="2626" t="s">
        <v>805</v>
      </c>
      <c r="D138" s="2865"/>
      <c r="E138" s="521">
        <f t="shared" ref="E138:J138" si="43">+ROUND(E136/$E$27,3)</f>
        <v>5.1050000000000004</v>
      </c>
      <c r="F138" s="521">
        <f t="shared" si="43"/>
        <v>5.13</v>
      </c>
      <c r="G138" s="521">
        <f t="shared" si="43"/>
        <v>5.2220000000000004</v>
      </c>
      <c r="H138" s="521">
        <f t="shared" si="43"/>
        <v>5.2480000000000002</v>
      </c>
      <c r="I138" s="521">
        <f t="shared" si="43"/>
        <v>5.2750000000000004</v>
      </c>
      <c r="J138" s="521">
        <f t="shared" si="43"/>
        <v>5.5170000000000003</v>
      </c>
      <c r="K138" s="521">
        <f t="shared" ref="K138:P138" si="44">+ROUND(K136/$E$27,3)</f>
        <v>5.5970000000000004</v>
      </c>
      <c r="L138" s="521">
        <f t="shared" si="44"/>
        <v>5.641</v>
      </c>
      <c r="M138" s="521">
        <f t="shared" si="44"/>
        <v>5.7149999999999999</v>
      </c>
      <c r="N138" s="521">
        <f t="shared" si="44"/>
        <v>5.8310000000000004</v>
      </c>
      <c r="O138" s="521" t="e">
        <f t="shared" si="44"/>
        <v>#REF!</v>
      </c>
      <c r="P138" s="520" t="e">
        <f t="shared" si="44"/>
        <v>#REF!</v>
      </c>
    </row>
    <row r="139" spans="2:16" ht="16.5" hidden="1" thickBot="1">
      <c r="B139" s="2625"/>
      <c r="C139" s="2642" t="s">
        <v>796</v>
      </c>
      <c r="D139" s="2867"/>
      <c r="E139" s="1491">
        <f t="shared" ref="E139:J139" si="45">+ROUND(E137/$E$28,3)</f>
        <v>5.4290000000000003</v>
      </c>
      <c r="F139" s="1491">
        <f t="shared" si="45"/>
        <v>5.45</v>
      </c>
      <c r="G139" s="1491">
        <f t="shared" si="45"/>
        <v>5.5609999999999999</v>
      </c>
      <c r="H139" s="1491">
        <f t="shared" si="45"/>
        <v>5.6120000000000001</v>
      </c>
      <c r="I139" s="1491">
        <f t="shared" si="45"/>
        <v>5.7039999999999997</v>
      </c>
      <c r="J139" s="1491">
        <f t="shared" si="45"/>
        <v>6.1589999999999998</v>
      </c>
      <c r="K139" s="1491">
        <f t="shared" ref="K139:P139" si="46">+ROUND(K137/$E$28,3)</f>
        <v>6.2619999999999996</v>
      </c>
      <c r="L139" s="1491">
        <f t="shared" si="46"/>
        <v>6.2839999999999998</v>
      </c>
      <c r="M139" s="1491">
        <f t="shared" si="46"/>
        <v>6.3979999999999997</v>
      </c>
      <c r="N139" s="1491">
        <f t="shared" si="46"/>
        <v>6.758</v>
      </c>
      <c r="O139" s="1491" t="e">
        <f t="shared" si="46"/>
        <v>#REF!</v>
      </c>
      <c r="P139" s="686" t="e">
        <f t="shared" si="46"/>
        <v>#REF!</v>
      </c>
    </row>
    <row r="140" spans="2:16" ht="8.25" hidden="1" customHeight="1" thickBot="1">
      <c r="B140" s="2636" t="s">
        <v>806</v>
      </c>
      <c r="C140" s="2637"/>
      <c r="D140" s="2637"/>
      <c r="E140" s="1492">
        <f>+ROUND((E138*0.5+E139*0.5)*100,2)</f>
        <v>526.70000000000005</v>
      </c>
      <c r="F140" s="1267">
        <f>+ROUND((F138*0.5+F139*0.5)*100,2)</f>
        <v>529</v>
      </c>
      <c r="G140" s="1267">
        <f t="shared" ref="G140:L140" si="47">+ROUND((G138*0.5+G139*0.5)*100,2)</f>
        <v>539.15</v>
      </c>
      <c r="H140" s="1267">
        <f t="shared" si="47"/>
        <v>543</v>
      </c>
      <c r="I140" s="1267">
        <f t="shared" si="47"/>
        <v>548.95000000000005</v>
      </c>
      <c r="J140" s="1267">
        <f t="shared" si="47"/>
        <v>583.79999999999995</v>
      </c>
      <c r="K140" s="1267">
        <f t="shared" si="47"/>
        <v>592.95000000000005</v>
      </c>
      <c r="L140" s="1267">
        <f t="shared" si="47"/>
        <v>596.25</v>
      </c>
      <c r="M140" s="1267">
        <f>+ROUND((M138*0.5+M139*0.5)*100,2)</f>
        <v>605.65</v>
      </c>
      <c r="N140" s="1267">
        <f>+ROUND((N138*0.5+N139*0.5)*100,2)</f>
        <v>629.45000000000005</v>
      </c>
      <c r="O140" s="1267" t="e">
        <f>+ROUND((O138*0.5+O139*0.5)*100,2)</f>
        <v>#REF!</v>
      </c>
      <c r="P140" s="1277" t="e">
        <f>+ROUND((P138*0.5+P139*0.5)*100,2)</f>
        <v>#REF!</v>
      </c>
    </row>
    <row r="141" spans="2:16" ht="15.75" thickBot="1"/>
    <row r="142" spans="2:16" ht="23.25" customHeight="1" thickBot="1">
      <c r="B142" s="1493" t="s">
        <v>673</v>
      </c>
      <c r="C142" s="2875" t="s">
        <v>831</v>
      </c>
      <c r="D142" s="2876"/>
      <c r="E142" s="1494">
        <v>42370</v>
      </c>
      <c r="F142" s="1494">
        <v>42401</v>
      </c>
      <c r="G142" s="1494">
        <v>42430</v>
      </c>
      <c r="H142" s="1494">
        <v>42461</v>
      </c>
      <c r="I142" s="1494">
        <v>42491</v>
      </c>
      <c r="J142" s="1494">
        <v>42522</v>
      </c>
      <c r="K142" s="1494">
        <v>42552</v>
      </c>
      <c r="L142" s="1494">
        <v>42583</v>
      </c>
      <c r="M142" s="1494">
        <v>42614</v>
      </c>
      <c r="N142" s="1494">
        <v>42644</v>
      </c>
      <c r="O142" s="1494">
        <v>42675</v>
      </c>
      <c r="P142" s="1495">
        <v>42705</v>
      </c>
    </row>
    <row r="143" spans="2:16" ht="15.75">
      <c r="B143" s="1278" t="s">
        <v>486</v>
      </c>
      <c r="C143" s="2672">
        <v>611</v>
      </c>
      <c r="D143" s="2672"/>
      <c r="E143" s="567">
        <f>+'Insumos testigos '!FY209</f>
        <v>100</v>
      </c>
      <c r="F143" s="567">
        <f>+'Insumos testigos '!FZ209</f>
        <v>106.27307891845703</v>
      </c>
      <c r="G143" s="567">
        <f>+'Insumos testigos '!GA209</f>
        <v>110.18439982403834</v>
      </c>
      <c r="H143" s="567">
        <f>+'Insumos testigos '!GB209</f>
        <v>113.3189503189963</v>
      </c>
      <c r="I143" s="567">
        <f>+'Insumos testigos '!GC209</f>
        <v>117.13428547976386</v>
      </c>
      <c r="J143" s="567">
        <f>+'Insumos testigos '!GD209</f>
        <v>120.07889333218552</v>
      </c>
      <c r="K143" s="567">
        <f>+'Insumos testigos '!GE209</f>
        <v>120.94894414581557</v>
      </c>
      <c r="L143" s="567">
        <f>+'Insumos testigos '!GF209</f>
        <v>123.10321629581456</v>
      </c>
      <c r="M143" s="567">
        <f>+'Insumos testigos '!GG209</f>
        <v>124.71057418890965</v>
      </c>
      <c r="N143" s="567">
        <f>+'Insumos testigos '!GH209</f>
        <v>125.17234748250993</v>
      </c>
      <c r="O143" s="567">
        <f>+'Insumos testigos '!GI209</f>
        <v>129.94413019744152</v>
      </c>
      <c r="P143" s="691">
        <f>+'Insumos testigos '!GJ209</f>
        <v>132.11059169105567</v>
      </c>
    </row>
    <row r="144" spans="2:16" ht="15.75">
      <c r="B144" s="1241" t="s">
        <v>804</v>
      </c>
      <c r="C144" s="2668">
        <v>99</v>
      </c>
      <c r="D144" s="2668"/>
      <c r="E144" s="1004">
        <f>+'Insumos testigos '!FY119</f>
        <v>100</v>
      </c>
      <c r="F144" s="1004">
        <f>+'Insumos testigos '!FZ119</f>
        <v>100</v>
      </c>
      <c r="G144" s="1004">
        <f>+'Insumos testigos '!GA119</f>
        <v>100</v>
      </c>
      <c r="H144" s="1004">
        <f>+'Insumos testigos '!GB119</f>
        <v>100</v>
      </c>
      <c r="I144" s="1004">
        <f>+'Insumos testigos '!GC119</f>
        <v>100</v>
      </c>
      <c r="J144" s="1004">
        <f>+'Insumos testigos '!GD119</f>
        <v>100</v>
      </c>
      <c r="K144" s="1004">
        <f>+'Insumos testigos '!GE119</f>
        <v>106.89622163772583</v>
      </c>
      <c r="L144" s="1004">
        <f>+'Insumos testigos '!GF119</f>
        <v>108.52525142258429</v>
      </c>
      <c r="M144" s="1004">
        <f>+'Insumos testigos '!GG119</f>
        <v>108.52525142258429</v>
      </c>
      <c r="N144" s="1004">
        <f>+'Insumos testigos '!GH119</f>
        <v>108.52525142258429</v>
      </c>
      <c r="O144" s="1004">
        <f>+'Insumos testigos '!GI119</f>
        <v>108.52525142258429</v>
      </c>
      <c r="P144" s="1030">
        <f>+'Insumos testigos '!GJ119</f>
        <v>105.5195345994522</v>
      </c>
    </row>
    <row r="145" spans="2:16" ht="15.75">
      <c r="B145" s="2624" t="s">
        <v>675</v>
      </c>
      <c r="C145" s="2626" t="s">
        <v>805</v>
      </c>
      <c r="D145" s="2865"/>
      <c r="E145" s="521">
        <v>1</v>
      </c>
      <c r="F145" s="521">
        <f>+ROUND(F143/$E$143,3)</f>
        <v>1.0629999999999999</v>
      </c>
      <c r="G145" s="521">
        <f t="shared" ref="G145:P145" si="48">+ROUND(G143/$E$143,3)</f>
        <v>1.1020000000000001</v>
      </c>
      <c r="H145" s="521">
        <f t="shared" si="48"/>
        <v>1.133</v>
      </c>
      <c r="I145" s="521">
        <f t="shared" si="48"/>
        <v>1.171</v>
      </c>
      <c r="J145" s="521">
        <f t="shared" si="48"/>
        <v>1.2010000000000001</v>
      </c>
      <c r="K145" s="521">
        <f t="shared" si="48"/>
        <v>1.2090000000000001</v>
      </c>
      <c r="L145" s="521">
        <f t="shared" si="48"/>
        <v>1.2310000000000001</v>
      </c>
      <c r="M145" s="521">
        <f t="shared" si="48"/>
        <v>1.2470000000000001</v>
      </c>
      <c r="N145" s="521">
        <f t="shared" si="48"/>
        <v>1.252</v>
      </c>
      <c r="O145" s="521">
        <f t="shared" si="48"/>
        <v>1.2989999999999999</v>
      </c>
      <c r="P145" s="391">
        <f t="shared" si="48"/>
        <v>1.321</v>
      </c>
    </row>
    <row r="146" spans="2:16" ht="16.5" thickBot="1">
      <c r="B146" s="2625"/>
      <c r="C146" s="2642" t="s">
        <v>796</v>
      </c>
      <c r="D146" s="2867"/>
      <c r="E146" s="1491">
        <v>1</v>
      </c>
      <c r="F146" s="1491">
        <f>+ROUND(F144/$E$144,3)</f>
        <v>1</v>
      </c>
      <c r="G146" s="1491">
        <f t="shared" ref="G146:P146" si="49">+ROUND(G144/$E$144,3)</f>
        <v>1</v>
      </c>
      <c r="H146" s="1491">
        <f t="shared" si="49"/>
        <v>1</v>
      </c>
      <c r="I146" s="1491">
        <f t="shared" si="49"/>
        <v>1</v>
      </c>
      <c r="J146" s="1491">
        <f t="shared" si="49"/>
        <v>1</v>
      </c>
      <c r="K146" s="1491">
        <f t="shared" si="49"/>
        <v>1.069</v>
      </c>
      <c r="L146" s="1491">
        <f t="shared" si="49"/>
        <v>1.085</v>
      </c>
      <c r="M146" s="1491">
        <f t="shared" si="49"/>
        <v>1.085</v>
      </c>
      <c r="N146" s="1491">
        <f t="shared" si="49"/>
        <v>1.085</v>
      </c>
      <c r="O146" s="1491">
        <f t="shared" si="49"/>
        <v>1.085</v>
      </c>
      <c r="P146" s="685">
        <f t="shared" si="49"/>
        <v>1.0549999999999999</v>
      </c>
    </row>
    <row r="147" spans="2:16" ht="16.5" thickBot="1">
      <c r="B147" s="2636" t="s">
        <v>806</v>
      </c>
      <c r="C147" s="2637"/>
      <c r="D147" s="2637"/>
      <c r="E147" s="1492">
        <f t="shared" ref="E147:P147" si="50">+ROUND((E145*0.5+E146*0.5)*100,2)</f>
        <v>100</v>
      </c>
      <c r="F147" s="1267">
        <f t="shared" si="50"/>
        <v>103.15</v>
      </c>
      <c r="G147" s="1267">
        <f t="shared" si="50"/>
        <v>105.1</v>
      </c>
      <c r="H147" s="1267">
        <f t="shared" si="50"/>
        <v>106.65</v>
      </c>
      <c r="I147" s="1267">
        <f t="shared" si="50"/>
        <v>108.55</v>
      </c>
      <c r="J147" s="1267">
        <f t="shared" si="50"/>
        <v>110.05</v>
      </c>
      <c r="K147" s="1267">
        <f t="shared" si="50"/>
        <v>113.9</v>
      </c>
      <c r="L147" s="1267">
        <f t="shared" si="50"/>
        <v>115.8</v>
      </c>
      <c r="M147" s="1267">
        <f t="shared" si="50"/>
        <v>116.6</v>
      </c>
      <c r="N147" s="1267">
        <f t="shared" si="50"/>
        <v>116.85</v>
      </c>
      <c r="O147" s="1267">
        <f t="shared" si="50"/>
        <v>119.2</v>
      </c>
      <c r="P147" s="1277">
        <f t="shared" si="50"/>
        <v>118.8</v>
      </c>
    </row>
    <row r="149" spans="2:16" ht="23.25" hidden="1" customHeight="1" thickBot="1">
      <c r="B149" s="1493" t="s">
        <v>673</v>
      </c>
      <c r="C149" s="2875" t="s">
        <v>831</v>
      </c>
      <c r="D149" s="2876"/>
      <c r="E149" s="1494">
        <v>42736</v>
      </c>
      <c r="F149" s="1494">
        <v>42767</v>
      </c>
      <c r="G149" s="1494">
        <v>42795</v>
      </c>
      <c r="H149" s="1494">
        <v>42826</v>
      </c>
      <c r="I149" s="1494">
        <v>42856</v>
      </c>
      <c r="J149" s="1494">
        <v>42887</v>
      </c>
      <c r="K149" s="1494">
        <v>42917</v>
      </c>
      <c r="L149" s="1494">
        <v>42948</v>
      </c>
      <c r="M149" s="1494">
        <v>42979</v>
      </c>
      <c r="N149" s="1494">
        <v>43009</v>
      </c>
      <c r="O149" s="1494">
        <v>43040</v>
      </c>
      <c r="P149" s="1495">
        <v>43070</v>
      </c>
    </row>
    <row r="150" spans="2:16" ht="15.75" hidden="1">
      <c r="B150" s="1278" t="s">
        <v>486</v>
      </c>
      <c r="C150" s="2672">
        <v>611</v>
      </c>
      <c r="D150" s="2672"/>
      <c r="E150" s="567">
        <f>+'Insumos testigos '!GK209</f>
        <v>133.19166873824068</v>
      </c>
      <c r="F150" s="567">
        <f>+'Insumos testigos '!GL209</f>
        <v>136.01942078430193</v>
      </c>
      <c r="G150" s="567">
        <f>+'Insumos testigos '!GM209</f>
        <v>135.89832071094918</v>
      </c>
      <c r="H150" s="567">
        <f>+'Insumos testigos '!GN209</f>
        <v>137.11914610321159</v>
      </c>
      <c r="I150" s="567">
        <f>+'Insumos testigos '!GO209</f>
        <v>137.55976553641889</v>
      </c>
      <c r="J150" s="567">
        <f>+'Insumos testigos '!GP209</f>
        <v>138.36723924537975</v>
      </c>
      <c r="K150" s="567">
        <f>+'Insumos testigos '!GQ209</f>
        <v>139.22481312838948</v>
      </c>
      <c r="L150" s="567">
        <f>+'Insumos testigos '!GR209</f>
        <v>141.73927531789425</v>
      </c>
      <c r="M150" s="567">
        <f>+'Insumos testigos '!GS209</f>
        <v>139.96660675097723</v>
      </c>
      <c r="N150" s="567">
        <f>+'Insumos testigos '!GT209</f>
        <v>141.44429203881998</v>
      </c>
      <c r="O150" s="567">
        <f>+'Insumos testigos '!GU209</f>
        <v>143.08373311354114</v>
      </c>
      <c r="P150" s="691">
        <f>+'Insumos testigos '!GV209</f>
        <v>144.24056687514098</v>
      </c>
    </row>
    <row r="151" spans="2:16" ht="15.75" hidden="1">
      <c r="B151" s="1241" t="s">
        <v>804</v>
      </c>
      <c r="C151" s="2668">
        <v>99</v>
      </c>
      <c r="D151" s="2668"/>
      <c r="E151" s="1004">
        <f>+'Insumos testigos '!GK119</f>
        <v>105.5195345994522</v>
      </c>
      <c r="F151" s="1004">
        <f>+'Insumos testigos '!GL119</f>
        <v>105.5195345994522</v>
      </c>
      <c r="G151" s="1004">
        <f>+'Insumos testigos '!GM119</f>
        <v>105.5195345994522</v>
      </c>
      <c r="H151" s="1004">
        <f>+'Insumos testigos '!GN119</f>
        <v>105.5195345994522</v>
      </c>
      <c r="I151" s="1004">
        <f>+'Insumos testigos '!GO119</f>
        <v>105.5195345994522</v>
      </c>
      <c r="J151" s="1004">
        <f>+'Insumos testigos '!GP119</f>
        <v>105.5195345994522</v>
      </c>
      <c r="K151" s="1004">
        <f>+'Insumos testigos '!GQ119</f>
        <v>107.68837746779256</v>
      </c>
      <c r="L151" s="1004">
        <f>+'Insumos testigos '!GR119</f>
        <v>105.51953438156629</v>
      </c>
      <c r="M151" s="1004">
        <f>+'Insumos testigos '!GS119</f>
        <v>105.51953438156629</v>
      </c>
      <c r="N151" s="1004">
        <f>+'Insumos testigos '!GT119</f>
        <v>105.51953438156629</v>
      </c>
      <c r="O151" s="1004">
        <f>+'Insumos testigos '!GU119</f>
        <v>109.15449937323646</v>
      </c>
      <c r="P151" s="1030">
        <f>+'Insumos testigos '!GV119</f>
        <v>109.15449937323646</v>
      </c>
    </row>
    <row r="152" spans="2:16" ht="15.75" hidden="1">
      <c r="B152" s="2624" t="s">
        <v>675</v>
      </c>
      <c r="C152" s="2626" t="s">
        <v>805</v>
      </c>
      <c r="D152" s="2865"/>
      <c r="E152" s="521">
        <f>+ROUND(E150/$E$143,3)</f>
        <v>1.3320000000000001</v>
      </c>
      <c r="F152" s="521">
        <f t="shared" ref="F152:P152" si="51">+ROUND(F150/$E$143,3)</f>
        <v>1.36</v>
      </c>
      <c r="G152" s="521">
        <f t="shared" si="51"/>
        <v>1.359</v>
      </c>
      <c r="H152" s="521">
        <f t="shared" si="51"/>
        <v>1.371</v>
      </c>
      <c r="I152" s="521">
        <f t="shared" si="51"/>
        <v>1.3759999999999999</v>
      </c>
      <c r="J152" s="521">
        <f t="shared" si="51"/>
        <v>1.3839999999999999</v>
      </c>
      <c r="K152" s="521">
        <f t="shared" si="51"/>
        <v>1.3919999999999999</v>
      </c>
      <c r="L152" s="521">
        <f t="shared" si="51"/>
        <v>1.417</v>
      </c>
      <c r="M152" s="521">
        <f t="shared" si="51"/>
        <v>1.4</v>
      </c>
      <c r="N152" s="521">
        <f t="shared" si="51"/>
        <v>1.4139999999999999</v>
      </c>
      <c r="O152" s="521">
        <f t="shared" si="51"/>
        <v>1.431</v>
      </c>
      <c r="P152" s="391">
        <f t="shared" si="51"/>
        <v>1.4419999999999999</v>
      </c>
    </row>
    <row r="153" spans="2:16" ht="16.5" hidden="1" thickBot="1">
      <c r="B153" s="2625"/>
      <c r="C153" s="2642" t="s">
        <v>796</v>
      </c>
      <c r="D153" s="2867"/>
      <c r="E153" s="1491">
        <f>+ROUND(E151/$E$144,3)</f>
        <v>1.0549999999999999</v>
      </c>
      <c r="F153" s="1491">
        <f t="shared" ref="F153:P153" si="52">+ROUND(F151/$E$144,3)</f>
        <v>1.0549999999999999</v>
      </c>
      <c r="G153" s="1491">
        <f t="shared" si="52"/>
        <v>1.0549999999999999</v>
      </c>
      <c r="H153" s="1491">
        <f t="shared" si="52"/>
        <v>1.0549999999999999</v>
      </c>
      <c r="I153" s="1491">
        <f t="shared" si="52"/>
        <v>1.0549999999999999</v>
      </c>
      <c r="J153" s="1491">
        <f t="shared" si="52"/>
        <v>1.0549999999999999</v>
      </c>
      <c r="K153" s="1491">
        <f t="shared" si="52"/>
        <v>1.077</v>
      </c>
      <c r="L153" s="1491">
        <f t="shared" si="52"/>
        <v>1.0549999999999999</v>
      </c>
      <c r="M153" s="1491">
        <f t="shared" si="52"/>
        <v>1.0549999999999999</v>
      </c>
      <c r="N153" s="1491">
        <f t="shared" si="52"/>
        <v>1.0549999999999999</v>
      </c>
      <c r="O153" s="1491">
        <f t="shared" si="52"/>
        <v>1.0920000000000001</v>
      </c>
      <c r="P153" s="685">
        <f t="shared" si="52"/>
        <v>1.0920000000000001</v>
      </c>
    </row>
    <row r="154" spans="2:16" ht="16.5" hidden="1" thickBot="1">
      <c r="B154" s="2636" t="s">
        <v>806</v>
      </c>
      <c r="C154" s="2637"/>
      <c r="D154" s="2637"/>
      <c r="E154" s="1492">
        <f t="shared" ref="E154:J154" si="53">+ROUND((E152*0.5+E153*0.5)*100,2)</f>
        <v>119.35</v>
      </c>
      <c r="F154" s="1492">
        <f t="shared" si="53"/>
        <v>120.75</v>
      </c>
      <c r="G154" s="1492">
        <f t="shared" si="53"/>
        <v>120.7</v>
      </c>
      <c r="H154" s="1492">
        <f t="shared" si="53"/>
        <v>121.3</v>
      </c>
      <c r="I154" s="1492">
        <f t="shared" si="53"/>
        <v>121.55</v>
      </c>
      <c r="J154" s="1492">
        <f t="shared" si="53"/>
        <v>121.95</v>
      </c>
      <c r="K154" s="1492">
        <f t="shared" ref="K154:P154" si="54">+ROUND((K152*0.5+K153*0.5)*100,2)</f>
        <v>123.45</v>
      </c>
      <c r="L154" s="1492">
        <f t="shared" si="54"/>
        <v>123.6</v>
      </c>
      <c r="M154" s="1492">
        <f t="shared" si="54"/>
        <v>122.75</v>
      </c>
      <c r="N154" s="1492">
        <f t="shared" si="54"/>
        <v>123.45</v>
      </c>
      <c r="O154" s="1492">
        <f t="shared" si="54"/>
        <v>126.15</v>
      </c>
      <c r="P154" s="1277">
        <f t="shared" si="54"/>
        <v>126.7</v>
      </c>
    </row>
    <row r="155" spans="2:16" ht="15.75" hidden="1" thickBot="1"/>
    <row r="156" spans="2:16" ht="23.25" hidden="1" customHeight="1" thickBot="1">
      <c r="B156" s="1493" t="s">
        <v>673</v>
      </c>
      <c r="C156" s="2875" t="s">
        <v>831</v>
      </c>
      <c r="D156" s="2876"/>
      <c r="E156" s="1494">
        <v>43101</v>
      </c>
      <c r="F156" s="1494">
        <v>43132</v>
      </c>
      <c r="G156" s="1494">
        <v>43160</v>
      </c>
      <c r="H156" s="1494">
        <v>43191</v>
      </c>
      <c r="I156" s="1494">
        <v>43221</v>
      </c>
      <c r="J156" s="1494">
        <v>43252</v>
      </c>
      <c r="K156" s="1494">
        <v>43282</v>
      </c>
      <c r="L156" s="1494">
        <v>43313</v>
      </c>
      <c r="M156" s="1494">
        <v>43344</v>
      </c>
      <c r="N156" s="1494">
        <v>43374</v>
      </c>
      <c r="O156" s="1494">
        <v>43405</v>
      </c>
      <c r="P156" s="1495">
        <v>43435</v>
      </c>
    </row>
    <row r="157" spans="2:16" ht="15.75" hidden="1">
      <c r="B157" s="1278" t="s">
        <v>486</v>
      </c>
      <c r="C157" s="2672">
        <v>611</v>
      </c>
      <c r="D157" s="2672"/>
      <c r="E157" s="567">
        <f>+'Insumos testigos '!GW209</f>
        <v>146.92237346966158</v>
      </c>
      <c r="F157" s="567">
        <f>+'Insumos testigos '!GX209</f>
        <v>149.11995428926662</v>
      </c>
      <c r="G157" s="567">
        <f>+'Insumos testigos '!GY209</f>
        <v>149.72515468053274</v>
      </c>
      <c r="H157" s="567">
        <f>+'Insumos testigos '!GZ209</f>
        <v>158.40319395188556</v>
      </c>
      <c r="I157" s="567">
        <f>+'Insumos testigos '!HA209</f>
        <v>181.43515802724207</v>
      </c>
      <c r="J157" s="567">
        <f>+'Insumos testigos '!HB209</f>
        <v>184.57065719755153</v>
      </c>
      <c r="K157" s="567">
        <f>+'Insumos testigos '!HC209</f>
        <v>199.11952669803125</v>
      </c>
      <c r="L157" s="567">
        <f>+'Insumos testigos '!HD209</f>
        <v>186.95575611192098</v>
      </c>
      <c r="M157" s="567">
        <f>+'Insumos testigos '!HE209</f>
        <v>239.70819962092457</v>
      </c>
      <c r="N157" s="567">
        <f>+'Insumos testigos '!HF209</f>
        <v>248.25355116141102</v>
      </c>
      <c r="O157" s="567">
        <f>+'Insumos testigos '!HG209</f>
        <v>249.92498491726647</v>
      </c>
      <c r="P157" s="691">
        <f>+'Insumos testigos '!HH209</f>
        <v>253.85042149554889</v>
      </c>
    </row>
    <row r="158" spans="2:16" ht="15.75" hidden="1">
      <c r="B158" s="1241" t="s">
        <v>804</v>
      </c>
      <c r="C158" s="2668">
        <v>99</v>
      </c>
      <c r="D158" s="2668"/>
      <c r="E158" s="1004">
        <f>+'Insumos testigos '!GW119</f>
        <v>112.3486766114201</v>
      </c>
      <c r="F158" s="1004">
        <f>+'Insumos testigos '!GX119</f>
        <v>118.73701989859694</v>
      </c>
      <c r="G158" s="1004">
        <f>+'Insumos testigos '!GY119</f>
        <v>125.11898354749074</v>
      </c>
      <c r="H158" s="1004">
        <f>+'Insumos testigos '!GZ119</f>
        <v>125.32764922597154</v>
      </c>
      <c r="I158" s="1004">
        <f>+'Insumos testigos '!HA119</f>
        <v>125.32764922597154</v>
      </c>
      <c r="J158" s="1004">
        <f>+'Insumos testigos '!HB119</f>
        <v>126.26750858732296</v>
      </c>
      <c r="K158" s="1004">
        <f>+'Insumos testigos '!HC119</f>
        <v>126.26750858732296</v>
      </c>
      <c r="L158" s="1004">
        <f>+'Insumos testigos '!HD119</f>
        <v>127.21424237510563</v>
      </c>
      <c r="M158" s="1004">
        <f>+'Insumos testigos '!HE119</f>
        <v>146.83337750106426</v>
      </c>
      <c r="N158" s="1004">
        <f>+'Insumos testigos '!HF119</f>
        <v>148.87364280951221</v>
      </c>
      <c r="O158" s="1004">
        <f>+'Insumos testigos '!HG119</f>
        <v>151.07795829773181</v>
      </c>
      <c r="P158" s="1030">
        <f>+'Insumos testigos '!HH119</f>
        <v>153.60963744631511</v>
      </c>
    </row>
    <row r="159" spans="2:16" ht="15.75" hidden="1">
      <c r="B159" s="2624" t="s">
        <v>675</v>
      </c>
      <c r="C159" s="2626" t="s">
        <v>805</v>
      </c>
      <c r="D159" s="2865"/>
      <c r="E159" s="521">
        <f>+ROUND(E157/$E$143,3)</f>
        <v>1.4690000000000001</v>
      </c>
      <c r="F159" s="521">
        <f t="shared" ref="F159:O159" si="55">+ROUND(F157/$E$143,3)</f>
        <v>1.4910000000000001</v>
      </c>
      <c r="G159" s="521">
        <f t="shared" si="55"/>
        <v>1.4970000000000001</v>
      </c>
      <c r="H159" s="521">
        <f t="shared" si="55"/>
        <v>1.5840000000000001</v>
      </c>
      <c r="I159" s="521">
        <f t="shared" si="55"/>
        <v>1.8140000000000001</v>
      </c>
      <c r="J159" s="521">
        <f t="shared" si="55"/>
        <v>1.8460000000000001</v>
      </c>
      <c r="K159" s="521">
        <f t="shared" si="55"/>
        <v>1.9910000000000001</v>
      </c>
      <c r="L159" s="521">
        <f t="shared" si="55"/>
        <v>1.87</v>
      </c>
      <c r="M159" s="521">
        <f t="shared" si="55"/>
        <v>2.3969999999999998</v>
      </c>
      <c r="N159" s="521">
        <f t="shared" si="55"/>
        <v>2.4830000000000001</v>
      </c>
      <c r="O159" s="521">
        <f t="shared" si="55"/>
        <v>2.4990000000000001</v>
      </c>
      <c r="P159" s="391">
        <f>+ROUND(P157/$E$143,3)</f>
        <v>2.5390000000000001</v>
      </c>
    </row>
    <row r="160" spans="2:16" ht="16.5" hidden="1" thickBot="1">
      <c r="B160" s="2625"/>
      <c r="C160" s="2642" t="s">
        <v>796</v>
      </c>
      <c r="D160" s="2867"/>
      <c r="E160" s="1491">
        <f>+ROUND(E158/$E$144,3)</f>
        <v>1.123</v>
      </c>
      <c r="F160" s="1491">
        <f t="shared" ref="F160:P160" si="56">+ROUND(F158/$E$144,3)</f>
        <v>1.1870000000000001</v>
      </c>
      <c r="G160" s="1491">
        <f t="shared" si="56"/>
        <v>1.2509999999999999</v>
      </c>
      <c r="H160" s="1491">
        <f t="shared" si="56"/>
        <v>1.2529999999999999</v>
      </c>
      <c r="I160" s="1491">
        <f t="shared" si="56"/>
        <v>1.2529999999999999</v>
      </c>
      <c r="J160" s="1491">
        <f t="shared" si="56"/>
        <v>1.2629999999999999</v>
      </c>
      <c r="K160" s="1491">
        <f t="shared" si="56"/>
        <v>1.2629999999999999</v>
      </c>
      <c r="L160" s="1491">
        <f t="shared" si="56"/>
        <v>1.272</v>
      </c>
      <c r="M160" s="1491">
        <f t="shared" si="56"/>
        <v>1.468</v>
      </c>
      <c r="N160" s="1491">
        <f t="shared" si="56"/>
        <v>1.4890000000000001</v>
      </c>
      <c r="O160" s="1491">
        <f t="shared" si="56"/>
        <v>1.5109999999999999</v>
      </c>
      <c r="P160" s="685">
        <f t="shared" si="56"/>
        <v>1.536</v>
      </c>
    </row>
    <row r="161" spans="2:16" ht="16.5" hidden="1" thickBot="1">
      <c r="B161" s="2636" t="s">
        <v>806</v>
      </c>
      <c r="C161" s="2637"/>
      <c r="D161" s="2637"/>
      <c r="E161" s="1492">
        <f t="shared" ref="E161:P161" si="57">+ROUND((E159*0.5+E160*0.5)*100,2)</f>
        <v>129.6</v>
      </c>
      <c r="F161" s="1492">
        <f t="shared" si="57"/>
        <v>133.9</v>
      </c>
      <c r="G161" s="1492">
        <f t="shared" si="57"/>
        <v>137.4</v>
      </c>
      <c r="H161" s="1492">
        <f t="shared" si="57"/>
        <v>141.85</v>
      </c>
      <c r="I161" s="1492">
        <f t="shared" si="57"/>
        <v>153.35</v>
      </c>
      <c r="J161" s="1492">
        <f t="shared" si="57"/>
        <v>155.44999999999999</v>
      </c>
      <c r="K161" s="1492">
        <f t="shared" si="57"/>
        <v>162.69999999999999</v>
      </c>
      <c r="L161" s="1492">
        <f t="shared" si="57"/>
        <v>157.1</v>
      </c>
      <c r="M161" s="1492">
        <f t="shared" si="57"/>
        <v>193.25</v>
      </c>
      <c r="N161" s="1492">
        <f t="shared" si="57"/>
        <v>198.6</v>
      </c>
      <c r="O161" s="1492">
        <f t="shared" si="57"/>
        <v>200.5</v>
      </c>
      <c r="P161" s="1277">
        <f t="shared" si="57"/>
        <v>203.75</v>
      </c>
    </row>
    <row r="162" spans="2:16" ht="15.75" hidden="1" thickBot="1"/>
    <row r="163" spans="2:16" ht="16.5" hidden="1" thickBot="1">
      <c r="B163" s="1493" t="s">
        <v>673</v>
      </c>
      <c r="C163" s="2875" t="s">
        <v>831</v>
      </c>
      <c r="D163" s="2876"/>
      <c r="E163" s="1494">
        <v>43466</v>
      </c>
      <c r="F163" s="1494">
        <v>43497</v>
      </c>
      <c r="G163" s="1494">
        <v>43525</v>
      </c>
      <c r="H163" s="1494">
        <v>43556</v>
      </c>
      <c r="I163" s="1494">
        <v>43586</v>
      </c>
      <c r="J163" s="1494">
        <v>43617</v>
      </c>
      <c r="K163" s="1494">
        <v>43647</v>
      </c>
      <c r="L163" s="1494">
        <v>43678</v>
      </c>
      <c r="M163" s="1494">
        <v>43709</v>
      </c>
      <c r="N163" s="1494">
        <v>43739</v>
      </c>
      <c r="O163" s="1494">
        <v>43770</v>
      </c>
      <c r="P163" s="1495">
        <v>43800</v>
      </c>
    </row>
    <row r="164" spans="2:16" ht="15.75" hidden="1">
      <c r="B164" s="1278" t="s">
        <v>486</v>
      </c>
      <c r="C164" s="2672">
        <v>611</v>
      </c>
      <c r="D164" s="2672"/>
      <c r="E164" s="567">
        <f>+'Insumos testigos '!HI209</f>
        <v>254.41706056964907</v>
      </c>
      <c r="F164" s="567">
        <f>+'Insumos testigos '!HJ209</f>
        <v>260.12932363459771</v>
      </c>
      <c r="G164" s="567">
        <f>+'Insumos testigos '!HK209</f>
        <v>267.53422727779446</v>
      </c>
      <c r="H164" s="567">
        <f>+'Insumos testigos '!HL209</f>
        <v>277.83933577247302</v>
      </c>
      <c r="I164" s="567">
        <f>+'Insumos testigos '!HM209</f>
        <v>280.48052126275462</v>
      </c>
      <c r="J164" s="567">
        <f>+'Insumos testigos '!HN209</f>
        <v>282.14950969216466</v>
      </c>
      <c r="K164" s="567">
        <f>+'Insumos testigos '!HO209</f>
        <v>287.91550614173582</v>
      </c>
      <c r="L164" s="567">
        <f>+'Insumos testigos '!HP209</f>
        <v>332.81096339335249</v>
      </c>
      <c r="M164" s="567">
        <f>+'Insumos testigos '!HQ209</f>
        <v>353.82559473257481</v>
      </c>
      <c r="N164" s="567">
        <f>+'Insumos testigos '!HR209</f>
        <v>373.916911518782</v>
      </c>
      <c r="O164" s="567">
        <f>+'Insumos testigos '!HS209</f>
        <v>383.86925060959152</v>
      </c>
      <c r="P164" s="691">
        <f>+'Insumos testigos '!HT209</f>
        <v>394.12823637464237</v>
      </c>
    </row>
    <row r="165" spans="2:16" ht="15.75" hidden="1">
      <c r="B165" s="1241" t="s">
        <v>804</v>
      </c>
      <c r="C165" s="2668">
        <v>99</v>
      </c>
      <c r="D165" s="2668"/>
      <c r="E165" s="1004">
        <f>+'Insumos testigos '!HI119</f>
        <v>151.07795829773184</v>
      </c>
      <c r="F165" s="1004">
        <f>+'Insumos testigos '!HJ119</f>
        <v>175.53493701336157</v>
      </c>
      <c r="G165" s="1004">
        <f>+'Insumos testigos '!HK119</f>
        <v>172.20405928255218</v>
      </c>
      <c r="H165" s="1004">
        <f>+'Insumos testigos '!HL119</f>
        <v>173.79855974490377</v>
      </c>
      <c r="I165" s="1004">
        <f>+'Insumos testigos '!HM119</f>
        <v>173.79855974490377</v>
      </c>
      <c r="J165" s="1004">
        <f>+'Insumos testigos '!HN119</f>
        <v>180.68784169726044</v>
      </c>
      <c r="K165" s="1004">
        <f>+'Insumos testigos '!HO119</f>
        <v>182.49480136241945</v>
      </c>
      <c r="L165" s="1004">
        <f>+'Insumos testigos '!HP119</f>
        <v>219.60445204036995</v>
      </c>
      <c r="M165" s="1004">
        <f>+'Insumos testigos '!HQ119</f>
        <v>223.63052163651929</v>
      </c>
      <c r="N165" s="1004">
        <f>+'Insumos testigos '!HR119</f>
        <v>231.82998101974152</v>
      </c>
      <c r="O165" s="1004">
        <f>+'Insumos testigos '!HS119</f>
        <v>234.91869331460694</v>
      </c>
      <c r="P165" s="1030">
        <f>+'Insumos testigos '!HT119</f>
        <v>242.74854758630048</v>
      </c>
    </row>
    <row r="166" spans="2:16" ht="15.75" hidden="1">
      <c r="B166" s="2624" t="s">
        <v>675</v>
      </c>
      <c r="C166" s="2626" t="s">
        <v>805</v>
      </c>
      <c r="D166" s="2865"/>
      <c r="E166" s="521">
        <f>+ROUND(E164/$E$143,3)</f>
        <v>2.544</v>
      </c>
      <c r="F166" s="521">
        <f t="shared" ref="F166:P166" si="58">+ROUND(F164/$E$143,3)</f>
        <v>2.601</v>
      </c>
      <c r="G166" s="521">
        <f t="shared" si="58"/>
        <v>2.6749999999999998</v>
      </c>
      <c r="H166" s="521">
        <f t="shared" si="58"/>
        <v>2.778</v>
      </c>
      <c r="I166" s="521">
        <f t="shared" si="58"/>
        <v>2.8050000000000002</v>
      </c>
      <c r="J166" s="521">
        <f t="shared" si="58"/>
        <v>2.8210000000000002</v>
      </c>
      <c r="K166" s="521">
        <f t="shared" si="58"/>
        <v>2.879</v>
      </c>
      <c r="L166" s="521">
        <f t="shared" si="58"/>
        <v>3.3279999999999998</v>
      </c>
      <c r="M166" s="521">
        <f t="shared" si="58"/>
        <v>3.5379999999999998</v>
      </c>
      <c r="N166" s="521">
        <f t="shared" si="58"/>
        <v>3.7389999999999999</v>
      </c>
      <c r="O166" s="521">
        <f t="shared" si="58"/>
        <v>3.839</v>
      </c>
      <c r="P166" s="391">
        <f t="shared" si="58"/>
        <v>3.9409999999999998</v>
      </c>
    </row>
    <row r="167" spans="2:16" ht="16.5" hidden="1" thickBot="1">
      <c r="B167" s="2625"/>
      <c r="C167" s="2642" t="s">
        <v>796</v>
      </c>
      <c r="D167" s="2867"/>
      <c r="E167" s="1491">
        <f>+ROUND(E165/$E$144,3)</f>
        <v>1.5109999999999999</v>
      </c>
      <c r="F167" s="1491">
        <f t="shared" ref="F167:P167" si="59">+ROUND(F165/$E$144,3)</f>
        <v>1.7549999999999999</v>
      </c>
      <c r="G167" s="1491">
        <f t="shared" si="59"/>
        <v>1.722</v>
      </c>
      <c r="H167" s="1491">
        <f t="shared" si="59"/>
        <v>1.738</v>
      </c>
      <c r="I167" s="1491">
        <f t="shared" si="59"/>
        <v>1.738</v>
      </c>
      <c r="J167" s="1491">
        <f t="shared" si="59"/>
        <v>1.8069999999999999</v>
      </c>
      <c r="K167" s="1491">
        <f t="shared" si="59"/>
        <v>1.825</v>
      </c>
      <c r="L167" s="1491">
        <f t="shared" si="59"/>
        <v>2.1960000000000002</v>
      </c>
      <c r="M167" s="1491">
        <f t="shared" si="59"/>
        <v>2.2360000000000002</v>
      </c>
      <c r="N167" s="1491">
        <f t="shared" si="59"/>
        <v>2.3180000000000001</v>
      </c>
      <c r="O167" s="1491">
        <f t="shared" si="59"/>
        <v>2.3490000000000002</v>
      </c>
      <c r="P167" s="685">
        <f t="shared" si="59"/>
        <v>2.427</v>
      </c>
    </row>
    <row r="168" spans="2:16" ht="16.5" hidden="1" thickBot="1">
      <c r="B168" s="2636" t="s">
        <v>806</v>
      </c>
      <c r="C168" s="2637"/>
      <c r="D168" s="2637"/>
      <c r="E168" s="1492">
        <f t="shared" ref="E168:N168" si="60">+ROUND((E166*0.5+E167*0.5)*100,2)</f>
        <v>202.75</v>
      </c>
      <c r="F168" s="1492">
        <f t="shared" si="60"/>
        <v>217.8</v>
      </c>
      <c r="G168" s="1492">
        <f t="shared" si="60"/>
        <v>219.85</v>
      </c>
      <c r="H168" s="1492">
        <f t="shared" si="60"/>
        <v>225.8</v>
      </c>
      <c r="I168" s="1492">
        <f t="shared" si="60"/>
        <v>227.15</v>
      </c>
      <c r="J168" s="1492">
        <f t="shared" si="60"/>
        <v>231.4</v>
      </c>
      <c r="K168" s="1492">
        <f t="shared" si="60"/>
        <v>235.2</v>
      </c>
      <c r="L168" s="1492">
        <f t="shared" si="60"/>
        <v>276.2</v>
      </c>
      <c r="M168" s="1492">
        <f t="shared" si="60"/>
        <v>288.7</v>
      </c>
      <c r="N168" s="1492">
        <f t="shared" si="60"/>
        <v>302.85000000000002</v>
      </c>
      <c r="O168" s="1492">
        <f>+ROUND((O166*0.5+O167*0.5)*100,2)</f>
        <v>309.39999999999998</v>
      </c>
      <c r="P168" s="1277">
        <f>+ROUND((P166*0.5+P167*0.5)*100,2)</f>
        <v>318.39999999999998</v>
      </c>
    </row>
    <row r="169" spans="2:16" ht="15.75" hidden="1" thickBot="1"/>
    <row r="170" spans="2:16" ht="16.5" hidden="1" thickBot="1">
      <c r="B170" s="1493" t="s">
        <v>673</v>
      </c>
      <c r="C170" s="2875" t="s">
        <v>831</v>
      </c>
      <c r="D170" s="2876"/>
      <c r="E170" s="1494">
        <v>43831</v>
      </c>
      <c r="F170" s="1494">
        <v>43862</v>
      </c>
      <c r="G170" s="1494">
        <v>43891</v>
      </c>
      <c r="H170" s="1494">
        <v>43922</v>
      </c>
      <c r="I170" s="1494">
        <v>43952</v>
      </c>
      <c r="J170" s="1494">
        <v>43983</v>
      </c>
      <c r="K170" s="1494">
        <v>44013</v>
      </c>
      <c r="L170" s="1494">
        <v>44044</v>
      </c>
      <c r="M170" s="1494">
        <v>44075</v>
      </c>
      <c r="N170" s="1494">
        <v>44105</v>
      </c>
      <c r="O170" s="1494">
        <v>44136</v>
      </c>
      <c r="P170" s="1495">
        <v>44166</v>
      </c>
    </row>
    <row r="171" spans="2:16" ht="15.75" hidden="1">
      <c r="B171" s="1278" t="s">
        <v>486</v>
      </c>
      <c r="C171" s="2672">
        <v>611</v>
      </c>
      <c r="D171" s="2672"/>
      <c r="E171" s="567">
        <f>+'Insumos testigos '!HU209</f>
        <v>402.76220075433758</v>
      </c>
      <c r="F171" s="567">
        <f>+'Insumos testigos '!HV209</f>
        <v>411.31547367598625</v>
      </c>
      <c r="G171" s="567">
        <f>+'Insumos testigos '!HW209</f>
        <v>411.31547367598625</v>
      </c>
      <c r="H171" s="567">
        <f>+'Insumos testigos '!HX209</f>
        <v>411.31547367598625</v>
      </c>
      <c r="I171" s="567">
        <f>+'Insumos testigos '!HY209</f>
        <v>411.77542947545618</v>
      </c>
      <c r="J171" s="567">
        <f>+'Insumos testigos '!HZ209</f>
        <v>410.68676507523213</v>
      </c>
      <c r="K171" s="567">
        <f>+'Insumos testigos '!IA209</f>
        <v>410.19057614694395</v>
      </c>
      <c r="L171" s="567">
        <f>+'Insumos testigos '!IB209</f>
        <v>415.65423226669935</v>
      </c>
      <c r="M171" s="567">
        <f>+'Insumos testigos '!IC209</f>
        <v>415.65423226669935</v>
      </c>
      <c r="N171" s="567">
        <f>+'Insumos testigos '!ID209</f>
        <v>417.27785299516319</v>
      </c>
      <c r="O171" s="567">
        <f>+'Insumos testigos '!IE209</f>
        <v>421.21245314644523</v>
      </c>
      <c r="P171" s="691">
        <f>+'Insumos testigos '!IF209</f>
        <v>428.2182035412921</v>
      </c>
    </row>
    <row r="172" spans="2:16" ht="15.75" hidden="1">
      <c r="B172" s="1241" t="s">
        <v>804</v>
      </c>
      <c r="C172" s="2668">
        <v>99</v>
      </c>
      <c r="D172" s="2668"/>
      <c r="E172" s="1004">
        <f>+'Insumos testigos '!HU119</f>
        <v>254.88566664992848</v>
      </c>
      <c r="F172" s="1004">
        <f>+'Insumos testigos '!HV119</f>
        <v>254.88566664992848</v>
      </c>
      <c r="G172" s="1004">
        <f>+'Insumos testigos '!HW119</f>
        <v>254.88566664992848</v>
      </c>
      <c r="H172" s="1004">
        <f>+'Insumos testigos '!HX119</f>
        <v>254.88566664992848</v>
      </c>
      <c r="I172" s="1004">
        <f>+'Insumos testigos '!HY119</f>
        <v>254.88566664992848</v>
      </c>
      <c r="J172" s="1004">
        <f>+'Insumos testigos '!HZ119</f>
        <v>254.88566664992848</v>
      </c>
      <c r="K172" s="1004">
        <f>+'Insumos testigos '!IA119</f>
        <v>254.88566664992848</v>
      </c>
      <c r="L172" s="1004">
        <f>+'Insumos testigos '!IB119</f>
        <v>254.88566664992848</v>
      </c>
      <c r="M172" s="1004">
        <f>+'Insumos testigos '!IC119</f>
        <v>254.88566664992848</v>
      </c>
      <c r="N172" s="1004">
        <f>+'Insumos testigos '!ID119</f>
        <v>254.88566664992848</v>
      </c>
      <c r="O172" s="1004">
        <f>+'Insumos testigos '!IE119</f>
        <v>254.88566664992848</v>
      </c>
      <c r="P172" s="1030">
        <f>+'Insumos testigos '!IF119</f>
        <v>254.48887097982148</v>
      </c>
    </row>
    <row r="173" spans="2:16" ht="15.75" hidden="1">
      <c r="B173" s="2624" t="s">
        <v>675</v>
      </c>
      <c r="C173" s="2626" t="s">
        <v>805</v>
      </c>
      <c r="D173" s="2865"/>
      <c r="E173" s="521">
        <f>+ROUND(E171/$E$143,3)</f>
        <v>4.0279999999999996</v>
      </c>
      <c r="F173" s="521">
        <f t="shared" ref="F173:P173" si="61">+ROUND(F171/$E$143,3)</f>
        <v>4.1130000000000004</v>
      </c>
      <c r="G173" s="521">
        <f t="shared" si="61"/>
        <v>4.1130000000000004</v>
      </c>
      <c r="H173" s="521">
        <f t="shared" si="61"/>
        <v>4.1130000000000004</v>
      </c>
      <c r="I173" s="521">
        <f t="shared" si="61"/>
        <v>4.1180000000000003</v>
      </c>
      <c r="J173" s="521">
        <f t="shared" si="61"/>
        <v>4.1070000000000002</v>
      </c>
      <c r="K173" s="521">
        <f t="shared" si="61"/>
        <v>4.1020000000000003</v>
      </c>
      <c r="L173" s="521">
        <f t="shared" si="61"/>
        <v>4.157</v>
      </c>
      <c r="M173" s="521">
        <f t="shared" si="61"/>
        <v>4.157</v>
      </c>
      <c r="N173" s="521">
        <f t="shared" si="61"/>
        <v>4.173</v>
      </c>
      <c r="O173" s="521">
        <f t="shared" si="61"/>
        <v>4.2119999999999997</v>
      </c>
      <c r="P173" s="391">
        <f t="shared" si="61"/>
        <v>4.282</v>
      </c>
    </row>
    <row r="174" spans="2:16" ht="16.5" hidden="1" thickBot="1">
      <c r="B174" s="2625"/>
      <c r="C174" s="2642" t="s">
        <v>796</v>
      </c>
      <c r="D174" s="2867"/>
      <c r="E174" s="1491">
        <f>+ROUND(E172/$E$144,3)</f>
        <v>2.5489999999999999</v>
      </c>
      <c r="F174" s="1491">
        <f t="shared" ref="F174:P174" si="62">+ROUND(F172/$E$144,3)</f>
        <v>2.5489999999999999</v>
      </c>
      <c r="G174" s="1491">
        <f t="shared" si="62"/>
        <v>2.5489999999999999</v>
      </c>
      <c r="H174" s="1491">
        <f t="shared" si="62"/>
        <v>2.5489999999999999</v>
      </c>
      <c r="I174" s="1491">
        <f t="shared" si="62"/>
        <v>2.5489999999999999</v>
      </c>
      <c r="J174" s="1491">
        <f t="shared" si="62"/>
        <v>2.5489999999999999</v>
      </c>
      <c r="K174" s="1491">
        <f t="shared" si="62"/>
        <v>2.5489999999999999</v>
      </c>
      <c r="L174" s="1491">
        <f t="shared" si="62"/>
        <v>2.5489999999999999</v>
      </c>
      <c r="M174" s="1491">
        <f t="shared" si="62"/>
        <v>2.5489999999999999</v>
      </c>
      <c r="N174" s="1491">
        <f t="shared" si="62"/>
        <v>2.5489999999999999</v>
      </c>
      <c r="O174" s="1491">
        <f t="shared" si="62"/>
        <v>2.5489999999999999</v>
      </c>
      <c r="P174" s="685">
        <f t="shared" si="62"/>
        <v>2.5449999999999999</v>
      </c>
    </row>
    <row r="175" spans="2:16" ht="16.5" hidden="1" thickBot="1">
      <c r="B175" s="2636" t="s">
        <v>806</v>
      </c>
      <c r="C175" s="2637"/>
      <c r="D175" s="2637"/>
      <c r="E175" s="1492">
        <f t="shared" ref="E175:F175" si="63">+ROUND((E173*0.5+E174*0.5)*100,2)</f>
        <v>328.85</v>
      </c>
      <c r="F175" s="1492">
        <f t="shared" si="63"/>
        <v>333.1</v>
      </c>
      <c r="G175" s="1492">
        <f t="shared" ref="G175:H175" si="64">+ROUND((G173*0.5+G174*0.5)*100,2)</f>
        <v>333.1</v>
      </c>
      <c r="H175" s="1492">
        <f t="shared" si="64"/>
        <v>333.1</v>
      </c>
      <c r="I175" s="1492">
        <f t="shared" ref="I175:J175" si="65">+ROUND((I173*0.5+I174*0.5)*100,2)</f>
        <v>333.35</v>
      </c>
      <c r="J175" s="1492">
        <f t="shared" si="65"/>
        <v>332.8</v>
      </c>
      <c r="K175" s="1492">
        <f t="shared" ref="K175:L175" si="66">+ROUND((K173*0.5+K174*0.5)*100,2)</f>
        <v>332.55</v>
      </c>
      <c r="L175" s="1492">
        <f t="shared" si="66"/>
        <v>335.3</v>
      </c>
      <c r="M175" s="1492">
        <f t="shared" ref="M175:N175" si="67">+ROUND((M173*0.5+M174*0.5)*100,2)</f>
        <v>335.3</v>
      </c>
      <c r="N175" s="1492">
        <f t="shared" si="67"/>
        <v>336.1</v>
      </c>
      <c r="O175" s="1492">
        <f t="shared" ref="O175:P175" si="68">+ROUND((O173*0.5+O174*0.5)*100,2)</f>
        <v>338.05</v>
      </c>
      <c r="P175" s="1277">
        <f t="shared" si="68"/>
        <v>341.35</v>
      </c>
    </row>
    <row r="176" spans="2:16" ht="15.75" hidden="1" thickBot="1"/>
    <row r="177" spans="2:16" ht="16.5" hidden="1" thickBot="1">
      <c r="B177" s="1493" t="s">
        <v>673</v>
      </c>
      <c r="C177" s="2875" t="s">
        <v>831</v>
      </c>
      <c r="D177" s="2876"/>
      <c r="E177" s="1494">
        <v>44197</v>
      </c>
      <c r="F177" s="1494">
        <v>44228</v>
      </c>
      <c r="G177" s="1494">
        <v>44256</v>
      </c>
      <c r="H177" s="1494">
        <v>44287</v>
      </c>
      <c r="I177" s="1494">
        <v>44317</v>
      </c>
      <c r="J177" s="1494">
        <v>44348</v>
      </c>
      <c r="K177" s="1494">
        <v>44378</v>
      </c>
      <c r="L177" s="1494">
        <v>44409</v>
      </c>
      <c r="M177" s="1494">
        <v>44440</v>
      </c>
      <c r="N177" s="1494">
        <v>44470</v>
      </c>
      <c r="O177" s="1494">
        <v>44501</v>
      </c>
      <c r="P177" s="1495">
        <v>44531</v>
      </c>
    </row>
    <row r="178" spans="2:16" ht="15.75" hidden="1">
      <c r="B178" s="1278" t="s">
        <v>486</v>
      </c>
      <c r="C178" s="2672">
        <v>611</v>
      </c>
      <c r="D178" s="2672"/>
      <c r="E178" s="567">
        <f>+'Insumos testigos '!IG209</f>
        <v>440.40314457923273</v>
      </c>
      <c r="F178" s="567">
        <f>+'Insumos testigos '!IH209</f>
        <v>439.82605393886166</v>
      </c>
      <c r="G178" s="567">
        <f>+'Insumos testigos '!II209</f>
        <v>441.90272359308028</v>
      </c>
      <c r="H178" s="567">
        <f>+'Insumos testigos '!IJ209</f>
        <v>453.14478647773268</v>
      </c>
      <c r="I178" s="567">
        <f>+'Insumos testigos '!IK209</f>
        <v>461.36657936993294</v>
      </c>
      <c r="J178" s="567">
        <f>+'Insumos testigos '!IL209</f>
        <v>467.33709569937093</v>
      </c>
      <c r="K178" s="567">
        <f>+'Insumos testigos '!IM209</f>
        <v>469.51925850344452</v>
      </c>
      <c r="L178" s="567">
        <f>+'Insumos testigos '!IN209</f>
        <v>502.80447804573186</v>
      </c>
      <c r="M178" s="567">
        <f>+'Insumos testigos '!IO209</f>
        <v>521.7709668838861</v>
      </c>
      <c r="N178" s="567">
        <f>+'Insumos testigos '!IP209</f>
        <v>539.54726408875649</v>
      </c>
      <c r="O178" s="567">
        <f>+'Insumos testigos '!IQ209</f>
        <v>557.3304181847634</v>
      </c>
      <c r="P178" s="691">
        <f>+'Insumos testigos '!IR209</f>
        <v>568.45506214161094</v>
      </c>
    </row>
    <row r="179" spans="2:16" ht="15.75" hidden="1">
      <c r="B179" s="1241" t="s">
        <v>804</v>
      </c>
      <c r="C179" s="2668">
        <v>99</v>
      </c>
      <c r="D179" s="2668"/>
      <c r="E179" s="1004">
        <f>+'Insumos testigos '!IG119</f>
        <v>254.88566664992848</v>
      </c>
      <c r="F179" s="1004">
        <f>+'Insumos testigos '!IH119</f>
        <v>254.88566664992848</v>
      </c>
      <c r="G179" s="1004">
        <f>+'Insumos testigos '!II119</f>
        <v>254.88566664992848</v>
      </c>
      <c r="H179" s="1004">
        <f>+'Insumos testigos '!IJ119</f>
        <v>273.47765082976071</v>
      </c>
      <c r="I179" s="1004">
        <f>+'Insumos testigos '!IK119</f>
        <v>282.1617281206594</v>
      </c>
      <c r="J179" s="1004">
        <f>+'Insumos testigos '!IL119</f>
        <v>292.0980947242665</v>
      </c>
      <c r="K179" s="1004">
        <f>+'Insumos testigos '!IM119</f>
        <v>319.37172703090044</v>
      </c>
      <c r="L179" s="1004">
        <f>+'Insumos testigos '!IN119</f>
        <v>338.30058269740454</v>
      </c>
      <c r="M179" s="1004">
        <f>+'Insumos testigos '!IO119</f>
        <v>343.22725408322685</v>
      </c>
      <c r="N179" s="1004">
        <f>+'Insumos testigos '!IP119</f>
        <v>386.11520776339648</v>
      </c>
      <c r="O179" s="1004">
        <f>+'Insumos testigos '!IQ119</f>
        <v>394.98234350968283</v>
      </c>
      <c r="P179" s="1030">
        <f>+'Insumos testigos '!IR119</f>
        <v>401.89420787344812</v>
      </c>
    </row>
    <row r="180" spans="2:16" ht="15.75" hidden="1">
      <c r="B180" s="2624" t="s">
        <v>675</v>
      </c>
      <c r="C180" s="2626" t="s">
        <v>805</v>
      </c>
      <c r="D180" s="2865"/>
      <c r="E180" s="521">
        <f>+ROUND(E178/$E$143,3)</f>
        <v>4.4039999999999999</v>
      </c>
      <c r="F180" s="521">
        <f t="shared" ref="F180:P180" si="69">+ROUND(F178/$E$143,3)</f>
        <v>4.3979999999999997</v>
      </c>
      <c r="G180" s="521">
        <f t="shared" si="69"/>
        <v>4.4189999999999996</v>
      </c>
      <c r="H180" s="521">
        <f t="shared" si="69"/>
        <v>4.5309999999999997</v>
      </c>
      <c r="I180" s="521">
        <f t="shared" si="69"/>
        <v>4.6139999999999999</v>
      </c>
      <c r="J180" s="521">
        <f t="shared" si="69"/>
        <v>4.673</v>
      </c>
      <c r="K180" s="521">
        <f t="shared" si="69"/>
        <v>4.6950000000000003</v>
      </c>
      <c r="L180" s="521">
        <f t="shared" si="69"/>
        <v>5.0279999999999996</v>
      </c>
      <c r="M180" s="521">
        <f t="shared" si="69"/>
        <v>5.218</v>
      </c>
      <c r="N180" s="521">
        <f t="shared" si="69"/>
        <v>5.3949999999999996</v>
      </c>
      <c r="O180" s="521">
        <f t="shared" si="69"/>
        <v>5.5730000000000004</v>
      </c>
      <c r="P180" s="391">
        <f t="shared" si="69"/>
        <v>5.6849999999999996</v>
      </c>
    </row>
    <row r="181" spans="2:16" ht="16.5" hidden="1" thickBot="1">
      <c r="B181" s="2625"/>
      <c r="C181" s="2642" t="s">
        <v>796</v>
      </c>
      <c r="D181" s="2867"/>
      <c r="E181" s="1491">
        <f>+ROUND(E179/$E$144,3)</f>
        <v>2.5489999999999999</v>
      </c>
      <c r="F181" s="1491">
        <f t="shared" ref="F181:P181" si="70">+ROUND(F179/$E$144,3)</f>
        <v>2.5489999999999999</v>
      </c>
      <c r="G181" s="1491">
        <f t="shared" si="70"/>
        <v>2.5489999999999999</v>
      </c>
      <c r="H181" s="1491">
        <f t="shared" si="70"/>
        <v>2.7349999999999999</v>
      </c>
      <c r="I181" s="1491">
        <f t="shared" si="70"/>
        <v>2.8220000000000001</v>
      </c>
      <c r="J181" s="1491">
        <f t="shared" si="70"/>
        <v>2.9209999999999998</v>
      </c>
      <c r="K181" s="1491">
        <f t="shared" si="70"/>
        <v>3.194</v>
      </c>
      <c r="L181" s="1491">
        <f t="shared" si="70"/>
        <v>3.383</v>
      </c>
      <c r="M181" s="1491">
        <f t="shared" si="70"/>
        <v>3.4319999999999999</v>
      </c>
      <c r="N181" s="1491">
        <f t="shared" si="70"/>
        <v>3.8610000000000002</v>
      </c>
      <c r="O181" s="1491">
        <f t="shared" si="70"/>
        <v>3.95</v>
      </c>
      <c r="P181" s="685">
        <f t="shared" si="70"/>
        <v>4.0190000000000001</v>
      </c>
    </row>
    <row r="182" spans="2:16" ht="16.5" hidden="1" thickBot="1">
      <c r="B182" s="2636" t="s">
        <v>806</v>
      </c>
      <c r="C182" s="2637"/>
      <c r="D182" s="2637"/>
      <c r="E182" s="1492">
        <f t="shared" ref="E182" si="71">+ROUND((E180*0.5+E181*0.5)*100,2)</f>
        <v>347.65</v>
      </c>
      <c r="F182" s="1492">
        <f t="shared" ref="F182:G182" si="72">+ROUND((F180*0.5+F181*0.5)*100,2)</f>
        <v>347.35</v>
      </c>
      <c r="G182" s="1492">
        <f t="shared" si="72"/>
        <v>348.4</v>
      </c>
      <c r="H182" s="1492">
        <f t="shared" ref="H182:I182" si="73">+ROUND((H180*0.5+H181*0.5)*100,2)</f>
        <v>363.3</v>
      </c>
      <c r="I182" s="1492">
        <f t="shared" si="73"/>
        <v>371.8</v>
      </c>
      <c r="J182" s="1492">
        <f t="shared" ref="J182:K182" si="74">+ROUND((J180*0.5+J181*0.5)*100,2)</f>
        <v>379.7</v>
      </c>
      <c r="K182" s="1492">
        <f t="shared" si="74"/>
        <v>394.45</v>
      </c>
      <c r="L182" s="1492">
        <f t="shared" ref="L182:M182" si="75">+ROUND((L180*0.5+L181*0.5)*100,2)</f>
        <v>420.55</v>
      </c>
      <c r="M182" s="1492">
        <f t="shared" si="75"/>
        <v>432.5</v>
      </c>
      <c r="N182" s="1492">
        <f t="shared" ref="N182:O182" si="76">+ROUND((N180*0.5+N181*0.5)*100,2)</f>
        <v>462.8</v>
      </c>
      <c r="O182" s="1492">
        <f t="shared" si="76"/>
        <v>476.15</v>
      </c>
      <c r="P182" s="1277">
        <f t="shared" ref="P182" si="77">+ROUND((P180*0.5+P181*0.5)*100,2)</f>
        <v>485.2</v>
      </c>
    </row>
    <row r="183" spans="2:16" ht="15.75" thickBot="1"/>
    <row r="184" spans="2:16" ht="16.5" thickBot="1">
      <c r="B184" s="1493" t="s">
        <v>673</v>
      </c>
      <c r="C184" s="2875" t="s">
        <v>831</v>
      </c>
      <c r="D184" s="2876"/>
      <c r="E184" s="1494">
        <v>44562</v>
      </c>
      <c r="F184" s="1494">
        <v>44593</v>
      </c>
      <c r="G184" s="1494">
        <v>44621</v>
      </c>
      <c r="H184" s="1494">
        <v>44652</v>
      </c>
      <c r="I184" s="1494">
        <v>44682</v>
      </c>
      <c r="J184" s="1494">
        <v>44713</v>
      </c>
      <c r="K184" s="1494">
        <v>44743</v>
      </c>
      <c r="L184" s="1494">
        <v>44774</v>
      </c>
      <c r="M184" s="1494">
        <v>44805</v>
      </c>
      <c r="N184" s="1494">
        <v>44835</v>
      </c>
      <c r="O184" s="1494">
        <v>44866</v>
      </c>
      <c r="P184" s="1495">
        <v>44896</v>
      </c>
    </row>
    <row r="185" spans="2:16" ht="15.75">
      <c r="B185" s="1278" t="s">
        <v>486</v>
      </c>
      <c r="C185" s="2672">
        <v>611</v>
      </c>
      <c r="D185" s="2672"/>
      <c r="E185" s="567">
        <f>+'Insumos testigos '!IS209</f>
        <v>589.19668471145155</v>
      </c>
      <c r="F185" s="567">
        <f>+'Insumos testigos '!IT209</f>
        <v>596.76606292918962</v>
      </c>
      <c r="G185" s="567">
        <f>+'Insumos testigos '!IU209</f>
        <v>604.05129212196653</v>
      </c>
      <c r="H185" s="567">
        <f>+'Insumos testigos '!IV209</f>
        <v>617.96055322809639</v>
      </c>
      <c r="I185" s="567">
        <f>+'Insumos testigos '!IW209</f>
        <v>641.92130969117352</v>
      </c>
      <c r="J185" s="567">
        <f>+'Insumos testigos '!IX209</f>
        <v>658.10932153313411</v>
      </c>
      <c r="K185" s="567">
        <f>+'Insumos testigos '!IY209</f>
        <v>727.55647327897611</v>
      </c>
      <c r="L185" s="567">
        <f>+'Insumos testigos '!IZ209</f>
        <v>758.0921123084878</v>
      </c>
      <c r="M185" s="567">
        <f>+'Insumos testigos '!JA209</f>
        <v>789.38760365364055</v>
      </c>
      <c r="N185" s="567">
        <f>+'Insumos testigos '!JB209</f>
        <v>854.87328931981847</v>
      </c>
      <c r="O185" s="567">
        <f>+'Insumos testigos '!JC209</f>
        <v>878.66703728760149</v>
      </c>
      <c r="P185" s="691">
        <f>+'Insumos testigos '!JD209</f>
        <v>932.34237250462161</v>
      </c>
    </row>
    <row r="186" spans="2:16" ht="15.75">
      <c r="B186" s="1241" t="s">
        <v>804</v>
      </c>
      <c r="C186" s="2668">
        <v>99</v>
      </c>
      <c r="D186" s="2668"/>
      <c r="E186" s="1004">
        <f>+'Insumos testigos '!IS119</f>
        <v>443.1132628841587</v>
      </c>
      <c r="F186" s="1004">
        <f>+'Insumos testigos '!IT119</f>
        <v>449.02128888927155</v>
      </c>
      <c r="G186" s="1004">
        <f>+'Insumos testigos '!IU119</f>
        <v>454.9900834646387</v>
      </c>
      <c r="H186" s="1004">
        <f>+'Insumos testigos '!IV119</f>
        <v>497.77671257278456</v>
      </c>
      <c r="I186" s="1004">
        <f>+'Insumos testigos '!IW119</f>
        <v>538.70544978902308</v>
      </c>
      <c r="J186" s="1004">
        <f>+'Insumos testigos '!IX119</f>
        <v>536.88598576976972</v>
      </c>
      <c r="K186" s="1004">
        <f>+'Insumos testigos '!IY119</f>
        <v>630.04592693070663</v>
      </c>
      <c r="L186" s="1004">
        <f>+'Insumos testigos '!IZ119</f>
        <v>696.747929823552</v>
      </c>
      <c r="M186" s="1004">
        <f>+'Insumos testigos '!JA119</f>
        <v>710.54694654975208</v>
      </c>
      <c r="N186" s="1004">
        <f>+'Insumos testigos '!JB119</f>
        <v>727.1267157025386</v>
      </c>
      <c r="O186" s="1004">
        <f>+'Insumos testigos '!JC119</f>
        <v>753.78822983290195</v>
      </c>
      <c r="P186" s="1030">
        <f>+'Insumos testigos '!JD119</f>
        <v>782.6718644434012</v>
      </c>
    </row>
    <row r="187" spans="2:16" ht="15.75">
      <c r="B187" s="2624" t="s">
        <v>675</v>
      </c>
      <c r="C187" s="2626" t="s">
        <v>805</v>
      </c>
      <c r="D187" s="2865"/>
      <c r="E187" s="521">
        <f>+ROUND(E185/$E$143,3)</f>
        <v>5.8920000000000003</v>
      </c>
      <c r="F187" s="521">
        <f t="shared" ref="F187:P187" si="78">+ROUND(F185/$E$143,3)</f>
        <v>5.968</v>
      </c>
      <c r="G187" s="521">
        <f t="shared" si="78"/>
        <v>6.0410000000000004</v>
      </c>
      <c r="H187" s="521">
        <f t="shared" si="78"/>
        <v>6.18</v>
      </c>
      <c r="I187" s="521">
        <f t="shared" si="78"/>
        <v>6.4189999999999996</v>
      </c>
      <c r="J187" s="521">
        <f t="shared" si="78"/>
        <v>6.5810000000000004</v>
      </c>
      <c r="K187" s="521">
        <f t="shared" si="78"/>
        <v>7.2759999999999998</v>
      </c>
      <c r="L187" s="521">
        <f t="shared" si="78"/>
        <v>7.5810000000000004</v>
      </c>
      <c r="M187" s="521">
        <f t="shared" si="78"/>
        <v>7.8940000000000001</v>
      </c>
      <c r="N187" s="521">
        <f t="shared" si="78"/>
        <v>8.5489999999999995</v>
      </c>
      <c r="O187" s="521">
        <f t="shared" si="78"/>
        <v>8.7870000000000008</v>
      </c>
      <c r="P187" s="391">
        <f t="shared" si="78"/>
        <v>9.3230000000000004</v>
      </c>
    </row>
    <row r="188" spans="2:16" ht="16.5" thickBot="1">
      <c r="B188" s="2625"/>
      <c r="C188" s="2642" t="s">
        <v>796</v>
      </c>
      <c r="D188" s="2867"/>
      <c r="E188" s="1491">
        <f>+ROUND(E186/$E$144,3)</f>
        <v>4.431</v>
      </c>
      <c r="F188" s="1491">
        <f t="shared" ref="F188:P188" si="79">+ROUND(F186/$E$144,3)</f>
        <v>4.49</v>
      </c>
      <c r="G188" s="1491">
        <f t="shared" si="79"/>
        <v>4.55</v>
      </c>
      <c r="H188" s="1491">
        <f t="shared" si="79"/>
        <v>4.9779999999999998</v>
      </c>
      <c r="I188" s="1491">
        <f t="shared" si="79"/>
        <v>5.3869999999999996</v>
      </c>
      <c r="J188" s="1491">
        <f t="shared" si="79"/>
        <v>5.3689999999999998</v>
      </c>
      <c r="K188" s="1491">
        <f t="shared" si="79"/>
        <v>6.3</v>
      </c>
      <c r="L188" s="1491">
        <f t="shared" si="79"/>
        <v>6.9669999999999996</v>
      </c>
      <c r="M188" s="1491">
        <f t="shared" si="79"/>
        <v>7.1050000000000004</v>
      </c>
      <c r="N188" s="1491">
        <f t="shared" si="79"/>
        <v>7.2709999999999999</v>
      </c>
      <c r="O188" s="1491">
        <f t="shared" si="79"/>
        <v>7.5380000000000003</v>
      </c>
      <c r="P188" s="685">
        <f t="shared" si="79"/>
        <v>7.827</v>
      </c>
    </row>
    <row r="189" spans="2:16" ht="16.5" thickBot="1">
      <c r="B189" s="2636" t="s">
        <v>806</v>
      </c>
      <c r="C189" s="2637"/>
      <c r="D189" s="2637"/>
      <c r="E189" s="1492">
        <f t="shared" ref="E189" si="80">+ROUND((E187*0.5+E188*0.5)*100,2)</f>
        <v>516.15</v>
      </c>
      <c r="F189" s="1492">
        <f t="shared" ref="F189:G189" si="81">+ROUND((F187*0.5+F188*0.5)*100,2)</f>
        <v>522.9</v>
      </c>
      <c r="G189" s="1492">
        <f t="shared" si="81"/>
        <v>529.54999999999995</v>
      </c>
      <c r="H189" s="1492">
        <f t="shared" ref="H189:I189" si="82">+ROUND((H187*0.5+H188*0.5)*100,2)</f>
        <v>557.9</v>
      </c>
      <c r="I189" s="1492">
        <f t="shared" si="82"/>
        <v>590.29999999999995</v>
      </c>
      <c r="J189" s="1492">
        <f t="shared" ref="J189:K189" si="83">+ROUND((J187*0.5+J188*0.5)*100,2)</f>
        <v>597.5</v>
      </c>
      <c r="K189" s="1492">
        <f t="shared" si="83"/>
        <v>678.8</v>
      </c>
      <c r="L189" s="1492">
        <f t="shared" ref="L189:M189" si="84">+ROUND((L187*0.5+L188*0.5)*100,2)</f>
        <v>727.4</v>
      </c>
      <c r="M189" s="1492">
        <f t="shared" si="84"/>
        <v>749.95</v>
      </c>
      <c r="N189" s="1492">
        <f t="shared" ref="N189:O189" si="85">+ROUND((N187*0.5+N188*0.5)*100,2)</f>
        <v>791</v>
      </c>
      <c r="O189" s="1492">
        <f t="shared" si="85"/>
        <v>816.25</v>
      </c>
      <c r="P189" s="1267">
        <f t="shared" ref="P189" si="86">+ROUND((P187*0.5+P188*0.5)*100,2)</f>
        <v>857.5</v>
      </c>
    </row>
    <row r="190" spans="2:16" ht="15.75" thickBot="1"/>
    <row r="191" spans="2:16" ht="16.5" thickBot="1">
      <c r="B191" s="1493" t="s">
        <v>673</v>
      </c>
      <c r="C191" s="2875" t="s">
        <v>831</v>
      </c>
      <c r="D191" s="2876"/>
      <c r="E191" s="1494">
        <v>44927</v>
      </c>
      <c r="F191" s="1494">
        <v>44958</v>
      </c>
      <c r="G191" s="1494">
        <v>44986</v>
      </c>
      <c r="H191" s="1494">
        <v>45017</v>
      </c>
      <c r="I191" s="1494">
        <v>45047</v>
      </c>
      <c r="J191" s="1494">
        <v>45078</v>
      </c>
      <c r="K191" s="1494">
        <v>45108</v>
      </c>
      <c r="L191" s="1494">
        <v>45139</v>
      </c>
      <c r="M191" s="1494">
        <v>45170</v>
      </c>
      <c r="N191" s="1494">
        <v>45200</v>
      </c>
      <c r="O191" s="1494">
        <v>45231</v>
      </c>
      <c r="P191" s="1494">
        <v>45261</v>
      </c>
    </row>
    <row r="192" spans="2:16" ht="15.75">
      <c r="B192" s="1278" t="s">
        <v>486</v>
      </c>
      <c r="C192" s="2672">
        <v>611</v>
      </c>
      <c r="D192" s="2672"/>
      <c r="E192" s="567">
        <f>+'Insumos testigos '!JE209</f>
        <v>1002.0742137923485</v>
      </c>
      <c r="F192" s="567">
        <f>+'Insumos testigos '!JF209</f>
        <v>1172.2455641188064</v>
      </c>
      <c r="G192" s="567"/>
      <c r="H192" s="567"/>
      <c r="I192" s="567"/>
      <c r="J192" s="567"/>
      <c r="K192" s="567"/>
      <c r="L192" s="567"/>
      <c r="M192" s="567"/>
      <c r="N192" s="567"/>
      <c r="O192" s="567"/>
      <c r="P192" s="691"/>
    </row>
    <row r="193" spans="2:16" ht="15.75">
      <c r="B193" s="1241" t="s">
        <v>804</v>
      </c>
      <c r="C193" s="2668">
        <v>99</v>
      </c>
      <c r="D193" s="2668"/>
      <c r="E193" s="1004">
        <f>+'Insumos testigos '!JE119</f>
        <v>801.0973929127266</v>
      </c>
      <c r="F193" s="1004">
        <f>+'Insumos testigos '!JF119</f>
        <v>839.82416329765658</v>
      </c>
      <c r="G193" s="1004"/>
      <c r="H193" s="1004"/>
      <c r="I193" s="1004"/>
      <c r="J193" s="1004"/>
      <c r="K193" s="1004"/>
      <c r="L193" s="1004"/>
      <c r="M193" s="1004"/>
      <c r="N193" s="1004"/>
      <c r="O193" s="1004"/>
      <c r="P193" s="1030"/>
    </row>
    <row r="194" spans="2:16" ht="15.75">
      <c r="B194" s="2624" t="s">
        <v>675</v>
      </c>
      <c r="C194" s="2626" t="s">
        <v>805</v>
      </c>
      <c r="D194" s="2865"/>
      <c r="E194" s="521">
        <f>+ROUND(E192/$E$143,3)</f>
        <v>10.021000000000001</v>
      </c>
      <c r="F194" s="521">
        <f t="shared" ref="F194:P194" si="87">+ROUND(F192/$E$143,3)</f>
        <v>11.722</v>
      </c>
      <c r="G194" s="521">
        <f t="shared" si="87"/>
        <v>0</v>
      </c>
      <c r="H194" s="521">
        <f t="shared" si="87"/>
        <v>0</v>
      </c>
      <c r="I194" s="521">
        <f t="shared" si="87"/>
        <v>0</v>
      </c>
      <c r="J194" s="521">
        <f t="shared" si="87"/>
        <v>0</v>
      </c>
      <c r="K194" s="521">
        <f t="shared" si="87"/>
        <v>0</v>
      </c>
      <c r="L194" s="521">
        <f t="shared" si="87"/>
        <v>0</v>
      </c>
      <c r="M194" s="521">
        <f t="shared" si="87"/>
        <v>0</v>
      </c>
      <c r="N194" s="521">
        <f t="shared" si="87"/>
        <v>0</v>
      </c>
      <c r="O194" s="521">
        <f t="shared" si="87"/>
        <v>0</v>
      </c>
      <c r="P194" s="391">
        <f t="shared" si="87"/>
        <v>0</v>
      </c>
    </row>
    <row r="195" spans="2:16" ht="16.5" thickBot="1">
      <c r="B195" s="2625"/>
      <c r="C195" s="2642" t="s">
        <v>796</v>
      </c>
      <c r="D195" s="2867"/>
      <c r="E195" s="1491">
        <f>+ROUND(E193/$E$144,3)</f>
        <v>8.0109999999999992</v>
      </c>
      <c r="F195" s="1491">
        <f t="shared" ref="F195:P195" si="88">+ROUND(F193/$E$144,3)</f>
        <v>8.3979999999999997</v>
      </c>
      <c r="G195" s="1491">
        <f t="shared" si="88"/>
        <v>0</v>
      </c>
      <c r="H195" s="1491">
        <f t="shared" si="88"/>
        <v>0</v>
      </c>
      <c r="I195" s="1491">
        <f t="shared" si="88"/>
        <v>0</v>
      </c>
      <c r="J195" s="1491">
        <f t="shared" si="88"/>
        <v>0</v>
      </c>
      <c r="K195" s="1491">
        <f t="shared" si="88"/>
        <v>0</v>
      </c>
      <c r="L195" s="1491">
        <f t="shared" si="88"/>
        <v>0</v>
      </c>
      <c r="M195" s="1491">
        <f t="shared" si="88"/>
        <v>0</v>
      </c>
      <c r="N195" s="1491">
        <f t="shared" si="88"/>
        <v>0</v>
      </c>
      <c r="O195" s="1491">
        <f t="shared" si="88"/>
        <v>0</v>
      </c>
      <c r="P195" s="685">
        <f t="shared" si="88"/>
        <v>0</v>
      </c>
    </row>
    <row r="196" spans="2:16" ht="16.5" thickBot="1">
      <c r="B196" s="2636" t="s">
        <v>806</v>
      </c>
      <c r="C196" s="2637"/>
      <c r="D196" s="2637"/>
      <c r="E196" s="1492">
        <f t="shared" ref="E196:P196" si="89">+ROUND((E194*0.5+E195*0.5)*100,2)</f>
        <v>901.6</v>
      </c>
      <c r="F196" s="1492">
        <f t="shared" si="89"/>
        <v>1006</v>
      </c>
      <c r="G196" s="1492">
        <f t="shared" si="89"/>
        <v>0</v>
      </c>
      <c r="H196" s="1492">
        <f t="shared" si="89"/>
        <v>0</v>
      </c>
      <c r="I196" s="1492">
        <f t="shared" si="89"/>
        <v>0</v>
      </c>
      <c r="J196" s="1492">
        <f t="shared" si="89"/>
        <v>0</v>
      </c>
      <c r="K196" s="1492">
        <f t="shared" si="89"/>
        <v>0</v>
      </c>
      <c r="L196" s="1492">
        <f t="shared" si="89"/>
        <v>0</v>
      </c>
      <c r="M196" s="1492">
        <f t="shared" si="89"/>
        <v>0</v>
      </c>
      <c r="N196" s="1492">
        <f t="shared" si="89"/>
        <v>0</v>
      </c>
      <c r="O196" s="1492">
        <f t="shared" si="89"/>
        <v>0</v>
      </c>
      <c r="P196" s="1267">
        <f t="shared" si="89"/>
        <v>0</v>
      </c>
    </row>
  </sheetData>
  <mergeCells count="282">
    <mergeCell ref="C170:D170"/>
    <mergeCell ref="C171:D171"/>
    <mergeCell ref="C172:D172"/>
    <mergeCell ref="B173:B174"/>
    <mergeCell ref="C173:D173"/>
    <mergeCell ref="C174:D174"/>
    <mergeCell ref="B175:D175"/>
    <mergeCell ref="C146:D146"/>
    <mergeCell ref="B147:D147"/>
    <mergeCell ref="B168:D168"/>
    <mergeCell ref="C153:D153"/>
    <mergeCell ref="B154:D154"/>
    <mergeCell ref="C164:D164"/>
    <mergeCell ref="C165:D165"/>
    <mergeCell ref="B166:B167"/>
    <mergeCell ref="C166:D166"/>
    <mergeCell ref="C167:D167"/>
    <mergeCell ref="C163:D163"/>
    <mergeCell ref="B161:D161"/>
    <mergeCell ref="C122:D122"/>
    <mergeCell ref="B124:B125"/>
    <mergeCell ref="C124:D124"/>
    <mergeCell ref="C125:D125"/>
    <mergeCell ref="B126:D126"/>
    <mergeCell ref="B159:B160"/>
    <mergeCell ref="C159:D159"/>
    <mergeCell ref="C142:D142"/>
    <mergeCell ref="C143:D143"/>
    <mergeCell ref="C144:D144"/>
    <mergeCell ref="C145:D145"/>
    <mergeCell ref="C137:D137"/>
    <mergeCell ref="B138:B139"/>
    <mergeCell ref="C156:D156"/>
    <mergeCell ref="C157:D157"/>
    <mergeCell ref="C158:D158"/>
    <mergeCell ref="C129:D129"/>
    <mergeCell ref="C152:D152"/>
    <mergeCell ref="C138:D138"/>
    <mergeCell ref="C149:D149"/>
    <mergeCell ref="C150:D150"/>
    <mergeCell ref="C151:D151"/>
    <mergeCell ref="B152:B153"/>
    <mergeCell ref="C135:D135"/>
    <mergeCell ref="C136:D136"/>
    <mergeCell ref="B133:D133"/>
    <mergeCell ref="C160:D160"/>
    <mergeCell ref="B145:B146"/>
    <mergeCell ref="C139:D139"/>
    <mergeCell ref="B140:D140"/>
    <mergeCell ref="C130:D130"/>
    <mergeCell ref="B131:B132"/>
    <mergeCell ref="B95:B97"/>
    <mergeCell ref="C95:D97"/>
    <mergeCell ref="C131:D131"/>
    <mergeCell ref="C132:D132"/>
    <mergeCell ref="B119:D119"/>
    <mergeCell ref="B101:B102"/>
    <mergeCell ref="C101:D101"/>
    <mergeCell ref="C102:D102"/>
    <mergeCell ref="B103:D103"/>
    <mergeCell ref="B110:B111"/>
    <mergeCell ref="C110:D110"/>
    <mergeCell ref="C123:D123"/>
    <mergeCell ref="C128:D128"/>
    <mergeCell ref="C98:D98"/>
    <mergeCell ref="B105:B107"/>
    <mergeCell ref="C111:D111"/>
    <mergeCell ref="B81:B82"/>
    <mergeCell ref="C81:D81"/>
    <mergeCell ref="C82:D82"/>
    <mergeCell ref="H65:H67"/>
    <mergeCell ref="F65:F67"/>
    <mergeCell ref="C115:D115"/>
    <mergeCell ref="C114:D114"/>
    <mergeCell ref="C62:D62"/>
    <mergeCell ref="B63:D63"/>
    <mergeCell ref="B91:B92"/>
    <mergeCell ref="C91:D91"/>
    <mergeCell ref="B83:D83"/>
    <mergeCell ref="C92:D92"/>
    <mergeCell ref="B93:D93"/>
    <mergeCell ref="B71:B72"/>
    <mergeCell ref="C71:D71"/>
    <mergeCell ref="C72:D72"/>
    <mergeCell ref="B73:D73"/>
    <mergeCell ref="B65:B67"/>
    <mergeCell ref="C69:D69"/>
    <mergeCell ref="B61:B62"/>
    <mergeCell ref="C61:D61"/>
    <mergeCell ref="B85:B87"/>
    <mergeCell ref="C89:D89"/>
    <mergeCell ref="B40:B41"/>
    <mergeCell ref="C37:D37"/>
    <mergeCell ref="C38:D38"/>
    <mergeCell ref="C40:D40"/>
    <mergeCell ref="C41:D41"/>
    <mergeCell ref="C59:D59"/>
    <mergeCell ref="O45:O47"/>
    <mergeCell ref="B51:B52"/>
    <mergeCell ref="C51:D51"/>
    <mergeCell ref="C52:D52"/>
    <mergeCell ref="B43:D43"/>
    <mergeCell ref="B45:B47"/>
    <mergeCell ref="C45:D47"/>
    <mergeCell ref="L45:L47"/>
    <mergeCell ref="M45:M47"/>
    <mergeCell ref="I55:I57"/>
    <mergeCell ref="J55:J57"/>
    <mergeCell ref="C55:D57"/>
    <mergeCell ref="C21:D21"/>
    <mergeCell ref="J21:O21"/>
    <mergeCell ref="C22:D22"/>
    <mergeCell ref="J22:O22"/>
    <mergeCell ref="E24:E26"/>
    <mergeCell ref="F24:F26"/>
    <mergeCell ref="G24:G26"/>
    <mergeCell ref="C1:M1"/>
    <mergeCell ref="B7:O7"/>
    <mergeCell ref="C3:M3"/>
    <mergeCell ref="J24:J26"/>
    <mergeCell ref="K24:K26"/>
    <mergeCell ref="H24:H26"/>
    <mergeCell ref="D10:I10"/>
    <mergeCell ref="C17:M17"/>
    <mergeCell ref="B19:N19"/>
    <mergeCell ref="C20:D20"/>
    <mergeCell ref="W24:W26"/>
    <mergeCell ref="Q24:Q26"/>
    <mergeCell ref="M24:M26"/>
    <mergeCell ref="N24:N26"/>
    <mergeCell ref="O24:O26"/>
    <mergeCell ref="P24:P26"/>
    <mergeCell ref="V24:V26"/>
    <mergeCell ref="U24:U26"/>
    <mergeCell ref="L24:L26"/>
    <mergeCell ref="I34:I36"/>
    <mergeCell ref="J34:J36"/>
    <mergeCell ref="K34:K36"/>
    <mergeCell ref="L34:L36"/>
    <mergeCell ref="O34:O36"/>
    <mergeCell ref="P34:P36"/>
    <mergeCell ref="T24:T26"/>
    <mergeCell ref="R24:R26"/>
    <mergeCell ref="S24:S26"/>
    <mergeCell ref="M34:M36"/>
    <mergeCell ref="N34:N36"/>
    <mergeCell ref="I24:I26"/>
    <mergeCell ref="C27:D27"/>
    <mergeCell ref="B24:B26"/>
    <mergeCell ref="C24:D26"/>
    <mergeCell ref="B34:B36"/>
    <mergeCell ref="C34:D36"/>
    <mergeCell ref="H34:H36"/>
    <mergeCell ref="F34:F36"/>
    <mergeCell ref="G34:G36"/>
    <mergeCell ref="C28:D28"/>
    <mergeCell ref="E34:E36"/>
    <mergeCell ref="B30:B31"/>
    <mergeCell ref="C30:D30"/>
    <mergeCell ref="C31:D31"/>
    <mergeCell ref="B32:D32"/>
    <mergeCell ref="P45:P47"/>
    <mergeCell ref="C48:D48"/>
    <mergeCell ref="C49:D49"/>
    <mergeCell ref="K45:K47"/>
    <mergeCell ref="P55:P57"/>
    <mergeCell ref="C58:D58"/>
    <mergeCell ref="O55:O57"/>
    <mergeCell ref="E55:E57"/>
    <mergeCell ref="F55:F57"/>
    <mergeCell ref="N45:N47"/>
    <mergeCell ref="G45:G47"/>
    <mergeCell ref="E45:E47"/>
    <mergeCell ref="F45:F47"/>
    <mergeCell ref="H45:H47"/>
    <mergeCell ref="I45:I47"/>
    <mergeCell ref="J45:J47"/>
    <mergeCell ref="B53:D53"/>
    <mergeCell ref="B55:B57"/>
    <mergeCell ref="K55:K57"/>
    <mergeCell ref="L55:L57"/>
    <mergeCell ref="M55:M57"/>
    <mergeCell ref="N55:N57"/>
    <mergeCell ref="G55:G57"/>
    <mergeCell ref="H55:H57"/>
    <mergeCell ref="G65:G67"/>
    <mergeCell ref="P75:P77"/>
    <mergeCell ref="I65:I67"/>
    <mergeCell ref="C68:D68"/>
    <mergeCell ref="C78:D78"/>
    <mergeCell ref="C79:D79"/>
    <mergeCell ref="F75:F77"/>
    <mergeCell ref="B75:B77"/>
    <mergeCell ref="C75:D77"/>
    <mergeCell ref="E75:E77"/>
    <mergeCell ref="C65:D67"/>
    <mergeCell ref="E65:E67"/>
    <mergeCell ref="P65:P67"/>
    <mergeCell ref="K65:K67"/>
    <mergeCell ref="L65:L67"/>
    <mergeCell ref="O75:O77"/>
    <mergeCell ref="J75:J77"/>
    <mergeCell ref="O65:O67"/>
    <mergeCell ref="J65:J67"/>
    <mergeCell ref="M65:M67"/>
    <mergeCell ref="N65:N67"/>
    <mergeCell ref="P95:P97"/>
    <mergeCell ref="K95:K97"/>
    <mergeCell ref="L95:L97"/>
    <mergeCell ref="M95:M97"/>
    <mergeCell ref="N95:N97"/>
    <mergeCell ref="G95:G97"/>
    <mergeCell ref="K75:K77"/>
    <mergeCell ref="L75:L77"/>
    <mergeCell ref="M75:M77"/>
    <mergeCell ref="N75:N77"/>
    <mergeCell ref="G75:G77"/>
    <mergeCell ref="H75:H77"/>
    <mergeCell ref="I75:I77"/>
    <mergeCell ref="P85:P87"/>
    <mergeCell ref="C99:D99"/>
    <mergeCell ref="C121:D121"/>
    <mergeCell ref="B112:D112"/>
    <mergeCell ref="O85:O87"/>
    <mergeCell ref="J85:J87"/>
    <mergeCell ref="E85:E87"/>
    <mergeCell ref="E95:E97"/>
    <mergeCell ref="F95:F97"/>
    <mergeCell ref="O95:O97"/>
    <mergeCell ref="C109:D109"/>
    <mergeCell ref="B117:B118"/>
    <mergeCell ref="C117:D117"/>
    <mergeCell ref="C118:D118"/>
    <mergeCell ref="C116:D116"/>
    <mergeCell ref="C88:D88"/>
    <mergeCell ref="K85:K87"/>
    <mergeCell ref="L85:L87"/>
    <mergeCell ref="M85:M87"/>
    <mergeCell ref="N85:N87"/>
    <mergeCell ref="G85:G87"/>
    <mergeCell ref="H85:H87"/>
    <mergeCell ref="I85:I87"/>
    <mergeCell ref="F85:F87"/>
    <mergeCell ref="C85:D87"/>
    <mergeCell ref="C177:D177"/>
    <mergeCell ref="C178:D178"/>
    <mergeCell ref="C179:D179"/>
    <mergeCell ref="B180:B181"/>
    <mergeCell ref="C180:D180"/>
    <mergeCell ref="C181:D181"/>
    <mergeCell ref="B182:D182"/>
    <mergeCell ref="J95:J97"/>
    <mergeCell ref="P105:P107"/>
    <mergeCell ref="C108:D108"/>
    <mergeCell ref="K105:K107"/>
    <mergeCell ref="L105:L107"/>
    <mergeCell ref="M105:M107"/>
    <mergeCell ref="N105:N107"/>
    <mergeCell ref="G105:G107"/>
    <mergeCell ref="H105:H107"/>
    <mergeCell ref="I105:I107"/>
    <mergeCell ref="O105:O107"/>
    <mergeCell ref="J105:J107"/>
    <mergeCell ref="C105:D107"/>
    <mergeCell ref="E105:E107"/>
    <mergeCell ref="F105:F107"/>
    <mergeCell ref="H95:H97"/>
    <mergeCell ref="I95:I97"/>
    <mergeCell ref="C191:D191"/>
    <mergeCell ref="C192:D192"/>
    <mergeCell ref="C193:D193"/>
    <mergeCell ref="B194:B195"/>
    <mergeCell ref="C194:D194"/>
    <mergeCell ref="C195:D195"/>
    <mergeCell ref="B196:D196"/>
    <mergeCell ref="C184:D184"/>
    <mergeCell ref="C185:D185"/>
    <mergeCell ref="C186:D186"/>
    <mergeCell ref="B187:B188"/>
    <mergeCell ref="C187:D187"/>
    <mergeCell ref="C188:D188"/>
    <mergeCell ref="B189:D189"/>
  </mergeCells>
  <phoneticPr fontId="0" type="noConversion"/>
  <printOptions horizontalCentered="1"/>
  <pageMargins left="0" right="0" top="0.39370078740157483" bottom="0.39370078740157483" header="0" footer="0"/>
  <pageSetup paperSize="5" scale="70" firstPageNumber="19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58"/>
  <sheetViews>
    <sheetView showGridLines="0" showZeros="0" topLeftCell="A202" zoomScale="80" zoomScaleNormal="80" zoomScaleSheetLayoutView="40" zoomScalePageLayoutView="60" workbookViewId="0">
      <selection activeCell="D217" sqref="D217"/>
    </sheetView>
  </sheetViews>
  <sheetFormatPr baseColWidth="10" defaultColWidth="11.42578125" defaultRowHeight="18"/>
  <cols>
    <col min="1" max="1" width="6.140625" style="1" customWidth="1"/>
    <col min="2" max="2" width="6.28515625" style="61" customWidth="1"/>
    <col min="3" max="3" width="13.7109375" style="61" customWidth="1"/>
    <col min="4" max="4" width="59.140625" style="61" customWidth="1"/>
    <col min="5" max="5" width="7.28515625" style="61" customWidth="1"/>
    <col min="6" max="6" width="7.42578125" style="61" customWidth="1"/>
    <col min="7" max="7" width="24.42578125" style="61" customWidth="1"/>
    <col min="8" max="8" width="4.42578125" style="61" customWidth="1"/>
    <col min="9" max="9" width="30.140625" style="152" customWidth="1"/>
    <col min="10" max="10" width="19.28515625" style="152" customWidth="1"/>
    <col min="11" max="11" width="9.28515625" style="100" customWidth="1"/>
    <col min="12" max="12" width="9.42578125" style="100" hidden="1" customWidth="1"/>
    <col min="13" max="13" width="9.140625" style="100" hidden="1" customWidth="1"/>
    <col min="14" max="16" width="8.5703125" style="100" hidden="1" customWidth="1"/>
    <col min="17" max="17" width="9" style="100" hidden="1" customWidth="1"/>
    <col min="18" max="19" width="8.5703125" style="100" hidden="1" customWidth="1"/>
    <col min="20" max="20" width="8.85546875" style="100" hidden="1" customWidth="1"/>
    <col min="21" max="21" width="9.7109375" style="100" hidden="1" customWidth="1"/>
    <col min="22" max="23" width="9.7109375" style="101" hidden="1" customWidth="1"/>
    <col min="24" max="24" width="10.140625" style="61" hidden="1" customWidth="1"/>
    <col min="25" max="25" width="10.5703125" style="61" hidden="1" customWidth="1"/>
    <col min="26" max="28" width="9.7109375" style="61" hidden="1" customWidth="1"/>
    <col min="29" max="29" width="10.140625" style="61" hidden="1" customWidth="1"/>
    <col min="30" max="30" width="9.85546875" style="61" hidden="1" customWidth="1"/>
    <col min="31" max="31" width="10.140625" style="61" hidden="1" customWidth="1"/>
    <col min="32" max="32" width="9.85546875" style="61" hidden="1" customWidth="1"/>
    <col min="33" max="34" width="10.140625" style="61" hidden="1" customWidth="1"/>
    <col min="35" max="35" width="9.85546875" style="102" hidden="1" customWidth="1"/>
    <col min="36" max="36" width="10.42578125" style="61" hidden="1" customWidth="1"/>
    <col min="37" max="37" width="10.28515625" style="61" hidden="1" customWidth="1"/>
    <col min="38" max="38" width="10.140625" style="61" hidden="1" customWidth="1"/>
    <col min="39" max="40" width="9.85546875" style="61" hidden="1" customWidth="1"/>
    <col min="41" max="41" width="10.5703125" style="61" hidden="1" customWidth="1"/>
    <col min="42" max="42" width="10.7109375" style="102" hidden="1" customWidth="1"/>
    <col min="43" max="43" width="9.7109375" style="61" hidden="1" customWidth="1"/>
    <col min="44" max="44" width="9.85546875" style="61" hidden="1" customWidth="1"/>
    <col min="45" max="45" width="10.42578125" style="61" hidden="1" customWidth="1"/>
    <col min="46" max="46" width="10" style="61" hidden="1" customWidth="1"/>
    <col min="47" max="47" width="10.28515625" style="61" hidden="1" customWidth="1"/>
    <col min="48" max="48" width="9.7109375" style="61" hidden="1" customWidth="1"/>
    <col min="49" max="49" width="10.140625" style="61" hidden="1" customWidth="1"/>
    <col min="50" max="50" width="10.5703125" style="61" hidden="1" customWidth="1"/>
    <col min="51" max="51" width="9.7109375" style="102" hidden="1" customWidth="1"/>
    <col min="52" max="52" width="11.28515625" style="102" hidden="1" customWidth="1"/>
    <col min="53" max="53" width="11.5703125" style="102" hidden="1" customWidth="1"/>
    <col min="54" max="54" width="11" style="102" hidden="1" customWidth="1"/>
    <col min="55" max="55" width="11" style="103" hidden="1" customWidth="1"/>
    <col min="56" max="56" width="11.140625" style="102" hidden="1" customWidth="1"/>
    <col min="57" max="57" width="11.28515625" style="103" hidden="1" customWidth="1"/>
    <col min="58" max="58" width="10.85546875" style="103" hidden="1" customWidth="1"/>
    <col min="59" max="59" width="11" style="103" hidden="1" customWidth="1"/>
    <col min="60" max="61" width="11.140625" style="103" hidden="1" customWidth="1"/>
    <col min="62" max="62" width="11" style="103" hidden="1" customWidth="1"/>
    <col min="63" max="65" width="11.7109375" style="103" hidden="1" customWidth="1"/>
    <col min="66" max="66" width="10.7109375" style="103" hidden="1" customWidth="1"/>
    <col min="67" max="69" width="11.7109375" style="103" hidden="1" customWidth="1"/>
    <col min="70" max="70" width="9.85546875" style="103" hidden="1" customWidth="1"/>
    <col min="71" max="83" width="10.140625" style="103" hidden="1" customWidth="1"/>
    <col min="84" max="84" width="9.7109375" style="103" hidden="1" customWidth="1"/>
    <col min="85" max="85" width="10.42578125" style="103" hidden="1" customWidth="1"/>
    <col min="86" max="86" width="10.28515625" style="103" hidden="1" customWidth="1"/>
    <col min="87" max="87" width="10.140625" style="103" hidden="1" customWidth="1"/>
    <col min="88" max="88" width="10.28515625" style="103" hidden="1" customWidth="1"/>
    <col min="89" max="89" width="10.7109375" style="103" hidden="1" customWidth="1"/>
    <col min="90" max="90" width="10.28515625" style="103" hidden="1" customWidth="1"/>
    <col min="91" max="91" width="10.7109375" style="103" hidden="1" customWidth="1"/>
    <col min="92" max="93" width="10.28515625" style="103" hidden="1" customWidth="1"/>
    <col min="94" max="94" width="10.42578125" style="103" hidden="1" customWidth="1"/>
    <col min="95" max="95" width="10.85546875" style="103" hidden="1" customWidth="1"/>
    <col min="96" max="96" width="9.42578125" style="103" hidden="1" customWidth="1"/>
    <col min="97" max="97" width="9.85546875" style="103" hidden="1" customWidth="1"/>
    <col min="98" max="98" width="10" style="103" hidden="1" customWidth="1"/>
    <col min="99" max="99" width="9.85546875" style="103" hidden="1" customWidth="1"/>
    <col min="100" max="100" width="10" style="103" hidden="1" customWidth="1"/>
    <col min="101" max="101" width="10.140625" style="103" hidden="1" customWidth="1"/>
    <col min="102" max="107" width="10.42578125" style="103" hidden="1" customWidth="1"/>
    <col min="108" max="108" width="9.7109375" style="103" hidden="1" customWidth="1"/>
    <col min="109" max="109" width="10.42578125" style="103" hidden="1" customWidth="1"/>
    <col min="110" max="111" width="10" style="103" hidden="1" customWidth="1"/>
    <col min="112" max="112" width="10.140625" style="103" hidden="1" customWidth="1"/>
    <col min="113" max="113" width="10" style="103" hidden="1" customWidth="1"/>
    <col min="114" max="117" width="10.42578125" style="103" hidden="1" customWidth="1"/>
    <col min="118" max="118" width="12.7109375" style="103" hidden="1" customWidth="1"/>
    <col min="119" max="119" width="11" style="103" hidden="1" customWidth="1"/>
    <col min="120" max="120" width="10.42578125" style="103" hidden="1" customWidth="1"/>
    <col min="121" max="121" width="10.28515625" style="103" hidden="1" customWidth="1"/>
    <col min="122" max="122" width="11" style="103" hidden="1" customWidth="1"/>
    <col min="123" max="123" width="10.5703125" style="103" hidden="1" customWidth="1"/>
    <col min="124" max="124" width="10.28515625" style="103" hidden="1" customWidth="1"/>
    <col min="125" max="125" width="10.140625" style="103" hidden="1" customWidth="1"/>
    <col min="126" max="126" width="11.140625" style="103" hidden="1" customWidth="1"/>
    <col min="127" max="129" width="10.42578125" style="103" hidden="1" customWidth="1"/>
    <col min="130" max="130" width="10.85546875" style="103" hidden="1" customWidth="1"/>
    <col min="131" max="131" width="11.28515625" style="103" hidden="1" customWidth="1"/>
    <col min="132" max="132" width="11" style="103" hidden="1" customWidth="1"/>
    <col min="133" max="134" width="11.28515625" style="103" hidden="1" customWidth="1"/>
    <col min="135" max="135" width="10.7109375" style="103" hidden="1" customWidth="1"/>
    <col min="136" max="136" width="12.5703125" style="103" hidden="1" customWidth="1"/>
    <col min="137" max="137" width="11.85546875" style="103" hidden="1" customWidth="1"/>
    <col min="138" max="138" width="11.42578125" style="103" hidden="1" customWidth="1"/>
    <col min="139" max="139" width="10" style="103" hidden="1" customWidth="1"/>
    <col min="140" max="140" width="11.28515625" style="103" hidden="1" customWidth="1"/>
    <col min="141" max="141" width="10.140625" style="103" hidden="1" customWidth="1"/>
    <col min="142" max="142" width="11.28515625" style="103" hidden="1" customWidth="1"/>
    <col min="143" max="144" width="11.140625" style="103" hidden="1" customWidth="1"/>
    <col min="145" max="145" width="10.85546875" style="103" hidden="1" customWidth="1"/>
    <col min="146" max="146" width="11" style="103" hidden="1" customWidth="1"/>
    <col min="147" max="147" width="10.42578125" style="103" hidden="1" customWidth="1"/>
    <col min="148" max="148" width="10.5703125" style="103" hidden="1" customWidth="1"/>
    <col min="149" max="149" width="10.28515625" style="103" hidden="1" customWidth="1"/>
    <col min="150" max="151" width="10.7109375" style="103" hidden="1" customWidth="1"/>
    <col min="152" max="152" width="12.140625" style="103" hidden="1" customWidth="1"/>
    <col min="153" max="153" width="11" style="103" hidden="1" customWidth="1"/>
    <col min="154" max="154" width="10.5703125" style="103" hidden="1" customWidth="1"/>
    <col min="155" max="155" width="10.140625" style="103" hidden="1" customWidth="1"/>
    <col min="156" max="156" width="10.42578125" style="103" hidden="1" customWidth="1"/>
    <col min="157" max="159" width="10.7109375" style="103" hidden="1" customWidth="1"/>
    <col min="160" max="164" width="10.140625" style="103" hidden="1" customWidth="1"/>
    <col min="165" max="167" width="10.140625" style="103" customWidth="1"/>
    <col min="168" max="177" width="10.140625" style="1535" customWidth="1"/>
    <col min="178" max="178" width="10.7109375" style="1535" customWidth="1"/>
    <col min="179" max="16384" width="11.42578125" style="1"/>
  </cols>
  <sheetData>
    <row r="1" spans="1:179" ht="18.75" thickBot="1">
      <c r="A1" s="1">
        <v>0</v>
      </c>
      <c r="B1" s="60"/>
      <c r="C1" s="60"/>
      <c r="D1" s="60"/>
      <c r="E1" s="60"/>
      <c r="F1" s="60"/>
      <c r="G1" s="60"/>
      <c r="H1" s="60"/>
      <c r="I1" s="155"/>
      <c r="J1" s="15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5"/>
      <c r="W1" s="105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923"/>
      <c r="AJ1" s="60"/>
      <c r="AK1" s="60"/>
      <c r="AL1" s="60"/>
      <c r="AM1" s="60"/>
      <c r="AN1" s="60"/>
      <c r="AO1" s="60"/>
      <c r="AP1" s="923"/>
      <c r="AQ1" s="60"/>
      <c r="AR1" s="60"/>
      <c r="AS1" s="60"/>
      <c r="AT1" s="60"/>
      <c r="AU1" s="60"/>
      <c r="AV1" s="60"/>
      <c r="AW1" s="60"/>
      <c r="AX1" s="60"/>
      <c r="AY1" s="923"/>
      <c r="AZ1" s="923"/>
      <c r="BA1" s="923"/>
      <c r="BB1" s="923"/>
      <c r="BC1" s="830"/>
      <c r="BD1" s="923"/>
      <c r="BE1" s="830"/>
      <c r="BF1" s="830"/>
      <c r="BG1" s="830"/>
      <c r="BH1" s="830"/>
      <c r="BI1" s="830"/>
      <c r="BJ1" s="830"/>
      <c r="BK1" s="830"/>
      <c r="BL1" s="830"/>
      <c r="BM1" s="830"/>
      <c r="BN1" s="830"/>
      <c r="BO1" s="830"/>
      <c r="BP1" s="830"/>
      <c r="BQ1" s="830"/>
      <c r="BR1" s="830"/>
      <c r="BS1" s="830"/>
      <c r="BT1" s="830"/>
      <c r="BU1" s="830"/>
      <c r="BV1" s="830"/>
      <c r="BW1" s="830"/>
      <c r="BX1" s="830"/>
      <c r="BY1" s="830"/>
      <c r="BZ1" s="830"/>
      <c r="CA1" s="830"/>
      <c r="CB1" s="830"/>
      <c r="CC1" s="830"/>
      <c r="CD1" s="830"/>
      <c r="CE1" s="830"/>
      <c r="CF1" s="830"/>
      <c r="CG1" s="830"/>
      <c r="CH1" s="830"/>
      <c r="CI1" s="830"/>
      <c r="CJ1" s="830"/>
      <c r="CK1" s="830"/>
      <c r="CL1" s="830"/>
      <c r="CM1" s="830"/>
      <c r="CN1" s="830"/>
      <c r="CO1" s="830"/>
      <c r="CP1" s="830"/>
      <c r="CQ1" s="830"/>
      <c r="CR1" s="830"/>
      <c r="CS1" s="830"/>
      <c r="CT1" s="830"/>
      <c r="CU1" s="830"/>
      <c r="CV1" s="830"/>
      <c r="CW1" s="830"/>
      <c r="CX1" s="830"/>
      <c r="CY1" s="830"/>
      <c r="CZ1" s="830"/>
      <c r="DA1" s="830"/>
      <c r="DB1" s="830"/>
      <c r="DC1" s="830"/>
      <c r="DD1" s="830"/>
      <c r="DE1" s="830"/>
      <c r="DF1" s="830"/>
      <c r="DG1" s="830"/>
      <c r="DH1" s="830"/>
      <c r="DI1" s="830"/>
      <c r="DJ1" s="830"/>
      <c r="DK1" s="830"/>
      <c r="DL1" s="830"/>
      <c r="DM1" s="830"/>
      <c r="DN1" s="830"/>
      <c r="DO1" s="830"/>
      <c r="DP1" s="830"/>
      <c r="DQ1" s="830"/>
      <c r="DR1" s="830"/>
      <c r="DS1" s="830"/>
      <c r="DT1" s="960"/>
      <c r="DU1" s="960"/>
      <c r="DV1" s="830"/>
      <c r="DW1" s="830"/>
      <c r="DX1" s="830"/>
      <c r="DY1" s="830"/>
      <c r="DZ1" s="830"/>
      <c r="EA1" s="830"/>
      <c r="EB1" s="830"/>
      <c r="EC1" s="830"/>
      <c r="ED1" s="830"/>
      <c r="EE1" s="830"/>
      <c r="EF1" s="830"/>
      <c r="EG1" s="830"/>
      <c r="EH1" s="830"/>
      <c r="EI1" s="830"/>
      <c r="EJ1" s="830"/>
      <c r="EK1" s="830"/>
      <c r="EL1" s="830"/>
      <c r="EM1" s="830"/>
      <c r="EN1" s="830"/>
      <c r="EO1" s="830"/>
      <c r="EP1" s="830"/>
      <c r="EQ1" s="830"/>
      <c r="ER1" s="830"/>
      <c r="ES1" s="830"/>
      <c r="ET1" s="830"/>
      <c r="EU1" s="830"/>
      <c r="EV1" s="830"/>
      <c r="EW1" s="830"/>
      <c r="EX1" s="830"/>
      <c r="EY1" s="830"/>
      <c r="EZ1" s="830"/>
      <c r="FA1" s="830"/>
      <c r="FB1" s="830"/>
      <c r="FC1" s="830"/>
      <c r="FD1" s="830"/>
      <c r="FE1" s="830"/>
      <c r="FF1" s="830"/>
      <c r="FG1" s="830"/>
      <c r="FH1" s="830"/>
      <c r="FI1" s="830"/>
      <c r="FJ1" s="830"/>
      <c r="FK1" s="830"/>
      <c r="FL1" s="1167"/>
      <c r="FM1" s="1167"/>
      <c r="FN1" s="1167"/>
      <c r="FO1" s="1167"/>
      <c r="FP1" s="1167"/>
      <c r="FQ1" s="1167"/>
      <c r="FR1" s="1167"/>
      <c r="FS1" s="1167"/>
      <c r="FT1" s="1167"/>
      <c r="FU1" s="1167"/>
      <c r="FV1" s="1167"/>
    </row>
    <row r="2" spans="1:179" ht="23.25" customHeight="1" thickBot="1">
      <c r="A2" s="1541">
        <v>1</v>
      </c>
      <c r="B2" s="1528" t="s">
        <v>954</v>
      </c>
      <c r="C2" s="1529"/>
      <c r="D2" s="1529"/>
      <c r="E2" s="1529"/>
      <c r="F2" s="1529"/>
      <c r="G2" s="1529"/>
      <c r="H2" s="1529"/>
      <c r="I2" s="1529"/>
      <c r="J2" s="1529"/>
      <c r="K2" s="1529"/>
      <c r="L2" s="1529"/>
      <c r="M2" s="1529"/>
      <c r="N2" s="1529"/>
      <c r="O2" s="1529"/>
      <c r="P2" s="1529"/>
      <c r="Q2" s="1529"/>
      <c r="R2" s="1529"/>
      <c r="S2" s="1529"/>
      <c r="T2" s="1529"/>
      <c r="U2" s="1529"/>
      <c r="V2" s="1529"/>
      <c r="W2" s="1529"/>
      <c r="X2" s="1529"/>
      <c r="Y2" s="1529"/>
      <c r="Z2" s="1529"/>
      <c r="AA2" s="1529"/>
      <c r="AB2" s="1529"/>
      <c r="AC2" s="1529"/>
      <c r="AD2" s="1529"/>
      <c r="AE2" s="1529"/>
      <c r="AF2" s="1529"/>
      <c r="AG2" s="1529"/>
      <c r="AH2" s="1529"/>
      <c r="AI2" s="1529"/>
      <c r="AJ2" s="1529"/>
      <c r="AK2" s="1529"/>
      <c r="AL2" s="1529"/>
      <c r="AM2" s="1529"/>
      <c r="AN2" s="1529"/>
      <c r="AO2" s="1529"/>
      <c r="AP2" s="1529"/>
      <c r="AQ2" s="1529"/>
      <c r="AR2" s="1529"/>
      <c r="AS2" s="1529"/>
      <c r="AT2" s="1529"/>
      <c r="AU2" s="1529"/>
      <c r="AV2" s="1529"/>
      <c r="AW2" s="1529"/>
      <c r="AX2" s="1529"/>
      <c r="AY2" s="1529"/>
      <c r="AZ2" s="1529"/>
      <c r="BA2" s="1529"/>
      <c r="BB2" s="1529"/>
      <c r="BC2" s="1529"/>
      <c r="BD2" s="1529"/>
      <c r="BE2" s="1529"/>
      <c r="BF2" s="1529"/>
      <c r="BG2" s="1529"/>
      <c r="BH2" s="1529"/>
      <c r="BI2" s="1529"/>
      <c r="BJ2" s="1529"/>
      <c r="BK2" s="1529"/>
      <c r="BL2" s="1529"/>
      <c r="BM2" s="1529"/>
      <c r="BN2" s="1529"/>
      <c r="BO2" s="1529"/>
      <c r="BP2" s="1529"/>
      <c r="BQ2" s="1529"/>
      <c r="BR2" s="1529"/>
      <c r="BS2" s="1529"/>
      <c r="BT2" s="1529"/>
      <c r="BU2" s="1529"/>
      <c r="BV2" s="1529"/>
      <c r="BW2" s="1529"/>
      <c r="BX2" s="1529"/>
      <c r="BY2" s="1529"/>
      <c r="BZ2" s="1529"/>
      <c r="CA2" s="1529"/>
      <c r="CB2" s="1529"/>
      <c r="CC2" s="1529"/>
      <c r="CD2" s="1529"/>
      <c r="CE2" s="1529"/>
      <c r="CF2" s="1529"/>
      <c r="CG2" s="1529"/>
      <c r="CH2" s="1529"/>
      <c r="CI2" s="1529"/>
      <c r="CJ2" s="1529"/>
      <c r="CK2" s="1529"/>
      <c r="CL2" s="1529"/>
      <c r="CM2" s="1529"/>
      <c r="CN2" s="1529"/>
      <c r="CO2" s="1529"/>
      <c r="CP2" s="1529"/>
      <c r="CQ2" s="1529"/>
      <c r="CR2" s="1529"/>
      <c r="CS2" s="1529"/>
      <c r="CT2" s="1529"/>
      <c r="CU2" s="1529"/>
      <c r="CV2" s="1529"/>
      <c r="CW2" s="1529"/>
      <c r="CX2" s="1529"/>
      <c r="CY2" s="1529"/>
      <c r="CZ2" s="1529"/>
      <c r="DA2" s="1529"/>
      <c r="DB2" s="1529"/>
      <c r="DC2" s="1529"/>
      <c r="DD2" s="1529"/>
      <c r="DE2" s="1529"/>
      <c r="DF2" s="1529"/>
      <c r="DG2" s="1529"/>
      <c r="DH2" s="1529"/>
      <c r="DI2" s="1529"/>
      <c r="DJ2" s="1529"/>
      <c r="DK2" s="1529"/>
      <c r="DL2" s="1529"/>
      <c r="DM2" s="1529"/>
      <c r="DN2" s="1529"/>
      <c r="DO2" s="1529"/>
      <c r="DP2" s="1529"/>
      <c r="DQ2" s="1529"/>
      <c r="DR2" s="1529"/>
      <c r="DS2" s="1529"/>
      <c r="DT2" s="1529"/>
      <c r="DU2" s="1529"/>
      <c r="DV2" s="1529"/>
      <c r="DW2" s="1529"/>
      <c r="DX2" s="1529"/>
      <c r="DY2" s="1529"/>
      <c r="DZ2" s="1529"/>
      <c r="EA2" s="1529"/>
      <c r="EB2" s="1529"/>
      <c r="EC2" s="1529"/>
      <c r="ED2" s="1529"/>
      <c r="EE2" s="1529"/>
      <c r="EF2" s="1529"/>
      <c r="EG2" s="1529"/>
      <c r="EH2" s="1529"/>
      <c r="EI2" s="1529"/>
      <c r="EJ2" s="1529"/>
      <c r="EK2" s="1529"/>
      <c r="EL2" s="1529"/>
      <c r="EM2" s="1529"/>
      <c r="EN2" s="1529"/>
      <c r="EO2" s="1529"/>
      <c r="EP2" s="1529"/>
      <c r="EQ2" s="1529"/>
      <c r="ER2" s="1529"/>
      <c r="ES2" s="1529"/>
      <c r="ET2" s="1529"/>
      <c r="EU2" s="1529"/>
      <c r="EV2" s="1529"/>
      <c r="EW2" s="1529"/>
      <c r="EX2" s="1529"/>
      <c r="EY2" s="1529"/>
      <c r="EZ2" s="1529"/>
      <c r="FA2" s="1529"/>
      <c r="FB2" s="1529"/>
      <c r="FC2" s="1529"/>
      <c r="FD2" s="1529"/>
      <c r="FE2" s="1529"/>
      <c r="FF2" s="1529"/>
      <c r="FG2" s="1529"/>
      <c r="FH2" s="1529"/>
      <c r="FI2" s="1529"/>
      <c r="FJ2" s="1529"/>
      <c r="FK2" s="1529"/>
      <c r="FL2" s="1593"/>
      <c r="FM2" s="1593"/>
      <c r="FN2" s="1593"/>
      <c r="FO2" s="1593"/>
      <c r="FP2" s="1593"/>
      <c r="FQ2" s="1593"/>
      <c r="FR2" s="1593"/>
      <c r="FS2" s="1593"/>
      <c r="FT2" s="1593"/>
      <c r="FU2" s="1527"/>
      <c r="FV2" s="1166"/>
      <c r="FW2" s="1597"/>
    </row>
    <row r="3" spans="1:179" ht="18.75" thickBot="1">
      <c r="A3" s="1542">
        <v>1</v>
      </c>
      <c r="B3" s="2892" t="s">
        <v>479</v>
      </c>
      <c r="C3" s="2893"/>
      <c r="D3" s="2897" t="s">
        <v>894</v>
      </c>
      <c r="E3" s="2897" t="s">
        <v>895</v>
      </c>
      <c r="F3" s="2897" t="s">
        <v>480</v>
      </c>
      <c r="G3" s="2897" t="s">
        <v>896</v>
      </c>
      <c r="H3" s="2909" t="s">
        <v>897</v>
      </c>
      <c r="I3" s="2902" t="s">
        <v>898</v>
      </c>
      <c r="J3" s="2904" t="s">
        <v>899</v>
      </c>
      <c r="K3" s="841">
        <v>2001</v>
      </c>
      <c r="L3" s="2906">
        <v>2002</v>
      </c>
      <c r="M3" s="2907"/>
      <c r="N3" s="2907"/>
      <c r="O3" s="2907"/>
      <c r="P3" s="2907"/>
      <c r="Q3" s="2907"/>
      <c r="R3" s="2907"/>
      <c r="S3" s="2907"/>
      <c r="T3" s="2907"/>
      <c r="U3" s="2907"/>
      <c r="V3" s="2907"/>
      <c r="W3" s="2908"/>
      <c r="X3" s="2899">
        <v>2003</v>
      </c>
      <c r="Y3" s="2900"/>
      <c r="Z3" s="2900"/>
      <c r="AA3" s="2900"/>
      <c r="AB3" s="2900"/>
      <c r="AC3" s="2900"/>
      <c r="AD3" s="2900"/>
      <c r="AE3" s="2900"/>
      <c r="AF3" s="2900"/>
      <c r="AG3" s="2900"/>
      <c r="AH3" s="2911"/>
      <c r="AI3" s="2911"/>
      <c r="AJ3" s="832"/>
      <c r="AK3" s="781"/>
      <c r="AL3" s="781"/>
      <c r="AM3" s="781"/>
      <c r="AN3" s="781"/>
      <c r="AO3" s="2900">
        <v>2004</v>
      </c>
      <c r="AP3" s="2900"/>
      <c r="AQ3" s="2900"/>
      <c r="AR3" s="2900"/>
      <c r="AS3" s="2900"/>
      <c r="AT3" s="2900"/>
      <c r="AU3" s="2901"/>
      <c r="AV3" s="2899">
        <v>2005</v>
      </c>
      <c r="AW3" s="2900"/>
      <c r="AX3" s="2900"/>
      <c r="AY3" s="2900"/>
      <c r="AZ3" s="2900"/>
      <c r="BA3" s="2900"/>
      <c r="BB3" s="2900"/>
      <c r="BC3" s="2900"/>
      <c r="BD3" s="2900"/>
      <c r="BE3" s="2900"/>
      <c r="BF3" s="2900"/>
      <c r="BG3" s="2901"/>
      <c r="BH3" s="2906">
        <v>2006</v>
      </c>
      <c r="BI3" s="2907"/>
      <c r="BJ3" s="2907"/>
      <c r="BK3" s="2907"/>
      <c r="BL3" s="2907"/>
      <c r="BM3" s="2907"/>
      <c r="BN3" s="2907"/>
      <c r="BO3" s="2907"/>
      <c r="BP3" s="2907"/>
      <c r="BQ3" s="2907"/>
      <c r="BR3" s="2907"/>
      <c r="BS3" s="2907"/>
      <c r="BT3" s="2894">
        <v>2007</v>
      </c>
      <c r="BU3" s="2895"/>
      <c r="BV3" s="2895"/>
      <c r="BW3" s="2895"/>
      <c r="BX3" s="2895"/>
      <c r="BY3" s="2895"/>
      <c r="BZ3" s="2895"/>
      <c r="CA3" s="2895"/>
      <c r="CB3" s="2895"/>
      <c r="CC3" s="2895"/>
      <c r="CD3" s="2895"/>
      <c r="CE3" s="2896"/>
      <c r="CF3" s="2894">
        <v>2008</v>
      </c>
      <c r="CG3" s="2895"/>
      <c r="CH3" s="2895"/>
      <c r="CI3" s="2895"/>
      <c r="CJ3" s="2895"/>
      <c r="CK3" s="2895"/>
      <c r="CL3" s="2895"/>
      <c r="CM3" s="2895"/>
      <c r="CN3" s="2895"/>
      <c r="CO3" s="2895"/>
      <c r="CP3" s="2895"/>
      <c r="CQ3" s="2896"/>
      <c r="CR3" s="2894">
        <v>2009</v>
      </c>
      <c r="CS3" s="2895"/>
      <c r="CT3" s="2895"/>
      <c r="CU3" s="2895"/>
      <c r="CV3" s="2895"/>
      <c r="CW3" s="2895"/>
      <c r="CX3" s="2895"/>
      <c r="CY3" s="2895"/>
      <c r="CZ3" s="2895"/>
      <c r="DA3" s="2895"/>
      <c r="DB3" s="2895"/>
      <c r="DC3" s="2895"/>
      <c r="DD3" s="2894">
        <v>2010</v>
      </c>
      <c r="DE3" s="2895"/>
      <c r="DF3" s="2895"/>
      <c r="DG3" s="2895"/>
      <c r="DH3" s="2895"/>
      <c r="DI3" s="2895"/>
      <c r="DJ3" s="2895"/>
      <c r="DK3" s="2895"/>
      <c r="DL3" s="2895"/>
      <c r="DM3" s="2895"/>
      <c r="DN3" s="2895"/>
      <c r="DO3" s="2896"/>
      <c r="DP3" s="2894">
        <v>2011</v>
      </c>
      <c r="DQ3" s="2895"/>
      <c r="DR3" s="2895"/>
      <c r="DS3" s="2895"/>
      <c r="DT3" s="2895"/>
      <c r="DU3" s="2895"/>
      <c r="DV3" s="2895"/>
      <c r="DW3" s="2895"/>
      <c r="DX3" s="2895"/>
      <c r="DY3" s="2895"/>
      <c r="DZ3" s="2895"/>
      <c r="EA3" s="903"/>
      <c r="EB3" s="2894">
        <v>2012</v>
      </c>
      <c r="EC3" s="2895"/>
      <c r="ED3" s="2895"/>
      <c r="EE3" s="2895"/>
      <c r="EF3" s="2895"/>
      <c r="EG3" s="2895"/>
      <c r="EH3" s="2895"/>
      <c r="EI3" s="2895"/>
      <c r="EJ3" s="2895"/>
      <c r="EK3" s="2895"/>
      <c r="EL3" s="2895"/>
      <c r="EM3" s="2896"/>
      <c r="EN3" s="2894">
        <v>2013</v>
      </c>
      <c r="EO3" s="2895"/>
      <c r="EP3" s="2895"/>
      <c r="EQ3" s="2895"/>
      <c r="ER3" s="2895"/>
      <c r="ES3" s="2895"/>
      <c r="ET3" s="2895"/>
      <c r="EU3" s="2895"/>
      <c r="EV3" s="2895"/>
      <c r="EW3" s="2895"/>
      <c r="EX3" s="2895"/>
      <c r="EY3" s="2896"/>
      <c r="EZ3" s="1556"/>
      <c r="FA3" s="1530"/>
      <c r="FB3" s="1530"/>
      <c r="FC3" s="1530"/>
      <c r="FD3" s="1530"/>
      <c r="FE3" s="1530"/>
      <c r="FF3" s="1569">
        <v>2014</v>
      </c>
      <c r="FG3" s="1569"/>
      <c r="FH3" s="1569"/>
      <c r="FI3" s="1569"/>
      <c r="FJ3" s="1569"/>
      <c r="FK3" s="1540"/>
      <c r="FL3" s="1570">
        <v>2015</v>
      </c>
      <c r="FM3" s="1569"/>
      <c r="FN3" s="1569"/>
      <c r="FO3" s="1569"/>
      <c r="FP3" s="1569"/>
      <c r="FQ3" s="1569"/>
      <c r="FR3" s="1569"/>
      <c r="FS3" s="1569"/>
      <c r="FT3" s="1569"/>
      <c r="FU3" s="1540"/>
      <c r="FV3" s="1562"/>
    </row>
    <row r="4" spans="1:179" ht="20.25" customHeight="1" thickBot="1">
      <c r="A4" s="1542">
        <v>1</v>
      </c>
      <c r="B4" s="145" t="s">
        <v>900</v>
      </c>
      <c r="C4" s="146" t="s">
        <v>901</v>
      </c>
      <c r="D4" s="2898"/>
      <c r="E4" s="2898"/>
      <c r="F4" s="2898"/>
      <c r="G4" s="2898"/>
      <c r="H4" s="2910"/>
      <c r="I4" s="2903"/>
      <c r="J4" s="2905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1026" t="s">
        <v>511</v>
      </c>
      <c r="CS4" s="673" t="s">
        <v>513</v>
      </c>
      <c r="CT4" s="673" t="s">
        <v>139</v>
      </c>
      <c r="CU4" s="673" t="s">
        <v>514</v>
      </c>
      <c r="CV4" s="673" t="s">
        <v>534</v>
      </c>
      <c r="CW4" s="673" t="s">
        <v>503</v>
      </c>
      <c r="CX4" s="673" t="s">
        <v>457</v>
      </c>
      <c r="CY4" s="673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874" t="s">
        <v>891</v>
      </c>
      <c r="DM4" s="875" t="s">
        <v>590</v>
      </c>
      <c r="DN4" s="905" t="s">
        <v>610</v>
      </c>
      <c r="DO4" s="902" t="s">
        <v>611</v>
      </c>
      <c r="DP4" s="918" t="s">
        <v>511</v>
      </c>
      <c r="DQ4" s="776" t="s">
        <v>513</v>
      </c>
      <c r="DR4" s="776" t="s">
        <v>139</v>
      </c>
      <c r="DS4" s="905" t="s">
        <v>514</v>
      </c>
      <c r="DT4" s="874" t="s">
        <v>534</v>
      </c>
      <c r="DU4" s="875" t="s">
        <v>503</v>
      </c>
      <c r="DV4" s="905" t="s">
        <v>903</v>
      </c>
      <c r="DW4" s="905" t="s">
        <v>904</v>
      </c>
      <c r="DX4" s="905" t="s">
        <v>891</v>
      </c>
      <c r="DY4" s="905" t="s">
        <v>609</v>
      </c>
      <c r="DZ4" s="1032" t="s">
        <v>610</v>
      </c>
      <c r="EA4" s="902" t="s">
        <v>611</v>
      </c>
      <c r="EB4" s="905" t="s">
        <v>511</v>
      </c>
      <c r="EC4" s="905" t="s">
        <v>513</v>
      </c>
      <c r="ED4" s="905" t="s">
        <v>139</v>
      </c>
      <c r="EE4" s="905" t="s">
        <v>514</v>
      </c>
      <c r="EF4" s="905" t="s">
        <v>534</v>
      </c>
      <c r="EG4" s="905" t="s">
        <v>503</v>
      </c>
      <c r="EH4" s="905" t="s">
        <v>457</v>
      </c>
      <c r="EI4" s="905" t="s">
        <v>392</v>
      </c>
      <c r="EJ4" s="1032" t="s">
        <v>765</v>
      </c>
      <c r="EK4" s="874" t="s">
        <v>609</v>
      </c>
      <c r="EL4" s="875" t="s">
        <v>586</v>
      </c>
      <c r="EM4" s="905" t="s">
        <v>611</v>
      </c>
      <c r="EN4" s="1175" t="s">
        <v>469</v>
      </c>
      <c r="EO4" s="905" t="s">
        <v>498</v>
      </c>
      <c r="EP4" s="1032" t="s">
        <v>465</v>
      </c>
      <c r="EQ4" s="1032" t="s">
        <v>466</v>
      </c>
      <c r="ER4" s="1032" t="s">
        <v>467</v>
      </c>
      <c r="ES4" s="905" t="s">
        <v>902</v>
      </c>
      <c r="ET4" s="905" t="s">
        <v>903</v>
      </c>
      <c r="EU4" s="905" t="s">
        <v>904</v>
      </c>
      <c r="EV4" s="905" t="s">
        <v>891</v>
      </c>
      <c r="EW4" s="905" t="s">
        <v>609</v>
      </c>
      <c r="EX4" s="1032" t="s">
        <v>610</v>
      </c>
      <c r="EY4" s="1431" t="s">
        <v>611</v>
      </c>
      <c r="EZ4" s="1503" t="s">
        <v>469</v>
      </c>
      <c r="FA4" s="1520" t="s">
        <v>513</v>
      </c>
      <c r="FB4" s="1032" t="s">
        <v>139</v>
      </c>
      <c r="FC4" s="1032" t="s">
        <v>514</v>
      </c>
      <c r="FD4" s="1032" t="s">
        <v>534</v>
      </c>
      <c r="FE4" s="1032" t="s">
        <v>503</v>
      </c>
      <c r="FF4" s="1032" t="s">
        <v>903</v>
      </c>
      <c r="FG4" s="1032" t="s">
        <v>904</v>
      </c>
      <c r="FH4" s="1032" t="s">
        <v>891</v>
      </c>
      <c r="FI4" s="1032" t="s">
        <v>609</v>
      </c>
      <c r="FJ4" s="1032" t="s">
        <v>586</v>
      </c>
      <c r="FK4" s="902" t="s">
        <v>611</v>
      </c>
      <c r="FL4" s="1531" t="s">
        <v>511</v>
      </c>
      <c r="FM4" s="1531" t="s">
        <v>513</v>
      </c>
      <c r="FN4" s="1531" t="s">
        <v>139</v>
      </c>
      <c r="FO4" s="1531" t="s">
        <v>514</v>
      </c>
      <c r="FP4" s="1531" t="s">
        <v>534</v>
      </c>
      <c r="FQ4" s="1531" t="s">
        <v>503</v>
      </c>
      <c r="FR4" s="1531" t="s">
        <v>457</v>
      </c>
      <c r="FS4" s="1531" t="s">
        <v>588</v>
      </c>
      <c r="FT4" s="1531" t="s">
        <v>589</v>
      </c>
      <c r="FU4" s="1595" t="s">
        <v>590</v>
      </c>
      <c r="FV4" s="110"/>
      <c r="FW4" s="1598"/>
    </row>
    <row r="5" spans="1:179" s="112" customFormat="1" ht="21.75" customHeight="1">
      <c r="A5" s="1543">
        <v>1</v>
      </c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1015">
        <v>1.17</v>
      </c>
      <c r="L5" s="1016">
        <v>1.17</v>
      </c>
      <c r="M5" s="643">
        <v>1.17</v>
      </c>
      <c r="N5" s="643">
        <v>1.17</v>
      </c>
      <c r="O5" s="643">
        <v>1.17</v>
      </c>
      <c r="P5" s="643">
        <v>1.17</v>
      </c>
      <c r="Q5" s="643">
        <v>1.17</v>
      </c>
      <c r="R5" s="643">
        <v>1.17</v>
      </c>
      <c r="S5" s="643">
        <v>1.17</v>
      </c>
      <c r="T5" s="643">
        <v>1.17</v>
      </c>
      <c r="U5" s="643">
        <v>1.17</v>
      </c>
      <c r="V5" s="643">
        <v>1.17</v>
      </c>
      <c r="W5" s="643">
        <v>1.17</v>
      </c>
      <c r="X5" s="1017">
        <v>1.17</v>
      </c>
      <c r="Y5" s="1017">
        <v>1.17</v>
      </c>
      <c r="Z5" s="1018">
        <v>1.17</v>
      </c>
      <c r="AA5" s="1018">
        <v>1.17</v>
      </c>
      <c r="AB5" s="1018">
        <v>1.17</v>
      </c>
      <c r="AC5" s="1018">
        <v>1.17</v>
      </c>
      <c r="AD5" s="1018">
        <v>1.42</v>
      </c>
      <c r="AE5" s="1018">
        <v>1.4770000000000001</v>
      </c>
      <c r="AF5" s="1017">
        <v>1.617</v>
      </c>
      <c r="AG5" s="1017">
        <v>1.776</v>
      </c>
      <c r="AH5" s="1017">
        <v>1.9350000000000001</v>
      </c>
      <c r="AI5" s="1019">
        <v>2.0950000000000002</v>
      </c>
      <c r="AJ5" s="1020">
        <v>2.254</v>
      </c>
      <c r="AK5" s="1017">
        <v>2.4129999999999998</v>
      </c>
      <c r="AL5" s="1017">
        <v>2.4129999999999998</v>
      </c>
      <c r="AM5" s="1017">
        <v>2.4129999999999998</v>
      </c>
      <c r="AN5" s="1018">
        <v>2.4129999999999998</v>
      </c>
      <c r="AO5" s="1018">
        <v>2.4129999999999998</v>
      </c>
      <c r="AP5" s="1018">
        <v>2.4129999999999998</v>
      </c>
      <c r="AQ5" s="1018">
        <v>2.4129999999999998</v>
      </c>
      <c r="AR5" s="1018">
        <v>2.4129999999999998</v>
      </c>
      <c r="AS5" s="1018">
        <v>2.4129999999999998</v>
      </c>
      <c r="AT5" s="1018">
        <v>2.4129999999999998</v>
      </c>
      <c r="AU5" s="1019">
        <v>2.4129999999999998</v>
      </c>
      <c r="AV5" s="1021">
        <v>2.4129999999999998</v>
      </c>
      <c r="AW5" s="1022">
        <v>2.4129999999999998</v>
      </c>
      <c r="AX5" s="1022">
        <v>2.56</v>
      </c>
      <c r="AY5" s="1022">
        <v>2.9</v>
      </c>
      <c r="AZ5" s="1022">
        <v>2.9</v>
      </c>
      <c r="BA5" s="1022">
        <v>2.9</v>
      </c>
      <c r="BB5" s="1022">
        <v>2.9</v>
      </c>
      <c r="BC5" s="1023">
        <v>2.9</v>
      </c>
      <c r="BD5" s="1022">
        <v>2.9</v>
      </c>
      <c r="BE5" s="1022">
        <v>2.9</v>
      </c>
      <c r="BF5" s="1022">
        <v>3.58</v>
      </c>
      <c r="BG5" s="1024">
        <v>3.58</v>
      </c>
      <c r="BH5" s="1025">
        <v>3.58</v>
      </c>
      <c r="BI5" s="643">
        <v>3.58</v>
      </c>
      <c r="BJ5" s="643">
        <f>+BI5</f>
        <v>3.58</v>
      </c>
      <c r="BK5" s="643">
        <v>3.58</v>
      </c>
      <c r="BL5" s="643">
        <v>3.76</v>
      </c>
      <c r="BM5" s="643">
        <v>3.76</v>
      </c>
      <c r="BN5" s="643">
        <v>3.76</v>
      </c>
      <c r="BO5" s="643">
        <v>3.76</v>
      </c>
      <c r="BP5" s="643">
        <v>3.94</v>
      </c>
      <c r="BQ5" s="643">
        <v>3.94</v>
      </c>
      <c r="BR5" s="643">
        <v>3.94</v>
      </c>
      <c r="BS5" s="906">
        <v>3.94</v>
      </c>
      <c r="BT5" s="1025">
        <v>4.54</v>
      </c>
      <c r="BU5" s="643">
        <v>4.54</v>
      </c>
      <c r="BV5" s="643">
        <v>4.54</v>
      </c>
      <c r="BW5" s="643">
        <v>4.54</v>
      </c>
      <c r="BX5" s="643">
        <v>4.99</v>
      </c>
      <c r="BY5" s="643">
        <v>4.99</v>
      </c>
      <c r="BZ5" s="643">
        <v>5.29</v>
      </c>
      <c r="CA5" s="643">
        <v>5.29</v>
      </c>
      <c r="CB5" s="643">
        <v>5.29</v>
      </c>
      <c r="CC5" s="643">
        <v>6.56</v>
      </c>
      <c r="CD5" s="643">
        <v>6.56</v>
      </c>
      <c r="CE5" s="906">
        <v>6.56</v>
      </c>
      <c r="CF5" s="1025">
        <v>6.56</v>
      </c>
      <c r="CG5" s="643">
        <v>6.56</v>
      </c>
      <c r="CH5" s="643">
        <v>6.56</v>
      </c>
      <c r="CI5" s="643">
        <v>7.21</v>
      </c>
      <c r="CJ5" s="643">
        <v>7.21</v>
      </c>
      <c r="CK5" s="643">
        <v>7.21</v>
      </c>
      <c r="CL5" s="643">
        <v>7.54</v>
      </c>
      <c r="CM5" s="643">
        <v>7.54</v>
      </c>
      <c r="CN5" s="643">
        <v>7.54</v>
      </c>
      <c r="CO5" s="643">
        <v>7.84</v>
      </c>
      <c r="CP5" s="643">
        <v>7.84</v>
      </c>
      <c r="CQ5" s="906">
        <v>7.84</v>
      </c>
      <c r="CR5" s="1025">
        <v>7.84</v>
      </c>
      <c r="CS5" s="643">
        <v>7.84</v>
      </c>
      <c r="CT5" s="643">
        <v>7.84</v>
      </c>
      <c r="CU5" s="643">
        <v>7.84</v>
      </c>
      <c r="CV5" s="643">
        <v>7.84</v>
      </c>
      <c r="CW5" s="643">
        <v>8.5500000000000007</v>
      </c>
      <c r="CX5" s="643">
        <v>8.5500000000000007</v>
      </c>
      <c r="CY5" s="643">
        <v>8.5500000000000007</v>
      </c>
      <c r="CZ5" s="643">
        <v>8.5500000000000007</v>
      </c>
      <c r="DA5" s="643">
        <v>9.06</v>
      </c>
      <c r="DB5" s="966">
        <v>9.06</v>
      </c>
      <c r="DC5" s="906">
        <v>9.06</v>
      </c>
      <c r="DD5" s="1013">
        <v>9.06</v>
      </c>
      <c r="DE5" s="643">
        <v>9.06</v>
      </c>
      <c r="DF5" s="966">
        <v>9.06</v>
      </c>
      <c r="DG5" s="906">
        <v>9.06</v>
      </c>
      <c r="DH5" s="643">
        <v>10.06</v>
      </c>
      <c r="DI5" s="643">
        <v>10.06</v>
      </c>
      <c r="DJ5" s="643">
        <v>10.06</v>
      </c>
      <c r="DK5" s="906">
        <v>10.76</v>
      </c>
      <c r="DL5" s="643">
        <v>10.76</v>
      </c>
      <c r="DM5" s="966">
        <v>10.76</v>
      </c>
      <c r="DN5" s="906">
        <v>10.76</v>
      </c>
      <c r="DO5" s="899">
        <v>11.51</v>
      </c>
      <c r="DP5" s="1013">
        <v>11.51</v>
      </c>
      <c r="DQ5" s="906">
        <v>11.51</v>
      </c>
      <c r="DR5" s="906">
        <v>11.51</v>
      </c>
      <c r="DS5" s="906">
        <v>12.89</v>
      </c>
      <c r="DT5" s="643">
        <v>12.89</v>
      </c>
      <c r="DU5" s="966">
        <v>12.89</v>
      </c>
      <c r="DV5" s="906">
        <v>12.89</v>
      </c>
      <c r="DW5" s="906">
        <v>13.66</v>
      </c>
      <c r="DX5" s="906">
        <v>13.66</v>
      </c>
      <c r="DY5" s="906">
        <v>13.66</v>
      </c>
      <c r="DZ5" s="906">
        <v>14.48</v>
      </c>
      <c r="EA5" s="899">
        <v>14.48</v>
      </c>
      <c r="EB5" s="906">
        <v>14.48</v>
      </c>
      <c r="EC5" s="906">
        <v>14.48</v>
      </c>
      <c r="ED5" s="906">
        <v>14.48</v>
      </c>
      <c r="EE5" s="906">
        <v>14.48</v>
      </c>
      <c r="EF5" s="906">
        <v>14.48</v>
      </c>
      <c r="EG5" s="906">
        <v>18.61</v>
      </c>
      <c r="EH5" s="906">
        <v>18.61</v>
      </c>
      <c r="EI5" s="906">
        <v>18.61</v>
      </c>
      <c r="EJ5" s="906">
        <v>18.61</v>
      </c>
      <c r="EK5" s="643">
        <v>18.61</v>
      </c>
      <c r="EL5" s="966">
        <v>18.61</v>
      </c>
      <c r="EM5" s="906">
        <v>18.61</v>
      </c>
      <c r="EN5" s="1013">
        <v>18.61</v>
      </c>
      <c r="EO5" s="906">
        <v>18.61</v>
      </c>
      <c r="EP5" s="906">
        <v>18.61</v>
      </c>
      <c r="EQ5" s="906">
        <v>18.61</v>
      </c>
      <c r="ER5" s="906">
        <v>18.61</v>
      </c>
      <c r="ES5" s="906">
        <v>21.96</v>
      </c>
      <c r="ET5" s="906">
        <v>21.96</v>
      </c>
      <c r="EU5" s="906">
        <v>21.96</v>
      </c>
      <c r="EV5" s="906">
        <v>23.28</v>
      </c>
      <c r="EW5" s="906">
        <v>23.28</v>
      </c>
      <c r="EX5" s="906">
        <v>23.28</v>
      </c>
      <c r="EY5" s="906">
        <v>23.28</v>
      </c>
      <c r="EZ5" s="1013">
        <v>23.28</v>
      </c>
      <c r="FA5" s="906">
        <v>23.28</v>
      </c>
      <c r="FB5" s="906">
        <v>23.28</v>
      </c>
      <c r="FC5" s="906">
        <v>27.42</v>
      </c>
      <c r="FD5" s="906">
        <v>27.42</v>
      </c>
      <c r="FE5" s="906">
        <v>27.42</v>
      </c>
      <c r="FF5" s="906">
        <v>30.16</v>
      </c>
      <c r="FG5" s="643">
        <v>30.16</v>
      </c>
      <c r="FH5" s="643">
        <v>30.16</v>
      </c>
      <c r="FI5" s="906">
        <v>30.16</v>
      </c>
      <c r="FJ5" s="906">
        <v>30.16</v>
      </c>
      <c r="FK5" s="899">
        <v>30.16</v>
      </c>
      <c r="FL5" s="1013">
        <v>30.16</v>
      </c>
      <c r="FM5" s="906">
        <v>30.16</v>
      </c>
      <c r="FN5" s="906">
        <v>30.16</v>
      </c>
      <c r="FO5" s="906">
        <v>35.409999999999997</v>
      </c>
      <c r="FP5" s="906">
        <v>35.409999999999997</v>
      </c>
      <c r="FQ5" s="906">
        <v>35.409999999999997</v>
      </c>
      <c r="FR5" s="906">
        <v>35.409999999999997</v>
      </c>
      <c r="FS5" s="906">
        <v>38.42</v>
      </c>
      <c r="FT5" s="906">
        <v>38.42</v>
      </c>
      <c r="FU5" s="899">
        <v>38.42</v>
      </c>
      <c r="FV5" s="1167">
        <f>+FU5/FT5</f>
        <v>1</v>
      </c>
    </row>
    <row r="6" spans="1:179" s="112" customFormat="1" ht="21.75" customHeight="1">
      <c r="A6" s="1543">
        <v>1</v>
      </c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623">
        <v>11.7</v>
      </c>
      <c r="DM6" s="725">
        <v>11.7</v>
      </c>
      <c r="DN6" s="659">
        <v>11.7</v>
      </c>
      <c r="DO6" s="897">
        <v>12.52</v>
      </c>
      <c r="DP6" s="783">
        <v>12.52</v>
      </c>
      <c r="DQ6" s="659">
        <v>12.52</v>
      </c>
      <c r="DR6" s="659">
        <v>12.52</v>
      </c>
      <c r="DS6" s="659">
        <v>14.02</v>
      </c>
      <c r="DT6" s="623">
        <v>14.02</v>
      </c>
      <c r="DU6" s="725">
        <v>14.02</v>
      </c>
      <c r="DV6" s="659">
        <v>14.02</v>
      </c>
      <c r="DW6" s="659">
        <v>14.86</v>
      </c>
      <c r="DX6" s="659">
        <v>14.86</v>
      </c>
      <c r="DY6" s="659">
        <v>14.86</v>
      </c>
      <c r="DZ6" s="659">
        <v>15.76</v>
      </c>
      <c r="EA6" s="897">
        <v>15.76</v>
      </c>
      <c r="EB6" s="659">
        <v>15.76</v>
      </c>
      <c r="EC6" s="659">
        <v>15.76</v>
      </c>
      <c r="ED6" s="659">
        <v>15.76</v>
      </c>
      <c r="EE6" s="659">
        <v>15.76</v>
      </c>
      <c r="EF6" s="659">
        <v>15.76</v>
      </c>
      <c r="EG6" s="659">
        <v>20.27</v>
      </c>
      <c r="EH6" s="659">
        <v>20.27</v>
      </c>
      <c r="EI6" s="659">
        <v>20.27</v>
      </c>
      <c r="EJ6" s="659">
        <v>20.27</v>
      </c>
      <c r="EK6" s="623">
        <v>20.27</v>
      </c>
      <c r="EL6" s="725">
        <v>20.27</v>
      </c>
      <c r="EM6" s="659">
        <v>20.27</v>
      </c>
      <c r="EN6" s="783">
        <v>20.27</v>
      </c>
      <c r="EO6" s="659">
        <v>20.27</v>
      </c>
      <c r="EP6" s="659">
        <v>20.27</v>
      </c>
      <c r="EQ6" s="659">
        <v>20.27</v>
      </c>
      <c r="ER6" s="659">
        <v>20.27</v>
      </c>
      <c r="ES6" s="659">
        <v>23.92</v>
      </c>
      <c r="ET6" s="659">
        <v>23.92</v>
      </c>
      <c r="EU6" s="659">
        <v>23.92</v>
      </c>
      <c r="EV6" s="659">
        <v>25.35</v>
      </c>
      <c r="EW6" s="659">
        <v>25.35</v>
      </c>
      <c r="EX6" s="659">
        <v>25.35</v>
      </c>
      <c r="EY6" s="659">
        <v>25.35</v>
      </c>
      <c r="EZ6" s="783">
        <v>25.35</v>
      </c>
      <c r="FA6" s="659">
        <v>25.35</v>
      </c>
      <c r="FB6" s="659">
        <v>25.35</v>
      </c>
      <c r="FC6" s="659">
        <v>29.86</v>
      </c>
      <c r="FD6" s="659">
        <v>29.86</v>
      </c>
      <c r="FE6" s="659">
        <v>29.86</v>
      </c>
      <c r="FF6" s="659">
        <v>32.85</v>
      </c>
      <c r="FG6" s="659">
        <v>32.85</v>
      </c>
      <c r="FH6" s="659">
        <v>32.85</v>
      </c>
      <c r="FI6" s="659">
        <v>32.85</v>
      </c>
      <c r="FJ6" s="659">
        <v>32.85</v>
      </c>
      <c r="FK6" s="897">
        <v>32.85</v>
      </c>
      <c r="FL6" s="783">
        <v>32.85</v>
      </c>
      <c r="FM6" s="659">
        <v>32.85</v>
      </c>
      <c r="FN6" s="659">
        <v>32.85</v>
      </c>
      <c r="FO6" s="659">
        <v>38.57</v>
      </c>
      <c r="FP6" s="659">
        <v>38.57</v>
      </c>
      <c r="FQ6" s="659">
        <v>38.57</v>
      </c>
      <c r="FR6" s="659">
        <v>38.57</v>
      </c>
      <c r="FS6" s="659">
        <v>41.85</v>
      </c>
      <c r="FT6" s="659">
        <v>41.85</v>
      </c>
      <c r="FU6" s="897">
        <v>41.85</v>
      </c>
      <c r="FV6" s="1167">
        <f>+FU6/FT6</f>
        <v>1</v>
      </c>
    </row>
    <row r="7" spans="1:179" s="112" customFormat="1" ht="18.95" customHeight="1">
      <c r="A7" s="1543">
        <v>1</v>
      </c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623">
        <v>12.71</v>
      </c>
      <c r="DM7" s="725">
        <v>12.71</v>
      </c>
      <c r="DN7" s="659">
        <v>12.71</v>
      </c>
      <c r="DO7" s="897">
        <v>13.6</v>
      </c>
      <c r="DP7" s="783">
        <v>13.6</v>
      </c>
      <c r="DQ7" s="659">
        <v>13.6</v>
      </c>
      <c r="DR7" s="659">
        <v>13.6</v>
      </c>
      <c r="DS7" s="659">
        <v>15.23</v>
      </c>
      <c r="DT7" s="623">
        <v>15.23</v>
      </c>
      <c r="DU7" s="725">
        <v>15.23</v>
      </c>
      <c r="DV7" s="659">
        <v>15.23</v>
      </c>
      <c r="DW7" s="659">
        <v>16.149999999999999</v>
      </c>
      <c r="DX7" s="659">
        <v>16.149999999999999</v>
      </c>
      <c r="DY7" s="659">
        <v>16.149999999999999</v>
      </c>
      <c r="DZ7" s="659">
        <v>17.11</v>
      </c>
      <c r="EA7" s="897">
        <v>17.11</v>
      </c>
      <c r="EB7" s="659">
        <v>17.11</v>
      </c>
      <c r="EC7" s="659">
        <v>17.11</v>
      </c>
      <c r="ED7" s="659">
        <v>17.11</v>
      </c>
      <c r="EE7" s="659">
        <v>17.11</v>
      </c>
      <c r="EF7" s="659">
        <v>17.11</v>
      </c>
      <c r="EG7" s="659">
        <v>21.99</v>
      </c>
      <c r="EH7" s="659">
        <v>21.99</v>
      </c>
      <c r="EI7" s="659">
        <v>21.99</v>
      </c>
      <c r="EJ7" s="659">
        <v>21.99</v>
      </c>
      <c r="EK7" s="623">
        <v>21.99</v>
      </c>
      <c r="EL7" s="725">
        <v>21.99</v>
      </c>
      <c r="EM7" s="659">
        <v>21.99</v>
      </c>
      <c r="EN7" s="783">
        <v>21.99</v>
      </c>
      <c r="EO7" s="659">
        <v>21.99</v>
      </c>
      <c r="EP7" s="659">
        <v>21.99</v>
      </c>
      <c r="EQ7" s="659">
        <v>21.99</v>
      </c>
      <c r="ER7" s="659">
        <v>21.99</v>
      </c>
      <c r="ES7" s="659">
        <v>25.95</v>
      </c>
      <c r="ET7" s="659">
        <v>25.95</v>
      </c>
      <c r="EU7" s="659">
        <v>25.95</v>
      </c>
      <c r="EV7" s="659">
        <v>27.51</v>
      </c>
      <c r="EW7" s="659">
        <v>27.51</v>
      </c>
      <c r="EX7" s="659">
        <v>27.51</v>
      </c>
      <c r="EY7" s="659">
        <v>27.51</v>
      </c>
      <c r="EZ7" s="783">
        <v>27.51</v>
      </c>
      <c r="FA7" s="659">
        <v>27.51</v>
      </c>
      <c r="FB7" s="659">
        <v>27.51</v>
      </c>
      <c r="FC7" s="659">
        <v>32.39</v>
      </c>
      <c r="FD7" s="659">
        <v>32.39</v>
      </c>
      <c r="FE7" s="659">
        <v>32.39</v>
      </c>
      <c r="FF7" s="659">
        <v>35.630000000000003</v>
      </c>
      <c r="FG7" s="659">
        <v>35.630000000000003</v>
      </c>
      <c r="FH7" s="659">
        <v>35.630000000000003</v>
      </c>
      <c r="FI7" s="659">
        <v>35.630000000000003</v>
      </c>
      <c r="FJ7" s="659">
        <v>35.630000000000003</v>
      </c>
      <c r="FK7" s="897">
        <v>35.630000000000003</v>
      </c>
      <c r="FL7" s="783">
        <v>35.630000000000003</v>
      </c>
      <c r="FM7" s="659">
        <v>35.630000000000003</v>
      </c>
      <c r="FN7" s="659">
        <v>35.630000000000003</v>
      </c>
      <c r="FO7" s="659">
        <v>41.83</v>
      </c>
      <c r="FP7" s="659">
        <v>41.83</v>
      </c>
      <c r="FQ7" s="659">
        <v>41.83</v>
      </c>
      <c r="FR7" s="659">
        <v>41.83</v>
      </c>
      <c r="FS7" s="659">
        <v>45.39</v>
      </c>
      <c r="FT7" s="659">
        <v>45.39</v>
      </c>
      <c r="FU7" s="897">
        <v>45.39</v>
      </c>
      <c r="FV7" s="1167">
        <f>+FU7/FT7</f>
        <v>1</v>
      </c>
    </row>
    <row r="8" spans="1:179" s="112" customFormat="1">
      <c r="A8" s="1543">
        <v>1</v>
      </c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623">
        <v>14.92</v>
      </c>
      <c r="DM8" s="725">
        <v>14.92</v>
      </c>
      <c r="DN8" s="659">
        <v>14.92</v>
      </c>
      <c r="DO8" s="897">
        <v>15.96</v>
      </c>
      <c r="DP8" s="783">
        <v>15.96</v>
      </c>
      <c r="DQ8" s="659">
        <v>15.96</v>
      </c>
      <c r="DR8" s="659">
        <v>15.96</v>
      </c>
      <c r="DS8" s="659">
        <v>17.88</v>
      </c>
      <c r="DT8" s="623">
        <v>17.88</v>
      </c>
      <c r="DU8" s="725">
        <v>17.88</v>
      </c>
      <c r="DV8" s="659">
        <v>17.88</v>
      </c>
      <c r="DW8" s="659">
        <v>18.95</v>
      </c>
      <c r="DX8" s="659">
        <v>18.95</v>
      </c>
      <c r="DY8" s="659">
        <v>18.95</v>
      </c>
      <c r="DZ8" s="659">
        <v>20.079999999999998</v>
      </c>
      <c r="EA8" s="897">
        <v>20.079999999999998</v>
      </c>
      <c r="EB8" s="659">
        <v>20.079999999999998</v>
      </c>
      <c r="EC8" s="659">
        <v>20.079999999999998</v>
      </c>
      <c r="ED8" s="659">
        <v>20.079999999999998</v>
      </c>
      <c r="EE8" s="659">
        <v>20.079999999999998</v>
      </c>
      <c r="EF8" s="659">
        <v>20.079999999999998</v>
      </c>
      <c r="EG8" s="659">
        <v>25.82</v>
      </c>
      <c r="EH8" s="659">
        <v>25.82</v>
      </c>
      <c r="EI8" s="659">
        <v>25.82</v>
      </c>
      <c r="EJ8" s="659">
        <v>25.82</v>
      </c>
      <c r="EK8" s="623">
        <v>25.82</v>
      </c>
      <c r="EL8" s="725">
        <v>25.82</v>
      </c>
      <c r="EM8" s="659">
        <v>25.82</v>
      </c>
      <c r="EN8" s="783">
        <v>25.82</v>
      </c>
      <c r="EO8" s="659">
        <v>25.82</v>
      </c>
      <c r="EP8" s="659">
        <v>25.82</v>
      </c>
      <c r="EQ8" s="659">
        <v>25.82</v>
      </c>
      <c r="ER8" s="659">
        <v>25.82</v>
      </c>
      <c r="ES8" s="659">
        <v>30.47</v>
      </c>
      <c r="ET8" s="659">
        <v>30.47</v>
      </c>
      <c r="EU8" s="659">
        <v>30.47</v>
      </c>
      <c r="EV8" s="659">
        <v>32.200000000000003</v>
      </c>
      <c r="EW8" s="659">
        <v>32.200000000000003</v>
      </c>
      <c r="EX8" s="659">
        <v>32.299999999999997</v>
      </c>
      <c r="EY8" s="659">
        <v>32.299999999999997</v>
      </c>
      <c r="EZ8" s="783">
        <v>32.299999999999997</v>
      </c>
      <c r="FA8" s="659">
        <v>32.299999999999997</v>
      </c>
      <c r="FB8" s="659">
        <v>32.299999999999997</v>
      </c>
      <c r="FC8" s="659">
        <v>38.01</v>
      </c>
      <c r="FD8" s="659">
        <v>38.01</v>
      </c>
      <c r="FE8" s="659">
        <v>38.01</v>
      </c>
      <c r="FF8" s="659">
        <v>41.81</v>
      </c>
      <c r="FG8" s="659">
        <v>41.81</v>
      </c>
      <c r="FH8" s="659">
        <v>41.81</v>
      </c>
      <c r="FI8" s="659">
        <v>41.81</v>
      </c>
      <c r="FJ8" s="659">
        <v>41.81</v>
      </c>
      <c r="FK8" s="897">
        <v>41.81</v>
      </c>
      <c r="FL8" s="783">
        <v>41.81</v>
      </c>
      <c r="FM8" s="659">
        <v>41.81</v>
      </c>
      <c r="FN8" s="659">
        <v>41.81</v>
      </c>
      <c r="FO8" s="659">
        <v>49.08</v>
      </c>
      <c r="FP8" s="659">
        <v>49.08</v>
      </c>
      <c r="FQ8" s="659">
        <v>49.08</v>
      </c>
      <c r="FR8" s="659">
        <v>49.08</v>
      </c>
      <c r="FS8" s="659">
        <v>53.27</v>
      </c>
      <c r="FT8" s="659">
        <v>53.27</v>
      </c>
      <c r="FU8" s="897">
        <v>53.27</v>
      </c>
      <c r="FV8" s="1167">
        <f>+FU8/FT8</f>
        <v>1</v>
      </c>
    </row>
    <row r="9" spans="1:179" s="112" customFormat="1" ht="18.75" customHeight="1">
      <c r="A9" s="1543">
        <v>1</v>
      </c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623"/>
      <c r="DM9" s="725"/>
      <c r="DN9" s="659"/>
      <c r="DO9" s="897"/>
      <c r="DP9" s="783"/>
      <c r="DQ9" s="659"/>
      <c r="DR9" s="659"/>
      <c r="DS9" s="659"/>
      <c r="DT9" s="623"/>
      <c r="DU9" s="725"/>
      <c r="DV9" s="659"/>
      <c r="DW9" s="659"/>
      <c r="DX9" s="659"/>
      <c r="DY9" s="659"/>
      <c r="DZ9" s="659"/>
      <c r="EA9" s="897"/>
      <c r="EB9" s="659"/>
      <c r="EC9" s="659"/>
      <c r="ED9" s="659"/>
      <c r="EE9" s="659"/>
      <c r="EF9" s="659"/>
      <c r="EG9" s="659"/>
      <c r="EH9" s="659"/>
      <c r="EI9" s="659"/>
      <c r="EJ9" s="659"/>
      <c r="EK9" s="623"/>
      <c r="EL9" s="725"/>
      <c r="EM9" s="659"/>
      <c r="EN9" s="783"/>
      <c r="EO9" s="659"/>
      <c r="EP9" s="659"/>
      <c r="EQ9" s="659"/>
      <c r="ER9" s="659"/>
      <c r="ES9" s="659"/>
      <c r="ET9" s="659"/>
      <c r="EU9" s="659"/>
      <c r="EV9" s="659"/>
      <c r="EW9" s="659"/>
      <c r="EX9" s="659"/>
      <c r="EY9" s="659"/>
      <c r="EZ9" s="783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897"/>
      <c r="FL9" s="783"/>
      <c r="FM9" s="659"/>
      <c r="FN9" s="659"/>
      <c r="FO9" s="659"/>
      <c r="FP9" s="659"/>
      <c r="FQ9" s="659"/>
      <c r="FR9" s="659"/>
      <c r="FS9" s="659"/>
      <c r="FT9" s="659"/>
      <c r="FU9" s="897"/>
      <c r="FV9" s="1167"/>
    </row>
    <row r="10" spans="1:179" s="1506" customFormat="1" ht="36.75" hidden="1" customHeight="1">
      <c r="A10" s="1544">
        <v>1</v>
      </c>
      <c r="B10" s="1059">
        <v>8</v>
      </c>
      <c r="C10" s="1058"/>
      <c r="D10" s="1372" t="s">
        <v>882</v>
      </c>
      <c r="E10" s="1039"/>
      <c r="F10" s="1039" t="s">
        <v>906</v>
      </c>
      <c r="G10" s="1039" t="s">
        <v>497</v>
      </c>
      <c r="H10" s="1039"/>
      <c r="I10" s="1504" t="s">
        <v>190</v>
      </c>
      <c r="J10" s="1505" t="s">
        <v>184</v>
      </c>
      <c r="K10" s="1041"/>
      <c r="L10" s="1042">
        <v>0</v>
      </c>
      <c r="M10" s="1043">
        <v>0</v>
      </c>
      <c r="N10" s="1043">
        <v>0</v>
      </c>
      <c r="O10" s="1043">
        <v>0</v>
      </c>
      <c r="P10" s="1043">
        <v>0</v>
      </c>
      <c r="Q10" s="1043">
        <v>0</v>
      </c>
      <c r="R10" s="1043">
        <v>0.56999999999999995</v>
      </c>
      <c r="S10" s="1043">
        <v>0.56999999999999995</v>
      </c>
      <c r="T10" s="1043">
        <v>0.56999999999999995</v>
      </c>
      <c r="U10" s="1043">
        <v>0.56999999999999995</v>
      </c>
      <c r="V10" s="1043">
        <v>0.56999999999999995</v>
      </c>
      <c r="W10" s="1043">
        <v>0.56999999999999995</v>
      </c>
      <c r="X10" s="1043">
        <v>0.74</v>
      </c>
      <c r="Y10" s="1043">
        <v>0.74</v>
      </c>
      <c r="Z10" s="1043">
        <v>0.85</v>
      </c>
      <c r="AA10" s="1043">
        <v>0.85</v>
      </c>
      <c r="AB10" s="1043">
        <v>1.1399999999999999</v>
      </c>
      <c r="AC10" s="1043">
        <v>1.1399999999999999</v>
      </c>
      <c r="AD10" s="1043">
        <v>0.99399999999999999</v>
      </c>
      <c r="AE10" s="1043">
        <v>0.85199999999999998</v>
      </c>
      <c r="AF10" s="1043">
        <v>0.71</v>
      </c>
      <c r="AG10" s="1043">
        <v>0.56799999999999995</v>
      </c>
      <c r="AH10" s="1043">
        <v>0.42599999999999999</v>
      </c>
      <c r="AI10" s="1044">
        <v>0.28409090909090912</v>
      </c>
      <c r="AJ10" s="1045">
        <v>0.42613636363636365</v>
      </c>
      <c r="AK10" s="1043">
        <v>0.28409090909090912</v>
      </c>
      <c r="AL10" s="1043">
        <v>0.28409090909090912</v>
      </c>
      <c r="AM10" s="1043">
        <v>0.28409090909090912</v>
      </c>
      <c r="AN10" s="1043">
        <v>0.28399999999999997</v>
      </c>
      <c r="AO10" s="1043">
        <v>0.28399999999999997</v>
      </c>
      <c r="AP10" s="1043">
        <v>0.28399999999999997</v>
      </c>
      <c r="AQ10" s="1043">
        <v>0.28399999999999997</v>
      </c>
      <c r="AR10" s="1043">
        <v>0.28399999999999997</v>
      </c>
      <c r="AS10" s="1043">
        <v>0.28399999999999997</v>
      </c>
      <c r="AT10" s="1043">
        <v>0.28399999999999997</v>
      </c>
      <c r="AU10" s="1044">
        <v>0.28399999999999997</v>
      </c>
      <c r="AV10" s="1046">
        <f>ROUND(150/176,3)</f>
        <v>0.85199999999999998</v>
      </c>
      <c r="AW10" s="1047">
        <f>ROUND(150/176,3)</f>
        <v>0.85199999999999998</v>
      </c>
      <c r="AX10" s="1047"/>
      <c r="AY10" s="1047"/>
      <c r="AZ10" s="1047"/>
      <c r="BA10" s="1372"/>
      <c r="BB10" s="1372"/>
      <c r="BC10" s="1048"/>
      <c r="BD10" s="1047"/>
      <c r="BE10" s="1048"/>
      <c r="BF10" s="1048"/>
      <c r="BG10" s="1060"/>
      <c r="BH10" s="1050"/>
      <c r="BI10" s="1051"/>
      <c r="BJ10" s="1051"/>
      <c r="BK10" s="1051"/>
      <c r="BL10" s="1051"/>
      <c r="BM10" s="1051"/>
      <c r="BN10" s="1051"/>
      <c r="BO10" s="1051"/>
      <c r="BP10" s="1051"/>
      <c r="BQ10" s="1051"/>
      <c r="BR10" s="1051"/>
      <c r="BS10" s="1052"/>
      <c r="BT10" s="1050"/>
      <c r="BU10" s="1051"/>
      <c r="BV10" s="1051"/>
      <c r="BW10" s="1051"/>
      <c r="BX10" s="1051"/>
      <c r="BY10" s="1051"/>
      <c r="BZ10" s="1051"/>
      <c r="CA10" s="1051"/>
      <c r="CB10" s="1051"/>
      <c r="CC10" s="1051"/>
      <c r="CD10" s="1051"/>
      <c r="CE10" s="1052"/>
      <c r="CF10" s="1050"/>
      <c r="CG10" s="1051"/>
      <c r="CH10" s="1051"/>
      <c r="CI10" s="1051"/>
      <c r="CJ10" s="1051"/>
      <c r="CK10" s="1051"/>
      <c r="CL10" s="1051"/>
      <c r="CM10" s="1051"/>
      <c r="CN10" s="1051"/>
      <c r="CO10" s="1051"/>
      <c r="CP10" s="1051"/>
      <c r="CQ10" s="1052"/>
      <c r="CR10" s="1050"/>
      <c r="CS10" s="1051"/>
      <c r="CT10" s="1051"/>
      <c r="CU10" s="1051"/>
      <c r="CV10" s="1051"/>
      <c r="CW10" s="1051"/>
      <c r="CX10" s="1051"/>
      <c r="CY10" s="1051"/>
      <c r="CZ10" s="1051"/>
      <c r="DA10" s="1051"/>
      <c r="DB10" s="1053"/>
      <c r="DC10" s="1052"/>
      <c r="DD10" s="1054"/>
      <c r="DE10" s="1051"/>
      <c r="DF10" s="1053"/>
      <c r="DG10" s="1052"/>
      <c r="DH10" s="1051"/>
      <c r="DI10" s="1051"/>
      <c r="DJ10" s="1051"/>
      <c r="DK10" s="1052"/>
      <c r="DL10" s="1051"/>
      <c r="DM10" s="1053"/>
      <c r="DN10" s="1052"/>
      <c r="DO10" s="1055"/>
      <c r="DP10" s="1054"/>
      <c r="DQ10" s="1052"/>
      <c r="DR10" s="1052"/>
      <c r="DS10" s="1052"/>
      <c r="DT10" s="1051"/>
      <c r="DU10" s="1053"/>
      <c r="DV10" s="1052"/>
      <c r="DW10" s="1052"/>
      <c r="DX10" s="1052"/>
      <c r="DY10" s="1052"/>
      <c r="DZ10" s="1052"/>
      <c r="EA10" s="1055"/>
      <c r="EB10" s="1052"/>
      <c r="EC10" s="1052"/>
      <c r="ED10" s="1052"/>
      <c r="EE10" s="1052"/>
      <c r="EF10" s="1052"/>
      <c r="EG10" s="1052"/>
      <c r="EH10" s="1052"/>
      <c r="EI10" s="1052"/>
      <c r="EJ10" s="1052"/>
      <c r="EK10" s="1051"/>
      <c r="EL10" s="1053"/>
      <c r="EM10" s="1052"/>
      <c r="EN10" s="1054"/>
      <c r="EO10" s="1052"/>
      <c r="EP10" s="1052"/>
      <c r="EQ10" s="1052"/>
      <c r="ER10" s="1052"/>
      <c r="ES10" s="1052"/>
      <c r="ET10" s="1052"/>
      <c r="EU10" s="1052"/>
      <c r="EV10" s="1052"/>
      <c r="EW10" s="1052"/>
      <c r="EX10" s="1052"/>
      <c r="EY10" s="1052"/>
      <c r="EZ10" s="1054"/>
      <c r="FA10" s="1052"/>
      <c r="FB10" s="1052"/>
      <c r="FC10" s="1052"/>
      <c r="FD10" s="1052"/>
      <c r="FE10" s="1052"/>
      <c r="FF10" s="1052"/>
      <c r="FG10" s="1052"/>
      <c r="FH10" s="1052"/>
      <c r="FI10" s="1052"/>
      <c r="FJ10" s="1052"/>
      <c r="FK10" s="1055"/>
      <c r="FL10" s="1054"/>
      <c r="FM10" s="1052"/>
      <c r="FN10" s="1052"/>
      <c r="FO10" s="1052"/>
      <c r="FP10" s="1052"/>
      <c r="FQ10" s="1052"/>
      <c r="FR10" s="1052"/>
      <c r="FS10" s="1052"/>
      <c r="FT10" s="1052"/>
      <c r="FU10" s="1055"/>
      <c r="FV10" s="1168"/>
    </row>
    <row r="11" spans="1:179" s="112" customFormat="1" ht="18.95" customHeight="1">
      <c r="A11" s="1543">
        <v>1</v>
      </c>
      <c r="B11" s="408" t="s">
        <v>473</v>
      </c>
      <c r="C11" s="621"/>
      <c r="D11" s="622" t="s">
        <v>845</v>
      </c>
      <c r="E11" s="621"/>
      <c r="F11" s="621" t="s">
        <v>906</v>
      </c>
      <c r="G11" s="621" t="s">
        <v>497</v>
      </c>
      <c r="H11" s="621"/>
      <c r="I11" s="631" t="s">
        <v>908</v>
      </c>
      <c r="J11" s="2915" t="s">
        <v>565</v>
      </c>
      <c r="K11" s="669"/>
      <c r="L11" s="66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764"/>
      <c r="AJ11" s="772"/>
      <c r="AK11" s="625"/>
      <c r="AL11" s="625"/>
      <c r="AM11" s="625"/>
      <c r="AN11" s="625">
        <v>0.28399999999999997</v>
      </c>
      <c r="AO11" s="625"/>
      <c r="AP11" s="625"/>
      <c r="AQ11" s="625"/>
      <c r="AR11" s="625"/>
      <c r="AS11" s="625"/>
      <c r="AT11" s="625"/>
      <c r="AU11" s="764"/>
      <c r="AV11" s="752"/>
      <c r="AW11" s="626"/>
      <c r="AX11" s="626">
        <f>0.43+0.852</f>
        <v>1.282</v>
      </c>
      <c r="AY11" s="626">
        <f>0.57+0.43</f>
        <v>1</v>
      </c>
      <c r="AZ11" s="626">
        <f>0.57+0.43</f>
        <v>1</v>
      </c>
      <c r="BA11" s="626">
        <f>0.57+0.43</f>
        <v>1</v>
      </c>
      <c r="BB11" s="626">
        <v>1</v>
      </c>
      <c r="BC11" s="627">
        <v>1</v>
      </c>
      <c r="BD11" s="626">
        <v>1</v>
      </c>
      <c r="BE11" s="626">
        <v>1</v>
      </c>
      <c r="BF11" s="626">
        <f>ROUND(160/176,3)</f>
        <v>0.90900000000000003</v>
      </c>
      <c r="BG11" s="749">
        <v>0.90900000000000003</v>
      </c>
      <c r="BH11" s="660">
        <v>0.68181818181818177</v>
      </c>
      <c r="BI11" s="623">
        <v>0.68181818181818177</v>
      </c>
      <c r="BJ11" s="623">
        <f>+BI11</f>
        <v>0.68181818181818177</v>
      </c>
      <c r="BK11" s="623">
        <v>0.45454545454545453</v>
      </c>
      <c r="BL11" s="623">
        <f>+BK11+DH11</f>
        <v>1.0225454545454544</v>
      </c>
      <c r="BM11" s="623">
        <f>0.454545454545455+DH11</f>
        <v>1.0225454545454549</v>
      </c>
      <c r="BN11" s="623">
        <v>0.54545454545454519</v>
      </c>
      <c r="BO11" s="623">
        <f>ROUND((40/176)+(56/176),3)</f>
        <v>0.54500000000000004</v>
      </c>
      <c r="BP11" s="623">
        <f>+CH11</f>
        <v>0</v>
      </c>
      <c r="BQ11" s="623">
        <v>0.5</v>
      </c>
      <c r="BR11" s="623">
        <v>0.5</v>
      </c>
      <c r="BS11" s="659">
        <v>0.5</v>
      </c>
      <c r="BT11" s="660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59"/>
      <c r="CF11" s="660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59"/>
      <c r="CR11" s="660"/>
      <c r="CS11" s="623"/>
      <c r="CT11" s="623"/>
      <c r="CU11" s="623"/>
      <c r="CV11" s="623"/>
      <c r="CW11" s="623"/>
      <c r="CX11" s="623"/>
      <c r="CY11" s="623"/>
      <c r="CZ11" s="623"/>
      <c r="DA11" s="623"/>
      <c r="DB11" s="725"/>
      <c r="DC11" s="659"/>
      <c r="DD11" s="783"/>
      <c r="DE11" s="623"/>
      <c r="DF11" s="623">
        <v>1.4204545454545454</v>
      </c>
      <c r="DG11" s="659">
        <v>1.4204545454545454</v>
      </c>
      <c r="DH11" s="623">
        <v>0.56799999999999995</v>
      </c>
      <c r="DI11" s="623">
        <v>0.56818181818181823</v>
      </c>
      <c r="DJ11" s="623">
        <v>0.56818181818181823</v>
      </c>
      <c r="DK11" s="659"/>
      <c r="DL11" s="623"/>
      <c r="DM11" s="725"/>
      <c r="DN11" s="659"/>
      <c r="DO11" s="897"/>
      <c r="DP11" s="1014">
        <v>1.3258000000000001</v>
      </c>
      <c r="DQ11" s="987">
        <v>1.3258000000000001</v>
      </c>
      <c r="DR11" s="987">
        <v>1.3258000000000001</v>
      </c>
      <c r="DS11" s="987"/>
      <c r="DT11" s="1027">
        <v>2.8977272727272729</v>
      </c>
      <c r="DU11" s="1028"/>
      <c r="DV11" s="987">
        <v>2.8977272727272729</v>
      </c>
      <c r="DW11" s="987"/>
      <c r="DX11" s="987">
        <v>2.8977272727272729</v>
      </c>
      <c r="DY11" s="987">
        <v>2.8977272727272729</v>
      </c>
      <c r="DZ11" s="987"/>
      <c r="EA11" s="1029"/>
      <c r="EB11" s="987"/>
      <c r="EC11" s="987"/>
      <c r="ED11" s="987"/>
      <c r="EE11" s="987"/>
      <c r="EF11" s="987"/>
      <c r="EG11" s="987"/>
      <c r="EH11" s="987"/>
      <c r="EI11" s="987"/>
      <c r="EJ11" s="987"/>
      <c r="EK11" s="1027"/>
      <c r="EL11" s="1028"/>
      <c r="EM11" s="987"/>
      <c r="EN11" s="1014"/>
      <c r="EO11" s="987"/>
      <c r="EP11" s="987"/>
      <c r="EQ11" s="987"/>
      <c r="ER11" s="987"/>
      <c r="ES11" s="987"/>
      <c r="ET11" s="987"/>
      <c r="EU11" s="987"/>
      <c r="EV11" s="987"/>
      <c r="EW11" s="987"/>
      <c r="EX11" s="987"/>
      <c r="EY11" s="987"/>
      <c r="EZ11" s="1014"/>
      <c r="FA11" s="987"/>
      <c r="FB11" s="987"/>
      <c r="FC11" s="987"/>
      <c r="FD11" s="987"/>
      <c r="FE11" s="987"/>
      <c r="FF11" s="987"/>
      <c r="FG11" s="987"/>
      <c r="FH11" s="987"/>
      <c r="FI11" s="987"/>
      <c r="FJ11" s="987"/>
      <c r="FK11" s="1029"/>
      <c r="FL11" s="1014"/>
      <c r="FM11" s="987"/>
      <c r="FN11" s="987"/>
      <c r="FO11" s="987"/>
      <c r="FP11" s="987"/>
      <c r="FQ11" s="987"/>
      <c r="FR11" s="987"/>
      <c r="FS11" s="987"/>
      <c r="FT11" s="987"/>
      <c r="FU11" s="1029"/>
      <c r="FV11" s="1169"/>
    </row>
    <row r="12" spans="1:179" s="112" customFormat="1" ht="18" customHeight="1">
      <c r="A12" s="1543">
        <v>1</v>
      </c>
      <c r="B12" s="408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916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623">
        <v>1.4204545454545454</v>
      </c>
      <c r="DG12" s="659">
        <v>1.4204545454545454</v>
      </c>
      <c r="DH12" s="623">
        <v>0.56818181818181823</v>
      </c>
      <c r="DI12" s="623">
        <v>0.56818181818181823</v>
      </c>
      <c r="DJ12" s="623">
        <v>0.56818181818181823</v>
      </c>
      <c r="DK12" s="659"/>
      <c r="DL12" s="623"/>
      <c r="DM12" s="725"/>
      <c r="DN12" s="659"/>
      <c r="DO12" s="897"/>
      <c r="DP12" s="1014">
        <v>1.3258000000000001</v>
      </c>
      <c r="DQ12" s="987">
        <v>1.3258000000000001</v>
      </c>
      <c r="DR12" s="987">
        <v>1.3258000000000001</v>
      </c>
      <c r="DS12" s="987"/>
      <c r="DT12" s="1027">
        <v>3.1818181818181817</v>
      </c>
      <c r="DU12" s="1028"/>
      <c r="DV12" s="987">
        <v>3.1818181818181817</v>
      </c>
      <c r="DW12" s="987"/>
      <c r="DX12" s="987">
        <v>3.1818181818181817</v>
      </c>
      <c r="DY12" s="987">
        <v>3.1818181818181817</v>
      </c>
      <c r="DZ12" s="987"/>
      <c r="EA12" s="1029"/>
      <c r="EB12" s="987"/>
      <c r="EC12" s="987"/>
      <c r="ED12" s="987"/>
      <c r="EE12" s="987"/>
      <c r="EF12" s="987"/>
      <c r="EG12" s="987"/>
      <c r="EH12" s="987"/>
      <c r="EI12" s="987"/>
      <c r="EJ12" s="987"/>
      <c r="EK12" s="1027"/>
      <c r="EL12" s="1028"/>
      <c r="EM12" s="987"/>
      <c r="EN12" s="1014"/>
      <c r="EO12" s="987"/>
      <c r="EP12" s="987"/>
      <c r="EQ12" s="987"/>
      <c r="ER12" s="987"/>
      <c r="ES12" s="987"/>
      <c r="ET12" s="987"/>
      <c r="EU12" s="987"/>
      <c r="EV12" s="987"/>
      <c r="EW12" s="987"/>
      <c r="EX12" s="987"/>
      <c r="EY12" s="987"/>
      <c r="EZ12" s="1014"/>
      <c r="FA12" s="987"/>
      <c r="FB12" s="987"/>
      <c r="FC12" s="987"/>
      <c r="FD12" s="987"/>
      <c r="FE12" s="987"/>
      <c r="FF12" s="987"/>
      <c r="FG12" s="987"/>
      <c r="FH12" s="987"/>
      <c r="FI12" s="987"/>
      <c r="FJ12" s="987"/>
      <c r="FK12" s="1029"/>
      <c r="FL12" s="1014"/>
      <c r="FM12" s="987"/>
      <c r="FN12" s="987"/>
      <c r="FO12" s="987"/>
      <c r="FP12" s="987"/>
      <c r="FQ12" s="987"/>
      <c r="FR12" s="987"/>
      <c r="FS12" s="987"/>
      <c r="FT12" s="987"/>
      <c r="FU12" s="1029"/>
      <c r="FV12" s="1169"/>
    </row>
    <row r="13" spans="1:179" s="112" customFormat="1" ht="18" customHeight="1">
      <c r="A13" s="1543">
        <v>1</v>
      </c>
      <c r="B13" s="408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916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623">
        <v>1.4204545454545454</v>
      </c>
      <c r="DG13" s="659">
        <v>1.4204545454545454</v>
      </c>
      <c r="DH13" s="623">
        <v>0.56818181818181823</v>
      </c>
      <c r="DI13" s="623">
        <v>0.56818181818181823</v>
      </c>
      <c r="DJ13" s="623">
        <v>0.56818181818181823</v>
      </c>
      <c r="DK13" s="659"/>
      <c r="DL13" s="623"/>
      <c r="DM13" s="725"/>
      <c r="DN13" s="659"/>
      <c r="DO13" s="897"/>
      <c r="DP13" s="1014">
        <v>1.3258000000000001</v>
      </c>
      <c r="DQ13" s="987">
        <v>1.3258000000000001</v>
      </c>
      <c r="DR13" s="987">
        <v>1.3258000000000001</v>
      </c>
      <c r="DS13" s="987"/>
      <c r="DT13" s="1027">
        <v>3.4090909090909092</v>
      </c>
      <c r="DU13" s="1028"/>
      <c r="DV13" s="987">
        <v>3.4090909090909092</v>
      </c>
      <c r="DW13" s="987"/>
      <c r="DX13" s="987">
        <v>3.4090909090909092</v>
      </c>
      <c r="DY13" s="987">
        <v>3.4090909090909092</v>
      </c>
      <c r="DZ13" s="987"/>
      <c r="EA13" s="1029"/>
      <c r="EB13" s="987"/>
      <c r="EC13" s="987"/>
      <c r="ED13" s="987"/>
      <c r="EE13" s="987"/>
      <c r="EF13" s="987"/>
      <c r="EG13" s="987"/>
      <c r="EH13" s="987"/>
      <c r="EI13" s="987"/>
      <c r="EJ13" s="987"/>
      <c r="EK13" s="1027"/>
      <c r="EL13" s="1028"/>
      <c r="EM13" s="987"/>
      <c r="EN13" s="1014"/>
      <c r="EO13" s="987"/>
      <c r="EP13" s="987"/>
      <c r="EQ13" s="987"/>
      <c r="ER13" s="987"/>
      <c r="ES13" s="987"/>
      <c r="ET13" s="987"/>
      <c r="EU13" s="987"/>
      <c r="EV13" s="987"/>
      <c r="EW13" s="987"/>
      <c r="EX13" s="987"/>
      <c r="EY13" s="987"/>
      <c r="EZ13" s="1014"/>
      <c r="FA13" s="987"/>
      <c r="FB13" s="987"/>
      <c r="FC13" s="987"/>
      <c r="FD13" s="987"/>
      <c r="FE13" s="987"/>
      <c r="FF13" s="987"/>
      <c r="FG13" s="987"/>
      <c r="FH13" s="987"/>
      <c r="FI13" s="987"/>
      <c r="FJ13" s="987"/>
      <c r="FK13" s="1029"/>
      <c r="FL13" s="1014"/>
      <c r="FM13" s="987"/>
      <c r="FN13" s="987"/>
      <c r="FO13" s="987"/>
      <c r="FP13" s="987"/>
      <c r="FQ13" s="987"/>
      <c r="FR13" s="987"/>
      <c r="FS13" s="987"/>
      <c r="FT13" s="987"/>
      <c r="FU13" s="1029"/>
      <c r="FV13" s="1169"/>
    </row>
    <row r="14" spans="1:179" s="112" customFormat="1" ht="33" customHeight="1">
      <c r="A14" s="1543">
        <v>1</v>
      </c>
      <c r="B14" s="408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917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623">
        <v>1.4204545454545454</v>
      </c>
      <c r="DG14" s="659">
        <v>1.4204545454545454</v>
      </c>
      <c r="DH14" s="623">
        <v>0.56818181818181823</v>
      </c>
      <c r="DI14" s="623">
        <v>0.56818181818181823</v>
      </c>
      <c r="DJ14" s="623">
        <v>0.56818181818181823</v>
      </c>
      <c r="DK14" s="659"/>
      <c r="DL14" s="623"/>
      <c r="DM14" s="725"/>
      <c r="DN14" s="659"/>
      <c r="DO14" s="897"/>
      <c r="DP14" s="1014">
        <v>1.3258000000000001</v>
      </c>
      <c r="DQ14" s="987">
        <v>1.3258000000000001</v>
      </c>
      <c r="DR14" s="987">
        <v>1.3258000000000001</v>
      </c>
      <c r="DS14" s="987"/>
      <c r="DT14" s="1027">
        <v>4.0340909090909092</v>
      </c>
      <c r="DU14" s="1028"/>
      <c r="DV14" s="987">
        <v>4.0340909090909092</v>
      </c>
      <c r="DW14" s="987"/>
      <c r="DX14" s="987">
        <v>4.0340909090909092</v>
      </c>
      <c r="DY14" s="987">
        <v>4.0340909090909092</v>
      </c>
      <c r="DZ14" s="987"/>
      <c r="EA14" s="1029"/>
      <c r="EB14" s="987"/>
      <c r="EC14" s="987"/>
      <c r="ED14" s="987"/>
      <c r="EE14" s="987"/>
      <c r="EF14" s="987"/>
      <c r="EG14" s="987"/>
      <c r="EH14" s="987"/>
      <c r="EI14" s="987"/>
      <c r="EJ14" s="987"/>
      <c r="EK14" s="1027"/>
      <c r="EL14" s="1028"/>
      <c r="EM14" s="987"/>
      <c r="EN14" s="1014"/>
      <c r="EO14" s="987"/>
      <c r="EP14" s="987"/>
      <c r="EQ14" s="987"/>
      <c r="ER14" s="987"/>
      <c r="ES14" s="987"/>
      <c r="ET14" s="987"/>
      <c r="EU14" s="987"/>
      <c r="EV14" s="987"/>
      <c r="EW14" s="987"/>
      <c r="EX14" s="987"/>
      <c r="EY14" s="987"/>
      <c r="EZ14" s="1014"/>
      <c r="FA14" s="987"/>
      <c r="FB14" s="987"/>
      <c r="FC14" s="987"/>
      <c r="FD14" s="987"/>
      <c r="FE14" s="987"/>
      <c r="FF14" s="987"/>
      <c r="FG14" s="987"/>
      <c r="FH14" s="987"/>
      <c r="FI14" s="987"/>
      <c r="FJ14" s="987"/>
      <c r="FK14" s="1029"/>
      <c r="FL14" s="1014"/>
      <c r="FM14" s="987"/>
      <c r="FN14" s="987"/>
      <c r="FO14" s="987"/>
      <c r="FP14" s="987"/>
      <c r="FQ14" s="987"/>
      <c r="FR14" s="987"/>
      <c r="FS14" s="987"/>
      <c r="FT14" s="987"/>
      <c r="FU14" s="1029"/>
      <c r="FV14" s="1169"/>
    </row>
    <row r="15" spans="1:179" s="112" customFormat="1" ht="11.25" customHeight="1">
      <c r="A15" s="1543">
        <v>1</v>
      </c>
      <c r="B15" s="408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623"/>
      <c r="DM15" s="725"/>
      <c r="DN15" s="659"/>
      <c r="DO15" s="897"/>
      <c r="DP15" s="783"/>
      <c r="DQ15" s="659"/>
      <c r="DR15" s="659"/>
      <c r="DS15" s="659"/>
      <c r="DT15" s="623"/>
      <c r="DU15" s="725"/>
      <c r="DV15" s="659"/>
      <c r="DW15" s="659"/>
      <c r="DX15" s="659"/>
      <c r="DY15" s="659"/>
      <c r="DZ15" s="659"/>
      <c r="EA15" s="897"/>
      <c r="EB15" s="659"/>
      <c r="EC15" s="659"/>
      <c r="ED15" s="659"/>
      <c r="EE15" s="659"/>
      <c r="EF15" s="659"/>
      <c r="EG15" s="659"/>
      <c r="EH15" s="659"/>
      <c r="EI15" s="659"/>
      <c r="EJ15" s="659"/>
      <c r="EK15" s="623"/>
      <c r="EL15" s="725"/>
      <c r="EM15" s="659"/>
      <c r="EN15" s="783"/>
      <c r="EO15" s="659"/>
      <c r="EP15" s="659"/>
      <c r="EQ15" s="659"/>
      <c r="ER15" s="659"/>
      <c r="ES15" s="659"/>
      <c r="ET15" s="659"/>
      <c r="EU15" s="659"/>
      <c r="EV15" s="659"/>
      <c r="EW15" s="659"/>
      <c r="EX15" s="659"/>
      <c r="EY15" s="659"/>
      <c r="EZ15" s="783"/>
      <c r="FA15" s="659"/>
      <c r="FB15" s="659"/>
      <c r="FC15" s="659"/>
      <c r="FD15" s="659"/>
      <c r="FE15" s="659"/>
      <c r="FF15" s="659"/>
      <c r="FG15" s="659"/>
      <c r="FH15" s="659"/>
      <c r="FI15" s="659"/>
      <c r="FJ15" s="659"/>
      <c r="FK15" s="897"/>
      <c r="FL15" s="783"/>
      <c r="FM15" s="659"/>
      <c r="FN15" s="659"/>
      <c r="FO15" s="659"/>
      <c r="FP15" s="659"/>
      <c r="FQ15" s="659"/>
      <c r="FR15" s="659"/>
      <c r="FS15" s="659"/>
      <c r="FT15" s="659"/>
      <c r="FU15" s="897"/>
      <c r="FV15" s="1167"/>
    </row>
    <row r="16" spans="1:179" s="112" customFormat="1" ht="17.25" customHeight="1">
      <c r="A16" s="1543">
        <v>1</v>
      </c>
      <c r="B16" s="408" t="s">
        <v>492</v>
      </c>
      <c r="C16" s="621"/>
      <c r="D16" s="622" t="s">
        <v>553</v>
      </c>
      <c r="E16" s="621"/>
      <c r="F16" s="621" t="s">
        <v>906</v>
      </c>
      <c r="G16" s="621" t="s">
        <v>497</v>
      </c>
      <c r="H16" s="621"/>
      <c r="I16" s="390"/>
      <c r="J16" s="1181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623"/>
      <c r="DM16" s="725"/>
      <c r="DN16" s="659"/>
      <c r="DO16" s="897"/>
      <c r="DP16" s="783"/>
      <c r="DQ16" s="659"/>
      <c r="DR16" s="659"/>
      <c r="DS16" s="659"/>
      <c r="DT16" s="623"/>
      <c r="DU16" s="725"/>
      <c r="DV16" s="659"/>
      <c r="DW16" s="659"/>
      <c r="DX16" s="659"/>
      <c r="DY16" s="659"/>
      <c r="DZ16" s="659"/>
      <c r="EA16" s="897"/>
      <c r="EB16" s="659"/>
      <c r="EC16" s="659"/>
      <c r="ED16" s="659"/>
      <c r="EE16" s="659"/>
      <c r="EF16" s="659"/>
      <c r="EG16" s="659"/>
      <c r="EH16" s="659"/>
      <c r="EI16" s="659"/>
      <c r="EJ16" s="659"/>
      <c r="EK16" s="623"/>
      <c r="EL16" s="725"/>
      <c r="EM16" s="659"/>
      <c r="EN16" s="783"/>
      <c r="EO16" s="659"/>
      <c r="EP16" s="659"/>
      <c r="EQ16" s="659"/>
      <c r="ER16" s="659"/>
      <c r="ES16" s="659"/>
      <c r="ET16" s="659"/>
      <c r="EU16" s="659"/>
      <c r="EV16" s="659"/>
      <c r="EW16" s="659"/>
      <c r="EX16" s="659"/>
      <c r="EY16" s="659"/>
      <c r="EZ16" s="783"/>
      <c r="FA16" s="659"/>
      <c r="FB16" s="659"/>
      <c r="FC16" s="659"/>
      <c r="FD16" s="659"/>
      <c r="FE16" s="659"/>
      <c r="FF16" s="659"/>
      <c r="FG16" s="659"/>
      <c r="FH16" s="659"/>
      <c r="FI16" s="659"/>
      <c r="FJ16" s="659"/>
      <c r="FK16" s="897"/>
      <c r="FL16" s="783"/>
      <c r="FM16" s="659"/>
      <c r="FN16" s="659"/>
      <c r="FO16" s="659"/>
      <c r="FP16" s="659"/>
      <c r="FQ16" s="659"/>
      <c r="FR16" s="659"/>
      <c r="FS16" s="659"/>
      <c r="FT16" s="659"/>
      <c r="FU16" s="897"/>
      <c r="FV16" s="1167"/>
    </row>
    <row r="17" spans="1:178" s="112" customFormat="1" ht="17.25" customHeight="1">
      <c r="A17" s="1543">
        <v>1</v>
      </c>
      <c r="B17" s="408" t="s">
        <v>493</v>
      </c>
      <c r="C17" s="621"/>
      <c r="D17" s="622" t="s">
        <v>554</v>
      </c>
      <c r="E17" s="621"/>
      <c r="F17" s="621" t="s">
        <v>906</v>
      </c>
      <c r="G17" s="621" t="s">
        <v>497</v>
      </c>
      <c r="H17" s="621"/>
      <c r="I17" s="390"/>
      <c r="J17" s="1181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623"/>
      <c r="DM17" s="725"/>
      <c r="DN17" s="659"/>
      <c r="DO17" s="897"/>
      <c r="DP17" s="783"/>
      <c r="DQ17" s="659"/>
      <c r="DR17" s="659"/>
      <c r="DS17" s="659"/>
      <c r="DT17" s="623"/>
      <c r="DU17" s="725"/>
      <c r="DV17" s="659"/>
      <c r="DW17" s="659"/>
      <c r="DX17" s="659"/>
      <c r="DY17" s="659"/>
      <c r="DZ17" s="659"/>
      <c r="EA17" s="897"/>
      <c r="EB17" s="659"/>
      <c r="EC17" s="659"/>
      <c r="ED17" s="659"/>
      <c r="EE17" s="659"/>
      <c r="EF17" s="659"/>
      <c r="EG17" s="659"/>
      <c r="EH17" s="659"/>
      <c r="EI17" s="659"/>
      <c r="EJ17" s="659"/>
      <c r="EK17" s="623"/>
      <c r="EL17" s="725"/>
      <c r="EM17" s="659"/>
      <c r="EN17" s="783"/>
      <c r="EO17" s="659"/>
      <c r="EP17" s="659"/>
      <c r="EQ17" s="659"/>
      <c r="ER17" s="659"/>
      <c r="ES17" s="659"/>
      <c r="ET17" s="659"/>
      <c r="EU17" s="659"/>
      <c r="EV17" s="659"/>
      <c r="EW17" s="659"/>
      <c r="EX17" s="659"/>
      <c r="EY17" s="659"/>
      <c r="EZ17" s="783"/>
      <c r="FA17" s="659"/>
      <c r="FB17" s="659"/>
      <c r="FC17" s="659"/>
      <c r="FD17" s="659"/>
      <c r="FE17" s="659"/>
      <c r="FF17" s="659"/>
      <c r="FG17" s="659"/>
      <c r="FH17" s="659"/>
      <c r="FI17" s="659"/>
      <c r="FJ17" s="659"/>
      <c r="FK17" s="897"/>
      <c r="FL17" s="783"/>
      <c r="FM17" s="659"/>
      <c r="FN17" s="659"/>
      <c r="FO17" s="659"/>
      <c r="FP17" s="659"/>
      <c r="FQ17" s="659"/>
      <c r="FR17" s="659"/>
      <c r="FS17" s="659"/>
      <c r="FT17" s="659"/>
      <c r="FU17" s="897"/>
      <c r="FV17" s="1167"/>
    </row>
    <row r="18" spans="1:178" s="112" customFormat="1" ht="17.25" customHeight="1">
      <c r="A18" s="1543">
        <v>1</v>
      </c>
      <c r="B18" s="408" t="s">
        <v>494</v>
      </c>
      <c r="C18" s="621"/>
      <c r="D18" s="622" t="s">
        <v>555</v>
      </c>
      <c r="E18" s="621"/>
      <c r="F18" s="621" t="s">
        <v>906</v>
      </c>
      <c r="G18" s="621" t="s">
        <v>497</v>
      </c>
      <c r="H18" s="621"/>
      <c r="I18" s="390"/>
      <c r="J18" s="1181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v>0.38352272727272729</v>
      </c>
      <c r="BI18" s="623">
        <v>0.38352272727272729</v>
      </c>
      <c r="BJ18" s="623"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v>1.1505681818181819</v>
      </c>
      <c r="BO18" s="623">
        <v>1.1505681818181819</v>
      </c>
      <c r="BP18" s="623"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623"/>
      <c r="DM18" s="725"/>
      <c r="DN18" s="659"/>
      <c r="DO18" s="897"/>
      <c r="DP18" s="783"/>
      <c r="DQ18" s="659"/>
      <c r="DR18" s="659"/>
      <c r="DS18" s="659"/>
      <c r="DT18" s="623"/>
      <c r="DU18" s="725"/>
      <c r="DV18" s="659"/>
      <c r="DW18" s="659"/>
      <c r="DX18" s="659"/>
      <c r="DY18" s="659"/>
      <c r="DZ18" s="659"/>
      <c r="EA18" s="897"/>
      <c r="EB18" s="659"/>
      <c r="EC18" s="659"/>
      <c r="ED18" s="659"/>
      <c r="EE18" s="659"/>
      <c r="EF18" s="659"/>
      <c r="EG18" s="659"/>
      <c r="EH18" s="659"/>
      <c r="EI18" s="659"/>
      <c r="EJ18" s="659"/>
      <c r="EK18" s="623"/>
      <c r="EL18" s="725"/>
      <c r="EM18" s="659"/>
      <c r="EN18" s="783"/>
      <c r="EO18" s="659"/>
      <c r="EP18" s="659"/>
      <c r="EQ18" s="659"/>
      <c r="ER18" s="659"/>
      <c r="ES18" s="659"/>
      <c r="ET18" s="659"/>
      <c r="EU18" s="659"/>
      <c r="EV18" s="659"/>
      <c r="EW18" s="659"/>
      <c r="EX18" s="659"/>
      <c r="EY18" s="659"/>
      <c r="EZ18" s="783"/>
      <c r="FA18" s="659"/>
      <c r="FB18" s="659"/>
      <c r="FC18" s="659"/>
      <c r="FD18" s="659"/>
      <c r="FE18" s="659"/>
      <c r="FF18" s="659"/>
      <c r="FG18" s="659"/>
      <c r="FH18" s="659"/>
      <c r="FI18" s="659"/>
      <c r="FJ18" s="659"/>
      <c r="FK18" s="897"/>
      <c r="FL18" s="783"/>
      <c r="FM18" s="659"/>
      <c r="FN18" s="659"/>
      <c r="FO18" s="659"/>
      <c r="FP18" s="659"/>
      <c r="FQ18" s="659"/>
      <c r="FR18" s="659"/>
      <c r="FS18" s="659"/>
      <c r="FT18" s="659"/>
      <c r="FU18" s="897"/>
      <c r="FV18" s="1167"/>
    </row>
    <row r="19" spans="1:178" s="112" customFormat="1" ht="17.25" customHeight="1">
      <c r="A19" s="1543">
        <v>1</v>
      </c>
      <c r="B19" s="408" t="s">
        <v>495</v>
      </c>
      <c r="C19" s="621"/>
      <c r="D19" s="622" t="s">
        <v>556</v>
      </c>
      <c r="E19" s="621"/>
      <c r="F19" s="621" t="s">
        <v>906</v>
      </c>
      <c r="G19" s="621" t="s">
        <v>497</v>
      </c>
      <c r="H19" s="621"/>
      <c r="I19" s="390"/>
      <c r="J19" s="1181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623"/>
      <c r="DM19" s="725"/>
      <c r="DN19" s="659"/>
      <c r="DO19" s="897"/>
      <c r="DP19" s="783"/>
      <c r="DQ19" s="659"/>
      <c r="DR19" s="659"/>
      <c r="DS19" s="659"/>
      <c r="DT19" s="623"/>
      <c r="DU19" s="725"/>
      <c r="DV19" s="659"/>
      <c r="DW19" s="659"/>
      <c r="DX19" s="659"/>
      <c r="DY19" s="659"/>
      <c r="DZ19" s="659"/>
      <c r="EA19" s="897"/>
      <c r="EB19" s="659"/>
      <c r="EC19" s="659"/>
      <c r="ED19" s="659"/>
      <c r="EE19" s="659"/>
      <c r="EF19" s="659"/>
      <c r="EG19" s="659"/>
      <c r="EH19" s="659"/>
      <c r="EI19" s="659"/>
      <c r="EJ19" s="659"/>
      <c r="EK19" s="623"/>
      <c r="EL19" s="725"/>
      <c r="EM19" s="659"/>
      <c r="EN19" s="783"/>
      <c r="EO19" s="659"/>
      <c r="EP19" s="659"/>
      <c r="EQ19" s="659"/>
      <c r="ER19" s="659"/>
      <c r="ES19" s="659"/>
      <c r="ET19" s="659"/>
      <c r="EU19" s="659"/>
      <c r="EV19" s="659"/>
      <c r="EW19" s="659"/>
      <c r="EX19" s="659"/>
      <c r="EY19" s="659"/>
      <c r="EZ19" s="783"/>
      <c r="FA19" s="659"/>
      <c r="FB19" s="659"/>
      <c r="FC19" s="659"/>
      <c r="FD19" s="659"/>
      <c r="FE19" s="659"/>
      <c r="FF19" s="659"/>
      <c r="FG19" s="659"/>
      <c r="FH19" s="659"/>
      <c r="FI19" s="659"/>
      <c r="FJ19" s="659"/>
      <c r="FK19" s="897"/>
      <c r="FL19" s="783"/>
      <c r="FM19" s="659"/>
      <c r="FN19" s="659"/>
      <c r="FO19" s="659"/>
      <c r="FP19" s="659"/>
      <c r="FQ19" s="659"/>
      <c r="FR19" s="659"/>
      <c r="FS19" s="659"/>
      <c r="FT19" s="659"/>
      <c r="FU19" s="897"/>
      <c r="FV19" s="1167"/>
    </row>
    <row r="20" spans="1:178" s="112" customFormat="1" ht="17.25" customHeight="1">
      <c r="A20" s="1543">
        <v>1</v>
      </c>
      <c r="B20" s="408"/>
      <c r="C20" s="621"/>
      <c r="D20" s="622"/>
      <c r="E20" s="621"/>
      <c r="F20" s="621"/>
      <c r="G20" s="621"/>
      <c r="H20" s="621"/>
      <c r="I20" s="390"/>
      <c r="J20" s="1181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623"/>
      <c r="DM20" s="725"/>
      <c r="DN20" s="659"/>
      <c r="DO20" s="897"/>
      <c r="DP20" s="783"/>
      <c r="DQ20" s="659"/>
      <c r="DR20" s="659"/>
      <c r="DS20" s="659"/>
      <c r="DT20" s="623"/>
      <c r="DU20" s="725"/>
      <c r="DV20" s="659"/>
      <c r="DW20" s="659"/>
      <c r="DX20" s="659"/>
      <c r="DY20" s="659"/>
      <c r="DZ20" s="659"/>
      <c r="EA20" s="897"/>
      <c r="EB20" s="659"/>
      <c r="EC20" s="659"/>
      <c r="ED20" s="659"/>
      <c r="EE20" s="659"/>
      <c r="EF20" s="659"/>
      <c r="EG20" s="659"/>
      <c r="EH20" s="659"/>
      <c r="EI20" s="659"/>
      <c r="EJ20" s="659"/>
      <c r="EK20" s="623"/>
      <c r="EL20" s="725"/>
      <c r="EM20" s="659"/>
      <c r="EN20" s="783"/>
      <c r="EO20" s="659"/>
      <c r="EP20" s="659"/>
      <c r="EQ20" s="659"/>
      <c r="ER20" s="659"/>
      <c r="ES20" s="659"/>
      <c r="ET20" s="659"/>
      <c r="EU20" s="659"/>
      <c r="EV20" s="659"/>
      <c r="EW20" s="659"/>
      <c r="EX20" s="659"/>
      <c r="EY20" s="659"/>
      <c r="EZ20" s="783"/>
      <c r="FA20" s="659"/>
      <c r="FB20" s="659"/>
      <c r="FC20" s="659"/>
      <c r="FD20" s="659"/>
      <c r="FE20" s="659"/>
      <c r="FF20" s="659"/>
      <c r="FG20" s="659"/>
      <c r="FH20" s="659"/>
      <c r="FI20" s="659"/>
      <c r="FJ20" s="659"/>
      <c r="FK20" s="897"/>
      <c r="FL20" s="783"/>
      <c r="FM20" s="659"/>
      <c r="FN20" s="659"/>
      <c r="FO20" s="659"/>
      <c r="FP20" s="659"/>
      <c r="FQ20" s="659"/>
      <c r="FR20" s="659"/>
      <c r="FS20" s="659"/>
      <c r="FT20" s="659"/>
      <c r="FU20" s="897"/>
      <c r="FV20" s="1167"/>
    </row>
    <row r="21" spans="1:178" s="112" customFormat="1" ht="32.25" customHeight="1">
      <c r="A21" s="1543">
        <v>1</v>
      </c>
      <c r="B21" s="408" t="s">
        <v>499</v>
      </c>
      <c r="C21" s="621"/>
      <c r="D21" s="622" t="s">
        <v>557</v>
      </c>
      <c r="E21" s="621"/>
      <c r="F21" s="621" t="s">
        <v>906</v>
      </c>
      <c r="G21" s="621" t="s">
        <v>497</v>
      </c>
      <c r="H21" s="621"/>
      <c r="I21" s="390"/>
      <c r="J21" s="1181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v>2.2727272727272729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623"/>
      <c r="DM21" s="725"/>
      <c r="DN21" s="659"/>
      <c r="DO21" s="897"/>
      <c r="DP21" s="783"/>
      <c r="DQ21" s="659"/>
      <c r="DR21" s="659"/>
      <c r="DS21" s="659"/>
      <c r="DT21" s="623"/>
      <c r="DU21" s="725"/>
      <c r="DV21" s="659"/>
      <c r="DW21" s="659"/>
      <c r="DX21" s="659"/>
      <c r="DY21" s="659"/>
      <c r="DZ21" s="659"/>
      <c r="EA21" s="897"/>
      <c r="EB21" s="659"/>
      <c r="EC21" s="659"/>
      <c r="ED21" s="659"/>
      <c r="EE21" s="659"/>
      <c r="EF21" s="659"/>
      <c r="EG21" s="659"/>
      <c r="EH21" s="659"/>
      <c r="EI21" s="659"/>
      <c r="EJ21" s="659"/>
      <c r="EK21" s="623"/>
      <c r="EL21" s="725"/>
      <c r="EM21" s="659"/>
      <c r="EN21" s="783"/>
      <c r="EO21" s="659"/>
      <c r="EP21" s="659"/>
      <c r="EQ21" s="659"/>
      <c r="ER21" s="659"/>
      <c r="ES21" s="659"/>
      <c r="ET21" s="659"/>
      <c r="EU21" s="659"/>
      <c r="EV21" s="659"/>
      <c r="EW21" s="659"/>
      <c r="EX21" s="659"/>
      <c r="EY21" s="659"/>
      <c r="EZ21" s="783"/>
      <c r="FA21" s="659"/>
      <c r="FB21" s="659"/>
      <c r="FC21" s="659"/>
      <c r="FD21" s="659"/>
      <c r="FE21" s="659"/>
      <c r="FF21" s="659"/>
      <c r="FG21" s="659"/>
      <c r="FH21" s="659"/>
      <c r="FI21" s="659"/>
      <c r="FJ21" s="659"/>
      <c r="FK21" s="897"/>
      <c r="FL21" s="783"/>
      <c r="FM21" s="659"/>
      <c r="FN21" s="659"/>
      <c r="FO21" s="659"/>
      <c r="FP21" s="659"/>
      <c r="FQ21" s="659"/>
      <c r="FR21" s="659"/>
      <c r="FS21" s="659"/>
      <c r="FT21" s="659"/>
      <c r="FU21" s="897"/>
      <c r="FV21" s="1167"/>
    </row>
    <row r="22" spans="1:178" s="112" customFormat="1" ht="17.25" customHeight="1">
      <c r="A22" s="1543">
        <v>1</v>
      </c>
      <c r="B22" s="408" t="s">
        <v>500</v>
      </c>
      <c r="C22" s="621"/>
      <c r="D22" s="622" t="s">
        <v>558</v>
      </c>
      <c r="E22" s="621"/>
      <c r="F22" s="621" t="s">
        <v>906</v>
      </c>
      <c r="G22" s="621" t="s">
        <v>497</v>
      </c>
      <c r="H22" s="621"/>
      <c r="I22" s="390"/>
      <c r="J22" s="1181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v>2.2727272727272729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623"/>
      <c r="DM22" s="725"/>
      <c r="DN22" s="659"/>
      <c r="DO22" s="897"/>
      <c r="DP22" s="783"/>
      <c r="DQ22" s="659"/>
      <c r="DR22" s="659"/>
      <c r="DS22" s="659"/>
      <c r="DT22" s="623"/>
      <c r="DU22" s="725"/>
      <c r="DV22" s="659"/>
      <c r="DW22" s="659"/>
      <c r="DX22" s="659"/>
      <c r="DY22" s="659"/>
      <c r="DZ22" s="659"/>
      <c r="EA22" s="897"/>
      <c r="EB22" s="659"/>
      <c r="EC22" s="659"/>
      <c r="ED22" s="659"/>
      <c r="EE22" s="659"/>
      <c r="EF22" s="659"/>
      <c r="EG22" s="659"/>
      <c r="EH22" s="659"/>
      <c r="EI22" s="659"/>
      <c r="EJ22" s="659"/>
      <c r="EK22" s="623"/>
      <c r="EL22" s="725"/>
      <c r="EM22" s="659"/>
      <c r="EN22" s="783"/>
      <c r="EO22" s="659"/>
      <c r="EP22" s="659"/>
      <c r="EQ22" s="659"/>
      <c r="ER22" s="659"/>
      <c r="ES22" s="659"/>
      <c r="ET22" s="659"/>
      <c r="EU22" s="659"/>
      <c r="EV22" s="659"/>
      <c r="EW22" s="659"/>
      <c r="EX22" s="659"/>
      <c r="EY22" s="659"/>
      <c r="EZ22" s="783"/>
      <c r="FA22" s="659"/>
      <c r="FB22" s="659"/>
      <c r="FC22" s="659"/>
      <c r="FD22" s="659"/>
      <c r="FE22" s="659"/>
      <c r="FF22" s="659"/>
      <c r="FG22" s="659"/>
      <c r="FH22" s="659"/>
      <c r="FI22" s="659"/>
      <c r="FJ22" s="659"/>
      <c r="FK22" s="897"/>
      <c r="FL22" s="783"/>
      <c r="FM22" s="659"/>
      <c r="FN22" s="659"/>
      <c r="FO22" s="659"/>
      <c r="FP22" s="659"/>
      <c r="FQ22" s="659"/>
      <c r="FR22" s="659"/>
      <c r="FS22" s="659"/>
      <c r="FT22" s="659"/>
      <c r="FU22" s="897"/>
      <c r="FV22" s="1167"/>
    </row>
    <row r="23" spans="1:178" s="112" customFormat="1" ht="17.25" customHeight="1">
      <c r="A23" s="1543">
        <v>1</v>
      </c>
      <c r="B23" s="408" t="s">
        <v>501</v>
      </c>
      <c r="C23" s="621"/>
      <c r="D23" s="622" t="s">
        <v>559</v>
      </c>
      <c r="E23" s="621"/>
      <c r="F23" s="621" t="s">
        <v>906</v>
      </c>
      <c r="G23" s="621" t="s">
        <v>497</v>
      </c>
      <c r="H23" s="621"/>
      <c r="I23" s="390"/>
      <c r="J23" s="1181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v>2.2727272727272729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623"/>
      <c r="DM23" s="725"/>
      <c r="DN23" s="659"/>
      <c r="DO23" s="897"/>
      <c r="DP23" s="783"/>
      <c r="DQ23" s="659"/>
      <c r="DR23" s="659"/>
      <c r="DS23" s="659"/>
      <c r="DT23" s="623"/>
      <c r="DU23" s="725"/>
      <c r="DV23" s="659"/>
      <c r="DW23" s="659"/>
      <c r="DX23" s="659"/>
      <c r="DY23" s="659"/>
      <c r="DZ23" s="659"/>
      <c r="EA23" s="897"/>
      <c r="EB23" s="659"/>
      <c r="EC23" s="659"/>
      <c r="ED23" s="659"/>
      <c r="EE23" s="659"/>
      <c r="EF23" s="659"/>
      <c r="EG23" s="659"/>
      <c r="EH23" s="659"/>
      <c r="EI23" s="659"/>
      <c r="EJ23" s="659"/>
      <c r="EK23" s="623"/>
      <c r="EL23" s="725"/>
      <c r="EM23" s="659"/>
      <c r="EN23" s="783"/>
      <c r="EO23" s="659"/>
      <c r="EP23" s="659"/>
      <c r="EQ23" s="659"/>
      <c r="ER23" s="659"/>
      <c r="ES23" s="659"/>
      <c r="ET23" s="659"/>
      <c r="EU23" s="659"/>
      <c r="EV23" s="659"/>
      <c r="EW23" s="659"/>
      <c r="EX23" s="659"/>
      <c r="EY23" s="659"/>
      <c r="EZ23" s="783"/>
      <c r="FA23" s="659"/>
      <c r="FB23" s="659"/>
      <c r="FC23" s="659"/>
      <c r="FD23" s="659"/>
      <c r="FE23" s="659"/>
      <c r="FF23" s="659"/>
      <c r="FG23" s="659"/>
      <c r="FH23" s="659"/>
      <c r="FI23" s="659"/>
      <c r="FJ23" s="659"/>
      <c r="FK23" s="897"/>
      <c r="FL23" s="783"/>
      <c r="FM23" s="659"/>
      <c r="FN23" s="659"/>
      <c r="FO23" s="659"/>
      <c r="FP23" s="659"/>
      <c r="FQ23" s="659"/>
      <c r="FR23" s="659"/>
      <c r="FS23" s="659"/>
      <c r="FT23" s="659"/>
      <c r="FU23" s="897"/>
      <c r="FV23" s="1167"/>
    </row>
    <row r="24" spans="1:178" s="112" customFormat="1" ht="17.25" customHeight="1">
      <c r="A24" s="1543">
        <v>1</v>
      </c>
      <c r="B24" s="408" t="s">
        <v>502</v>
      </c>
      <c r="C24" s="621"/>
      <c r="D24" s="622" t="s">
        <v>560</v>
      </c>
      <c r="E24" s="621"/>
      <c r="F24" s="621" t="s">
        <v>906</v>
      </c>
      <c r="G24" s="621" t="s">
        <v>497</v>
      </c>
      <c r="H24" s="621"/>
      <c r="I24" s="390"/>
      <c r="J24" s="1181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v>2.2727272727272729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623"/>
      <c r="DM24" s="725"/>
      <c r="DN24" s="659"/>
      <c r="DO24" s="897"/>
      <c r="DP24" s="783"/>
      <c r="DQ24" s="659"/>
      <c r="DR24" s="659"/>
      <c r="DS24" s="659"/>
      <c r="DT24" s="623"/>
      <c r="DU24" s="725"/>
      <c r="DV24" s="659"/>
      <c r="DW24" s="659"/>
      <c r="DX24" s="659"/>
      <c r="DY24" s="659"/>
      <c r="DZ24" s="659"/>
      <c r="EA24" s="897"/>
      <c r="EB24" s="659"/>
      <c r="EC24" s="659"/>
      <c r="ED24" s="659"/>
      <c r="EE24" s="659"/>
      <c r="EF24" s="659"/>
      <c r="EG24" s="659"/>
      <c r="EH24" s="659"/>
      <c r="EI24" s="659"/>
      <c r="EJ24" s="659"/>
      <c r="EK24" s="623"/>
      <c r="EL24" s="725"/>
      <c r="EM24" s="659"/>
      <c r="EN24" s="783"/>
      <c r="EO24" s="659"/>
      <c r="EP24" s="659"/>
      <c r="EQ24" s="659"/>
      <c r="ER24" s="659"/>
      <c r="ES24" s="659"/>
      <c r="ET24" s="659"/>
      <c r="EU24" s="659"/>
      <c r="EV24" s="659"/>
      <c r="EW24" s="659"/>
      <c r="EX24" s="659"/>
      <c r="EY24" s="659"/>
      <c r="EZ24" s="783"/>
      <c r="FA24" s="659"/>
      <c r="FB24" s="659"/>
      <c r="FC24" s="659"/>
      <c r="FD24" s="659"/>
      <c r="FE24" s="659"/>
      <c r="FF24" s="659"/>
      <c r="FG24" s="659"/>
      <c r="FH24" s="659"/>
      <c r="FI24" s="659"/>
      <c r="FJ24" s="659"/>
      <c r="FK24" s="897"/>
      <c r="FL24" s="783"/>
      <c r="FM24" s="659"/>
      <c r="FN24" s="659"/>
      <c r="FO24" s="659"/>
      <c r="FP24" s="659"/>
      <c r="FQ24" s="659"/>
      <c r="FR24" s="659"/>
      <c r="FS24" s="659"/>
      <c r="FT24" s="659"/>
      <c r="FU24" s="897"/>
      <c r="FV24" s="1167"/>
    </row>
    <row r="25" spans="1:178" s="112" customFormat="1" ht="14.25" customHeight="1">
      <c r="A25" s="1543">
        <v>1</v>
      </c>
      <c r="B25" s="408"/>
      <c r="C25" s="621"/>
      <c r="D25" s="622"/>
      <c r="E25" s="621"/>
      <c r="F25" s="621"/>
      <c r="G25" s="621"/>
      <c r="H25" s="621"/>
      <c r="I25" s="390"/>
      <c r="J25" s="1181"/>
      <c r="K25" s="669"/>
      <c r="L25" s="66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764"/>
      <c r="AJ25" s="772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6"/>
      <c r="BB25" s="626"/>
      <c r="BC25" s="627"/>
      <c r="BD25" s="626"/>
      <c r="BE25" s="626"/>
      <c r="BF25" s="626"/>
      <c r="BG25" s="749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623"/>
      <c r="DM25" s="725"/>
      <c r="DN25" s="659"/>
      <c r="DO25" s="897"/>
      <c r="DP25" s="783"/>
      <c r="DQ25" s="659"/>
      <c r="DR25" s="659"/>
      <c r="DS25" s="659"/>
      <c r="DT25" s="623"/>
      <c r="DU25" s="725"/>
      <c r="DV25" s="659"/>
      <c r="DW25" s="659"/>
      <c r="DX25" s="659"/>
      <c r="DY25" s="659"/>
      <c r="DZ25" s="659"/>
      <c r="EA25" s="897"/>
      <c r="EB25" s="659"/>
      <c r="EC25" s="659"/>
      <c r="ED25" s="659"/>
      <c r="EE25" s="659"/>
      <c r="EF25" s="659"/>
      <c r="EG25" s="659"/>
      <c r="EH25" s="659"/>
      <c r="EI25" s="659"/>
      <c r="EJ25" s="659"/>
      <c r="EK25" s="623"/>
      <c r="EL25" s="725"/>
      <c r="EM25" s="659"/>
      <c r="EN25" s="783"/>
      <c r="EO25" s="659"/>
      <c r="EP25" s="659"/>
      <c r="EQ25" s="659"/>
      <c r="ER25" s="659"/>
      <c r="ES25" s="659"/>
      <c r="ET25" s="659"/>
      <c r="EU25" s="659"/>
      <c r="EV25" s="659"/>
      <c r="EW25" s="659"/>
      <c r="EX25" s="659"/>
      <c r="EY25" s="659"/>
      <c r="EZ25" s="783"/>
      <c r="FA25" s="659"/>
      <c r="FB25" s="659"/>
      <c r="FC25" s="659"/>
      <c r="FD25" s="659"/>
      <c r="FE25" s="659"/>
      <c r="FF25" s="659"/>
      <c r="FG25" s="659"/>
      <c r="FH25" s="659"/>
      <c r="FI25" s="659"/>
      <c r="FJ25" s="659"/>
      <c r="FK25" s="897"/>
      <c r="FL25" s="783"/>
      <c r="FM25" s="659"/>
      <c r="FN25" s="659"/>
      <c r="FO25" s="659"/>
      <c r="FP25" s="659"/>
      <c r="FQ25" s="659"/>
      <c r="FR25" s="659"/>
      <c r="FS25" s="659"/>
      <c r="FT25" s="659"/>
      <c r="FU25" s="897"/>
      <c r="FV25" s="1167"/>
    </row>
    <row r="26" spans="1:178" s="112" customFormat="1" ht="31.5" customHeight="1">
      <c r="A26" s="1543">
        <v>1</v>
      </c>
      <c r="B26" s="408" t="s">
        <v>330</v>
      </c>
      <c r="C26" s="621"/>
      <c r="D26" s="622" t="s">
        <v>561</v>
      </c>
      <c r="E26" s="621"/>
      <c r="F26" s="621" t="s">
        <v>906</v>
      </c>
      <c r="G26" s="621" t="s">
        <v>497</v>
      </c>
      <c r="H26" s="621"/>
      <c r="I26" s="390"/>
      <c r="J26" s="1181" t="s">
        <v>844</v>
      </c>
      <c r="K26" s="669"/>
      <c r="L26" s="66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764"/>
      <c r="AJ26" s="772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764"/>
      <c r="AV26" s="752"/>
      <c r="AW26" s="626"/>
      <c r="AX26" s="626"/>
      <c r="AY26" s="626"/>
      <c r="AZ26" s="626"/>
      <c r="BA26" s="626"/>
      <c r="BB26" s="626"/>
      <c r="BC26" s="627"/>
      <c r="BD26" s="626"/>
      <c r="BE26" s="626"/>
      <c r="BF26" s="626"/>
      <c r="BG26" s="749"/>
      <c r="BH26" s="660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59"/>
      <c r="BT26" s="660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59"/>
      <c r="CF26" s="660"/>
      <c r="CG26" s="623"/>
      <c r="CH26" s="623"/>
      <c r="CI26" s="623"/>
      <c r="CJ26" s="623">
        <v>0.42599999999999999</v>
      </c>
      <c r="CK26" s="623"/>
      <c r="CL26" s="623">
        <v>0.42599999999999999</v>
      </c>
      <c r="CM26" s="623"/>
      <c r="CN26" s="623">
        <v>0.56799999999999995</v>
      </c>
      <c r="CO26" s="623"/>
      <c r="CP26" s="623"/>
      <c r="CQ26" s="659"/>
      <c r="CR26" s="660"/>
      <c r="CS26" s="623"/>
      <c r="CT26" s="623"/>
      <c r="CU26" s="623"/>
      <c r="CV26" s="623">
        <v>1.0227272727272727</v>
      </c>
      <c r="CW26" s="623"/>
      <c r="CX26" s="623"/>
      <c r="CY26" s="623"/>
      <c r="CZ26" s="623"/>
      <c r="DA26" s="623"/>
      <c r="DB26" s="725"/>
      <c r="DC26" s="659"/>
      <c r="DD26" s="783"/>
      <c r="DE26" s="623"/>
      <c r="DF26" s="725"/>
      <c r="DG26" s="659"/>
      <c r="DH26" s="623"/>
      <c r="DI26" s="623"/>
      <c r="DJ26" s="623"/>
      <c r="DK26" s="659"/>
      <c r="DL26" s="623"/>
      <c r="DM26" s="725"/>
      <c r="DN26" s="659"/>
      <c r="DO26" s="897"/>
      <c r="DP26" s="783"/>
      <c r="DQ26" s="659"/>
      <c r="DR26" s="659"/>
      <c r="DS26" s="659"/>
      <c r="DT26" s="623"/>
      <c r="DU26" s="725"/>
      <c r="DV26" s="659"/>
      <c r="DW26" s="659"/>
      <c r="DX26" s="659"/>
      <c r="DY26" s="659"/>
      <c r="DZ26" s="659"/>
      <c r="EA26" s="897"/>
      <c r="EB26" s="659"/>
      <c r="EC26" s="659"/>
      <c r="ED26" s="659"/>
      <c r="EE26" s="659"/>
      <c r="EF26" s="659"/>
      <c r="EG26" s="659"/>
      <c r="EH26" s="659"/>
      <c r="EI26" s="659"/>
      <c r="EJ26" s="659"/>
      <c r="EK26" s="623"/>
      <c r="EL26" s="725"/>
      <c r="EM26" s="659"/>
      <c r="EN26" s="783"/>
      <c r="EO26" s="659"/>
      <c r="EP26" s="659"/>
      <c r="EQ26" s="659"/>
      <c r="ER26" s="659"/>
      <c r="ES26" s="659"/>
      <c r="ET26" s="659"/>
      <c r="EU26" s="659"/>
      <c r="EV26" s="659"/>
      <c r="EW26" s="659"/>
      <c r="EX26" s="659"/>
      <c r="EY26" s="659"/>
      <c r="EZ26" s="783"/>
      <c r="FA26" s="659"/>
      <c r="FB26" s="659"/>
      <c r="FC26" s="659"/>
      <c r="FD26" s="659"/>
      <c r="FE26" s="659"/>
      <c r="FF26" s="659"/>
      <c r="FG26" s="659"/>
      <c r="FH26" s="659"/>
      <c r="FI26" s="659"/>
      <c r="FJ26" s="659"/>
      <c r="FK26" s="897"/>
      <c r="FL26" s="783"/>
      <c r="FM26" s="659"/>
      <c r="FN26" s="659"/>
      <c r="FO26" s="659"/>
      <c r="FP26" s="659"/>
      <c r="FQ26" s="659"/>
      <c r="FR26" s="659"/>
      <c r="FS26" s="659"/>
      <c r="FT26" s="659"/>
      <c r="FU26" s="897"/>
      <c r="FV26" s="1167"/>
    </row>
    <row r="27" spans="1:178" s="112" customFormat="1" ht="17.25" customHeight="1">
      <c r="A27" s="1543">
        <v>1</v>
      </c>
      <c r="B27" s="408" t="s">
        <v>331</v>
      </c>
      <c r="C27" s="621"/>
      <c r="D27" s="622" t="s">
        <v>562</v>
      </c>
      <c r="E27" s="621"/>
      <c r="F27" s="621" t="s">
        <v>906</v>
      </c>
      <c r="G27" s="621" t="s">
        <v>497</v>
      </c>
      <c r="H27" s="621"/>
      <c r="I27" s="390"/>
      <c r="J27" s="1181"/>
      <c r="K27" s="669"/>
      <c r="L27" s="66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764"/>
      <c r="AJ27" s="772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6"/>
      <c r="BB27" s="626"/>
      <c r="BC27" s="627"/>
      <c r="BD27" s="626"/>
      <c r="BE27" s="626"/>
      <c r="BF27" s="626"/>
      <c r="BG27" s="749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725"/>
      <c r="DG27" s="659"/>
      <c r="DH27" s="623"/>
      <c r="DI27" s="623"/>
      <c r="DJ27" s="623"/>
      <c r="DK27" s="659"/>
      <c r="DL27" s="623"/>
      <c r="DM27" s="725"/>
      <c r="DN27" s="659"/>
      <c r="DO27" s="897"/>
      <c r="DP27" s="783"/>
      <c r="DQ27" s="659"/>
      <c r="DR27" s="659"/>
      <c r="DS27" s="659"/>
      <c r="DT27" s="623"/>
      <c r="DU27" s="725"/>
      <c r="DV27" s="659"/>
      <c r="DW27" s="659"/>
      <c r="DX27" s="659"/>
      <c r="DY27" s="659"/>
      <c r="DZ27" s="659"/>
      <c r="EA27" s="897"/>
      <c r="EB27" s="659"/>
      <c r="EC27" s="659"/>
      <c r="ED27" s="659"/>
      <c r="EE27" s="659"/>
      <c r="EF27" s="659"/>
      <c r="EG27" s="659"/>
      <c r="EH27" s="659"/>
      <c r="EI27" s="659"/>
      <c r="EJ27" s="659"/>
      <c r="EK27" s="623"/>
      <c r="EL27" s="725"/>
      <c r="EM27" s="659"/>
      <c r="EN27" s="783"/>
      <c r="EO27" s="659"/>
      <c r="EP27" s="659"/>
      <c r="EQ27" s="659"/>
      <c r="ER27" s="659"/>
      <c r="ES27" s="659"/>
      <c r="ET27" s="659"/>
      <c r="EU27" s="659"/>
      <c r="EV27" s="659"/>
      <c r="EW27" s="659"/>
      <c r="EX27" s="659"/>
      <c r="EY27" s="659"/>
      <c r="EZ27" s="783"/>
      <c r="FA27" s="659"/>
      <c r="FB27" s="659"/>
      <c r="FC27" s="659"/>
      <c r="FD27" s="659"/>
      <c r="FE27" s="659"/>
      <c r="FF27" s="659"/>
      <c r="FG27" s="659"/>
      <c r="FH27" s="659"/>
      <c r="FI27" s="659"/>
      <c r="FJ27" s="659"/>
      <c r="FK27" s="897"/>
      <c r="FL27" s="783"/>
      <c r="FM27" s="659"/>
      <c r="FN27" s="659"/>
      <c r="FO27" s="659"/>
      <c r="FP27" s="659"/>
      <c r="FQ27" s="659"/>
      <c r="FR27" s="659"/>
      <c r="FS27" s="659"/>
      <c r="FT27" s="659"/>
      <c r="FU27" s="897"/>
      <c r="FV27" s="1167"/>
    </row>
    <row r="28" spans="1:178" s="112" customFormat="1" ht="17.25" customHeight="1">
      <c r="A28" s="1543">
        <v>1</v>
      </c>
      <c r="B28" s="408" t="s">
        <v>332</v>
      </c>
      <c r="C28" s="621"/>
      <c r="D28" s="622" t="s">
        <v>563</v>
      </c>
      <c r="E28" s="621"/>
      <c r="F28" s="621" t="s">
        <v>906</v>
      </c>
      <c r="G28" s="621" t="s">
        <v>497</v>
      </c>
      <c r="H28" s="621"/>
      <c r="I28" s="390"/>
      <c r="J28" s="1181"/>
      <c r="K28" s="669"/>
      <c r="L28" s="66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764"/>
      <c r="AJ28" s="772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6"/>
      <c r="BB28" s="626"/>
      <c r="BC28" s="627"/>
      <c r="BD28" s="626"/>
      <c r="BE28" s="626"/>
      <c r="BF28" s="626"/>
      <c r="BG28" s="749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725"/>
      <c r="DG28" s="659"/>
      <c r="DH28" s="623"/>
      <c r="DI28" s="623"/>
      <c r="DJ28" s="623"/>
      <c r="DK28" s="659"/>
      <c r="DL28" s="623"/>
      <c r="DM28" s="725"/>
      <c r="DN28" s="659"/>
      <c r="DO28" s="897"/>
      <c r="DP28" s="783"/>
      <c r="DQ28" s="659"/>
      <c r="DR28" s="659"/>
      <c r="DS28" s="659"/>
      <c r="DT28" s="623"/>
      <c r="DU28" s="725"/>
      <c r="DV28" s="659"/>
      <c r="DW28" s="659"/>
      <c r="DX28" s="659"/>
      <c r="DY28" s="659"/>
      <c r="DZ28" s="659"/>
      <c r="EA28" s="897"/>
      <c r="EB28" s="659"/>
      <c r="EC28" s="659"/>
      <c r="ED28" s="659"/>
      <c r="EE28" s="659"/>
      <c r="EF28" s="659"/>
      <c r="EG28" s="659"/>
      <c r="EH28" s="659"/>
      <c r="EI28" s="659"/>
      <c r="EJ28" s="659"/>
      <c r="EK28" s="623"/>
      <c r="EL28" s="725"/>
      <c r="EM28" s="659"/>
      <c r="EN28" s="783"/>
      <c r="EO28" s="659"/>
      <c r="EP28" s="659"/>
      <c r="EQ28" s="659"/>
      <c r="ER28" s="659"/>
      <c r="ES28" s="659"/>
      <c r="ET28" s="659"/>
      <c r="EU28" s="659"/>
      <c r="EV28" s="659"/>
      <c r="EW28" s="659"/>
      <c r="EX28" s="659"/>
      <c r="EY28" s="659"/>
      <c r="EZ28" s="783"/>
      <c r="FA28" s="659"/>
      <c r="FB28" s="659"/>
      <c r="FC28" s="659"/>
      <c r="FD28" s="659"/>
      <c r="FE28" s="659"/>
      <c r="FF28" s="659"/>
      <c r="FG28" s="659"/>
      <c r="FH28" s="659"/>
      <c r="FI28" s="659"/>
      <c r="FJ28" s="659"/>
      <c r="FK28" s="897"/>
      <c r="FL28" s="783"/>
      <c r="FM28" s="659"/>
      <c r="FN28" s="659"/>
      <c r="FO28" s="659"/>
      <c r="FP28" s="659"/>
      <c r="FQ28" s="659"/>
      <c r="FR28" s="659"/>
      <c r="FS28" s="659"/>
      <c r="FT28" s="659"/>
      <c r="FU28" s="897"/>
      <c r="FV28" s="1167"/>
    </row>
    <row r="29" spans="1:178" s="112" customFormat="1" ht="17.25" customHeight="1">
      <c r="A29" s="1543">
        <v>1</v>
      </c>
      <c r="B29" s="408" t="s">
        <v>333</v>
      </c>
      <c r="C29" s="621"/>
      <c r="D29" s="622" t="s">
        <v>564</v>
      </c>
      <c r="E29" s="621"/>
      <c r="F29" s="621" t="s">
        <v>906</v>
      </c>
      <c r="G29" s="621" t="s">
        <v>497</v>
      </c>
      <c r="H29" s="621"/>
      <c r="I29" s="390"/>
      <c r="J29" s="1181"/>
      <c r="K29" s="669"/>
      <c r="L29" s="66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764"/>
      <c r="AJ29" s="772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6"/>
      <c r="BB29" s="626"/>
      <c r="BC29" s="627"/>
      <c r="BD29" s="626"/>
      <c r="BE29" s="626"/>
      <c r="BF29" s="626"/>
      <c r="BG29" s="749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725"/>
      <c r="DG29" s="659"/>
      <c r="DH29" s="623"/>
      <c r="DI29" s="623"/>
      <c r="DJ29" s="623"/>
      <c r="DK29" s="659"/>
      <c r="DL29" s="623"/>
      <c r="DM29" s="725"/>
      <c r="DN29" s="659"/>
      <c r="DO29" s="897"/>
      <c r="DP29" s="783"/>
      <c r="DQ29" s="659"/>
      <c r="DR29" s="659"/>
      <c r="DS29" s="659"/>
      <c r="DT29" s="623"/>
      <c r="DU29" s="725"/>
      <c r="DV29" s="659"/>
      <c r="DW29" s="659"/>
      <c r="DX29" s="659"/>
      <c r="DY29" s="659"/>
      <c r="DZ29" s="659"/>
      <c r="EA29" s="897"/>
      <c r="EB29" s="659"/>
      <c r="EC29" s="659"/>
      <c r="ED29" s="659"/>
      <c r="EE29" s="659"/>
      <c r="EF29" s="659"/>
      <c r="EG29" s="659"/>
      <c r="EH29" s="659"/>
      <c r="EI29" s="659"/>
      <c r="EJ29" s="659"/>
      <c r="EK29" s="623"/>
      <c r="EL29" s="725"/>
      <c r="EM29" s="659"/>
      <c r="EN29" s="783"/>
      <c r="EO29" s="659"/>
      <c r="EP29" s="659"/>
      <c r="EQ29" s="659"/>
      <c r="ER29" s="659"/>
      <c r="ES29" s="659"/>
      <c r="ET29" s="659"/>
      <c r="EU29" s="659"/>
      <c r="EV29" s="659"/>
      <c r="EW29" s="659"/>
      <c r="EX29" s="659"/>
      <c r="EY29" s="659"/>
      <c r="EZ29" s="783"/>
      <c r="FA29" s="659"/>
      <c r="FB29" s="659"/>
      <c r="FC29" s="659"/>
      <c r="FD29" s="659"/>
      <c r="FE29" s="659"/>
      <c r="FF29" s="659"/>
      <c r="FG29" s="659"/>
      <c r="FH29" s="659"/>
      <c r="FI29" s="659"/>
      <c r="FJ29" s="659"/>
      <c r="FK29" s="897"/>
      <c r="FL29" s="783"/>
      <c r="FM29" s="659"/>
      <c r="FN29" s="659"/>
      <c r="FO29" s="659"/>
      <c r="FP29" s="659"/>
      <c r="FQ29" s="659"/>
      <c r="FR29" s="659"/>
      <c r="FS29" s="659"/>
      <c r="FT29" s="659"/>
      <c r="FU29" s="897"/>
      <c r="FV29" s="1167"/>
    </row>
    <row r="30" spans="1:178" s="1056" customFormat="1" ht="6.75" customHeight="1">
      <c r="A30" s="1545">
        <v>1</v>
      </c>
      <c r="B30" s="1038"/>
      <c r="C30" s="1039"/>
      <c r="D30" s="1040"/>
      <c r="E30" s="1039"/>
      <c r="F30" s="1039"/>
      <c r="G30" s="1039"/>
      <c r="H30" s="1039"/>
      <c r="I30" s="1057"/>
      <c r="J30" s="1177"/>
      <c r="K30" s="1041"/>
      <c r="L30" s="1042"/>
      <c r="M30" s="1043"/>
      <c r="N30" s="1043"/>
      <c r="O30" s="1043"/>
      <c r="P30" s="1043"/>
      <c r="Q30" s="1043"/>
      <c r="R30" s="1043"/>
      <c r="S30" s="1043"/>
      <c r="T30" s="1043"/>
      <c r="U30" s="1043"/>
      <c r="V30" s="1043"/>
      <c r="W30" s="1043"/>
      <c r="X30" s="1043"/>
      <c r="Y30" s="1043"/>
      <c r="Z30" s="1043"/>
      <c r="AA30" s="1043"/>
      <c r="AB30" s="1043"/>
      <c r="AC30" s="1043"/>
      <c r="AD30" s="1043"/>
      <c r="AE30" s="1043"/>
      <c r="AF30" s="1043"/>
      <c r="AG30" s="1043"/>
      <c r="AH30" s="1043"/>
      <c r="AI30" s="1044"/>
      <c r="AJ30" s="1045"/>
      <c r="AK30" s="1043"/>
      <c r="AL30" s="1043"/>
      <c r="AM30" s="1043"/>
      <c r="AN30" s="1043"/>
      <c r="AO30" s="1043"/>
      <c r="AP30" s="1043"/>
      <c r="AQ30" s="1043"/>
      <c r="AR30" s="1043"/>
      <c r="AS30" s="1043"/>
      <c r="AT30" s="1043"/>
      <c r="AU30" s="1044"/>
      <c r="AV30" s="1046"/>
      <c r="AW30" s="1047"/>
      <c r="AX30" s="1047"/>
      <c r="AY30" s="1047"/>
      <c r="AZ30" s="1047"/>
      <c r="BA30" s="1047"/>
      <c r="BB30" s="1047"/>
      <c r="BC30" s="1048"/>
      <c r="BD30" s="1047"/>
      <c r="BE30" s="1047"/>
      <c r="BF30" s="1047"/>
      <c r="BG30" s="1049"/>
      <c r="BH30" s="1050"/>
      <c r="BI30" s="1051"/>
      <c r="BJ30" s="1051"/>
      <c r="BK30" s="1051"/>
      <c r="BL30" s="1051"/>
      <c r="BM30" s="1051"/>
      <c r="BN30" s="1051"/>
      <c r="BO30" s="1051"/>
      <c r="BP30" s="1051"/>
      <c r="BQ30" s="1051"/>
      <c r="BR30" s="1051"/>
      <c r="BS30" s="1052"/>
      <c r="BT30" s="1050"/>
      <c r="BU30" s="1051"/>
      <c r="BV30" s="1051"/>
      <c r="BW30" s="1051"/>
      <c r="BX30" s="1051"/>
      <c r="BY30" s="1051"/>
      <c r="BZ30" s="1051"/>
      <c r="CA30" s="1051"/>
      <c r="CB30" s="1051"/>
      <c r="CC30" s="1051"/>
      <c r="CD30" s="1051"/>
      <c r="CE30" s="1052"/>
      <c r="CF30" s="1050"/>
      <c r="CG30" s="1051"/>
      <c r="CH30" s="1051"/>
      <c r="CI30" s="1051"/>
      <c r="CJ30" s="1051"/>
      <c r="CK30" s="1051"/>
      <c r="CL30" s="1051"/>
      <c r="CM30" s="1051"/>
      <c r="CN30" s="1051"/>
      <c r="CO30" s="1051"/>
      <c r="CP30" s="1051"/>
      <c r="CQ30" s="1052"/>
      <c r="CR30" s="1050"/>
      <c r="CS30" s="1051"/>
      <c r="CT30" s="1051"/>
      <c r="CU30" s="1051"/>
      <c r="CV30" s="1051"/>
      <c r="CW30" s="1051"/>
      <c r="CX30" s="1051"/>
      <c r="CY30" s="1051"/>
      <c r="CZ30" s="1051"/>
      <c r="DA30" s="1051"/>
      <c r="DB30" s="1053"/>
      <c r="DC30" s="1052"/>
      <c r="DD30" s="1054"/>
      <c r="DE30" s="1051"/>
      <c r="DF30" s="1053"/>
      <c r="DG30" s="1052"/>
      <c r="DH30" s="1051"/>
      <c r="DI30" s="1051"/>
      <c r="DJ30" s="1051"/>
      <c r="DK30" s="1052"/>
      <c r="DL30" s="1051"/>
      <c r="DM30" s="1053"/>
      <c r="DN30" s="1052"/>
      <c r="DO30" s="1055"/>
      <c r="DP30" s="1054"/>
      <c r="DQ30" s="1052"/>
      <c r="DR30" s="1052"/>
      <c r="DS30" s="1052"/>
      <c r="DT30" s="1051"/>
      <c r="DU30" s="1053"/>
      <c r="DV30" s="1052"/>
      <c r="DW30" s="1052"/>
      <c r="DX30" s="1052"/>
      <c r="DY30" s="1052"/>
      <c r="DZ30" s="1052"/>
      <c r="EA30" s="1055"/>
      <c r="EB30" s="1052"/>
      <c r="EC30" s="1052"/>
      <c r="ED30" s="1052"/>
      <c r="EE30" s="1052"/>
      <c r="EF30" s="1052"/>
      <c r="EG30" s="1052"/>
      <c r="EH30" s="1052"/>
      <c r="EI30" s="1052"/>
      <c r="EJ30" s="1052"/>
      <c r="EK30" s="1051"/>
      <c r="EL30" s="1053"/>
      <c r="EM30" s="1052"/>
      <c r="EN30" s="1054"/>
      <c r="EO30" s="1052"/>
      <c r="EP30" s="1052"/>
      <c r="EQ30" s="1052"/>
      <c r="ER30" s="1052"/>
      <c r="ES30" s="1052"/>
      <c r="ET30" s="1052"/>
      <c r="EU30" s="1052"/>
      <c r="EV30" s="1052"/>
      <c r="EW30" s="1052"/>
      <c r="EX30" s="1052"/>
      <c r="EY30" s="1052"/>
      <c r="EZ30" s="1054"/>
      <c r="FA30" s="1052"/>
      <c r="FB30" s="1052"/>
      <c r="FC30" s="1052"/>
      <c r="FD30" s="1052"/>
      <c r="FE30" s="1052"/>
      <c r="FF30" s="1052"/>
      <c r="FG30" s="1052"/>
      <c r="FH30" s="1052"/>
      <c r="FI30" s="1052"/>
      <c r="FJ30" s="1052"/>
      <c r="FK30" s="1055"/>
      <c r="FL30" s="1054"/>
      <c r="FM30" s="1052"/>
      <c r="FN30" s="1052"/>
      <c r="FO30" s="1052"/>
      <c r="FP30" s="1052"/>
      <c r="FQ30" s="1052"/>
      <c r="FR30" s="1052"/>
      <c r="FS30" s="1052"/>
      <c r="FT30" s="1052"/>
      <c r="FU30" s="1055"/>
      <c r="FV30" s="1168"/>
    </row>
    <row r="31" spans="1:178" s="112" customFormat="1" ht="16.5" customHeight="1">
      <c r="A31" s="1543">
        <v>1</v>
      </c>
      <c r="B31" s="629" t="s">
        <v>473</v>
      </c>
      <c r="C31" s="621"/>
      <c r="D31" s="794" t="s">
        <v>845</v>
      </c>
      <c r="E31" s="621"/>
      <c r="F31" s="621" t="s">
        <v>906</v>
      </c>
      <c r="G31" s="621" t="s">
        <v>497</v>
      </c>
      <c r="H31" s="621"/>
      <c r="I31" s="405"/>
      <c r="J31" s="2915" t="s">
        <v>113</v>
      </c>
      <c r="K31" s="668"/>
      <c r="L31" s="664"/>
      <c r="M31" s="623"/>
      <c r="N31" s="623"/>
      <c r="O31" s="623"/>
      <c r="P31" s="623"/>
      <c r="Q31" s="623"/>
      <c r="R31" s="623"/>
      <c r="S31" s="623"/>
      <c r="T31" s="623"/>
      <c r="U31" s="623"/>
      <c r="V31" s="624"/>
      <c r="W31" s="624"/>
      <c r="X31" s="624"/>
      <c r="Y31" s="624"/>
      <c r="Z31" s="625"/>
      <c r="AA31" s="625"/>
      <c r="AB31" s="625"/>
      <c r="AC31" s="625"/>
      <c r="AD31" s="625"/>
      <c r="AE31" s="625"/>
      <c r="AF31" s="624"/>
      <c r="AG31" s="624"/>
      <c r="AH31" s="625"/>
      <c r="AI31" s="764"/>
      <c r="AJ31" s="771"/>
      <c r="AK31" s="624"/>
      <c r="AL31" s="624"/>
      <c r="AM31" s="624"/>
      <c r="AN31" s="624"/>
      <c r="AO31" s="624"/>
      <c r="AP31" s="625"/>
      <c r="AQ31" s="625"/>
      <c r="AR31" s="625"/>
      <c r="AS31" s="625"/>
      <c r="AT31" s="625"/>
      <c r="AU31" s="764"/>
      <c r="AV31" s="752"/>
      <c r="AW31" s="626"/>
      <c r="AX31" s="626"/>
      <c r="AY31" s="626"/>
      <c r="AZ31" s="626"/>
      <c r="BA31" s="628"/>
      <c r="BB31" s="628"/>
      <c r="BC31" s="627"/>
      <c r="BD31" s="626"/>
      <c r="BE31" s="627"/>
      <c r="BF31" s="627"/>
      <c r="BG31" s="738"/>
      <c r="BH31" s="660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59"/>
      <c r="BT31" s="660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59"/>
      <c r="CF31" s="660"/>
      <c r="CG31" s="623"/>
      <c r="CH31" s="623"/>
      <c r="CI31" s="623"/>
      <c r="CJ31" s="623"/>
      <c r="CK31" s="623"/>
      <c r="CL31" s="623"/>
      <c r="CM31" s="623"/>
      <c r="CN31" s="623"/>
      <c r="CO31" s="623"/>
      <c r="CP31" s="623"/>
      <c r="CQ31" s="659"/>
      <c r="CR31" s="660"/>
      <c r="CS31" s="623"/>
      <c r="CT31" s="623"/>
      <c r="CU31" s="623"/>
      <c r="CV31" s="623"/>
      <c r="CW31" s="623"/>
      <c r="CX31" s="623"/>
      <c r="CY31" s="623"/>
      <c r="CZ31" s="623"/>
      <c r="DA31" s="623"/>
      <c r="DB31" s="725"/>
      <c r="DC31" s="659"/>
      <c r="DD31" s="783"/>
      <c r="DE31" s="623"/>
      <c r="DF31" s="725"/>
      <c r="DG31" s="659"/>
      <c r="DH31" s="623"/>
      <c r="DI31" s="623"/>
      <c r="DJ31" s="623"/>
      <c r="DK31" s="659"/>
      <c r="DL31" s="623"/>
      <c r="DM31" s="725"/>
      <c r="DN31" s="659"/>
      <c r="DO31" s="897"/>
      <c r="DP31" s="783"/>
      <c r="DQ31" s="659"/>
      <c r="DR31" s="659"/>
      <c r="DS31" s="659"/>
      <c r="DT31" s="623"/>
      <c r="DU31" s="725"/>
      <c r="DV31" s="659"/>
      <c r="DW31" s="659"/>
      <c r="DX31" s="659"/>
      <c r="DY31" s="659"/>
      <c r="DZ31" s="659"/>
      <c r="EA31" s="897"/>
      <c r="EB31" s="987">
        <v>2.2726999999999999</v>
      </c>
      <c r="EC31" s="987">
        <v>2.2726999999999999</v>
      </c>
      <c r="ED31" s="987">
        <v>2.2726999999999999</v>
      </c>
      <c r="EE31" s="987">
        <v>2.2726999999999999</v>
      </c>
      <c r="EF31" s="987"/>
      <c r="EG31" s="987">
        <f>580/176</f>
        <v>3.2954545454545454</v>
      </c>
      <c r="EH31" s="987">
        <f>580/176</f>
        <v>3.2954545454545454</v>
      </c>
      <c r="EI31" s="987"/>
      <c r="EJ31" s="987"/>
      <c r="EK31" s="1027"/>
      <c r="EL31" s="1028"/>
      <c r="EM31" s="987"/>
      <c r="EN31" s="1014"/>
      <c r="EO31" s="987"/>
      <c r="EP31" s="987">
        <v>2.84</v>
      </c>
      <c r="EQ31" s="987">
        <v>2.84</v>
      </c>
      <c r="ER31" s="987">
        <v>2.84</v>
      </c>
      <c r="ES31" s="987">
        <v>2.84</v>
      </c>
      <c r="ET31" s="659">
        <v>3.4089999999999998</v>
      </c>
      <c r="EU31" s="659">
        <v>3.4089999999999998</v>
      </c>
      <c r="EV31" s="659"/>
      <c r="EW31" s="987"/>
      <c r="EX31" s="987"/>
      <c r="EY31" s="987"/>
      <c r="EZ31" s="1014"/>
      <c r="FA31" s="987"/>
      <c r="FB31" s="987"/>
      <c r="FC31" s="987"/>
      <c r="FD31" s="987"/>
      <c r="FE31" s="987"/>
      <c r="FF31" s="987"/>
      <c r="FG31" s="987"/>
      <c r="FH31" s="987"/>
      <c r="FI31" s="987"/>
      <c r="FJ31" s="987"/>
      <c r="FK31" s="1029"/>
      <c r="FL31" s="1014"/>
      <c r="FM31" s="987"/>
      <c r="FN31" s="987"/>
      <c r="FO31" s="987"/>
      <c r="FP31" s="987"/>
      <c r="FQ31" s="987"/>
      <c r="FR31" s="987"/>
      <c r="FS31" s="987"/>
      <c r="FT31" s="987"/>
      <c r="FU31" s="1029"/>
      <c r="FV31" s="1169"/>
    </row>
    <row r="32" spans="1:178" s="112" customFormat="1" ht="16.5" customHeight="1">
      <c r="A32" s="1543">
        <v>1</v>
      </c>
      <c r="B32" s="629" t="s">
        <v>476</v>
      </c>
      <c r="C32" s="621"/>
      <c r="D32" s="794" t="s">
        <v>846</v>
      </c>
      <c r="E32" s="621"/>
      <c r="F32" s="621" t="s">
        <v>906</v>
      </c>
      <c r="G32" s="621" t="s">
        <v>497</v>
      </c>
      <c r="H32" s="621"/>
      <c r="I32" s="405"/>
      <c r="J32" s="2916"/>
      <c r="K32" s="668"/>
      <c r="L32" s="664"/>
      <c r="M32" s="623"/>
      <c r="N32" s="623"/>
      <c r="O32" s="623"/>
      <c r="P32" s="623"/>
      <c r="Q32" s="623"/>
      <c r="R32" s="623"/>
      <c r="S32" s="623"/>
      <c r="T32" s="623"/>
      <c r="U32" s="623"/>
      <c r="V32" s="624"/>
      <c r="W32" s="624"/>
      <c r="X32" s="624"/>
      <c r="Y32" s="624"/>
      <c r="Z32" s="625"/>
      <c r="AA32" s="625"/>
      <c r="AB32" s="625"/>
      <c r="AC32" s="625"/>
      <c r="AD32" s="625"/>
      <c r="AE32" s="625"/>
      <c r="AF32" s="624"/>
      <c r="AG32" s="624"/>
      <c r="AH32" s="625"/>
      <c r="AI32" s="764"/>
      <c r="AJ32" s="771"/>
      <c r="AK32" s="624"/>
      <c r="AL32" s="624"/>
      <c r="AM32" s="624"/>
      <c r="AN32" s="624"/>
      <c r="AO32" s="624"/>
      <c r="AP32" s="625"/>
      <c r="AQ32" s="625"/>
      <c r="AR32" s="625"/>
      <c r="AS32" s="625"/>
      <c r="AT32" s="625"/>
      <c r="AU32" s="764"/>
      <c r="AV32" s="752"/>
      <c r="AW32" s="626"/>
      <c r="AX32" s="626"/>
      <c r="AY32" s="626"/>
      <c r="AZ32" s="626"/>
      <c r="BA32" s="628"/>
      <c r="BB32" s="628"/>
      <c r="BC32" s="627"/>
      <c r="BD32" s="626"/>
      <c r="BE32" s="627"/>
      <c r="BF32" s="627"/>
      <c r="BG32" s="738"/>
      <c r="BH32" s="660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59"/>
      <c r="BT32" s="660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59"/>
      <c r="CF32" s="660"/>
      <c r="CG32" s="623"/>
      <c r="CH32" s="623"/>
      <c r="CI32" s="623"/>
      <c r="CJ32" s="623"/>
      <c r="CK32" s="623"/>
      <c r="CL32" s="623"/>
      <c r="CM32" s="623"/>
      <c r="CN32" s="623"/>
      <c r="CO32" s="623"/>
      <c r="CP32" s="623"/>
      <c r="CQ32" s="659"/>
      <c r="CR32" s="660"/>
      <c r="CS32" s="623"/>
      <c r="CT32" s="623"/>
      <c r="CU32" s="623"/>
      <c r="CV32" s="623"/>
      <c r="CW32" s="623"/>
      <c r="CX32" s="623"/>
      <c r="CY32" s="623"/>
      <c r="CZ32" s="623"/>
      <c r="DA32" s="623"/>
      <c r="DB32" s="725"/>
      <c r="DC32" s="659"/>
      <c r="DD32" s="783"/>
      <c r="DE32" s="623"/>
      <c r="DF32" s="725"/>
      <c r="DG32" s="659"/>
      <c r="DH32" s="623"/>
      <c r="DI32" s="623"/>
      <c r="DJ32" s="623"/>
      <c r="DK32" s="659"/>
      <c r="DL32" s="623"/>
      <c r="DM32" s="725"/>
      <c r="DN32" s="659"/>
      <c r="DO32" s="897"/>
      <c r="DP32" s="783"/>
      <c r="DQ32" s="659"/>
      <c r="DR32" s="659"/>
      <c r="DS32" s="659"/>
      <c r="DT32" s="623"/>
      <c r="DU32" s="725"/>
      <c r="DV32" s="659"/>
      <c r="DW32" s="659"/>
      <c r="DX32" s="659"/>
      <c r="DY32" s="659"/>
      <c r="DZ32" s="659"/>
      <c r="EA32" s="897"/>
      <c r="EB32" s="987">
        <v>2.2726999999999999</v>
      </c>
      <c r="EC32" s="987">
        <v>2.2726999999999999</v>
      </c>
      <c r="ED32" s="987">
        <v>2.2726999999999999</v>
      </c>
      <c r="EE32" s="987">
        <v>2.2726999999999999</v>
      </c>
      <c r="EF32" s="987"/>
      <c r="EG32" s="987">
        <f>631/176</f>
        <v>3.5852272727272729</v>
      </c>
      <c r="EH32" s="987">
        <f>631/176</f>
        <v>3.5852272727272729</v>
      </c>
      <c r="EI32" s="987"/>
      <c r="EJ32" s="987"/>
      <c r="EK32" s="1027"/>
      <c r="EL32" s="1028"/>
      <c r="EM32" s="987"/>
      <c r="EN32" s="1014"/>
      <c r="EO32" s="987"/>
      <c r="EP32" s="987">
        <v>2.84</v>
      </c>
      <c r="EQ32" s="987">
        <v>2.84</v>
      </c>
      <c r="ER32" s="987">
        <v>2.84</v>
      </c>
      <c r="ES32" s="987">
        <v>2.84</v>
      </c>
      <c r="ET32" s="659">
        <v>3.6931818181818183</v>
      </c>
      <c r="EU32" s="659">
        <v>3.6931818181818183</v>
      </c>
      <c r="EV32" s="659"/>
      <c r="EW32" s="987"/>
      <c r="EX32" s="987"/>
      <c r="EY32" s="987"/>
      <c r="EZ32" s="1014"/>
      <c r="FA32" s="987"/>
      <c r="FB32" s="987"/>
      <c r="FC32" s="987"/>
      <c r="FD32" s="987"/>
      <c r="FE32" s="987"/>
      <c r="FF32" s="987"/>
      <c r="FG32" s="987"/>
      <c r="FH32" s="987"/>
      <c r="FI32" s="987"/>
      <c r="FJ32" s="987"/>
      <c r="FK32" s="1029"/>
      <c r="FL32" s="1014"/>
      <c r="FM32" s="987"/>
      <c r="FN32" s="987"/>
      <c r="FO32" s="987"/>
      <c r="FP32" s="987"/>
      <c r="FQ32" s="987"/>
      <c r="FR32" s="987"/>
      <c r="FS32" s="987"/>
      <c r="FT32" s="987"/>
      <c r="FU32" s="1029"/>
      <c r="FV32" s="1169"/>
    </row>
    <row r="33" spans="1:178" s="112" customFormat="1" ht="16.5" customHeight="1">
      <c r="A33" s="1543">
        <v>1</v>
      </c>
      <c r="B33" s="629" t="s">
        <v>477</v>
      </c>
      <c r="C33" s="621"/>
      <c r="D33" s="794" t="s">
        <v>847</v>
      </c>
      <c r="E33" s="621"/>
      <c r="F33" s="621" t="s">
        <v>906</v>
      </c>
      <c r="G33" s="621" t="s">
        <v>497</v>
      </c>
      <c r="H33" s="621"/>
      <c r="I33" s="405"/>
      <c r="J33" s="2916"/>
      <c r="K33" s="668"/>
      <c r="L33" s="664"/>
      <c r="M33" s="623"/>
      <c r="N33" s="623"/>
      <c r="O33" s="623"/>
      <c r="P33" s="623"/>
      <c r="Q33" s="623"/>
      <c r="R33" s="623"/>
      <c r="S33" s="623"/>
      <c r="T33" s="623"/>
      <c r="U33" s="623"/>
      <c r="V33" s="624"/>
      <c r="W33" s="624"/>
      <c r="X33" s="624"/>
      <c r="Y33" s="624"/>
      <c r="Z33" s="625"/>
      <c r="AA33" s="625"/>
      <c r="AB33" s="625"/>
      <c r="AC33" s="625"/>
      <c r="AD33" s="625"/>
      <c r="AE33" s="625"/>
      <c r="AF33" s="624"/>
      <c r="AG33" s="624"/>
      <c r="AH33" s="625"/>
      <c r="AI33" s="764"/>
      <c r="AJ33" s="771"/>
      <c r="AK33" s="624"/>
      <c r="AL33" s="624"/>
      <c r="AM33" s="624"/>
      <c r="AN33" s="624"/>
      <c r="AO33" s="624"/>
      <c r="AP33" s="625"/>
      <c r="AQ33" s="625"/>
      <c r="AR33" s="625"/>
      <c r="AS33" s="625"/>
      <c r="AT33" s="625"/>
      <c r="AU33" s="764"/>
      <c r="AV33" s="752"/>
      <c r="AW33" s="626"/>
      <c r="AX33" s="626"/>
      <c r="AY33" s="626"/>
      <c r="AZ33" s="626"/>
      <c r="BA33" s="628"/>
      <c r="BB33" s="628"/>
      <c r="BC33" s="627"/>
      <c r="BD33" s="626"/>
      <c r="BE33" s="627"/>
      <c r="BF33" s="627"/>
      <c r="BG33" s="738"/>
      <c r="BH33" s="660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59"/>
      <c r="BT33" s="660"/>
      <c r="BU33" s="623"/>
      <c r="BV33" s="623"/>
      <c r="BW33" s="623"/>
      <c r="BX33" s="623"/>
      <c r="BY33" s="623"/>
      <c r="BZ33" s="623"/>
      <c r="CA33" s="623"/>
      <c r="CB33" s="623"/>
      <c r="CC33" s="623"/>
      <c r="CD33" s="623"/>
      <c r="CE33" s="659"/>
      <c r="CF33" s="660"/>
      <c r="CG33" s="623"/>
      <c r="CH33" s="623"/>
      <c r="CI33" s="623"/>
      <c r="CJ33" s="623"/>
      <c r="CK33" s="623"/>
      <c r="CL33" s="623"/>
      <c r="CM33" s="623"/>
      <c r="CN33" s="623"/>
      <c r="CO33" s="623"/>
      <c r="CP33" s="623"/>
      <c r="CQ33" s="659"/>
      <c r="CR33" s="660"/>
      <c r="CS33" s="623"/>
      <c r="CT33" s="623"/>
      <c r="CU33" s="623"/>
      <c r="CV33" s="623"/>
      <c r="CW33" s="623"/>
      <c r="CX33" s="623"/>
      <c r="CY33" s="623"/>
      <c r="CZ33" s="623"/>
      <c r="DA33" s="623"/>
      <c r="DB33" s="725"/>
      <c r="DC33" s="659"/>
      <c r="DD33" s="783"/>
      <c r="DE33" s="623"/>
      <c r="DF33" s="725"/>
      <c r="DG33" s="659"/>
      <c r="DH33" s="623"/>
      <c r="DI33" s="623"/>
      <c r="DJ33" s="623"/>
      <c r="DK33" s="659"/>
      <c r="DL33" s="623"/>
      <c r="DM33" s="725"/>
      <c r="DN33" s="659"/>
      <c r="DO33" s="897"/>
      <c r="DP33" s="783"/>
      <c r="DQ33" s="659"/>
      <c r="DR33" s="659"/>
      <c r="DS33" s="659"/>
      <c r="DT33" s="623"/>
      <c r="DU33" s="725"/>
      <c r="DV33" s="659"/>
      <c r="DW33" s="659"/>
      <c r="DX33" s="659"/>
      <c r="DY33" s="659"/>
      <c r="DZ33" s="659"/>
      <c r="EA33" s="897"/>
      <c r="EB33" s="987">
        <v>2.2726999999999999</v>
      </c>
      <c r="EC33" s="987">
        <v>2.2726999999999999</v>
      </c>
      <c r="ED33" s="987">
        <v>2.2726999999999999</v>
      </c>
      <c r="EE33" s="987">
        <v>2.2726999999999999</v>
      </c>
      <c r="EF33" s="987"/>
      <c r="EG33" s="987">
        <f>685/176</f>
        <v>3.8920454545454546</v>
      </c>
      <c r="EH33" s="987">
        <f>685/176</f>
        <v>3.8920454545454546</v>
      </c>
      <c r="EI33" s="987"/>
      <c r="EJ33" s="987"/>
      <c r="EK33" s="1027"/>
      <c r="EL33" s="1028"/>
      <c r="EM33" s="987"/>
      <c r="EN33" s="1014"/>
      <c r="EO33" s="987"/>
      <c r="EP33" s="987">
        <v>2.84</v>
      </c>
      <c r="EQ33" s="987">
        <v>2.84</v>
      </c>
      <c r="ER33" s="987">
        <v>2.84</v>
      </c>
      <c r="ES33" s="987">
        <v>2.84</v>
      </c>
      <c r="ET33" s="659">
        <v>3.9772727272727271</v>
      </c>
      <c r="EU33" s="659">
        <v>3.9772727272727271</v>
      </c>
      <c r="EV33" s="659"/>
      <c r="EW33" s="987"/>
      <c r="EX33" s="987"/>
      <c r="EY33" s="987"/>
      <c r="EZ33" s="1014"/>
      <c r="FA33" s="987"/>
      <c r="FB33" s="987"/>
      <c r="FC33" s="987"/>
      <c r="FD33" s="987"/>
      <c r="FE33" s="987"/>
      <c r="FF33" s="987"/>
      <c r="FG33" s="987"/>
      <c r="FH33" s="987"/>
      <c r="FI33" s="987"/>
      <c r="FJ33" s="987"/>
      <c r="FK33" s="1029"/>
      <c r="FL33" s="1014"/>
      <c r="FM33" s="987"/>
      <c r="FN33" s="987"/>
      <c r="FO33" s="987"/>
      <c r="FP33" s="987"/>
      <c r="FQ33" s="987"/>
      <c r="FR33" s="987"/>
      <c r="FS33" s="987"/>
      <c r="FT33" s="987"/>
      <c r="FU33" s="1029"/>
      <c r="FV33" s="1169"/>
    </row>
    <row r="34" spans="1:178" s="112" customFormat="1" ht="21" customHeight="1">
      <c r="A34" s="1543">
        <v>1</v>
      </c>
      <c r="B34" s="629" t="s">
        <v>478</v>
      </c>
      <c r="C34" s="621"/>
      <c r="D34" s="794" t="s">
        <v>848</v>
      </c>
      <c r="E34" s="621"/>
      <c r="F34" s="621" t="s">
        <v>906</v>
      </c>
      <c r="G34" s="621" t="s">
        <v>497</v>
      </c>
      <c r="H34" s="621"/>
      <c r="I34" s="405"/>
      <c r="J34" s="2917"/>
      <c r="K34" s="668"/>
      <c r="L34" s="664"/>
      <c r="M34" s="623"/>
      <c r="N34" s="623"/>
      <c r="O34" s="623"/>
      <c r="P34" s="623"/>
      <c r="Q34" s="623"/>
      <c r="R34" s="623"/>
      <c r="S34" s="623"/>
      <c r="T34" s="623"/>
      <c r="U34" s="623"/>
      <c r="V34" s="624"/>
      <c r="W34" s="624"/>
      <c r="X34" s="624"/>
      <c r="Y34" s="624"/>
      <c r="Z34" s="625"/>
      <c r="AA34" s="625"/>
      <c r="AB34" s="625"/>
      <c r="AC34" s="625"/>
      <c r="AD34" s="625"/>
      <c r="AE34" s="625"/>
      <c r="AF34" s="624"/>
      <c r="AG34" s="624"/>
      <c r="AH34" s="625"/>
      <c r="AI34" s="764"/>
      <c r="AJ34" s="771"/>
      <c r="AK34" s="624"/>
      <c r="AL34" s="624"/>
      <c r="AM34" s="624"/>
      <c r="AN34" s="624"/>
      <c r="AO34" s="624"/>
      <c r="AP34" s="625"/>
      <c r="AQ34" s="625"/>
      <c r="AR34" s="625"/>
      <c r="AS34" s="625"/>
      <c r="AT34" s="625"/>
      <c r="AU34" s="764"/>
      <c r="AV34" s="752"/>
      <c r="AW34" s="626"/>
      <c r="AX34" s="626"/>
      <c r="AY34" s="626"/>
      <c r="AZ34" s="626"/>
      <c r="BA34" s="628"/>
      <c r="BB34" s="628"/>
      <c r="BC34" s="627"/>
      <c r="BD34" s="626"/>
      <c r="BE34" s="627"/>
      <c r="BF34" s="627"/>
      <c r="BG34" s="738"/>
      <c r="BH34" s="660"/>
      <c r="BI34" s="623"/>
      <c r="BJ34" s="623"/>
      <c r="BK34" s="623"/>
      <c r="BL34" s="623"/>
      <c r="BM34" s="623"/>
      <c r="BN34" s="623"/>
      <c r="BO34" s="623"/>
      <c r="BP34" s="623"/>
      <c r="BQ34" s="623"/>
      <c r="BR34" s="623"/>
      <c r="BS34" s="659"/>
      <c r="BT34" s="660"/>
      <c r="BU34" s="623"/>
      <c r="BV34" s="623"/>
      <c r="BW34" s="623"/>
      <c r="BX34" s="623"/>
      <c r="BY34" s="623"/>
      <c r="BZ34" s="623"/>
      <c r="CA34" s="623"/>
      <c r="CB34" s="623"/>
      <c r="CC34" s="623"/>
      <c r="CD34" s="623"/>
      <c r="CE34" s="659"/>
      <c r="CF34" s="660"/>
      <c r="CG34" s="623"/>
      <c r="CH34" s="623"/>
      <c r="CI34" s="623"/>
      <c r="CJ34" s="623"/>
      <c r="CK34" s="623"/>
      <c r="CL34" s="623"/>
      <c r="CM34" s="623"/>
      <c r="CN34" s="623"/>
      <c r="CO34" s="623"/>
      <c r="CP34" s="623"/>
      <c r="CQ34" s="659"/>
      <c r="CR34" s="660"/>
      <c r="CS34" s="623"/>
      <c r="CT34" s="623"/>
      <c r="CU34" s="623"/>
      <c r="CV34" s="623"/>
      <c r="CW34" s="623"/>
      <c r="CX34" s="623"/>
      <c r="CY34" s="623"/>
      <c r="CZ34" s="623"/>
      <c r="DA34" s="623"/>
      <c r="DB34" s="725"/>
      <c r="DC34" s="659"/>
      <c r="DD34" s="783"/>
      <c r="DE34" s="623"/>
      <c r="DF34" s="725"/>
      <c r="DG34" s="659"/>
      <c r="DH34" s="623"/>
      <c r="DI34" s="623"/>
      <c r="DJ34" s="623"/>
      <c r="DK34" s="659"/>
      <c r="DL34" s="623"/>
      <c r="DM34" s="725"/>
      <c r="DN34" s="659"/>
      <c r="DO34" s="897"/>
      <c r="DP34" s="783"/>
      <c r="DQ34" s="659"/>
      <c r="DR34" s="659"/>
      <c r="DS34" s="659"/>
      <c r="DT34" s="623"/>
      <c r="DU34" s="725"/>
      <c r="DV34" s="659"/>
      <c r="DW34" s="659"/>
      <c r="DX34" s="659"/>
      <c r="DY34" s="659"/>
      <c r="DZ34" s="659"/>
      <c r="EA34" s="897"/>
      <c r="EB34" s="987">
        <v>2.2726999999999999</v>
      </c>
      <c r="EC34" s="987">
        <v>2.2726999999999999</v>
      </c>
      <c r="ED34" s="987">
        <v>2.2726999999999999</v>
      </c>
      <c r="EE34" s="987">
        <v>2.2726999999999999</v>
      </c>
      <c r="EF34" s="987"/>
      <c r="EG34" s="987">
        <f>804/176</f>
        <v>4.5681818181818183</v>
      </c>
      <c r="EH34" s="987">
        <f>804/176</f>
        <v>4.5681818181818183</v>
      </c>
      <c r="EI34" s="987"/>
      <c r="EJ34" s="987"/>
      <c r="EK34" s="1027"/>
      <c r="EL34" s="1028"/>
      <c r="EM34" s="987"/>
      <c r="EN34" s="1014"/>
      <c r="EO34" s="987"/>
      <c r="EP34" s="987">
        <v>2.84</v>
      </c>
      <c r="EQ34" s="987">
        <v>2.84</v>
      </c>
      <c r="ER34" s="987">
        <v>2.84</v>
      </c>
      <c r="ES34" s="987">
        <v>2.84</v>
      </c>
      <c r="ET34" s="659">
        <v>4.5454545454545459</v>
      </c>
      <c r="EU34" s="659">
        <v>4.5454545454545459</v>
      </c>
      <c r="EV34" s="659"/>
      <c r="EW34" s="987"/>
      <c r="EX34" s="987"/>
      <c r="EY34" s="987"/>
      <c r="EZ34" s="1014"/>
      <c r="FA34" s="987"/>
      <c r="FB34" s="987"/>
      <c r="FC34" s="987"/>
      <c r="FD34" s="987"/>
      <c r="FE34" s="987"/>
      <c r="FF34" s="987"/>
      <c r="FG34" s="987"/>
      <c r="FH34" s="987"/>
      <c r="FI34" s="987"/>
      <c r="FJ34" s="987"/>
      <c r="FK34" s="1029"/>
      <c r="FL34" s="1014"/>
      <c r="FM34" s="987"/>
      <c r="FN34" s="987"/>
      <c r="FO34" s="987"/>
      <c r="FP34" s="987"/>
      <c r="FQ34" s="987"/>
      <c r="FR34" s="987"/>
      <c r="FS34" s="987"/>
      <c r="FT34" s="987"/>
      <c r="FU34" s="1029"/>
      <c r="FV34" s="1169"/>
    </row>
    <row r="35" spans="1:178" s="1056" customFormat="1" ht="9" customHeight="1">
      <c r="A35" s="1545">
        <v>1</v>
      </c>
      <c r="B35" s="1182"/>
      <c r="C35" s="1183"/>
      <c r="D35" s="1184"/>
      <c r="E35" s="1183"/>
      <c r="F35" s="1183"/>
      <c r="G35" s="1183"/>
      <c r="H35" s="1183"/>
      <c r="I35" s="1185"/>
      <c r="J35" s="1186"/>
      <c r="K35" s="1187"/>
      <c r="L35" s="1188"/>
      <c r="M35" s="1189"/>
      <c r="N35" s="1189"/>
      <c r="O35" s="1189"/>
      <c r="P35" s="1189"/>
      <c r="Q35" s="1189"/>
      <c r="R35" s="1189"/>
      <c r="S35" s="1189"/>
      <c r="T35" s="1189"/>
      <c r="U35" s="1189"/>
      <c r="V35" s="1190"/>
      <c r="W35" s="1190"/>
      <c r="X35" s="1190"/>
      <c r="Y35" s="1190"/>
      <c r="Z35" s="1191"/>
      <c r="AA35" s="1191"/>
      <c r="AB35" s="1191"/>
      <c r="AC35" s="1191"/>
      <c r="AD35" s="1191"/>
      <c r="AE35" s="1191"/>
      <c r="AF35" s="1190"/>
      <c r="AG35" s="1190"/>
      <c r="AH35" s="1191"/>
      <c r="AI35" s="1192"/>
      <c r="AJ35" s="1193"/>
      <c r="AK35" s="1190"/>
      <c r="AL35" s="1190"/>
      <c r="AM35" s="1190"/>
      <c r="AN35" s="1190"/>
      <c r="AO35" s="1190"/>
      <c r="AP35" s="1191"/>
      <c r="AQ35" s="1191"/>
      <c r="AR35" s="1191"/>
      <c r="AS35" s="1191"/>
      <c r="AT35" s="1191"/>
      <c r="AU35" s="1192"/>
      <c r="AV35" s="1194"/>
      <c r="AW35" s="1195"/>
      <c r="AX35" s="1195"/>
      <c r="AY35" s="1195"/>
      <c r="AZ35" s="1195"/>
      <c r="BA35" s="1196"/>
      <c r="BB35" s="1196"/>
      <c r="BC35" s="1197"/>
      <c r="BD35" s="1195"/>
      <c r="BE35" s="1197"/>
      <c r="BF35" s="1197"/>
      <c r="BG35" s="1198"/>
      <c r="BH35" s="1199"/>
      <c r="BI35" s="1189"/>
      <c r="BJ35" s="1189"/>
      <c r="BK35" s="1189"/>
      <c r="BL35" s="1189"/>
      <c r="BM35" s="1189"/>
      <c r="BN35" s="1189"/>
      <c r="BO35" s="1189"/>
      <c r="BP35" s="1189"/>
      <c r="BQ35" s="1189"/>
      <c r="BR35" s="1189"/>
      <c r="BS35" s="1200"/>
      <c r="BT35" s="1199"/>
      <c r="BU35" s="1189"/>
      <c r="BV35" s="1189"/>
      <c r="BW35" s="1189"/>
      <c r="BX35" s="1189"/>
      <c r="BY35" s="1189"/>
      <c r="BZ35" s="1189"/>
      <c r="CA35" s="1189"/>
      <c r="CB35" s="1189"/>
      <c r="CC35" s="1189"/>
      <c r="CD35" s="1189"/>
      <c r="CE35" s="1200"/>
      <c r="CF35" s="1199"/>
      <c r="CG35" s="1189"/>
      <c r="CH35" s="1189"/>
      <c r="CI35" s="1189"/>
      <c r="CJ35" s="1189"/>
      <c r="CK35" s="1189"/>
      <c r="CL35" s="1189"/>
      <c r="CM35" s="1189"/>
      <c r="CN35" s="1189"/>
      <c r="CO35" s="1189"/>
      <c r="CP35" s="1189"/>
      <c r="CQ35" s="1200"/>
      <c r="CR35" s="1199"/>
      <c r="CS35" s="1189"/>
      <c r="CT35" s="1189"/>
      <c r="CU35" s="1189"/>
      <c r="CV35" s="1189"/>
      <c r="CW35" s="1189"/>
      <c r="CX35" s="1189"/>
      <c r="CY35" s="1189"/>
      <c r="CZ35" s="1189"/>
      <c r="DA35" s="1189"/>
      <c r="DB35" s="1201"/>
      <c r="DC35" s="1200"/>
      <c r="DD35" s="1202"/>
      <c r="DE35" s="1189"/>
      <c r="DF35" s="1201"/>
      <c r="DG35" s="1200"/>
      <c r="DH35" s="1189"/>
      <c r="DI35" s="1189"/>
      <c r="DJ35" s="1189"/>
      <c r="DK35" s="1200"/>
      <c r="DL35" s="1189"/>
      <c r="DM35" s="1201"/>
      <c r="DN35" s="1200"/>
      <c r="DO35" s="1203"/>
      <c r="DP35" s="1202"/>
      <c r="DQ35" s="1200"/>
      <c r="DR35" s="1200"/>
      <c r="DS35" s="1200"/>
      <c r="DT35" s="1189"/>
      <c r="DU35" s="1201"/>
      <c r="DV35" s="1200"/>
      <c r="DW35" s="1200"/>
      <c r="DX35" s="1200"/>
      <c r="DY35" s="1200"/>
      <c r="DZ35" s="1200"/>
      <c r="EA35" s="1203"/>
      <c r="EB35" s="1200"/>
      <c r="EC35" s="1200"/>
      <c r="ED35" s="1200"/>
      <c r="EE35" s="1200"/>
      <c r="EF35" s="1200"/>
      <c r="EG35" s="1200"/>
      <c r="EH35" s="1200"/>
      <c r="EI35" s="1200"/>
      <c r="EJ35" s="1200"/>
      <c r="EK35" s="1189"/>
      <c r="EL35" s="1201"/>
      <c r="EM35" s="1200"/>
      <c r="EN35" s="1202"/>
      <c r="EO35" s="1200"/>
      <c r="EP35" s="1200"/>
      <c r="EQ35" s="1200"/>
      <c r="ER35" s="1200"/>
      <c r="ES35" s="1052"/>
      <c r="ET35" s="1052"/>
      <c r="EU35" s="1052"/>
      <c r="EV35" s="1052"/>
      <c r="EW35" s="1052"/>
      <c r="EX35" s="1052"/>
      <c r="EY35" s="1052"/>
      <c r="EZ35" s="1054"/>
      <c r="FA35" s="1052"/>
      <c r="FB35" s="1052"/>
      <c r="FC35" s="1052"/>
      <c r="FD35" s="1052"/>
      <c r="FE35" s="1052"/>
      <c r="FF35" s="1052"/>
      <c r="FG35" s="1052"/>
      <c r="FH35" s="1052"/>
      <c r="FI35" s="1052"/>
      <c r="FJ35" s="1052"/>
      <c r="FK35" s="1055"/>
      <c r="FL35" s="1054"/>
      <c r="FM35" s="1052"/>
      <c r="FN35" s="1052"/>
      <c r="FO35" s="1052"/>
      <c r="FP35" s="1052"/>
      <c r="FQ35" s="1052"/>
      <c r="FR35" s="1052"/>
      <c r="FS35" s="1052"/>
      <c r="FT35" s="1052"/>
      <c r="FU35" s="1055"/>
      <c r="FV35" s="1168"/>
    </row>
    <row r="36" spans="1:178" s="112" customFormat="1" ht="19.5" customHeight="1">
      <c r="A36" s="1543">
        <v>1</v>
      </c>
      <c r="B36" s="408">
        <v>11</v>
      </c>
      <c r="C36" s="621" t="s">
        <v>916</v>
      </c>
      <c r="D36" s="622" t="s">
        <v>917</v>
      </c>
      <c r="E36" s="621" t="s">
        <v>918</v>
      </c>
      <c r="F36" s="622"/>
      <c r="G36" s="621" t="s">
        <v>919</v>
      </c>
      <c r="H36" s="621" t="s">
        <v>920</v>
      </c>
      <c r="I36" s="390" t="s">
        <v>921</v>
      </c>
      <c r="J36" s="651"/>
      <c r="K36" s="669">
        <v>113.41</v>
      </c>
      <c r="L36" s="665">
        <v>113.41</v>
      </c>
      <c r="M36" s="625">
        <v>126.22</v>
      </c>
      <c r="N36" s="625">
        <v>144.61000000000001</v>
      </c>
      <c r="O36" s="625">
        <v>178.42</v>
      </c>
      <c r="P36" s="625">
        <v>184.21</v>
      </c>
      <c r="Q36" s="625">
        <v>194.79</v>
      </c>
      <c r="R36" s="625">
        <v>218.76</v>
      </c>
      <c r="S36" s="625">
        <v>212.95</v>
      </c>
      <c r="T36" s="625">
        <v>227.45</v>
      </c>
      <c r="U36" s="625">
        <v>205.37</v>
      </c>
      <c r="V36" s="625">
        <v>206.68</v>
      </c>
      <c r="W36" s="625">
        <v>212.13</v>
      </c>
      <c r="X36" s="625">
        <v>199.9</v>
      </c>
      <c r="Y36" s="625">
        <v>201.68</v>
      </c>
      <c r="Z36" s="625">
        <v>199.1</v>
      </c>
      <c r="AA36" s="625">
        <v>192.36</v>
      </c>
      <c r="AB36" s="625">
        <v>192.85</v>
      </c>
      <c r="AC36" s="625">
        <v>190.29</v>
      </c>
      <c r="AD36" s="625">
        <v>189.76</v>
      </c>
      <c r="AE36" s="625">
        <v>193.4</v>
      </c>
      <c r="AF36" s="625">
        <v>192.44</v>
      </c>
      <c r="AG36" s="625">
        <v>185.36</v>
      </c>
      <c r="AH36" s="625">
        <v>186.4</v>
      </c>
      <c r="AI36" s="764">
        <v>189.75</v>
      </c>
      <c r="AJ36" s="772">
        <v>190.39</v>
      </c>
      <c r="AK36" s="625">
        <v>210.88</v>
      </c>
      <c r="AL36" s="625">
        <v>217.96</v>
      </c>
      <c r="AM36" s="625">
        <v>217.02</v>
      </c>
      <c r="AN36" s="625">
        <v>223.9</v>
      </c>
      <c r="AO36" s="625">
        <v>225.46</v>
      </c>
      <c r="AP36" s="625">
        <v>224.88</v>
      </c>
      <c r="AQ36" s="625">
        <v>227.75</v>
      </c>
      <c r="AR36" s="625">
        <v>226.35</v>
      </c>
      <c r="AS36" s="625">
        <v>225.24</v>
      </c>
      <c r="AT36" s="625">
        <v>225.79</v>
      </c>
      <c r="AU36" s="764">
        <v>231.09</v>
      </c>
      <c r="AV36" s="752">
        <v>232.87</v>
      </c>
      <c r="AW36" s="626">
        <v>232.87</v>
      </c>
      <c r="AX36" s="626">
        <v>232.77</v>
      </c>
      <c r="AY36" s="626">
        <v>235.25</v>
      </c>
      <c r="AZ36" s="626">
        <v>235.06</v>
      </c>
      <c r="BA36" s="626">
        <v>234.9</v>
      </c>
      <c r="BB36" s="626">
        <v>235.38</v>
      </c>
      <c r="BC36" s="627">
        <v>243.08</v>
      </c>
      <c r="BD36" s="626">
        <v>235.04</v>
      </c>
      <c r="BE36" s="627">
        <v>249.89</v>
      </c>
      <c r="BF36" s="627">
        <v>253.6</v>
      </c>
      <c r="BG36" s="738">
        <v>258</v>
      </c>
      <c r="BH36" s="660">
        <v>258.47000000000003</v>
      </c>
      <c r="BI36" s="623">
        <v>270.86</v>
      </c>
      <c r="BJ36" s="623">
        <v>270.83999999999997</v>
      </c>
      <c r="BK36" s="623">
        <v>270.33999999999997</v>
      </c>
      <c r="BL36" s="623">
        <v>281.26</v>
      </c>
      <c r="BM36" s="623">
        <v>282.89999999999998</v>
      </c>
      <c r="BN36" s="623">
        <v>284.8</v>
      </c>
      <c r="BO36" s="623">
        <v>290.99</v>
      </c>
      <c r="BP36" s="623">
        <v>292.54000000000002</v>
      </c>
      <c r="BQ36" s="623">
        <v>292.82</v>
      </c>
      <c r="BR36" s="623">
        <v>294.74</v>
      </c>
      <c r="BS36" s="659">
        <v>296.44</v>
      </c>
      <c r="BT36" s="660">
        <v>297.22000000000003</v>
      </c>
      <c r="BU36" s="623">
        <v>300.66000000000003</v>
      </c>
      <c r="BV36" s="623">
        <v>306.42</v>
      </c>
      <c r="BW36" s="623">
        <v>308.35000000000002</v>
      </c>
      <c r="BX36" s="623">
        <v>322.92</v>
      </c>
      <c r="BY36" s="623">
        <v>322.35000000000002</v>
      </c>
      <c r="BZ36" s="623">
        <v>322.58</v>
      </c>
      <c r="CA36" s="623">
        <v>337.19</v>
      </c>
      <c r="CB36" s="623">
        <v>336.37</v>
      </c>
      <c r="CC36" s="623">
        <v>339.88</v>
      </c>
      <c r="CD36" s="623">
        <v>339.53</v>
      </c>
      <c r="CE36" s="659">
        <v>352.75</v>
      </c>
      <c r="CF36" s="660">
        <v>357.36</v>
      </c>
      <c r="CG36" s="623">
        <v>362.89</v>
      </c>
      <c r="CH36" s="623">
        <v>365.72</v>
      </c>
      <c r="CI36" s="623">
        <v>381.69</v>
      </c>
      <c r="CJ36" s="623">
        <v>382.04</v>
      </c>
      <c r="CK36" s="623">
        <v>386.31</v>
      </c>
      <c r="CL36" s="623">
        <v>386.2</v>
      </c>
      <c r="CM36" s="623">
        <v>392.1</v>
      </c>
      <c r="CN36" s="623">
        <v>395.08</v>
      </c>
      <c r="CO36" s="623">
        <v>404.31</v>
      </c>
      <c r="CP36" s="623">
        <v>399.16</v>
      </c>
      <c r="CQ36" s="659">
        <v>395.42</v>
      </c>
      <c r="CR36" s="660">
        <v>395.77</v>
      </c>
      <c r="CS36" s="623">
        <v>392.2</v>
      </c>
      <c r="CT36" s="623">
        <v>398.26</v>
      </c>
      <c r="CU36" s="623">
        <v>399.77</v>
      </c>
      <c r="CV36" s="623">
        <v>406.81</v>
      </c>
      <c r="CW36" s="623">
        <v>410.3</v>
      </c>
      <c r="CX36" s="623">
        <v>414.58</v>
      </c>
      <c r="CY36" s="623">
        <v>428.47</v>
      </c>
      <c r="CZ36" s="623">
        <v>437.68</v>
      </c>
      <c r="DA36" s="623">
        <v>437.56</v>
      </c>
      <c r="DB36" s="725">
        <v>437.44</v>
      </c>
      <c r="DC36" s="659">
        <v>440.52</v>
      </c>
      <c r="DD36" s="783">
        <v>440.16</v>
      </c>
      <c r="DE36" s="623">
        <v>454.02</v>
      </c>
      <c r="DF36" s="725">
        <v>453.9</v>
      </c>
      <c r="DG36" s="659">
        <v>454.84</v>
      </c>
      <c r="DH36" s="623">
        <v>455.43</v>
      </c>
      <c r="DI36" s="623">
        <v>459.85</v>
      </c>
      <c r="DJ36" s="623">
        <v>469.53</v>
      </c>
      <c r="DK36" s="659">
        <v>477.33</v>
      </c>
      <c r="DL36" s="623">
        <v>480.01</v>
      </c>
      <c r="DM36" s="725">
        <v>495.3</v>
      </c>
      <c r="DN36" s="659">
        <v>509.21</v>
      </c>
      <c r="DO36" s="897">
        <v>509.56</v>
      </c>
      <c r="DP36" s="783">
        <v>509.45</v>
      </c>
      <c r="DQ36" s="659">
        <v>510.56</v>
      </c>
      <c r="DR36" s="659">
        <v>526.20000000000005</v>
      </c>
      <c r="DS36" s="659">
        <v>534.25</v>
      </c>
      <c r="DT36" s="623">
        <v>539.14</v>
      </c>
      <c r="DU36" s="725">
        <v>552.92999999999995</v>
      </c>
      <c r="DV36" s="659">
        <v>567.27</v>
      </c>
      <c r="DW36" s="659">
        <v>555.86</v>
      </c>
      <c r="DX36" s="659">
        <v>560.28</v>
      </c>
      <c r="DY36" s="659">
        <v>565.15</v>
      </c>
      <c r="DZ36" s="659">
        <v>571.53</v>
      </c>
      <c r="EA36" s="897">
        <v>571.80999999999995</v>
      </c>
      <c r="EB36" s="659">
        <v>572.27</v>
      </c>
      <c r="EC36" s="659">
        <v>576.77</v>
      </c>
      <c r="ED36" s="659">
        <v>582.14</v>
      </c>
      <c r="EE36" s="659">
        <v>585.13</v>
      </c>
      <c r="EF36" s="659">
        <v>592.04</v>
      </c>
      <c r="EG36" s="659">
        <v>600.96</v>
      </c>
      <c r="EH36" s="659">
        <v>633.03</v>
      </c>
      <c r="EI36" s="659">
        <v>622.25</v>
      </c>
      <c r="EJ36" s="659">
        <v>623.5</v>
      </c>
      <c r="EK36" s="623">
        <v>622.08000000000004</v>
      </c>
      <c r="EL36" s="725">
        <v>630.34</v>
      </c>
      <c r="EM36" s="659">
        <v>631.36</v>
      </c>
      <c r="EN36" s="783">
        <v>631.78</v>
      </c>
      <c r="EO36" s="659">
        <v>643.46</v>
      </c>
      <c r="EP36" s="659">
        <v>643.46</v>
      </c>
      <c r="EQ36" s="659">
        <v>671.48</v>
      </c>
      <c r="ER36" s="659">
        <v>671.48</v>
      </c>
      <c r="ES36" s="659">
        <v>674.37</v>
      </c>
      <c r="ET36" s="659">
        <v>688.82</v>
      </c>
      <c r="EU36" s="659">
        <v>698.17</v>
      </c>
      <c r="EV36" s="659">
        <v>705.68</v>
      </c>
      <c r="EW36" s="659">
        <v>715.33</v>
      </c>
      <c r="EX36" s="659">
        <v>715.29</v>
      </c>
      <c r="EY36" s="659">
        <v>728.64</v>
      </c>
      <c r="EZ36" s="783">
        <v>748.69</v>
      </c>
      <c r="FA36" s="659">
        <v>854.42</v>
      </c>
      <c r="FB36" s="659">
        <v>854.42</v>
      </c>
      <c r="FC36" s="659">
        <v>850.76</v>
      </c>
      <c r="FD36" s="659">
        <v>880.24</v>
      </c>
      <c r="FE36" s="659">
        <v>912.7</v>
      </c>
      <c r="FF36" s="659">
        <v>912.7</v>
      </c>
      <c r="FG36" s="659">
        <v>930.44</v>
      </c>
      <c r="FH36" s="659">
        <v>944.27</v>
      </c>
      <c r="FI36" s="659">
        <v>947.37</v>
      </c>
      <c r="FJ36" s="659">
        <v>955.49</v>
      </c>
      <c r="FK36" s="897">
        <v>957.64</v>
      </c>
      <c r="FL36" s="783">
        <v>986.75</v>
      </c>
      <c r="FM36" s="659">
        <v>991.26</v>
      </c>
      <c r="FN36" s="659">
        <v>1010.53</v>
      </c>
      <c r="FO36" s="659">
        <v>1043.81</v>
      </c>
      <c r="FP36" s="659">
        <v>1056.56</v>
      </c>
      <c r="FQ36" s="659">
        <v>1062.82</v>
      </c>
      <c r="FR36" s="659">
        <v>1072.0999999999999</v>
      </c>
      <c r="FS36" s="659">
        <v>1116.8499999999999</v>
      </c>
      <c r="FT36" s="659">
        <v>1122.75</v>
      </c>
      <c r="FU36" s="897">
        <v>1169.26</v>
      </c>
      <c r="FV36" s="1167">
        <f t="shared" ref="FV36:FV99" si="0">+FU36/FT36</f>
        <v>1.041425072366956</v>
      </c>
    </row>
    <row r="37" spans="1:178" s="112" customFormat="1" ht="18.95" customHeight="1">
      <c r="A37" s="1543">
        <v>1</v>
      </c>
      <c r="B37" s="408">
        <v>12</v>
      </c>
      <c r="C37" s="621" t="s">
        <v>922</v>
      </c>
      <c r="D37" s="622" t="s">
        <v>923</v>
      </c>
      <c r="E37" s="621" t="s">
        <v>918</v>
      </c>
      <c r="F37" s="622"/>
      <c r="G37" s="621" t="s">
        <v>919</v>
      </c>
      <c r="H37" s="621" t="s">
        <v>920</v>
      </c>
      <c r="I37" s="390" t="s">
        <v>921</v>
      </c>
      <c r="J37" s="651"/>
      <c r="K37" s="669">
        <v>122.2</v>
      </c>
      <c r="L37" s="665">
        <v>133.5</v>
      </c>
      <c r="M37" s="625">
        <v>149.38</v>
      </c>
      <c r="N37" s="625">
        <v>156.33000000000001</v>
      </c>
      <c r="O37" s="625">
        <v>199.1</v>
      </c>
      <c r="P37" s="625">
        <v>199.71</v>
      </c>
      <c r="Q37" s="625">
        <v>239.56</v>
      </c>
      <c r="R37" s="625">
        <v>243.4</v>
      </c>
      <c r="S37" s="625">
        <v>244.74</v>
      </c>
      <c r="T37" s="625">
        <v>244.53</v>
      </c>
      <c r="U37" s="625">
        <v>244.08</v>
      </c>
      <c r="V37" s="625">
        <v>244.09</v>
      </c>
      <c r="W37" s="625">
        <v>244.12</v>
      </c>
      <c r="X37" s="625">
        <v>244.06</v>
      </c>
      <c r="Y37" s="625">
        <v>244.08</v>
      </c>
      <c r="Z37" s="625">
        <v>244.34</v>
      </c>
      <c r="AA37" s="625">
        <v>237.23</v>
      </c>
      <c r="AB37" s="625">
        <v>247.91</v>
      </c>
      <c r="AC37" s="625">
        <v>244.63</v>
      </c>
      <c r="AD37" s="625">
        <v>244.61</v>
      </c>
      <c r="AE37" s="625">
        <v>243.13</v>
      </c>
      <c r="AF37" s="625">
        <v>243.12</v>
      </c>
      <c r="AG37" s="625">
        <v>253.24</v>
      </c>
      <c r="AH37" s="625">
        <v>253.24</v>
      </c>
      <c r="AI37" s="764">
        <v>254.3</v>
      </c>
      <c r="AJ37" s="772">
        <v>255.32</v>
      </c>
      <c r="AK37" s="625">
        <v>256.32</v>
      </c>
      <c r="AL37" s="625">
        <v>257.08999999999997</v>
      </c>
      <c r="AM37" s="625">
        <v>257.08999999999997</v>
      </c>
      <c r="AN37" s="625">
        <v>272.64999999999998</v>
      </c>
      <c r="AO37" s="625">
        <v>277.92</v>
      </c>
      <c r="AP37" s="625">
        <v>283.10000000000002</v>
      </c>
      <c r="AQ37" s="625">
        <v>290.24</v>
      </c>
      <c r="AR37" s="625">
        <v>291.04000000000002</v>
      </c>
      <c r="AS37" s="625">
        <v>295.94</v>
      </c>
      <c r="AT37" s="625">
        <v>295.94</v>
      </c>
      <c r="AU37" s="764">
        <v>297.48</v>
      </c>
      <c r="AV37" s="752">
        <v>311.22000000000003</v>
      </c>
      <c r="AW37" s="626">
        <v>316.88</v>
      </c>
      <c r="AX37" s="626">
        <v>316.88</v>
      </c>
      <c r="AY37" s="626">
        <v>321.10000000000002</v>
      </c>
      <c r="AZ37" s="626">
        <v>321.10000000000002</v>
      </c>
      <c r="BA37" s="626">
        <v>321.10000000000002</v>
      </c>
      <c r="BB37" s="626">
        <v>349.07</v>
      </c>
      <c r="BC37" s="627">
        <v>349.07</v>
      </c>
      <c r="BD37" s="626">
        <v>330.13</v>
      </c>
      <c r="BE37" s="627">
        <v>333.68</v>
      </c>
      <c r="BF37" s="627">
        <v>342.77</v>
      </c>
      <c r="BG37" s="738">
        <v>342.69</v>
      </c>
      <c r="BH37" s="660">
        <v>350.3</v>
      </c>
      <c r="BI37" s="623">
        <v>356.28</v>
      </c>
      <c r="BJ37" s="623">
        <v>356.28</v>
      </c>
      <c r="BK37" s="623">
        <v>361.72</v>
      </c>
      <c r="BL37" s="623">
        <v>403.67</v>
      </c>
      <c r="BM37" s="623">
        <v>411.89</v>
      </c>
      <c r="BN37" s="623">
        <v>411.89</v>
      </c>
      <c r="BO37" s="623">
        <v>436.52</v>
      </c>
      <c r="BP37" s="623">
        <v>436.52</v>
      </c>
      <c r="BQ37" s="623">
        <v>437.62</v>
      </c>
      <c r="BR37" s="623">
        <v>437.62</v>
      </c>
      <c r="BS37" s="659">
        <v>438.15</v>
      </c>
      <c r="BT37" s="660">
        <v>438.15</v>
      </c>
      <c r="BU37" s="623">
        <v>418.7</v>
      </c>
      <c r="BV37" s="623">
        <v>438.7</v>
      </c>
      <c r="BW37" s="623">
        <v>453.28</v>
      </c>
      <c r="BX37" s="623">
        <v>453.28</v>
      </c>
      <c r="BY37" s="623">
        <v>456.25</v>
      </c>
      <c r="BZ37" s="623">
        <v>465.18</v>
      </c>
      <c r="CA37" s="623">
        <v>466.97</v>
      </c>
      <c r="CB37" s="623">
        <v>479.93</v>
      </c>
      <c r="CC37" s="623">
        <v>483.38</v>
      </c>
      <c r="CD37" s="623">
        <v>496.35</v>
      </c>
      <c r="CE37" s="659">
        <v>499.42</v>
      </c>
      <c r="CF37" s="660">
        <v>499.42</v>
      </c>
      <c r="CG37" s="623">
        <v>502.79</v>
      </c>
      <c r="CH37" s="623">
        <v>514.12</v>
      </c>
      <c r="CI37" s="623">
        <v>517.83000000000004</v>
      </c>
      <c r="CJ37" s="623">
        <v>520.44000000000005</v>
      </c>
      <c r="CK37" s="623">
        <v>538.39</v>
      </c>
      <c r="CL37" s="623">
        <v>538.39</v>
      </c>
      <c r="CM37" s="623">
        <v>556.9</v>
      </c>
      <c r="CN37" s="623">
        <v>556.9</v>
      </c>
      <c r="CO37" s="623">
        <v>558.76</v>
      </c>
      <c r="CP37" s="623">
        <v>560.85</v>
      </c>
      <c r="CQ37" s="659">
        <v>560.59</v>
      </c>
      <c r="CR37" s="660">
        <v>560.59</v>
      </c>
      <c r="CS37" s="623">
        <v>560.74</v>
      </c>
      <c r="CT37" s="623">
        <v>570.99</v>
      </c>
      <c r="CU37" s="623">
        <v>570.69000000000005</v>
      </c>
      <c r="CV37" s="623">
        <v>570.99</v>
      </c>
      <c r="CW37" s="623">
        <v>570.99</v>
      </c>
      <c r="CX37" s="623">
        <v>570.99</v>
      </c>
      <c r="CY37" s="623">
        <v>577.91999999999996</v>
      </c>
      <c r="CZ37" s="623">
        <v>582.36</v>
      </c>
      <c r="DA37" s="623">
        <v>582.36</v>
      </c>
      <c r="DB37" s="725">
        <v>582.36</v>
      </c>
      <c r="DC37" s="659">
        <v>594.38</v>
      </c>
      <c r="DD37" s="783">
        <v>596.20000000000005</v>
      </c>
      <c r="DE37" s="623">
        <v>604.69000000000005</v>
      </c>
      <c r="DF37" s="725">
        <v>616.61</v>
      </c>
      <c r="DG37" s="659">
        <v>628.63</v>
      </c>
      <c r="DH37" s="623">
        <v>642.91999999999996</v>
      </c>
      <c r="DI37" s="623">
        <v>644.25</v>
      </c>
      <c r="DJ37" s="623">
        <v>656.45</v>
      </c>
      <c r="DK37" s="659">
        <v>658.98</v>
      </c>
      <c r="DL37" s="623">
        <v>658.98</v>
      </c>
      <c r="DM37" s="725">
        <v>675.03</v>
      </c>
      <c r="DN37" s="659">
        <v>676.19</v>
      </c>
      <c r="DO37" s="897">
        <v>676.19</v>
      </c>
      <c r="DP37" s="783">
        <v>684.78</v>
      </c>
      <c r="DQ37" s="659">
        <v>714.51</v>
      </c>
      <c r="DR37" s="659">
        <v>723.46</v>
      </c>
      <c r="DS37" s="659">
        <v>735.11</v>
      </c>
      <c r="DT37" s="623">
        <v>737.66</v>
      </c>
      <c r="DU37" s="725">
        <v>775.32</v>
      </c>
      <c r="DV37" s="659">
        <v>776.15</v>
      </c>
      <c r="DW37" s="659">
        <v>787.12</v>
      </c>
      <c r="DX37" s="659">
        <v>804.99</v>
      </c>
      <c r="DY37" s="659">
        <v>806.9</v>
      </c>
      <c r="DZ37" s="659">
        <v>834.44</v>
      </c>
      <c r="EA37" s="897">
        <v>834.46</v>
      </c>
      <c r="EB37" s="659">
        <v>861.38</v>
      </c>
      <c r="EC37" s="659">
        <v>861.38</v>
      </c>
      <c r="ED37" s="659">
        <v>863.6</v>
      </c>
      <c r="EE37" s="659">
        <v>877.96</v>
      </c>
      <c r="EF37" s="659">
        <v>877.96</v>
      </c>
      <c r="EG37" s="659">
        <v>892.33</v>
      </c>
      <c r="EH37" s="659">
        <v>892.33</v>
      </c>
      <c r="EI37" s="659">
        <v>905.37</v>
      </c>
      <c r="EJ37" s="659">
        <v>937.52</v>
      </c>
      <c r="EK37" s="623">
        <v>937.52</v>
      </c>
      <c r="EL37" s="725">
        <v>941.86</v>
      </c>
      <c r="EM37" s="659">
        <v>954.01</v>
      </c>
      <c r="EN37" s="783">
        <v>978.57</v>
      </c>
      <c r="EO37" s="659">
        <v>993.51</v>
      </c>
      <c r="EP37" s="659">
        <v>993.53</v>
      </c>
      <c r="EQ37" s="659">
        <v>996.78</v>
      </c>
      <c r="ER37" s="659">
        <v>998.59</v>
      </c>
      <c r="ES37" s="659">
        <v>1001.52</v>
      </c>
      <c r="ET37" s="659">
        <v>1005.75</v>
      </c>
      <c r="EU37" s="659">
        <v>1054.46</v>
      </c>
      <c r="EV37" s="659">
        <v>1054.46</v>
      </c>
      <c r="EW37" s="659">
        <v>1056.58</v>
      </c>
      <c r="EX37" s="659">
        <v>1117.31</v>
      </c>
      <c r="EY37" s="659">
        <v>1193.22</v>
      </c>
      <c r="EZ37" s="783">
        <v>1197.8399999999999</v>
      </c>
      <c r="FA37" s="659">
        <v>1212.99</v>
      </c>
      <c r="FB37" s="659">
        <v>1212.99</v>
      </c>
      <c r="FC37" s="659">
        <v>1219.1400000000001</v>
      </c>
      <c r="FD37" s="659">
        <v>1280.05</v>
      </c>
      <c r="FE37" s="659">
        <v>1287.45</v>
      </c>
      <c r="FF37" s="659">
        <v>1287.45</v>
      </c>
      <c r="FG37" s="659">
        <v>1289.19</v>
      </c>
      <c r="FH37" s="659">
        <v>1290.96</v>
      </c>
      <c r="FI37" s="659">
        <v>1363.49</v>
      </c>
      <c r="FJ37" s="659">
        <v>1367.6</v>
      </c>
      <c r="FK37" s="897">
        <v>1369.07</v>
      </c>
      <c r="FL37" s="783">
        <v>1370.47</v>
      </c>
      <c r="FM37" s="659">
        <v>1438.87</v>
      </c>
      <c r="FN37" s="659">
        <v>1444.1</v>
      </c>
      <c r="FO37" s="659">
        <v>1450.65</v>
      </c>
      <c r="FP37" s="659">
        <v>1457.62</v>
      </c>
      <c r="FQ37" s="659">
        <v>1551.15</v>
      </c>
      <c r="FR37" s="659">
        <v>1555.73</v>
      </c>
      <c r="FS37" s="659">
        <v>1561.52</v>
      </c>
      <c r="FT37" s="659">
        <v>1653.75</v>
      </c>
      <c r="FU37" s="897">
        <v>1664.54</v>
      </c>
      <c r="FV37" s="1167">
        <f t="shared" si="0"/>
        <v>1.0065245653817083</v>
      </c>
    </row>
    <row r="38" spans="1:178" s="112" customFormat="1" ht="18.95" customHeight="1">
      <c r="A38" s="1543">
        <v>1</v>
      </c>
      <c r="B38" s="408">
        <v>13</v>
      </c>
      <c r="C38" s="621"/>
      <c r="D38" s="622" t="s">
        <v>747</v>
      </c>
      <c r="E38" s="621" t="s">
        <v>918</v>
      </c>
      <c r="F38" s="621"/>
      <c r="G38" s="621" t="s">
        <v>408</v>
      </c>
      <c r="H38" s="621" t="s">
        <v>920</v>
      </c>
      <c r="I38" s="390" t="s">
        <v>925</v>
      </c>
      <c r="J38" s="675"/>
      <c r="K38" s="669">
        <v>96.2</v>
      </c>
      <c r="L38" s="665">
        <v>101.4</v>
      </c>
      <c r="M38" s="625">
        <v>118.6</v>
      </c>
      <c r="N38" s="625">
        <v>110.9</v>
      </c>
      <c r="O38" s="625">
        <v>129</v>
      </c>
      <c r="P38" s="625">
        <v>136.30000000000001</v>
      </c>
      <c r="Q38" s="625">
        <v>139.1</v>
      </c>
      <c r="R38" s="625">
        <v>137.19999999999999</v>
      </c>
      <c r="S38" s="625">
        <v>142.19999999999999</v>
      </c>
      <c r="T38" s="625">
        <v>142.4</v>
      </c>
      <c r="U38" s="625">
        <v>142.1</v>
      </c>
      <c r="V38" s="625">
        <v>140.80000000000001</v>
      </c>
      <c r="W38" s="625">
        <v>138.69999999999999</v>
      </c>
      <c r="X38" s="625">
        <v>138.5</v>
      </c>
      <c r="Y38" s="625">
        <v>140.1</v>
      </c>
      <c r="Z38" s="625">
        <v>137.69999999999999</v>
      </c>
      <c r="AA38" s="625">
        <v>136.69999999999999</v>
      </c>
      <c r="AB38" s="625">
        <v>135.80000000000001</v>
      </c>
      <c r="AC38" s="625">
        <v>135.4</v>
      </c>
      <c r="AD38" s="625">
        <v>131.80000000000001</v>
      </c>
      <c r="AE38" s="625">
        <v>134.9</v>
      </c>
      <c r="AF38" s="625">
        <v>134.80000000000001</v>
      </c>
      <c r="AG38" s="625">
        <v>145.5</v>
      </c>
      <c r="AH38" s="625">
        <v>146.19999999999999</v>
      </c>
      <c r="AI38" s="764">
        <v>147</v>
      </c>
      <c r="AJ38" s="772">
        <v>147.5</v>
      </c>
      <c r="AK38" s="625">
        <v>167.8</v>
      </c>
      <c r="AL38" s="625">
        <v>169.3</v>
      </c>
      <c r="AM38" s="625">
        <v>171.1</v>
      </c>
      <c r="AN38" s="625">
        <v>175.6</v>
      </c>
      <c r="AO38" s="625">
        <v>178.2</v>
      </c>
      <c r="AP38" s="625">
        <v>177.8</v>
      </c>
      <c r="AQ38" s="625">
        <v>183.5</v>
      </c>
      <c r="AR38" s="625">
        <v>183.5</v>
      </c>
      <c r="AS38" s="625">
        <v>196.2</v>
      </c>
      <c r="AT38" s="625">
        <v>197.5</v>
      </c>
      <c r="AU38" s="764">
        <v>197.5</v>
      </c>
      <c r="AV38" s="752">
        <v>200.6</v>
      </c>
      <c r="AW38" s="626">
        <v>200.6</v>
      </c>
      <c r="AX38" s="626">
        <v>203.2</v>
      </c>
      <c r="AY38" s="626">
        <v>207.4</v>
      </c>
      <c r="AZ38" s="626">
        <v>207.6</v>
      </c>
      <c r="BA38" s="626">
        <v>208.1</v>
      </c>
      <c r="BB38" s="626">
        <v>208.1</v>
      </c>
      <c r="BC38" s="627">
        <v>209</v>
      </c>
      <c r="BD38" s="626">
        <v>209</v>
      </c>
      <c r="BE38" s="627">
        <v>210.3</v>
      </c>
      <c r="BF38" s="627">
        <v>210.7</v>
      </c>
      <c r="BG38" s="738">
        <v>211.3</v>
      </c>
      <c r="BH38" s="660">
        <v>222.7</v>
      </c>
      <c r="BI38" s="623">
        <v>222.7</v>
      </c>
      <c r="BJ38" s="623">
        <v>222.7</v>
      </c>
      <c r="BK38" s="623">
        <v>223.1</v>
      </c>
      <c r="BL38" s="623">
        <v>239.2</v>
      </c>
      <c r="BM38" s="623">
        <v>252</v>
      </c>
      <c r="BN38" s="623">
        <v>255.5</v>
      </c>
      <c r="BO38" s="623">
        <v>260.39999999999998</v>
      </c>
      <c r="BP38" s="623">
        <v>259.89999999999998</v>
      </c>
      <c r="BQ38" s="623">
        <v>259.39999999999998</v>
      </c>
      <c r="BR38" s="623">
        <v>258</v>
      </c>
      <c r="BS38" s="659">
        <v>258</v>
      </c>
      <c r="BT38" s="660">
        <v>258</v>
      </c>
      <c r="BU38" s="623">
        <v>258</v>
      </c>
      <c r="BV38" s="623">
        <v>270.60000000000002</v>
      </c>
      <c r="BW38" s="623">
        <v>278.60000000000002</v>
      </c>
      <c r="BX38" s="623">
        <v>280.2</v>
      </c>
      <c r="BY38" s="623">
        <v>298</v>
      </c>
      <c r="BZ38" s="623">
        <v>299.60000000000002</v>
      </c>
      <c r="CA38" s="623">
        <v>306.3</v>
      </c>
      <c r="CB38" s="623">
        <v>311</v>
      </c>
      <c r="CC38" s="623">
        <v>318.10000000000002</v>
      </c>
      <c r="CD38" s="623">
        <v>318.10000000000002</v>
      </c>
      <c r="CE38" s="659">
        <v>318.39999999999998</v>
      </c>
      <c r="CF38" s="660">
        <v>325.89999999999998</v>
      </c>
      <c r="CG38" s="623">
        <v>330.6</v>
      </c>
      <c r="CH38" s="623">
        <v>334.2</v>
      </c>
      <c r="CI38" s="623">
        <v>347.9</v>
      </c>
      <c r="CJ38" s="623">
        <v>350.2</v>
      </c>
      <c r="CK38" s="623">
        <v>373.4</v>
      </c>
      <c r="CL38" s="623">
        <v>370.7</v>
      </c>
      <c r="CM38" s="623">
        <v>382.7</v>
      </c>
      <c r="CN38" s="623">
        <v>383.6</v>
      </c>
      <c r="CO38" s="623">
        <v>383.9</v>
      </c>
      <c r="CP38" s="623">
        <v>383.6</v>
      </c>
      <c r="CQ38" s="659">
        <v>389</v>
      </c>
      <c r="CR38" s="660">
        <v>385.9</v>
      </c>
      <c r="CS38" s="623">
        <v>385.4</v>
      </c>
      <c r="CT38" s="623">
        <v>380</v>
      </c>
      <c r="CU38" s="623">
        <v>376.9</v>
      </c>
      <c r="CV38" s="623">
        <v>376.9</v>
      </c>
      <c r="CW38" s="623">
        <v>375.9</v>
      </c>
      <c r="CX38" s="623">
        <v>377.3</v>
      </c>
      <c r="CY38" s="623">
        <v>376.6</v>
      </c>
      <c r="CZ38" s="623">
        <v>380.8</v>
      </c>
      <c r="DA38" s="623">
        <v>392.4</v>
      </c>
      <c r="DB38" s="725">
        <v>395</v>
      </c>
      <c r="DC38" s="659">
        <v>400.6</v>
      </c>
      <c r="DD38" s="783">
        <v>401.4</v>
      </c>
      <c r="DE38" s="623">
        <v>407.2</v>
      </c>
      <c r="DF38" s="725">
        <v>407.2</v>
      </c>
      <c r="DG38" s="659">
        <v>413.7</v>
      </c>
      <c r="DH38" s="623">
        <v>423.2</v>
      </c>
      <c r="DI38" s="623">
        <v>424.6</v>
      </c>
      <c r="DJ38" s="623">
        <v>425.3</v>
      </c>
      <c r="DK38" s="659">
        <v>430.9</v>
      </c>
      <c r="DL38" s="623">
        <v>433</v>
      </c>
      <c r="DM38" s="725">
        <v>451.4</v>
      </c>
      <c r="DN38" s="659">
        <v>459.3</v>
      </c>
      <c r="DO38" s="897">
        <v>461.3</v>
      </c>
      <c r="DP38" s="783">
        <v>459.4</v>
      </c>
      <c r="DQ38" s="659">
        <v>473.7</v>
      </c>
      <c r="DR38" s="659">
        <v>484.4</v>
      </c>
      <c r="DS38" s="659">
        <v>488.3</v>
      </c>
      <c r="DT38" s="623">
        <v>519.79999999999995</v>
      </c>
      <c r="DU38" s="725">
        <v>541.5</v>
      </c>
      <c r="DV38" s="659">
        <v>542.20000000000005</v>
      </c>
      <c r="DW38" s="659">
        <v>555.6</v>
      </c>
      <c r="DX38" s="659">
        <v>555.6</v>
      </c>
      <c r="DY38" s="659">
        <v>577.70000000000005</v>
      </c>
      <c r="DZ38" s="659">
        <v>608.6</v>
      </c>
      <c r="EA38" s="897">
        <v>608.6</v>
      </c>
      <c r="EB38" s="659">
        <v>647.5</v>
      </c>
      <c r="EC38" s="659">
        <v>666.6</v>
      </c>
      <c r="ED38" s="659">
        <v>668.5</v>
      </c>
      <c r="EE38" s="659">
        <v>666.4</v>
      </c>
      <c r="EF38" s="659">
        <v>661.5</v>
      </c>
      <c r="EG38" s="659">
        <v>677.7</v>
      </c>
      <c r="EH38" s="659">
        <v>701.2</v>
      </c>
      <c r="EI38" s="659">
        <v>702.3</v>
      </c>
      <c r="EJ38" s="659">
        <v>716.9</v>
      </c>
      <c r="EK38" s="623">
        <v>724.3</v>
      </c>
      <c r="EL38" s="725">
        <v>725.5</v>
      </c>
      <c r="EM38" s="659">
        <v>726</v>
      </c>
      <c r="EN38" s="783">
        <v>725.9</v>
      </c>
      <c r="EO38" s="659">
        <v>741.2</v>
      </c>
      <c r="EP38" s="659">
        <v>750.7</v>
      </c>
      <c r="EQ38" s="659">
        <v>767.7</v>
      </c>
      <c r="ER38" s="659">
        <v>772</v>
      </c>
      <c r="ES38" s="659">
        <v>773.2</v>
      </c>
      <c r="ET38" s="659">
        <v>799.5</v>
      </c>
      <c r="EU38" s="659">
        <v>801.5</v>
      </c>
      <c r="EV38" s="659">
        <v>822.1</v>
      </c>
      <c r="EW38" s="659">
        <v>835.8</v>
      </c>
      <c r="EX38" s="659">
        <v>845.4</v>
      </c>
      <c r="EY38" s="659">
        <v>862.5</v>
      </c>
      <c r="EZ38" s="783">
        <v>934.6</v>
      </c>
      <c r="FA38" s="659">
        <v>1019</v>
      </c>
      <c r="FB38" s="659">
        <v>1061.3</v>
      </c>
      <c r="FC38" s="659">
        <v>1075.5999999999999</v>
      </c>
      <c r="FD38" s="659">
        <v>1108.7</v>
      </c>
      <c r="FE38" s="659">
        <v>1115.0999999999999</v>
      </c>
      <c r="FF38" s="659">
        <v>1122.8</v>
      </c>
      <c r="FG38" s="659">
        <v>1119.8</v>
      </c>
      <c r="FH38" s="659">
        <v>1193.7</v>
      </c>
      <c r="FI38" s="659">
        <v>1201.7</v>
      </c>
      <c r="FJ38" s="659">
        <v>1202.5999999999999</v>
      </c>
      <c r="FK38" s="897">
        <v>1202.7</v>
      </c>
      <c r="FL38" s="783">
        <v>1205.9000000000001</v>
      </c>
      <c r="FM38" s="659">
        <v>1202.7</v>
      </c>
      <c r="FN38" s="659">
        <v>1208.5</v>
      </c>
      <c r="FO38" s="659">
        <v>1278.5</v>
      </c>
      <c r="FP38" s="659">
        <v>1324.8</v>
      </c>
      <c r="FQ38" s="659">
        <v>1345.9</v>
      </c>
      <c r="FR38" s="659">
        <v>1392.7</v>
      </c>
      <c r="FS38" s="659">
        <v>1449.2</v>
      </c>
      <c r="FT38" s="659">
        <v>1473.8</v>
      </c>
      <c r="FU38" s="897">
        <v>1511.5</v>
      </c>
      <c r="FV38" s="1167">
        <f t="shared" si="0"/>
        <v>1.0255801329895509</v>
      </c>
    </row>
    <row r="39" spans="1:178" s="112" customFormat="1" ht="18.95" customHeight="1">
      <c r="A39" s="1543">
        <v>1</v>
      </c>
      <c r="B39" s="408">
        <v>14</v>
      </c>
      <c r="C39" s="621"/>
      <c r="D39" s="622" t="s">
        <v>926</v>
      </c>
      <c r="E39" s="621" t="s">
        <v>918</v>
      </c>
      <c r="F39" s="621"/>
      <c r="G39" s="621" t="s">
        <v>64</v>
      </c>
      <c r="H39" s="621" t="s">
        <v>920</v>
      </c>
      <c r="I39" s="390" t="s">
        <v>925</v>
      </c>
      <c r="J39" s="675"/>
      <c r="K39" s="669">
        <v>104.7</v>
      </c>
      <c r="L39" s="665">
        <v>111.8</v>
      </c>
      <c r="M39" s="625">
        <v>125.4</v>
      </c>
      <c r="N39" s="625">
        <v>123.8</v>
      </c>
      <c r="O39" s="625">
        <v>142.69999999999999</v>
      </c>
      <c r="P39" s="625">
        <v>151.9</v>
      </c>
      <c r="Q39" s="625">
        <v>162.80000000000001</v>
      </c>
      <c r="R39" s="625">
        <v>170.6</v>
      </c>
      <c r="S39" s="625">
        <v>172.8</v>
      </c>
      <c r="T39" s="625">
        <v>174.5</v>
      </c>
      <c r="U39" s="625">
        <v>174.5</v>
      </c>
      <c r="V39" s="625">
        <v>171</v>
      </c>
      <c r="W39" s="625">
        <v>166.5</v>
      </c>
      <c r="X39" s="625">
        <v>165.1</v>
      </c>
      <c r="Y39" s="625">
        <v>164.4</v>
      </c>
      <c r="Z39" s="625">
        <v>159.80000000000001</v>
      </c>
      <c r="AA39" s="625">
        <v>159.5</v>
      </c>
      <c r="AB39" s="625">
        <v>159.5</v>
      </c>
      <c r="AC39" s="625">
        <v>158.30000000000001</v>
      </c>
      <c r="AD39" s="625">
        <v>159.4</v>
      </c>
      <c r="AE39" s="625">
        <v>160.19999999999999</v>
      </c>
      <c r="AF39" s="625">
        <v>159.9</v>
      </c>
      <c r="AG39" s="625">
        <v>160.21979999999999</v>
      </c>
      <c r="AH39" s="625">
        <v>160.30000000000001</v>
      </c>
      <c r="AI39" s="764">
        <v>160.19999999999999</v>
      </c>
      <c r="AJ39" s="772">
        <v>160.30000000000001</v>
      </c>
      <c r="AK39" s="625">
        <v>161.5</v>
      </c>
      <c r="AL39" s="625">
        <v>165.2</v>
      </c>
      <c r="AM39" s="625">
        <v>176</v>
      </c>
      <c r="AN39" s="625">
        <v>188</v>
      </c>
      <c r="AO39" s="625">
        <v>194.8</v>
      </c>
      <c r="AP39" s="625">
        <v>190.9</v>
      </c>
      <c r="AQ39" s="625">
        <v>189.2</v>
      </c>
      <c r="AR39" s="625">
        <v>189.2</v>
      </c>
      <c r="AS39" s="625">
        <v>190.2</v>
      </c>
      <c r="AT39" s="625">
        <v>191.9</v>
      </c>
      <c r="AU39" s="764">
        <v>198.4</v>
      </c>
      <c r="AV39" s="752">
        <v>207.8</v>
      </c>
      <c r="AW39" s="626">
        <v>207.8</v>
      </c>
      <c r="AX39" s="626">
        <v>207.8</v>
      </c>
      <c r="AY39" s="626">
        <v>211.1</v>
      </c>
      <c r="AZ39" s="626">
        <v>212.8</v>
      </c>
      <c r="BA39" s="626">
        <v>214.8</v>
      </c>
      <c r="BB39" s="626">
        <v>215.6</v>
      </c>
      <c r="BC39" s="627">
        <v>217.7</v>
      </c>
      <c r="BD39" s="626">
        <v>217.7</v>
      </c>
      <c r="BE39" s="627">
        <v>223</v>
      </c>
      <c r="BF39" s="627">
        <v>230.1</v>
      </c>
      <c r="BG39" s="738">
        <v>232.6</v>
      </c>
      <c r="BH39" s="660">
        <v>233.5</v>
      </c>
      <c r="BI39" s="623">
        <v>236.3</v>
      </c>
      <c r="BJ39" s="623">
        <v>237.9</v>
      </c>
      <c r="BK39" s="623">
        <v>251.2</v>
      </c>
      <c r="BL39" s="623">
        <v>256.60000000000002</v>
      </c>
      <c r="BM39" s="623">
        <v>255.9</v>
      </c>
      <c r="BN39" s="623">
        <v>257.5</v>
      </c>
      <c r="BO39" s="623">
        <v>260.39999999999998</v>
      </c>
      <c r="BP39" s="623">
        <v>260.39999999999998</v>
      </c>
      <c r="BQ39" s="623">
        <v>259.8</v>
      </c>
      <c r="BR39" s="623">
        <v>257.7</v>
      </c>
      <c r="BS39" s="659">
        <v>257.7</v>
      </c>
      <c r="BT39" s="660">
        <v>256.2</v>
      </c>
      <c r="BU39" s="623">
        <v>256.8</v>
      </c>
      <c r="BV39" s="623">
        <v>269.60000000000002</v>
      </c>
      <c r="BW39" s="623">
        <v>280.89999999999998</v>
      </c>
      <c r="BX39" s="623">
        <v>281.3</v>
      </c>
      <c r="BY39" s="623">
        <v>284.2</v>
      </c>
      <c r="BZ39" s="623">
        <v>292</v>
      </c>
      <c r="CA39" s="623">
        <v>314.39999999999998</v>
      </c>
      <c r="CB39" s="623">
        <v>314.10000000000002</v>
      </c>
      <c r="CC39" s="623">
        <v>315.39999999999998</v>
      </c>
      <c r="CD39" s="623">
        <v>316.60000000000002</v>
      </c>
      <c r="CE39" s="659">
        <v>326.60000000000002</v>
      </c>
      <c r="CF39" s="660">
        <v>341.3</v>
      </c>
      <c r="CG39" s="623">
        <v>344.1</v>
      </c>
      <c r="CH39" s="623">
        <v>343.2</v>
      </c>
      <c r="CI39" s="623">
        <v>343.9</v>
      </c>
      <c r="CJ39" s="623">
        <v>374.7</v>
      </c>
      <c r="CK39" s="623">
        <v>372.2</v>
      </c>
      <c r="CL39" s="623">
        <v>384.5</v>
      </c>
      <c r="CM39" s="623">
        <v>388.1</v>
      </c>
      <c r="CN39" s="623">
        <v>388.2</v>
      </c>
      <c r="CO39" s="623">
        <v>388.2</v>
      </c>
      <c r="CP39" s="623">
        <v>388.2</v>
      </c>
      <c r="CQ39" s="659">
        <v>389.6</v>
      </c>
      <c r="CR39" s="660">
        <v>388.8</v>
      </c>
      <c r="CS39" s="623">
        <v>388.8</v>
      </c>
      <c r="CT39" s="623">
        <v>391.2</v>
      </c>
      <c r="CU39" s="623">
        <v>396.2</v>
      </c>
      <c r="CV39" s="623">
        <v>401.4</v>
      </c>
      <c r="CW39" s="623">
        <v>401.2</v>
      </c>
      <c r="CX39" s="623">
        <v>401.2</v>
      </c>
      <c r="CY39" s="623">
        <v>402.8</v>
      </c>
      <c r="CZ39" s="623">
        <v>409.1</v>
      </c>
      <c r="DA39" s="623">
        <v>409.1</v>
      </c>
      <c r="DB39" s="725">
        <v>409.1</v>
      </c>
      <c r="DC39" s="659">
        <v>427.2</v>
      </c>
      <c r="DD39" s="783">
        <v>428.1</v>
      </c>
      <c r="DE39" s="623">
        <v>432.6</v>
      </c>
      <c r="DF39" s="725">
        <v>432.6</v>
      </c>
      <c r="DG39" s="659">
        <v>432.2</v>
      </c>
      <c r="DH39" s="623">
        <v>458.4</v>
      </c>
      <c r="DI39" s="623">
        <v>467.1</v>
      </c>
      <c r="DJ39" s="623">
        <v>467.1</v>
      </c>
      <c r="DK39" s="659">
        <v>514.79999999999995</v>
      </c>
      <c r="DL39" s="623">
        <v>518.9</v>
      </c>
      <c r="DM39" s="725">
        <v>518.9</v>
      </c>
      <c r="DN39" s="659">
        <v>527.4</v>
      </c>
      <c r="DO39" s="897">
        <v>531.20000000000005</v>
      </c>
      <c r="DP39" s="783">
        <v>561.79999999999995</v>
      </c>
      <c r="DQ39" s="659">
        <v>587.9</v>
      </c>
      <c r="DR39" s="659">
        <v>587.9</v>
      </c>
      <c r="DS39" s="659">
        <v>587.9</v>
      </c>
      <c r="DT39" s="623">
        <v>594.5</v>
      </c>
      <c r="DU39" s="725">
        <v>626.5</v>
      </c>
      <c r="DV39" s="659">
        <v>638.79999999999995</v>
      </c>
      <c r="DW39" s="659">
        <v>656.9</v>
      </c>
      <c r="DX39" s="659">
        <v>657.4</v>
      </c>
      <c r="DY39" s="659">
        <v>657.4</v>
      </c>
      <c r="DZ39" s="659">
        <v>676.6</v>
      </c>
      <c r="EA39" s="897">
        <v>690.8</v>
      </c>
      <c r="EB39" s="659">
        <v>706.2</v>
      </c>
      <c r="EC39" s="659">
        <v>706.2</v>
      </c>
      <c r="ED39" s="659">
        <v>732.3</v>
      </c>
      <c r="EE39" s="659">
        <v>765</v>
      </c>
      <c r="EF39" s="659">
        <v>810.1</v>
      </c>
      <c r="EG39" s="659">
        <v>820.7</v>
      </c>
      <c r="EH39" s="659">
        <v>858.3</v>
      </c>
      <c r="EI39" s="659">
        <v>867.9</v>
      </c>
      <c r="EJ39" s="659">
        <v>874.8</v>
      </c>
      <c r="EK39" s="623">
        <v>881.7</v>
      </c>
      <c r="EL39" s="725">
        <v>897.9</v>
      </c>
      <c r="EM39" s="659">
        <v>901.2</v>
      </c>
      <c r="EN39" s="783">
        <v>907.6</v>
      </c>
      <c r="EO39" s="659">
        <v>929.9</v>
      </c>
      <c r="EP39" s="659">
        <v>973.5</v>
      </c>
      <c r="EQ39" s="659">
        <v>995.4</v>
      </c>
      <c r="ER39" s="659">
        <v>1003.9</v>
      </c>
      <c r="ES39" s="659">
        <v>1044.5999999999999</v>
      </c>
      <c r="ET39" s="659">
        <v>1048.2</v>
      </c>
      <c r="EU39" s="659">
        <v>1076.4000000000001</v>
      </c>
      <c r="EV39" s="659">
        <v>1076.4000000000001</v>
      </c>
      <c r="EW39" s="659">
        <v>1080.9000000000001</v>
      </c>
      <c r="EX39" s="659">
        <v>1114.8</v>
      </c>
      <c r="EY39" s="659">
        <v>1164.5999999999999</v>
      </c>
      <c r="EZ39" s="783">
        <v>1225.7</v>
      </c>
      <c r="FA39" s="659">
        <v>1302.7</v>
      </c>
      <c r="FB39" s="659">
        <v>1335.4</v>
      </c>
      <c r="FC39" s="659">
        <v>1337.1</v>
      </c>
      <c r="FD39" s="659">
        <v>1340.2</v>
      </c>
      <c r="FE39" s="659">
        <v>1370.2</v>
      </c>
      <c r="FF39" s="659">
        <v>1396.8</v>
      </c>
      <c r="FG39" s="659">
        <v>1487.2</v>
      </c>
      <c r="FH39" s="659">
        <v>1548.6</v>
      </c>
      <c r="FI39" s="659">
        <v>1548.6</v>
      </c>
      <c r="FJ39" s="659">
        <v>1585.9</v>
      </c>
      <c r="FK39" s="897">
        <v>1614.1</v>
      </c>
      <c r="FL39" s="783">
        <v>1625.1</v>
      </c>
      <c r="FM39" s="659">
        <v>1669.5</v>
      </c>
      <c r="FN39" s="659">
        <v>1697.6</v>
      </c>
      <c r="FO39" s="659">
        <v>1762.4</v>
      </c>
      <c r="FP39" s="659">
        <v>1767.4</v>
      </c>
      <c r="FQ39" s="659">
        <v>1777.4</v>
      </c>
      <c r="FR39" s="659">
        <v>1862.3</v>
      </c>
      <c r="FS39" s="659">
        <v>1880.7</v>
      </c>
      <c r="FT39" s="659">
        <v>1880.7</v>
      </c>
      <c r="FU39" s="897">
        <v>1905.4</v>
      </c>
      <c r="FV39" s="1167">
        <f t="shared" si="0"/>
        <v>1.0131334077737013</v>
      </c>
    </row>
    <row r="40" spans="1:178" s="112" customFormat="1" ht="18.95" customHeight="1">
      <c r="A40" s="1543">
        <v>1</v>
      </c>
      <c r="B40" s="644">
        <v>15</v>
      </c>
      <c r="C40" s="645"/>
      <c r="D40" s="646" t="s">
        <v>927</v>
      </c>
      <c r="E40" s="645" t="s">
        <v>918</v>
      </c>
      <c r="F40" s="645"/>
      <c r="G40" s="645" t="s">
        <v>64</v>
      </c>
      <c r="H40" s="645" t="s">
        <v>920</v>
      </c>
      <c r="I40" s="876" t="s">
        <v>925</v>
      </c>
      <c r="J40" s="1366"/>
      <c r="K40" s="877">
        <v>108.2</v>
      </c>
      <c r="L40" s="878">
        <v>108.2</v>
      </c>
      <c r="M40" s="879">
        <v>110.1</v>
      </c>
      <c r="N40" s="879">
        <v>117.4</v>
      </c>
      <c r="O40" s="879">
        <v>129</v>
      </c>
      <c r="P40" s="879">
        <v>129</v>
      </c>
      <c r="Q40" s="879">
        <v>137.4</v>
      </c>
      <c r="R40" s="879">
        <v>147.1</v>
      </c>
      <c r="S40" s="879">
        <v>160</v>
      </c>
      <c r="T40" s="879">
        <v>160</v>
      </c>
      <c r="U40" s="879">
        <v>160</v>
      </c>
      <c r="V40" s="879">
        <v>163.69999999999999</v>
      </c>
      <c r="W40" s="879">
        <v>164.7</v>
      </c>
      <c r="X40" s="879">
        <v>162.6</v>
      </c>
      <c r="Y40" s="879">
        <v>169.5</v>
      </c>
      <c r="Z40" s="879">
        <v>147.9</v>
      </c>
      <c r="AA40" s="879">
        <v>147.9</v>
      </c>
      <c r="AB40" s="879">
        <v>146.6</v>
      </c>
      <c r="AC40" s="879">
        <v>146.6</v>
      </c>
      <c r="AD40" s="879">
        <v>146.6</v>
      </c>
      <c r="AE40" s="879">
        <v>146.6</v>
      </c>
      <c r="AF40" s="879">
        <v>146.6</v>
      </c>
      <c r="AG40" s="879">
        <v>146.6</v>
      </c>
      <c r="AH40" s="879">
        <v>146.6</v>
      </c>
      <c r="AI40" s="880">
        <v>154</v>
      </c>
      <c r="AJ40" s="881">
        <v>152.9</v>
      </c>
      <c r="AK40" s="879">
        <v>157.30000000000001</v>
      </c>
      <c r="AL40" s="879">
        <v>163.9</v>
      </c>
      <c r="AM40" s="879">
        <v>167.4</v>
      </c>
      <c r="AN40" s="879">
        <v>168.1</v>
      </c>
      <c r="AO40" s="879">
        <v>169</v>
      </c>
      <c r="AP40" s="879">
        <v>169</v>
      </c>
      <c r="AQ40" s="879">
        <v>171.3</v>
      </c>
      <c r="AR40" s="879">
        <v>152.19999999999999</v>
      </c>
      <c r="AS40" s="879">
        <v>152.19999999999999</v>
      </c>
      <c r="AT40" s="879">
        <v>152.19999999999999</v>
      </c>
      <c r="AU40" s="880">
        <v>151.6</v>
      </c>
      <c r="AV40" s="882">
        <v>153.4</v>
      </c>
      <c r="AW40" s="883">
        <v>153.4</v>
      </c>
      <c r="AX40" s="883">
        <v>153.4</v>
      </c>
      <c r="AY40" s="883">
        <v>153.4</v>
      </c>
      <c r="AZ40" s="883">
        <v>154.1</v>
      </c>
      <c r="BA40" s="883">
        <v>154.1</v>
      </c>
      <c r="BB40" s="883">
        <v>154.30000000000001</v>
      </c>
      <c r="BC40" s="884">
        <v>155.4</v>
      </c>
      <c r="BD40" s="883">
        <v>159.30000000000001</v>
      </c>
      <c r="BE40" s="884">
        <v>157.30000000000001</v>
      </c>
      <c r="BF40" s="884">
        <v>159.6</v>
      </c>
      <c r="BG40" s="885">
        <v>160.5</v>
      </c>
      <c r="BH40" s="886">
        <v>160.5</v>
      </c>
      <c r="BI40" s="887">
        <v>161.30000000000001</v>
      </c>
      <c r="BJ40" s="887">
        <v>161.30000000000001</v>
      </c>
      <c r="BK40" s="887">
        <v>161.5</v>
      </c>
      <c r="BL40" s="887">
        <v>166.2</v>
      </c>
      <c r="BM40" s="887">
        <v>167.9</v>
      </c>
      <c r="BN40" s="887">
        <v>167.9</v>
      </c>
      <c r="BO40" s="887">
        <v>167.9</v>
      </c>
      <c r="BP40" s="887">
        <v>167.9</v>
      </c>
      <c r="BQ40" s="887">
        <v>167.7</v>
      </c>
      <c r="BR40" s="887">
        <v>167.2</v>
      </c>
      <c r="BS40" s="888">
        <v>167.2</v>
      </c>
      <c r="BT40" s="886">
        <v>169.1</v>
      </c>
      <c r="BU40" s="887">
        <v>169.9</v>
      </c>
      <c r="BV40" s="887">
        <v>176.6</v>
      </c>
      <c r="BW40" s="887">
        <v>182.5</v>
      </c>
      <c r="BX40" s="887">
        <v>184</v>
      </c>
      <c r="BY40" s="887">
        <v>185.4</v>
      </c>
      <c r="BZ40" s="887">
        <v>184.7</v>
      </c>
      <c r="CA40" s="887">
        <v>192.6</v>
      </c>
      <c r="CB40" s="887">
        <v>192.6</v>
      </c>
      <c r="CC40" s="887">
        <v>194.7</v>
      </c>
      <c r="CD40" s="887">
        <v>196.8</v>
      </c>
      <c r="CE40" s="888">
        <v>197.1</v>
      </c>
      <c r="CF40" s="886">
        <v>197.1</v>
      </c>
      <c r="CG40" s="887">
        <v>199.8</v>
      </c>
      <c r="CH40" s="887">
        <v>204.1</v>
      </c>
      <c r="CI40" s="887">
        <v>211.5</v>
      </c>
      <c r="CJ40" s="887">
        <v>219</v>
      </c>
      <c r="CK40" s="887">
        <v>224.4</v>
      </c>
      <c r="CL40" s="887">
        <v>223</v>
      </c>
      <c r="CM40" s="887">
        <v>225.5</v>
      </c>
      <c r="CN40" s="887">
        <v>227.9</v>
      </c>
      <c r="CO40" s="887">
        <v>221</v>
      </c>
      <c r="CP40" s="887">
        <v>222.2</v>
      </c>
      <c r="CQ40" s="888">
        <v>228.2</v>
      </c>
      <c r="CR40" s="886">
        <v>221.9</v>
      </c>
      <c r="CS40" s="887">
        <v>227</v>
      </c>
      <c r="CT40" s="887">
        <v>226.3</v>
      </c>
      <c r="CU40" s="887">
        <v>227</v>
      </c>
      <c r="CV40" s="887">
        <v>227</v>
      </c>
      <c r="CW40" s="887">
        <v>232.5</v>
      </c>
      <c r="CX40" s="887">
        <v>235.4</v>
      </c>
      <c r="CY40" s="887">
        <v>240.9</v>
      </c>
      <c r="CZ40" s="887">
        <v>247</v>
      </c>
      <c r="DA40" s="887">
        <v>259.2</v>
      </c>
      <c r="DB40" s="889">
        <v>260.39999999999998</v>
      </c>
      <c r="DC40" s="888">
        <v>260.39999999999998</v>
      </c>
      <c r="DD40" s="890">
        <v>264</v>
      </c>
      <c r="DE40" s="887">
        <v>278.3</v>
      </c>
      <c r="DF40" s="889">
        <v>279.7</v>
      </c>
      <c r="DG40" s="888">
        <v>283.8</v>
      </c>
      <c r="DH40" s="887">
        <v>295.39999999999998</v>
      </c>
      <c r="DI40" s="887">
        <v>297.39999999999998</v>
      </c>
      <c r="DJ40" s="887">
        <v>299.2</v>
      </c>
      <c r="DK40" s="888">
        <v>299.5</v>
      </c>
      <c r="DL40" s="887">
        <v>303.60000000000002</v>
      </c>
      <c r="DM40" s="889">
        <v>307.2</v>
      </c>
      <c r="DN40" s="888">
        <v>313.2</v>
      </c>
      <c r="DO40" s="968">
        <v>316.5</v>
      </c>
      <c r="DP40" s="890">
        <v>329</v>
      </c>
      <c r="DQ40" s="888">
        <v>346.5</v>
      </c>
      <c r="DR40" s="888">
        <v>349.3</v>
      </c>
      <c r="DS40" s="888">
        <v>350.8</v>
      </c>
      <c r="DT40" s="887">
        <v>363.4</v>
      </c>
      <c r="DU40" s="889">
        <v>372.2</v>
      </c>
      <c r="DV40" s="888">
        <v>372.2</v>
      </c>
      <c r="DW40" s="888">
        <v>377.3</v>
      </c>
      <c r="DX40" s="888">
        <v>382.5</v>
      </c>
      <c r="DY40" s="888">
        <v>382.5</v>
      </c>
      <c r="DZ40" s="888">
        <v>401.9</v>
      </c>
      <c r="EA40" s="968">
        <v>407.9</v>
      </c>
      <c r="EB40" s="888">
        <v>414</v>
      </c>
      <c r="EC40" s="888">
        <v>415.4</v>
      </c>
      <c r="ED40" s="888">
        <v>429.2</v>
      </c>
      <c r="EE40" s="888">
        <v>438.5</v>
      </c>
      <c r="EF40" s="888">
        <v>442.4</v>
      </c>
      <c r="EG40" s="888">
        <v>446.8</v>
      </c>
      <c r="EH40" s="888">
        <v>451.2</v>
      </c>
      <c r="EI40" s="888">
        <v>475.3</v>
      </c>
      <c r="EJ40" s="888">
        <v>478.2</v>
      </c>
      <c r="EK40" s="887">
        <v>478.7</v>
      </c>
      <c r="EL40" s="889">
        <v>483.2</v>
      </c>
      <c r="EM40" s="888">
        <v>486.4</v>
      </c>
      <c r="EN40" s="890">
        <v>482.7</v>
      </c>
      <c r="EO40" s="888">
        <v>482.7</v>
      </c>
      <c r="EP40" s="888">
        <v>484.9</v>
      </c>
      <c r="EQ40" s="888">
        <v>499.8</v>
      </c>
      <c r="ER40" s="888">
        <v>503.9</v>
      </c>
      <c r="ES40" s="888">
        <v>520.4</v>
      </c>
      <c r="ET40" s="888">
        <v>524.9</v>
      </c>
      <c r="EU40" s="659">
        <v>537.9</v>
      </c>
      <c r="EV40" s="659">
        <v>566.6</v>
      </c>
      <c r="EW40" s="659">
        <v>566.6</v>
      </c>
      <c r="EX40" s="659">
        <v>585</v>
      </c>
      <c r="EY40" s="659">
        <v>599.79999999999995</v>
      </c>
      <c r="EZ40" s="783">
        <v>638.29999999999995</v>
      </c>
      <c r="FA40" s="659">
        <v>724.6</v>
      </c>
      <c r="FB40" s="659">
        <v>774.1</v>
      </c>
      <c r="FC40" s="659">
        <v>818.2</v>
      </c>
      <c r="FD40" s="659">
        <v>835.6</v>
      </c>
      <c r="FE40" s="659">
        <v>844.1</v>
      </c>
      <c r="FF40" s="659">
        <v>868.7</v>
      </c>
      <c r="FG40" s="659">
        <v>880.7</v>
      </c>
      <c r="FH40" s="659">
        <v>893.8</v>
      </c>
      <c r="FI40" s="659">
        <v>901.1</v>
      </c>
      <c r="FJ40" s="659">
        <v>936</v>
      </c>
      <c r="FK40" s="897">
        <v>949.5</v>
      </c>
      <c r="FL40" s="783">
        <v>973.6</v>
      </c>
      <c r="FM40" s="659">
        <v>988.2</v>
      </c>
      <c r="FN40" s="659">
        <v>1007.3</v>
      </c>
      <c r="FO40" s="659">
        <v>1038.8</v>
      </c>
      <c r="FP40" s="659">
        <v>1107.3</v>
      </c>
      <c r="FQ40" s="659">
        <v>1141.4000000000001</v>
      </c>
      <c r="FR40" s="659">
        <v>1175.4000000000001</v>
      </c>
      <c r="FS40" s="659">
        <v>1183.7</v>
      </c>
      <c r="FT40" s="659">
        <v>1212.8</v>
      </c>
      <c r="FU40" s="897">
        <v>1219.9000000000001</v>
      </c>
      <c r="FV40" s="1167">
        <f t="shared" si="0"/>
        <v>1.0058542216358841</v>
      </c>
    </row>
    <row r="41" spans="1:178" s="112" customFormat="1" ht="21" customHeight="1">
      <c r="A41" s="1543">
        <v>1</v>
      </c>
      <c r="B41" s="408">
        <v>16</v>
      </c>
      <c r="C41" s="621" t="s">
        <v>536</v>
      </c>
      <c r="D41" s="622" t="s">
        <v>928</v>
      </c>
      <c r="E41" s="621" t="s">
        <v>918</v>
      </c>
      <c r="F41" s="622"/>
      <c r="G41" s="621" t="s">
        <v>929</v>
      </c>
      <c r="H41" s="621" t="s">
        <v>930</v>
      </c>
      <c r="I41" s="390" t="s">
        <v>931</v>
      </c>
      <c r="J41" s="651"/>
      <c r="K41" s="669">
        <v>122</v>
      </c>
      <c r="L41" s="665">
        <v>128.9</v>
      </c>
      <c r="M41" s="625">
        <v>150.5</v>
      </c>
      <c r="N41" s="625">
        <v>150.5</v>
      </c>
      <c r="O41" s="625">
        <v>155.5</v>
      </c>
      <c r="P41" s="625">
        <v>185.2</v>
      </c>
      <c r="Q41" s="625">
        <v>180.4</v>
      </c>
      <c r="R41" s="625">
        <v>189.2</v>
      </c>
      <c r="S41" s="625">
        <v>192.2</v>
      </c>
      <c r="T41" s="625">
        <v>193.3</v>
      </c>
      <c r="U41" s="625">
        <v>193.3</v>
      </c>
      <c r="V41" s="625">
        <v>193.3</v>
      </c>
      <c r="W41" s="625">
        <v>193.3</v>
      </c>
      <c r="X41" s="625">
        <v>189.7</v>
      </c>
      <c r="Y41" s="625">
        <v>189.7</v>
      </c>
      <c r="Z41" s="625">
        <v>193.3</v>
      </c>
      <c r="AA41" s="625">
        <v>196.1</v>
      </c>
      <c r="AB41" s="625">
        <v>193.3</v>
      </c>
      <c r="AC41" s="625">
        <v>195.8</v>
      </c>
      <c r="AD41" s="625">
        <v>198</v>
      </c>
      <c r="AE41" s="625">
        <v>198</v>
      </c>
      <c r="AF41" s="625">
        <v>198</v>
      </c>
      <c r="AG41" s="625">
        <v>200.3</v>
      </c>
      <c r="AH41" s="625">
        <v>194.5</v>
      </c>
      <c r="AI41" s="764">
        <v>199.4</v>
      </c>
      <c r="AJ41" s="772">
        <v>201.1</v>
      </c>
      <c r="AK41" s="625">
        <v>201.1</v>
      </c>
      <c r="AL41" s="625">
        <v>212.2</v>
      </c>
      <c r="AM41" s="625">
        <v>213.6</v>
      </c>
      <c r="AN41" s="625">
        <v>213.6</v>
      </c>
      <c r="AO41" s="625">
        <v>213.6</v>
      </c>
      <c r="AP41" s="625">
        <v>216.2</v>
      </c>
      <c r="AQ41" s="625">
        <v>216.2</v>
      </c>
      <c r="AR41" s="625">
        <v>216.2</v>
      </c>
      <c r="AS41" s="625">
        <v>216.2</v>
      </c>
      <c r="AT41" s="625">
        <v>216.2</v>
      </c>
      <c r="AU41" s="764">
        <v>216.2</v>
      </c>
      <c r="AV41" s="752">
        <v>218.1</v>
      </c>
      <c r="AW41" s="626">
        <v>218.1</v>
      </c>
      <c r="AX41" s="626">
        <v>224.7</v>
      </c>
      <c r="AY41" s="626">
        <v>224.7</v>
      </c>
      <c r="AZ41" s="626">
        <v>224.7</v>
      </c>
      <c r="BA41" s="626">
        <v>224.7</v>
      </c>
      <c r="BB41" s="626">
        <v>224.7</v>
      </c>
      <c r="BC41" s="627">
        <v>224.7</v>
      </c>
      <c r="BD41" s="626">
        <v>225.6</v>
      </c>
      <c r="BE41" s="627">
        <v>225.6</v>
      </c>
      <c r="BF41" s="627">
        <v>229.3</v>
      </c>
      <c r="BG41" s="738">
        <v>229.3</v>
      </c>
      <c r="BH41" s="660">
        <v>232.9</v>
      </c>
      <c r="BI41" s="623">
        <v>234.5</v>
      </c>
      <c r="BJ41" s="623">
        <v>248.1</v>
      </c>
      <c r="BK41" s="623">
        <v>255.1</v>
      </c>
      <c r="BL41" s="623">
        <v>296.8</v>
      </c>
      <c r="BM41" s="623">
        <v>305.8</v>
      </c>
      <c r="BN41" s="623">
        <v>305.8</v>
      </c>
      <c r="BO41" s="623">
        <v>305.8</v>
      </c>
      <c r="BP41" s="623">
        <v>305.8</v>
      </c>
      <c r="BQ41" s="623">
        <v>305.8</v>
      </c>
      <c r="BR41" s="623">
        <v>305.8</v>
      </c>
      <c r="BS41" s="659">
        <v>305.8</v>
      </c>
      <c r="BT41" s="660">
        <v>305.8</v>
      </c>
      <c r="BU41" s="623">
        <v>305.8</v>
      </c>
      <c r="BV41" s="623">
        <v>305.8</v>
      </c>
      <c r="BW41" s="623">
        <v>305.8</v>
      </c>
      <c r="BX41" s="623">
        <v>312.60000000000002</v>
      </c>
      <c r="BY41" s="623">
        <v>312.60000000000002</v>
      </c>
      <c r="BZ41" s="623">
        <v>316.10000000000002</v>
      </c>
      <c r="CA41" s="623">
        <v>319</v>
      </c>
      <c r="CB41" s="623">
        <v>320.89999999999998</v>
      </c>
      <c r="CC41" s="623">
        <v>347.9</v>
      </c>
      <c r="CD41" s="623">
        <v>347.9</v>
      </c>
      <c r="CE41" s="659">
        <v>347.9</v>
      </c>
      <c r="CF41" s="660">
        <v>345.6</v>
      </c>
      <c r="CG41" s="623">
        <v>345.6</v>
      </c>
      <c r="CH41" s="623">
        <v>347.8</v>
      </c>
      <c r="CI41" s="623">
        <v>352.6</v>
      </c>
      <c r="CJ41" s="623">
        <v>360.8</v>
      </c>
      <c r="CK41" s="623">
        <v>375.3</v>
      </c>
      <c r="CL41" s="623">
        <v>379.5</v>
      </c>
      <c r="CM41" s="623">
        <v>386.8</v>
      </c>
      <c r="CN41" s="623">
        <v>393.4</v>
      </c>
      <c r="CO41" s="623">
        <v>397.5</v>
      </c>
      <c r="CP41" s="623">
        <v>397.5</v>
      </c>
      <c r="CQ41" s="659">
        <v>397.5</v>
      </c>
      <c r="CR41" s="660">
        <v>397.5</v>
      </c>
      <c r="CS41" s="623">
        <v>403.6</v>
      </c>
      <c r="CT41" s="623">
        <v>403.6</v>
      </c>
      <c r="CU41" s="623">
        <v>403.6</v>
      </c>
      <c r="CV41" s="623">
        <v>406.8</v>
      </c>
      <c r="CW41" s="623">
        <v>406.8</v>
      </c>
      <c r="CX41" s="623">
        <v>406.8</v>
      </c>
      <c r="CY41" s="623">
        <v>416.9</v>
      </c>
      <c r="CZ41" s="623">
        <v>416.9</v>
      </c>
      <c r="DA41" s="623">
        <v>435.8</v>
      </c>
      <c r="DB41" s="725">
        <v>435.8</v>
      </c>
      <c r="DC41" s="659">
        <v>435.8</v>
      </c>
      <c r="DD41" s="783">
        <v>448.3</v>
      </c>
      <c r="DE41" s="623">
        <v>453.5</v>
      </c>
      <c r="DF41" s="725">
        <v>469.3</v>
      </c>
      <c r="DG41" s="659">
        <v>469.3</v>
      </c>
      <c r="DH41" s="623">
        <v>469.3</v>
      </c>
      <c r="DI41" s="623">
        <v>476.7</v>
      </c>
      <c r="DJ41" s="623">
        <v>489.3</v>
      </c>
      <c r="DK41" s="659">
        <v>496.9</v>
      </c>
      <c r="DL41" s="623">
        <v>500.2</v>
      </c>
      <c r="DM41" s="725">
        <v>511.6</v>
      </c>
      <c r="DN41" s="659">
        <v>520.1</v>
      </c>
      <c r="DO41" s="897">
        <v>523.6</v>
      </c>
      <c r="DP41" s="783">
        <v>523.6</v>
      </c>
      <c r="DQ41" s="659">
        <v>523.6</v>
      </c>
      <c r="DR41" s="659">
        <v>527.4</v>
      </c>
      <c r="DS41" s="659">
        <v>536.9</v>
      </c>
      <c r="DT41" s="623">
        <v>536.9</v>
      </c>
      <c r="DU41" s="725">
        <v>572.29999999999995</v>
      </c>
      <c r="DV41" s="659">
        <v>572.29999999999995</v>
      </c>
      <c r="DW41" s="659">
        <v>572.29999999999995</v>
      </c>
      <c r="DX41" s="659">
        <v>579.29999999999995</v>
      </c>
      <c r="DY41" s="659">
        <v>599.6</v>
      </c>
      <c r="DZ41" s="659">
        <v>604.70000000000005</v>
      </c>
      <c r="EA41" s="897">
        <v>611.20000000000005</v>
      </c>
      <c r="EB41" s="659">
        <v>611.20000000000005</v>
      </c>
      <c r="EC41" s="659">
        <v>611.20000000000005</v>
      </c>
      <c r="ED41" s="659">
        <v>636</v>
      </c>
      <c r="EE41" s="659">
        <v>630.29999999999995</v>
      </c>
      <c r="EF41" s="659">
        <v>660.7</v>
      </c>
      <c r="EG41" s="659">
        <v>660.7</v>
      </c>
      <c r="EH41" s="659">
        <v>692.3</v>
      </c>
      <c r="EI41" s="659">
        <v>725.9</v>
      </c>
      <c r="EJ41" s="659">
        <v>741.2</v>
      </c>
      <c r="EK41" s="623">
        <v>725.9</v>
      </c>
      <c r="EL41" s="725">
        <v>733.5</v>
      </c>
      <c r="EM41" s="659">
        <v>738.1</v>
      </c>
      <c r="EN41" s="783">
        <v>738.1</v>
      </c>
      <c r="EO41" s="659">
        <v>742.9</v>
      </c>
      <c r="EP41" s="659">
        <v>749.5</v>
      </c>
      <c r="EQ41" s="659">
        <v>749.5</v>
      </c>
      <c r="ER41" s="659">
        <v>762.8</v>
      </c>
      <c r="ES41" s="659">
        <v>766.4</v>
      </c>
      <c r="ET41" s="659">
        <v>785.9</v>
      </c>
      <c r="EU41" s="659">
        <v>809.1</v>
      </c>
      <c r="EV41" s="659">
        <v>823</v>
      </c>
      <c r="EW41" s="659">
        <v>835.9</v>
      </c>
      <c r="EX41" s="659">
        <v>835.8</v>
      </c>
      <c r="EY41" s="659">
        <v>835.8</v>
      </c>
      <c r="EZ41" s="783">
        <v>934.6</v>
      </c>
      <c r="FA41" s="659">
        <v>974.6</v>
      </c>
      <c r="FB41" s="659">
        <v>1056.2</v>
      </c>
      <c r="FC41" s="659">
        <v>1240.3</v>
      </c>
      <c r="FD41" s="659">
        <v>1239.4000000000001</v>
      </c>
      <c r="FE41" s="659">
        <v>1239.4000000000001</v>
      </c>
      <c r="FF41" s="659">
        <v>1256.7</v>
      </c>
      <c r="FG41" s="659">
        <v>1301.7</v>
      </c>
      <c r="FH41" s="659">
        <v>1316.1</v>
      </c>
      <c r="FI41" s="659">
        <v>1333.4</v>
      </c>
      <c r="FJ41" s="659">
        <v>1333.4</v>
      </c>
      <c r="FK41" s="897">
        <v>1384.8</v>
      </c>
      <c r="FL41" s="783">
        <v>1384.8</v>
      </c>
      <c r="FM41" s="659">
        <v>1384.8</v>
      </c>
      <c r="FN41" s="659">
        <v>1403.1</v>
      </c>
      <c r="FO41" s="659">
        <v>1403.1</v>
      </c>
      <c r="FP41" s="659">
        <v>1441.4</v>
      </c>
      <c r="FQ41" s="659">
        <v>1446.3</v>
      </c>
      <c r="FR41" s="659">
        <v>1449.5</v>
      </c>
      <c r="FS41" s="659">
        <v>1465.2</v>
      </c>
      <c r="FT41" s="659">
        <v>1533.2</v>
      </c>
      <c r="FU41" s="897">
        <v>1536.6</v>
      </c>
      <c r="FV41" s="1167">
        <f t="shared" si="0"/>
        <v>1.002217584137751</v>
      </c>
    </row>
    <row r="42" spans="1:178" s="112" customFormat="1" ht="18.95" customHeight="1">
      <c r="A42" s="1543">
        <v>1</v>
      </c>
      <c r="B42" s="408">
        <v>17</v>
      </c>
      <c r="C42" s="621"/>
      <c r="D42" s="622" t="s">
        <v>932</v>
      </c>
      <c r="E42" s="621" t="s">
        <v>918</v>
      </c>
      <c r="F42" s="621"/>
      <c r="G42" s="632" t="s">
        <v>64</v>
      </c>
      <c r="H42" s="621" t="s">
        <v>920</v>
      </c>
      <c r="I42" s="390" t="s">
        <v>925</v>
      </c>
      <c r="J42" s="675"/>
      <c r="K42" s="669">
        <v>95.6</v>
      </c>
      <c r="L42" s="665">
        <v>102.6</v>
      </c>
      <c r="M42" s="625">
        <v>108.5</v>
      </c>
      <c r="N42" s="625">
        <v>126.6</v>
      </c>
      <c r="O42" s="625">
        <v>138.69999999999999</v>
      </c>
      <c r="P42" s="625">
        <v>153</v>
      </c>
      <c r="Q42" s="625">
        <v>158.69999999999999</v>
      </c>
      <c r="R42" s="625">
        <v>161.4</v>
      </c>
      <c r="S42" s="625">
        <v>161.4</v>
      </c>
      <c r="T42" s="625">
        <v>159.9</v>
      </c>
      <c r="U42" s="625">
        <v>155.80000000000001</v>
      </c>
      <c r="V42" s="625">
        <v>159</v>
      </c>
      <c r="W42" s="625">
        <v>158.69999999999999</v>
      </c>
      <c r="X42" s="625">
        <v>156</v>
      </c>
      <c r="Y42" s="625">
        <v>149.19999999999999</v>
      </c>
      <c r="Z42" s="625">
        <v>148</v>
      </c>
      <c r="AA42" s="625">
        <v>147.19999999999999</v>
      </c>
      <c r="AB42" s="625">
        <v>147.19999999999999</v>
      </c>
      <c r="AC42" s="625">
        <v>147.19999999999999</v>
      </c>
      <c r="AD42" s="625">
        <v>147.19999999999999</v>
      </c>
      <c r="AE42" s="625">
        <v>147.19999999999999</v>
      </c>
      <c r="AF42" s="625">
        <v>147.19999999999999</v>
      </c>
      <c r="AG42" s="625">
        <v>147.19999999999999</v>
      </c>
      <c r="AH42" s="625">
        <v>146.19999999999999</v>
      </c>
      <c r="AI42" s="764">
        <v>150.1</v>
      </c>
      <c r="AJ42" s="772">
        <v>149</v>
      </c>
      <c r="AK42" s="625">
        <v>156</v>
      </c>
      <c r="AL42" s="625">
        <v>170.1</v>
      </c>
      <c r="AM42" s="625">
        <v>181.1</v>
      </c>
      <c r="AN42" s="625">
        <v>182</v>
      </c>
      <c r="AO42" s="625">
        <v>181.7</v>
      </c>
      <c r="AP42" s="625">
        <v>187</v>
      </c>
      <c r="AQ42" s="625">
        <v>187</v>
      </c>
      <c r="AR42" s="625">
        <v>185.5</v>
      </c>
      <c r="AS42" s="625">
        <v>185.6</v>
      </c>
      <c r="AT42" s="625">
        <v>185.6</v>
      </c>
      <c r="AU42" s="764">
        <v>185.6</v>
      </c>
      <c r="AV42" s="752">
        <v>187.4</v>
      </c>
      <c r="AW42" s="626">
        <v>184</v>
      </c>
      <c r="AX42" s="626">
        <v>189.3</v>
      </c>
      <c r="AY42" s="626">
        <v>196.8</v>
      </c>
      <c r="AZ42" s="626">
        <v>195</v>
      </c>
      <c r="BA42" s="626">
        <v>196.2</v>
      </c>
      <c r="BB42" s="626">
        <v>196.5</v>
      </c>
      <c r="BC42" s="627">
        <v>197</v>
      </c>
      <c r="BD42" s="626">
        <v>195.9</v>
      </c>
      <c r="BE42" s="627">
        <v>203.6</v>
      </c>
      <c r="BF42" s="627">
        <v>204.1</v>
      </c>
      <c r="BG42" s="738">
        <v>212.1</v>
      </c>
      <c r="BH42" s="660">
        <v>215.6</v>
      </c>
      <c r="BI42" s="623">
        <v>227.3</v>
      </c>
      <c r="BJ42" s="623">
        <v>231.5</v>
      </c>
      <c r="BK42" s="623">
        <v>238.9</v>
      </c>
      <c r="BL42" s="623">
        <v>337.5</v>
      </c>
      <c r="BM42" s="623">
        <v>339.9</v>
      </c>
      <c r="BN42" s="623">
        <v>329.7</v>
      </c>
      <c r="BO42" s="623">
        <v>329.7</v>
      </c>
      <c r="BP42" s="623">
        <v>336.7</v>
      </c>
      <c r="BQ42" s="623">
        <v>328.3</v>
      </c>
      <c r="BR42" s="623">
        <v>327.8</v>
      </c>
      <c r="BS42" s="659">
        <v>327.8</v>
      </c>
      <c r="BT42" s="660">
        <v>325.60000000000002</v>
      </c>
      <c r="BU42" s="623">
        <v>325.60000000000002</v>
      </c>
      <c r="BV42" s="623">
        <v>333.4</v>
      </c>
      <c r="BW42" s="623">
        <v>337.5</v>
      </c>
      <c r="BX42" s="623">
        <v>333</v>
      </c>
      <c r="BY42" s="623">
        <v>336.5</v>
      </c>
      <c r="BZ42" s="623">
        <v>336.6</v>
      </c>
      <c r="CA42" s="623">
        <v>345.4</v>
      </c>
      <c r="CB42" s="623">
        <v>349.4</v>
      </c>
      <c r="CC42" s="623">
        <v>357.8</v>
      </c>
      <c r="CD42" s="623">
        <v>358.2</v>
      </c>
      <c r="CE42" s="659">
        <v>358.9</v>
      </c>
      <c r="CF42" s="660">
        <v>358.7</v>
      </c>
      <c r="CG42" s="623">
        <v>359</v>
      </c>
      <c r="CH42" s="623">
        <v>361.3</v>
      </c>
      <c r="CI42" s="623">
        <v>362</v>
      </c>
      <c r="CJ42" s="623">
        <v>363.9</v>
      </c>
      <c r="CK42" s="623">
        <v>384.6</v>
      </c>
      <c r="CL42" s="623">
        <v>386.2</v>
      </c>
      <c r="CM42" s="623">
        <v>387.6</v>
      </c>
      <c r="CN42" s="623">
        <v>388.2</v>
      </c>
      <c r="CO42" s="623">
        <v>389.7</v>
      </c>
      <c r="CP42" s="623">
        <v>396</v>
      </c>
      <c r="CQ42" s="659">
        <v>396</v>
      </c>
      <c r="CR42" s="660">
        <v>396.2</v>
      </c>
      <c r="CS42" s="623">
        <v>396.2</v>
      </c>
      <c r="CT42" s="623">
        <v>394</v>
      </c>
      <c r="CU42" s="623">
        <v>398.3</v>
      </c>
      <c r="CV42" s="623">
        <v>398.3</v>
      </c>
      <c r="CW42" s="623">
        <v>399.4</v>
      </c>
      <c r="CX42" s="623">
        <v>404.4</v>
      </c>
      <c r="CY42" s="623">
        <v>409</v>
      </c>
      <c r="CZ42" s="623">
        <v>413</v>
      </c>
      <c r="DA42" s="623">
        <v>424.9</v>
      </c>
      <c r="DB42" s="725">
        <v>424.9</v>
      </c>
      <c r="DC42" s="659">
        <v>429.1</v>
      </c>
      <c r="DD42" s="783">
        <v>426.4</v>
      </c>
      <c r="DE42" s="623">
        <v>435.6</v>
      </c>
      <c r="DF42" s="725">
        <v>440.8</v>
      </c>
      <c r="DG42" s="659">
        <v>465.5</v>
      </c>
      <c r="DH42" s="623">
        <v>459.3</v>
      </c>
      <c r="DI42" s="623">
        <v>480.7</v>
      </c>
      <c r="DJ42" s="623">
        <v>490.8</v>
      </c>
      <c r="DK42" s="659">
        <v>492.5</v>
      </c>
      <c r="DL42" s="623">
        <v>497.5</v>
      </c>
      <c r="DM42" s="725">
        <v>498.3</v>
      </c>
      <c r="DN42" s="659">
        <v>525</v>
      </c>
      <c r="DO42" s="897">
        <v>522.4</v>
      </c>
      <c r="DP42" s="783">
        <v>522.20000000000005</v>
      </c>
      <c r="DQ42" s="659">
        <v>552.70000000000005</v>
      </c>
      <c r="DR42" s="659">
        <v>567.6</v>
      </c>
      <c r="DS42" s="659">
        <v>595.6</v>
      </c>
      <c r="DT42" s="623">
        <v>609.70000000000005</v>
      </c>
      <c r="DU42" s="725">
        <v>640.6</v>
      </c>
      <c r="DV42" s="659">
        <v>669.4</v>
      </c>
      <c r="DW42" s="659">
        <v>674.3</v>
      </c>
      <c r="DX42" s="659">
        <v>674.3</v>
      </c>
      <c r="DY42" s="659">
        <v>682.7</v>
      </c>
      <c r="DZ42" s="659">
        <v>692.4</v>
      </c>
      <c r="EA42" s="897">
        <v>692.4</v>
      </c>
      <c r="EB42" s="659">
        <v>695.2</v>
      </c>
      <c r="EC42" s="659">
        <v>701.1</v>
      </c>
      <c r="ED42" s="659">
        <v>725.8</v>
      </c>
      <c r="EE42" s="659">
        <v>730.5</v>
      </c>
      <c r="EF42" s="659">
        <v>741.3</v>
      </c>
      <c r="EG42" s="659">
        <v>781</v>
      </c>
      <c r="EH42" s="659">
        <v>779.2</v>
      </c>
      <c r="EI42" s="659">
        <v>809.2</v>
      </c>
      <c r="EJ42" s="659">
        <v>825.2</v>
      </c>
      <c r="EK42" s="623">
        <v>828</v>
      </c>
      <c r="EL42" s="725">
        <v>833.3</v>
      </c>
      <c r="EM42" s="659">
        <v>835.8</v>
      </c>
      <c r="EN42" s="783">
        <v>835.8</v>
      </c>
      <c r="EO42" s="659">
        <v>858.9</v>
      </c>
      <c r="EP42" s="659">
        <v>875.6</v>
      </c>
      <c r="EQ42" s="659">
        <v>880.1</v>
      </c>
      <c r="ER42" s="659">
        <v>917.3</v>
      </c>
      <c r="ES42" s="659">
        <v>978.5</v>
      </c>
      <c r="ET42" s="659">
        <v>979.2</v>
      </c>
      <c r="EU42" s="659">
        <v>1064</v>
      </c>
      <c r="EV42" s="659">
        <v>1074.9000000000001</v>
      </c>
      <c r="EW42" s="659">
        <v>1097.5999999999999</v>
      </c>
      <c r="EX42" s="659">
        <v>1151.5999999999999</v>
      </c>
      <c r="EY42" s="659">
        <v>1193.9000000000001</v>
      </c>
      <c r="EZ42" s="783">
        <v>1219.9000000000001</v>
      </c>
      <c r="FA42" s="659">
        <v>1312.5</v>
      </c>
      <c r="FB42" s="659">
        <v>1362.5</v>
      </c>
      <c r="FC42" s="659">
        <v>1387.7</v>
      </c>
      <c r="FD42" s="659">
        <v>1405.1</v>
      </c>
      <c r="FE42" s="659">
        <v>1405.1</v>
      </c>
      <c r="FF42" s="659">
        <v>1574.1</v>
      </c>
      <c r="FG42" s="659">
        <v>1723.8</v>
      </c>
      <c r="FH42" s="659">
        <v>1745.9</v>
      </c>
      <c r="FI42" s="659">
        <v>1817.4</v>
      </c>
      <c r="FJ42" s="659">
        <v>1817.4</v>
      </c>
      <c r="FK42" s="897">
        <v>1817.4</v>
      </c>
      <c r="FL42" s="783">
        <v>1816.8</v>
      </c>
      <c r="FM42" s="659">
        <v>1922.4</v>
      </c>
      <c r="FN42" s="659">
        <v>1952.5</v>
      </c>
      <c r="FO42" s="659">
        <v>1985.2</v>
      </c>
      <c r="FP42" s="659">
        <v>1985</v>
      </c>
      <c r="FQ42" s="659">
        <v>1999.2</v>
      </c>
      <c r="FR42" s="659">
        <v>2165.6999999999998</v>
      </c>
      <c r="FS42" s="659">
        <v>2197.6</v>
      </c>
      <c r="FT42" s="659">
        <v>2215.3000000000002</v>
      </c>
      <c r="FU42" s="897">
        <v>2224.1999999999998</v>
      </c>
      <c r="FV42" s="1167">
        <f t="shared" si="0"/>
        <v>1.0040175145578476</v>
      </c>
    </row>
    <row r="43" spans="1:178" s="112" customFormat="1" ht="18" customHeight="1">
      <c r="A43" s="1543">
        <v>1</v>
      </c>
      <c r="B43" s="644">
        <v>18</v>
      </c>
      <c r="C43" s="645" t="s">
        <v>535</v>
      </c>
      <c r="D43" s="646" t="s">
        <v>933</v>
      </c>
      <c r="E43" s="645" t="s">
        <v>918</v>
      </c>
      <c r="F43" s="646"/>
      <c r="G43" s="645" t="s">
        <v>919</v>
      </c>
      <c r="H43" s="645" t="s">
        <v>920</v>
      </c>
      <c r="I43" s="876" t="s">
        <v>921</v>
      </c>
      <c r="J43" s="869"/>
      <c r="K43" s="877">
        <v>98.22</v>
      </c>
      <c r="L43" s="878">
        <v>102.63</v>
      </c>
      <c r="M43" s="879">
        <v>105.87</v>
      </c>
      <c r="N43" s="879">
        <v>125.45</v>
      </c>
      <c r="O43" s="879">
        <v>154.37</v>
      </c>
      <c r="P43" s="879">
        <v>168.14</v>
      </c>
      <c r="Q43" s="879">
        <v>188.9</v>
      </c>
      <c r="R43" s="879">
        <v>200.09</v>
      </c>
      <c r="S43" s="879">
        <v>201.62</v>
      </c>
      <c r="T43" s="879">
        <v>204.89</v>
      </c>
      <c r="U43" s="879">
        <v>206.3</v>
      </c>
      <c r="V43" s="879">
        <v>206.31</v>
      </c>
      <c r="W43" s="879">
        <v>205.74</v>
      </c>
      <c r="X43" s="879">
        <v>202.15</v>
      </c>
      <c r="Y43" s="879">
        <v>201.82</v>
      </c>
      <c r="Z43" s="879">
        <v>202.4</v>
      </c>
      <c r="AA43" s="879">
        <v>203.71</v>
      </c>
      <c r="AB43" s="879">
        <v>202.92</v>
      </c>
      <c r="AC43" s="879">
        <v>205.92</v>
      </c>
      <c r="AD43" s="879">
        <v>207.04</v>
      </c>
      <c r="AE43" s="879">
        <v>208.15</v>
      </c>
      <c r="AF43" s="879">
        <v>208.15</v>
      </c>
      <c r="AG43" s="879">
        <v>208.15</v>
      </c>
      <c r="AH43" s="879">
        <v>208.15</v>
      </c>
      <c r="AI43" s="880">
        <v>208.15</v>
      </c>
      <c r="AJ43" s="881">
        <v>208.45</v>
      </c>
      <c r="AK43" s="879">
        <v>207.23</v>
      </c>
      <c r="AL43" s="879">
        <v>207.23</v>
      </c>
      <c r="AM43" s="879">
        <v>207.23</v>
      </c>
      <c r="AN43" s="879">
        <v>208.61</v>
      </c>
      <c r="AO43" s="879">
        <v>209.09</v>
      </c>
      <c r="AP43" s="879">
        <v>209.93</v>
      </c>
      <c r="AQ43" s="879">
        <v>212.27</v>
      </c>
      <c r="AR43" s="879">
        <v>212.27</v>
      </c>
      <c r="AS43" s="879">
        <v>217.66</v>
      </c>
      <c r="AT43" s="879">
        <v>217.68</v>
      </c>
      <c r="AU43" s="880">
        <v>221.41</v>
      </c>
      <c r="AV43" s="882">
        <v>226.43</v>
      </c>
      <c r="AW43" s="883">
        <v>228.57</v>
      </c>
      <c r="AX43" s="883">
        <v>231.66</v>
      </c>
      <c r="AY43" s="883">
        <v>231.66</v>
      </c>
      <c r="AZ43" s="883">
        <v>234.33</v>
      </c>
      <c r="BA43" s="883">
        <v>234.43</v>
      </c>
      <c r="BB43" s="883">
        <v>235.73</v>
      </c>
      <c r="BC43" s="884">
        <v>233.85</v>
      </c>
      <c r="BD43" s="883">
        <v>237.04</v>
      </c>
      <c r="BE43" s="884">
        <v>241.15</v>
      </c>
      <c r="BF43" s="884">
        <v>251.55</v>
      </c>
      <c r="BG43" s="885">
        <v>253.97</v>
      </c>
      <c r="BH43" s="886">
        <v>256.75</v>
      </c>
      <c r="BI43" s="887">
        <v>267.06</v>
      </c>
      <c r="BJ43" s="887">
        <v>267.10000000000002</v>
      </c>
      <c r="BK43" s="887">
        <v>272.12</v>
      </c>
      <c r="BL43" s="887">
        <v>287.47000000000003</v>
      </c>
      <c r="BM43" s="887">
        <v>291</v>
      </c>
      <c r="BN43" s="887">
        <v>294.25</v>
      </c>
      <c r="BO43" s="887">
        <v>301.54000000000002</v>
      </c>
      <c r="BP43" s="887">
        <v>315.69</v>
      </c>
      <c r="BQ43" s="887">
        <v>335.25</v>
      </c>
      <c r="BR43" s="887">
        <v>336.37</v>
      </c>
      <c r="BS43" s="888">
        <v>336.37</v>
      </c>
      <c r="BT43" s="886">
        <v>338.26</v>
      </c>
      <c r="BU43" s="887">
        <v>338.4</v>
      </c>
      <c r="BV43" s="887">
        <v>343.11</v>
      </c>
      <c r="BW43" s="887">
        <v>349.83</v>
      </c>
      <c r="BX43" s="887">
        <v>349.36</v>
      </c>
      <c r="BY43" s="887">
        <v>349.36</v>
      </c>
      <c r="BZ43" s="887">
        <v>365.01</v>
      </c>
      <c r="CA43" s="887">
        <v>365.01</v>
      </c>
      <c r="CB43" s="887">
        <v>365.01</v>
      </c>
      <c r="CC43" s="887">
        <v>367.75</v>
      </c>
      <c r="CD43" s="887">
        <v>371.4</v>
      </c>
      <c r="CE43" s="888">
        <v>381.32</v>
      </c>
      <c r="CF43" s="886">
        <v>393.63</v>
      </c>
      <c r="CG43" s="887">
        <v>402.4</v>
      </c>
      <c r="CH43" s="887">
        <v>404.84</v>
      </c>
      <c r="CI43" s="887">
        <v>424.58</v>
      </c>
      <c r="CJ43" s="887">
        <v>429.62</v>
      </c>
      <c r="CK43" s="887">
        <v>464.92</v>
      </c>
      <c r="CL43" s="887">
        <v>483.18</v>
      </c>
      <c r="CM43" s="887">
        <v>489.85</v>
      </c>
      <c r="CN43" s="887">
        <v>508.45</v>
      </c>
      <c r="CO43" s="887">
        <v>514.80999999999995</v>
      </c>
      <c r="CP43" s="887">
        <v>516.61</v>
      </c>
      <c r="CQ43" s="888">
        <v>511.58</v>
      </c>
      <c r="CR43" s="886">
        <v>496.32</v>
      </c>
      <c r="CS43" s="887">
        <v>496.36</v>
      </c>
      <c r="CT43" s="887">
        <v>502.59</v>
      </c>
      <c r="CU43" s="887">
        <v>502.11</v>
      </c>
      <c r="CV43" s="887">
        <v>502.86</v>
      </c>
      <c r="CW43" s="887">
        <v>502.86</v>
      </c>
      <c r="CX43" s="887">
        <v>502.86</v>
      </c>
      <c r="CY43" s="887">
        <v>501.45</v>
      </c>
      <c r="CZ43" s="887">
        <v>503.74</v>
      </c>
      <c r="DA43" s="887">
        <v>510.02</v>
      </c>
      <c r="DB43" s="889">
        <v>514.29</v>
      </c>
      <c r="DC43" s="888">
        <v>514.29</v>
      </c>
      <c r="DD43" s="890">
        <v>514.29</v>
      </c>
      <c r="DE43" s="887">
        <v>523.82000000000005</v>
      </c>
      <c r="DF43" s="889">
        <v>540.15</v>
      </c>
      <c r="DG43" s="888">
        <v>547.80999999999995</v>
      </c>
      <c r="DH43" s="887">
        <v>550.35</v>
      </c>
      <c r="DI43" s="887">
        <v>555.20000000000005</v>
      </c>
      <c r="DJ43" s="887">
        <v>573.44000000000005</v>
      </c>
      <c r="DK43" s="888">
        <v>595.32000000000005</v>
      </c>
      <c r="DL43" s="887">
        <v>598.83000000000004</v>
      </c>
      <c r="DM43" s="889">
        <v>610.14</v>
      </c>
      <c r="DN43" s="888">
        <v>610.14</v>
      </c>
      <c r="DO43" s="968">
        <v>619.29</v>
      </c>
      <c r="DP43" s="890">
        <v>644.53</v>
      </c>
      <c r="DQ43" s="888">
        <v>655.47</v>
      </c>
      <c r="DR43" s="888">
        <v>655.65</v>
      </c>
      <c r="DS43" s="888">
        <v>661.15</v>
      </c>
      <c r="DT43" s="887">
        <v>678.57</v>
      </c>
      <c r="DU43" s="889">
        <v>684.64</v>
      </c>
      <c r="DV43" s="888">
        <v>703.94</v>
      </c>
      <c r="DW43" s="888">
        <v>713.48</v>
      </c>
      <c r="DX43" s="888">
        <v>726.4</v>
      </c>
      <c r="DY43" s="888">
        <v>731.3</v>
      </c>
      <c r="DZ43" s="888">
        <v>731.3</v>
      </c>
      <c r="EA43" s="968">
        <v>744.16</v>
      </c>
      <c r="EB43" s="888">
        <v>749.57</v>
      </c>
      <c r="EC43" s="888">
        <v>749.57</v>
      </c>
      <c r="ED43" s="888">
        <v>749.33</v>
      </c>
      <c r="EE43" s="888">
        <v>760.37</v>
      </c>
      <c r="EF43" s="888">
        <v>779.77</v>
      </c>
      <c r="EG43" s="888">
        <v>796.56</v>
      </c>
      <c r="EH43" s="888">
        <v>806.82</v>
      </c>
      <c r="EI43" s="888">
        <v>810.04</v>
      </c>
      <c r="EJ43" s="888">
        <v>810.04</v>
      </c>
      <c r="EK43" s="887">
        <v>804.93</v>
      </c>
      <c r="EL43" s="889">
        <v>819.74</v>
      </c>
      <c r="EM43" s="888">
        <v>819.73</v>
      </c>
      <c r="EN43" s="890">
        <v>827.29</v>
      </c>
      <c r="EO43" s="888">
        <v>837.07</v>
      </c>
      <c r="EP43" s="888">
        <v>837.07</v>
      </c>
      <c r="EQ43" s="888">
        <v>854.79</v>
      </c>
      <c r="ER43" s="888">
        <v>887.64</v>
      </c>
      <c r="ES43" s="888">
        <v>892.58</v>
      </c>
      <c r="ET43" s="888">
        <v>926.08</v>
      </c>
      <c r="EU43" s="888">
        <v>949.56</v>
      </c>
      <c r="EV43" s="888">
        <v>964.22</v>
      </c>
      <c r="EW43" s="659">
        <v>980.8</v>
      </c>
      <c r="EX43" s="659">
        <v>986.24</v>
      </c>
      <c r="EY43" s="659">
        <v>992.99</v>
      </c>
      <c r="EZ43" s="783">
        <v>1021.89</v>
      </c>
      <c r="FA43" s="659">
        <v>1085.3</v>
      </c>
      <c r="FB43" s="659">
        <v>1138.4000000000001</v>
      </c>
      <c r="FC43" s="659">
        <v>1149.29</v>
      </c>
      <c r="FD43" s="659">
        <v>1161.5899999999999</v>
      </c>
      <c r="FE43" s="659">
        <v>1166.1099999999999</v>
      </c>
      <c r="FF43" s="659">
        <v>1172.77</v>
      </c>
      <c r="FG43" s="659">
        <v>1198.17</v>
      </c>
      <c r="FH43" s="659">
        <v>1209.0999999999999</v>
      </c>
      <c r="FI43" s="659">
        <v>1227.3399999999999</v>
      </c>
      <c r="FJ43" s="659">
        <v>1254.01</v>
      </c>
      <c r="FK43" s="897">
        <v>1256.27</v>
      </c>
      <c r="FL43" s="783">
        <v>1256.27</v>
      </c>
      <c r="FM43" s="659">
        <v>1256.27</v>
      </c>
      <c r="FN43" s="659">
        <v>1256.27</v>
      </c>
      <c r="FO43" s="659">
        <v>1256.27</v>
      </c>
      <c r="FP43" s="659">
        <v>1255.73</v>
      </c>
      <c r="FQ43" s="659">
        <v>1284.03</v>
      </c>
      <c r="FR43" s="659">
        <v>1293.94</v>
      </c>
      <c r="FS43" s="659">
        <v>1293.94</v>
      </c>
      <c r="FT43" s="659">
        <v>1298.56</v>
      </c>
      <c r="FU43" s="897">
        <v>1302.81</v>
      </c>
      <c r="FV43" s="1167">
        <f t="shared" si="0"/>
        <v>1.0032728560867423</v>
      </c>
    </row>
    <row r="44" spans="1:178" s="112" customFormat="1" ht="27" customHeight="1">
      <c r="A44" s="1543">
        <v>1</v>
      </c>
      <c r="B44" s="408">
        <v>19</v>
      </c>
      <c r="C44" s="621" t="s">
        <v>537</v>
      </c>
      <c r="D44" s="622" t="s">
        <v>934</v>
      </c>
      <c r="E44" s="621" t="s">
        <v>918</v>
      </c>
      <c r="F44" s="621"/>
      <c r="G44" s="621" t="s">
        <v>929</v>
      </c>
      <c r="H44" s="621" t="s">
        <v>920</v>
      </c>
      <c r="I44" s="390" t="s">
        <v>192</v>
      </c>
      <c r="J44" s="676"/>
      <c r="K44" s="669">
        <v>94.6</v>
      </c>
      <c r="L44" s="665">
        <v>106.6</v>
      </c>
      <c r="M44" s="625">
        <v>115.4</v>
      </c>
      <c r="N44" s="625">
        <v>123.3</v>
      </c>
      <c r="O44" s="625">
        <v>163.5</v>
      </c>
      <c r="P44" s="625">
        <v>182.7</v>
      </c>
      <c r="Q44" s="625">
        <v>196.5</v>
      </c>
      <c r="R44" s="625">
        <v>235.8</v>
      </c>
      <c r="S44" s="625">
        <v>243.1</v>
      </c>
      <c r="T44" s="625">
        <v>244.5</v>
      </c>
      <c r="U44" s="625">
        <v>244</v>
      </c>
      <c r="V44" s="625">
        <v>241.7</v>
      </c>
      <c r="W44" s="625">
        <v>238.8</v>
      </c>
      <c r="X44" s="625">
        <v>239.2</v>
      </c>
      <c r="Y44" s="625">
        <v>237.1</v>
      </c>
      <c r="Z44" s="625">
        <v>239.1</v>
      </c>
      <c r="AA44" s="625">
        <v>245.8</v>
      </c>
      <c r="AB44" s="625">
        <v>246.8</v>
      </c>
      <c r="AC44" s="625">
        <v>244.6</v>
      </c>
      <c r="AD44" s="625">
        <v>244.2</v>
      </c>
      <c r="AE44" s="625">
        <v>243.2</v>
      </c>
      <c r="AF44" s="625">
        <v>243.2</v>
      </c>
      <c r="AG44" s="625">
        <v>243.6</v>
      </c>
      <c r="AH44" s="625">
        <v>247.6</v>
      </c>
      <c r="AI44" s="764">
        <v>251.7</v>
      </c>
      <c r="AJ44" s="772">
        <v>259.60000000000002</v>
      </c>
      <c r="AK44" s="625">
        <v>283.60000000000002</v>
      </c>
      <c r="AL44" s="625">
        <v>322.60000000000002</v>
      </c>
      <c r="AM44" s="625">
        <v>334.7</v>
      </c>
      <c r="AN44" s="625">
        <v>341.9</v>
      </c>
      <c r="AO44" s="625">
        <v>354.6</v>
      </c>
      <c r="AP44" s="625">
        <v>354</v>
      </c>
      <c r="AQ44" s="625">
        <v>355.4</v>
      </c>
      <c r="AR44" s="625">
        <v>353.8</v>
      </c>
      <c r="AS44" s="625">
        <v>356.2</v>
      </c>
      <c r="AT44" s="625">
        <v>360.9</v>
      </c>
      <c r="AU44" s="764">
        <v>361.1</v>
      </c>
      <c r="AV44" s="752">
        <v>360.1</v>
      </c>
      <c r="AW44" s="626">
        <v>366.8</v>
      </c>
      <c r="AX44" s="626">
        <v>367.7</v>
      </c>
      <c r="AY44" s="626">
        <v>368.7</v>
      </c>
      <c r="AZ44" s="626">
        <v>368.2</v>
      </c>
      <c r="BA44" s="626">
        <v>368.1</v>
      </c>
      <c r="BB44" s="626">
        <v>368</v>
      </c>
      <c r="BC44" s="627">
        <v>368</v>
      </c>
      <c r="BD44" s="626">
        <v>368</v>
      </c>
      <c r="BE44" s="627">
        <v>366.7</v>
      </c>
      <c r="BF44" s="627">
        <v>367.2</v>
      </c>
      <c r="BG44" s="738">
        <v>368.9</v>
      </c>
      <c r="BH44" s="660">
        <v>372.4</v>
      </c>
      <c r="BI44" s="623">
        <v>377.3</v>
      </c>
      <c r="BJ44" s="623">
        <v>381.5</v>
      </c>
      <c r="BK44" s="623">
        <v>382.5</v>
      </c>
      <c r="BL44" s="623">
        <v>384.3</v>
      </c>
      <c r="BM44" s="623">
        <v>385.1</v>
      </c>
      <c r="BN44" s="623">
        <v>384.1</v>
      </c>
      <c r="BO44" s="623">
        <v>386</v>
      </c>
      <c r="BP44" s="623">
        <v>384.6</v>
      </c>
      <c r="BQ44" s="623">
        <v>385.2</v>
      </c>
      <c r="BR44" s="623">
        <v>387.4</v>
      </c>
      <c r="BS44" s="659">
        <v>391.5</v>
      </c>
      <c r="BT44" s="660">
        <v>394.8</v>
      </c>
      <c r="BU44" s="623">
        <v>395</v>
      </c>
      <c r="BV44" s="623">
        <v>395.6</v>
      </c>
      <c r="BW44" s="623">
        <v>400</v>
      </c>
      <c r="BX44" s="623">
        <v>404.9</v>
      </c>
      <c r="BY44" s="623">
        <v>409.3</v>
      </c>
      <c r="BZ44" s="623">
        <v>417.8</v>
      </c>
      <c r="CA44" s="623">
        <v>429.3</v>
      </c>
      <c r="CB44" s="623">
        <v>430.1</v>
      </c>
      <c r="CC44" s="623">
        <v>435.6</v>
      </c>
      <c r="CD44" s="623">
        <v>466.8</v>
      </c>
      <c r="CE44" s="659">
        <v>479.5</v>
      </c>
      <c r="CF44" s="660">
        <v>486.3</v>
      </c>
      <c r="CG44" s="623">
        <v>454.5</v>
      </c>
      <c r="CH44" s="623">
        <v>463.6</v>
      </c>
      <c r="CI44" s="623">
        <v>478</v>
      </c>
      <c r="CJ44" s="623">
        <v>492.7</v>
      </c>
      <c r="CK44" s="623">
        <v>518.9</v>
      </c>
      <c r="CL44" s="623">
        <v>527.70000000000005</v>
      </c>
      <c r="CM44" s="623">
        <v>527.70000000000005</v>
      </c>
      <c r="CN44" s="623">
        <v>527.70000000000005</v>
      </c>
      <c r="CO44" s="623">
        <v>531.29999999999995</v>
      </c>
      <c r="CP44" s="623">
        <v>511.8</v>
      </c>
      <c r="CQ44" s="659">
        <v>503.7</v>
      </c>
      <c r="CR44" s="660">
        <v>503.5</v>
      </c>
      <c r="CS44" s="623">
        <v>499.8</v>
      </c>
      <c r="CT44" s="623">
        <v>495.9</v>
      </c>
      <c r="CU44" s="623">
        <v>494</v>
      </c>
      <c r="CV44" s="623">
        <v>492.8</v>
      </c>
      <c r="CW44" s="623">
        <v>510.7</v>
      </c>
      <c r="CX44" s="623">
        <v>518.70000000000005</v>
      </c>
      <c r="CY44" s="623">
        <v>532.29999999999995</v>
      </c>
      <c r="CZ44" s="623">
        <v>534.9</v>
      </c>
      <c r="DA44" s="623">
        <v>544.5</v>
      </c>
      <c r="DB44" s="725">
        <v>543.1</v>
      </c>
      <c r="DC44" s="659">
        <v>549.9</v>
      </c>
      <c r="DD44" s="783">
        <v>555.9</v>
      </c>
      <c r="DE44" s="623">
        <v>566.79999999999995</v>
      </c>
      <c r="DF44" s="725">
        <v>572.9</v>
      </c>
      <c r="DG44" s="659">
        <v>586.5</v>
      </c>
      <c r="DH44" s="623">
        <v>586.5</v>
      </c>
      <c r="DI44" s="623">
        <v>584.70000000000005</v>
      </c>
      <c r="DJ44" s="623">
        <v>592.29999999999995</v>
      </c>
      <c r="DK44" s="659">
        <v>593.20000000000005</v>
      </c>
      <c r="DL44" s="623">
        <v>597.29999999999995</v>
      </c>
      <c r="DM44" s="725">
        <v>604</v>
      </c>
      <c r="DN44" s="659">
        <v>608.1</v>
      </c>
      <c r="DO44" s="897">
        <v>611.79999999999995</v>
      </c>
      <c r="DP44" s="783">
        <v>614.20000000000005</v>
      </c>
      <c r="DQ44" s="659">
        <v>614.20000000000005</v>
      </c>
      <c r="DR44" s="659">
        <v>616.20000000000005</v>
      </c>
      <c r="DS44" s="659">
        <v>625.70000000000005</v>
      </c>
      <c r="DT44" s="623">
        <v>628.29999999999995</v>
      </c>
      <c r="DU44" s="725">
        <v>629.79999999999995</v>
      </c>
      <c r="DV44" s="659">
        <v>635.6</v>
      </c>
      <c r="DW44" s="659">
        <v>643.6</v>
      </c>
      <c r="DX44" s="659">
        <v>644.9</v>
      </c>
      <c r="DY44" s="659">
        <v>648.1</v>
      </c>
      <c r="DZ44" s="659">
        <v>651.5</v>
      </c>
      <c r="EA44" s="897">
        <v>657.2</v>
      </c>
      <c r="EB44" s="659">
        <v>667.9</v>
      </c>
      <c r="EC44" s="659">
        <v>672.1</v>
      </c>
      <c r="ED44" s="659">
        <v>674</v>
      </c>
      <c r="EE44" s="659">
        <v>674</v>
      </c>
      <c r="EF44" s="659">
        <v>677.3</v>
      </c>
      <c r="EG44" s="659">
        <v>678.1</v>
      </c>
      <c r="EH44" s="659">
        <v>677.6</v>
      </c>
      <c r="EI44" s="659">
        <v>679.9</v>
      </c>
      <c r="EJ44" s="659">
        <v>679.9</v>
      </c>
      <c r="EK44" s="623">
        <v>695.5</v>
      </c>
      <c r="EL44" s="725">
        <v>697.7</v>
      </c>
      <c r="EM44" s="659">
        <v>709.2</v>
      </c>
      <c r="EN44" s="783">
        <v>714.5</v>
      </c>
      <c r="EO44" s="659">
        <v>730.4</v>
      </c>
      <c r="EP44" s="659">
        <v>732</v>
      </c>
      <c r="EQ44" s="659">
        <v>741.5</v>
      </c>
      <c r="ER44" s="659">
        <v>755</v>
      </c>
      <c r="ES44" s="659">
        <v>779.1</v>
      </c>
      <c r="ET44" s="659">
        <v>785.9</v>
      </c>
      <c r="EU44" s="659">
        <v>788.3</v>
      </c>
      <c r="EV44" s="659">
        <v>810.2</v>
      </c>
      <c r="EW44" s="659">
        <v>829.8</v>
      </c>
      <c r="EX44" s="659">
        <v>837.7</v>
      </c>
      <c r="EY44" s="659">
        <v>876.1</v>
      </c>
      <c r="EZ44" s="783">
        <v>970</v>
      </c>
      <c r="FA44" s="659">
        <v>1055.4000000000001</v>
      </c>
      <c r="FB44" s="659">
        <v>1157.4000000000001</v>
      </c>
      <c r="FC44" s="659">
        <v>1207.7</v>
      </c>
      <c r="FD44" s="659">
        <v>1224.9000000000001</v>
      </c>
      <c r="FE44" s="659">
        <v>1238.4000000000001</v>
      </c>
      <c r="FF44" s="659">
        <v>1246.9000000000001</v>
      </c>
      <c r="FG44" s="659">
        <v>1286.4000000000001</v>
      </c>
      <c r="FH44" s="659">
        <v>1321.8</v>
      </c>
      <c r="FI44" s="659">
        <v>1323.3</v>
      </c>
      <c r="FJ44" s="659">
        <v>1323.5</v>
      </c>
      <c r="FK44" s="897">
        <v>1324.4</v>
      </c>
      <c r="FL44" s="783">
        <v>1327</v>
      </c>
      <c r="FM44" s="659">
        <v>1330.4</v>
      </c>
      <c r="FN44" s="659">
        <v>1370.4</v>
      </c>
      <c r="FO44" s="659">
        <v>1388.5</v>
      </c>
      <c r="FP44" s="659">
        <v>1398.4</v>
      </c>
      <c r="FQ44" s="659">
        <v>1399.2</v>
      </c>
      <c r="FR44" s="659">
        <v>1447.9</v>
      </c>
      <c r="FS44" s="659">
        <v>1467</v>
      </c>
      <c r="FT44" s="659">
        <v>1499.1</v>
      </c>
      <c r="FU44" s="897">
        <v>1533.5</v>
      </c>
      <c r="FV44" s="1167">
        <f t="shared" si="0"/>
        <v>1.0229471015942899</v>
      </c>
    </row>
    <row r="45" spans="1:178" s="112" customFormat="1" ht="21.75" customHeight="1">
      <c r="A45" s="1543">
        <v>1</v>
      </c>
      <c r="B45" s="408">
        <v>20</v>
      </c>
      <c r="C45" s="621" t="s">
        <v>538</v>
      </c>
      <c r="D45" s="622" t="s">
        <v>935</v>
      </c>
      <c r="E45" s="621" t="s">
        <v>918</v>
      </c>
      <c r="F45" s="622"/>
      <c r="G45" s="621" t="s">
        <v>929</v>
      </c>
      <c r="H45" s="621" t="s">
        <v>930</v>
      </c>
      <c r="I45" s="390" t="s">
        <v>936</v>
      </c>
      <c r="J45" s="651"/>
      <c r="K45" s="669">
        <v>96.3</v>
      </c>
      <c r="L45" s="665">
        <v>99.8</v>
      </c>
      <c r="M45" s="625">
        <v>103.9</v>
      </c>
      <c r="N45" s="625">
        <v>106.6</v>
      </c>
      <c r="O45" s="625">
        <v>116.6</v>
      </c>
      <c r="P45" s="625">
        <v>119.8</v>
      </c>
      <c r="Q45" s="625">
        <v>128.6</v>
      </c>
      <c r="R45" s="625">
        <v>129.9</v>
      </c>
      <c r="S45" s="625">
        <v>132</v>
      </c>
      <c r="T45" s="625">
        <v>134</v>
      </c>
      <c r="U45" s="625">
        <v>137.9</v>
      </c>
      <c r="V45" s="625">
        <v>140.69999999999999</v>
      </c>
      <c r="W45" s="625">
        <v>140.5</v>
      </c>
      <c r="X45" s="625">
        <v>141.5</v>
      </c>
      <c r="Y45" s="625">
        <v>142.5</v>
      </c>
      <c r="Z45" s="625">
        <v>142.30000000000001</v>
      </c>
      <c r="AA45" s="625">
        <v>141.9</v>
      </c>
      <c r="AB45" s="625">
        <v>141.9</v>
      </c>
      <c r="AC45" s="625">
        <v>140</v>
      </c>
      <c r="AD45" s="625">
        <v>143.1</v>
      </c>
      <c r="AE45" s="625">
        <v>143</v>
      </c>
      <c r="AF45" s="625">
        <v>143.69999999999999</v>
      </c>
      <c r="AG45" s="625">
        <v>143.5</v>
      </c>
      <c r="AH45" s="625">
        <v>144.69999999999999</v>
      </c>
      <c r="AI45" s="764">
        <v>145.19999999999999</v>
      </c>
      <c r="AJ45" s="772">
        <v>143.19999999999999</v>
      </c>
      <c r="AK45" s="625">
        <v>144.69999999999999</v>
      </c>
      <c r="AL45" s="625">
        <v>144.6</v>
      </c>
      <c r="AM45" s="625">
        <v>143.1</v>
      </c>
      <c r="AN45" s="625">
        <v>144.5</v>
      </c>
      <c r="AO45" s="625">
        <v>146.4</v>
      </c>
      <c r="AP45" s="625">
        <v>147.19999999999999</v>
      </c>
      <c r="AQ45" s="625">
        <v>146.4</v>
      </c>
      <c r="AR45" s="625">
        <v>146.4</v>
      </c>
      <c r="AS45" s="625">
        <v>146.80000000000001</v>
      </c>
      <c r="AT45" s="625">
        <v>147.80000000000001</v>
      </c>
      <c r="AU45" s="764">
        <v>149</v>
      </c>
      <c r="AV45" s="752">
        <v>150</v>
      </c>
      <c r="AW45" s="626">
        <v>150.19999999999999</v>
      </c>
      <c r="AX45" s="626">
        <v>151.9</v>
      </c>
      <c r="AY45" s="626">
        <v>153.4</v>
      </c>
      <c r="AZ45" s="626">
        <v>153.4</v>
      </c>
      <c r="BA45" s="626">
        <v>153.69999999999999</v>
      </c>
      <c r="BB45" s="626">
        <v>154.5</v>
      </c>
      <c r="BC45" s="627">
        <v>154.5</v>
      </c>
      <c r="BD45" s="626">
        <v>156.9</v>
      </c>
      <c r="BE45" s="627">
        <v>156.6</v>
      </c>
      <c r="BF45" s="627">
        <v>156.9</v>
      </c>
      <c r="BG45" s="738">
        <v>157.6</v>
      </c>
      <c r="BH45" s="660">
        <v>157.6</v>
      </c>
      <c r="BI45" s="623">
        <v>163.1</v>
      </c>
      <c r="BJ45" s="623">
        <v>163.6</v>
      </c>
      <c r="BK45" s="623">
        <v>164.6</v>
      </c>
      <c r="BL45" s="623">
        <v>170</v>
      </c>
      <c r="BM45" s="623">
        <v>169.6</v>
      </c>
      <c r="BN45" s="623">
        <v>170.2</v>
      </c>
      <c r="BO45" s="623">
        <v>170.2</v>
      </c>
      <c r="BP45" s="623">
        <v>170.6</v>
      </c>
      <c r="BQ45" s="623">
        <v>170.7</v>
      </c>
      <c r="BR45" s="623">
        <v>171.7</v>
      </c>
      <c r="BS45" s="659">
        <v>172.9</v>
      </c>
      <c r="BT45" s="660">
        <v>175.2</v>
      </c>
      <c r="BU45" s="623">
        <v>175.9</v>
      </c>
      <c r="BV45" s="623">
        <v>181.1</v>
      </c>
      <c r="BW45" s="623">
        <v>182.1</v>
      </c>
      <c r="BX45" s="623">
        <v>182.6</v>
      </c>
      <c r="BY45" s="623">
        <v>187.4</v>
      </c>
      <c r="BZ45" s="623">
        <v>190.9</v>
      </c>
      <c r="CA45" s="623">
        <v>192.9</v>
      </c>
      <c r="CB45" s="623">
        <v>193.4</v>
      </c>
      <c r="CC45" s="623">
        <v>197.8</v>
      </c>
      <c r="CD45" s="623">
        <v>197.8</v>
      </c>
      <c r="CE45" s="659">
        <v>202.6</v>
      </c>
      <c r="CF45" s="660">
        <v>202.6</v>
      </c>
      <c r="CG45" s="623">
        <v>202.6</v>
      </c>
      <c r="CH45" s="623">
        <v>204.8</v>
      </c>
      <c r="CI45" s="623">
        <v>214.9</v>
      </c>
      <c r="CJ45" s="623">
        <v>220</v>
      </c>
      <c r="CK45" s="623">
        <v>221.9</v>
      </c>
      <c r="CL45" s="623">
        <v>231.1</v>
      </c>
      <c r="CM45" s="623">
        <v>236.2</v>
      </c>
      <c r="CN45" s="623">
        <v>240.7</v>
      </c>
      <c r="CO45" s="623">
        <v>242.5</v>
      </c>
      <c r="CP45" s="623">
        <v>245.5</v>
      </c>
      <c r="CQ45" s="659">
        <v>244.6</v>
      </c>
      <c r="CR45" s="660">
        <v>252.1</v>
      </c>
      <c r="CS45" s="623">
        <v>259.2</v>
      </c>
      <c r="CT45" s="623">
        <v>261.2</v>
      </c>
      <c r="CU45" s="623">
        <v>261.2</v>
      </c>
      <c r="CV45" s="623">
        <v>262.5</v>
      </c>
      <c r="CW45" s="623">
        <v>265.7</v>
      </c>
      <c r="CX45" s="623">
        <v>269</v>
      </c>
      <c r="CY45" s="623">
        <v>275.8</v>
      </c>
      <c r="CZ45" s="623">
        <v>276.7</v>
      </c>
      <c r="DA45" s="623">
        <v>278.60000000000002</v>
      </c>
      <c r="DB45" s="725">
        <v>283.8</v>
      </c>
      <c r="DC45" s="659">
        <v>281</v>
      </c>
      <c r="DD45" s="783">
        <v>285.60000000000002</v>
      </c>
      <c r="DE45" s="623">
        <v>291.60000000000002</v>
      </c>
      <c r="DF45" s="725">
        <v>292.8</v>
      </c>
      <c r="DG45" s="659">
        <v>292.10000000000002</v>
      </c>
      <c r="DH45" s="623">
        <v>301.7</v>
      </c>
      <c r="DI45" s="623">
        <v>300.60000000000002</v>
      </c>
      <c r="DJ45" s="623">
        <v>302.39999999999998</v>
      </c>
      <c r="DK45" s="659">
        <v>305.3</v>
      </c>
      <c r="DL45" s="623">
        <v>307.7</v>
      </c>
      <c r="DM45" s="725">
        <v>310.10000000000002</v>
      </c>
      <c r="DN45" s="659">
        <v>319.60000000000002</v>
      </c>
      <c r="DO45" s="897">
        <v>332.1</v>
      </c>
      <c r="DP45" s="783">
        <v>332.9</v>
      </c>
      <c r="DQ45" s="659">
        <v>338.6</v>
      </c>
      <c r="DR45" s="659">
        <v>344.7</v>
      </c>
      <c r="DS45" s="659">
        <v>348</v>
      </c>
      <c r="DT45" s="623">
        <v>355.9</v>
      </c>
      <c r="DU45" s="725">
        <v>365.8</v>
      </c>
      <c r="DV45" s="659">
        <v>365</v>
      </c>
      <c r="DW45" s="659">
        <v>366.2</v>
      </c>
      <c r="DX45" s="659">
        <v>370</v>
      </c>
      <c r="DY45" s="659">
        <v>377.8</v>
      </c>
      <c r="DZ45" s="659">
        <v>389.1</v>
      </c>
      <c r="EA45" s="897">
        <v>392.8</v>
      </c>
      <c r="EB45" s="659">
        <v>394.3</v>
      </c>
      <c r="EC45" s="659">
        <v>395.7</v>
      </c>
      <c r="ED45" s="659">
        <v>402.3</v>
      </c>
      <c r="EE45" s="659">
        <v>411.6</v>
      </c>
      <c r="EF45" s="659">
        <v>419.8</v>
      </c>
      <c r="EG45" s="659">
        <v>424.7</v>
      </c>
      <c r="EH45" s="659">
        <v>436.3</v>
      </c>
      <c r="EI45" s="659">
        <v>440</v>
      </c>
      <c r="EJ45" s="659">
        <v>445.5</v>
      </c>
      <c r="EK45" s="623">
        <v>455.4</v>
      </c>
      <c r="EL45" s="725">
        <v>464</v>
      </c>
      <c r="EM45" s="659">
        <v>468.5</v>
      </c>
      <c r="EN45" s="783">
        <v>473.5</v>
      </c>
      <c r="EO45" s="659">
        <v>485.2</v>
      </c>
      <c r="EP45" s="659">
        <v>488.6</v>
      </c>
      <c r="EQ45" s="659">
        <v>492.7</v>
      </c>
      <c r="ER45" s="659">
        <v>510.1</v>
      </c>
      <c r="ES45" s="659">
        <v>514.70000000000005</v>
      </c>
      <c r="ET45" s="659">
        <v>515.9</v>
      </c>
      <c r="EU45" s="659">
        <v>524.9</v>
      </c>
      <c r="EV45" s="659">
        <v>525.9</v>
      </c>
      <c r="EW45" s="659">
        <v>542.79999999999995</v>
      </c>
      <c r="EX45" s="659">
        <v>549.1</v>
      </c>
      <c r="EY45" s="659">
        <v>566.9</v>
      </c>
      <c r="EZ45" s="783">
        <v>592.29999999999995</v>
      </c>
      <c r="FA45" s="659">
        <v>655.4</v>
      </c>
      <c r="FB45" s="659">
        <v>673.8</v>
      </c>
      <c r="FC45" s="659">
        <v>679.9</v>
      </c>
      <c r="FD45" s="659">
        <v>690.3</v>
      </c>
      <c r="FE45" s="659">
        <v>704.1</v>
      </c>
      <c r="FF45" s="659">
        <v>710.7</v>
      </c>
      <c r="FG45" s="659">
        <v>729.7</v>
      </c>
      <c r="FH45" s="659">
        <v>745.9</v>
      </c>
      <c r="FI45" s="659">
        <v>746.3</v>
      </c>
      <c r="FJ45" s="659">
        <v>757.6</v>
      </c>
      <c r="FK45" s="897">
        <v>797.9</v>
      </c>
      <c r="FL45" s="783">
        <v>799.3</v>
      </c>
      <c r="FM45" s="659">
        <v>816.5</v>
      </c>
      <c r="FN45" s="659">
        <v>844.6</v>
      </c>
      <c r="FO45" s="659">
        <v>846.6</v>
      </c>
      <c r="FP45" s="659">
        <v>865.6</v>
      </c>
      <c r="FQ45" s="659">
        <v>872.2</v>
      </c>
      <c r="FR45" s="659">
        <v>881.6</v>
      </c>
      <c r="FS45" s="659">
        <v>932.3</v>
      </c>
      <c r="FT45" s="659">
        <v>948.2</v>
      </c>
      <c r="FU45" s="897">
        <v>957.8</v>
      </c>
      <c r="FV45" s="1167">
        <f t="shared" si="0"/>
        <v>1.0101244463193417</v>
      </c>
    </row>
    <row r="46" spans="1:178" s="112" customFormat="1" ht="25.5" customHeight="1" thickBot="1">
      <c r="A46" s="1543">
        <v>1</v>
      </c>
      <c r="B46" s="407">
        <v>21</v>
      </c>
      <c r="C46" s="636"/>
      <c r="D46" s="637" t="s">
        <v>937</v>
      </c>
      <c r="E46" s="636" t="s">
        <v>918</v>
      </c>
      <c r="F46" s="636"/>
      <c r="G46" s="1391" t="s">
        <v>64</v>
      </c>
      <c r="H46" s="636" t="s">
        <v>920</v>
      </c>
      <c r="I46" s="638" t="s">
        <v>740</v>
      </c>
      <c r="J46" s="1392"/>
      <c r="K46" s="670">
        <v>93.1</v>
      </c>
      <c r="L46" s="666">
        <v>94.5</v>
      </c>
      <c r="M46" s="639">
        <v>96.9</v>
      </c>
      <c r="N46" s="639">
        <v>105.4</v>
      </c>
      <c r="O46" s="639">
        <v>109.5</v>
      </c>
      <c r="P46" s="639">
        <v>118.9</v>
      </c>
      <c r="Q46" s="639">
        <v>124.1</v>
      </c>
      <c r="R46" s="639">
        <v>131.1</v>
      </c>
      <c r="S46" s="639">
        <v>132.69999999999999</v>
      </c>
      <c r="T46" s="639">
        <v>132.69999999999999</v>
      </c>
      <c r="U46" s="639">
        <v>132.69999999999999</v>
      </c>
      <c r="V46" s="639">
        <v>132.69999999999999</v>
      </c>
      <c r="W46" s="639">
        <v>133.30000000000001</v>
      </c>
      <c r="X46" s="639">
        <v>133.30000000000001</v>
      </c>
      <c r="Y46" s="639">
        <v>133.30000000000001</v>
      </c>
      <c r="Z46" s="639">
        <v>133.30000000000001</v>
      </c>
      <c r="AA46" s="639">
        <v>133.30000000000001</v>
      </c>
      <c r="AB46" s="639">
        <v>133.30000000000001</v>
      </c>
      <c r="AC46" s="639">
        <v>133.30000000000001</v>
      </c>
      <c r="AD46" s="639">
        <v>133.30000000000001</v>
      </c>
      <c r="AE46" s="639">
        <v>133.30000000000001</v>
      </c>
      <c r="AF46" s="639">
        <v>133.30000000000001</v>
      </c>
      <c r="AG46" s="639">
        <v>133.30000000000001</v>
      </c>
      <c r="AH46" s="639">
        <v>133.30000000000001</v>
      </c>
      <c r="AI46" s="765">
        <v>133.30000000000001</v>
      </c>
      <c r="AJ46" s="773">
        <v>136</v>
      </c>
      <c r="AK46" s="639">
        <v>133.30000000000001</v>
      </c>
      <c r="AL46" s="639">
        <v>136</v>
      </c>
      <c r="AM46" s="639">
        <v>136</v>
      </c>
      <c r="AN46" s="639">
        <v>136</v>
      </c>
      <c r="AO46" s="639">
        <v>142.4</v>
      </c>
      <c r="AP46" s="639">
        <v>142.4</v>
      </c>
      <c r="AQ46" s="639">
        <v>142.4</v>
      </c>
      <c r="AR46" s="639">
        <v>142.4</v>
      </c>
      <c r="AS46" s="639">
        <v>147</v>
      </c>
      <c r="AT46" s="639">
        <v>147</v>
      </c>
      <c r="AU46" s="765">
        <v>147</v>
      </c>
      <c r="AV46" s="768">
        <v>147</v>
      </c>
      <c r="AW46" s="640">
        <v>151.80000000000001</v>
      </c>
      <c r="AX46" s="640">
        <v>153.69999999999999</v>
      </c>
      <c r="AY46" s="640">
        <v>154.69999999999999</v>
      </c>
      <c r="AZ46" s="640">
        <v>157.4</v>
      </c>
      <c r="BA46" s="640">
        <v>157.4</v>
      </c>
      <c r="BB46" s="640">
        <v>157.4</v>
      </c>
      <c r="BC46" s="641">
        <v>157.4</v>
      </c>
      <c r="BD46" s="640">
        <v>158.9</v>
      </c>
      <c r="BE46" s="641">
        <v>160.30000000000001</v>
      </c>
      <c r="BF46" s="641">
        <v>160.30000000000001</v>
      </c>
      <c r="BG46" s="751">
        <v>164.5</v>
      </c>
      <c r="BH46" s="661">
        <v>168.5</v>
      </c>
      <c r="BI46" s="642">
        <v>168.5</v>
      </c>
      <c r="BJ46" s="642">
        <v>169.7</v>
      </c>
      <c r="BK46" s="642">
        <v>170.4</v>
      </c>
      <c r="BL46" s="642">
        <v>174.4</v>
      </c>
      <c r="BM46" s="642">
        <v>174.4</v>
      </c>
      <c r="BN46" s="642">
        <v>175.9</v>
      </c>
      <c r="BO46" s="642">
        <v>176.7</v>
      </c>
      <c r="BP46" s="642">
        <v>176.7</v>
      </c>
      <c r="BQ46" s="642">
        <v>176.7</v>
      </c>
      <c r="BR46" s="642">
        <v>177</v>
      </c>
      <c r="BS46" s="736">
        <v>177</v>
      </c>
      <c r="BT46" s="661">
        <v>177</v>
      </c>
      <c r="BU46" s="642">
        <v>177</v>
      </c>
      <c r="BV46" s="642">
        <v>177.8</v>
      </c>
      <c r="BW46" s="642">
        <v>181</v>
      </c>
      <c r="BX46" s="642">
        <v>185.1</v>
      </c>
      <c r="BY46" s="642">
        <v>195.2</v>
      </c>
      <c r="BZ46" s="642">
        <v>195.2</v>
      </c>
      <c r="CA46" s="642">
        <v>198.7</v>
      </c>
      <c r="CB46" s="642">
        <v>200.8</v>
      </c>
      <c r="CC46" s="642">
        <v>202.7</v>
      </c>
      <c r="CD46" s="642">
        <v>204.5</v>
      </c>
      <c r="CE46" s="736">
        <v>205.3</v>
      </c>
      <c r="CF46" s="661">
        <v>209</v>
      </c>
      <c r="CG46" s="642">
        <v>213.1</v>
      </c>
      <c r="CH46" s="642">
        <v>209.6</v>
      </c>
      <c r="CI46" s="642">
        <v>213.9</v>
      </c>
      <c r="CJ46" s="642">
        <v>218.7</v>
      </c>
      <c r="CK46" s="642">
        <v>222.6</v>
      </c>
      <c r="CL46" s="642">
        <v>227</v>
      </c>
      <c r="CM46" s="642">
        <v>227</v>
      </c>
      <c r="CN46" s="642">
        <v>227</v>
      </c>
      <c r="CO46" s="642">
        <v>227</v>
      </c>
      <c r="CP46" s="642">
        <v>226.5</v>
      </c>
      <c r="CQ46" s="736">
        <v>226.5</v>
      </c>
      <c r="CR46" s="661">
        <v>226.5</v>
      </c>
      <c r="CS46" s="642">
        <v>227.7</v>
      </c>
      <c r="CT46" s="642">
        <v>230.4</v>
      </c>
      <c r="CU46" s="642">
        <v>231.7</v>
      </c>
      <c r="CV46" s="642">
        <v>231.7</v>
      </c>
      <c r="CW46" s="642">
        <v>233.2</v>
      </c>
      <c r="CX46" s="642">
        <v>233.2</v>
      </c>
      <c r="CY46" s="642">
        <v>234.5</v>
      </c>
      <c r="CZ46" s="642">
        <v>235.9</v>
      </c>
      <c r="DA46" s="642">
        <v>236.1</v>
      </c>
      <c r="DB46" s="726">
        <v>237.6</v>
      </c>
      <c r="DC46" s="736">
        <v>239</v>
      </c>
      <c r="DD46" s="784">
        <v>241</v>
      </c>
      <c r="DE46" s="642">
        <v>241</v>
      </c>
      <c r="DF46" s="726">
        <v>243.6</v>
      </c>
      <c r="DG46" s="736">
        <v>243.6</v>
      </c>
      <c r="DH46" s="642">
        <v>243.6</v>
      </c>
      <c r="DI46" s="642">
        <v>242.1</v>
      </c>
      <c r="DJ46" s="642">
        <v>244.3</v>
      </c>
      <c r="DK46" s="736">
        <v>243.5</v>
      </c>
      <c r="DL46" s="642">
        <v>243.5</v>
      </c>
      <c r="DM46" s="726">
        <v>244.7</v>
      </c>
      <c r="DN46" s="736">
        <v>244.7</v>
      </c>
      <c r="DO46" s="901">
        <v>244.7</v>
      </c>
      <c r="DP46" s="784">
        <v>244.7</v>
      </c>
      <c r="DQ46" s="736">
        <v>246.3</v>
      </c>
      <c r="DR46" s="736">
        <v>246.3</v>
      </c>
      <c r="DS46" s="736">
        <v>246.3</v>
      </c>
      <c r="DT46" s="642">
        <v>226.6</v>
      </c>
      <c r="DU46" s="726">
        <v>226.6</v>
      </c>
      <c r="DV46" s="736">
        <v>226.6</v>
      </c>
      <c r="DW46" s="736">
        <v>228.9</v>
      </c>
      <c r="DX46" s="736">
        <v>228.9</v>
      </c>
      <c r="DY46" s="736">
        <v>232.9</v>
      </c>
      <c r="DZ46" s="736">
        <v>232.9</v>
      </c>
      <c r="EA46" s="901">
        <v>233.7</v>
      </c>
      <c r="EB46" s="736">
        <v>240.7</v>
      </c>
      <c r="EC46" s="736">
        <v>244.7</v>
      </c>
      <c r="ED46" s="736">
        <v>244.7</v>
      </c>
      <c r="EE46" s="736">
        <v>246.2</v>
      </c>
      <c r="EF46" s="736">
        <v>246.2</v>
      </c>
      <c r="EG46" s="736">
        <v>247.5</v>
      </c>
      <c r="EH46" s="736">
        <v>247.4</v>
      </c>
      <c r="EI46" s="736">
        <v>247.4</v>
      </c>
      <c r="EJ46" s="736">
        <v>251.9</v>
      </c>
      <c r="EK46" s="642">
        <v>251.9</v>
      </c>
      <c r="EL46" s="726">
        <v>260.3</v>
      </c>
      <c r="EM46" s="736">
        <v>260.3</v>
      </c>
      <c r="EN46" s="784">
        <v>260.3</v>
      </c>
      <c r="EO46" s="736">
        <v>261.3</v>
      </c>
      <c r="EP46" s="736">
        <v>261.3</v>
      </c>
      <c r="EQ46" s="736">
        <v>269.8</v>
      </c>
      <c r="ER46" s="736">
        <v>269.8</v>
      </c>
      <c r="ES46" s="736">
        <v>269.8</v>
      </c>
      <c r="ET46" s="736">
        <v>269.8</v>
      </c>
      <c r="EU46" s="736">
        <v>269.8</v>
      </c>
      <c r="EV46" s="736">
        <v>269.8</v>
      </c>
      <c r="EW46" s="736">
        <v>274.60000000000002</v>
      </c>
      <c r="EX46" s="736">
        <v>275.8</v>
      </c>
      <c r="EY46" s="736">
        <v>275.8</v>
      </c>
      <c r="EZ46" s="784">
        <v>275.8</v>
      </c>
      <c r="FA46" s="736">
        <v>302.10000000000002</v>
      </c>
      <c r="FB46" s="736">
        <v>326.89999999999998</v>
      </c>
      <c r="FC46" s="736">
        <v>329.2</v>
      </c>
      <c r="FD46" s="736">
        <v>329.2</v>
      </c>
      <c r="FE46" s="642">
        <v>329.2</v>
      </c>
      <c r="FF46" s="736">
        <v>329.2</v>
      </c>
      <c r="FG46" s="736">
        <v>333.6</v>
      </c>
      <c r="FH46" s="736">
        <v>339</v>
      </c>
      <c r="FI46" s="736">
        <v>342.9</v>
      </c>
      <c r="FJ46" s="736">
        <v>346.7</v>
      </c>
      <c r="FK46" s="901">
        <v>354.8</v>
      </c>
      <c r="FL46" s="784">
        <v>356.2</v>
      </c>
      <c r="FM46" s="736">
        <v>357.6</v>
      </c>
      <c r="FN46" s="736">
        <v>357.3</v>
      </c>
      <c r="FO46" s="736">
        <v>360.5</v>
      </c>
      <c r="FP46" s="736">
        <v>368.6</v>
      </c>
      <c r="FQ46" s="736">
        <v>371.2</v>
      </c>
      <c r="FR46" s="736">
        <v>379.7</v>
      </c>
      <c r="FS46" s="736">
        <v>383.5</v>
      </c>
      <c r="FT46" s="736">
        <v>389.1</v>
      </c>
      <c r="FU46" s="901">
        <v>392</v>
      </c>
      <c r="FV46" s="1167">
        <f t="shared" si="0"/>
        <v>1.0074530968902595</v>
      </c>
    </row>
    <row r="47" spans="1:178" s="112" customFormat="1" ht="20.25" customHeight="1">
      <c r="A47" s="1543">
        <v>1</v>
      </c>
      <c r="B47" s="613">
        <v>22</v>
      </c>
      <c r="C47" s="614" t="s">
        <v>938</v>
      </c>
      <c r="D47" s="615" t="s">
        <v>939</v>
      </c>
      <c r="E47" s="614" t="s">
        <v>918</v>
      </c>
      <c r="F47" s="615"/>
      <c r="G47" s="614" t="s">
        <v>919</v>
      </c>
      <c r="H47" s="614" t="s">
        <v>920</v>
      </c>
      <c r="I47" s="647" t="s">
        <v>940</v>
      </c>
      <c r="J47" s="652"/>
      <c r="K47" s="1521">
        <v>106.09</v>
      </c>
      <c r="L47" s="1522">
        <v>124.34</v>
      </c>
      <c r="M47" s="1018">
        <v>142.5</v>
      </c>
      <c r="N47" s="1018">
        <v>154.29</v>
      </c>
      <c r="O47" s="1018">
        <v>197.07</v>
      </c>
      <c r="P47" s="1018">
        <v>210.03</v>
      </c>
      <c r="Q47" s="1018">
        <v>264.73</v>
      </c>
      <c r="R47" s="1018">
        <v>277.89</v>
      </c>
      <c r="S47" s="1018">
        <v>277.89</v>
      </c>
      <c r="T47" s="1018">
        <v>277.89</v>
      </c>
      <c r="U47" s="1018">
        <v>277.89</v>
      </c>
      <c r="V47" s="1018">
        <v>277.89</v>
      </c>
      <c r="W47" s="1018">
        <v>277.89</v>
      </c>
      <c r="X47" s="1018">
        <v>277.89</v>
      </c>
      <c r="Y47" s="1018">
        <v>277.89</v>
      </c>
      <c r="Z47" s="1018">
        <v>294.33</v>
      </c>
      <c r="AA47" s="1018">
        <v>294.33</v>
      </c>
      <c r="AB47" s="1018">
        <v>294.33</v>
      </c>
      <c r="AC47" s="1018">
        <v>294.33</v>
      </c>
      <c r="AD47" s="1018">
        <v>294.33</v>
      </c>
      <c r="AE47" s="1018">
        <v>294.33</v>
      </c>
      <c r="AF47" s="1018">
        <v>294.33</v>
      </c>
      <c r="AG47" s="1018">
        <v>294.33</v>
      </c>
      <c r="AH47" s="1018">
        <v>306.10000000000002</v>
      </c>
      <c r="AI47" s="1019">
        <v>306.10000000000002</v>
      </c>
      <c r="AJ47" s="1523">
        <v>316.94</v>
      </c>
      <c r="AK47" s="1018">
        <v>331.09</v>
      </c>
      <c r="AL47" s="1018">
        <v>355.43</v>
      </c>
      <c r="AM47" s="1018">
        <v>361.65</v>
      </c>
      <c r="AN47" s="1018">
        <v>392.83</v>
      </c>
      <c r="AO47" s="1018">
        <v>437.42</v>
      </c>
      <c r="AP47" s="1018">
        <v>437.42</v>
      </c>
      <c r="AQ47" s="1018">
        <v>437.42</v>
      </c>
      <c r="AR47" s="1018">
        <v>437.42</v>
      </c>
      <c r="AS47" s="1018">
        <v>437.42</v>
      </c>
      <c r="AT47" s="1018">
        <v>464.03</v>
      </c>
      <c r="AU47" s="1019">
        <v>464.03</v>
      </c>
      <c r="AV47" s="1021">
        <v>464.03</v>
      </c>
      <c r="AW47" s="1022">
        <v>464.03</v>
      </c>
      <c r="AX47" s="1022">
        <v>464.03</v>
      </c>
      <c r="AY47" s="1022">
        <v>464.03</v>
      </c>
      <c r="AZ47" s="1022">
        <v>464.03</v>
      </c>
      <c r="BA47" s="1022">
        <v>464.03</v>
      </c>
      <c r="BB47" s="1022">
        <v>464.03</v>
      </c>
      <c r="BC47" s="1023">
        <v>464.03</v>
      </c>
      <c r="BD47" s="1022">
        <v>464.03</v>
      </c>
      <c r="BE47" s="1023">
        <v>464.03</v>
      </c>
      <c r="BF47" s="1023">
        <v>464.03</v>
      </c>
      <c r="BG47" s="1524">
        <v>464.03</v>
      </c>
      <c r="BH47" s="1025">
        <v>464.03</v>
      </c>
      <c r="BI47" s="643">
        <v>464.03</v>
      </c>
      <c r="BJ47" s="643">
        <v>475.1</v>
      </c>
      <c r="BK47" s="643">
        <v>475.1</v>
      </c>
      <c r="BL47" s="643">
        <v>475.1</v>
      </c>
      <c r="BM47" s="643">
        <v>475.1</v>
      </c>
      <c r="BN47" s="643">
        <v>475.1</v>
      </c>
      <c r="BO47" s="643">
        <v>475.1</v>
      </c>
      <c r="BP47" s="643">
        <v>475.1</v>
      </c>
      <c r="BQ47" s="643">
        <v>475.1</v>
      </c>
      <c r="BR47" s="643">
        <v>475.1</v>
      </c>
      <c r="BS47" s="906">
        <v>475.1</v>
      </c>
      <c r="BT47" s="1025">
        <v>482.09</v>
      </c>
      <c r="BU47" s="643">
        <v>482.09</v>
      </c>
      <c r="BV47" s="643">
        <v>496.86</v>
      </c>
      <c r="BW47" s="643">
        <v>504.01</v>
      </c>
      <c r="BX47" s="643">
        <v>504.01</v>
      </c>
      <c r="BY47" s="643">
        <v>504.01</v>
      </c>
      <c r="BZ47" s="643">
        <v>505.12</v>
      </c>
      <c r="CA47" s="643">
        <v>505.12</v>
      </c>
      <c r="CB47" s="643">
        <v>520.69000000000005</v>
      </c>
      <c r="CC47" s="643">
        <v>520.69000000000005</v>
      </c>
      <c r="CD47" s="643">
        <v>538.91999999999996</v>
      </c>
      <c r="CE47" s="906">
        <v>544.42999999999995</v>
      </c>
      <c r="CF47" s="1025">
        <v>565.69000000000005</v>
      </c>
      <c r="CG47" s="643">
        <v>588.29</v>
      </c>
      <c r="CH47" s="643">
        <v>592.28</v>
      </c>
      <c r="CI47" s="643">
        <v>626.20000000000005</v>
      </c>
      <c r="CJ47" s="643">
        <v>626.21</v>
      </c>
      <c r="CK47" s="643">
        <v>661.3</v>
      </c>
      <c r="CL47" s="643">
        <v>712.56</v>
      </c>
      <c r="CM47" s="643">
        <v>714.64</v>
      </c>
      <c r="CN47" s="643">
        <v>745.42</v>
      </c>
      <c r="CO47" s="643">
        <v>745.42</v>
      </c>
      <c r="CP47" s="643">
        <v>744.74</v>
      </c>
      <c r="CQ47" s="906">
        <v>728.8</v>
      </c>
      <c r="CR47" s="1025">
        <v>728.8</v>
      </c>
      <c r="CS47" s="643">
        <v>739.62</v>
      </c>
      <c r="CT47" s="643">
        <v>735.1</v>
      </c>
      <c r="CU47" s="643">
        <v>736.76</v>
      </c>
      <c r="CV47" s="643">
        <v>752.11</v>
      </c>
      <c r="CW47" s="643">
        <v>754.93</v>
      </c>
      <c r="CX47" s="643">
        <v>754.28</v>
      </c>
      <c r="CY47" s="643">
        <v>759.17</v>
      </c>
      <c r="CZ47" s="643">
        <v>759.17</v>
      </c>
      <c r="DA47" s="643">
        <v>778.37</v>
      </c>
      <c r="DB47" s="966">
        <v>778.37</v>
      </c>
      <c r="DC47" s="906">
        <v>780.93</v>
      </c>
      <c r="DD47" s="1013">
        <v>780.93</v>
      </c>
      <c r="DE47" s="643">
        <v>793.03</v>
      </c>
      <c r="DF47" s="966">
        <v>793.03</v>
      </c>
      <c r="DG47" s="906">
        <v>793.03</v>
      </c>
      <c r="DH47" s="643">
        <v>826.58</v>
      </c>
      <c r="DI47" s="643">
        <v>844.42</v>
      </c>
      <c r="DJ47" s="643">
        <v>844.42</v>
      </c>
      <c r="DK47" s="906">
        <v>863.41</v>
      </c>
      <c r="DL47" s="643">
        <v>869.88</v>
      </c>
      <c r="DM47" s="966">
        <v>876.14</v>
      </c>
      <c r="DN47" s="906">
        <v>891.19</v>
      </c>
      <c r="DO47" s="899">
        <v>885.98</v>
      </c>
      <c r="DP47" s="1013">
        <v>886.93</v>
      </c>
      <c r="DQ47" s="906">
        <v>886.93</v>
      </c>
      <c r="DR47" s="906">
        <v>886.93</v>
      </c>
      <c r="DS47" s="906">
        <v>909.48</v>
      </c>
      <c r="DT47" s="643">
        <v>924.22</v>
      </c>
      <c r="DU47" s="966">
        <v>936.45</v>
      </c>
      <c r="DV47" s="906">
        <v>936.45</v>
      </c>
      <c r="DW47" s="906">
        <v>942.45</v>
      </c>
      <c r="DX47" s="906">
        <v>942.45</v>
      </c>
      <c r="DY47" s="906">
        <v>942.45</v>
      </c>
      <c r="DZ47" s="906">
        <v>956.78</v>
      </c>
      <c r="EA47" s="899">
        <v>948.43</v>
      </c>
      <c r="EB47" s="906">
        <v>948.43</v>
      </c>
      <c r="EC47" s="906">
        <v>948.43</v>
      </c>
      <c r="ED47" s="906">
        <v>948.43</v>
      </c>
      <c r="EE47" s="906">
        <v>948.43</v>
      </c>
      <c r="EF47" s="906">
        <v>980.9</v>
      </c>
      <c r="EG47" s="906">
        <v>980.9</v>
      </c>
      <c r="EH47" s="906">
        <v>980.9</v>
      </c>
      <c r="EI47" s="906">
        <v>980.9</v>
      </c>
      <c r="EJ47" s="906">
        <v>994.53</v>
      </c>
      <c r="EK47" s="643">
        <v>994.53</v>
      </c>
      <c r="EL47" s="966">
        <v>1013.94</v>
      </c>
      <c r="EM47" s="906">
        <v>1019.71</v>
      </c>
      <c r="EN47" s="1013">
        <v>1019.71</v>
      </c>
      <c r="EO47" s="906">
        <v>1019.71</v>
      </c>
      <c r="EP47" s="906">
        <v>1019.71</v>
      </c>
      <c r="EQ47" s="906">
        <v>1047.19</v>
      </c>
      <c r="ER47" s="906">
        <v>1047.19</v>
      </c>
      <c r="ES47" s="906">
        <v>1081.33</v>
      </c>
      <c r="ET47" s="906">
        <v>1106.8599999999999</v>
      </c>
      <c r="EU47" s="906">
        <v>1106.8599999999999</v>
      </c>
      <c r="EV47" s="906">
        <v>1106.8599999999999</v>
      </c>
      <c r="EW47" s="906">
        <v>1106.8599999999999</v>
      </c>
      <c r="EX47" s="906">
        <v>1106.94</v>
      </c>
      <c r="EY47" s="906">
        <v>1151.3699999999999</v>
      </c>
      <c r="EZ47" s="1013">
        <v>1259.42</v>
      </c>
      <c r="FA47" s="906">
        <v>1281.0999999999999</v>
      </c>
      <c r="FB47" s="906">
        <v>1299.0999999999999</v>
      </c>
      <c r="FC47" s="906">
        <v>1369.47</v>
      </c>
      <c r="FD47" s="906">
        <v>1401.2</v>
      </c>
      <c r="FE47" s="906">
        <v>1388.24</v>
      </c>
      <c r="FF47" s="906">
        <v>1415.62</v>
      </c>
      <c r="FG47" s="906">
        <v>1495.33</v>
      </c>
      <c r="FH47" s="906">
        <v>1511.2</v>
      </c>
      <c r="FI47" s="906">
        <v>1508.96</v>
      </c>
      <c r="FJ47" s="906">
        <v>1513.22</v>
      </c>
      <c r="FK47" s="899">
        <v>1517.79</v>
      </c>
      <c r="FL47" s="1013">
        <v>1498.33</v>
      </c>
      <c r="FM47" s="906">
        <v>1540.36</v>
      </c>
      <c r="FN47" s="906">
        <v>1597.43</v>
      </c>
      <c r="FO47" s="906">
        <v>1622.3</v>
      </c>
      <c r="FP47" s="906">
        <v>1646.16</v>
      </c>
      <c r="FQ47" s="906">
        <v>1656.42</v>
      </c>
      <c r="FR47" s="906">
        <v>1669.6</v>
      </c>
      <c r="FS47" s="906">
        <v>1697.65</v>
      </c>
      <c r="FT47" s="906">
        <v>1729.86</v>
      </c>
      <c r="FU47" s="899">
        <v>1759.22</v>
      </c>
      <c r="FV47" s="1167">
        <f t="shared" si="0"/>
        <v>1.0169724717607207</v>
      </c>
    </row>
    <row r="48" spans="1:178" s="112" customFormat="1" ht="32.25" customHeight="1">
      <c r="A48" s="1543">
        <v>1</v>
      </c>
      <c r="B48" s="408">
        <v>23</v>
      </c>
      <c r="C48" s="621" t="s">
        <v>6</v>
      </c>
      <c r="D48" s="622" t="s">
        <v>7</v>
      </c>
      <c r="E48" s="621" t="s">
        <v>918</v>
      </c>
      <c r="F48" s="622"/>
      <c r="G48" s="621" t="s">
        <v>919</v>
      </c>
      <c r="H48" s="621" t="s">
        <v>930</v>
      </c>
      <c r="I48" s="390" t="s">
        <v>739</v>
      </c>
      <c r="J48" s="674" t="s">
        <v>128</v>
      </c>
      <c r="K48" s="669">
        <v>103.27</v>
      </c>
      <c r="L48" s="665">
        <v>103.27</v>
      </c>
      <c r="M48" s="625">
        <v>106.65</v>
      </c>
      <c r="N48" s="625">
        <v>103.88</v>
      </c>
      <c r="O48" s="625">
        <v>102.94</v>
      </c>
      <c r="P48" s="625">
        <v>106.18</v>
      </c>
      <c r="Q48" s="625">
        <v>109.3</v>
      </c>
      <c r="R48" s="625">
        <v>120.59</v>
      </c>
      <c r="S48" s="625">
        <v>120.59</v>
      </c>
      <c r="T48" s="625">
        <v>130.51</v>
      </c>
      <c r="U48" s="625">
        <v>136.68</v>
      </c>
      <c r="V48" s="625">
        <v>142.56</v>
      </c>
      <c r="W48" s="625">
        <v>147.9</v>
      </c>
      <c r="X48" s="625">
        <v>147.16999999999999</v>
      </c>
      <c r="Y48" s="625">
        <v>157.47</v>
      </c>
      <c r="Z48" s="625">
        <v>162.65</v>
      </c>
      <c r="AA48" s="625">
        <v>165.16</v>
      </c>
      <c r="AB48" s="625">
        <v>177.31</v>
      </c>
      <c r="AC48" s="625">
        <v>188.56</v>
      </c>
      <c r="AD48" s="625">
        <v>190.21</v>
      </c>
      <c r="AE48" s="625">
        <v>185.12</v>
      </c>
      <c r="AF48" s="625">
        <v>199.92</v>
      </c>
      <c r="AG48" s="625">
        <v>206.98</v>
      </c>
      <c r="AH48" s="625">
        <v>217.91</v>
      </c>
      <c r="AI48" s="764">
        <v>224.17</v>
      </c>
      <c r="AJ48" s="772">
        <v>224.17</v>
      </c>
      <c r="AK48" s="625">
        <v>225.11</v>
      </c>
      <c r="AL48" s="625">
        <v>223.11</v>
      </c>
      <c r="AM48" s="625">
        <v>225.18</v>
      </c>
      <c r="AN48" s="625">
        <v>229.53</v>
      </c>
      <c r="AO48" s="625">
        <v>227.69</v>
      </c>
      <c r="AP48" s="625">
        <v>229.09</v>
      </c>
      <c r="AQ48" s="625">
        <v>231.6</v>
      </c>
      <c r="AR48" s="625">
        <v>249.43</v>
      </c>
      <c r="AS48" s="625">
        <v>282.02999999999997</v>
      </c>
      <c r="AT48" s="625">
        <v>284.05</v>
      </c>
      <c r="AU48" s="764">
        <v>284.07</v>
      </c>
      <c r="AV48" s="752">
        <v>287.05</v>
      </c>
      <c r="AW48" s="626">
        <v>291.5</v>
      </c>
      <c r="AX48" s="626">
        <v>292.60000000000002</v>
      </c>
      <c r="AY48" s="626">
        <v>292.60000000000002</v>
      </c>
      <c r="AZ48" s="626">
        <v>292.60000000000002</v>
      </c>
      <c r="BA48" s="626">
        <v>292.58</v>
      </c>
      <c r="BB48" s="626">
        <v>293.68</v>
      </c>
      <c r="BC48" s="627">
        <v>293.68</v>
      </c>
      <c r="BD48" s="626">
        <v>298.39999999999998</v>
      </c>
      <c r="BE48" s="627">
        <v>323.14999999999998</v>
      </c>
      <c r="BF48" s="627">
        <v>324.56</v>
      </c>
      <c r="BG48" s="738">
        <v>323.04000000000002</v>
      </c>
      <c r="BH48" s="660">
        <v>327.35000000000002</v>
      </c>
      <c r="BI48" s="623">
        <v>328.88</v>
      </c>
      <c r="BJ48" s="623">
        <v>330.03</v>
      </c>
      <c r="BK48" s="623">
        <v>330.03</v>
      </c>
      <c r="BL48" s="623">
        <v>331.86</v>
      </c>
      <c r="BM48" s="623">
        <v>334.12</v>
      </c>
      <c r="BN48" s="623">
        <v>334.12</v>
      </c>
      <c r="BO48" s="623">
        <v>334.12</v>
      </c>
      <c r="BP48" s="623">
        <v>335.06</v>
      </c>
      <c r="BQ48" s="623">
        <v>336.16</v>
      </c>
      <c r="BR48" s="623">
        <v>337.08</v>
      </c>
      <c r="BS48" s="659">
        <v>337.1</v>
      </c>
      <c r="BT48" s="660">
        <v>348.07</v>
      </c>
      <c r="BU48" s="623">
        <v>356.23</v>
      </c>
      <c r="BV48" s="623">
        <v>358.05</v>
      </c>
      <c r="BW48" s="623">
        <v>358.05</v>
      </c>
      <c r="BX48" s="623">
        <v>360.03</v>
      </c>
      <c r="BY48" s="623">
        <v>365.37</v>
      </c>
      <c r="BZ48" s="623">
        <v>362.57</v>
      </c>
      <c r="CA48" s="623">
        <v>375.39</v>
      </c>
      <c r="CB48" s="623">
        <v>402.53</v>
      </c>
      <c r="CC48" s="623">
        <v>404.52</v>
      </c>
      <c r="CD48" s="623">
        <v>408.77</v>
      </c>
      <c r="CE48" s="659">
        <v>421.85</v>
      </c>
      <c r="CF48" s="660">
        <v>423.08</v>
      </c>
      <c r="CG48" s="623">
        <v>426.42</v>
      </c>
      <c r="CH48" s="623">
        <v>428.98</v>
      </c>
      <c r="CI48" s="623">
        <v>428.98</v>
      </c>
      <c r="CJ48" s="623">
        <v>434.9</v>
      </c>
      <c r="CK48" s="623">
        <v>452.11</v>
      </c>
      <c r="CL48" s="623">
        <v>449.55</v>
      </c>
      <c r="CM48" s="623">
        <v>455.46</v>
      </c>
      <c r="CN48" s="623">
        <v>450.32</v>
      </c>
      <c r="CO48" s="623">
        <v>455.45</v>
      </c>
      <c r="CP48" s="623">
        <v>455.45</v>
      </c>
      <c r="CQ48" s="659">
        <v>455.46</v>
      </c>
      <c r="CR48" s="660">
        <v>473.28</v>
      </c>
      <c r="CS48" s="623">
        <v>477.85</v>
      </c>
      <c r="CT48" s="623">
        <v>477.85</v>
      </c>
      <c r="CU48" s="623">
        <v>477.86</v>
      </c>
      <c r="CV48" s="623">
        <v>479.15</v>
      </c>
      <c r="CW48" s="623">
        <v>481.71</v>
      </c>
      <c r="CX48" s="623">
        <v>485.05</v>
      </c>
      <c r="CY48" s="623">
        <v>487.62</v>
      </c>
      <c r="CZ48" s="623">
        <v>490.95</v>
      </c>
      <c r="DA48" s="623">
        <v>494.62</v>
      </c>
      <c r="DB48" s="725">
        <v>500.53</v>
      </c>
      <c r="DC48" s="659">
        <v>503.87</v>
      </c>
      <c r="DD48" s="783">
        <v>506.43</v>
      </c>
      <c r="DE48" s="623">
        <v>511.61</v>
      </c>
      <c r="DF48" s="725">
        <v>511.61</v>
      </c>
      <c r="DG48" s="659">
        <v>517.52</v>
      </c>
      <c r="DH48" s="623">
        <v>523.4</v>
      </c>
      <c r="DI48" s="623">
        <v>531.24</v>
      </c>
      <c r="DJ48" s="623">
        <v>526.44000000000005</v>
      </c>
      <c r="DK48" s="659">
        <v>529.78</v>
      </c>
      <c r="DL48" s="623">
        <v>538.08000000000004</v>
      </c>
      <c r="DM48" s="659">
        <v>543.03</v>
      </c>
      <c r="DN48" s="659">
        <v>554.79</v>
      </c>
      <c r="DO48" s="897">
        <v>554.77</v>
      </c>
      <c r="DP48" s="783">
        <v>564.36</v>
      </c>
      <c r="DQ48" s="659">
        <v>570.04999999999995</v>
      </c>
      <c r="DR48" s="659">
        <v>572.54999999999995</v>
      </c>
      <c r="DS48" s="659">
        <v>580.92999999999995</v>
      </c>
      <c r="DT48" s="623">
        <v>596.22</v>
      </c>
      <c r="DU48" s="725">
        <v>618.82000000000005</v>
      </c>
      <c r="DV48" s="659">
        <v>622.23</v>
      </c>
      <c r="DW48" s="659">
        <v>628.28</v>
      </c>
      <c r="DX48" s="659">
        <v>636.62</v>
      </c>
      <c r="DY48" s="659">
        <v>642.88</v>
      </c>
      <c r="DZ48" s="659">
        <v>646.86</v>
      </c>
      <c r="EA48" s="897">
        <v>654.12</v>
      </c>
      <c r="EB48" s="659">
        <v>655.77</v>
      </c>
      <c r="EC48" s="659">
        <v>680.17</v>
      </c>
      <c r="ED48" s="659">
        <v>684.27</v>
      </c>
      <c r="EE48" s="659">
        <v>686.71</v>
      </c>
      <c r="EF48" s="659">
        <v>695.35</v>
      </c>
      <c r="EG48" s="659">
        <v>745.22</v>
      </c>
      <c r="EH48" s="659">
        <v>750.07</v>
      </c>
      <c r="EI48" s="659">
        <v>761.14</v>
      </c>
      <c r="EJ48" s="659">
        <v>774.69</v>
      </c>
      <c r="EK48" s="623">
        <v>781.79</v>
      </c>
      <c r="EL48" s="725">
        <v>824.67</v>
      </c>
      <c r="EM48" s="659">
        <v>834.57</v>
      </c>
      <c r="EN48" s="783">
        <v>834.57</v>
      </c>
      <c r="EO48" s="659">
        <v>844.61</v>
      </c>
      <c r="EP48" s="659">
        <v>849.67</v>
      </c>
      <c r="EQ48" s="659">
        <v>856.05</v>
      </c>
      <c r="ER48" s="659">
        <v>865.71</v>
      </c>
      <c r="ES48" s="659">
        <v>876.2</v>
      </c>
      <c r="ET48" s="659">
        <v>913.87</v>
      </c>
      <c r="EU48" s="659">
        <v>923.19</v>
      </c>
      <c r="EV48" s="659">
        <v>918.96</v>
      </c>
      <c r="EW48" s="659">
        <v>918.96</v>
      </c>
      <c r="EX48" s="659">
        <v>909.78</v>
      </c>
      <c r="EY48" s="659">
        <v>917.26</v>
      </c>
      <c r="EZ48" s="783">
        <v>963.58</v>
      </c>
      <c r="FA48" s="659">
        <v>1012.37</v>
      </c>
      <c r="FB48" s="659">
        <v>1005.73</v>
      </c>
      <c r="FC48" s="737">
        <v>1030.01</v>
      </c>
      <c r="FD48" s="737">
        <v>1054.9000000000001</v>
      </c>
      <c r="FE48" s="659">
        <v>1112.53</v>
      </c>
      <c r="FF48" s="659">
        <v>1134.54</v>
      </c>
      <c r="FG48" s="659">
        <v>1161.1300000000001</v>
      </c>
      <c r="FH48" s="659">
        <v>1178.1500000000001</v>
      </c>
      <c r="FI48" s="659">
        <v>1212.27</v>
      </c>
      <c r="FJ48" s="659">
        <v>1227.05</v>
      </c>
      <c r="FK48" s="897">
        <v>1251.24</v>
      </c>
      <c r="FL48" s="783">
        <v>1265.18</v>
      </c>
      <c r="FM48" s="659">
        <v>1283.19</v>
      </c>
      <c r="FN48" s="659">
        <v>1315.28</v>
      </c>
      <c r="FO48" s="659">
        <v>1330.76</v>
      </c>
      <c r="FP48" s="659">
        <v>1373.12</v>
      </c>
      <c r="FQ48" s="659">
        <v>1389.63</v>
      </c>
      <c r="FR48" s="659">
        <v>1462.57</v>
      </c>
      <c r="FS48" s="659">
        <v>1505.13</v>
      </c>
      <c r="FT48" s="659">
        <v>1516.38</v>
      </c>
      <c r="FU48" s="897">
        <v>1546.37</v>
      </c>
      <c r="FV48" s="1167">
        <f t="shared" si="0"/>
        <v>1.0197773645128527</v>
      </c>
    </row>
    <row r="49" spans="1:178" s="112" customFormat="1">
      <c r="A49" s="1543">
        <v>1</v>
      </c>
      <c r="B49" s="408">
        <v>24</v>
      </c>
      <c r="C49" s="621" t="s">
        <v>539</v>
      </c>
      <c r="D49" s="622" t="s">
        <v>8</v>
      </c>
      <c r="E49" s="621" t="s">
        <v>918</v>
      </c>
      <c r="F49" s="622"/>
      <c r="G49" s="621" t="s">
        <v>929</v>
      </c>
      <c r="H49" s="621" t="s">
        <v>930</v>
      </c>
      <c r="I49" s="390" t="s">
        <v>194</v>
      </c>
      <c r="J49" s="651"/>
      <c r="K49" s="669">
        <v>95.8</v>
      </c>
      <c r="L49" s="665">
        <v>117.6</v>
      </c>
      <c r="M49" s="625">
        <v>143.9</v>
      </c>
      <c r="N49" s="625">
        <v>162.4</v>
      </c>
      <c r="O49" s="625">
        <v>179.1</v>
      </c>
      <c r="P49" s="625">
        <v>186.1</v>
      </c>
      <c r="Q49" s="625">
        <v>195.6</v>
      </c>
      <c r="R49" s="625">
        <v>197.2</v>
      </c>
      <c r="S49" s="625">
        <v>202.3</v>
      </c>
      <c r="T49" s="625">
        <v>210.7</v>
      </c>
      <c r="U49" s="625">
        <v>212.9</v>
      </c>
      <c r="V49" s="625">
        <v>214.1</v>
      </c>
      <c r="W49" s="625">
        <v>213.1</v>
      </c>
      <c r="X49" s="625">
        <v>202.9</v>
      </c>
      <c r="Y49" s="625">
        <v>202.9</v>
      </c>
      <c r="Z49" s="625">
        <v>204.4</v>
      </c>
      <c r="AA49" s="625">
        <v>206.1</v>
      </c>
      <c r="AB49" s="625">
        <v>205.3</v>
      </c>
      <c r="AC49" s="625">
        <v>205</v>
      </c>
      <c r="AD49" s="625">
        <v>205.5</v>
      </c>
      <c r="AE49" s="625">
        <v>200.1</v>
      </c>
      <c r="AF49" s="625">
        <v>205.4</v>
      </c>
      <c r="AG49" s="625">
        <v>204.9</v>
      </c>
      <c r="AH49" s="625">
        <v>205.5</v>
      </c>
      <c r="AI49" s="764">
        <v>206.2</v>
      </c>
      <c r="AJ49" s="772">
        <v>205.3</v>
      </c>
      <c r="AK49" s="625">
        <v>214.5</v>
      </c>
      <c r="AL49" s="625">
        <v>218</v>
      </c>
      <c r="AM49" s="625">
        <v>219.2</v>
      </c>
      <c r="AN49" s="625">
        <v>221.5</v>
      </c>
      <c r="AO49" s="625">
        <v>221.5</v>
      </c>
      <c r="AP49" s="625">
        <v>212.4</v>
      </c>
      <c r="AQ49" s="625">
        <v>209.7</v>
      </c>
      <c r="AR49" s="625">
        <v>218.3</v>
      </c>
      <c r="AS49" s="625">
        <v>219.7</v>
      </c>
      <c r="AT49" s="625">
        <v>219.7</v>
      </c>
      <c r="AU49" s="764">
        <v>219.4</v>
      </c>
      <c r="AV49" s="752">
        <v>217.6</v>
      </c>
      <c r="AW49" s="626">
        <v>219.5</v>
      </c>
      <c r="AX49" s="626">
        <v>221.7</v>
      </c>
      <c r="AY49" s="626">
        <v>220.4</v>
      </c>
      <c r="AZ49" s="626">
        <v>221.9</v>
      </c>
      <c r="BA49" s="626">
        <v>221.9</v>
      </c>
      <c r="BB49" s="626">
        <v>222.6</v>
      </c>
      <c r="BC49" s="627">
        <v>226.8</v>
      </c>
      <c r="BD49" s="626">
        <v>226.7</v>
      </c>
      <c r="BE49" s="627">
        <v>226.7</v>
      </c>
      <c r="BF49" s="627">
        <v>235.7</v>
      </c>
      <c r="BG49" s="738">
        <v>238.9</v>
      </c>
      <c r="BH49" s="660">
        <v>240</v>
      </c>
      <c r="BI49" s="623">
        <v>241.9</v>
      </c>
      <c r="BJ49" s="623">
        <v>241.9</v>
      </c>
      <c r="BK49" s="623">
        <v>251.3</v>
      </c>
      <c r="BL49" s="623">
        <v>263.10000000000002</v>
      </c>
      <c r="BM49" s="623">
        <v>263.10000000000002</v>
      </c>
      <c r="BN49" s="623">
        <v>265.10000000000002</v>
      </c>
      <c r="BO49" s="623">
        <v>269.89999999999998</v>
      </c>
      <c r="BP49" s="623">
        <v>271.7</v>
      </c>
      <c r="BQ49" s="623">
        <v>275.7</v>
      </c>
      <c r="BR49" s="623">
        <v>276.60000000000002</v>
      </c>
      <c r="BS49" s="659">
        <v>275.8</v>
      </c>
      <c r="BT49" s="660">
        <v>275</v>
      </c>
      <c r="BU49" s="623">
        <v>273.8</v>
      </c>
      <c r="BV49" s="623">
        <v>274</v>
      </c>
      <c r="BW49" s="623">
        <v>275</v>
      </c>
      <c r="BX49" s="623">
        <v>281</v>
      </c>
      <c r="BY49" s="623">
        <v>282.5</v>
      </c>
      <c r="BZ49" s="623">
        <v>288.10000000000002</v>
      </c>
      <c r="CA49" s="623">
        <v>288</v>
      </c>
      <c r="CB49" s="623">
        <v>291.8</v>
      </c>
      <c r="CC49" s="623">
        <v>296.3</v>
      </c>
      <c r="CD49" s="623">
        <v>303.2</v>
      </c>
      <c r="CE49" s="659">
        <v>306.60000000000002</v>
      </c>
      <c r="CF49" s="660">
        <v>321</v>
      </c>
      <c r="CG49" s="623">
        <v>323</v>
      </c>
      <c r="CH49" s="623">
        <v>327.3</v>
      </c>
      <c r="CI49" s="623">
        <v>330.3</v>
      </c>
      <c r="CJ49" s="623">
        <v>344.8</v>
      </c>
      <c r="CK49" s="623">
        <v>347</v>
      </c>
      <c r="CL49" s="623">
        <v>351.7</v>
      </c>
      <c r="CM49" s="623">
        <v>364.2</v>
      </c>
      <c r="CN49" s="623">
        <v>364.2</v>
      </c>
      <c r="CO49" s="623">
        <v>364.2</v>
      </c>
      <c r="CP49" s="623">
        <v>376.7</v>
      </c>
      <c r="CQ49" s="659">
        <v>376.2</v>
      </c>
      <c r="CR49" s="660">
        <v>376</v>
      </c>
      <c r="CS49" s="623">
        <v>378.3</v>
      </c>
      <c r="CT49" s="623">
        <v>373.1</v>
      </c>
      <c r="CU49" s="623">
        <v>349.8</v>
      </c>
      <c r="CV49" s="623">
        <v>365.9</v>
      </c>
      <c r="CW49" s="623">
        <v>369.4</v>
      </c>
      <c r="CX49" s="623">
        <v>368.6</v>
      </c>
      <c r="CY49" s="623">
        <v>378.6</v>
      </c>
      <c r="CZ49" s="623">
        <v>379.7</v>
      </c>
      <c r="DA49" s="623">
        <v>379.2</v>
      </c>
      <c r="DB49" s="725">
        <v>400.1</v>
      </c>
      <c r="DC49" s="659">
        <v>402.9</v>
      </c>
      <c r="DD49" s="783">
        <v>393</v>
      </c>
      <c r="DE49" s="623">
        <v>414.6</v>
      </c>
      <c r="DF49" s="725">
        <v>416.3</v>
      </c>
      <c r="DG49" s="659">
        <v>424.7</v>
      </c>
      <c r="DH49" s="623">
        <v>416.3</v>
      </c>
      <c r="DI49" s="623">
        <v>427.7</v>
      </c>
      <c r="DJ49" s="623">
        <v>427.7</v>
      </c>
      <c r="DK49" s="659">
        <v>439.7</v>
      </c>
      <c r="DL49" s="623">
        <v>449.8</v>
      </c>
      <c r="DM49" s="659">
        <v>450.9</v>
      </c>
      <c r="DN49" s="659">
        <v>457.1</v>
      </c>
      <c r="DO49" s="897">
        <v>458.9</v>
      </c>
      <c r="DP49" s="783">
        <v>508.2</v>
      </c>
      <c r="DQ49" s="659">
        <v>523.9</v>
      </c>
      <c r="DR49" s="659">
        <v>527.5</v>
      </c>
      <c r="DS49" s="659">
        <v>529.79999999999995</v>
      </c>
      <c r="DT49" s="623">
        <v>541.79999999999995</v>
      </c>
      <c r="DU49" s="725">
        <v>550.1</v>
      </c>
      <c r="DV49" s="659">
        <v>581.4</v>
      </c>
      <c r="DW49" s="659">
        <v>585.5</v>
      </c>
      <c r="DX49" s="659">
        <v>599.79999999999995</v>
      </c>
      <c r="DY49" s="659">
        <v>564.9</v>
      </c>
      <c r="DZ49" s="659">
        <v>565.1</v>
      </c>
      <c r="EA49" s="897">
        <v>567.29999999999995</v>
      </c>
      <c r="EB49" s="659">
        <v>567.29999999999995</v>
      </c>
      <c r="EC49" s="659">
        <v>578.4</v>
      </c>
      <c r="ED49" s="659">
        <v>591.9</v>
      </c>
      <c r="EE49" s="659">
        <v>610.79999999999995</v>
      </c>
      <c r="EF49" s="659">
        <v>615.6</v>
      </c>
      <c r="EG49" s="659">
        <v>628.4</v>
      </c>
      <c r="EH49" s="659">
        <v>631.9</v>
      </c>
      <c r="EI49" s="659">
        <v>638.29999999999995</v>
      </c>
      <c r="EJ49" s="659">
        <v>641.6</v>
      </c>
      <c r="EK49" s="623">
        <v>646.4</v>
      </c>
      <c r="EL49" s="725">
        <v>649.6</v>
      </c>
      <c r="EM49" s="659">
        <v>649.79999999999995</v>
      </c>
      <c r="EN49" s="783">
        <v>669.4</v>
      </c>
      <c r="EO49" s="659">
        <v>674</v>
      </c>
      <c r="EP49" s="659">
        <v>678.5</v>
      </c>
      <c r="EQ49" s="659">
        <v>692.7</v>
      </c>
      <c r="ER49" s="659">
        <v>700</v>
      </c>
      <c r="ES49" s="659">
        <v>709.3</v>
      </c>
      <c r="ET49" s="659">
        <v>718.1</v>
      </c>
      <c r="EU49" s="659">
        <v>728.5</v>
      </c>
      <c r="EV49" s="659">
        <v>728.7</v>
      </c>
      <c r="EW49" s="659">
        <v>734.7</v>
      </c>
      <c r="EX49" s="659">
        <v>750.5</v>
      </c>
      <c r="EY49" s="659">
        <v>836.6</v>
      </c>
      <c r="EZ49" s="783">
        <v>994.7</v>
      </c>
      <c r="FA49" s="659">
        <v>1088.0999999999999</v>
      </c>
      <c r="FB49" s="659">
        <v>1193.0999999999999</v>
      </c>
      <c r="FC49" s="659">
        <v>1213.5999999999999</v>
      </c>
      <c r="FD49" s="659">
        <v>1374.9</v>
      </c>
      <c r="FE49" s="659">
        <v>1370.5</v>
      </c>
      <c r="FF49" s="659">
        <v>1410</v>
      </c>
      <c r="FG49" s="659">
        <v>1420.3</v>
      </c>
      <c r="FH49" s="659">
        <v>1444</v>
      </c>
      <c r="FI49" s="659">
        <v>1463.8</v>
      </c>
      <c r="FJ49" s="659">
        <v>1496.6</v>
      </c>
      <c r="FK49" s="897">
        <v>1545.2</v>
      </c>
      <c r="FL49" s="783">
        <v>1543.8</v>
      </c>
      <c r="FM49" s="659">
        <v>1543.8</v>
      </c>
      <c r="FN49" s="659">
        <v>1546.1</v>
      </c>
      <c r="FO49" s="659">
        <v>1586</v>
      </c>
      <c r="FP49" s="659">
        <v>1608.9</v>
      </c>
      <c r="FQ49" s="659">
        <v>1617.8</v>
      </c>
      <c r="FR49" s="659">
        <v>1668</v>
      </c>
      <c r="FS49" s="659">
        <v>1675.4</v>
      </c>
      <c r="FT49" s="659">
        <v>1679.2</v>
      </c>
      <c r="FU49" s="897">
        <v>1673.5</v>
      </c>
      <c r="FV49" s="1167">
        <f t="shared" si="0"/>
        <v>0.9966055264411624</v>
      </c>
    </row>
    <row r="50" spans="1:178" s="112" customFormat="1" ht="18" customHeight="1">
      <c r="A50" s="1543">
        <v>1</v>
      </c>
      <c r="B50" s="644">
        <v>25</v>
      </c>
      <c r="C50" s="645"/>
      <c r="D50" s="646" t="s">
        <v>9</v>
      </c>
      <c r="E50" s="645" t="s">
        <v>918</v>
      </c>
      <c r="F50" s="646"/>
      <c r="G50" s="632" t="s">
        <v>64</v>
      </c>
      <c r="H50" s="645" t="s">
        <v>920</v>
      </c>
      <c r="I50" s="876" t="s">
        <v>10</v>
      </c>
      <c r="J50" s="893"/>
      <c r="K50" s="877">
        <v>94</v>
      </c>
      <c r="L50" s="878">
        <v>97.2</v>
      </c>
      <c r="M50" s="879">
        <v>101.4</v>
      </c>
      <c r="N50" s="879">
        <v>111.4</v>
      </c>
      <c r="O50" s="879">
        <v>125.2</v>
      </c>
      <c r="P50" s="879">
        <v>130</v>
      </c>
      <c r="Q50" s="879">
        <v>130.6</v>
      </c>
      <c r="R50" s="879">
        <v>129.69999999999999</v>
      </c>
      <c r="S50" s="879">
        <v>132.6</v>
      </c>
      <c r="T50" s="879">
        <v>132.6</v>
      </c>
      <c r="U50" s="879">
        <v>132.9</v>
      </c>
      <c r="V50" s="879">
        <v>132.6</v>
      </c>
      <c r="W50" s="879">
        <v>132.80000000000001</v>
      </c>
      <c r="X50" s="879">
        <v>134.30000000000001</v>
      </c>
      <c r="Y50" s="879">
        <v>127.8</v>
      </c>
      <c r="Z50" s="879">
        <v>129.69999999999999</v>
      </c>
      <c r="AA50" s="879">
        <v>126.2</v>
      </c>
      <c r="AB50" s="879">
        <v>126.3</v>
      </c>
      <c r="AC50" s="879">
        <v>124.6</v>
      </c>
      <c r="AD50" s="879">
        <v>124.6</v>
      </c>
      <c r="AE50" s="879">
        <v>121.9</v>
      </c>
      <c r="AF50" s="879">
        <v>121.9</v>
      </c>
      <c r="AG50" s="879">
        <v>121.9</v>
      </c>
      <c r="AH50" s="879">
        <v>121.4</v>
      </c>
      <c r="AI50" s="880">
        <v>121.8</v>
      </c>
      <c r="AJ50" s="881">
        <v>123.1</v>
      </c>
      <c r="AK50" s="879">
        <v>126.5</v>
      </c>
      <c r="AL50" s="879">
        <v>130.1</v>
      </c>
      <c r="AM50" s="879">
        <v>134.5</v>
      </c>
      <c r="AN50" s="879">
        <v>138</v>
      </c>
      <c r="AO50" s="879">
        <v>140</v>
      </c>
      <c r="AP50" s="879">
        <v>140.9</v>
      </c>
      <c r="AQ50" s="879">
        <v>140.9</v>
      </c>
      <c r="AR50" s="879">
        <v>142.1</v>
      </c>
      <c r="AS50" s="879">
        <v>144.30000000000001</v>
      </c>
      <c r="AT50" s="879">
        <v>144.80000000000001</v>
      </c>
      <c r="AU50" s="880">
        <v>144.9</v>
      </c>
      <c r="AV50" s="882">
        <v>148.69999999999999</v>
      </c>
      <c r="AW50" s="883">
        <v>151.4</v>
      </c>
      <c r="AX50" s="883">
        <v>154.6</v>
      </c>
      <c r="AY50" s="883">
        <v>158.80000000000001</v>
      </c>
      <c r="AZ50" s="883">
        <v>161.5</v>
      </c>
      <c r="BA50" s="883">
        <v>162.6</v>
      </c>
      <c r="BB50" s="883">
        <v>163.1</v>
      </c>
      <c r="BC50" s="884">
        <v>163.6</v>
      </c>
      <c r="BD50" s="883">
        <v>163.9</v>
      </c>
      <c r="BE50" s="884">
        <v>164.4</v>
      </c>
      <c r="BF50" s="884">
        <v>166</v>
      </c>
      <c r="BG50" s="885">
        <v>166.1</v>
      </c>
      <c r="BH50" s="886">
        <v>166.7</v>
      </c>
      <c r="BI50" s="887">
        <v>168.1</v>
      </c>
      <c r="BJ50" s="887">
        <v>173</v>
      </c>
      <c r="BK50" s="887">
        <v>175.2</v>
      </c>
      <c r="BL50" s="887">
        <v>178.4</v>
      </c>
      <c r="BM50" s="887">
        <v>178.4</v>
      </c>
      <c r="BN50" s="887">
        <v>177.3</v>
      </c>
      <c r="BO50" s="887">
        <v>178.3</v>
      </c>
      <c r="BP50" s="887">
        <v>181.5</v>
      </c>
      <c r="BQ50" s="887">
        <v>181.6</v>
      </c>
      <c r="BR50" s="887">
        <v>181.8</v>
      </c>
      <c r="BS50" s="888">
        <v>182.1</v>
      </c>
      <c r="BT50" s="886">
        <v>184</v>
      </c>
      <c r="BU50" s="887">
        <v>186.2</v>
      </c>
      <c r="BV50" s="887">
        <v>187.1</v>
      </c>
      <c r="BW50" s="887">
        <v>187.1</v>
      </c>
      <c r="BX50" s="887">
        <v>193.2</v>
      </c>
      <c r="BY50" s="887">
        <v>192.7</v>
      </c>
      <c r="BZ50" s="887">
        <v>199.5</v>
      </c>
      <c r="CA50" s="887">
        <v>204.3</v>
      </c>
      <c r="CB50" s="887">
        <v>204.7</v>
      </c>
      <c r="CC50" s="887">
        <v>204.8</v>
      </c>
      <c r="CD50" s="887">
        <v>209.6</v>
      </c>
      <c r="CE50" s="888">
        <v>210.2</v>
      </c>
      <c r="CF50" s="886">
        <v>210.4</v>
      </c>
      <c r="CG50" s="887">
        <v>216</v>
      </c>
      <c r="CH50" s="887">
        <v>220.3</v>
      </c>
      <c r="CI50" s="887">
        <v>224.2</v>
      </c>
      <c r="CJ50" s="887">
        <v>226</v>
      </c>
      <c r="CK50" s="887">
        <v>234.1</v>
      </c>
      <c r="CL50" s="887">
        <v>239</v>
      </c>
      <c r="CM50" s="887">
        <v>241.8</v>
      </c>
      <c r="CN50" s="887">
        <v>241.8</v>
      </c>
      <c r="CO50" s="887">
        <v>245.4</v>
      </c>
      <c r="CP50" s="887">
        <v>246.3</v>
      </c>
      <c r="CQ50" s="888">
        <v>246.3</v>
      </c>
      <c r="CR50" s="886">
        <v>246.3</v>
      </c>
      <c r="CS50" s="887">
        <v>248.9</v>
      </c>
      <c r="CT50" s="887">
        <v>249.9</v>
      </c>
      <c r="CU50" s="887">
        <v>249.9</v>
      </c>
      <c r="CV50" s="887">
        <v>253.4</v>
      </c>
      <c r="CW50" s="887">
        <v>256.10000000000002</v>
      </c>
      <c r="CX50" s="887">
        <v>263.39999999999998</v>
      </c>
      <c r="CY50" s="887">
        <v>266.39999999999998</v>
      </c>
      <c r="CZ50" s="887">
        <v>271.8</v>
      </c>
      <c r="DA50" s="887">
        <v>279.7</v>
      </c>
      <c r="DB50" s="889">
        <v>280.5</v>
      </c>
      <c r="DC50" s="888">
        <v>282</v>
      </c>
      <c r="DD50" s="890">
        <v>285.60000000000002</v>
      </c>
      <c r="DE50" s="887">
        <v>288</v>
      </c>
      <c r="DF50" s="889">
        <v>293.60000000000002</v>
      </c>
      <c r="DG50" s="888">
        <v>298.10000000000002</v>
      </c>
      <c r="DH50" s="887">
        <v>305.3</v>
      </c>
      <c r="DI50" s="887">
        <v>309.39999999999998</v>
      </c>
      <c r="DJ50" s="623">
        <v>314.89999999999998</v>
      </c>
      <c r="DK50" s="659">
        <v>327.2</v>
      </c>
      <c r="DL50" s="623">
        <v>329.8</v>
      </c>
      <c r="DM50" s="659">
        <v>340.4</v>
      </c>
      <c r="DN50" s="659">
        <v>337</v>
      </c>
      <c r="DO50" s="897">
        <v>341.4</v>
      </c>
      <c r="DP50" s="783">
        <v>342.6</v>
      </c>
      <c r="DQ50" s="659">
        <v>339</v>
      </c>
      <c r="DR50" s="659">
        <v>339</v>
      </c>
      <c r="DS50" s="659">
        <v>340.9</v>
      </c>
      <c r="DT50" s="623">
        <v>354.6</v>
      </c>
      <c r="DU50" s="725">
        <v>358</v>
      </c>
      <c r="DV50" s="659">
        <v>360.2</v>
      </c>
      <c r="DW50" s="659">
        <v>362.1</v>
      </c>
      <c r="DX50" s="659">
        <v>376</v>
      </c>
      <c r="DY50" s="659">
        <v>384.2</v>
      </c>
      <c r="DZ50" s="659">
        <v>386.7</v>
      </c>
      <c r="EA50" s="897">
        <v>398.8</v>
      </c>
      <c r="EB50" s="659">
        <v>402</v>
      </c>
      <c r="EC50" s="659">
        <v>404.5</v>
      </c>
      <c r="ED50" s="659">
        <v>408.2</v>
      </c>
      <c r="EE50" s="659">
        <v>410.6</v>
      </c>
      <c r="EF50" s="659">
        <v>416.3</v>
      </c>
      <c r="EG50" s="659">
        <v>430.2</v>
      </c>
      <c r="EH50" s="659">
        <v>434.4</v>
      </c>
      <c r="EI50" s="659">
        <v>438.1</v>
      </c>
      <c r="EJ50" s="659">
        <v>440</v>
      </c>
      <c r="EK50" s="623">
        <v>458.8</v>
      </c>
      <c r="EL50" s="725">
        <v>466</v>
      </c>
      <c r="EM50" s="659">
        <v>467.1</v>
      </c>
      <c r="EN50" s="783">
        <v>472.8</v>
      </c>
      <c r="EO50" s="659">
        <v>474.1</v>
      </c>
      <c r="EP50" s="659">
        <v>474.1</v>
      </c>
      <c r="EQ50" s="659">
        <v>474.1</v>
      </c>
      <c r="ER50" s="659">
        <v>478.2</v>
      </c>
      <c r="ES50" s="659">
        <v>478.2</v>
      </c>
      <c r="ET50" s="659">
        <v>487</v>
      </c>
      <c r="EU50" s="659">
        <v>497</v>
      </c>
      <c r="EV50" s="659">
        <v>505.3</v>
      </c>
      <c r="EW50" s="659">
        <v>507.2</v>
      </c>
      <c r="EX50" s="659">
        <v>511.1</v>
      </c>
      <c r="EY50" s="659">
        <v>525.20000000000005</v>
      </c>
      <c r="EZ50" s="783">
        <v>561.9</v>
      </c>
      <c r="FA50" s="659">
        <v>584</v>
      </c>
      <c r="FB50" s="659">
        <v>596.6</v>
      </c>
      <c r="FC50" s="659">
        <v>615.5</v>
      </c>
      <c r="FD50" s="659">
        <v>617.9</v>
      </c>
      <c r="FE50" s="659">
        <v>632.20000000000005</v>
      </c>
      <c r="FF50" s="659">
        <v>636.6</v>
      </c>
      <c r="FG50" s="659">
        <v>650.9</v>
      </c>
      <c r="FH50" s="659">
        <v>665.5</v>
      </c>
      <c r="FI50" s="659">
        <v>662.9</v>
      </c>
      <c r="FJ50" s="659">
        <v>669.7</v>
      </c>
      <c r="FK50" s="897">
        <v>674.3</v>
      </c>
      <c r="FL50" s="783">
        <v>669.7</v>
      </c>
      <c r="FM50" s="659">
        <v>676.1</v>
      </c>
      <c r="FN50" s="659">
        <v>693.5</v>
      </c>
      <c r="FO50" s="659">
        <v>693.5</v>
      </c>
      <c r="FP50" s="659">
        <v>717.3</v>
      </c>
      <c r="FQ50" s="659">
        <v>725.8</v>
      </c>
      <c r="FR50" s="659">
        <v>724</v>
      </c>
      <c r="FS50" s="659">
        <v>740.1</v>
      </c>
      <c r="FT50" s="659">
        <v>753</v>
      </c>
      <c r="FU50" s="897">
        <v>753.3</v>
      </c>
      <c r="FV50" s="1167">
        <f t="shared" si="0"/>
        <v>1.0003984063745019</v>
      </c>
    </row>
    <row r="51" spans="1:178" s="112" customFormat="1" ht="18.95" customHeight="1">
      <c r="A51" s="1543">
        <v>1</v>
      </c>
      <c r="B51" s="408">
        <v>26</v>
      </c>
      <c r="C51" s="621"/>
      <c r="D51" s="622" t="s">
        <v>12</v>
      </c>
      <c r="E51" s="621" t="s">
        <v>918</v>
      </c>
      <c r="F51" s="622"/>
      <c r="G51" s="632" t="s">
        <v>64</v>
      </c>
      <c r="H51" s="621" t="s">
        <v>920</v>
      </c>
      <c r="I51" s="390" t="s">
        <v>921</v>
      </c>
      <c r="J51" s="676"/>
      <c r="K51" s="669">
        <v>101</v>
      </c>
      <c r="L51" s="665">
        <v>102.7</v>
      </c>
      <c r="M51" s="625">
        <v>107.4</v>
      </c>
      <c r="N51" s="625">
        <v>108.3</v>
      </c>
      <c r="O51" s="625">
        <v>111.7</v>
      </c>
      <c r="P51" s="625">
        <v>118.4</v>
      </c>
      <c r="Q51" s="625">
        <v>127.1</v>
      </c>
      <c r="R51" s="625">
        <v>138.30000000000001</v>
      </c>
      <c r="S51" s="625">
        <v>143.69999999999999</v>
      </c>
      <c r="T51" s="625">
        <v>144.30000000000001</v>
      </c>
      <c r="U51" s="625">
        <v>145.19999999999999</v>
      </c>
      <c r="V51" s="625">
        <v>148</v>
      </c>
      <c r="W51" s="625">
        <v>147.80000000000001</v>
      </c>
      <c r="X51" s="625">
        <v>149.1</v>
      </c>
      <c r="Y51" s="625">
        <v>150.1</v>
      </c>
      <c r="Z51" s="625">
        <v>149.6</v>
      </c>
      <c r="AA51" s="625">
        <v>151.5</v>
      </c>
      <c r="AB51" s="625">
        <v>150.5</v>
      </c>
      <c r="AC51" s="625">
        <v>151</v>
      </c>
      <c r="AD51" s="625">
        <v>150.5</v>
      </c>
      <c r="AE51" s="625">
        <v>150.5</v>
      </c>
      <c r="AF51" s="625">
        <v>151.6</v>
      </c>
      <c r="AG51" s="625">
        <v>150.9</v>
      </c>
      <c r="AH51" s="625">
        <v>150.30000000000001</v>
      </c>
      <c r="AI51" s="764">
        <v>154</v>
      </c>
      <c r="AJ51" s="772">
        <v>155.5</v>
      </c>
      <c r="AK51" s="625">
        <v>157.19999999999999</v>
      </c>
      <c r="AL51" s="625">
        <v>163</v>
      </c>
      <c r="AM51" s="625">
        <v>162.69999999999999</v>
      </c>
      <c r="AN51" s="625">
        <v>167</v>
      </c>
      <c r="AO51" s="625">
        <v>171.5</v>
      </c>
      <c r="AP51" s="625">
        <v>173</v>
      </c>
      <c r="AQ51" s="625">
        <v>175.4</v>
      </c>
      <c r="AR51" s="625">
        <v>174.6</v>
      </c>
      <c r="AS51" s="625">
        <v>174.3</v>
      </c>
      <c r="AT51" s="625">
        <v>173.5</v>
      </c>
      <c r="AU51" s="764">
        <v>174.8</v>
      </c>
      <c r="AV51" s="752">
        <v>179.3</v>
      </c>
      <c r="AW51" s="626">
        <v>180</v>
      </c>
      <c r="AX51" s="626">
        <v>181.1</v>
      </c>
      <c r="AY51" s="626">
        <v>182</v>
      </c>
      <c r="AZ51" s="626">
        <v>188.6</v>
      </c>
      <c r="BA51" s="626">
        <v>188</v>
      </c>
      <c r="BB51" s="626">
        <v>189</v>
      </c>
      <c r="BC51" s="627">
        <v>193</v>
      </c>
      <c r="BD51" s="626">
        <v>195.3</v>
      </c>
      <c r="BE51" s="627">
        <v>196.9</v>
      </c>
      <c r="BF51" s="627">
        <v>201</v>
      </c>
      <c r="BG51" s="738">
        <v>202.8</v>
      </c>
      <c r="BH51" s="660">
        <v>204.7</v>
      </c>
      <c r="BI51" s="623">
        <v>204.9</v>
      </c>
      <c r="BJ51" s="623">
        <v>214.1</v>
      </c>
      <c r="BK51" s="623">
        <v>214.1</v>
      </c>
      <c r="BL51" s="623">
        <v>218.4</v>
      </c>
      <c r="BM51" s="623">
        <v>221.3</v>
      </c>
      <c r="BN51" s="623">
        <v>222</v>
      </c>
      <c r="BO51" s="623">
        <v>220.9</v>
      </c>
      <c r="BP51" s="623">
        <v>221.2</v>
      </c>
      <c r="BQ51" s="623">
        <v>220.9</v>
      </c>
      <c r="BR51" s="623">
        <v>220.9</v>
      </c>
      <c r="BS51" s="659">
        <v>220.9</v>
      </c>
      <c r="BT51" s="660">
        <v>221.8</v>
      </c>
      <c r="BU51" s="623">
        <v>223.7</v>
      </c>
      <c r="BV51" s="623">
        <v>225.2</v>
      </c>
      <c r="BW51" s="623">
        <v>225.2</v>
      </c>
      <c r="BX51" s="623">
        <v>228.5</v>
      </c>
      <c r="BY51" s="623">
        <v>233.9</v>
      </c>
      <c r="BZ51" s="623">
        <v>233.7</v>
      </c>
      <c r="CA51" s="623">
        <v>244.7</v>
      </c>
      <c r="CB51" s="623">
        <v>244.9</v>
      </c>
      <c r="CC51" s="623">
        <v>247.4</v>
      </c>
      <c r="CD51" s="623">
        <v>248.8</v>
      </c>
      <c r="CE51" s="659">
        <v>250.9</v>
      </c>
      <c r="CF51" s="660">
        <v>256.3</v>
      </c>
      <c r="CG51" s="623">
        <v>260</v>
      </c>
      <c r="CH51" s="623">
        <v>260.89999999999998</v>
      </c>
      <c r="CI51" s="623">
        <v>273.5</v>
      </c>
      <c r="CJ51" s="623">
        <v>286.8</v>
      </c>
      <c r="CK51" s="623">
        <v>291.5</v>
      </c>
      <c r="CL51" s="623">
        <v>291.2</v>
      </c>
      <c r="CM51" s="623">
        <v>295.2</v>
      </c>
      <c r="CN51" s="623">
        <v>298.7</v>
      </c>
      <c r="CO51" s="623">
        <v>299.89999999999998</v>
      </c>
      <c r="CP51" s="623">
        <v>302.39999999999998</v>
      </c>
      <c r="CQ51" s="659">
        <v>306.7</v>
      </c>
      <c r="CR51" s="660">
        <v>307.60000000000002</v>
      </c>
      <c r="CS51" s="623">
        <v>316.3</v>
      </c>
      <c r="CT51" s="623">
        <v>317.7</v>
      </c>
      <c r="CU51" s="623">
        <v>317.89999999999998</v>
      </c>
      <c r="CV51" s="623">
        <v>317.89999999999998</v>
      </c>
      <c r="CW51" s="623">
        <v>323.7</v>
      </c>
      <c r="CX51" s="623">
        <v>330.6</v>
      </c>
      <c r="CY51" s="623">
        <v>337.9</v>
      </c>
      <c r="CZ51" s="623">
        <v>350.1</v>
      </c>
      <c r="DA51" s="623">
        <v>355.6</v>
      </c>
      <c r="DB51" s="725">
        <v>356.4</v>
      </c>
      <c r="DC51" s="659">
        <v>357.2</v>
      </c>
      <c r="DD51" s="783">
        <v>366</v>
      </c>
      <c r="DE51" s="623">
        <v>375.5</v>
      </c>
      <c r="DF51" s="725">
        <v>375.8</v>
      </c>
      <c r="DG51" s="659">
        <v>380.7</v>
      </c>
      <c r="DH51" s="623">
        <v>401.3</v>
      </c>
      <c r="DI51" s="623">
        <v>406.3</v>
      </c>
      <c r="DJ51" s="623">
        <v>412.7</v>
      </c>
      <c r="DK51" s="659">
        <v>426.1</v>
      </c>
      <c r="DL51" s="623">
        <v>431.5</v>
      </c>
      <c r="DM51" s="659">
        <v>443.4</v>
      </c>
      <c r="DN51" s="659">
        <v>450.7</v>
      </c>
      <c r="DO51" s="897">
        <v>454.9</v>
      </c>
      <c r="DP51" s="783">
        <v>458.8</v>
      </c>
      <c r="DQ51" s="659">
        <v>470.9</v>
      </c>
      <c r="DR51" s="659">
        <v>479.2</v>
      </c>
      <c r="DS51" s="659">
        <v>481.4</v>
      </c>
      <c r="DT51" s="623">
        <v>495.1</v>
      </c>
      <c r="DU51" s="725">
        <v>502.7</v>
      </c>
      <c r="DV51" s="659">
        <v>505.4</v>
      </c>
      <c r="DW51" s="659">
        <v>516.20000000000005</v>
      </c>
      <c r="DX51" s="659">
        <v>527.5</v>
      </c>
      <c r="DY51" s="659">
        <v>532.20000000000005</v>
      </c>
      <c r="DZ51" s="659">
        <v>549.9</v>
      </c>
      <c r="EA51" s="897">
        <v>562.9</v>
      </c>
      <c r="EB51" s="659">
        <v>578.79999999999995</v>
      </c>
      <c r="EC51" s="659">
        <v>581</v>
      </c>
      <c r="ED51" s="659">
        <v>629.79999999999995</v>
      </c>
      <c r="EE51" s="659">
        <v>640</v>
      </c>
      <c r="EF51" s="659">
        <v>650.70000000000005</v>
      </c>
      <c r="EG51" s="659">
        <v>659.6</v>
      </c>
      <c r="EH51" s="659">
        <v>672.6</v>
      </c>
      <c r="EI51" s="659">
        <v>701.1</v>
      </c>
      <c r="EJ51" s="659">
        <v>725.4</v>
      </c>
      <c r="EK51" s="623">
        <v>729.6</v>
      </c>
      <c r="EL51" s="725">
        <v>737.3</v>
      </c>
      <c r="EM51" s="659">
        <v>735.2</v>
      </c>
      <c r="EN51" s="783">
        <v>742.7</v>
      </c>
      <c r="EO51" s="659">
        <v>744.4</v>
      </c>
      <c r="EP51" s="659">
        <v>749.3</v>
      </c>
      <c r="EQ51" s="659">
        <v>776.5</v>
      </c>
      <c r="ER51" s="659">
        <v>785.6</v>
      </c>
      <c r="ES51" s="659">
        <v>816.6</v>
      </c>
      <c r="ET51" s="659">
        <v>840.9</v>
      </c>
      <c r="EU51" s="659">
        <v>858</v>
      </c>
      <c r="EV51" s="659">
        <v>884.7</v>
      </c>
      <c r="EW51" s="659">
        <v>891.8</v>
      </c>
      <c r="EX51" s="659">
        <v>921.1</v>
      </c>
      <c r="EY51" s="659">
        <v>956.8</v>
      </c>
      <c r="EZ51" s="783">
        <v>1008</v>
      </c>
      <c r="FA51" s="659">
        <v>1117.7</v>
      </c>
      <c r="FB51" s="659">
        <v>1195.7</v>
      </c>
      <c r="FC51" s="659">
        <v>1204.9000000000001</v>
      </c>
      <c r="FD51" s="659">
        <v>1249.7</v>
      </c>
      <c r="FE51" s="659">
        <v>1295.8</v>
      </c>
      <c r="FF51" s="659">
        <v>1314.9</v>
      </c>
      <c r="FG51" s="659">
        <v>1340.3</v>
      </c>
      <c r="FH51" s="659">
        <v>1388.1</v>
      </c>
      <c r="FI51" s="659">
        <v>1398.2</v>
      </c>
      <c r="FJ51" s="659">
        <v>1454.9</v>
      </c>
      <c r="FK51" s="897">
        <v>1476.9</v>
      </c>
      <c r="FL51" s="783">
        <v>1506</v>
      </c>
      <c r="FM51" s="659">
        <v>1531.2</v>
      </c>
      <c r="FN51" s="659">
        <v>1547.8</v>
      </c>
      <c r="FO51" s="659">
        <v>1583.6</v>
      </c>
      <c r="FP51" s="659">
        <v>1627.3</v>
      </c>
      <c r="FQ51" s="659">
        <v>1675.2</v>
      </c>
      <c r="FR51" s="659">
        <v>1693.2</v>
      </c>
      <c r="FS51" s="659">
        <v>1721</v>
      </c>
      <c r="FT51" s="659">
        <v>1782.2</v>
      </c>
      <c r="FU51" s="897">
        <v>1810.6</v>
      </c>
      <c r="FV51" s="1167">
        <f t="shared" si="0"/>
        <v>1.0159353607900348</v>
      </c>
    </row>
    <row r="52" spans="1:178" s="112" customFormat="1" ht="18.95" customHeight="1">
      <c r="A52" s="1543">
        <v>1</v>
      </c>
      <c r="B52" s="408">
        <v>27</v>
      </c>
      <c r="C52" s="621" t="s">
        <v>543</v>
      </c>
      <c r="D52" s="622" t="s">
        <v>13</v>
      </c>
      <c r="E52" s="621" t="s">
        <v>918</v>
      </c>
      <c r="F52" s="622"/>
      <c r="G52" s="621" t="s">
        <v>929</v>
      </c>
      <c r="H52" s="621" t="s">
        <v>930</v>
      </c>
      <c r="I52" s="390" t="s">
        <v>14</v>
      </c>
      <c r="J52" s="651"/>
      <c r="K52" s="669">
        <v>97.7</v>
      </c>
      <c r="L52" s="665">
        <v>98.7</v>
      </c>
      <c r="M52" s="625">
        <v>121.5</v>
      </c>
      <c r="N52" s="625">
        <v>152.30000000000001</v>
      </c>
      <c r="O52" s="625">
        <v>171.1</v>
      </c>
      <c r="P52" s="625">
        <v>193.2</v>
      </c>
      <c r="Q52" s="625">
        <v>195.2</v>
      </c>
      <c r="R52" s="625">
        <v>196.5</v>
      </c>
      <c r="S52" s="625">
        <v>197.8</v>
      </c>
      <c r="T52" s="625">
        <v>198.5</v>
      </c>
      <c r="U52" s="625">
        <v>197.4</v>
      </c>
      <c r="V52" s="625">
        <v>196.4</v>
      </c>
      <c r="W52" s="625">
        <v>196.5</v>
      </c>
      <c r="X52" s="625">
        <v>193.7</v>
      </c>
      <c r="Y52" s="625">
        <v>190.7</v>
      </c>
      <c r="Z52" s="625">
        <v>189.4</v>
      </c>
      <c r="AA52" s="625">
        <v>187.4</v>
      </c>
      <c r="AB52" s="625">
        <v>187.6</v>
      </c>
      <c r="AC52" s="625">
        <v>186.7</v>
      </c>
      <c r="AD52" s="625">
        <v>187.4</v>
      </c>
      <c r="AE52" s="625">
        <v>190.9</v>
      </c>
      <c r="AF52" s="625">
        <v>190.7</v>
      </c>
      <c r="AG52" s="625">
        <v>189.4</v>
      </c>
      <c r="AH52" s="625">
        <v>190.9</v>
      </c>
      <c r="AI52" s="764">
        <v>192.5</v>
      </c>
      <c r="AJ52" s="772">
        <v>191.5</v>
      </c>
      <c r="AK52" s="625">
        <v>192.8</v>
      </c>
      <c r="AL52" s="625">
        <v>192.9</v>
      </c>
      <c r="AM52" s="625">
        <v>191.6</v>
      </c>
      <c r="AN52" s="625">
        <v>199.1</v>
      </c>
      <c r="AO52" s="625">
        <v>199.9</v>
      </c>
      <c r="AP52" s="625">
        <v>200.6</v>
      </c>
      <c r="AQ52" s="625">
        <v>202.5</v>
      </c>
      <c r="AR52" s="625">
        <v>202.6</v>
      </c>
      <c r="AS52" s="625">
        <v>202.1</v>
      </c>
      <c r="AT52" s="625">
        <v>202.7</v>
      </c>
      <c r="AU52" s="764">
        <v>205.4</v>
      </c>
      <c r="AV52" s="752">
        <v>205</v>
      </c>
      <c r="AW52" s="626">
        <v>204.5</v>
      </c>
      <c r="AX52" s="626">
        <v>205.9</v>
      </c>
      <c r="AY52" s="626">
        <v>205.1</v>
      </c>
      <c r="AZ52" s="626">
        <v>206.2</v>
      </c>
      <c r="BA52" s="626">
        <v>204.7</v>
      </c>
      <c r="BB52" s="626">
        <v>205.7</v>
      </c>
      <c r="BC52" s="627">
        <v>212.3</v>
      </c>
      <c r="BD52" s="626">
        <v>213.6</v>
      </c>
      <c r="BE52" s="627">
        <v>217.3</v>
      </c>
      <c r="BF52" s="627">
        <v>217.1</v>
      </c>
      <c r="BG52" s="738">
        <v>219.6</v>
      </c>
      <c r="BH52" s="660">
        <v>221.1</v>
      </c>
      <c r="BI52" s="623">
        <v>225</v>
      </c>
      <c r="BJ52" s="623">
        <v>225.9</v>
      </c>
      <c r="BK52" s="623">
        <v>227.4</v>
      </c>
      <c r="BL52" s="623">
        <v>234</v>
      </c>
      <c r="BM52" s="623">
        <v>234.7</v>
      </c>
      <c r="BN52" s="623">
        <v>234.7</v>
      </c>
      <c r="BO52" s="623">
        <v>237.4</v>
      </c>
      <c r="BP52" s="623">
        <v>237.7</v>
      </c>
      <c r="BQ52" s="623">
        <v>239.3</v>
      </c>
      <c r="BR52" s="623">
        <v>238.9</v>
      </c>
      <c r="BS52" s="659">
        <v>238.5</v>
      </c>
      <c r="BT52" s="660">
        <v>241.1</v>
      </c>
      <c r="BU52" s="623">
        <v>241.2</v>
      </c>
      <c r="BV52" s="623">
        <v>241.4</v>
      </c>
      <c r="BW52" s="623">
        <v>242.8</v>
      </c>
      <c r="BX52" s="623">
        <v>253</v>
      </c>
      <c r="BY52" s="623">
        <v>254.3</v>
      </c>
      <c r="BZ52" s="623">
        <v>255.5</v>
      </c>
      <c r="CA52" s="623">
        <v>256.89999999999998</v>
      </c>
      <c r="CB52" s="623">
        <v>264.8</v>
      </c>
      <c r="CC52" s="623">
        <v>266.2</v>
      </c>
      <c r="CD52" s="623">
        <v>265.89999999999998</v>
      </c>
      <c r="CE52" s="659">
        <v>267.60000000000002</v>
      </c>
      <c r="CF52" s="660">
        <v>268.8</v>
      </c>
      <c r="CG52" s="623">
        <v>275</v>
      </c>
      <c r="CH52" s="623">
        <v>275</v>
      </c>
      <c r="CI52" s="623">
        <v>272.10000000000002</v>
      </c>
      <c r="CJ52" s="623">
        <v>273.2</v>
      </c>
      <c r="CK52" s="623">
        <v>256.89999999999998</v>
      </c>
      <c r="CL52" s="623">
        <v>272.39999999999998</v>
      </c>
      <c r="CM52" s="623">
        <v>276.2</v>
      </c>
      <c r="CN52" s="623">
        <v>276.2</v>
      </c>
      <c r="CO52" s="623">
        <v>277.3</v>
      </c>
      <c r="CP52" s="623">
        <v>279</v>
      </c>
      <c r="CQ52" s="659">
        <v>279</v>
      </c>
      <c r="CR52" s="660">
        <v>279.3</v>
      </c>
      <c r="CS52" s="623">
        <v>279.89999999999998</v>
      </c>
      <c r="CT52" s="623">
        <v>284.3</v>
      </c>
      <c r="CU52" s="623">
        <v>285.2</v>
      </c>
      <c r="CV52" s="623">
        <v>286.10000000000002</v>
      </c>
      <c r="CW52" s="623">
        <v>288.2</v>
      </c>
      <c r="CX52" s="623">
        <v>292</v>
      </c>
      <c r="CY52" s="623">
        <v>292.7</v>
      </c>
      <c r="CZ52" s="623">
        <v>292.89999999999998</v>
      </c>
      <c r="DA52" s="623">
        <v>295.8</v>
      </c>
      <c r="DB52" s="725">
        <v>300.39999999999998</v>
      </c>
      <c r="DC52" s="659">
        <v>300.39999999999998</v>
      </c>
      <c r="DD52" s="783">
        <v>300</v>
      </c>
      <c r="DE52" s="623">
        <v>299.8</v>
      </c>
      <c r="DF52" s="725">
        <v>301.8</v>
      </c>
      <c r="DG52" s="659">
        <v>302.2</v>
      </c>
      <c r="DH52" s="623">
        <v>303.8</v>
      </c>
      <c r="DI52" s="623">
        <v>304.8</v>
      </c>
      <c r="DJ52" s="623">
        <v>305</v>
      </c>
      <c r="DK52" s="659">
        <v>305.5</v>
      </c>
      <c r="DL52" s="623">
        <v>305.5</v>
      </c>
      <c r="DM52" s="659">
        <v>306.2</v>
      </c>
      <c r="DN52" s="659">
        <v>306.2</v>
      </c>
      <c r="DO52" s="897">
        <v>309.3</v>
      </c>
      <c r="DP52" s="783">
        <v>309.5</v>
      </c>
      <c r="DQ52" s="659">
        <v>310</v>
      </c>
      <c r="DR52" s="659">
        <v>310</v>
      </c>
      <c r="DS52" s="659">
        <v>310</v>
      </c>
      <c r="DT52" s="623">
        <v>311.5</v>
      </c>
      <c r="DU52" s="725">
        <v>311.5</v>
      </c>
      <c r="DV52" s="659">
        <v>313.5</v>
      </c>
      <c r="DW52" s="659">
        <v>315.39999999999998</v>
      </c>
      <c r="DX52" s="659">
        <v>316.89999999999998</v>
      </c>
      <c r="DY52" s="659">
        <v>317.10000000000002</v>
      </c>
      <c r="DZ52" s="659">
        <v>316.10000000000002</v>
      </c>
      <c r="EA52" s="897">
        <v>323.10000000000002</v>
      </c>
      <c r="EB52" s="659">
        <v>325.39999999999998</v>
      </c>
      <c r="EC52" s="659">
        <v>333.7</v>
      </c>
      <c r="ED52" s="659">
        <v>338.3</v>
      </c>
      <c r="EE52" s="659">
        <v>339.7</v>
      </c>
      <c r="EF52" s="659">
        <v>339.7</v>
      </c>
      <c r="EG52" s="659">
        <v>340.9</v>
      </c>
      <c r="EH52" s="659">
        <v>342.4</v>
      </c>
      <c r="EI52" s="659">
        <v>344</v>
      </c>
      <c r="EJ52" s="659">
        <v>344</v>
      </c>
      <c r="EK52" s="623">
        <v>342.4</v>
      </c>
      <c r="EL52" s="725">
        <v>343.1</v>
      </c>
      <c r="EM52" s="659">
        <v>343.4</v>
      </c>
      <c r="EN52" s="783">
        <v>346.1</v>
      </c>
      <c r="EO52" s="659">
        <v>346.1</v>
      </c>
      <c r="EP52" s="659">
        <v>346.1</v>
      </c>
      <c r="EQ52" s="659">
        <v>347.6</v>
      </c>
      <c r="ER52" s="659">
        <v>349.2</v>
      </c>
      <c r="ES52" s="659">
        <v>349.2</v>
      </c>
      <c r="ET52" s="659">
        <v>350.3</v>
      </c>
      <c r="EU52" s="659">
        <v>346.3</v>
      </c>
      <c r="EV52" s="659">
        <v>346.3</v>
      </c>
      <c r="EW52" s="659">
        <v>346.3</v>
      </c>
      <c r="EX52" s="659">
        <v>346.3</v>
      </c>
      <c r="EY52" s="659">
        <v>362.3</v>
      </c>
      <c r="EZ52" s="783">
        <v>354.5</v>
      </c>
      <c r="FA52" s="659">
        <v>371.8</v>
      </c>
      <c r="FB52" s="659">
        <v>371.8</v>
      </c>
      <c r="FC52" s="659">
        <v>371.8</v>
      </c>
      <c r="FD52" s="659">
        <v>388.5</v>
      </c>
      <c r="FE52" s="659">
        <v>412.7</v>
      </c>
      <c r="FF52" s="659">
        <v>412.7</v>
      </c>
      <c r="FG52" s="659">
        <v>431.6</v>
      </c>
      <c r="FH52" s="659">
        <v>431.6</v>
      </c>
      <c r="FI52" s="659">
        <v>445.5</v>
      </c>
      <c r="FJ52" s="659">
        <v>472.8</v>
      </c>
      <c r="FK52" s="897">
        <v>487</v>
      </c>
      <c r="FL52" s="783">
        <v>487</v>
      </c>
      <c r="FM52" s="659">
        <v>487</v>
      </c>
      <c r="FN52" s="659">
        <v>487</v>
      </c>
      <c r="FO52" s="659">
        <v>487</v>
      </c>
      <c r="FP52" s="659">
        <v>487</v>
      </c>
      <c r="FQ52" s="659">
        <v>487</v>
      </c>
      <c r="FR52" s="659">
        <v>502.1</v>
      </c>
      <c r="FS52" s="659">
        <v>511.5</v>
      </c>
      <c r="FT52" s="659">
        <v>532.9</v>
      </c>
      <c r="FU52" s="897">
        <v>532.9</v>
      </c>
      <c r="FV52" s="1167">
        <f t="shared" si="0"/>
        <v>1</v>
      </c>
    </row>
    <row r="53" spans="1:178" s="112" customFormat="1" ht="21.75" customHeight="1">
      <c r="A53" s="1543">
        <v>1</v>
      </c>
      <c r="B53" s="644">
        <v>28</v>
      </c>
      <c r="C53" s="645" t="s">
        <v>542</v>
      </c>
      <c r="D53" s="646" t="s">
        <v>15</v>
      </c>
      <c r="E53" s="645" t="s">
        <v>918</v>
      </c>
      <c r="F53" s="646"/>
      <c r="G53" s="645" t="s">
        <v>929</v>
      </c>
      <c r="H53" s="645" t="s">
        <v>930</v>
      </c>
      <c r="I53" s="876" t="s">
        <v>921</v>
      </c>
      <c r="J53" s="869"/>
      <c r="K53" s="877">
        <v>91.6</v>
      </c>
      <c r="L53" s="878">
        <v>97.5</v>
      </c>
      <c r="M53" s="879">
        <v>98.6</v>
      </c>
      <c r="N53" s="879">
        <v>102</v>
      </c>
      <c r="O53" s="879">
        <v>116.3</v>
      </c>
      <c r="P53" s="879">
        <v>124.6</v>
      </c>
      <c r="Q53" s="879">
        <v>129.19999999999999</v>
      </c>
      <c r="R53" s="879">
        <v>127.6</v>
      </c>
      <c r="S53" s="879">
        <v>127.6</v>
      </c>
      <c r="T53" s="879">
        <v>132.9</v>
      </c>
      <c r="U53" s="879">
        <v>134.19999999999999</v>
      </c>
      <c r="V53" s="879">
        <v>134.30000000000001</v>
      </c>
      <c r="W53" s="879">
        <v>134.30000000000001</v>
      </c>
      <c r="X53" s="879">
        <v>134.30000000000001</v>
      </c>
      <c r="Y53" s="879">
        <v>134.30000000000001</v>
      </c>
      <c r="Z53" s="879">
        <v>136.5</v>
      </c>
      <c r="AA53" s="879">
        <v>137.6</v>
      </c>
      <c r="AB53" s="879">
        <v>138</v>
      </c>
      <c r="AC53" s="879">
        <v>141.5</v>
      </c>
      <c r="AD53" s="879">
        <v>141.9</v>
      </c>
      <c r="AE53" s="879">
        <v>139.19999999999999</v>
      </c>
      <c r="AF53" s="879">
        <v>138.9</v>
      </c>
      <c r="AG53" s="879">
        <v>145.30000000000001</v>
      </c>
      <c r="AH53" s="879">
        <v>145.19999999999999</v>
      </c>
      <c r="AI53" s="880">
        <v>145.5</v>
      </c>
      <c r="AJ53" s="881">
        <v>145.5</v>
      </c>
      <c r="AK53" s="879">
        <v>159.1</v>
      </c>
      <c r="AL53" s="879">
        <v>159.1</v>
      </c>
      <c r="AM53" s="879">
        <v>159.1</v>
      </c>
      <c r="AN53" s="879">
        <v>159.1</v>
      </c>
      <c r="AO53" s="879">
        <v>159.1</v>
      </c>
      <c r="AP53" s="879">
        <v>159.1</v>
      </c>
      <c r="AQ53" s="879">
        <v>159.1</v>
      </c>
      <c r="AR53" s="879">
        <v>159.1</v>
      </c>
      <c r="AS53" s="879">
        <v>162.5</v>
      </c>
      <c r="AT53" s="879">
        <v>162.5</v>
      </c>
      <c r="AU53" s="880">
        <v>162.5</v>
      </c>
      <c r="AV53" s="882">
        <v>163.30000000000001</v>
      </c>
      <c r="AW53" s="883">
        <v>163.30000000000001</v>
      </c>
      <c r="AX53" s="883">
        <v>163.30000000000001</v>
      </c>
      <c r="AY53" s="883">
        <v>163.30000000000001</v>
      </c>
      <c r="AZ53" s="883">
        <v>168.6</v>
      </c>
      <c r="BA53" s="883">
        <v>170.7</v>
      </c>
      <c r="BB53" s="883">
        <v>170.7</v>
      </c>
      <c r="BC53" s="884">
        <v>170.9</v>
      </c>
      <c r="BD53" s="883">
        <v>173.2</v>
      </c>
      <c r="BE53" s="884">
        <v>175.5</v>
      </c>
      <c r="BF53" s="884">
        <v>179.6</v>
      </c>
      <c r="BG53" s="885">
        <v>188.9</v>
      </c>
      <c r="BH53" s="886">
        <v>188.9</v>
      </c>
      <c r="BI53" s="887">
        <v>188.9</v>
      </c>
      <c r="BJ53" s="887">
        <v>188.9</v>
      </c>
      <c r="BK53" s="887">
        <v>184.9</v>
      </c>
      <c r="BL53" s="887">
        <v>198.5</v>
      </c>
      <c r="BM53" s="887">
        <v>208</v>
      </c>
      <c r="BN53" s="887">
        <v>211.5</v>
      </c>
      <c r="BO53" s="887">
        <v>207.4</v>
      </c>
      <c r="BP53" s="887">
        <v>213.6</v>
      </c>
      <c r="BQ53" s="887">
        <v>214.9</v>
      </c>
      <c r="BR53" s="887">
        <v>220.9</v>
      </c>
      <c r="BS53" s="888">
        <v>220.9</v>
      </c>
      <c r="BT53" s="886">
        <v>220.9</v>
      </c>
      <c r="BU53" s="887">
        <v>223.5</v>
      </c>
      <c r="BV53" s="887">
        <v>223.5</v>
      </c>
      <c r="BW53" s="887">
        <v>227.7</v>
      </c>
      <c r="BX53" s="887">
        <v>229.8</v>
      </c>
      <c r="BY53" s="887">
        <v>240.2</v>
      </c>
      <c r="BZ53" s="887">
        <v>240.2</v>
      </c>
      <c r="CA53" s="887">
        <v>240.2</v>
      </c>
      <c r="CB53" s="887">
        <v>240.2</v>
      </c>
      <c r="CC53" s="887">
        <v>254.5</v>
      </c>
      <c r="CD53" s="887">
        <v>254.7</v>
      </c>
      <c r="CE53" s="888">
        <v>262.2</v>
      </c>
      <c r="CF53" s="886">
        <v>269.60000000000002</v>
      </c>
      <c r="CG53" s="887">
        <v>287.60000000000002</v>
      </c>
      <c r="CH53" s="887">
        <v>273.7</v>
      </c>
      <c r="CI53" s="887">
        <v>289.10000000000002</v>
      </c>
      <c r="CJ53" s="887">
        <v>290.2</v>
      </c>
      <c r="CK53" s="887">
        <v>283.10000000000002</v>
      </c>
      <c r="CL53" s="887">
        <v>283.5</v>
      </c>
      <c r="CM53" s="887">
        <v>283.8</v>
      </c>
      <c r="CN53" s="887">
        <v>283.7</v>
      </c>
      <c r="CO53" s="887">
        <v>283.7</v>
      </c>
      <c r="CP53" s="887">
        <v>283.8</v>
      </c>
      <c r="CQ53" s="888">
        <v>283.8</v>
      </c>
      <c r="CR53" s="886">
        <v>283.8</v>
      </c>
      <c r="CS53" s="887">
        <v>283.8</v>
      </c>
      <c r="CT53" s="887">
        <v>283.8</v>
      </c>
      <c r="CU53" s="887">
        <v>283.8</v>
      </c>
      <c r="CV53" s="887">
        <v>283.8</v>
      </c>
      <c r="CW53" s="887">
        <v>285</v>
      </c>
      <c r="CX53" s="887">
        <v>285</v>
      </c>
      <c r="CY53" s="887">
        <v>300.7</v>
      </c>
      <c r="CZ53" s="887">
        <v>299.8</v>
      </c>
      <c r="DA53" s="887">
        <v>300.39999999999998</v>
      </c>
      <c r="DB53" s="889">
        <v>319.10000000000002</v>
      </c>
      <c r="DC53" s="888">
        <v>320.7</v>
      </c>
      <c r="DD53" s="890">
        <v>323.7</v>
      </c>
      <c r="DE53" s="887">
        <v>335.8</v>
      </c>
      <c r="DF53" s="889">
        <v>342</v>
      </c>
      <c r="DG53" s="888">
        <v>342.2</v>
      </c>
      <c r="DH53" s="887">
        <v>345.3</v>
      </c>
      <c r="DI53" s="887">
        <v>348.4</v>
      </c>
      <c r="DJ53" s="887">
        <v>348.4</v>
      </c>
      <c r="DK53" s="888">
        <v>349.7</v>
      </c>
      <c r="DL53" s="887">
        <v>350.1</v>
      </c>
      <c r="DM53" s="888">
        <v>352.1</v>
      </c>
      <c r="DN53" s="659">
        <v>352.1</v>
      </c>
      <c r="DO53" s="897">
        <v>352.4</v>
      </c>
      <c r="DP53" s="783">
        <v>354.2</v>
      </c>
      <c r="DQ53" s="659">
        <v>354.4</v>
      </c>
      <c r="DR53" s="659">
        <v>356.1</v>
      </c>
      <c r="DS53" s="659">
        <v>354.9</v>
      </c>
      <c r="DT53" s="623">
        <v>356.5</v>
      </c>
      <c r="DU53" s="725">
        <v>361.4</v>
      </c>
      <c r="DV53" s="659">
        <v>364.7</v>
      </c>
      <c r="DW53" s="659">
        <v>369.9</v>
      </c>
      <c r="DX53" s="659">
        <v>372.9</v>
      </c>
      <c r="DY53" s="659">
        <v>381.1</v>
      </c>
      <c r="DZ53" s="659">
        <v>382.6</v>
      </c>
      <c r="EA53" s="897">
        <v>385.1</v>
      </c>
      <c r="EB53" s="659">
        <v>386.3</v>
      </c>
      <c r="EC53" s="659">
        <v>391.4</v>
      </c>
      <c r="ED53" s="659">
        <v>392</v>
      </c>
      <c r="EE53" s="659">
        <v>398.3</v>
      </c>
      <c r="EF53" s="659">
        <v>400.4</v>
      </c>
      <c r="EG53" s="659">
        <v>401.4</v>
      </c>
      <c r="EH53" s="659">
        <v>414.9</v>
      </c>
      <c r="EI53" s="659">
        <v>428.4</v>
      </c>
      <c r="EJ53" s="659">
        <v>440.9</v>
      </c>
      <c r="EK53" s="623">
        <v>459</v>
      </c>
      <c r="EL53" s="725">
        <v>462.1</v>
      </c>
      <c r="EM53" s="659">
        <v>464.6</v>
      </c>
      <c r="EN53" s="783">
        <v>477.7</v>
      </c>
      <c r="EO53" s="659">
        <v>482.9</v>
      </c>
      <c r="EP53" s="659">
        <v>501</v>
      </c>
      <c r="EQ53" s="659">
        <v>495.7</v>
      </c>
      <c r="ER53" s="659">
        <v>499.9</v>
      </c>
      <c r="ES53" s="659">
        <v>519.5</v>
      </c>
      <c r="ET53" s="659">
        <v>519.5</v>
      </c>
      <c r="EU53" s="659">
        <v>535.1</v>
      </c>
      <c r="EV53" s="659">
        <v>545.9</v>
      </c>
      <c r="EW53" s="659">
        <v>545.9</v>
      </c>
      <c r="EX53" s="659">
        <v>545.9</v>
      </c>
      <c r="EY53" s="659">
        <v>632</v>
      </c>
      <c r="EZ53" s="783">
        <v>668</v>
      </c>
      <c r="FA53" s="659">
        <v>687.6</v>
      </c>
      <c r="FB53" s="659">
        <v>711.4</v>
      </c>
      <c r="FC53" s="659">
        <v>711.4</v>
      </c>
      <c r="FD53" s="659">
        <v>732.8</v>
      </c>
      <c r="FE53" s="659">
        <v>777.8</v>
      </c>
      <c r="FF53" s="659">
        <v>817.4</v>
      </c>
      <c r="FG53" s="659">
        <v>857</v>
      </c>
      <c r="FH53" s="659">
        <v>857</v>
      </c>
      <c r="FI53" s="659">
        <v>857</v>
      </c>
      <c r="FJ53" s="659">
        <v>892.8</v>
      </c>
      <c r="FK53" s="897">
        <v>892.8</v>
      </c>
      <c r="FL53" s="783">
        <v>912.8</v>
      </c>
      <c r="FM53" s="659">
        <v>1246.5999999999999</v>
      </c>
      <c r="FN53" s="659">
        <v>1246.5999999999999</v>
      </c>
      <c r="FO53" s="659">
        <v>1246.5999999999999</v>
      </c>
      <c r="FP53" s="659">
        <v>1333.3</v>
      </c>
      <c r="FQ53" s="659">
        <v>1536.8</v>
      </c>
      <c r="FR53" s="659">
        <v>1747.8</v>
      </c>
      <c r="FS53" s="659">
        <v>1893</v>
      </c>
      <c r="FT53" s="659">
        <v>1944.6</v>
      </c>
      <c r="FU53" s="897">
        <v>2073.6</v>
      </c>
      <c r="FV53" s="1167">
        <f t="shared" si="0"/>
        <v>1.0663375501388461</v>
      </c>
    </row>
    <row r="54" spans="1:178" s="112" customFormat="1" ht="18.95" customHeight="1">
      <c r="A54" s="1543">
        <v>1</v>
      </c>
      <c r="B54" s="408">
        <v>29</v>
      </c>
      <c r="C54" s="621" t="s">
        <v>541</v>
      </c>
      <c r="D54" s="622" t="s">
        <v>16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85.7</v>
      </c>
      <c r="L54" s="665">
        <v>87.7</v>
      </c>
      <c r="M54" s="625">
        <v>85.2</v>
      </c>
      <c r="N54" s="625">
        <v>89.2</v>
      </c>
      <c r="O54" s="625">
        <v>102</v>
      </c>
      <c r="P54" s="625">
        <v>106.5</v>
      </c>
      <c r="Q54" s="625">
        <v>108.4</v>
      </c>
      <c r="R54" s="625">
        <v>114.3</v>
      </c>
      <c r="S54" s="625">
        <v>115.5</v>
      </c>
      <c r="T54" s="625">
        <v>120.3</v>
      </c>
      <c r="U54" s="625">
        <v>119.4</v>
      </c>
      <c r="V54" s="625">
        <v>119.4</v>
      </c>
      <c r="W54" s="625">
        <v>119.4</v>
      </c>
      <c r="X54" s="625">
        <v>118.8</v>
      </c>
      <c r="Y54" s="625">
        <v>118.5</v>
      </c>
      <c r="Z54" s="625">
        <v>122.4</v>
      </c>
      <c r="AA54" s="625">
        <v>123.9</v>
      </c>
      <c r="AB54" s="625">
        <v>128.1</v>
      </c>
      <c r="AC54" s="625">
        <v>131.6</v>
      </c>
      <c r="AD54" s="625">
        <v>131.9</v>
      </c>
      <c r="AE54" s="625">
        <v>132.9</v>
      </c>
      <c r="AF54" s="625">
        <v>134.69999999999999</v>
      </c>
      <c r="AG54" s="625">
        <v>134.69999999999999</v>
      </c>
      <c r="AH54" s="625">
        <v>134.69999999999999</v>
      </c>
      <c r="AI54" s="764">
        <v>134.69999999999999</v>
      </c>
      <c r="AJ54" s="772">
        <v>134.4</v>
      </c>
      <c r="AK54" s="625">
        <v>142</v>
      </c>
      <c r="AL54" s="625">
        <v>141.80000000000001</v>
      </c>
      <c r="AM54" s="625">
        <v>147.30000000000001</v>
      </c>
      <c r="AN54" s="625">
        <v>141.80000000000001</v>
      </c>
      <c r="AO54" s="625">
        <v>141.80000000000001</v>
      </c>
      <c r="AP54" s="625">
        <v>141.80000000000001</v>
      </c>
      <c r="AQ54" s="625">
        <v>141.80000000000001</v>
      </c>
      <c r="AR54" s="625">
        <v>141.80000000000001</v>
      </c>
      <c r="AS54" s="625">
        <v>143.80000000000001</v>
      </c>
      <c r="AT54" s="625">
        <v>143.69999999999999</v>
      </c>
      <c r="AU54" s="764">
        <v>143.5</v>
      </c>
      <c r="AV54" s="752">
        <v>143.4</v>
      </c>
      <c r="AW54" s="626">
        <v>143.6</v>
      </c>
      <c r="AX54" s="626">
        <v>143.6</v>
      </c>
      <c r="AY54" s="626">
        <v>143.6</v>
      </c>
      <c r="AZ54" s="626">
        <v>147.9</v>
      </c>
      <c r="BA54" s="626">
        <v>147.9</v>
      </c>
      <c r="BB54" s="626">
        <v>152.19999999999999</v>
      </c>
      <c r="BC54" s="627">
        <v>152.5</v>
      </c>
      <c r="BD54" s="626">
        <v>152.5</v>
      </c>
      <c r="BE54" s="627">
        <v>152.5</v>
      </c>
      <c r="BF54" s="627">
        <v>156.30000000000001</v>
      </c>
      <c r="BG54" s="738">
        <v>160.9</v>
      </c>
      <c r="BH54" s="660">
        <v>160.9</v>
      </c>
      <c r="BI54" s="623">
        <v>162.9</v>
      </c>
      <c r="BJ54" s="623">
        <v>163.30000000000001</v>
      </c>
      <c r="BK54" s="623">
        <v>163.6</v>
      </c>
      <c r="BL54" s="623">
        <v>171.4</v>
      </c>
      <c r="BM54" s="623">
        <v>174.1</v>
      </c>
      <c r="BN54" s="623">
        <v>176</v>
      </c>
      <c r="BO54" s="623">
        <v>178</v>
      </c>
      <c r="BP54" s="623">
        <v>177.3</v>
      </c>
      <c r="BQ54" s="623">
        <v>178.8</v>
      </c>
      <c r="BR54" s="623">
        <v>182.5</v>
      </c>
      <c r="BS54" s="659">
        <v>182.5</v>
      </c>
      <c r="BT54" s="660">
        <v>182.5</v>
      </c>
      <c r="BU54" s="623">
        <v>182.5</v>
      </c>
      <c r="BV54" s="623">
        <v>184.8</v>
      </c>
      <c r="BW54" s="623">
        <v>190.3</v>
      </c>
      <c r="BX54" s="623">
        <v>184.7</v>
      </c>
      <c r="BY54" s="623">
        <v>191.7</v>
      </c>
      <c r="BZ54" s="623">
        <v>193.3</v>
      </c>
      <c r="CA54" s="623">
        <v>195.4</v>
      </c>
      <c r="CB54" s="623">
        <v>221</v>
      </c>
      <c r="CC54" s="623">
        <v>235.8</v>
      </c>
      <c r="CD54" s="623">
        <v>237.5</v>
      </c>
      <c r="CE54" s="659">
        <v>241.1</v>
      </c>
      <c r="CF54" s="660">
        <v>247</v>
      </c>
      <c r="CG54" s="623">
        <v>253.1</v>
      </c>
      <c r="CH54" s="623">
        <v>253.5</v>
      </c>
      <c r="CI54" s="623">
        <v>265.7</v>
      </c>
      <c r="CJ54" s="623">
        <v>268.39999999999998</v>
      </c>
      <c r="CK54" s="623">
        <v>273.60000000000002</v>
      </c>
      <c r="CL54" s="623">
        <v>274.3</v>
      </c>
      <c r="CM54" s="623">
        <v>274.3</v>
      </c>
      <c r="CN54" s="623">
        <v>274.3</v>
      </c>
      <c r="CO54" s="623">
        <v>274.7</v>
      </c>
      <c r="CP54" s="623">
        <v>274.7</v>
      </c>
      <c r="CQ54" s="659">
        <v>274.60000000000002</v>
      </c>
      <c r="CR54" s="660">
        <v>266.39999999999998</v>
      </c>
      <c r="CS54" s="623">
        <v>260.89999999999998</v>
      </c>
      <c r="CT54" s="623">
        <v>263.3</v>
      </c>
      <c r="CU54" s="623">
        <v>263.3</v>
      </c>
      <c r="CV54" s="623">
        <v>263.3</v>
      </c>
      <c r="CW54" s="623">
        <v>257.89999999999998</v>
      </c>
      <c r="CX54" s="623">
        <v>259</v>
      </c>
      <c r="CY54" s="623">
        <v>264.10000000000002</v>
      </c>
      <c r="CZ54" s="623">
        <v>262.39999999999998</v>
      </c>
      <c r="DA54" s="623">
        <v>262.10000000000002</v>
      </c>
      <c r="DB54" s="725">
        <v>278.3</v>
      </c>
      <c r="DC54" s="659">
        <v>278.5</v>
      </c>
      <c r="DD54" s="783">
        <v>284.7</v>
      </c>
      <c r="DE54" s="623">
        <v>291.3</v>
      </c>
      <c r="DF54" s="659">
        <v>291.3</v>
      </c>
      <c r="DG54" s="659">
        <v>291.89999999999998</v>
      </c>
      <c r="DH54" s="623">
        <v>296.3</v>
      </c>
      <c r="DI54" s="623">
        <v>297.8</v>
      </c>
      <c r="DJ54" s="623">
        <v>299.3</v>
      </c>
      <c r="DK54" s="659">
        <v>300.5</v>
      </c>
      <c r="DL54" s="623">
        <v>300.7</v>
      </c>
      <c r="DM54" s="659">
        <v>301</v>
      </c>
      <c r="DN54" s="659">
        <v>297.89999999999998</v>
      </c>
      <c r="DO54" s="897">
        <v>296.60000000000002</v>
      </c>
      <c r="DP54" s="783">
        <v>304.2</v>
      </c>
      <c r="DQ54" s="659">
        <v>301.2</v>
      </c>
      <c r="DR54" s="659">
        <v>304.89999999999998</v>
      </c>
      <c r="DS54" s="659">
        <v>304.89999999999998</v>
      </c>
      <c r="DT54" s="623">
        <v>305.7</v>
      </c>
      <c r="DU54" s="725">
        <v>310</v>
      </c>
      <c r="DV54" s="659">
        <v>310</v>
      </c>
      <c r="DW54" s="659">
        <v>317.5</v>
      </c>
      <c r="DX54" s="659">
        <v>319.60000000000002</v>
      </c>
      <c r="DY54" s="659">
        <v>327.39999999999998</v>
      </c>
      <c r="DZ54" s="659">
        <v>330.9</v>
      </c>
      <c r="EA54" s="897">
        <v>336.8</v>
      </c>
      <c r="EB54" s="659">
        <v>338.5</v>
      </c>
      <c r="EC54" s="659">
        <v>350.1</v>
      </c>
      <c r="ED54" s="659">
        <v>349.5</v>
      </c>
      <c r="EE54" s="659">
        <v>356.5</v>
      </c>
      <c r="EF54" s="659">
        <v>358.3</v>
      </c>
      <c r="EG54" s="659">
        <v>360.6</v>
      </c>
      <c r="EH54" s="659">
        <v>377.8</v>
      </c>
      <c r="EI54" s="659">
        <v>383.3</v>
      </c>
      <c r="EJ54" s="659">
        <v>384.3</v>
      </c>
      <c r="EK54" s="623">
        <v>416.3</v>
      </c>
      <c r="EL54" s="725">
        <v>419</v>
      </c>
      <c r="EM54" s="659">
        <v>419</v>
      </c>
      <c r="EN54" s="783">
        <v>431.9</v>
      </c>
      <c r="EO54" s="659">
        <v>428.9</v>
      </c>
      <c r="EP54" s="659">
        <v>435.4</v>
      </c>
      <c r="EQ54" s="659">
        <v>437.8</v>
      </c>
      <c r="ER54" s="659">
        <v>443.8</v>
      </c>
      <c r="ES54" s="659">
        <v>460.5</v>
      </c>
      <c r="ET54" s="659">
        <v>478.2</v>
      </c>
      <c r="EU54" s="659">
        <v>478.2</v>
      </c>
      <c r="EV54" s="659">
        <v>481.1</v>
      </c>
      <c r="EW54" s="659">
        <v>489</v>
      </c>
      <c r="EX54" s="659">
        <v>492.5</v>
      </c>
      <c r="EY54" s="659">
        <v>553</v>
      </c>
      <c r="EZ54" s="783">
        <v>592.9</v>
      </c>
      <c r="FA54" s="659">
        <v>639.79999999999995</v>
      </c>
      <c r="FB54" s="659">
        <v>690</v>
      </c>
      <c r="FC54" s="659">
        <v>673.9</v>
      </c>
      <c r="FD54" s="659">
        <v>696.6</v>
      </c>
      <c r="FE54" s="659">
        <v>679.1</v>
      </c>
      <c r="FF54" s="659">
        <v>671.3</v>
      </c>
      <c r="FG54" s="659">
        <v>703.7</v>
      </c>
      <c r="FH54" s="659">
        <v>712.9</v>
      </c>
      <c r="FI54" s="659">
        <v>712.9</v>
      </c>
      <c r="FJ54" s="659">
        <v>738.9</v>
      </c>
      <c r="FK54" s="897">
        <v>744.7</v>
      </c>
      <c r="FL54" s="783">
        <v>744.7</v>
      </c>
      <c r="FM54" s="659">
        <v>773.1</v>
      </c>
      <c r="FN54" s="659">
        <v>784.5</v>
      </c>
      <c r="FO54" s="659">
        <v>790.9</v>
      </c>
      <c r="FP54" s="659">
        <v>790.9</v>
      </c>
      <c r="FQ54" s="659">
        <v>803</v>
      </c>
      <c r="FR54" s="659">
        <v>823.2</v>
      </c>
      <c r="FS54" s="659">
        <v>826.6</v>
      </c>
      <c r="FT54" s="659">
        <v>826.8</v>
      </c>
      <c r="FU54" s="897">
        <v>897.3</v>
      </c>
      <c r="FV54" s="1167">
        <f t="shared" si="0"/>
        <v>1.0852685050798259</v>
      </c>
    </row>
    <row r="55" spans="1:178" s="112" customFormat="1" ht="18.95" customHeight="1">
      <c r="A55" s="1543">
        <v>1</v>
      </c>
      <c r="B55" s="408">
        <v>30</v>
      </c>
      <c r="C55" s="621" t="s">
        <v>540</v>
      </c>
      <c r="D55" s="622" t="s">
        <v>17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95.2</v>
      </c>
      <c r="L55" s="665">
        <v>96.8</v>
      </c>
      <c r="M55" s="625">
        <v>97.5</v>
      </c>
      <c r="N55" s="625">
        <v>103.8</v>
      </c>
      <c r="O55" s="625">
        <v>123.4</v>
      </c>
      <c r="P55" s="625">
        <v>123.3</v>
      </c>
      <c r="Q55" s="625">
        <v>132.6</v>
      </c>
      <c r="R55" s="625">
        <v>139.5</v>
      </c>
      <c r="S55" s="625">
        <v>139.5</v>
      </c>
      <c r="T55" s="625">
        <v>139.5</v>
      </c>
      <c r="U55" s="625">
        <v>138.1</v>
      </c>
      <c r="V55" s="625">
        <v>140.30000000000001</v>
      </c>
      <c r="W55" s="625">
        <v>140.30000000000001</v>
      </c>
      <c r="X55" s="625">
        <v>140.30000000000001</v>
      </c>
      <c r="Y55" s="625">
        <v>140.30000000000001</v>
      </c>
      <c r="Z55" s="625">
        <v>142.19999999999999</v>
      </c>
      <c r="AA55" s="625">
        <v>138.9</v>
      </c>
      <c r="AB55" s="625">
        <v>139.6</v>
      </c>
      <c r="AC55" s="625">
        <v>149.1</v>
      </c>
      <c r="AD55" s="625">
        <v>149.1</v>
      </c>
      <c r="AE55" s="625">
        <v>147.69999999999999</v>
      </c>
      <c r="AF55" s="625">
        <v>149.1</v>
      </c>
      <c r="AG55" s="625">
        <v>149.1</v>
      </c>
      <c r="AH55" s="625">
        <v>148</v>
      </c>
      <c r="AI55" s="764">
        <v>148</v>
      </c>
      <c r="AJ55" s="772">
        <v>153.30000000000001</v>
      </c>
      <c r="AK55" s="625">
        <v>161</v>
      </c>
      <c r="AL55" s="625">
        <v>164.7</v>
      </c>
      <c r="AM55" s="625">
        <v>164.2</v>
      </c>
      <c r="AN55" s="625">
        <v>169.6</v>
      </c>
      <c r="AO55" s="625">
        <v>169.7</v>
      </c>
      <c r="AP55" s="625">
        <v>169.7</v>
      </c>
      <c r="AQ55" s="625">
        <v>169.7</v>
      </c>
      <c r="AR55" s="625">
        <v>172</v>
      </c>
      <c r="AS55" s="625">
        <v>172</v>
      </c>
      <c r="AT55" s="625">
        <v>172</v>
      </c>
      <c r="AU55" s="764">
        <v>172</v>
      </c>
      <c r="AV55" s="752">
        <v>172</v>
      </c>
      <c r="AW55" s="626">
        <v>172</v>
      </c>
      <c r="AX55" s="626">
        <v>172</v>
      </c>
      <c r="AY55" s="626">
        <v>172</v>
      </c>
      <c r="AZ55" s="626">
        <v>173.6</v>
      </c>
      <c r="BA55" s="626">
        <v>176.6</v>
      </c>
      <c r="BB55" s="626">
        <v>176.6</v>
      </c>
      <c r="BC55" s="627">
        <v>179.6</v>
      </c>
      <c r="BD55" s="626">
        <v>181.8</v>
      </c>
      <c r="BE55" s="627">
        <v>181.8</v>
      </c>
      <c r="BF55" s="627">
        <v>181.8</v>
      </c>
      <c r="BG55" s="738">
        <v>184.9</v>
      </c>
      <c r="BH55" s="660">
        <v>186.1</v>
      </c>
      <c r="BI55" s="623">
        <v>195.6</v>
      </c>
      <c r="BJ55" s="623">
        <v>195.6</v>
      </c>
      <c r="BK55" s="623">
        <v>196.2</v>
      </c>
      <c r="BL55" s="623">
        <v>210</v>
      </c>
      <c r="BM55" s="623">
        <v>210</v>
      </c>
      <c r="BN55" s="623">
        <v>210</v>
      </c>
      <c r="BO55" s="623">
        <v>210</v>
      </c>
      <c r="BP55" s="623">
        <v>210</v>
      </c>
      <c r="BQ55" s="623">
        <v>210</v>
      </c>
      <c r="BR55" s="623">
        <v>210</v>
      </c>
      <c r="BS55" s="659">
        <v>210</v>
      </c>
      <c r="BT55" s="660">
        <v>210</v>
      </c>
      <c r="BU55" s="623">
        <v>219.8</v>
      </c>
      <c r="BV55" s="623">
        <v>219.8</v>
      </c>
      <c r="BW55" s="623">
        <v>223.7</v>
      </c>
      <c r="BX55" s="623">
        <v>223.8</v>
      </c>
      <c r="BY55" s="623">
        <v>232</v>
      </c>
      <c r="BZ55" s="623">
        <v>232</v>
      </c>
      <c r="CA55" s="623">
        <v>238.8</v>
      </c>
      <c r="CB55" s="623">
        <v>243.4</v>
      </c>
      <c r="CC55" s="623">
        <v>250.5</v>
      </c>
      <c r="CD55" s="623">
        <v>250.5</v>
      </c>
      <c r="CE55" s="659">
        <v>250.5</v>
      </c>
      <c r="CF55" s="660">
        <v>257.10000000000002</v>
      </c>
      <c r="CG55" s="623">
        <v>257.10000000000002</v>
      </c>
      <c r="CH55" s="623">
        <v>258.89999999999998</v>
      </c>
      <c r="CI55" s="623">
        <v>265.60000000000002</v>
      </c>
      <c r="CJ55" s="623">
        <v>271.10000000000002</v>
      </c>
      <c r="CK55" s="623">
        <v>274.89999999999998</v>
      </c>
      <c r="CL55" s="623">
        <v>274.89999999999998</v>
      </c>
      <c r="CM55" s="623">
        <v>274.89999999999998</v>
      </c>
      <c r="CN55" s="623">
        <v>274.89999999999998</v>
      </c>
      <c r="CO55" s="623">
        <v>274.10000000000002</v>
      </c>
      <c r="CP55" s="623">
        <v>268.3</v>
      </c>
      <c r="CQ55" s="659">
        <v>268.3</v>
      </c>
      <c r="CR55" s="660">
        <v>268.3</v>
      </c>
      <c r="CS55" s="623">
        <v>268.3</v>
      </c>
      <c r="CT55" s="623">
        <v>268.3</v>
      </c>
      <c r="CU55" s="623">
        <v>271.2</v>
      </c>
      <c r="CV55" s="623">
        <v>268.3</v>
      </c>
      <c r="CW55" s="623">
        <v>263.3</v>
      </c>
      <c r="CX55" s="623">
        <v>263.3</v>
      </c>
      <c r="CY55" s="623">
        <v>269.2</v>
      </c>
      <c r="CZ55" s="623">
        <v>272.5</v>
      </c>
      <c r="DA55" s="623">
        <v>271.5</v>
      </c>
      <c r="DB55" s="725">
        <v>275.8</v>
      </c>
      <c r="DC55" s="659">
        <v>277.7</v>
      </c>
      <c r="DD55" s="783">
        <v>282.10000000000002</v>
      </c>
      <c r="DE55" s="623">
        <v>286.39999999999998</v>
      </c>
      <c r="DF55" s="725">
        <v>290.7</v>
      </c>
      <c r="DG55" s="659">
        <v>295.3</v>
      </c>
      <c r="DH55" s="623">
        <v>297.60000000000002</v>
      </c>
      <c r="DI55" s="623">
        <v>300.5</v>
      </c>
      <c r="DJ55" s="623">
        <v>301.2</v>
      </c>
      <c r="DK55" s="659">
        <v>301.2</v>
      </c>
      <c r="DL55" s="623">
        <v>298.89999999999998</v>
      </c>
      <c r="DM55" s="659">
        <v>304.89999999999998</v>
      </c>
      <c r="DN55" s="659">
        <v>314.39999999999998</v>
      </c>
      <c r="DO55" s="897">
        <v>320.2</v>
      </c>
      <c r="DP55" s="783">
        <v>322</v>
      </c>
      <c r="DQ55" s="659">
        <v>323.39999999999998</v>
      </c>
      <c r="DR55" s="659">
        <v>328.1</v>
      </c>
      <c r="DS55" s="659">
        <v>328.5</v>
      </c>
      <c r="DT55" s="623">
        <v>336.8</v>
      </c>
      <c r="DU55" s="725">
        <v>339.5</v>
      </c>
      <c r="DV55" s="659">
        <v>345.6</v>
      </c>
      <c r="DW55" s="659">
        <v>354.5</v>
      </c>
      <c r="DX55" s="659">
        <v>360.8</v>
      </c>
      <c r="DY55" s="659">
        <v>373.9</v>
      </c>
      <c r="DZ55" s="659">
        <v>383</v>
      </c>
      <c r="EA55" s="897">
        <v>383</v>
      </c>
      <c r="EB55" s="659">
        <v>383</v>
      </c>
      <c r="EC55" s="659">
        <v>392.9</v>
      </c>
      <c r="ED55" s="659">
        <v>398.2</v>
      </c>
      <c r="EE55" s="659">
        <v>407.2</v>
      </c>
      <c r="EF55" s="659">
        <v>413.5</v>
      </c>
      <c r="EG55" s="659">
        <v>431.2</v>
      </c>
      <c r="EH55" s="659">
        <v>437.3</v>
      </c>
      <c r="EI55" s="659">
        <v>459.2</v>
      </c>
      <c r="EJ55" s="659">
        <v>470</v>
      </c>
      <c r="EK55" s="623">
        <v>477.9</v>
      </c>
      <c r="EL55" s="725">
        <v>480.6</v>
      </c>
      <c r="EM55" s="659">
        <v>483.5</v>
      </c>
      <c r="EN55" s="783">
        <v>487.4</v>
      </c>
      <c r="EO55" s="659">
        <v>491.3</v>
      </c>
      <c r="EP55" s="659">
        <v>495.8</v>
      </c>
      <c r="EQ55" s="659">
        <v>491.9</v>
      </c>
      <c r="ER55" s="659">
        <v>492</v>
      </c>
      <c r="ES55" s="659">
        <v>499.4</v>
      </c>
      <c r="ET55" s="659">
        <v>513.5</v>
      </c>
      <c r="EU55" s="659">
        <v>513.5</v>
      </c>
      <c r="EV55" s="659">
        <v>513.5</v>
      </c>
      <c r="EW55" s="659">
        <v>513.5</v>
      </c>
      <c r="EX55" s="659">
        <v>513.1</v>
      </c>
      <c r="EY55" s="659">
        <v>524</v>
      </c>
      <c r="EZ55" s="783">
        <v>537.6</v>
      </c>
      <c r="FA55" s="659">
        <v>537.6</v>
      </c>
      <c r="FB55" s="659">
        <v>537.6</v>
      </c>
      <c r="FC55" s="659">
        <v>585.70000000000005</v>
      </c>
      <c r="FD55" s="659">
        <v>603.5</v>
      </c>
      <c r="FE55" s="659">
        <v>627.20000000000005</v>
      </c>
      <c r="FF55" s="659">
        <v>627.20000000000005</v>
      </c>
      <c r="FG55" s="659">
        <v>662.7</v>
      </c>
      <c r="FH55" s="659">
        <v>682.1</v>
      </c>
      <c r="FI55" s="659">
        <v>682.1</v>
      </c>
      <c r="FJ55" s="659">
        <v>707.4</v>
      </c>
      <c r="FK55" s="897">
        <v>707.4</v>
      </c>
      <c r="FL55" s="783">
        <v>707.4</v>
      </c>
      <c r="FM55" s="659">
        <v>725</v>
      </c>
      <c r="FN55" s="659">
        <v>737.8</v>
      </c>
      <c r="FO55" s="659">
        <v>737.8</v>
      </c>
      <c r="FP55" s="659">
        <v>739.4</v>
      </c>
      <c r="FQ55" s="659">
        <v>776.8</v>
      </c>
      <c r="FR55" s="659">
        <v>786.5</v>
      </c>
      <c r="FS55" s="659">
        <v>786.5</v>
      </c>
      <c r="FT55" s="659">
        <v>786.5</v>
      </c>
      <c r="FU55" s="897">
        <v>812.7</v>
      </c>
      <c r="FV55" s="1167">
        <f t="shared" si="0"/>
        <v>1.0333121424030516</v>
      </c>
    </row>
    <row r="56" spans="1:178" s="112" customFormat="1" ht="21.75" customHeight="1">
      <c r="A56" s="1543">
        <v>1</v>
      </c>
      <c r="B56" s="613">
        <v>31</v>
      </c>
      <c r="C56" s="614" t="s">
        <v>544</v>
      </c>
      <c r="D56" s="615" t="s">
        <v>18</v>
      </c>
      <c r="E56" s="614" t="s">
        <v>918</v>
      </c>
      <c r="F56" s="615"/>
      <c r="G56" s="614" t="s">
        <v>929</v>
      </c>
      <c r="H56" s="614" t="s">
        <v>930</v>
      </c>
      <c r="I56" s="647" t="s">
        <v>19</v>
      </c>
      <c r="J56" s="652"/>
      <c r="K56" s="671">
        <v>70.599999999999994</v>
      </c>
      <c r="L56" s="667">
        <v>70.900000000000006</v>
      </c>
      <c r="M56" s="618">
        <v>90.6</v>
      </c>
      <c r="N56" s="618">
        <v>115.1</v>
      </c>
      <c r="O56" s="618">
        <v>134.5</v>
      </c>
      <c r="P56" s="618">
        <v>156.1</v>
      </c>
      <c r="Q56" s="618">
        <v>173.8</v>
      </c>
      <c r="R56" s="618">
        <v>192.4</v>
      </c>
      <c r="S56" s="618">
        <v>208.6</v>
      </c>
      <c r="T56" s="618">
        <v>208.6</v>
      </c>
      <c r="U56" s="618">
        <v>208.6</v>
      </c>
      <c r="V56" s="618">
        <v>212.4</v>
      </c>
      <c r="W56" s="618">
        <v>211.1</v>
      </c>
      <c r="X56" s="618">
        <v>208.7</v>
      </c>
      <c r="Y56" s="618">
        <v>207.4</v>
      </c>
      <c r="Z56" s="618">
        <v>208</v>
      </c>
      <c r="AA56" s="618">
        <v>210.9</v>
      </c>
      <c r="AB56" s="618">
        <v>209.3</v>
      </c>
      <c r="AC56" s="618">
        <v>211.8</v>
      </c>
      <c r="AD56" s="618">
        <v>211.8</v>
      </c>
      <c r="AE56" s="618">
        <v>211.8</v>
      </c>
      <c r="AF56" s="618">
        <v>209.8</v>
      </c>
      <c r="AG56" s="618">
        <v>209.1</v>
      </c>
      <c r="AH56" s="618">
        <v>207.1</v>
      </c>
      <c r="AI56" s="766">
        <v>211</v>
      </c>
      <c r="AJ56" s="774">
        <v>215.8</v>
      </c>
      <c r="AK56" s="618">
        <v>221.2</v>
      </c>
      <c r="AL56" s="618">
        <v>237.5</v>
      </c>
      <c r="AM56" s="618">
        <v>239</v>
      </c>
      <c r="AN56" s="618">
        <v>243.6</v>
      </c>
      <c r="AO56" s="618">
        <v>246.3</v>
      </c>
      <c r="AP56" s="618">
        <v>249.5</v>
      </c>
      <c r="AQ56" s="618">
        <v>254.2</v>
      </c>
      <c r="AR56" s="618">
        <v>252.9</v>
      </c>
      <c r="AS56" s="618">
        <v>252.9</v>
      </c>
      <c r="AT56" s="618">
        <v>252.9</v>
      </c>
      <c r="AU56" s="766">
        <v>256.39999999999998</v>
      </c>
      <c r="AV56" s="769">
        <v>270.10000000000002</v>
      </c>
      <c r="AW56" s="619">
        <v>273.39999999999998</v>
      </c>
      <c r="AX56" s="619">
        <v>274.39999999999998</v>
      </c>
      <c r="AY56" s="619">
        <v>276.7</v>
      </c>
      <c r="AZ56" s="619">
        <v>283.2</v>
      </c>
      <c r="BA56" s="619">
        <v>280.7</v>
      </c>
      <c r="BB56" s="619">
        <v>283.39999999999998</v>
      </c>
      <c r="BC56" s="620">
        <v>283.89999999999998</v>
      </c>
      <c r="BD56" s="619">
        <v>287.89999999999998</v>
      </c>
      <c r="BE56" s="620">
        <v>287.89999999999998</v>
      </c>
      <c r="BF56" s="620">
        <v>289.39999999999998</v>
      </c>
      <c r="BG56" s="750">
        <v>288.39999999999998</v>
      </c>
      <c r="BH56" s="662">
        <v>294.2</v>
      </c>
      <c r="BI56" s="617">
        <v>292.60000000000002</v>
      </c>
      <c r="BJ56" s="617">
        <v>304</v>
      </c>
      <c r="BK56" s="617">
        <v>304</v>
      </c>
      <c r="BL56" s="617">
        <v>308.5</v>
      </c>
      <c r="BM56" s="617">
        <v>310.89999999999998</v>
      </c>
      <c r="BN56" s="617">
        <v>312.3</v>
      </c>
      <c r="BO56" s="617">
        <v>309.2</v>
      </c>
      <c r="BP56" s="617">
        <v>309.2</v>
      </c>
      <c r="BQ56" s="617">
        <v>309.2</v>
      </c>
      <c r="BR56" s="617">
        <v>309.2</v>
      </c>
      <c r="BS56" s="737">
        <v>307.3</v>
      </c>
      <c r="BT56" s="662">
        <v>307.3</v>
      </c>
      <c r="BU56" s="617">
        <v>309.3</v>
      </c>
      <c r="BV56" s="617">
        <v>309.3</v>
      </c>
      <c r="BW56" s="617">
        <v>309.3</v>
      </c>
      <c r="BX56" s="617">
        <v>309.3</v>
      </c>
      <c r="BY56" s="617">
        <v>310.5</v>
      </c>
      <c r="BZ56" s="617">
        <v>305.39999999999998</v>
      </c>
      <c r="CA56" s="617">
        <v>320.60000000000002</v>
      </c>
      <c r="CB56" s="617">
        <v>319.7</v>
      </c>
      <c r="CC56" s="617">
        <v>322.60000000000002</v>
      </c>
      <c r="CD56" s="617">
        <v>326.60000000000002</v>
      </c>
      <c r="CE56" s="737">
        <v>328.5</v>
      </c>
      <c r="CF56" s="662">
        <v>328.5</v>
      </c>
      <c r="CG56" s="617">
        <v>330.9</v>
      </c>
      <c r="CH56" s="617">
        <v>332.9</v>
      </c>
      <c r="CI56" s="617">
        <v>334.9</v>
      </c>
      <c r="CJ56" s="617">
        <v>340.8</v>
      </c>
      <c r="CK56" s="617">
        <v>336.4</v>
      </c>
      <c r="CL56" s="617">
        <v>336.4</v>
      </c>
      <c r="CM56" s="617">
        <v>343.2</v>
      </c>
      <c r="CN56" s="617">
        <v>347.3</v>
      </c>
      <c r="CO56" s="617">
        <v>349.9</v>
      </c>
      <c r="CP56" s="617">
        <v>351.9</v>
      </c>
      <c r="CQ56" s="737">
        <v>351.9</v>
      </c>
      <c r="CR56" s="662">
        <v>352.3</v>
      </c>
      <c r="CS56" s="617">
        <v>351.8</v>
      </c>
      <c r="CT56" s="617">
        <v>353.5</v>
      </c>
      <c r="CU56" s="617">
        <v>353.5</v>
      </c>
      <c r="CV56" s="623">
        <v>353.5</v>
      </c>
      <c r="CW56" s="623">
        <v>360.5</v>
      </c>
      <c r="CX56" s="623">
        <v>368</v>
      </c>
      <c r="CY56" s="623">
        <v>373.5</v>
      </c>
      <c r="CZ56" s="623">
        <v>378.5</v>
      </c>
      <c r="DA56" s="623">
        <v>390.8</v>
      </c>
      <c r="DB56" s="725">
        <v>391.9</v>
      </c>
      <c r="DC56" s="659">
        <v>391.9</v>
      </c>
      <c r="DD56" s="783">
        <v>393.5</v>
      </c>
      <c r="DE56" s="623">
        <v>398.2</v>
      </c>
      <c r="DF56" s="725">
        <v>400.8</v>
      </c>
      <c r="DG56" s="659">
        <v>418.4</v>
      </c>
      <c r="DH56" s="623">
        <v>421.2</v>
      </c>
      <c r="DI56" s="623">
        <v>430.4</v>
      </c>
      <c r="DJ56" s="623">
        <v>440.1</v>
      </c>
      <c r="DK56" s="659">
        <v>433.6</v>
      </c>
      <c r="DL56" s="623">
        <v>435.7</v>
      </c>
      <c r="DM56" s="659">
        <v>436.8</v>
      </c>
      <c r="DN56" s="659">
        <v>445.4</v>
      </c>
      <c r="DO56" s="897">
        <v>446.7</v>
      </c>
      <c r="DP56" s="783">
        <v>448.7</v>
      </c>
      <c r="DQ56" s="659">
        <v>450.8</v>
      </c>
      <c r="DR56" s="659">
        <v>451.4</v>
      </c>
      <c r="DS56" s="659">
        <v>448.2</v>
      </c>
      <c r="DT56" s="623">
        <v>461</v>
      </c>
      <c r="DU56" s="725">
        <v>458</v>
      </c>
      <c r="DV56" s="659">
        <v>459</v>
      </c>
      <c r="DW56" s="659">
        <v>470.8</v>
      </c>
      <c r="DX56" s="659">
        <v>472</v>
      </c>
      <c r="DY56" s="659">
        <v>478.9</v>
      </c>
      <c r="DZ56" s="659">
        <v>492.1</v>
      </c>
      <c r="EA56" s="897">
        <v>511.6</v>
      </c>
      <c r="EB56" s="659">
        <v>520</v>
      </c>
      <c r="EC56" s="659">
        <v>523</v>
      </c>
      <c r="ED56" s="659">
        <v>547.29999999999995</v>
      </c>
      <c r="EE56" s="659">
        <v>554.20000000000005</v>
      </c>
      <c r="EF56" s="659">
        <v>559.79999999999995</v>
      </c>
      <c r="EG56" s="659">
        <v>569.79999999999995</v>
      </c>
      <c r="EH56" s="659">
        <v>587</v>
      </c>
      <c r="EI56" s="659">
        <v>609.9</v>
      </c>
      <c r="EJ56" s="659">
        <v>613.9</v>
      </c>
      <c r="EK56" s="623">
        <v>620.6</v>
      </c>
      <c r="EL56" s="725">
        <v>625.20000000000005</v>
      </c>
      <c r="EM56" s="659">
        <v>629.4</v>
      </c>
      <c r="EN56" s="783">
        <v>634.4</v>
      </c>
      <c r="EO56" s="659">
        <v>630.79999999999995</v>
      </c>
      <c r="EP56" s="659">
        <v>633.5</v>
      </c>
      <c r="EQ56" s="659">
        <v>643.4</v>
      </c>
      <c r="ER56" s="659">
        <v>650.4</v>
      </c>
      <c r="ES56" s="659">
        <v>666</v>
      </c>
      <c r="ET56" s="659">
        <v>692.8</v>
      </c>
      <c r="EU56" s="659">
        <v>740.6</v>
      </c>
      <c r="EV56" s="659">
        <v>763.7</v>
      </c>
      <c r="EW56" s="659">
        <v>729</v>
      </c>
      <c r="EX56" s="659">
        <v>750.6</v>
      </c>
      <c r="EY56" s="659">
        <v>785.3</v>
      </c>
      <c r="EZ56" s="783">
        <v>904.7</v>
      </c>
      <c r="FA56" s="659">
        <v>963</v>
      </c>
      <c r="FB56" s="659">
        <v>1102.8</v>
      </c>
      <c r="FC56" s="659">
        <v>1219.5</v>
      </c>
      <c r="FD56" s="659">
        <v>1248.2</v>
      </c>
      <c r="FE56" s="659">
        <v>1249.5999999999999</v>
      </c>
      <c r="FF56" s="659">
        <v>1282.9000000000001</v>
      </c>
      <c r="FG56" s="659">
        <v>1287.8</v>
      </c>
      <c r="FH56" s="659">
        <v>1314.8</v>
      </c>
      <c r="FI56" s="659">
        <v>1337.1</v>
      </c>
      <c r="FJ56" s="659">
        <v>1359.8</v>
      </c>
      <c r="FK56" s="897">
        <v>1359.5</v>
      </c>
      <c r="FL56" s="783">
        <v>1359.8</v>
      </c>
      <c r="FM56" s="659">
        <v>1430.3</v>
      </c>
      <c r="FN56" s="659">
        <v>1445.3</v>
      </c>
      <c r="FO56" s="659">
        <v>1466</v>
      </c>
      <c r="FP56" s="659">
        <v>1490.8</v>
      </c>
      <c r="FQ56" s="659">
        <v>1502.9</v>
      </c>
      <c r="FR56" s="659">
        <v>1523.1</v>
      </c>
      <c r="FS56" s="659">
        <v>1523.1</v>
      </c>
      <c r="FT56" s="659">
        <v>1584.8</v>
      </c>
      <c r="FU56" s="897">
        <v>1647.9</v>
      </c>
      <c r="FV56" s="1167">
        <f t="shared" si="0"/>
        <v>1.0398157496214033</v>
      </c>
    </row>
    <row r="57" spans="1:178" s="112" customFormat="1" ht="18.95" customHeight="1">
      <c r="A57" s="1543">
        <v>1</v>
      </c>
      <c r="B57" s="613">
        <v>32</v>
      </c>
      <c r="C57" s="614" t="s">
        <v>36</v>
      </c>
      <c r="D57" s="615" t="s">
        <v>37</v>
      </c>
      <c r="E57" s="614" t="s">
        <v>918</v>
      </c>
      <c r="F57" s="615"/>
      <c r="G57" s="614" t="s">
        <v>919</v>
      </c>
      <c r="H57" s="614" t="s">
        <v>920</v>
      </c>
      <c r="I57" s="647" t="s">
        <v>921</v>
      </c>
      <c r="J57" s="652"/>
      <c r="K57" s="671">
        <v>102.65</v>
      </c>
      <c r="L57" s="667">
        <v>120.06</v>
      </c>
      <c r="M57" s="618">
        <v>143.02000000000001</v>
      </c>
      <c r="N57" s="618">
        <v>154.24</v>
      </c>
      <c r="O57" s="618">
        <v>194.11</v>
      </c>
      <c r="P57" s="618">
        <v>208.51</v>
      </c>
      <c r="Q57" s="618">
        <v>242.96</v>
      </c>
      <c r="R57" s="618">
        <v>246.41</v>
      </c>
      <c r="S57" s="618">
        <v>244.88</v>
      </c>
      <c r="T57" s="618">
        <v>247.77</v>
      </c>
      <c r="U57" s="618">
        <v>246.97</v>
      </c>
      <c r="V57" s="618">
        <v>246.97</v>
      </c>
      <c r="W57" s="618">
        <v>246.97</v>
      </c>
      <c r="X57" s="618">
        <v>246.97</v>
      </c>
      <c r="Y57" s="618">
        <v>246.97</v>
      </c>
      <c r="Z57" s="618">
        <v>246.97</v>
      </c>
      <c r="AA57" s="618">
        <v>250.06</v>
      </c>
      <c r="AB57" s="618">
        <v>242.79</v>
      </c>
      <c r="AC57" s="618">
        <v>241.64</v>
      </c>
      <c r="AD57" s="618">
        <v>248.49</v>
      </c>
      <c r="AE57" s="618">
        <v>246.15</v>
      </c>
      <c r="AF57" s="618">
        <v>246.15</v>
      </c>
      <c r="AG57" s="618">
        <v>246.15</v>
      </c>
      <c r="AH57" s="618">
        <v>246.15</v>
      </c>
      <c r="AI57" s="766">
        <v>244.16</v>
      </c>
      <c r="AJ57" s="774">
        <v>244.13</v>
      </c>
      <c r="AK57" s="618">
        <v>246.02</v>
      </c>
      <c r="AL57" s="618">
        <v>247.42</v>
      </c>
      <c r="AM57" s="618">
        <v>247.42</v>
      </c>
      <c r="AN57" s="618">
        <v>247.42</v>
      </c>
      <c r="AO57" s="618">
        <v>249.19</v>
      </c>
      <c r="AP57" s="618">
        <v>250.87</v>
      </c>
      <c r="AQ57" s="618">
        <v>253.19</v>
      </c>
      <c r="AR57" s="618">
        <v>254.48</v>
      </c>
      <c r="AS57" s="618">
        <v>263.67</v>
      </c>
      <c r="AT57" s="618">
        <v>263.68</v>
      </c>
      <c r="AU57" s="766">
        <v>264.87</v>
      </c>
      <c r="AV57" s="769">
        <v>272.2</v>
      </c>
      <c r="AW57" s="619">
        <v>272.2</v>
      </c>
      <c r="AX57" s="619">
        <v>274.3</v>
      </c>
      <c r="AY57" s="619">
        <v>278.70999999999998</v>
      </c>
      <c r="AZ57" s="619">
        <v>280.18</v>
      </c>
      <c r="BA57" s="619">
        <v>280.18</v>
      </c>
      <c r="BB57" s="619">
        <v>288.26</v>
      </c>
      <c r="BC57" s="620">
        <v>288.26</v>
      </c>
      <c r="BD57" s="619">
        <v>288.69</v>
      </c>
      <c r="BE57" s="620">
        <v>288.69</v>
      </c>
      <c r="BF57" s="620">
        <v>289.20999999999998</v>
      </c>
      <c r="BG57" s="750">
        <v>295.74</v>
      </c>
      <c r="BH57" s="662">
        <v>295.87</v>
      </c>
      <c r="BI57" s="617">
        <v>299.66000000000003</v>
      </c>
      <c r="BJ57" s="617">
        <v>299.66000000000003</v>
      </c>
      <c r="BK57" s="617">
        <v>305.86</v>
      </c>
      <c r="BL57" s="617">
        <v>306.79000000000002</v>
      </c>
      <c r="BM57" s="617">
        <v>308.29000000000002</v>
      </c>
      <c r="BN57" s="617">
        <v>309.35000000000002</v>
      </c>
      <c r="BO57" s="617">
        <v>310.27999999999997</v>
      </c>
      <c r="BP57" s="617">
        <v>310.27999999999997</v>
      </c>
      <c r="BQ57" s="617">
        <v>314.88</v>
      </c>
      <c r="BR57" s="617">
        <v>316.41000000000003</v>
      </c>
      <c r="BS57" s="737">
        <v>325.44</v>
      </c>
      <c r="BT57" s="662">
        <v>325.41000000000003</v>
      </c>
      <c r="BU57" s="617">
        <v>327.02</v>
      </c>
      <c r="BV57" s="617">
        <v>325.7</v>
      </c>
      <c r="BW57" s="617">
        <v>332.39</v>
      </c>
      <c r="BX57" s="617">
        <v>333.64</v>
      </c>
      <c r="BY57" s="617">
        <v>338.35</v>
      </c>
      <c r="BZ57" s="617">
        <v>338.35</v>
      </c>
      <c r="CA57" s="617">
        <v>341.83</v>
      </c>
      <c r="CB57" s="617">
        <v>351.7</v>
      </c>
      <c r="CC57" s="617">
        <v>350.67</v>
      </c>
      <c r="CD57" s="617">
        <v>358.04</v>
      </c>
      <c r="CE57" s="737">
        <v>371.96</v>
      </c>
      <c r="CF57" s="662">
        <v>371.96</v>
      </c>
      <c r="CG57" s="617">
        <v>380.8</v>
      </c>
      <c r="CH57" s="617">
        <v>388.99</v>
      </c>
      <c r="CI57" s="617">
        <v>399.13</v>
      </c>
      <c r="CJ57" s="617">
        <v>403.68</v>
      </c>
      <c r="CK57" s="617">
        <v>412.29</v>
      </c>
      <c r="CL57" s="617">
        <v>415.36</v>
      </c>
      <c r="CM57" s="617">
        <v>417.7</v>
      </c>
      <c r="CN57" s="617">
        <v>432.03</v>
      </c>
      <c r="CO57" s="617">
        <v>432.03</v>
      </c>
      <c r="CP57" s="617">
        <v>447.4</v>
      </c>
      <c r="CQ57" s="737">
        <v>454.48</v>
      </c>
      <c r="CR57" s="662">
        <v>461.88</v>
      </c>
      <c r="CS57" s="617">
        <v>464.46</v>
      </c>
      <c r="CT57" s="617">
        <v>464.46</v>
      </c>
      <c r="CU57" s="617">
        <v>492.74</v>
      </c>
      <c r="CV57" s="623">
        <v>500.13</v>
      </c>
      <c r="CW57" s="623">
        <v>504.45</v>
      </c>
      <c r="CX57" s="623">
        <v>504.45</v>
      </c>
      <c r="CY57" s="623">
        <v>520.47</v>
      </c>
      <c r="CZ57" s="623">
        <v>520.47</v>
      </c>
      <c r="DA57" s="623">
        <v>515.28</v>
      </c>
      <c r="DB57" s="725">
        <v>533.49</v>
      </c>
      <c r="DC57" s="659">
        <v>540.09</v>
      </c>
      <c r="DD57" s="783">
        <v>542.66999999999996</v>
      </c>
      <c r="DE57" s="623">
        <v>545.79999999999995</v>
      </c>
      <c r="DF57" s="725">
        <v>550.15</v>
      </c>
      <c r="DG57" s="659">
        <v>563.03</v>
      </c>
      <c r="DH57" s="623">
        <v>563.03</v>
      </c>
      <c r="DI57" s="623">
        <v>563.03</v>
      </c>
      <c r="DJ57" s="623">
        <v>578.72</v>
      </c>
      <c r="DK57" s="659">
        <v>588.14</v>
      </c>
      <c r="DL57" s="623">
        <v>590.92999999999995</v>
      </c>
      <c r="DM57" s="659">
        <v>598.23</v>
      </c>
      <c r="DN57" s="659">
        <v>609.80999999999995</v>
      </c>
      <c r="DO57" s="897">
        <v>622.79999999999995</v>
      </c>
      <c r="DP57" s="783">
        <v>625.02</v>
      </c>
      <c r="DQ57" s="659">
        <v>625.02</v>
      </c>
      <c r="DR57" s="659">
        <v>627.89</v>
      </c>
      <c r="DS57" s="659">
        <v>647.21</v>
      </c>
      <c r="DT57" s="623">
        <v>649.02</v>
      </c>
      <c r="DU57" s="659">
        <v>646.66</v>
      </c>
      <c r="DV57" s="659">
        <v>675.6</v>
      </c>
      <c r="DW57" s="659">
        <v>675.6</v>
      </c>
      <c r="DX57" s="659">
        <v>681.11</v>
      </c>
      <c r="DY57" s="659">
        <v>694.59</v>
      </c>
      <c r="DZ57" s="659">
        <v>711.05</v>
      </c>
      <c r="EA57" s="897">
        <v>713.19</v>
      </c>
      <c r="EB57" s="659">
        <v>725.58</v>
      </c>
      <c r="EC57" s="659">
        <v>749.22</v>
      </c>
      <c r="ED57" s="659">
        <v>749.22</v>
      </c>
      <c r="EE57" s="659">
        <v>760.16</v>
      </c>
      <c r="EF57" s="659">
        <v>763.35</v>
      </c>
      <c r="EG57" s="659">
        <v>766.82</v>
      </c>
      <c r="EH57" s="659">
        <v>762</v>
      </c>
      <c r="EI57" s="659">
        <v>769.02</v>
      </c>
      <c r="EJ57" s="659">
        <v>769.02</v>
      </c>
      <c r="EK57" s="623">
        <v>769.02</v>
      </c>
      <c r="EL57" s="725">
        <v>770.62</v>
      </c>
      <c r="EM57" s="659">
        <v>776.17</v>
      </c>
      <c r="EN57" s="783">
        <v>776.09</v>
      </c>
      <c r="EO57" s="659">
        <v>776.09</v>
      </c>
      <c r="EP57" s="659">
        <v>776.09</v>
      </c>
      <c r="EQ57" s="659">
        <v>781.93</v>
      </c>
      <c r="ER57" s="659">
        <v>790.32</v>
      </c>
      <c r="ES57" s="659">
        <v>811.93</v>
      </c>
      <c r="ET57" s="659">
        <v>847.54</v>
      </c>
      <c r="EU57" s="659">
        <v>847.54</v>
      </c>
      <c r="EV57" s="659">
        <v>854.36</v>
      </c>
      <c r="EW57" s="659">
        <v>854.36</v>
      </c>
      <c r="EX57" s="659">
        <v>891.6</v>
      </c>
      <c r="EY57" s="659">
        <v>918.36</v>
      </c>
      <c r="EZ57" s="783">
        <v>989.37</v>
      </c>
      <c r="FA57" s="659">
        <v>1039.57</v>
      </c>
      <c r="FB57" s="659">
        <v>1052.31</v>
      </c>
      <c r="FC57" s="659">
        <v>1062.0899999999999</v>
      </c>
      <c r="FD57" s="659">
        <v>1090.58</v>
      </c>
      <c r="FE57" s="659">
        <v>1112.4100000000001</v>
      </c>
      <c r="FF57" s="659">
        <v>1112.4100000000001</v>
      </c>
      <c r="FG57" s="659">
        <v>1130.4100000000001</v>
      </c>
      <c r="FH57" s="659">
        <v>1169.3699999999999</v>
      </c>
      <c r="FI57" s="659">
        <v>1187.5999999999999</v>
      </c>
      <c r="FJ57" s="659">
        <v>1240.26</v>
      </c>
      <c r="FK57" s="897">
        <v>1273.22</v>
      </c>
      <c r="FL57" s="783">
        <v>1273.22</v>
      </c>
      <c r="FM57" s="659">
        <v>1318.56</v>
      </c>
      <c r="FN57" s="659">
        <v>1338.97</v>
      </c>
      <c r="FO57" s="659">
        <v>1347.08</v>
      </c>
      <c r="FP57" s="659">
        <v>1347.08</v>
      </c>
      <c r="FQ57" s="659">
        <v>1347.08</v>
      </c>
      <c r="FR57" s="659">
        <v>1400.4</v>
      </c>
      <c r="FS57" s="659">
        <v>1416.99</v>
      </c>
      <c r="FT57" s="659">
        <v>1416.99</v>
      </c>
      <c r="FU57" s="897">
        <v>1485.54</v>
      </c>
      <c r="FV57" s="1167">
        <f t="shared" si="0"/>
        <v>1.0483771939110367</v>
      </c>
    </row>
    <row r="58" spans="1:178" s="112" customFormat="1" ht="30" customHeight="1">
      <c r="A58" s="1543">
        <v>1</v>
      </c>
      <c r="B58" s="408">
        <v>33</v>
      </c>
      <c r="C58" s="621" t="s">
        <v>545</v>
      </c>
      <c r="D58" s="622" t="s">
        <v>38</v>
      </c>
      <c r="E58" s="621" t="s">
        <v>918</v>
      </c>
      <c r="F58" s="622"/>
      <c r="G58" s="621" t="s">
        <v>929</v>
      </c>
      <c r="H58" s="621" t="s">
        <v>930</v>
      </c>
      <c r="I58" s="390" t="s">
        <v>193</v>
      </c>
      <c r="J58" s="651"/>
      <c r="K58" s="669">
        <v>90.3</v>
      </c>
      <c r="L58" s="665">
        <v>108.5</v>
      </c>
      <c r="M58" s="625">
        <v>139.30000000000001</v>
      </c>
      <c r="N58" s="625">
        <v>157.1</v>
      </c>
      <c r="O58" s="625">
        <v>198.6</v>
      </c>
      <c r="P58" s="625">
        <v>210.1</v>
      </c>
      <c r="Q58" s="625">
        <v>229.8</v>
      </c>
      <c r="R58" s="625">
        <v>228.2</v>
      </c>
      <c r="S58" s="625">
        <v>210.1</v>
      </c>
      <c r="T58" s="625">
        <v>200.7</v>
      </c>
      <c r="U58" s="625">
        <v>197.4</v>
      </c>
      <c r="V58" s="625">
        <v>191.3</v>
      </c>
      <c r="W58" s="625">
        <v>192.6</v>
      </c>
      <c r="X58" s="625">
        <v>193.6</v>
      </c>
      <c r="Y58" s="625">
        <v>196.9</v>
      </c>
      <c r="Z58" s="625">
        <v>197.4</v>
      </c>
      <c r="AA58" s="625">
        <v>201.9</v>
      </c>
      <c r="AB58" s="625">
        <v>201.7</v>
      </c>
      <c r="AC58" s="625">
        <v>201.4</v>
      </c>
      <c r="AD58" s="625">
        <v>202.7</v>
      </c>
      <c r="AE58" s="625">
        <v>204.7</v>
      </c>
      <c r="AF58" s="625">
        <v>206.9</v>
      </c>
      <c r="AG58" s="625">
        <v>206.4</v>
      </c>
      <c r="AH58" s="625">
        <v>209</v>
      </c>
      <c r="AI58" s="764">
        <v>211.6</v>
      </c>
      <c r="AJ58" s="772">
        <v>219.8</v>
      </c>
      <c r="AK58" s="625">
        <v>235.2</v>
      </c>
      <c r="AL58" s="625">
        <v>247.8</v>
      </c>
      <c r="AM58" s="625">
        <v>257.39999999999998</v>
      </c>
      <c r="AN58" s="625">
        <v>267.60000000000002</v>
      </c>
      <c r="AO58" s="625">
        <v>268</v>
      </c>
      <c r="AP58" s="625">
        <v>266.7</v>
      </c>
      <c r="AQ58" s="625">
        <v>266.2</v>
      </c>
      <c r="AR58" s="625">
        <v>265.60000000000002</v>
      </c>
      <c r="AS58" s="625">
        <v>277.8</v>
      </c>
      <c r="AT58" s="625">
        <v>277.8</v>
      </c>
      <c r="AU58" s="764">
        <v>289.3</v>
      </c>
      <c r="AV58" s="752">
        <v>287.7</v>
      </c>
      <c r="AW58" s="626">
        <v>282.7</v>
      </c>
      <c r="AX58" s="626">
        <v>295</v>
      </c>
      <c r="AY58" s="626">
        <v>292</v>
      </c>
      <c r="AZ58" s="626">
        <v>290.7</v>
      </c>
      <c r="BA58" s="626">
        <v>291.39999999999998</v>
      </c>
      <c r="BB58" s="626">
        <v>291.3</v>
      </c>
      <c r="BC58" s="627">
        <v>296.7</v>
      </c>
      <c r="BD58" s="626">
        <v>301</v>
      </c>
      <c r="BE58" s="627">
        <v>309.10000000000002</v>
      </c>
      <c r="BF58" s="627">
        <v>327.2</v>
      </c>
      <c r="BG58" s="738">
        <v>358.8</v>
      </c>
      <c r="BH58" s="660">
        <v>378</v>
      </c>
      <c r="BI58" s="623">
        <v>389.4</v>
      </c>
      <c r="BJ58" s="623">
        <v>401.7</v>
      </c>
      <c r="BK58" s="623">
        <v>441.4</v>
      </c>
      <c r="BL58" s="623">
        <v>613.6</v>
      </c>
      <c r="BM58" s="623">
        <v>626.79999999999995</v>
      </c>
      <c r="BN58" s="623">
        <v>597.79999999999995</v>
      </c>
      <c r="BO58" s="623">
        <v>593.79999999999995</v>
      </c>
      <c r="BP58" s="623">
        <v>595.20000000000005</v>
      </c>
      <c r="BQ58" s="623">
        <v>592.4</v>
      </c>
      <c r="BR58" s="623">
        <v>592.20000000000005</v>
      </c>
      <c r="BS58" s="659">
        <v>581.6</v>
      </c>
      <c r="BT58" s="660">
        <v>579.5</v>
      </c>
      <c r="BU58" s="623">
        <v>561.9</v>
      </c>
      <c r="BV58" s="623">
        <v>543.4</v>
      </c>
      <c r="BW58" s="623">
        <v>617.1</v>
      </c>
      <c r="BX58" s="623">
        <v>663</v>
      </c>
      <c r="BY58" s="623">
        <v>660.1</v>
      </c>
      <c r="BZ58" s="623">
        <v>660.1</v>
      </c>
      <c r="CA58" s="623">
        <v>676.4</v>
      </c>
      <c r="CB58" s="623">
        <v>686.9</v>
      </c>
      <c r="CC58" s="623">
        <v>701.8</v>
      </c>
      <c r="CD58" s="623">
        <v>713.5</v>
      </c>
      <c r="CE58" s="659">
        <v>712</v>
      </c>
      <c r="CF58" s="660">
        <v>712.1</v>
      </c>
      <c r="CG58" s="623">
        <v>715.5</v>
      </c>
      <c r="CH58" s="623">
        <v>750.9</v>
      </c>
      <c r="CI58" s="623">
        <v>769.4</v>
      </c>
      <c r="CJ58" s="623">
        <v>784.6</v>
      </c>
      <c r="CK58" s="623">
        <v>784.5</v>
      </c>
      <c r="CL58" s="623">
        <v>782.5</v>
      </c>
      <c r="CM58" s="623">
        <v>786.2</v>
      </c>
      <c r="CN58" s="623">
        <v>786.2</v>
      </c>
      <c r="CO58" s="623">
        <v>788.8</v>
      </c>
      <c r="CP58" s="623">
        <v>716.3</v>
      </c>
      <c r="CQ58" s="659">
        <v>687.1</v>
      </c>
      <c r="CR58" s="660">
        <v>652.4</v>
      </c>
      <c r="CS58" s="623">
        <v>624.9</v>
      </c>
      <c r="CT58" s="623">
        <v>601.29999999999995</v>
      </c>
      <c r="CU58" s="623">
        <v>600</v>
      </c>
      <c r="CV58" s="623">
        <v>599.79999999999995</v>
      </c>
      <c r="CW58" s="623">
        <v>596.29999999999995</v>
      </c>
      <c r="CX58" s="623">
        <v>615.70000000000005</v>
      </c>
      <c r="CY58" s="623">
        <v>657.8</v>
      </c>
      <c r="CZ58" s="623">
        <v>685.3</v>
      </c>
      <c r="DA58" s="623">
        <v>694</v>
      </c>
      <c r="DB58" s="725">
        <v>687.3</v>
      </c>
      <c r="DC58" s="659">
        <v>716.5</v>
      </c>
      <c r="DD58" s="783">
        <v>754.7</v>
      </c>
      <c r="DE58" s="623">
        <v>770.9</v>
      </c>
      <c r="DF58" s="725">
        <v>779.6</v>
      </c>
      <c r="DG58" s="659">
        <v>778.6</v>
      </c>
      <c r="DH58" s="623">
        <v>791.4</v>
      </c>
      <c r="DI58" s="623">
        <v>764.3</v>
      </c>
      <c r="DJ58" s="623">
        <v>761.6</v>
      </c>
      <c r="DK58" s="659">
        <v>777.3</v>
      </c>
      <c r="DL58" s="623">
        <v>803.8</v>
      </c>
      <c r="DM58" s="659">
        <v>849.3</v>
      </c>
      <c r="DN58" s="659">
        <v>893.2</v>
      </c>
      <c r="DO58" s="897">
        <v>945.9</v>
      </c>
      <c r="DP58" s="783">
        <v>992.9</v>
      </c>
      <c r="DQ58" s="659">
        <v>1013.7</v>
      </c>
      <c r="DR58" s="659">
        <v>1053.9000000000001</v>
      </c>
      <c r="DS58" s="659">
        <v>1087.8</v>
      </c>
      <c r="DT58" s="623">
        <v>1096.5</v>
      </c>
      <c r="DU58" s="659">
        <v>1099.5999999999999</v>
      </c>
      <c r="DV58" s="659">
        <v>1116.9000000000001</v>
      </c>
      <c r="DW58" s="659">
        <v>1149.4000000000001</v>
      </c>
      <c r="DX58" s="888">
        <v>1149.5999999999999</v>
      </c>
      <c r="DY58" s="888">
        <v>1106.5</v>
      </c>
      <c r="DZ58" s="888">
        <v>1106.9000000000001</v>
      </c>
      <c r="EA58" s="968">
        <v>1113.3</v>
      </c>
      <c r="EB58" s="888">
        <v>1117.5999999999999</v>
      </c>
      <c r="EC58" s="888">
        <v>1130.9000000000001</v>
      </c>
      <c r="ED58" s="659">
        <v>1143.5999999999999</v>
      </c>
      <c r="EE58" s="659">
        <v>1143.5</v>
      </c>
      <c r="EF58" s="659">
        <v>1145.2</v>
      </c>
      <c r="EG58" s="659">
        <v>1150.8</v>
      </c>
      <c r="EH58" s="659">
        <v>1147.3</v>
      </c>
      <c r="EI58" s="659">
        <v>1147.9000000000001</v>
      </c>
      <c r="EJ58" s="659">
        <v>1179</v>
      </c>
      <c r="EK58" s="623">
        <v>1184.5999999999999</v>
      </c>
      <c r="EL58" s="725">
        <v>1188.8</v>
      </c>
      <c r="EM58" s="659">
        <v>1254</v>
      </c>
      <c r="EN58" s="783">
        <v>1255.2</v>
      </c>
      <c r="EO58" s="659">
        <v>1254.9000000000001</v>
      </c>
      <c r="EP58" s="659">
        <v>1269.7</v>
      </c>
      <c r="EQ58" s="659">
        <v>1275.5</v>
      </c>
      <c r="ER58" s="659">
        <v>1294.7</v>
      </c>
      <c r="ES58" s="659">
        <v>1330.6</v>
      </c>
      <c r="ET58" s="659">
        <v>1339.9</v>
      </c>
      <c r="EU58" s="659">
        <v>1366.5</v>
      </c>
      <c r="EV58" s="659">
        <v>1438.4</v>
      </c>
      <c r="EW58" s="659">
        <v>1492.6</v>
      </c>
      <c r="EX58" s="659">
        <v>1605.5</v>
      </c>
      <c r="EY58" s="659">
        <v>1666.7</v>
      </c>
      <c r="EZ58" s="783">
        <v>1758.3</v>
      </c>
      <c r="FA58" s="659">
        <v>1998.7</v>
      </c>
      <c r="FB58" s="659">
        <v>2089.5</v>
      </c>
      <c r="FC58" s="659">
        <v>2051.1999999999998</v>
      </c>
      <c r="FD58" s="659">
        <v>2052.5</v>
      </c>
      <c r="FE58" s="659">
        <v>2077.5</v>
      </c>
      <c r="FF58" s="659">
        <v>2077.5</v>
      </c>
      <c r="FG58" s="659">
        <v>2093</v>
      </c>
      <c r="FH58" s="659">
        <v>2103</v>
      </c>
      <c r="FI58" s="659">
        <v>2124.5</v>
      </c>
      <c r="FJ58" s="659">
        <v>2135.6999999999998</v>
      </c>
      <c r="FK58" s="897">
        <v>2215.9</v>
      </c>
      <c r="FL58" s="783">
        <v>2169.6</v>
      </c>
      <c r="FM58" s="659">
        <v>2172.5</v>
      </c>
      <c r="FN58" s="659">
        <v>2159</v>
      </c>
      <c r="FO58" s="659">
        <v>2147.9</v>
      </c>
      <c r="FP58" s="659">
        <v>2142.9</v>
      </c>
      <c r="FQ58" s="659">
        <v>2159</v>
      </c>
      <c r="FR58" s="659">
        <v>2143.4</v>
      </c>
      <c r="FS58" s="659">
        <v>2100</v>
      </c>
      <c r="FT58" s="659">
        <v>2088.5</v>
      </c>
      <c r="FU58" s="897">
        <v>2083.1</v>
      </c>
      <c r="FV58" s="1167">
        <f t="shared" si="0"/>
        <v>0.99741441225760108</v>
      </c>
    </row>
    <row r="59" spans="1:178" s="112" customFormat="1" ht="18.95" customHeight="1">
      <c r="A59" s="1543">
        <v>1</v>
      </c>
      <c r="B59" s="644">
        <v>34</v>
      </c>
      <c r="C59" s="645" t="s">
        <v>546</v>
      </c>
      <c r="D59" s="646" t="s">
        <v>39</v>
      </c>
      <c r="E59" s="645" t="s">
        <v>918</v>
      </c>
      <c r="F59" s="646"/>
      <c r="G59" s="645" t="s">
        <v>929</v>
      </c>
      <c r="H59" s="645" t="s">
        <v>930</v>
      </c>
      <c r="I59" s="876" t="s">
        <v>921</v>
      </c>
      <c r="J59" s="869"/>
      <c r="K59" s="877">
        <v>109.9</v>
      </c>
      <c r="L59" s="878">
        <v>128.6</v>
      </c>
      <c r="M59" s="879">
        <v>141.19999999999999</v>
      </c>
      <c r="N59" s="879">
        <v>186</v>
      </c>
      <c r="O59" s="879">
        <v>197.8</v>
      </c>
      <c r="P59" s="879">
        <v>212.5</v>
      </c>
      <c r="Q59" s="879">
        <v>203.8</v>
      </c>
      <c r="R59" s="879">
        <v>226</v>
      </c>
      <c r="S59" s="879">
        <v>228.2</v>
      </c>
      <c r="T59" s="879">
        <v>219.1</v>
      </c>
      <c r="U59" s="879">
        <v>231.3</v>
      </c>
      <c r="V59" s="879">
        <v>226.3</v>
      </c>
      <c r="W59" s="879">
        <v>225.5</v>
      </c>
      <c r="X59" s="879">
        <v>217.3</v>
      </c>
      <c r="Y59" s="879">
        <v>220.8</v>
      </c>
      <c r="Z59" s="879">
        <v>225.9</v>
      </c>
      <c r="AA59" s="879">
        <v>225</v>
      </c>
      <c r="AB59" s="879">
        <v>228.8</v>
      </c>
      <c r="AC59" s="879">
        <v>229.4</v>
      </c>
      <c r="AD59" s="879">
        <v>223.9</v>
      </c>
      <c r="AE59" s="879">
        <v>214.4</v>
      </c>
      <c r="AF59" s="879">
        <v>228.2</v>
      </c>
      <c r="AG59" s="879">
        <v>228.2</v>
      </c>
      <c r="AH59" s="879">
        <v>227.8</v>
      </c>
      <c r="AI59" s="880">
        <v>230</v>
      </c>
      <c r="AJ59" s="881">
        <v>240.7</v>
      </c>
      <c r="AK59" s="879">
        <v>271.60000000000002</v>
      </c>
      <c r="AL59" s="879">
        <v>292.2</v>
      </c>
      <c r="AM59" s="879">
        <v>298.8</v>
      </c>
      <c r="AN59" s="879">
        <v>296.7</v>
      </c>
      <c r="AO59" s="879">
        <v>298.10000000000002</v>
      </c>
      <c r="AP59" s="879">
        <v>289.39999999999998</v>
      </c>
      <c r="AQ59" s="879">
        <v>281.10000000000002</v>
      </c>
      <c r="AR59" s="879">
        <v>279.89999999999998</v>
      </c>
      <c r="AS59" s="879">
        <v>290.2</v>
      </c>
      <c r="AT59" s="879">
        <v>296.10000000000002</v>
      </c>
      <c r="AU59" s="880">
        <v>304.60000000000002</v>
      </c>
      <c r="AV59" s="882">
        <v>311.7</v>
      </c>
      <c r="AW59" s="883">
        <v>318.60000000000002</v>
      </c>
      <c r="AX59" s="883">
        <v>326.2</v>
      </c>
      <c r="AY59" s="883">
        <v>345</v>
      </c>
      <c r="AZ59" s="883">
        <v>344.9</v>
      </c>
      <c r="BA59" s="883">
        <v>345</v>
      </c>
      <c r="BB59" s="883">
        <v>344.9</v>
      </c>
      <c r="BC59" s="884">
        <v>347</v>
      </c>
      <c r="BD59" s="883">
        <v>348.3</v>
      </c>
      <c r="BE59" s="884">
        <v>351.6</v>
      </c>
      <c r="BF59" s="884">
        <v>376.6</v>
      </c>
      <c r="BG59" s="885">
        <v>420.8</v>
      </c>
      <c r="BH59" s="886">
        <v>435.9</v>
      </c>
      <c r="BI59" s="887">
        <v>440.7</v>
      </c>
      <c r="BJ59" s="887">
        <v>446.8</v>
      </c>
      <c r="BK59" s="887">
        <v>458.9</v>
      </c>
      <c r="BL59" s="887">
        <v>612.6</v>
      </c>
      <c r="BM59" s="887">
        <v>663.9</v>
      </c>
      <c r="BN59" s="887">
        <v>652.9</v>
      </c>
      <c r="BO59" s="887">
        <v>636.4</v>
      </c>
      <c r="BP59" s="887">
        <v>611.70000000000005</v>
      </c>
      <c r="BQ59" s="887">
        <v>609.5</v>
      </c>
      <c r="BR59" s="887">
        <v>605.9</v>
      </c>
      <c r="BS59" s="888">
        <v>575.5</v>
      </c>
      <c r="BT59" s="886">
        <v>577.20000000000005</v>
      </c>
      <c r="BU59" s="887">
        <v>547.20000000000005</v>
      </c>
      <c r="BV59" s="887">
        <v>510.6</v>
      </c>
      <c r="BW59" s="887">
        <v>569.20000000000005</v>
      </c>
      <c r="BX59" s="887">
        <v>589.20000000000005</v>
      </c>
      <c r="BY59" s="887">
        <v>584.5</v>
      </c>
      <c r="BZ59" s="887">
        <v>604.29999999999995</v>
      </c>
      <c r="CA59" s="887">
        <v>612.6</v>
      </c>
      <c r="CB59" s="887">
        <v>619</v>
      </c>
      <c r="CC59" s="887">
        <v>636.79999999999995</v>
      </c>
      <c r="CD59" s="887">
        <v>636.9</v>
      </c>
      <c r="CE59" s="888">
        <v>639.70000000000005</v>
      </c>
      <c r="CF59" s="886">
        <v>653</v>
      </c>
      <c r="CG59" s="887">
        <v>669</v>
      </c>
      <c r="CH59" s="887">
        <v>720.9</v>
      </c>
      <c r="CI59" s="887">
        <v>716.6</v>
      </c>
      <c r="CJ59" s="887">
        <v>717.7</v>
      </c>
      <c r="CK59" s="887">
        <v>714.2</v>
      </c>
      <c r="CL59" s="887">
        <v>711.7</v>
      </c>
      <c r="CM59" s="887">
        <v>714.3</v>
      </c>
      <c r="CN59" s="887">
        <v>714.3</v>
      </c>
      <c r="CO59" s="887">
        <v>710.3</v>
      </c>
      <c r="CP59" s="887">
        <v>651.1</v>
      </c>
      <c r="CQ59" s="888">
        <v>631</v>
      </c>
      <c r="CR59" s="886">
        <v>603.5</v>
      </c>
      <c r="CS59" s="887">
        <v>557.20000000000005</v>
      </c>
      <c r="CT59" s="887">
        <v>555.20000000000005</v>
      </c>
      <c r="CU59" s="887">
        <v>559.4</v>
      </c>
      <c r="CV59" s="887">
        <v>544.29999999999995</v>
      </c>
      <c r="CW59" s="887">
        <v>553.79999999999995</v>
      </c>
      <c r="CX59" s="887">
        <v>585</v>
      </c>
      <c r="CY59" s="887">
        <v>606.9</v>
      </c>
      <c r="CZ59" s="887">
        <v>623.20000000000005</v>
      </c>
      <c r="DA59" s="887">
        <v>619.79999999999995</v>
      </c>
      <c r="DB59" s="889">
        <v>625.1</v>
      </c>
      <c r="DC59" s="888">
        <v>638</v>
      </c>
      <c r="DD59" s="890">
        <v>664.4</v>
      </c>
      <c r="DE59" s="887">
        <v>694</v>
      </c>
      <c r="DF59" s="889">
        <v>699.9</v>
      </c>
      <c r="DG59" s="888">
        <v>721.3</v>
      </c>
      <c r="DH59" s="887">
        <v>731.3</v>
      </c>
      <c r="DI59" s="887">
        <v>729.5</v>
      </c>
      <c r="DJ59" s="887">
        <v>719.5</v>
      </c>
      <c r="DK59" s="888">
        <v>736.3</v>
      </c>
      <c r="DL59" s="887">
        <v>760.6</v>
      </c>
      <c r="DM59" s="888">
        <v>809.3</v>
      </c>
      <c r="DN59" s="888">
        <v>840.3</v>
      </c>
      <c r="DO59" s="968">
        <v>886.3</v>
      </c>
      <c r="DP59" s="890">
        <v>936.6</v>
      </c>
      <c r="DQ59" s="888">
        <v>968.6</v>
      </c>
      <c r="DR59" s="888">
        <v>960.1</v>
      </c>
      <c r="DS59" s="888">
        <v>975.2</v>
      </c>
      <c r="DT59" s="887">
        <v>972.9</v>
      </c>
      <c r="DU59" s="888">
        <v>967.5</v>
      </c>
      <c r="DV59" s="888">
        <v>1000.6</v>
      </c>
      <c r="DW59" s="888">
        <v>1036.5</v>
      </c>
      <c r="DX59" s="659">
        <v>1045.0999999999999</v>
      </c>
      <c r="DY59" s="659">
        <v>1006.6</v>
      </c>
      <c r="DZ59" s="659">
        <v>1008.5</v>
      </c>
      <c r="EA59" s="897">
        <v>997.2</v>
      </c>
      <c r="EB59" s="659">
        <v>997.1</v>
      </c>
      <c r="EC59" s="659">
        <v>1002.1</v>
      </c>
      <c r="ED59" s="659">
        <v>1025.2</v>
      </c>
      <c r="EE59" s="659">
        <v>1027.9000000000001</v>
      </c>
      <c r="EF59" s="659">
        <v>1029.5999999999999</v>
      </c>
      <c r="EG59" s="659">
        <v>1030.4000000000001</v>
      </c>
      <c r="EH59" s="659">
        <v>1010.5</v>
      </c>
      <c r="EI59" s="659">
        <v>1019.5</v>
      </c>
      <c r="EJ59" s="659">
        <v>1040</v>
      </c>
      <c r="EK59" s="623">
        <v>1050.9000000000001</v>
      </c>
      <c r="EL59" s="725">
        <v>1057.3</v>
      </c>
      <c r="EM59" s="659">
        <v>1101.2</v>
      </c>
      <c r="EN59" s="783">
        <v>1113.9000000000001</v>
      </c>
      <c r="EO59" s="659">
        <v>1139.0999999999999</v>
      </c>
      <c r="EP59" s="659">
        <v>1151.7</v>
      </c>
      <c r="EQ59" s="659">
        <v>1153.5</v>
      </c>
      <c r="ER59" s="659">
        <v>1174.4000000000001</v>
      </c>
      <c r="ES59" s="659">
        <v>1208.9000000000001</v>
      </c>
      <c r="ET59" s="659">
        <v>1217.5999999999999</v>
      </c>
      <c r="EU59" s="659">
        <v>1235.2</v>
      </c>
      <c r="EV59" s="659">
        <v>1295</v>
      </c>
      <c r="EW59" s="659">
        <v>1343.8</v>
      </c>
      <c r="EX59" s="659">
        <v>1463.8</v>
      </c>
      <c r="EY59" s="659">
        <v>1500.8</v>
      </c>
      <c r="EZ59" s="783">
        <v>1605.8</v>
      </c>
      <c r="FA59" s="659">
        <v>1827.4</v>
      </c>
      <c r="FB59" s="659">
        <v>1895.6</v>
      </c>
      <c r="FC59" s="659">
        <v>1899</v>
      </c>
      <c r="FD59" s="659">
        <v>1878.4</v>
      </c>
      <c r="FE59" s="659">
        <v>1900.2</v>
      </c>
      <c r="FF59" s="659">
        <v>1904.1</v>
      </c>
      <c r="FG59" s="659">
        <v>1903.5</v>
      </c>
      <c r="FH59" s="659">
        <v>1920.6</v>
      </c>
      <c r="FI59" s="659">
        <v>1947.4</v>
      </c>
      <c r="FJ59" s="659">
        <v>1975.5</v>
      </c>
      <c r="FK59" s="897">
        <v>1951</v>
      </c>
      <c r="FL59" s="783">
        <v>1957.8</v>
      </c>
      <c r="FM59" s="659">
        <v>1966.8</v>
      </c>
      <c r="FN59" s="659">
        <v>1956.9</v>
      </c>
      <c r="FO59" s="659">
        <v>1955.5</v>
      </c>
      <c r="FP59" s="659">
        <v>1956.1</v>
      </c>
      <c r="FQ59" s="659">
        <v>1958.3</v>
      </c>
      <c r="FR59" s="659">
        <v>1953</v>
      </c>
      <c r="FS59" s="659">
        <v>1944.6</v>
      </c>
      <c r="FT59" s="659">
        <v>1928.2</v>
      </c>
      <c r="FU59" s="897">
        <v>1917.6</v>
      </c>
      <c r="FV59" s="1167">
        <f t="shared" si="0"/>
        <v>0.99450264495384288</v>
      </c>
    </row>
    <row r="60" spans="1:178" s="112" customFormat="1" ht="18.95" customHeight="1">
      <c r="A60" s="1543">
        <v>1</v>
      </c>
      <c r="B60" s="408">
        <v>35</v>
      </c>
      <c r="C60" s="621" t="s">
        <v>547</v>
      </c>
      <c r="D60" s="622" t="s">
        <v>40</v>
      </c>
      <c r="E60" s="621" t="s">
        <v>918</v>
      </c>
      <c r="F60" s="622"/>
      <c r="G60" s="621" t="s">
        <v>929</v>
      </c>
      <c r="H60" s="621" t="s">
        <v>930</v>
      </c>
      <c r="I60" s="390" t="s">
        <v>921</v>
      </c>
      <c r="J60" s="651"/>
      <c r="K60" s="669">
        <v>110</v>
      </c>
      <c r="L60" s="665">
        <v>126.1</v>
      </c>
      <c r="M60" s="625">
        <v>143.6</v>
      </c>
      <c r="N60" s="625">
        <v>181</v>
      </c>
      <c r="O60" s="625">
        <v>187.6</v>
      </c>
      <c r="P60" s="625">
        <v>187.7</v>
      </c>
      <c r="Q60" s="625">
        <v>197.3</v>
      </c>
      <c r="R60" s="625">
        <v>202.7</v>
      </c>
      <c r="S60" s="625">
        <v>200.5</v>
      </c>
      <c r="T60" s="625">
        <v>204.3</v>
      </c>
      <c r="U60" s="625">
        <v>206.6</v>
      </c>
      <c r="V60" s="625">
        <v>205.8</v>
      </c>
      <c r="W60" s="625">
        <v>208.9</v>
      </c>
      <c r="X60" s="625">
        <v>210.6</v>
      </c>
      <c r="Y60" s="625">
        <v>210.6</v>
      </c>
      <c r="Z60" s="625">
        <v>229.5</v>
      </c>
      <c r="AA60" s="625">
        <v>229.5</v>
      </c>
      <c r="AB60" s="625">
        <v>229.5</v>
      </c>
      <c r="AC60" s="625">
        <v>217.5</v>
      </c>
      <c r="AD60" s="625">
        <v>217.1</v>
      </c>
      <c r="AE60" s="625">
        <v>217.1</v>
      </c>
      <c r="AF60" s="625">
        <v>217.1</v>
      </c>
      <c r="AG60" s="625">
        <v>216.2</v>
      </c>
      <c r="AH60" s="625">
        <v>217.5</v>
      </c>
      <c r="AI60" s="764">
        <v>217.8</v>
      </c>
      <c r="AJ60" s="772">
        <v>222.3</v>
      </c>
      <c r="AK60" s="625">
        <v>234.3</v>
      </c>
      <c r="AL60" s="625">
        <v>227.5</v>
      </c>
      <c r="AM60" s="625">
        <v>223.7</v>
      </c>
      <c r="AN60" s="625">
        <v>230</v>
      </c>
      <c r="AO60" s="625">
        <v>228.3</v>
      </c>
      <c r="AP60" s="625">
        <v>231.7</v>
      </c>
      <c r="AQ60" s="625">
        <v>237.4</v>
      </c>
      <c r="AR60" s="625">
        <v>238.2</v>
      </c>
      <c r="AS60" s="625">
        <v>242</v>
      </c>
      <c r="AT60" s="625">
        <v>243.4</v>
      </c>
      <c r="AU60" s="764">
        <v>244.6</v>
      </c>
      <c r="AV60" s="752">
        <v>249.5</v>
      </c>
      <c r="AW60" s="626">
        <v>250.8</v>
      </c>
      <c r="AX60" s="626">
        <v>253.2</v>
      </c>
      <c r="AY60" s="626">
        <v>252.7</v>
      </c>
      <c r="AZ60" s="626">
        <v>252.7</v>
      </c>
      <c r="BA60" s="626">
        <v>253.3</v>
      </c>
      <c r="BB60" s="626">
        <v>254.7</v>
      </c>
      <c r="BC60" s="627">
        <v>262.5</v>
      </c>
      <c r="BD60" s="626">
        <v>265.89999999999998</v>
      </c>
      <c r="BE60" s="627">
        <v>268.10000000000002</v>
      </c>
      <c r="BF60" s="627">
        <v>268.39999999999998</v>
      </c>
      <c r="BG60" s="738">
        <v>281.7</v>
      </c>
      <c r="BH60" s="660">
        <v>282.7</v>
      </c>
      <c r="BI60" s="623">
        <v>290.3</v>
      </c>
      <c r="BJ60" s="623">
        <v>295.2</v>
      </c>
      <c r="BK60" s="623">
        <v>295.2</v>
      </c>
      <c r="BL60" s="623">
        <v>295.2</v>
      </c>
      <c r="BM60" s="623">
        <v>297.10000000000002</v>
      </c>
      <c r="BN60" s="623">
        <v>301.7</v>
      </c>
      <c r="BO60" s="623">
        <v>305.60000000000002</v>
      </c>
      <c r="BP60" s="623">
        <v>308.10000000000002</v>
      </c>
      <c r="BQ60" s="623">
        <v>307</v>
      </c>
      <c r="BR60" s="623">
        <v>307</v>
      </c>
      <c r="BS60" s="659">
        <v>307.10000000000002</v>
      </c>
      <c r="BT60" s="660">
        <v>314.89999999999998</v>
      </c>
      <c r="BU60" s="623">
        <v>317.2</v>
      </c>
      <c r="BV60" s="623">
        <v>316.60000000000002</v>
      </c>
      <c r="BW60" s="623">
        <v>317.5</v>
      </c>
      <c r="BX60" s="623">
        <v>324.7</v>
      </c>
      <c r="BY60" s="623">
        <v>324.8</v>
      </c>
      <c r="BZ60" s="623">
        <v>324.7</v>
      </c>
      <c r="CA60" s="623">
        <v>324.7</v>
      </c>
      <c r="CB60" s="623">
        <v>329.6</v>
      </c>
      <c r="CC60" s="623">
        <v>329.6</v>
      </c>
      <c r="CD60" s="623">
        <v>337.9</v>
      </c>
      <c r="CE60" s="659">
        <v>338</v>
      </c>
      <c r="CF60" s="660">
        <v>347.8</v>
      </c>
      <c r="CG60" s="623">
        <v>350.7</v>
      </c>
      <c r="CH60" s="623">
        <v>398.6</v>
      </c>
      <c r="CI60" s="623">
        <v>414.4</v>
      </c>
      <c r="CJ60" s="623">
        <v>414.4</v>
      </c>
      <c r="CK60" s="623">
        <v>415.7</v>
      </c>
      <c r="CL60" s="623">
        <v>420.4</v>
      </c>
      <c r="CM60" s="623">
        <v>435.6</v>
      </c>
      <c r="CN60" s="623">
        <v>442.5</v>
      </c>
      <c r="CO60" s="623">
        <v>442.5</v>
      </c>
      <c r="CP60" s="623">
        <v>435.1</v>
      </c>
      <c r="CQ60" s="659">
        <v>435.1</v>
      </c>
      <c r="CR60" s="660">
        <v>435.1</v>
      </c>
      <c r="CS60" s="623">
        <v>435.1</v>
      </c>
      <c r="CT60" s="623">
        <v>439.1</v>
      </c>
      <c r="CU60" s="623">
        <v>439.1</v>
      </c>
      <c r="CV60" s="623">
        <v>439.1</v>
      </c>
      <c r="CW60" s="623">
        <v>439.1</v>
      </c>
      <c r="CX60" s="623">
        <v>439.1</v>
      </c>
      <c r="CY60" s="623">
        <v>446.1</v>
      </c>
      <c r="CZ60" s="623">
        <v>452.2</v>
      </c>
      <c r="DA60" s="623">
        <v>460</v>
      </c>
      <c r="DB60" s="725">
        <v>461.9</v>
      </c>
      <c r="DC60" s="659">
        <v>461.8</v>
      </c>
      <c r="DD60" s="783">
        <v>467.6</v>
      </c>
      <c r="DE60" s="623">
        <v>467.8</v>
      </c>
      <c r="DF60" s="725">
        <v>490.4</v>
      </c>
      <c r="DG60" s="659">
        <v>501.9</v>
      </c>
      <c r="DH60" s="623">
        <v>510.3</v>
      </c>
      <c r="DI60" s="623">
        <v>515.70000000000005</v>
      </c>
      <c r="DJ60" s="623">
        <v>522.6</v>
      </c>
      <c r="DK60" s="659">
        <v>522.6</v>
      </c>
      <c r="DL60" s="623">
        <v>528.79999999999995</v>
      </c>
      <c r="DM60" s="659">
        <v>548.70000000000005</v>
      </c>
      <c r="DN60" s="659">
        <v>562.1</v>
      </c>
      <c r="DO60" s="897">
        <v>562</v>
      </c>
      <c r="DP60" s="783">
        <v>582.70000000000005</v>
      </c>
      <c r="DQ60" s="659">
        <v>609.9</v>
      </c>
      <c r="DR60" s="659">
        <v>612.6</v>
      </c>
      <c r="DS60" s="659">
        <v>623.1</v>
      </c>
      <c r="DT60" s="623">
        <v>630.79999999999995</v>
      </c>
      <c r="DU60" s="659">
        <v>630.79999999999995</v>
      </c>
      <c r="DV60" s="659">
        <v>630.79999999999995</v>
      </c>
      <c r="DW60" s="659">
        <v>636.4</v>
      </c>
      <c r="DX60" s="659">
        <v>650</v>
      </c>
      <c r="DY60" s="659">
        <v>680</v>
      </c>
      <c r="DZ60" s="659">
        <v>690</v>
      </c>
      <c r="EA60" s="897">
        <v>690</v>
      </c>
      <c r="EB60" s="659">
        <v>696.6</v>
      </c>
      <c r="EC60" s="659">
        <v>717.1</v>
      </c>
      <c r="ED60" s="659">
        <v>744.1</v>
      </c>
      <c r="EE60" s="659">
        <v>752.8</v>
      </c>
      <c r="EF60" s="659">
        <v>761.5</v>
      </c>
      <c r="EG60" s="659">
        <v>795</v>
      </c>
      <c r="EH60" s="659">
        <v>795</v>
      </c>
      <c r="EI60" s="659">
        <v>812.9</v>
      </c>
      <c r="EJ60" s="659">
        <v>814</v>
      </c>
      <c r="EK60" s="623">
        <v>820.8</v>
      </c>
      <c r="EL60" s="725">
        <v>845.6</v>
      </c>
      <c r="EM60" s="659">
        <v>864.2</v>
      </c>
      <c r="EN60" s="783">
        <v>885.8</v>
      </c>
      <c r="EO60" s="659">
        <v>906.5</v>
      </c>
      <c r="EP60" s="659">
        <v>943.9</v>
      </c>
      <c r="EQ60" s="659">
        <v>957.3</v>
      </c>
      <c r="ER60" s="659">
        <v>968.7</v>
      </c>
      <c r="ES60" s="659">
        <v>1018.4</v>
      </c>
      <c r="ET60" s="659">
        <v>1018.4</v>
      </c>
      <c r="EU60" s="659">
        <v>1017.6</v>
      </c>
      <c r="EV60" s="659">
        <v>1050.8</v>
      </c>
      <c r="EW60" s="659">
        <v>1064.2</v>
      </c>
      <c r="EX60" s="659">
        <v>1088.8</v>
      </c>
      <c r="EY60" s="659">
        <v>1179.3</v>
      </c>
      <c r="EZ60" s="783">
        <v>1223.5</v>
      </c>
      <c r="FA60" s="659">
        <v>1468.6</v>
      </c>
      <c r="FB60" s="659">
        <v>1519.1</v>
      </c>
      <c r="FC60" s="659">
        <v>1523</v>
      </c>
      <c r="FD60" s="659">
        <v>1579.8</v>
      </c>
      <c r="FE60" s="659">
        <v>1611.4</v>
      </c>
      <c r="FF60" s="659">
        <v>1664.4</v>
      </c>
      <c r="FG60" s="659">
        <v>1690.3</v>
      </c>
      <c r="FH60" s="659">
        <v>1763.6</v>
      </c>
      <c r="FI60" s="659">
        <v>1790.4</v>
      </c>
      <c r="FJ60" s="659">
        <v>1790.4</v>
      </c>
      <c r="FK60" s="897">
        <v>1790.4</v>
      </c>
      <c r="FL60" s="783">
        <v>1802.3</v>
      </c>
      <c r="FM60" s="659">
        <v>1828.5</v>
      </c>
      <c r="FN60" s="659">
        <v>1875.4</v>
      </c>
      <c r="FO60" s="659">
        <v>1875.5</v>
      </c>
      <c r="FP60" s="659">
        <v>1866.4</v>
      </c>
      <c r="FQ60" s="659">
        <v>1892</v>
      </c>
      <c r="FR60" s="659">
        <v>1809.5</v>
      </c>
      <c r="FS60" s="659">
        <v>1880.5</v>
      </c>
      <c r="FT60" s="659">
        <v>1978.9</v>
      </c>
      <c r="FU60" s="897">
        <v>2044.4</v>
      </c>
      <c r="FV60" s="1167">
        <f t="shared" si="0"/>
        <v>1.0330991965233209</v>
      </c>
    </row>
    <row r="61" spans="1:178" s="112" customFormat="1" ht="18.95" customHeight="1">
      <c r="A61" s="1543">
        <v>1</v>
      </c>
      <c r="B61" s="408">
        <v>36</v>
      </c>
      <c r="C61" s="621"/>
      <c r="D61" s="622" t="s">
        <v>41</v>
      </c>
      <c r="E61" s="621" t="s">
        <v>918</v>
      </c>
      <c r="F61" s="622"/>
      <c r="G61" s="632" t="s">
        <v>64</v>
      </c>
      <c r="H61" s="621" t="s">
        <v>920</v>
      </c>
      <c r="I61" s="390" t="s">
        <v>921</v>
      </c>
      <c r="J61" s="676"/>
      <c r="K61" s="669">
        <v>100.8</v>
      </c>
      <c r="L61" s="665">
        <v>116.3</v>
      </c>
      <c r="M61" s="625">
        <v>124</v>
      </c>
      <c r="N61" s="625">
        <v>153.6</v>
      </c>
      <c r="O61" s="625">
        <v>162.19999999999999</v>
      </c>
      <c r="P61" s="625">
        <v>167.2</v>
      </c>
      <c r="Q61" s="625">
        <v>179.6</v>
      </c>
      <c r="R61" s="625">
        <v>187.2</v>
      </c>
      <c r="S61" s="625">
        <v>185.3</v>
      </c>
      <c r="T61" s="625">
        <v>175.2</v>
      </c>
      <c r="U61" s="625">
        <v>173.4</v>
      </c>
      <c r="V61" s="625">
        <v>171.7</v>
      </c>
      <c r="W61" s="625">
        <v>172.8</v>
      </c>
      <c r="X61" s="625">
        <v>173.4</v>
      </c>
      <c r="Y61" s="625">
        <v>173.5</v>
      </c>
      <c r="Z61" s="625">
        <v>179.8</v>
      </c>
      <c r="AA61" s="625">
        <v>179.9</v>
      </c>
      <c r="AB61" s="625">
        <v>180.1</v>
      </c>
      <c r="AC61" s="625">
        <v>175.1</v>
      </c>
      <c r="AD61" s="625">
        <v>176.5</v>
      </c>
      <c r="AE61" s="625">
        <v>176.6</v>
      </c>
      <c r="AF61" s="625">
        <v>177.5</v>
      </c>
      <c r="AG61" s="625">
        <v>177.4</v>
      </c>
      <c r="AH61" s="625">
        <v>177.8</v>
      </c>
      <c r="AI61" s="764">
        <v>179.2</v>
      </c>
      <c r="AJ61" s="772">
        <v>184.4</v>
      </c>
      <c r="AK61" s="625">
        <v>194</v>
      </c>
      <c r="AL61" s="625">
        <v>194.7</v>
      </c>
      <c r="AM61" s="625">
        <v>200.6</v>
      </c>
      <c r="AN61" s="625">
        <v>210.6</v>
      </c>
      <c r="AO61" s="625">
        <v>216.5</v>
      </c>
      <c r="AP61" s="625">
        <v>223.3</v>
      </c>
      <c r="AQ61" s="625">
        <v>224.1</v>
      </c>
      <c r="AR61" s="625">
        <v>224.3</v>
      </c>
      <c r="AS61" s="625">
        <v>231.4</v>
      </c>
      <c r="AT61" s="625">
        <v>232.1</v>
      </c>
      <c r="AU61" s="764">
        <v>239</v>
      </c>
      <c r="AV61" s="752">
        <v>236.3</v>
      </c>
      <c r="AW61" s="626">
        <v>244.6</v>
      </c>
      <c r="AX61" s="626">
        <v>245.4</v>
      </c>
      <c r="AY61" s="626">
        <v>246.7</v>
      </c>
      <c r="AZ61" s="626">
        <v>244.1</v>
      </c>
      <c r="BA61" s="626">
        <v>240.2</v>
      </c>
      <c r="BB61" s="626">
        <v>240.7</v>
      </c>
      <c r="BC61" s="627">
        <v>243.3</v>
      </c>
      <c r="BD61" s="626">
        <v>247</v>
      </c>
      <c r="BE61" s="627">
        <v>247.7</v>
      </c>
      <c r="BF61" s="627">
        <v>249.3</v>
      </c>
      <c r="BG61" s="738">
        <v>253.7</v>
      </c>
      <c r="BH61" s="660">
        <v>254.1</v>
      </c>
      <c r="BI61" s="623">
        <v>256.10000000000002</v>
      </c>
      <c r="BJ61" s="623">
        <v>261.89999999999998</v>
      </c>
      <c r="BK61" s="623">
        <v>265.3</v>
      </c>
      <c r="BL61" s="623">
        <v>267.39999999999998</v>
      </c>
      <c r="BM61" s="623">
        <v>270.7</v>
      </c>
      <c r="BN61" s="623">
        <v>274.89999999999998</v>
      </c>
      <c r="BO61" s="623">
        <v>281</v>
      </c>
      <c r="BP61" s="623">
        <v>281.8</v>
      </c>
      <c r="BQ61" s="623">
        <v>277.3</v>
      </c>
      <c r="BR61" s="623">
        <v>280</v>
      </c>
      <c r="BS61" s="659">
        <v>280</v>
      </c>
      <c r="BT61" s="660">
        <v>282.60000000000002</v>
      </c>
      <c r="BU61" s="623">
        <v>284.3</v>
      </c>
      <c r="BV61" s="623">
        <v>284.8</v>
      </c>
      <c r="BW61" s="623">
        <v>288.60000000000002</v>
      </c>
      <c r="BX61" s="623">
        <v>291</v>
      </c>
      <c r="BY61" s="623">
        <v>291.10000000000002</v>
      </c>
      <c r="BZ61" s="623">
        <v>291</v>
      </c>
      <c r="CA61" s="623">
        <v>293</v>
      </c>
      <c r="CB61" s="623">
        <v>297.5</v>
      </c>
      <c r="CC61" s="623">
        <v>297.5</v>
      </c>
      <c r="CD61" s="623">
        <v>300.3</v>
      </c>
      <c r="CE61" s="659">
        <v>304.2</v>
      </c>
      <c r="CF61" s="660">
        <v>310</v>
      </c>
      <c r="CG61" s="623">
        <v>310.89999999999998</v>
      </c>
      <c r="CH61" s="623">
        <v>342.2</v>
      </c>
      <c r="CI61" s="623">
        <v>354</v>
      </c>
      <c r="CJ61" s="623">
        <v>362.2</v>
      </c>
      <c r="CK61" s="623">
        <v>365.3</v>
      </c>
      <c r="CL61" s="623">
        <v>366.9</v>
      </c>
      <c r="CM61" s="623">
        <v>377.9</v>
      </c>
      <c r="CN61" s="623">
        <v>380.2</v>
      </c>
      <c r="CO61" s="623">
        <v>383.9</v>
      </c>
      <c r="CP61" s="623">
        <v>386.7</v>
      </c>
      <c r="CQ61" s="659">
        <v>386.7</v>
      </c>
      <c r="CR61" s="660">
        <v>386.7</v>
      </c>
      <c r="CS61" s="623">
        <v>386.7</v>
      </c>
      <c r="CT61" s="623">
        <v>388</v>
      </c>
      <c r="CU61" s="623">
        <v>388</v>
      </c>
      <c r="CV61" s="623">
        <v>388</v>
      </c>
      <c r="CW61" s="623">
        <v>388</v>
      </c>
      <c r="CX61" s="623">
        <v>388</v>
      </c>
      <c r="CY61" s="623">
        <v>390.7</v>
      </c>
      <c r="CZ61" s="623">
        <v>392.9</v>
      </c>
      <c r="DA61" s="623">
        <v>395.5</v>
      </c>
      <c r="DB61" s="725">
        <v>404.4</v>
      </c>
      <c r="DC61" s="659">
        <v>404.3</v>
      </c>
      <c r="DD61" s="783">
        <v>408.1</v>
      </c>
      <c r="DE61" s="623">
        <v>408</v>
      </c>
      <c r="DF61" s="725">
        <v>418.4</v>
      </c>
      <c r="DG61" s="659">
        <v>426.3</v>
      </c>
      <c r="DH61" s="623">
        <v>437.1</v>
      </c>
      <c r="DI61" s="623">
        <v>439</v>
      </c>
      <c r="DJ61" s="623">
        <v>449.5</v>
      </c>
      <c r="DK61" s="659">
        <v>451.9</v>
      </c>
      <c r="DL61" s="623">
        <v>458.8</v>
      </c>
      <c r="DM61" s="659">
        <v>464.2</v>
      </c>
      <c r="DN61" s="659">
        <v>468.3</v>
      </c>
      <c r="DO61" s="897">
        <v>468.6</v>
      </c>
      <c r="DP61" s="783">
        <v>477.9</v>
      </c>
      <c r="DQ61" s="659">
        <v>490.9</v>
      </c>
      <c r="DR61" s="659">
        <v>498.2</v>
      </c>
      <c r="DS61" s="659">
        <v>508.7</v>
      </c>
      <c r="DT61" s="623">
        <v>513.1</v>
      </c>
      <c r="DU61" s="659">
        <v>515.20000000000005</v>
      </c>
      <c r="DV61" s="659">
        <v>515.20000000000005</v>
      </c>
      <c r="DW61" s="659">
        <v>526.1</v>
      </c>
      <c r="DX61" s="659">
        <v>533.6</v>
      </c>
      <c r="DY61" s="659">
        <v>543.5</v>
      </c>
      <c r="DZ61" s="659">
        <v>546.79999999999995</v>
      </c>
      <c r="EA61" s="897">
        <v>546.79999999999995</v>
      </c>
      <c r="EB61" s="659">
        <v>549</v>
      </c>
      <c r="EC61" s="659">
        <v>550</v>
      </c>
      <c r="ED61" s="659">
        <v>559</v>
      </c>
      <c r="EE61" s="659">
        <v>561.20000000000005</v>
      </c>
      <c r="EF61" s="659">
        <v>564.1</v>
      </c>
      <c r="EG61" s="659">
        <v>575.29999999999995</v>
      </c>
      <c r="EH61" s="659">
        <v>593.29999999999995</v>
      </c>
      <c r="EI61" s="659">
        <v>601.6</v>
      </c>
      <c r="EJ61" s="659">
        <v>605.1</v>
      </c>
      <c r="EK61" s="623">
        <v>608.6</v>
      </c>
      <c r="EL61" s="725">
        <v>619</v>
      </c>
      <c r="EM61" s="659">
        <v>625.20000000000005</v>
      </c>
      <c r="EN61" s="783">
        <v>633.20000000000005</v>
      </c>
      <c r="EO61" s="659">
        <v>648.4</v>
      </c>
      <c r="EP61" s="659">
        <v>663.5</v>
      </c>
      <c r="EQ61" s="659">
        <v>671.6</v>
      </c>
      <c r="ER61" s="659">
        <v>683.1</v>
      </c>
      <c r="ES61" s="659">
        <v>701.1</v>
      </c>
      <c r="ET61" s="659">
        <v>711.9</v>
      </c>
      <c r="EU61" s="659">
        <v>720.7</v>
      </c>
      <c r="EV61" s="659">
        <v>736.2</v>
      </c>
      <c r="EW61" s="659">
        <v>750.7</v>
      </c>
      <c r="EX61" s="659">
        <v>771.3</v>
      </c>
      <c r="EY61" s="659">
        <v>810.9</v>
      </c>
      <c r="EZ61" s="783">
        <v>840.6</v>
      </c>
      <c r="FA61" s="659">
        <v>989.7</v>
      </c>
      <c r="FB61" s="659">
        <v>1035.7</v>
      </c>
      <c r="FC61" s="659">
        <v>1072.0999999999999</v>
      </c>
      <c r="FD61" s="659">
        <v>1100.9000000000001</v>
      </c>
      <c r="FE61" s="659">
        <v>1116</v>
      </c>
      <c r="FF61" s="659">
        <v>1153.5</v>
      </c>
      <c r="FG61" s="659">
        <v>1158.8</v>
      </c>
      <c r="FH61" s="659">
        <v>1221.7</v>
      </c>
      <c r="FI61" s="659">
        <v>1270.8</v>
      </c>
      <c r="FJ61" s="659">
        <v>1282.8</v>
      </c>
      <c r="FK61" s="897">
        <v>1282.8</v>
      </c>
      <c r="FL61" s="783">
        <v>1287</v>
      </c>
      <c r="FM61" s="659">
        <v>1324</v>
      </c>
      <c r="FN61" s="659">
        <v>1367.3</v>
      </c>
      <c r="FO61" s="659">
        <v>1372.8</v>
      </c>
      <c r="FP61" s="659">
        <v>1376.4</v>
      </c>
      <c r="FQ61" s="659">
        <v>1391.8</v>
      </c>
      <c r="FR61" s="659">
        <v>1377.4</v>
      </c>
      <c r="FS61" s="659">
        <v>1401.1</v>
      </c>
      <c r="FT61" s="659">
        <v>1448.3</v>
      </c>
      <c r="FU61" s="897">
        <v>1470.1</v>
      </c>
      <c r="FV61" s="1167">
        <f t="shared" si="0"/>
        <v>1.0150521300835462</v>
      </c>
    </row>
    <row r="62" spans="1:178" s="112" customFormat="1" ht="18.95" customHeight="1">
      <c r="A62" s="1543">
        <v>1</v>
      </c>
      <c r="B62" s="408">
        <v>37</v>
      </c>
      <c r="C62" s="621" t="s">
        <v>42</v>
      </c>
      <c r="D62" s="622" t="s">
        <v>43</v>
      </c>
      <c r="E62" s="621" t="s">
        <v>918</v>
      </c>
      <c r="F62" s="622"/>
      <c r="G62" s="621" t="s">
        <v>929</v>
      </c>
      <c r="H62" s="621" t="s">
        <v>930</v>
      </c>
      <c r="I62" s="390" t="s">
        <v>921</v>
      </c>
      <c r="J62" s="651"/>
      <c r="K62" s="669">
        <v>93.3</v>
      </c>
      <c r="L62" s="665">
        <v>93.6</v>
      </c>
      <c r="M62" s="625">
        <v>95.7</v>
      </c>
      <c r="N62" s="625">
        <v>96.7</v>
      </c>
      <c r="O62" s="625">
        <v>97.6</v>
      </c>
      <c r="P62" s="625">
        <v>104.6</v>
      </c>
      <c r="Q62" s="625">
        <v>115.1</v>
      </c>
      <c r="R62" s="625">
        <v>124.4</v>
      </c>
      <c r="S62" s="625">
        <v>131</v>
      </c>
      <c r="T62" s="625">
        <v>138.69999999999999</v>
      </c>
      <c r="U62" s="625">
        <v>146.5</v>
      </c>
      <c r="V62" s="625">
        <v>144.6</v>
      </c>
      <c r="W62" s="625">
        <v>153.6</v>
      </c>
      <c r="X62" s="625">
        <v>157</v>
      </c>
      <c r="Y62" s="625">
        <v>160.1</v>
      </c>
      <c r="Z62" s="625">
        <v>160.30000000000001</v>
      </c>
      <c r="AA62" s="625">
        <v>164.4</v>
      </c>
      <c r="AB62" s="625">
        <v>159.30000000000001</v>
      </c>
      <c r="AC62" s="625">
        <v>160.19999999999999</v>
      </c>
      <c r="AD62" s="625">
        <v>161.80000000000001</v>
      </c>
      <c r="AE62" s="625">
        <v>161.80000000000001</v>
      </c>
      <c r="AF62" s="625">
        <v>163.6</v>
      </c>
      <c r="AG62" s="625">
        <v>163.4</v>
      </c>
      <c r="AH62" s="625">
        <v>168.6</v>
      </c>
      <c r="AI62" s="764">
        <v>169.5</v>
      </c>
      <c r="AJ62" s="772">
        <v>169.2</v>
      </c>
      <c r="AK62" s="625">
        <v>177.3</v>
      </c>
      <c r="AL62" s="625">
        <v>181.7</v>
      </c>
      <c r="AM62" s="625">
        <v>187.5</v>
      </c>
      <c r="AN62" s="625">
        <v>191.4</v>
      </c>
      <c r="AO62" s="625">
        <v>198.2</v>
      </c>
      <c r="AP62" s="625">
        <v>198.1</v>
      </c>
      <c r="AQ62" s="625">
        <v>198.7</v>
      </c>
      <c r="AR62" s="625">
        <v>197.9</v>
      </c>
      <c r="AS62" s="625">
        <v>197.6</v>
      </c>
      <c r="AT62" s="625">
        <v>199.2</v>
      </c>
      <c r="AU62" s="764">
        <v>202.2</v>
      </c>
      <c r="AV62" s="752">
        <v>201.9</v>
      </c>
      <c r="AW62" s="626">
        <v>202</v>
      </c>
      <c r="AX62" s="626">
        <v>204.5</v>
      </c>
      <c r="AY62" s="626">
        <v>206.1</v>
      </c>
      <c r="AZ62" s="626">
        <v>206.1</v>
      </c>
      <c r="BA62" s="626">
        <v>207.1</v>
      </c>
      <c r="BB62" s="626">
        <v>207.3</v>
      </c>
      <c r="BC62" s="627">
        <v>207.3</v>
      </c>
      <c r="BD62" s="626">
        <v>207.2</v>
      </c>
      <c r="BE62" s="627">
        <v>207.2</v>
      </c>
      <c r="BF62" s="627">
        <v>208.1</v>
      </c>
      <c r="BG62" s="738">
        <v>210.2</v>
      </c>
      <c r="BH62" s="660">
        <v>213.8</v>
      </c>
      <c r="BI62" s="623">
        <v>214.2</v>
      </c>
      <c r="BJ62" s="623">
        <v>216.7</v>
      </c>
      <c r="BK62" s="623">
        <v>221.3</v>
      </c>
      <c r="BL62" s="623">
        <v>225.2</v>
      </c>
      <c r="BM62" s="623">
        <v>228.4</v>
      </c>
      <c r="BN62" s="623">
        <v>228</v>
      </c>
      <c r="BO62" s="623">
        <v>228</v>
      </c>
      <c r="BP62" s="623">
        <v>229.1</v>
      </c>
      <c r="BQ62" s="623">
        <v>229.7</v>
      </c>
      <c r="BR62" s="623">
        <v>233.1</v>
      </c>
      <c r="BS62" s="659">
        <v>238.7</v>
      </c>
      <c r="BT62" s="660">
        <v>244.2</v>
      </c>
      <c r="BU62" s="623">
        <v>244.9</v>
      </c>
      <c r="BV62" s="623">
        <v>253.9</v>
      </c>
      <c r="BW62" s="623">
        <v>254.5</v>
      </c>
      <c r="BX62" s="623">
        <v>254.5</v>
      </c>
      <c r="BY62" s="623">
        <v>261.3</v>
      </c>
      <c r="BZ62" s="623">
        <v>271.7</v>
      </c>
      <c r="CA62" s="623">
        <v>280.60000000000002</v>
      </c>
      <c r="CB62" s="623">
        <v>282</v>
      </c>
      <c r="CC62" s="623">
        <v>283.7</v>
      </c>
      <c r="CD62" s="623">
        <v>296.60000000000002</v>
      </c>
      <c r="CE62" s="659">
        <v>300.7</v>
      </c>
      <c r="CF62" s="660">
        <v>308.89999999999998</v>
      </c>
      <c r="CG62" s="623">
        <v>309.89999999999998</v>
      </c>
      <c r="CH62" s="623">
        <v>313.89999999999998</v>
      </c>
      <c r="CI62" s="623">
        <v>321.7</v>
      </c>
      <c r="CJ62" s="623">
        <v>325.8</v>
      </c>
      <c r="CK62" s="623">
        <v>325.3</v>
      </c>
      <c r="CL62" s="623">
        <v>333.7</v>
      </c>
      <c r="CM62" s="623">
        <v>332.9</v>
      </c>
      <c r="CN62" s="623">
        <v>332.9</v>
      </c>
      <c r="CO62" s="623">
        <v>335.3</v>
      </c>
      <c r="CP62" s="623">
        <v>335.4</v>
      </c>
      <c r="CQ62" s="659">
        <v>336.1</v>
      </c>
      <c r="CR62" s="660">
        <v>346.7</v>
      </c>
      <c r="CS62" s="623">
        <v>353.3</v>
      </c>
      <c r="CT62" s="623">
        <v>347.5</v>
      </c>
      <c r="CU62" s="623">
        <v>347.6</v>
      </c>
      <c r="CV62" s="623">
        <v>356.5</v>
      </c>
      <c r="CW62" s="623">
        <v>357.6</v>
      </c>
      <c r="CX62" s="623">
        <v>359.1</v>
      </c>
      <c r="CY62" s="623">
        <v>365.2</v>
      </c>
      <c r="CZ62" s="623">
        <v>367.6</v>
      </c>
      <c r="DA62" s="623">
        <v>364.5</v>
      </c>
      <c r="DB62" s="725">
        <v>367.3</v>
      </c>
      <c r="DC62" s="659">
        <v>370</v>
      </c>
      <c r="DD62" s="783">
        <v>375.9</v>
      </c>
      <c r="DE62" s="623">
        <v>381.6</v>
      </c>
      <c r="DF62" s="725">
        <v>383.2</v>
      </c>
      <c r="DG62" s="659">
        <v>384.4</v>
      </c>
      <c r="DH62" s="623">
        <v>400.9</v>
      </c>
      <c r="DI62" s="623">
        <v>401.8</v>
      </c>
      <c r="DJ62" s="623">
        <v>405.6</v>
      </c>
      <c r="DK62" s="659">
        <v>411.2</v>
      </c>
      <c r="DL62" s="623">
        <v>413.9</v>
      </c>
      <c r="DM62" s="659">
        <v>426.9</v>
      </c>
      <c r="DN62" s="659">
        <v>438.8</v>
      </c>
      <c r="DO62" s="897">
        <v>448.7</v>
      </c>
      <c r="DP62" s="783">
        <v>457</v>
      </c>
      <c r="DQ62" s="659">
        <v>465.7</v>
      </c>
      <c r="DR62" s="659">
        <v>470.9</v>
      </c>
      <c r="DS62" s="659">
        <v>487.4</v>
      </c>
      <c r="DT62" s="623">
        <v>510.7</v>
      </c>
      <c r="DU62" s="659">
        <v>523.4</v>
      </c>
      <c r="DV62" s="659">
        <v>532.1</v>
      </c>
      <c r="DW62" s="659">
        <v>561.29999999999995</v>
      </c>
      <c r="DX62" s="659">
        <v>554.5</v>
      </c>
      <c r="DY62" s="659">
        <v>571.1</v>
      </c>
      <c r="DZ62" s="659">
        <v>593.79999999999995</v>
      </c>
      <c r="EA62" s="897">
        <v>594.70000000000005</v>
      </c>
      <c r="EB62" s="659">
        <v>602.6</v>
      </c>
      <c r="EC62" s="659">
        <v>620.4</v>
      </c>
      <c r="ED62" s="659">
        <v>627.70000000000005</v>
      </c>
      <c r="EE62" s="659">
        <v>665.3</v>
      </c>
      <c r="EF62" s="659">
        <v>672.9</v>
      </c>
      <c r="EG62" s="659">
        <v>689.3</v>
      </c>
      <c r="EH62" s="659">
        <v>708.2</v>
      </c>
      <c r="EI62" s="659">
        <v>715.5</v>
      </c>
      <c r="EJ62" s="659">
        <v>725.9</v>
      </c>
      <c r="EK62" s="623">
        <v>752.9</v>
      </c>
      <c r="EL62" s="725">
        <v>760.2</v>
      </c>
      <c r="EM62" s="659">
        <v>759.6</v>
      </c>
      <c r="EN62" s="783">
        <v>781.7</v>
      </c>
      <c r="EO62" s="659">
        <v>788</v>
      </c>
      <c r="EP62" s="659">
        <v>794.4</v>
      </c>
      <c r="EQ62" s="659">
        <v>794.8</v>
      </c>
      <c r="ER62" s="659">
        <v>837.8</v>
      </c>
      <c r="ES62" s="659">
        <v>867.2</v>
      </c>
      <c r="ET62" s="659">
        <v>900.7</v>
      </c>
      <c r="EU62" s="659">
        <v>984.8</v>
      </c>
      <c r="EV62" s="659">
        <v>1030.7</v>
      </c>
      <c r="EW62" s="659">
        <v>1044</v>
      </c>
      <c r="EX62" s="659">
        <v>1066.2</v>
      </c>
      <c r="EY62" s="659">
        <v>1066.2</v>
      </c>
      <c r="EZ62" s="783">
        <v>1081.0999999999999</v>
      </c>
      <c r="FA62" s="659">
        <v>1233.4000000000001</v>
      </c>
      <c r="FB62" s="659">
        <v>1241.9000000000001</v>
      </c>
      <c r="FC62" s="659">
        <v>1251.9000000000001</v>
      </c>
      <c r="FD62" s="659">
        <v>1262.5999999999999</v>
      </c>
      <c r="FE62" s="659">
        <v>1295.2</v>
      </c>
      <c r="FF62" s="659">
        <v>1301.2</v>
      </c>
      <c r="FG62" s="659">
        <v>1336.2</v>
      </c>
      <c r="FH62" s="659">
        <v>1361.4</v>
      </c>
      <c r="FI62" s="659">
        <v>1392.4</v>
      </c>
      <c r="FJ62" s="659">
        <v>1416.2</v>
      </c>
      <c r="FK62" s="897">
        <v>1431.7</v>
      </c>
      <c r="FL62" s="783">
        <v>1453.7</v>
      </c>
      <c r="FM62" s="659">
        <v>1476</v>
      </c>
      <c r="FN62" s="659">
        <v>1498.8</v>
      </c>
      <c r="FO62" s="659">
        <v>1543.7</v>
      </c>
      <c r="FP62" s="659">
        <v>1578.6</v>
      </c>
      <c r="FQ62" s="659">
        <v>1613.5</v>
      </c>
      <c r="FR62" s="659">
        <v>1636.2</v>
      </c>
      <c r="FS62" s="659">
        <v>1726.8</v>
      </c>
      <c r="FT62" s="659">
        <v>1773.9</v>
      </c>
      <c r="FU62" s="897">
        <v>1820.2</v>
      </c>
      <c r="FV62" s="1167">
        <f t="shared" si="0"/>
        <v>1.0261006821128587</v>
      </c>
    </row>
    <row r="63" spans="1:178" s="112" customFormat="1" ht="18" customHeight="1">
      <c r="A63" s="1543">
        <v>1</v>
      </c>
      <c r="B63" s="408">
        <v>38</v>
      </c>
      <c r="C63" s="621"/>
      <c r="D63" s="622" t="s">
        <v>44</v>
      </c>
      <c r="E63" s="621" t="s">
        <v>918</v>
      </c>
      <c r="F63" s="622"/>
      <c r="G63" s="632" t="s">
        <v>64</v>
      </c>
      <c r="H63" s="621" t="s">
        <v>920</v>
      </c>
      <c r="I63" s="390" t="s">
        <v>195</v>
      </c>
      <c r="J63" s="676"/>
      <c r="K63" s="669">
        <v>99.2</v>
      </c>
      <c r="L63" s="665">
        <v>100.2</v>
      </c>
      <c r="M63" s="625">
        <v>106.9</v>
      </c>
      <c r="N63" s="625">
        <v>110.2</v>
      </c>
      <c r="O63" s="625">
        <v>124.5</v>
      </c>
      <c r="P63" s="625">
        <v>128.69999999999999</v>
      </c>
      <c r="Q63" s="625">
        <v>127.4</v>
      </c>
      <c r="R63" s="625">
        <v>127.7</v>
      </c>
      <c r="S63" s="625">
        <v>131.4</v>
      </c>
      <c r="T63" s="625">
        <v>131.4</v>
      </c>
      <c r="U63" s="625">
        <v>133.69999999999999</v>
      </c>
      <c r="V63" s="625">
        <v>133.9</v>
      </c>
      <c r="W63" s="625">
        <v>134.1</v>
      </c>
      <c r="X63" s="625">
        <v>132.80000000000001</v>
      </c>
      <c r="Y63" s="625">
        <v>133.19999999999999</v>
      </c>
      <c r="Z63" s="625">
        <v>132.1</v>
      </c>
      <c r="AA63" s="625">
        <v>132.1</v>
      </c>
      <c r="AB63" s="625">
        <v>130.9</v>
      </c>
      <c r="AC63" s="625">
        <v>130.19999999999999</v>
      </c>
      <c r="AD63" s="625">
        <v>130.19999999999999</v>
      </c>
      <c r="AE63" s="625">
        <v>130.19999999999999</v>
      </c>
      <c r="AF63" s="625">
        <v>130.19999999999999</v>
      </c>
      <c r="AG63" s="625">
        <v>130.19999999999999</v>
      </c>
      <c r="AH63" s="625">
        <v>130.30000000000001</v>
      </c>
      <c r="AI63" s="764">
        <v>130.30000000000001</v>
      </c>
      <c r="AJ63" s="772">
        <v>131.30000000000001</v>
      </c>
      <c r="AK63" s="625">
        <v>136.30000000000001</v>
      </c>
      <c r="AL63" s="625">
        <v>136.80000000000001</v>
      </c>
      <c r="AM63" s="625">
        <v>140.6</v>
      </c>
      <c r="AN63" s="625">
        <v>143.4</v>
      </c>
      <c r="AO63" s="625">
        <v>149.1</v>
      </c>
      <c r="AP63" s="625">
        <v>152.19999999999999</v>
      </c>
      <c r="AQ63" s="625">
        <v>152.19999999999999</v>
      </c>
      <c r="AR63" s="625">
        <v>154</v>
      </c>
      <c r="AS63" s="625">
        <v>156.30000000000001</v>
      </c>
      <c r="AT63" s="625">
        <v>159.80000000000001</v>
      </c>
      <c r="AU63" s="764">
        <v>160.1</v>
      </c>
      <c r="AV63" s="752">
        <v>162.19999999999999</v>
      </c>
      <c r="AW63" s="626">
        <v>171.5</v>
      </c>
      <c r="AX63" s="626">
        <v>172.3</v>
      </c>
      <c r="AY63" s="626">
        <v>179.5</v>
      </c>
      <c r="AZ63" s="626">
        <v>183.1</v>
      </c>
      <c r="BA63" s="626">
        <v>184.4</v>
      </c>
      <c r="BB63" s="626">
        <v>186.3</v>
      </c>
      <c r="BC63" s="627">
        <v>187.6</v>
      </c>
      <c r="BD63" s="626">
        <v>187.6</v>
      </c>
      <c r="BE63" s="627">
        <v>188.6</v>
      </c>
      <c r="BF63" s="627">
        <v>190.6</v>
      </c>
      <c r="BG63" s="738">
        <v>185.8</v>
      </c>
      <c r="BH63" s="660">
        <v>187.6</v>
      </c>
      <c r="BI63" s="623">
        <v>190.8</v>
      </c>
      <c r="BJ63" s="623">
        <v>196.1</v>
      </c>
      <c r="BK63" s="623">
        <v>197.9</v>
      </c>
      <c r="BL63" s="623">
        <v>206</v>
      </c>
      <c r="BM63" s="623">
        <v>206</v>
      </c>
      <c r="BN63" s="623">
        <v>206</v>
      </c>
      <c r="BO63" s="623">
        <v>208.3</v>
      </c>
      <c r="BP63" s="623">
        <v>211.1</v>
      </c>
      <c r="BQ63" s="623">
        <v>211.7</v>
      </c>
      <c r="BR63" s="623">
        <v>211.3</v>
      </c>
      <c r="BS63" s="659">
        <v>212.8</v>
      </c>
      <c r="BT63" s="660">
        <v>212.8</v>
      </c>
      <c r="BU63" s="623">
        <v>214.9</v>
      </c>
      <c r="BV63" s="623">
        <v>214.4</v>
      </c>
      <c r="BW63" s="623">
        <v>218.7</v>
      </c>
      <c r="BX63" s="623">
        <v>229.7</v>
      </c>
      <c r="BY63" s="623">
        <v>237.6</v>
      </c>
      <c r="BZ63" s="623">
        <v>246.2</v>
      </c>
      <c r="CA63" s="623">
        <v>250.6</v>
      </c>
      <c r="CB63" s="623">
        <v>254.8</v>
      </c>
      <c r="CC63" s="623">
        <v>255.4</v>
      </c>
      <c r="CD63" s="623">
        <v>258.2</v>
      </c>
      <c r="CE63" s="659">
        <v>261.7</v>
      </c>
      <c r="CF63" s="660">
        <v>261.7</v>
      </c>
      <c r="CG63" s="623">
        <v>268.3</v>
      </c>
      <c r="CH63" s="623">
        <v>271.7</v>
      </c>
      <c r="CI63" s="623">
        <v>284.39999999999998</v>
      </c>
      <c r="CJ63" s="623">
        <v>289.2</v>
      </c>
      <c r="CK63" s="623">
        <v>302.39999999999998</v>
      </c>
      <c r="CL63" s="623">
        <v>301.5</v>
      </c>
      <c r="CM63" s="623">
        <v>304.3</v>
      </c>
      <c r="CN63" s="623">
        <v>304.3</v>
      </c>
      <c r="CO63" s="623">
        <v>306.3</v>
      </c>
      <c r="CP63" s="623">
        <v>308.3</v>
      </c>
      <c r="CQ63" s="659">
        <v>307</v>
      </c>
      <c r="CR63" s="660">
        <v>307</v>
      </c>
      <c r="CS63" s="623">
        <v>305.2</v>
      </c>
      <c r="CT63" s="623">
        <v>306.5</v>
      </c>
      <c r="CU63" s="623">
        <v>305.2</v>
      </c>
      <c r="CV63" s="623">
        <v>305.2</v>
      </c>
      <c r="CW63" s="623">
        <v>305.2</v>
      </c>
      <c r="CX63" s="623">
        <v>301.39999999999998</v>
      </c>
      <c r="CY63" s="623">
        <v>308.10000000000002</v>
      </c>
      <c r="CZ63" s="623">
        <v>310.39999999999998</v>
      </c>
      <c r="DA63" s="623">
        <v>318.3</v>
      </c>
      <c r="DB63" s="725">
        <v>314.3</v>
      </c>
      <c r="DC63" s="659">
        <v>320.2</v>
      </c>
      <c r="DD63" s="783">
        <v>322.2</v>
      </c>
      <c r="DE63" s="623">
        <v>327.60000000000002</v>
      </c>
      <c r="DF63" s="725">
        <v>332.7</v>
      </c>
      <c r="DG63" s="659">
        <v>336</v>
      </c>
      <c r="DH63" s="623">
        <v>336.7</v>
      </c>
      <c r="DI63" s="623">
        <v>339</v>
      </c>
      <c r="DJ63" s="623">
        <v>360.3</v>
      </c>
      <c r="DK63" s="659">
        <v>362.4</v>
      </c>
      <c r="DL63" s="623">
        <v>362.4</v>
      </c>
      <c r="DM63" s="659">
        <v>370.1</v>
      </c>
      <c r="DN63" s="659">
        <v>373.2</v>
      </c>
      <c r="DO63" s="897">
        <v>373.9</v>
      </c>
      <c r="DP63" s="783">
        <v>375.7</v>
      </c>
      <c r="DQ63" s="659">
        <v>381.3</v>
      </c>
      <c r="DR63" s="659">
        <v>382.6</v>
      </c>
      <c r="DS63" s="659">
        <v>384.4</v>
      </c>
      <c r="DT63" s="623">
        <v>395.8</v>
      </c>
      <c r="DU63" s="659">
        <v>397</v>
      </c>
      <c r="DV63" s="659">
        <v>398.6</v>
      </c>
      <c r="DW63" s="659">
        <v>404.2</v>
      </c>
      <c r="DX63" s="659">
        <v>419.3</v>
      </c>
      <c r="DY63" s="659">
        <v>429.3</v>
      </c>
      <c r="DZ63" s="659">
        <v>431.2</v>
      </c>
      <c r="EA63" s="897">
        <v>434</v>
      </c>
      <c r="EB63" s="659">
        <v>434</v>
      </c>
      <c r="EC63" s="659">
        <v>434</v>
      </c>
      <c r="ED63" s="659">
        <v>434</v>
      </c>
      <c r="EE63" s="659">
        <v>434</v>
      </c>
      <c r="EF63" s="659">
        <v>457.3</v>
      </c>
      <c r="EG63" s="659">
        <v>464.9</v>
      </c>
      <c r="EH63" s="659">
        <v>463.6</v>
      </c>
      <c r="EI63" s="659">
        <v>473.6</v>
      </c>
      <c r="EJ63" s="659">
        <v>473.6</v>
      </c>
      <c r="EK63" s="623">
        <v>485.6</v>
      </c>
      <c r="EL63" s="725">
        <v>492.2</v>
      </c>
      <c r="EM63" s="659">
        <v>491.3</v>
      </c>
      <c r="EN63" s="783">
        <v>492.8</v>
      </c>
      <c r="EO63" s="659">
        <v>492.8</v>
      </c>
      <c r="EP63" s="659">
        <v>496.7</v>
      </c>
      <c r="EQ63" s="659">
        <v>496.7</v>
      </c>
      <c r="ER63" s="659">
        <v>498.8</v>
      </c>
      <c r="ES63" s="659">
        <v>500.5</v>
      </c>
      <c r="ET63" s="659">
        <v>532.79999999999995</v>
      </c>
      <c r="EU63" s="659">
        <v>538.20000000000005</v>
      </c>
      <c r="EV63" s="659">
        <v>544.29999999999995</v>
      </c>
      <c r="EW63" s="659">
        <v>549.79999999999995</v>
      </c>
      <c r="EX63" s="659">
        <v>549.79999999999995</v>
      </c>
      <c r="EY63" s="659">
        <v>562.70000000000005</v>
      </c>
      <c r="EZ63" s="783">
        <v>599.9</v>
      </c>
      <c r="FA63" s="659">
        <v>641.9</v>
      </c>
      <c r="FB63" s="659">
        <v>655.6</v>
      </c>
      <c r="FC63" s="659">
        <v>687</v>
      </c>
      <c r="FD63" s="659">
        <v>718</v>
      </c>
      <c r="FE63" s="659">
        <v>744.6</v>
      </c>
      <c r="FF63" s="659">
        <v>746.3</v>
      </c>
      <c r="FG63" s="659">
        <v>763.3</v>
      </c>
      <c r="FH63" s="659">
        <v>796.9</v>
      </c>
      <c r="FI63" s="659">
        <v>796.7</v>
      </c>
      <c r="FJ63" s="659">
        <v>814.3</v>
      </c>
      <c r="FK63" s="897">
        <v>828.5</v>
      </c>
      <c r="FL63" s="783">
        <v>822.6</v>
      </c>
      <c r="FM63" s="659">
        <v>831.2</v>
      </c>
      <c r="FN63" s="659">
        <v>842.4</v>
      </c>
      <c r="FO63" s="659">
        <v>842.4</v>
      </c>
      <c r="FP63" s="659">
        <v>869.5</v>
      </c>
      <c r="FQ63" s="659">
        <v>875.4</v>
      </c>
      <c r="FR63" s="659">
        <v>877.3</v>
      </c>
      <c r="FS63" s="659">
        <v>907.1</v>
      </c>
      <c r="FT63" s="659">
        <v>915.9</v>
      </c>
      <c r="FU63" s="897">
        <v>915.9</v>
      </c>
      <c r="FV63" s="1167">
        <f t="shared" si="0"/>
        <v>1</v>
      </c>
    </row>
    <row r="64" spans="1:178" s="112" customFormat="1" ht="21.75" customHeight="1">
      <c r="A64" s="1543">
        <v>1</v>
      </c>
      <c r="B64" s="644">
        <v>39</v>
      </c>
      <c r="C64" s="645" t="s">
        <v>45</v>
      </c>
      <c r="D64" s="646" t="s">
        <v>46</v>
      </c>
      <c r="E64" s="645" t="s">
        <v>918</v>
      </c>
      <c r="F64" s="646"/>
      <c r="G64" s="645" t="s">
        <v>929</v>
      </c>
      <c r="H64" s="645" t="s">
        <v>930</v>
      </c>
      <c r="I64" s="876" t="s">
        <v>47</v>
      </c>
      <c r="J64" s="869"/>
      <c r="K64" s="877">
        <v>104.6</v>
      </c>
      <c r="L64" s="878">
        <v>122.9</v>
      </c>
      <c r="M64" s="879">
        <v>132.80000000000001</v>
      </c>
      <c r="N64" s="879">
        <v>145.30000000000001</v>
      </c>
      <c r="O64" s="879">
        <v>195.4</v>
      </c>
      <c r="P64" s="879">
        <v>201.9</v>
      </c>
      <c r="Q64" s="879">
        <v>213.2</v>
      </c>
      <c r="R64" s="879">
        <v>206</v>
      </c>
      <c r="S64" s="879">
        <v>205.4</v>
      </c>
      <c r="T64" s="879">
        <v>201.2</v>
      </c>
      <c r="U64" s="879">
        <v>197.3</v>
      </c>
      <c r="V64" s="879">
        <v>189.4</v>
      </c>
      <c r="W64" s="879">
        <v>190.7</v>
      </c>
      <c r="X64" s="879">
        <v>190.8</v>
      </c>
      <c r="Y64" s="879">
        <v>190.8</v>
      </c>
      <c r="Z64" s="879">
        <v>193.2</v>
      </c>
      <c r="AA64" s="879">
        <v>194.7</v>
      </c>
      <c r="AB64" s="879">
        <v>194.9</v>
      </c>
      <c r="AC64" s="879">
        <v>193.5</v>
      </c>
      <c r="AD64" s="879">
        <v>196.5</v>
      </c>
      <c r="AE64" s="879">
        <v>196.5</v>
      </c>
      <c r="AF64" s="879">
        <v>196.5</v>
      </c>
      <c r="AG64" s="879">
        <v>199.4</v>
      </c>
      <c r="AH64" s="879">
        <v>209</v>
      </c>
      <c r="AI64" s="880">
        <v>211.2</v>
      </c>
      <c r="AJ64" s="881">
        <v>216.4</v>
      </c>
      <c r="AK64" s="879">
        <v>225.1</v>
      </c>
      <c r="AL64" s="879">
        <v>231.5</v>
      </c>
      <c r="AM64" s="879">
        <v>236.3</v>
      </c>
      <c r="AN64" s="879">
        <v>246.2</v>
      </c>
      <c r="AO64" s="879">
        <v>255.8</v>
      </c>
      <c r="AP64" s="879">
        <v>263.5</v>
      </c>
      <c r="AQ64" s="879">
        <v>264.8</v>
      </c>
      <c r="AR64" s="879">
        <v>268.2</v>
      </c>
      <c r="AS64" s="879">
        <v>280.89999999999998</v>
      </c>
      <c r="AT64" s="879">
        <v>282.2</v>
      </c>
      <c r="AU64" s="880">
        <v>296</v>
      </c>
      <c r="AV64" s="882">
        <v>297.7</v>
      </c>
      <c r="AW64" s="883">
        <v>300.7</v>
      </c>
      <c r="AX64" s="883">
        <v>300.7</v>
      </c>
      <c r="AY64" s="883">
        <v>300.7</v>
      </c>
      <c r="AZ64" s="883">
        <v>300.39999999999998</v>
      </c>
      <c r="BA64" s="883">
        <v>305.3</v>
      </c>
      <c r="BB64" s="883">
        <v>311.5</v>
      </c>
      <c r="BC64" s="884">
        <v>311.5</v>
      </c>
      <c r="BD64" s="883">
        <v>297.5</v>
      </c>
      <c r="BE64" s="884">
        <v>297.5</v>
      </c>
      <c r="BF64" s="884">
        <v>292.5</v>
      </c>
      <c r="BG64" s="885">
        <v>298.5</v>
      </c>
      <c r="BH64" s="886">
        <v>298.2</v>
      </c>
      <c r="BI64" s="887">
        <v>302.39999999999998</v>
      </c>
      <c r="BJ64" s="887">
        <v>302.39999999999998</v>
      </c>
      <c r="BK64" s="887">
        <v>305.89999999999998</v>
      </c>
      <c r="BL64" s="887">
        <v>305.3</v>
      </c>
      <c r="BM64" s="887">
        <v>311.7</v>
      </c>
      <c r="BN64" s="887">
        <v>314.5</v>
      </c>
      <c r="BO64" s="887">
        <v>321.7</v>
      </c>
      <c r="BP64" s="887">
        <v>327.5</v>
      </c>
      <c r="BQ64" s="887">
        <v>326.7</v>
      </c>
      <c r="BR64" s="887">
        <v>327.39999999999998</v>
      </c>
      <c r="BS64" s="888">
        <v>333.6</v>
      </c>
      <c r="BT64" s="886">
        <v>334.6</v>
      </c>
      <c r="BU64" s="887">
        <v>331.8</v>
      </c>
      <c r="BV64" s="887">
        <v>332.8</v>
      </c>
      <c r="BW64" s="887">
        <v>339.7</v>
      </c>
      <c r="BX64" s="887">
        <v>342</v>
      </c>
      <c r="BY64" s="887">
        <v>338.8</v>
      </c>
      <c r="BZ64" s="887">
        <v>344.9</v>
      </c>
      <c r="CA64" s="887">
        <v>349.9</v>
      </c>
      <c r="CB64" s="887">
        <v>355.8</v>
      </c>
      <c r="CC64" s="887">
        <v>360.3</v>
      </c>
      <c r="CD64" s="887">
        <v>366.2</v>
      </c>
      <c r="CE64" s="888">
        <v>370.3</v>
      </c>
      <c r="CF64" s="886">
        <v>375.1</v>
      </c>
      <c r="CG64" s="887">
        <v>396.6</v>
      </c>
      <c r="CH64" s="887">
        <v>414.5</v>
      </c>
      <c r="CI64" s="887">
        <v>430.6</v>
      </c>
      <c r="CJ64" s="887">
        <v>434.6</v>
      </c>
      <c r="CK64" s="887">
        <v>456.3</v>
      </c>
      <c r="CL64" s="887">
        <v>456.3</v>
      </c>
      <c r="CM64" s="887">
        <v>487.9</v>
      </c>
      <c r="CN64" s="887">
        <v>487.9</v>
      </c>
      <c r="CO64" s="887">
        <v>494.1</v>
      </c>
      <c r="CP64" s="887">
        <v>491.8</v>
      </c>
      <c r="CQ64" s="888">
        <v>483.4</v>
      </c>
      <c r="CR64" s="886">
        <v>481.6</v>
      </c>
      <c r="CS64" s="887">
        <v>482.3</v>
      </c>
      <c r="CT64" s="887">
        <v>475</v>
      </c>
      <c r="CU64" s="887">
        <v>452.8</v>
      </c>
      <c r="CV64" s="887">
        <v>460</v>
      </c>
      <c r="CW64" s="887">
        <v>443.5</v>
      </c>
      <c r="CX64" s="887">
        <v>441.8</v>
      </c>
      <c r="CY64" s="887">
        <v>447.6</v>
      </c>
      <c r="CZ64" s="887">
        <v>449.1</v>
      </c>
      <c r="DA64" s="887">
        <v>451.4</v>
      </c>
      <c r="DB64" s="889">
        <v>458.6</v>
      </c>
      <c r="DC64" s="888">
        <v>458.6</v>
      </c>
      <c r="DD64" s="890">
        <v>460.1</v>
      </c>
      <c r="DE64" s="887">
        <v>470.1</v>
      </c>
      <c r="DF64" s="889">
        <v>474.8</v>
      </c>
      <c r="DG64" s="888">
        <v>485</v>
      </c>
      <c r="DH64" s="887">
        <v>493.6</v>
      </c>
      <c r="DI64" s="887">
        <v>506.7</v>
      </c>
      <c r="DJ64" s="887">
        <v>526.9</v>
      </c>
      <c r="DK64" s="888">
        <v>533.20000000000005</v>
      </c>
      <c r="DL64" s="887">
        <v>534.79999999999995</v>
      </c>
      <c r="DM64" s="888">
        <v>550.70000000000005</v>
      </c>
      <c r="DN64" s="888">
        <v>548.6</v>
      </c>
      <c r="DO64" s="968">
        <v>548.6</v>
      </c>
      <c r="DP64" s="890">
        <v>556</v>
      </c>
      <c r="DQ64" s="659">
        <v>571.29999999999995</v>
      </c>
      <c r="DR64" s="659">
        <v>568.5</v>
      </c>
      <c r="DS64" s="659">
        <v>590.1</v>
      </c>
      <c r="DT64" s="623">
        <v>590.4</v>
      </c>
      <c r="DU64" s="659">
        <v>590.5</v>
      </c>
      <c r="DV64" s="659">
        <v>595.79999999999995</v>
      </c>
      <c r="DW64" s="659">
        <v>610.6</v>
      </c>
      <c r="DX64" s="659">
        <v>615</v>
      </c>
      <c r="DY64" s="659">
        <v>616.4</v>
      </c>
      <c r="DZ64" s="659">
        <v>619.6</v>
      </c>
      <c r="EA64" s="897">
        <v>617.6</v>
      </c>
      <c r="EB64" s="659">
        <v>614.6</v>
      </c>
      <c r="EC64" s="659">
        <v>614</v>
      </c>
      <c r="ED64" s="659">
        <v>618.20000000000005</v>
      </c>
      <c r="EE64" s="659">
        <v>618.20000000000005</v>
      </c>
      <c r="EF64" s="659">
        <v>625.5</v>
      </c>
      <c r="EG64" s="659">
        <v>633.1</v>
      </c>
      <c r="EH64" s="659">
        <v>648.29999999999995</v>
      </c>
      <c r="EI64" s="659">
        <v>659.9</v>
      </c>
      <c r="EJ64" s="659">
        <v>667.4</v>
      </c>
      <c r="EK64" s="623">
        <v>667.4</v>
      </c>
      <c r="EL64" s="725">
        <v>675.2</v>
      </c>
      <c r="EM64" s="659">
        <v>682.8</v>
      </c>
      <c r="EN64" s="783">
        <v>685.8</v>
      </c>
      <c r="EO64" s="659">
        <v>709.9</v>
      </c>
      <c r="EP64" s="659">
        <v>709.7</v>
      </c>
      <c r="EQ64" s="659">
        <v>717.3</v>
      </c>
      <c r="ER64" s="659">
        <v>744.2</v>
      </c>
      <c r="ES64" s="659">
        <v>738.9</v>
      </c>
      <c r="ET64" s="659">
        <v>760.7</v>
      </c>
      <c r="EU64" s="659">
        <v>765.5</v>
      </c>
      <c r="EV64" s="659">
        <v>774.7</v>
      </c>
      <c r="EW64" s="659">
        <v>783.4</v>
      </c>
      <c r="EX64" s="659">
        <v>802.5</v>
      </c>
      <c r="EY64" s="659">
        <v>825.5</v>
      </c>
      <c r="EZ64" s="783">
        <v>897.2</v>
      </c>
      <c r="FA64" s="659">
        <v>1013.8</v>
      </c>
      <c r="FB64" s="659">
        <v>1052</v>
      </c>
      <c r="FC64" s="659">
        <v>1081.5999999999999</v>
      </c>
      <c r="FD64" s="659">
        <v>1107.3</v>
      </c>
      <c r="FE64" s="659">
        <v>1129.3</v>
      </c>
      <c r="FF64" s="659">
        <v>1145.5</v>
      </c>
      <c r="FG64" s="659">
        <v>1158.2</v>
      </c>
      <c r="FH64" s="659">
        <v>1208.7</v>
      </c>
      <c r="FI64" s="659">
        <v>1242</v>
      </c>
      <c r="FJ64" s="659">
        <v>1262.0999999999999</v>
      </c>
      <c r="FK64" s="897">
        <v>1262.0999999999999</v>
      </c>
      <c r="FL64" s="783">
        <v>1279.9000000000001</v>
      </c>
      <c r="FM64" s="659">
        <v>1344.8</v>
      </c>
      <c r="FN64" s="659">
        <v>1344</v>
      </c>
      <c r="FO64" s="659">
        <v>1358.4</v>
      </c>
      <c r="FP64" s="659">
        <v>1361.9</v>
      </c>
      <c r="FQ64" s="659">
        <v>1382.6</v>
      </c>
      <c r="FR64" s="659">
        <v>1387.8</v>
      </c>
      <c r="FS64" s="659">
        <v>1391.5</v>
      </c>
      <c r="FT64" s="659">
        <v>1445.5</v>
      </c>
      <c r="FU64" s="897">
        <v>1446.8</v>
      </c>
      <c r="FV64" s="1167">
        <f t="shared" si="0"/>
        <v>1.0008993427879627</v>
      </c>
    </row>
    <row r="65" spans="1:178" s="112" customFormat="1" ht="21" customHeight="1">
      <c r="A65" s="1543">
        <v>1</v>
      </c>
      <c r="B65" s="408">
        <v>40</v>
      </c>
      <c r="C65" s="621" t="s">
        <v>48</v>
      </c>
      <c r="D65" s="622" t="s">
        <v>49</v>
      </c>
      <c r="E65" s="621" t="s">
        <v>918</v>
      </c>
      <c r="F65" s="622"/>
      <c r="G65" s="621" t="s">
        <v>929</v>
      </c>
      <c r="H65" s="621" t="s">
        <v>930</v>
      </c>
      <c r="I65" s="390" t="s">
        <v>50</v>
      </c>
      <c r="J65" s="651"/>
      <c r="K65" s="669">
        <v>90</v>
      </c>
      <c r="L65" s="665">
        <v>98.3</v>
      </c>
      <c r="M65" s="625">
        <v>122.4</v>
      </c>
      <c r="N65" s="625">
        <v>155.19999999999999</v>
      </c>
      <c r="O65" s="625">
        <v>174.8</v>
      </c>
      <c r="P65" s="625">
        <v>190.3</v>
      </c>
      <c r="Q65" s="625">
        <v>231.4</v>
      </c>
      <c r="R65" s="625">
        <v>252.4</v>
      </c>
      <c r="S65" s="625">
        <v>257.60000000000002</v>
      </c>
      <c r="T65" s="625">
        <v>257.60000000000002</v>
      </c>
      <c r="U65" s="625">
        <v>257.60000000000002</v>
      </c>
      <c r="V65" s="625">
        <v>252.9</v>
      </c>
      <c r="W65" s="625">
        <v>248.1</v>
      </c>
      <c r="X65" s="625">
        <v>247.6</v>
      </c>
      <c r="Y65" s="625">
        <v>231.1</v>
      </c>
      <c r="Z65" s="625">
        <v>227</v>
      </c>
      <c r="AA65" s="625">
        <v>223.9</v>
      </c>
      <c r="AB65" s="625">
        <v>223.9</v>
      </c>
      <c r="AC65" s="625">
        <v>208.6</v>
      </c>
      <c r="AD65" s="625">
        <v>207.8</v>
      </c>
      <c r="AE65" s="625">
        <v>203.2</v>
      </c>
      <c r="AF65" s="625">
        <v>204.2</v>
      </c>
      <c r="AG65" s="625">
        <v>206.1</v>
      </c>
      <c r="AH65" s="625">
        <v>208.3</v>
      </c>
      <c r="AI65" s="764">
        <v>217.4</v>
      </c>
      <c r="AJ65" s="772">
        <v>225.5</v>
      </c>
      <c r="AK65" s="625">
        <v>240.3</v>
      </c>
      <c r="AL65" s="625">
        <v>272.39999999999998</v>
      </c>
      <c r="AM65" s="625">
        <v>280.8</v>
      </c>
      <c r="AN65" s="625">
        <v>283.10000000000002</v>
      </c>
      <c r="AO65" s="625">
        <v>283.10000000000002</v>
      </c>
      <c r="AP65" s="625">
        <v>270.3</v>
      </c>
      <c r="AQ65" s="625">
        <v>270.39999999999998</v>
      </c>
      <c r="AR65" s="625">
        <v>268.3</v>
      </c>
      <c r="AS65" s="625">
        <v>283</v>
      </c>
      <c r="AT65" s="625">
        <v>281.8</v>
      </c>
      <c r="AU65" s="764">
        <v>281.8</v>
      </c>
      <c r="AV65" s="752">
        <v>281.8</v>
      </c>
      <c r="AW65" s="626">
        <v>279.2</v>
      </c>
      <c r="AX65" s="626">
        <v>281.2</v>
      </c>
      <c r="AY65" s="626">
        <v>291.2</v>
      </c>
      <c r="AZ65" s="626">
        <v>291.2</v>
      </c>
      <c r="BA65" s="626">
        <v>291.2</v>
      </c>
      <c r="BB65" s="626">
        <v>297.2</v>
      </c>
      <c r="BC65" s="627">
        <v>315.3</v>
      </c>
      <c r="BD65" s="626">
        <v>324.3</v>
      </c>
      <c r="BE65" s="627">
        <v>337.2</v>
      </c>
      <c r="BF65" s="627">
        <v>349.9</v>
      </c>
      <c r="BG65" s="738">
        <v>371</v>
      </c>
      <c r="BH65" s="660">
        <v>388.3</v>
      </c>
      <c r="BI65" s="623">
        <v>406.7</v>
      </c>
      <c r="BJ65" s="623">
        <v>416.9</v>
      </c>
      <c r="BK65" s="623">
        <v>434.3</v>
      </c>
      <c r="BL65" s="623">
        <v>617.6</v>
      </c>
      <c r="BM65" s="623">
        <v>636.70000000000005</v>
      </c>
      <c r="BN65" s="623">
        <v>619</v>
      </c>
      <c r="BO65" s="623">
        <v>619</v>
      </c>
      <c r="BP65" s="623">
        <v>619</v>
      </c>
      <c r="BQ65" s="623">
        <v>619</v>
      </c>
      <c r="BR65" s="623">
        <v>611.29999999999995</v>
      </c>
      <c r="BS65" s="659">
        <v>611.6</v>
      </c>
      <c r="BT65" s="660">
        <v>611.6</v>
      </c>
      <c r="BU65" s="623">
        <v>611.6</v>
      </c>
      <c r="BV65" s="623">
        <v>611.6</v>
      </c>
      <c r="BW65" s="623">
        <v>642.20000000000005</v>
      </c>
      <c r="BX65" s="623">
        <v>658.9</v>
      </c>
      <c r="BY65" s="623">
        <v>680.5</v>
      </c>
      <c r="BZ65" s="623">
        <v>680.5</v>
      </c>
      <c r="CA65" s="623">
        <v>683.3</v>
      </c>
      <c r="CB65" s="623">
        <v>683.3</v>
      </c>
      <c r="CC65" s="623">
        <v>672.6</v>
      </c>
      <c r="CD65" s="623">
        <v>672.6</v>
      </c>
      <c r="CE65" s="659">
        <v>681.9</v>
      </c>
      <c r="CF65" s="660">
        <v>679.8</v>
      </c>
      <c r="CG65" s="623">
        <v>686</v>
      </c>
      <c r="CH65" s="623">
        <v>705</v>
      </c>
      <c r="CI65" s="623">
        <v>729.2</v>
      </c>
      <c r="CJ65" s="623">
        <v>731.8</v>
      </c>
      <c r="CK65" s="623">
        <v>750.3</v>
      </c>
      <c r="CL65" s="623">
        <v>750.3</v>
      </c>
      <c r="CM65" s="623">
        <v>750.3</v>
      </c>
      <c r="CN65" s="623">
        <v>750.3</v>
      </c>
      <c r="CO65" s="623">
        <v>750.3</v>
      </c>
      <c r="CP65" s="623">
        <v>747.6</v>
      </c>
      <c r="CQ65" s="659">
        <v>732.3</v>
      </c>
      <c r="CR65" s="660">
        <v>720.2</v>
      </c>
      <c r="CS65" s="623">
        <v>692.4</v>
      </c>
      <c r="CT65" s="623">
        <v>682.8</v>
      </c>
      <c r="CU65" s="623">
        <v>678.2</v>
      </c>
      <c r="CV65" s="623">
        <v>669.1</v>
      </c>
      <c r="CW65" s="623">
        <v>660.6</v>
      </c>
      <c r="CX65" s="623">
        <v>680.2</v>
      </c>
      <c r="CY65" s="623">
        <v>694.5</v>
      </c>
      <c r="CZ65" s="623">
        <v>702.4</v>
      </c>
      <c r="DA65" s="623">
        <v>749.7</v>
      </c>
      <c r="DB65" s="725">
        <v>756.6</v>
      </c>
      <c r="DC65" s="659">
        <v>752.9</v>
      </c>
      <c r="DD65" s="783">
        <v>774.8</v>
      </c>
      <c r="DE65" s="623">
        <v>793.8</v>
      </c>
      <c r="DF65" s="725">
        <v>808.9</v>
      </c>
      <c r="DG65" s="659">
        <v>819.2</v>
      </c>
      <c r="DH65" s="623">
        <v>823.9</v>
      </c>
      <c r="DI65" s="623">
        <v>845</v>
      </c>
      <c r="DJ65" s="623">
        <v>861</v>
      </c>
      <c r="DK65" s="659">
        <v>861</v>
      </c>
      <c r="DL65" s="623">
        <v>875.9</v>
      </c>
      <c r="DM65" s="659">
        <v>915.3</v>
      </c>
      <c r="DN65" s="659">
        <v>925.1</v>
      </c>
      <c r="DO65" s="897">
        <v>945.1</v>
      </c>
      <c r="DP65" s="783">
        <v>967.7</v>
      </c>
      <c r="DQ65" s="659">
        <v>978.4</v>
      </c>
      <c r="DR65" s="659">
        <v>967</v>
      </c>
      <c r="DS65" s="659">
        <v>1004.2</v>
      </c>
      <c r="DT65" s="623">
        <v>1029</v>
      </c>
      <c r="DU65" s="659">
        <v>1052.4000000000001</v>
      </c>
      <c r="DV65" s="659">
        <v>1056.8</v>
      </c>
      <c r="DW65" s="659">
        <v>1062.7</v>
      </c>
      <c r="DX65" s="659">
        <v>1081</v>
      </c>
      <c r="DY65" s="659">
        <v>1077.0999999999999</v>
      </c>
      <c r="DZ65" s="659">
        <v>1045.5999999999999</v>
      </c>
      <c r="EA65" s="897">
        <v>1045.5999999999999</v>
      </c>
      <c r="EB65" s="659">
        <v>1045.5999999999999</v>
      </c>
      <c r="EC65" s="659">
        <v>1045.5999999999999</v>
      </c>
      <c r="ED65" s="659">
        <v>1050.4000000000001</v>
      </c>
      <c r="EE65" s="659">
        <v>996.2</v>
      </c>
      <c r="EF65" s="659">
        <v>996.2</v>
      </c>
      <c r="EG65" s="659">
        <v>996.2</v>
      </c>
      <c r="EH65" s="659">
        <v>996.2</v>
      </c>
      <c r="EI65" s="659">
        <v>996.2</v>
      </c>
      <c r="EJ65" s="659">
        <v>996.2</v>
      </c>
      <c r="EK65" s="623">
        <v>1017.2</v>
      </c>
      <c r="EL65" s="725">
        <v>1018.8</v>
      </c>
      <c r="EM65" s="659">
        <v>1021.5</v>
      </c>
      <c r="EN65" s="783">
        <v>1021.5</v>
      </c>
      <c r="EO65" s="659">
        <v>1044.5</v>
      </c>
      <c r="EP65" s="659">
        <v>1053.0999999999999</v>
      </c>
      <c r="EQ65" s="659">
        <v>1057.7</v>
      </c>
      <c r="ER65" s="659">
        <v>1056.5999999999999</v>
      </c>
      <c r="ES65" s="659">
        <v>1060.5</v>
      </c>
      <c r="ET65" s="659">
        <v>1082.3</v>
      </c>
      <c r="EU65" s="659">
        <v>1092.5</v>
      </c>
      <c r="EV65" s="659">
        <v>1124.5999999999999</v>
      </c>
      <c r="EW65" s="659">
        <v>1159.0999999999999</v>
      </c>
      <c r="EX65" s="659">
        <v>1247.0999999999999</v>
      </c>
      <c r="EY65" s="659">
        <v>1402</v>
      </c>
      <c r="EZ65" s="783">
        <v>1428.9</v>
      </c>
      <c r="FA65" s="659">
        <v>1534.8</v>
      </c>
      <c r="FB65" s="659">
        <v>1716</v>
      </c>
      <c r="FC65" s="659">
        <v>1770</v>
      </c>
      <c r="FD65" s="659">
        <v>1770</v>
      </c>
      <c r="FE65" s="659">
        <v>1763.6</v>
      </c>
      <c r="FF65" s="659">
        <v>1764.5</v>
      </c>
      <c r="FG65" s="659">
        <v>1794.3</v>
      </c>
      <c r="FH65" s="659">
        <v>1817.6</v>
      </c>
      <c r="FI65" s="659">
        <v>1885.7</v>
      </c>
      <c r="FJ65" s="659">
        <v>1885.7</v>
      </c>
      <c r="FK65" s="897">
        <v>1897.6</v>
      </c>
      <c r="FL65" s="783">
        <v>1890.8</v>
      </c>
      <c r="FM65" s="659">
        <v>1890.8</v>
      </c>
      <c r="FN65" s="659">
        <v>1890.8</v>
      </c>
      <c r="FO65" s="659">
        <v>1890.8</v>
      </c>
      <c r="FP65" s="659">
        <v>1890.8</v>
      </c>
      <c r="FQ65" s="659">
        <v>1920.3</v>
      </c>
      <c r="FR65" s="659">
        <v>2028.5</v>
      </c>
      <c r="FS65" s="659">
        <v>2028.5</v>
      </c>
      <c r="FT65" s="659">
        <v>2020.3</v>
      </c>
      <c r="FU65" s="897">
        <v>2026.3</v>
      </c>
      <c r="FV65" s="1167">
        <f t="shared" si="0"/>
        <v>1.0029698559619857</v>
      </c>
    </row>
    <row r="66" spans="1:178" s="112" customFormat="1" ht="20.25" customHeight="1">
      <c r="A66" s="1543">
        <v>1</v>
      </c>
      <c r="B66" s="408">
        <v>41</v>
      </c>
      <c r="C66" s="621" t="s">
        <v>51</v>
      </c>
      <c r="D66" s="622" t="s">
        <v>52</v>
      </c>
      <c r="E66" s="621" t="s">
        <v>918</v>
      </c>
      <c r="F66" s="622"/>
      <c r="G66" s="621" t="s">
        <v>929</v>
      </c>
      <c r="H66" s="621" t="s">
        <v>930</v>
      </c>
      <c r="I66" s="390" t="s">
        <v>921</v>
      </c>
      <c r="J66" s="651"/>
      <c r="K66" s="669">
        <v>88.4</v>
      </c>
      <c r="L66" s="665">
        <v>95</v>
      </c>
      <c r="M66" s="625">
        <v>109.8</v>
      </c>
      <c r="N66" s="625">
        <v>124.4</v>
      </c>
      <c r="O66" s="625">
        <v>160.69999999999999</v>
      </c>
      <c r="P66" s="625">
        <v>172.5</v>
      </c>
      <c r="Q66" s="625">
        <v>181.6</v>
      </c>
      <c r="R66" s="625">
        <v>188.3</v>
      </c>
      <c r="S66" s="625">
        <v>205.2</v>
      </c>
      <c r="T66" s="625">
        <v>207.7</v>
      </c>
      <c r="U66" s="625">
        <v>203</v>
      </c>
      <c r="V66" s="625">
        <v>201.5</v>
      </c>
      <c r="W66" s="625">
        <v>201.5</v>
      </c>
      <c r="X66" s="625">
        <v>201.5</v>
      </c>
      <c r="Y66" s="625">
        <v>201.5</v>
      </c>
      <c r="Z66" s="625">
        <v>201.5</v>
      </c>
      <c r="AA66" s="625">
        <v>201.5</v>
      </c>
      <c r="AB66" s="625">
        <v>200</v>
      </c>
      <c r="AC66" s="625">
        <v>197.7</v>
      </c>
      <c r="AD66" s="625">
        <v>197.7</v>
      </c>
      <c r="AE66" s="625">
        <v>191.1</v>
      </c>
      <c r="AF66" s="625">
        <v>191.1</v>
      </c>
      <c r="AG66" s="625">
        <v>191.1</v>
      </c>
      <c r="AH66" s="625">
        <v>191.3</v>
      </c>
      <c r="AI66" s="764">
        <v>191.3</v>
      </c>
      <c r="AJ66" s="772">
        <v>189.6</v>
      </c>
      <c r="AK66" s="625">
        <v>193.3</v>
      </c>
      <c r="AL66" s="625">
        <v>199.7</v>
      </c>
      <c r="AM66" s="625">
        <v>202.4</v>
      </c>
      <c r="AN66" s="625">
        <v>215.3</v>
      </c>
      <c r="AO66" s="625">
        <v>216.1</v>
      </c>
      <c r="AP66" s="625">
        <v>218.3</v>
      </c>
      <c r="AQ66" s="625">
        <v>218.3</v>
      </c>
      <c r="AR66" s="625">
        <v>221</v>
      </c>
      <c r="AS66" s="625">
        <v>224</v>
      </c>
      <c r="AT66" s="625">
        <v>225.7</v>
      </c>
      <c r="AU66" s="764">
        <v>227.8</v>
      </c>
      <c r="AV66" s="752">
        <v>229.8</v>
      </c>
      <c r="AW66" s="626">
        <v>229.8</v>
      </c>
      <c r="AX66" s="626">
        <v>229.8</v>
      </c>
      <c r="AY66" s="626">
        <v>232.6</v>
      </c>
      <c r="AZ66" s="626">
        <v>231.7</v>
      </c>
      <c r="BA66" s="626">
        <v>230.4</v>
      </c>
      <c r="BB66" s="626">
        <v>232.1</v>
      </c>
      <c r="BC66" s="627">
        <v>232.1</v>
      </c>
      <c r="BD66" s="626">
        <v>232.1</v>
      </c>
      <c r="BE66" s="627">
        <v>232.8</v>
      </c>
      <c r="BF66" s="627">
        <v>233.7</v>
      </c>
      <c r="BG66" s="738">
        <v>234.6</v>
      </c>
      <c r="BH66" s="660">
        <v>234.4</v>
      </c>
      <c r="BI66" s="623">
        <v>234.4</v>
      </c>
      <c r="BJ66" s="623">
        <v>234.4</v>
      </c>
      <c r="BK66" s="623">
        <v>236.1</v>
      </c>
      <c r="BL66" s="623">
        <v>238.4</v>
      </c>
      <c r="BM66" s="623">
        <v>256.10000000000002</v>
      </c>
      <c r="BN66" s="623">
        <v>251.9</v>
      </c>
      <c r="BO66" s="623">
        <v>253.4</v>
      </c>
      <c r="BP66" s="623">
        <v>253.4</v>
      </c>
      <c r="BQ66" s="623">
        <v>253.4</v>
      </c>
      <c r="BR66" s="623">
        <v>252.9</v>
      </c>
      <c r="BS66" s="659">
        <v>253.8</v>
      </c>
      <c r="BT66" s="660">
        <v>254.3</v>
      </c>
      <c r="BU66" s="623">
        <v>255.5</v>
      </c>
      <c r="BV66" s="623">
        <v>265.7</v>
      </c>
      <c r="BW66" s="623">
        <v>266.10000000000002</v>
      </c>
      <c r="BX66" s="623">
        <v>270.10000000000002</v>
      </c>
      <c r="BY66" s="623">
        <v>270.10000000000002</v>
      </c>
      <c r="BZ66" s="623">
        <v>278</v>
      </c>
      <c r="CA66" s="623">
        <v>282</v>
      </c>
      <c r="CB66" s="623">
        <v>283.8</v>
      </c>
      <c r="CC66" s="623">
        <v>286.2</v>
      </c>
      <c r="CD66" s="623">
        <v>288.2</v>
      </c>
      <c r="CE66" s="659">
        <v>292.10000000000002</v>
      </c>
      <c r="CF66" s="660">
        <v>290.7</v>
      </c>
      <c r="CG66" s="623">
        <v>295.8</v>
      </c>
      <c r="CH66" s="623">
        <v>309.3</v>
      </c>
      <c r="CI66" s="623">
        <v>320.60000000000002</v>
      </c>
      <c r="CJ66" s="623">
        <v>358.3</v>
      </c>
      <c r="CK66" s="623">
        <v>350.9</v>
      </c>
      <c r="CL66" s="623">
        <v>348.9</v>
      </c>
      <c r="CM66" s="623">
        <v>351.8</v>
      </c>
      <c r="CN66" s="623">
        <v>351.8</v>
      </c>
      <c r="CO66" s="623">
        <v>352</v>
      </c>
      <c r="CP66" s="623">
        <v>356.8</v>
      </c>
      <c r="CQ66" s="659">
        <v>358.1</v>
      </c>
      <c r="CR66" s="660">
        <v>358.1</v>
      </c>
      <c r="CS66" s="623">
        <v>355.3</v>
      </c>
      <c r="CT66" s="623">
        <v>356.4</v>
      </c>
      <c r="CU66" s="623">
        <v>354.2</v>
      </c>
      <c r="CV66" s="623">
        <v>354.3</v>
      </c>
      <c r="CW66" s="623">
        <v>353.6</v>
      </c>
      <c r="CX66" s="623">
        <v>354</v>
      </c>
      <c r="CY66" s="623">
        <v>353.1</v>
      </c>
      <c r="CZ66" s="623">
        <v>374.1</v>
      </c>
      <c r="DA66" s="623">
        <v>375.1</v>
      </c>
      <c r="DB66" s="725">
        <v>375.9</v>
      </c>
      <c r="DC66" s="659">
        <v>375.9</v>
      </c>
      <c r="DD66" s="783">
        <v>380.4</v>
      </c>
      <c r="DE66" s="623">
        <v>389</v>
      </c>
      <c r="DF66" s="725">
        <v>389</v>
      </c>
      <c r="DG66" s="659">
        <v>385.8</v>
      </c>
      <c r="DH66" s="623">
        <v>414.9</v>
      </c>
      <c r="DI66" s="623">
        <v>427.3</v>
      </c>
      <c r="DJ66" s="623">
        <v>434.1</v>
      </c>
      <c r="DK66" s="659">
        <v>434.1</v>
      </c>
      <c r="DL66" s="623">
        <v>436.3</v>
      </c>
      <c r="DM66" s="659">
        <v>436.3</v>
      </c>
      <c r="DN66" s="659">
        <v>445.4</v>
      </c>
      <c r="DO66" s="897">
        <v>445.4</v>
      </c>
      <c r="DP66" s="783">
        <v>445.5</v>
      </c>
      <c r="DQ66" s="659">
        <v>452.1</v>
      </c>
      <c r="DR66" s="659">
        <v>456.8</v>
      </c>
      <c r="DS66" s="659">
        <v>465.4</v>
      </c>
      <c r="DT66" s="623">
        <v>478.5</v>
      </c>
      <c r="DU66" s="659">
        <v>495</v>
      </c>
      <c r="DV66" s="659">
        <v>497.5</v>
      </c>
      <c r="DW66" s="659">
        <v>507.7</v>
      </c>
      <c r="DX66" s="659">
        <v>512.20000000000005</v>
      </c>
      <c r="DY66" s="659">
        <v>516.1</v>
      </c>
      <c r="DZ66" s="659">
        <v>521.6</v>
      </c>
      <c r="EA66" s="897">
        <v>522.20000000000005</v>
      </c>
      <c r="EB66" s="659">
        <v>530.5</v>
      </c>
      <c r="EC66" s="659">
        <v>536</v>
      </c>
      <c r="ED66" s="659">
        <v>543.5</v>
      </c>
      <c r="EE66" s="659">
        <v>546.5</v>
      </c>
      <c r="EF66" s="659">
        <v>551</v>
      </c>
      <c r="EG66" s="659">
        <v>581.9</v>
      </c>
      <c r="EH66" s="659">
        <v>594.29999999999995</v>
      </c>
      <c r="EI66" s="659">
        <v>595</v>
      </c>
      <c r="EJ66" s="659">
        <v>604.6</v>
      </c>
      <c r="EK66" s="623">
        <v>608.79999999999995</v>
      </c>
      <c r="EL66" s="725">
        <v>624.1</v>
      </c>
      <c r="EM66" s="659">
        <v>623.20000000000005</v>
      </c>
      <c r="EN66" s="783">
        <v>623.79999999999995</v>
      </c>
      <c r="EO66" s="659">
        <v>635.9</v>
      </c>
      <c r="EP66" s="659">
        <v>663.1</v>
      </c>
      <c r="EQ66" s="659">
        <v>669.5</v>
      </c>
      <c r="ER66" s="659">
        <v>680.9</v>
      </c>
      <c r="ES66" s="659">
        <v>704</v>
      </c>
      <c r="ET66" s="659">
        <v>718.2</v>
      </c>
      <c r="EU66" s="659">
        <v>733.3</v>
      </c>
      <c r="EV66" s="659">
        <v>752.8</v>
      </c>
      <c r="EW66" s="659">
        <v>778.7</v>
      </c>
      <c r="EX66" s="659">
        <v>790.1</v>
      </c>
      <c r="EY66" s="659">
        <v>802.6</v>
      </c>
      <c r="EZ66" s="783">
        <v>826.6</v>
      </c>
      <c r="FA66" s="659">
        <v>983.7</v>
      </c>
      <c r="FB66" s="659">
        <v>1021.2</v>
      </c>
      <c r="FC66" s="659">
        <v>1064.4000000000001</v>
      </c>
      <c r="FD66" s="659">
        <v>1086.2</v>
      </c>
      <c r="FE66" s="659">
        <v>1104.4000000000001</v>
      </c>
      <c r="FF66" s="659">
        <v>1096.0999999999999</v>
      </c>
      <c r="FG66" s="659">
        <v>1132.5999999999999</v>
      </c>
      <c r="FH66" s="659">
        <v>1158</v>
      </c>
      <c r="FI66" s="659">
        <v>1172.2</v>
      </c>
      <c r="FJ66" s="659">
        <v>1177.5</v>
      </c>
      <c r="FK66" s="897">
        <v>1182.8</v>
      </c>
      <c r="FL66" s="783">
        <v>1182.0999999999999</v>
      </c>
      <c r="FM66" s="659">
        <v>1197.7</v>
      </c>
      <c r="FN66" s="659">
        <v>1233.2</v>
      </c>
      <c r="FO66" s="659">
        <v>1233</v>
      </c>
      <c r="FP66" s="659">
        <v>1237.3</v>
      </c>
      <c r="FQ66" s="659">
        <v>1244.5999999999999</v>
      </c>
      <c r="FR66" s="659">
        <v>1252.8</v>
      </c>
      <c r="FS66" s="659">
        <v>1284.7</v>
      </c>
      <c r="FT66" s="659">
        <v>1302.4000000000001</v>
      </c>
      <c r="FU66" s="897">
        <v>1309.5</v>
      </c>
      <c r="FV66" s="1167">
        <f t="shared" si="0"/>
        <v>1.0054514742014742</v>
      </c>
    </row>
    <row r="67" spans="1:178" s="112" customFormat="1" ht="18.95" customHeight="1">
      <c r="A67" s="1543">
        <v>1</v>
      </c>
      <c r="B67" s="408">
        <v>42</v>
      </c>
      <c r="C67" s="621" t="s">
        <v>53</v>
      </c>
      <c r="D67" s="622" t="s">
        <v>54</v>
      </c>
      <c r="E67" s="621" t="s">
        <v>918</v>
      </c>
      <c r="F67" s="622"/>
      <c r="G67" s="621" t="s">
        <v>929</v>
      </c>
      <c r="H67" s="621" t="s">
        <v>930</v>
      </c>
      <c r="I67" s="390" t="s">
        <v>925</v>
      </c>
      <c r="J67" s="651"/>
      <c r="K67" s="669">
        <v>104.4</v>
      </c>
      <c r="L67" s="665">
        <v>113.5</v>
      </c>
      <c r="M67" s="625">
        <v>129.80000000000001</v>
      </c>
      <c r="N67" s="625">
        <v>125.6</v>
      </c>
      <c r="O67" s="625">
        <v>143.4</v>
      </c>
      <c r="P67" s="625">
        <v>141.69999999999999</v>
      </c>
      <c r="Q67" s="625">
        <v>152.19999999999999</v>
      </c>
      <c r="R67" s="625">
        <v>166</v>
      </c>
      <c r="S67" s="625">
        <v>166.4</v>
      </c>
      <c r="T67" s="625">
        <v>166.4</v>
      </c>
      <c r="U67" s="625">
        <v>166.4</v>
      </c>
      <c r="V67" s="625">
        <v>161</v>
      </c>
      <c r="W67" s="625">
        <v>153.30000000000001</v>
      </c>
      <c r="X67" s="625">
        <v>153.30000000000001</v>
      </c>
      <c r="Y67" s="625">
        <v>153.19999999999999</v>
      </c>
      <c r="Z67" s="625">
        <v>154.6</v>
      </c>
      <c r="AA67" s="625">
        <v>156.9</v>
      </c>
      <c r="AB67" s="625">
        <v>156.9</v>
      </c>
      <c r="AC67" s="625">
        <v>152.80000000000001</v>
      </c>
      <c r="AD67" s="625">
        <v>155.19999999999999</v>
      </c>
      <c r="AE67" s="625">
        <v>154.9</v>
      </c>
      <c r="AF67" s="625">
        <v>155.19999999999999</v>
      </c>
      <c r="AG67" s="625">
        <v>155.5</v>
      </c>
      <c r="AH67" s="625">
        <v>155.5</v>
      </c>
      <c r="AI67" s="764">
        <v>155.5</v>
      </c>
      <c r="AJ67" s="772">
        <v>155.5</v>
      </c>
      <c r="AK67" s="625">
        <v>158.1</v>
      </c>
      <c r="AL67" s="625">
        <v>162.6</v>
      </c>
      <c r="AM67" s="625">
        <v>168.5</v>
      </c>
      <c r="AN67" s="625">
        <v>176.9</v>
      </c>
      <c r="AO67" s="625">
        <v>180</v>
      </c>
      <c r="AP67" s="625">
        <v>180.9</v>
      </c>
      <c r="AQ67" s="625">
        <v>180.8</v>
      </c>
      <c r="AR67" s="625">
        <v>180.8</v>
      </c>
      <c r="AS67" s="625">
        <v>182.2</v>
      </c>
      <c r="AT67" s="625">
        <v>183.6</v>
      </c>
      <c r="AU67" s="764">
        <v>187.7</v>
      </c>
      <c r="AV67" s="752">
        <v>192.1</v>
      </c>
      <c r="AW67" s="626">
        <v>194.7</v>
      </c>
      <c r="AX67" s="626">
        <v>194.8</v>
      </c>
      <c r="AY67" s="626">
        <v>194.7</v>
      </c>
      <c r="AZ67" s="626">
        <v>197</v>
      </c>
      <c r="BA67" s="626">
        <v>197</v>
      </c>
      <c r="BB67" s="626">
        <v>197</v>
      </c>
      <c r="BC67" s="627">
        <v>197.4</v>
      </c>
      <c r="BD67" s="626">
        <v>198.9</v>
      </c>
      <c r="BE67" s="627">
        <v>206.1</v>
      </c>
      <c r="BF67" s="627">
        <v>216.6</v>
      </c>
      <c r="BG67" s="738">
        <v>216.6</v>
      </c>
      <c r="BH67" s="660">
        <v>219.7</v>
      </c>
      <c r="BI67" s="623">
        <v>218.3</v>
      </c>
      <c r="BJ67" s="623">
        <v>220.3</v>
      </c>
      <c r="BK67" s="623">
        <v>223.8</v>
      </c>
      <c r="BL67" s="623">
        <v>230.9</v>
      </c>
      <c r="BM67" s="623">
        <v>230.6</v>
      </c>
      <c r="BN67" s="623">
        <v>242.4</v>
      </c>
      <c r="BO67" s="623">
        <v>243.2</v>
      </c>
      <c r="BP67" s="623">
        <v>243.2</v>
      </c>
      <c r="BQ67" s="623">
        <v>243.2</v>
      </c>
      <c r="BR67" s="623">
        <v>243.6</v>
      </c>
      <c r="BS67" s="659">
        <v>243.6</v>
      </c>
      <c r="BT67" s="660">
        <v>243.6</v>
      </c>
      <c r="BU67" s="623">
        <v>244.8</v>
      </c>
      <c r="BV67" s="623">
        <v>258.10000000000002</v>
      </c>
      <c r="BW67" s="623">
        <v>262.60000000000002</v>
      </c>
      <c r="BX67" s="623">
        <v>262.60000000000002</v>
      </c>
      <c r="BY67" s="623">
        <v>262.60000000000002</v>
      </c>
      <c r="BZ67" s="623">
        <v>273.39999999999998</v>
      </c>
      <c r="CA67" s="623">
        <v>280.89999999999998</v>
      </c>
      <c r="CB67" s="623">
        <v>286.7</v>
      </c>
      <c r="CC67" s="623">
        <v>287.8</v>
      </c>
      <c r="CD67" s="623">
        <v>291.3</v>
      </c>
      <c r="CE67" s="659">
        <v>309.89999999999998</v>
      </c>
      <c r="CF67" s="660">
        <v>308</v>
      </c>
      <c r="CG67" s="623">
        <v>313.2</v>
      </c>
      <c r="CH67" s="623">
        <v>313.2</v>
      </c>
      <c r="CI67" s="623">
        <v>326.5</v>
      </c>
      <c r="CJ67" s="623">
        <v>355.5</v>
      </c>
      <c r="CK67" s="623">
        <v>353.9</v>
      </c>
      <c r="CL67" s="623">
        <v>371.3</v>
      </c>
      <c r="CM67" s="623">
        <v>390.3</v>
      </c>
      <c r="CN67" s="623">
        <v>390.3</v>
      </c>
      <c r="CO67" s="623">
        <v>390.3</v>
      </c>
      <c r="CP67" s="623">
        <v>390.3</v>
      </c>
      <c r="CQ67" s="659">
        <v>390.3</v>
      </c>
      <c r="CR67" s="660">
        <v>390.3</v>
      </c>
      <c r="CS67" s="623">
        <v>390.3</v>
      </c>
      <c r="CT67" s="623">
        <v>390.3</v>
      </c>
      <c r="CU67" s="623">
        <v>390.3</v>
      </c>
      <c r="CV67" s="623">
        <v>390.3</v>
      </c>
      <c r="CW67" s="623">
        <v>390.3</v>
      </c>
      <c r="CX67" s="623">
        <v>390.1</v>
      </c>
      <c r="CY67" s="623">
        <v>393.7</v>
      </c>
      <c r="CZ67" s="623">
        <v>410.2</v>
      </c>
      <c r="DA67" s="623">
        <v>416.8</v>
      </c>
      <c r="DB67" s="725">
        <v>417.2</v>
      </c>
      <c r="DC67" s="659">
        <v>417.2</v>
      </c>
      <c r="DD67" s="783">
        <v>422.8</v>
      </c>
      <c r="DE67" s="623">
        <v>433.1</v>
      </c>
      <c r="DF67" s="725">
        <v>433.1</v>
      </c>
      <c r="DG67" s="659">
        <v>433.1</v>
      </c>
      <c r="DH67" s="623">
        <v>450.2</v>
      </c>
      <c r="DI67" s="623">
        <v>483.6</v>
      </c>
      <c r="DJ67" s="623">
        <v>483.6</v>
      </c>
      <c r="DK67" s="659">
        <v>515</v>
      </c>
      <c r="DL67" s="623">
        <v>515</v>
      </c>
      <c r="DM67" s="659">
        <v>523.1</v>
      </c>
      <c r="DN67" s="659">
        <v>523.1</v>
      </c>
      <c r="DO67" s="897">
        <v>529.5</v>
      </c>
      <c r="DP67" s="783">
        <v>553.4</v>
      </c>
      <c r="DQ67" s="659">
        <v>555.1</v>
      </c>
      <c r="DR67" s="659">
        <v>555.1</v>
      </c>
      <c r="DS67" s="659">
        <v>557.29999999999995</v>
      </c>
      <c r="DT67" s="623">
        <v>558.70000000000005</v>
      </c>
      <c r="DU67" s="659">
        <v>584.4</v>
      </c>
      <c r="DV67" s="659">
        <v>584.4</v>
      </c>
      <c r="DW67" s="659">
        <v>584.4</v>
      </c>
      <c r="DX67" s="659">
        <v>584.4</v>
      </c>
      <c r="DY67" s="659">
        <v>584.4</v>
      </c>
      <c r="DZ67" s="659">
        <v>607.5</v>
      </c>
      <c r="EA67" s="897">
        <v>619.4</v>
      </c>
      <c r="EB67" s="659">
        <v>619.4</v>
      </c>
      <c r="EC67" s="659">
        <v>620.5</v>
      </c>
      <c r="ED67" s="659">
        <v>647.70000000000005</v>
      </c>
      <c r="EE67" s="659">
        <v>647.70000000000005</v>
      </c>
      <c r="EF67" s="659">
        <v>647.70000000000005</v>
      </c>
      <c r="EG67" s="659">
        <v>652.5</v>
      </c>
      <c r="EH67" s="659">
        <v>662.2</v>
      </c>
      <c r="EI67" s="659">
        <v>662.2</v>
      </c>
      <c r="EJ67" s="659">
        <v>702.1</v>
      </c>
      <c r="EK67" s="623">
        <v>718</v>
      </c>
      <c r="EL67" s="725">
        <v>718</v>
      </c>
      <c r="EM67" s="659">
        <v>722.9</v>
      </c>
      <c r="EN67" s="783">
        <v>722.9</v>
      </c>
      <c r="EO67" s="659">
        <v>779.8</v>
      </c>
      <c r="EP67" s="659">
        <v>804.6</v>
      </c>
      <c r="EQ67" s="659">
        <v>807.9</v>
      </c>
      <c r="ER67" s="659">
        <v>841</v>
      </c>
      <c r="ES67" s="659">
        <v>855.8</v>
      </c>
      <c r="ET67" s="659">
        <v>858.7</v>
      </c>
      <c r="EU67" s="659">
        <v>858.7</v>
      </c>
      <c r="EV67" s="659">
        <v>858.7</v>
      </c>
      <c r="EW67" s="659">
        <v>871.5</v>
      </c>
      <c r="EX67" s="659">
        <v>871.5</v>
      </c>
      <c r="EY67" s="659">
        <v>897.3</v>
      </c>
      <c r="EZ67" s="783">
        <v>908.2</v>
      </c>
      <c r="FA67" s="659">
        <v>908.2</v>
      </c>
      <c r="FB67" s="659">
        <v>999.5</v>
      </c>
      <c r="FC67" s="659">
        <v>999.5</v>
      </c>
      <c r="FD67" s="659">
        <v>1034.5</v>
      </c>
      <c r="FE67" s="659">
        <v>1094.9000000000001</v>
      </c>
      <c r="FF67" s="659">
        <v>1128</v>
      </c>
      <c r="FG67" s="659">
        <v>1131.9000000000001</v>
      </c>
      <c r="FH67" s="659">
        <v>1159.9000000000001</v>
      </c>
      <c r="FI67" s="659">
        <v>1159.9000000000001</v>
      </c>
      <c r="FJ67" s="659">
        <v>1239.9000000000001</v>
      </c>
      <c r="FK67" s="897">
        <v>1239.9000000000001</v>
      </c>
      <c r="FL67" s="783">
        <v>1317</v>
      </c>
      <c r="FM67" s="659">
        <v>1317</v>
      </c>
      <c r="FN67" s="659">
        <v>1390.5</v>
      </c>
      <c r="FO67" s="659">
        <v>1464.7</v>
      </c>
      <c r="FP67" s="659">
        <v>1464.7</v>
      </c>
      <c r="FQ67" s="659">
        <v>1472.5</v>
      </c>
      <c r="FR67" s="659">
        <v>1554.6</v>
      </c>
      <c r="FS67" s="659">
        <v>1580.2</v>
      </c>
      <c r="FT67" s="659">
        <v>1678.8</v>
      </c>
      <c r="FU67" s="897">
        <v>1678.4</v>
      </c>
      <c r="FV67" s="1167">
        <f t="shared" si="0"/>
        <v>0.99976173457231365</v>
      </c>
    </row>
    <row r="68" spans="1:178" s="112" customFormat="1" ht="30" customHeight="1">
      <c r="A68" s="1543">
        <v>1</v>
      </c>
      <c r="B68" s="408">
        <v>43</v>
      </c>
      <c r="C68" s="621" t="s">
        <v>55</v>
      </c>
      <c r="D68" s="622" t="s">
        <v>56</v>
      </c>
      <c r="E68" s="621" t="s">
        <v>918</v>
      </c>
      <c r="F68" s="622"/>
      <c r="G68" s="621" t="s">
        <v>929</v>
      </c>
      <c r="H68" s="621" t="s">
        <v>930</v>
      </c>
      <c r="I68" s="390" t="s">
        <v>135</v>
      </c>
      <c r="J68" s="651"/>
      <c r="K68" s="669">
        <v>98.7</v>
      </c>
      <c r="L68" s="665">
        <v>105.2</v>
      </c>
      <c r="M68" s="625">
        <v>121.2</v>
      </c>
      <c r="N68" s="625">
        <v>125.9</v>
      </c>
      <c r="O68" s="625">
        <v>169.8</v>
      </c>
      <c r="P68" s="625">
        <v>193.2</v>
      </c>
      <c r="Q68" s="625">
        <v>210.7</v>
      </c>
      <c r="R68" s="625">
        <v>241.5</v>
      </c>
      <c r="S68" s="625">
        <v>236</v>
      </c>
      <c r="T68" s="625">
        <v>234.1</v>
      </c>
      <c r="U68" s="625">
        <v>234.1</v>
      </c>
      <c r="V68" s="625">
        <v>233</v>
      </c>
      <c r="W68" s="625">
        <v>235</v>
      </c>
      <c r="X68" s="625">
        <v>234.2</v>
      </c>
      <c r="Y68" s="625">
        <v>233.1</v>
      </c>
      <c r="Z68" s="625">
        <v>237.3</v>
      </c>
      <c r="AA68" s="625">
        <v>235.3</v>
      </c>
      <c r="AB68" s="625">
        <v>235.3</v>
      </c>
      <c r="AC68" s="625">
        <v>234.3</v>
      </c>
      <c r="AD68" s="625">
        <v>233.9</v>
      </c>
      <c r="AE68" s="625">
        <v>228.3</v>
      </c>
      <c r="AF68" s="625">
        <v>233.1</v>
      </c>
      <c r="AG68" s="625">
        <v>229.9</v>
      </c>
      <c r="AH68" s="625">
        <v>226</v>
      </c>
      <c r="AI68" s="764">
        <v>230.7</v>
      </c>
      <c r="AJ68" s="772">
        <v>235.2</v>
      </c>
      <c r="AK68" s="625">
        <v>244.2</v>
      </c>
      <c r="AL68" s="625">
        <v>256.39999999999998</v>
      </c>
      <c r="AM68" s="625">
        <v>259</v>
      </c>
      <c r="AN68" s="625">
        <v>265.89999999999998</v>
      </c>
      <c r="AO68" s="625">
        <v>267.89999999999998</v>
      </c>
      <c r="AP68" s="625">
        <v>276.2</v>
      </c>
      <c r="AQ68" s="625">
        <v>284.39999999999998</v>
      </c>
      <c r="AR68" s="625">
        <v>284.39999999999998</v>
      </c>
      <c r="AS68" s="625">
        <v>308.3</v>
      </c>
      <c r="AT68" s="625">
        <v>312</v>
      </c>
      <c r="AU68" s="764">
        <v>313.2</v>
      </c>
      <c r="AV68" s="752">
        <v>328.4</v>
      </c>
      <c r="AW68" s="626">
        <v>327.2</v>
      </c>
      <c r="AX68" s="626">
        <v>330.2</v>
      </c>
      <c r="AY68" s="626">
        <v>334.3</v>
      </c>
      <c r="AZ68" s="626">
        <v>334.3</v>
      </c>
      <c r="BA68" s="626">
        <v>334.3</v>
      </c>
      <c r="BB68" s="626">
        <v>343.4</v>
      </c>
      <c r="BC68" s="627">
        <v>354.7</v>
      </c>
      <c r="BD68" s="626">
        <v>351.4</v>
      </c>
      <c r="BE68" s="627">
        <v>350.6</v>
      </c>
      <c r="BF68" s="627">
        <v>357.5</v>
      </c>
      <c r="BG68" s="738">
        <v>357.5</v>
      </c>
      <c r="BH68" s="660">
        <v>369.4</v>
      </c>
      <c r="BI68" s="623">
        <v>370.4</v>
      </c>
      <c r="BJ68" s="623">
        <v>376.4</v>
      </c>
      <c r="BK68" s="623">
        <v>376.8</v>
      </c>
      <c r="BL68" s="623">
        <v>401.9</v>
      </c>
      <c r="BM68" s="623">
        <v>420.5</v>
      </c>
      <c r="BN68" s="623">
        <v>438.1</v>
      </c>
      <c r="BO68" s="623">
        <v>462.6</v>
      </c>
      <c r="BP68" s="623">
        <v>452</v>
      </c>
      <c r="BQ68" s="623">
        <v>459</v>
      </c>
      <c r="BR68" s="623">
        <v>464.5</v>
      </c>
      <c r="BS68" s="659">
        <v>467.9</v>
      </c>
      <c r="BT68" s="660">
        <v>469</v>
      </c>
      <c r="BU68" s="623">
        <v>470.1</v>
      </c>
      <c r="BV68" s="623">
        <v>492.9</v>
      </c>
      <c r="BW68" s="623">
        <v>496</v>
      </c>
      <c r="BX68" s="623">
        <v>502.5</v>
      </c>
      <c r="BY68" s="623">
        <v>503.1</v>
      </c>
      <c r="BZ68" s="623">
        <v>510.5</v>
      </c>
      <c r="CA68" s="623">
        <v>530.70000000000005</v>
      </c>
      <c r="CB68" s="623">
        <v>538.20000000000005</v>
      </c>
      <c r="CC68" s="623">
        <v>541.4</v>
      </c>
      <c r="CD68" s="623">
        <v>547.4</v>
      </c>
      <c r="CE68" s="659">
        <v>549.29999999999995</v>
      </c>
      <c r="CF68" s="660">
        <v>559.20000000000005</v>
      </c>
      <c r="CG68" s="623">
        <v>566.70000000000005</v>
      </c>
      <c r="CH68" s="623">
        <v>581.9</v>
      </c>
      <c r="CI68" s="623">
        <v>595.1</v>
      </c>
      <c r="CJ68" s="623">
        <v>605.1</v>
      </c>
      <c r="CK68" s="623">
        <v>669.9</v>
      </c>
      <c r="CL68" s="623">
        <v>708.6</v>
      </c>
      <c r="CM68" s="623">
        <v>726.4</v>
      </c>
      <c r="CN68" s="623">
        <v>726.4</v>
      </c>
      <c r="CO68" s="623">
        <v>725.4</v>
      </c>
      <c r="CP68" s="623">
        <v>725.4</v>
      </c>
      <c r="CQ68" s="659">
        <v>723.9</v>
      </c>
      <c r="CR68" s="660">
        <v>736.5</v>
      </c>
      <c r="CS68" s="623">
        <v>740.9</v>
      </c>
      <c r="CT68" s="623">
        <v>730.7</v>
      </c>
      <c r="CU68" s="623">
        <v>734.9</v>
      </c>
      <c r="CV68" s="623">
        <v>725</v>
      </c>
      <c r="CW68" s="623">
        <v>726.8</v>
      </c>
      <c r="CX68" s="623">
        <v>726.8</v>
      </c>
      <c r="CY68" s="623">
        <v>733.6</v>
      </c>
      <c r="CZ68" s="623">
        <v>729.8</v>
      </c>
      <c r="DA68" s="623">
        <v>728.5</v>
      </c>
      <c r="DB68" s="725">
        <v>729.6</v>
      </c>
      <c r="DC68" s="659">
        <v>726.2</v>
      </c>
      <c r="DD68" s="783">
        <v>729.3</v>
      </c>
      <c r="DE68" s="623">
        <v>744.1</v>
      </c>
      <c r="DF68" s="725">
        <v>744.1</v>
      </c>
      <c r="DG68" s="659">
        <v>746.6</v>
      </c>
      <c r="DH68" s="623">
        <v>792.9</v>
      </c>
      <c r="DI68" s="623">
        <v>811.5</v>
      </c>
      <c r="DJ68" s="623">
        <v>808.7</v>
      </c>
      <c r="DK68" s="659">
        <v>808.7</v>
      </c>
      <c r="DL68" s="623">
        <v>808.7</v>
      </c>
      <c r="DM68" s="659">
        <v>808.7</v>
      </c>
      <c r="DN68" s="659">
        <v>805.4</v>
      </c>
      <c r="DO68" s="897">
        <v>804.9</v>
      </c>
      <c r="DP68" s="783">
        <v>810.2</v>
      </c>
      <c r="DQ68" s="659">
        <v>825</v>
      </c>
      <c r="DR68" s="659">
        <v>825</v>
      </c>
      <c r="DS68" s="659">
        <v>831.4</v>
      </c>
      <c r="DT68" s="623">
        <v>867.1</v>
      </c>
      <c r="DU68" s="659">
        <v>903.9</v>
      </c>
      <c r="DV68" s="659">
        <v>916.7</v>
      </c>
      <c r="DW68" s="659">
        <v>924.2</v>
      </c>
      <c r="DX68" s="659">
        <v>930.4</v>
      </c>
      <c r="DY68" s="659">
        <v>944.1</v>
      </c>
      <c r="DZ68" s="659">
        <v>958.7</v>
      </c>
      <c r="EA68" s="897">
        <v>958.7</v>
      </c>
      <c r="EB68" s="659">
        <v>963.2</v>
      </c>
      <c r="EC68" s="659">
        <v>980</v>
      </c>
      <c r="ED68" s="659">
        <v>985.5</v>
      </c>
      <c r="EE68" s="659">
        <v>1011.4</v>
      </c>
      <c r="EF68" s="659">
        <v>1010.2</v>
      </c>
      <c r="EG68" s="659">
        <v>1029.5999999999999</v>
      </c>
      <c r="EH68" s="659">
        <v>1034</v>
      </c>
      <c r="EI68" s="659">
        <v>1055.0999999999999</v>
      </c>
      <c r="EJ68" s="659">
        <v>1069.9000000000001</v>
      </c>
      <c r="EK68" s="623">
        <v>1091.4000000000001</v>
      </c>
      <c r="EL68" s="725">
        <v>1137.2</v>
      </c>
      <c r="EM68" s="659">
        <v>1139.5</v>
      </c>
      <c r="EN68" s="783">
        <v>1163.7</v>
      </c>
      <c r="EO68" s="659">
        <v>1166.2</v>
      </c>
      <c r="EP68" s="659">
        <v>1186.9000000000001</v>
      </c>
      <c r="EQ68" s="659">
        <v>1217.4000000000001</v>
      </c>
      <c r="ER68" s="659">
        <v>1257.8</v>
      </c>
      <c r="ES68" s="659">
        <v>1278.7</v>
      </c>
      <c r="ET68" s="659">
        <v>1301.5</v>
      </c>
      <c r="EU68" s="659">
        <v>1313.9</v>
      </c>
      <c r="EV68" s="659">
        <v>1360.9</v>
      </c>
      <c r="EW68" s="659">
        <v>1363.2</v>
      </c>
      <c r="EX68" s="659">
        <v>1391.1</v>
      </c>
      <c r="EY68" s="659">
        <v>1448.8</v>
      </c>
      <c r="EZ68" s="783">
        <v>1639</v>
      </c>
      <c r="FA68" s="659">
        <v>1782.1</v>
      </c>
      <c r="FB68" s="659">
        <v>1797.4</v>
      </c>
      <c r="FC68" s="659">
        <v>1808.8</v>
      </c>
      <c r="FD68" s="659">
        <v>1856.6</v>
      </c>
      <c r="FE68" s="659">
        <v>1865.2</v>
      </c>
      <c r="FF68" s="659">
        <v>1845.2</v>
      </c>
      <c r="FG68" s="659">
        <v>1874</v>
      </c>
      <c r="FH68" s="659">
        <v>1912.7</v>
      </c>
      <c r="FI68" s="659">
        <v>1943</v>
      </c>
      <c r="FJ68" s="659">
        <v>1965</v>
      </c>
      <c r="FK68" s="897">
        <v>1965</v>
      </c>
      <c r="FL68" s="783">
        <v>1978.2</v>
      </c>
      <c r="FM68" s="659">
        <v>1984</v>
      </c>
      <c r="FN68" s="659">
        <v>2024.2</v>
      </c>
      <c r="FO68" s="659">
        <v>2028.4</v>
      </c>
      <c r="FP68" s="659">
        <v>2021.6</v>
      </c>
      <c r="FQ68" s="659">
        <v>2053.4</v>
      </c>
      <c r="FR68" s="659">
        <v>2083.8000000000002</v>
      </c>
      <c r="FS68" s="659">
        <v>2106.6</v>
      </c>
      <c r="FT68" s="659">
        <v>2187.4</v>
      </c>
      <c r="FU68" s="897">
        <v>2210.4</v>
      </c>
      <c r="FV68" s="1167">
        <f t="shared" si="0"/>
        <v>1.0105147663893206</v>
      </c>
    </row>
    <row r="69" spans="1:178" s="112" customFormat="1" ht="18.95" customHeight="1">
      <c r="A69" s="1543">
        <v>1</v>
      </c>
      <c r="B69" s="408">
        <v>44</v>
      </c>
      <c r="C69" s="621" t="s">
        <v>57</v>
      </c>
      <c r="D69" s="622" t="s">
        <v>58</v>
      </c>
      <c r="E69" s="621" t="s">
        <v>918</v>
      </c>
      <c r="F69" s="622"/>
      <c r="G69" s="621" t="s">
        <v>929</v>
      </c>
      <c r="H69" s="621" t="s">
        <v>930</v>
      </c>
      <c r="I69" s="390" t="s">
        <v>925</v>
      </c>
      <c r="J69" s="651"/>
      <c r="K69" s="669">
        <v>102.8</v>
      </c>
      <c r="L69" s="665">
        <v>107.2</v>
      </c>
      <c r="M69" s="625">
        <v>119.7</v>
      </c>
      <c r="N69" s="625">
        <v>130</v>
      </c>
      <c r="O69" s="625">
        <v>165.3</v>
      </c>
      <c r="P69" s="625">
        <v>190.7</v>
      </c>
      <c r="Q69" s="625">
        <v>202.9</v>
      </c>
      <c r="R69" s="625">
        <v>247.6</v>
      </c>
      <c r="S69" s="625">
        <v>245.7</v>
      </c>
      <c r="T69" s="625">
        <v>245.7</v>
      </c>
      <c r="U69" s="625">
        <v>245.7</v>
      </c>
      <c r="V69" s="625">
        <v>244.7</v>
      </c>
      <c r="W69" s="625">
        <v>239.9</v>
      </c>
      <c r="X69" s="625">
        <v>239.9</v>
      </c>
      <c r="Y69" s="625">
        <v>239.4</v>
      </c>
      <c r="Z69" s="625">
        <v>240.3</v>
      </c>
      <c r="AA69" s="625">
        <v>235.1</v>
      </c>
      <c r="AB69" s="625">
        <v>235.1</v>
      </c>
      <c r="AC69" s="625">
        <v>228.9</v>
      </c>
      <c r="AD69" s="625">
        <v>228</v>
      </c>
      <c r="AE69" s="625">
        <v>228.9</v>
      </c>
      <c r="AF69" s="625">
        <v>226.8</v>
      </c>
      <c r="AG69" s="625">
        <v>215.3</v>
      </c>
      <c r="AH69" s="625">
        <v>213.2</v>
      </c>
      <c r="AI69" s="764">
        <v>213.2</v>
      </c>
      <c r="AJ69" s="772">
        <v>213.2</v>
      </c>
      <c r="AK69" s="625">
        <v>223.9</v>
      </c>
      <c r="AL69" s="625">
        <v>236.9</v>
      </c>
      <c r="AM69" s="625">
        <v>232.2</v>
      </c>
      <c r="AN69" s="625">
        <v>234.5</v>
      </c>
      <c r="AO69" s="625">
        <v>252.1</v>
      </c>
      <c r="AP69" s="625">
        <v>245.6</v>
      </c>
      <c r="AQ69" s="625">
        <v>250.1</v>
      </c>
      <c r="AR69" s="625">
        <v>250.2</v>
      </c>
      <c r="AS69" s="625">
        <v>269.2</v>
      </c>
      <c r="AT69" s="625">
        <v>269.2</v>
      </c>
      <c r="AU69" s="764">
        <v>271.2</v>
      </c>
      <c r="AV69" s="752">
        <v>275.89999999999998</v>
      </c>
      <c r="AW69" s="626">
        <v>276</v>
      </c>
      <c r="AX69" s="626">
        <v>281.3</v>
      </c>
      <c r="AY69" s="626">
        <v>297.3</v>
      </c>
      <c r="AZ69" s="626">
        <v>305.7</v>
      </c>
      <c r="BA69" s="626">
        <v>305.7</v>
      </c>
      <c r="BB69" s="626">
        <v>307.10000000000002</v>
      </c>
      <c r="BC69" s="627">
        <v>316.8</v>
      </c>
      <c r="BD69" s="626">
        <v>316.8</v>
      </c>
      <c r="BE69" s="627">
        <v>318.89999999999998</v>
      </c>
      <c r="BF69" s="627">
        <v>318.89999999999998</v>
      </c>
      <c r="BG69" s="738">
        <v>318.89999999999998</v>
      </c>
      <c r="BH69" s="660">
        <v>332.5</v>
      </c>
      <c r="BI69" s="623">
        <v>332.5</v>
      </c>
      <c r="BJ69" s="623">
        <v>336.5</v>
      </c>
      <c r="BK69" s="623">
        <v>336.5</v>
      </c>
      <c r="BL69" s="623">
        <v>377.8</v>
      </c>
      <c r="BM69" s="623">
        <v>377.8</v>
      </c>
      <c r="BN69" s="623">
        <v>377.9</v>
      </c>
      <c r="BO69" s="623">
        <v>377.9</v>
      </c>
      <c r="BP69" s="623">
        <v>385.7</v>
      </c>
      <c r="BQ69" s="623">
        <v>385.7</v>
      </c>
      <c r="BR69" s="623">
        <v>385.7</v>
      </c>
      <c r="BS69" s="659">
        <v>385.7</v>
      </c>
      <c r="BT69" s="660">
        <v>385.7</v>
      </c>
      <c r="BU69" s="623">
        <v>385.7</v>
      </c>
      <c r="BV69" s="623">
        <v>395</v>
      </c>
      <c r="BW69" s="623">
        <v>404.6</v>
      </c>
      <c r="BX69" s="623">
        <v>404.6</v>
      </c>
      <c r="BY69" s="623">
        <v>419.7</v>
      </c>
      <c r="BZ69" s="623">
        <v>419.7</v>
      </c>
      <c r="CA69" s="623">
        <v>424.3</v>
      </c>
      <c r="CB69" s="623">
        <v>424.3</v>
      </c>
      <c r="CC69" s="623">
        <v>432.9</v>
      </c>
      <c r="CD69" s="623">
        <v>432.9</v>
      </c>
      <c r="CE69" s="659">
        <v>439.5</v>
      </c>
      <c r="CF69" s="660">
        <v>445.9</v>
      </c>
      <c r="CG69" s="623">
        <v>448.4</v>
      </c>
      <c r="CH69" s="623">
        <v>462.9</v>
      </c>
      <c r="CI69" s="623">
        <v>470.7</v>
      </c>
      <c r="CJ69" s="623">
        <v>472.7</v>
      </c>
      <c r="CK69" s="623">
        <v>489.9</v>
      </c>
      <c r="CL69" s="623">
        <v>489.7</v>
      </c>
      <c r="CM69" s="623">
        <v>489.6</v>
      </c>
      <c r="CN69" s="623">
        <v>489.6</v>
      </c>
      <c r="CO69" s="623">
        <v>489.6</v>
      </c>
      <c r="CP69" s="623">
        <v>489.6</v>
      </c>
      <c r="CQ69" s="659">
        <v>489.6</v>
      </c>
      <c r="CR69" s="660">
        <v>489.7</v>
      </c>
      <c r="CS69" s="623">
        <v>480.1</v>
      </c>
      <c r="CT69" s="623">
        <v>480.1</v>
      </c>
      <c r="CU69" s="623">
        <v>480.1</v>
      </c>
      <c r="CV69" s="623">
        <v>467.4</v>
      </c>
      <c r="CW69" s="623">
        <v>467.4</v>
      </c>
      <c r="CX69" s="623">
        <v>467.4</v>
      </c>
      <c r="CY69" s="623">
        <v>467.4</v>
      </c>
      <c r="CZ69" s="623">
        <v>467.4</v>
      </c>
      <c r="DA69" s="623">
        <v>472.6</v>
      </c>
      <c r="DB69" s="725">
        <v>472.6</v>
      </c>
      <c r="DC69" s="659">
        <v>472.6</v>
      </c>
      <c r="DD69" s="783">
        <v>472.6</v>
      </c>
      <c r="DE69" s="623">
        <v>472.6</v>
      </c>
      <c r="DF69" s="725">
        <v>472.6</v>
      </c>
      <c r="DG69" s="659">
        <v>472.6</v>
      </c>
      <c r="DH69" s="623">
        <v>472.6</v>
      </c>
      <c r="DI69" s="623">
        <v>484.9</v>
      </c>
      <c r="DJ69" s="623">
        <v>486.5</v>
      </c>
      <c r="DK69" s="659">
        <v>486.4</v>
      </c>
      <c r="DL69" s="623">
        <v>486.4</v>
      </c>
      <c r="DM69" s="659">
        <v>474.9</v>
      </c>
      <c r="DN69" s="659">
        <v>474.9</v>
      </c>
      <c r="DO69" s="897">
        <v>476.2</v>
      </c>
      <c r="DP69" s="783">
        <v>479.1</v>
      </c>
      <c r="DQ69" s="659">
        <v>479.1</v>
      </c>
      <c r="DR69" s="659">
        <v>479.1</v>
      </c>
      <c r="DS69" s="659">
        <v>484.6</v>
      </c>
      <c r="DT69" s="623">
        <v>499</v>
      </c>
      <c r="DU69" s="659">
        <v>505</v>
      </c>
      <c r="DV69" s="659">
        <v>510.4</v>
      </c>
      <c r="DW69" s="659">
        <v>516</v>
      </c>
      <c r="DX69" s="659">
        <v>518.1</v>
      </c>
      <c r="DY69" s="659">
        <v>518.1</v>
      </c>
      <c r="DZ69" s="659">
        <v>521.29999999999995</v>
      </c>
      <c r="EA69" s="897">
        <v>521.29999999999995</v>
      </c>
      <c r="EB69" s="659">
        <v>525.6</v>
      </c>
      <c r="EC69" s="659">
        <v>525.6</v>
      </c>
      <c r="ED69" s="659">
        <v>525.6</v>
      </c>
      <c r="EE69" s="659">
        <v>517.5</v>
      </c>
      <c r="EF69" s="659">
        <v>517.5</v>
      </c>
      <c r="EG69" s="659">
        <v>522.29999999999995</v>
      </c>
      <c r="EH69" s="659">
        <v>529.1</v>
      </c>
      <c r="EI69" s="659">
        <v>539.29999999999995</v>
      </c>
      <c r="EJ69" s="659">
        <v>546.9</v>
      </c>
      <c r="EK69" s="623">
        <v>554</v>
      </c>
      <c r="EL69" s="725">
        <v>571.5</v>
      </c>
      <c r="EM69" s="659">
        <v>574.1</v>
      </c>
      <c r="EN69" s="783">
        <v>582.1</v>
      </c>
      <c r="EO69" s="659">
        <v>587.29999999999995</v>
      </c>
      <c r="EP69" s="659">
        <v>595</v>
      </c>
      <c r="EQ69" s="659">
        <v>598</v>
      </c>
      <c r="ER69" s="659">
        <v>603.70000000000005</v>
      </c>
      <c r="ES69" s="659">
        <v>614.9</v>
      </c>
      <c r="ET69" s="659">
        <v>624.5</v>
      </c>
      <c r="EU69" s="659">
        <v>645.4</v>
      </c>
      <c r="EV69" s="659">
        <v>650.6</v>
      </c>
      <c r="EW69" s="659">
        <v>679.7</v>
      </c>
      <c r="EX69" s="659">
        <v>687.2</v>
      </c>
      <c r="EY69" s="659">
        <v>724.6</v>
      </c>
      <c r="EZ69" s="783">
        <v>746.9</v>
      </c>
      <c r="FA69" s="659">
        <v>928.9</v>
      </c>
      <c r="FB69" s="659">
        <v>943.9</v>
      </c>
      <c r="FC69" s="659">
        <v>959.8</v>
      </c>
      <c r="FD69" s="659">
        <v>964.4</v>
      </c>
      <c r="FE69" s="659">
        <v>984.9</v>
      </c>
      <c r="FF69" s="659">
        <v>994.7</v>
      </c>
      <c r="FG69" s="659">
        <v>995.8</v>
      </c>
      <c r="FH69" s="659">
        <v>1019.9</v>
      </c>
      <c r="FI69" s="659">
        <v>1019.9</v>
      </c>
      <c r="FJ69" s="659">
        <v>1007.8</v>
      </c>
      <c r="FK69" s="897">
        <v>1014.1</v>
      </c>
      <c r="FL69" s="783">
        <v>1014.1</v>
      </c>
      <c r="FM69" s="659">
        <v>1020</v>
      </c>
      <c r="FN69" s="659">
        <v>1028.8</v>
      </c>
      <c r="FO69" s="659">
        <v>1028.8</v>
      </c>
      <c r="FP69" s="659">
        <v>1033.3</v>
      </c>
      <c r="FQ69" s="659">
        <v>1021.1</v>
      </c>
      <c r="FR69" s="659">
        <v>1024.0999999999999</v>
      </c>
      <c r="FS69" s="659">
        <v>1042</v>
      </c>
      <c r="FT69" s="659">
        <v>1102.5</v>
      </c>
      <c r="FU69" s="897">
        <v>1105.5</v>
      </c>
      <c r="FV69" s="1167">
        <f t="shared" si="0"/>
        <v>1.0027210884353741</v>
      </c>
    </row>
    <row r="70" spans="1:178" s="112" customFormat="1" ht="30" customHeight="1">
      <c r="A70" s="1543">
        <v>1</v>
      </c>
      <c r="B70" s="644">
        <v>45</v>
      </c>
      <c r="C70" s="645" t="s">
        <v>59</v>
      </c>
      <c r="D70" s="646" t="s">
        <v>60</v>
      </c>
      <c r="E70" s="645" t="s">
        <v>918</v>
      </c>
      <c r="F70" s="646"/>
      <c r="G70" s="645" t="s">
        <v>929</v>
      </c>
      <c r="H70" s="645" t="s">
        <v>930</v>
      </c>
      <c r="I70" s="876" t="s">
        <v>61</v>
      </c>
      <c r="J70" s="869"/>
      <c r="K70" s="877">
        <v>97.3</v>
      </c>
      <c r="L70" s="878">
        <v>106.3</v>
      </c>
      <c r="M70" s="879">
        <v>118.1</v>
      </c>
      <c r="N70" s="879">
        <v>123.9</v>
      </c>
      <c r="O70" s="879">
        <v>158.19999999999999</v>
      </c>
      <c r="P70" s="879">
        <v>163.6</v>
      </c>
      <c r="Q70" s="879">
        <v>170.2</v>
      </c>
      <c r="R70" s="879">
        <v>168.7</v>
      </c>
      <c r="S70" s="879">
        <v>169.4</v>
      </c>
      <c r="T70" s="879">
        <v>168.1</v>
      </c>
      <c r="U70" s="879">
        <v>168.1</v>
      </c>
      <c r="V70" s="879">
        <v>168.1</v>
      </c>
      <c r="W70" s="879">
        <v>168.1</v>
      </c>
      <c r="X70" s="879">
        <v>168.1</v>
      </c>
      <c r="Y70" s="879">
        <v>168.1</v>
      </c>
      <c r="Z70" s="879">
        <v>169.3</v>
      </c>
      <c r="AA70" s="879">
        <v>175.5</v>
      </c>
      <c r="AB70" s="879">
        <v>173.7</v>
      </c>
      <c r="AC70" s="879">
        <v>173.7</v>
      </c>
      <c r="AD70" s="879">
        <v>174</v>
      </c>
      <c r="AE70" s="879">
        <v>176.7</v>
      </c>
      <c r="AF70" s="879">
        <v>176.7</v>
      </c>
      <c r="AG70" s="879">
        <v>178.7</v>
      </c>
      <c r="AH70" s="879">
        <v>178.7</v>
      </c>
      <c r="AI70" s="880">
        <v>179.3</v>
      </c>
      <c r="AJ70" s="881">
        <v>185.8</v>
      </c>
      <c r="AK70" s="879">
        <v>194.3</v>
      </c>
      <c r="AL70" s="879">
        <v>226.5</v>
      </c>
      <c r="AM70" s="879">
        <v>245.1</v>
      </c>
      <c r="AN70" s="879">
        <v>245.1</v>
      </c>
      <c r="AO70" s="879">
        <v>245.1</v>
      </c>
      <c r="AP70" s="879">
        <v>245.1</v>
      </c>
      <c r="AQ70" s="879">
        <v>248.4</v>
      </c>
      <c r="AR70" s="879">
        <v>258.60000000000002</v>
      </c>
      <c r="AS70" s="879">
        <v>258.60000000000002</v>
      </c>
      <c r="AT70" s="879">
        <v>258.60000000000002</v>
      </c>
      <c r="AU70" s="880">
        <v>260.5</v>
      </c>
      <c r="AV70" s="882">
        <v>267.8</v>
      </c>
      <c r="AW70" s="883">
        <v>273.5</v>
      </c>
      <c r="AX70" s="883">
        <v>282.7</v>
      </c>
      <c r="AY70" s="883">
        <v>288.8</v>
      </c>
      <c r="AZ70" s="883">
        <v>288.8</v>
      </c>
      <c r="BA70" s="883">
        <v>288.8</v>
      </c>
      <c r="BB70" s="883">
        <v>293.5</v>
      </c>
      <c r="BC70" s="884">
        <v>306.3</v>
      </c>
      <c r="BD70" s="883">
        <v>306.3</v>
      </c>
      <c r="BE70" s="884">
        <v>312.89999999999998</v>
      </c>
      <c r="BF70" s="884">
        <v>316.7</v>
      </c>
      <c r="BG70" s="885">
        <v>316.7</v>
      </c>
      <c r="BH70" s="886">
        <v>319</v>
      </c>
      <c r="BI70" s="887">
        <v>334</v>
      </c>
      <c r="BJ70" s="887">
        <v>336.4</v>
      </c>
      <c r="BK70" s="887">
        <v>350.9</v>
      </c>
      <c r="BL70" s="887">
        <v>373.2</v>
      </c>
      <c r="BM70" s="887">
        <v>383.1</v>
      </c>
      <c r="BN70" s="887">
        <v>383.4</v>
      </c>
      <c r="BO70" s="887">
        <v>383.4</v>
      </c>
      <c r="BP70" s="887">
        <v>390.6</v>
      </c>
      <c r="BQ70" s="887">
        <v>390.6</v>
      </c>
      <c r="BR70" s="887">
        <v>403.5</v>
      </c>
      <c r="BS70" s="888">
        <v>403.5</v>
      </c>
      <c r="BT70" s="886">
        <v>403.5</v>
      </c>
      <c r="BU70" s="887">
        <v>415.3</v>
      </c>
      <c r="BV70" s="887">
        <v>440.4</v>
      </c>
      <c r="BW70" s="887">
        <v>467.2</v>
      </c>
      <c r="BX70" s="887">
        <v>484.5</v>
      </c>
      <c r="BY70" s="887">
        <v>516.70000000000005</v>
      </c>
      <c r="BZ70" s="887">
        <v>631.5</v>
      </c>
      <c r="CA70" s="887">
        <v>749.2</v>
      </c>
      <c r="CB70" s="887">
        <v>749.2</v>
      </c>
      <c r="CC70" s="887">
        <v>754.7</v>
      </c>
      <c r="CD70" s="887">
        <v>754.7</v>
      </c>
      <c r="CE70" s="888">
        <v>750</v>
      </c>
      <c r="CF70" s="886">
        <v>756.9</v>
      </c>
      <c r="CG70" s="887">
        <v>756.9</v>
      </c>
      <c r="CH70" s="887">
        <v>767.7</v>
      </c>
      <c r="CI70" s="887">
        <v>782.3</v>
      </c>
      <c r="CJ70" s="887">
        <v>777.1</v>
      </c>
      <c r="CK70" s="887">
        <v>787.2</v>
      </c>
      <c r="CL70" s="887">
        <v>795.1</v>
      </c>
      <c r="CM70" s="887">
        <v>805.6</v>
      </c>
      <c r="CN70" s="887">
        <v>805.6</v>
      </c>
      <c r="CO70" s="887">
        <v>805.6</v>
      </c>
      <c r="CP70" s="887">
        <v>805.6</v>
      </c>
      <c r="CQ70" s="888">
        <v>798.5</v>
      </c>
      <c r="CR70" s="886">
        <v>799.7</v>
      </c>
      <c r="CS70" s="887">
        <v>797.6</v>
      </c>
      <c r="CT70" s="887">
        <v>793</v>
      </c>
      <c r="CU70" s="887">
        <v>789.3</v>
      </c>
      <c r="CV70" s="887">
        <v>755.8</v>
      </c>
      <c r="CW70" s="887">
        <v>764.9</v>
      </c>
      <c r="CX70" s="887">
        <v>780.7</v>
      </c>
      <c r="CY70" s="887">
        <v>780.7</v>
      </c>
      <c r="CZ70" s="887">
        <v>780.7</v>
      </c>
      <c r="DA70" s="887">
        <v>790.6</v>
      </c>
      <c r="DB70" s="889">
        <v>790.6</v>
      </c>
      <c r="DC70" s="888">
        <v>801.6</v>
      </c>
      <c r="DD70" s="890">
        <v>811.6</v>
      </c>
      <c r="DE70" s="887">
        <v>845.4</v>
      </c>
      <c r="DF70" s="889">
        <v>845.4</v>
      </c>
      <c r="DG70" s="888">
        <v>866</v>
      </c>
      <c r="DH70" s="887">
        <v>881.7</v>
      </c>
      <c r="DI70" s="887">
        <v>881.8</v>
      </c>
      <c r="DJ70" s="887">
        <v>881.8</v>
      </c>
      <c r="DK70" s="888">
        <v>907.4</v>
      </c>
      <c r="DL70" s="887">
        <v>914.3</v>
      </c>
      <c r="DM70" s="888">
        <v>925.2</v>
      </c>
      <c r="DN70" s="888">
        <v>926.4</v>
      </c>
      <c r="DO70" s="968">
        <v>936.5</v>
      </c>
      <c r="DP70" s="890">
        <v>958.7</v>
      </c>
      <c r="DQ70" s="888">
        <v>980.8</v>
      </c>
      <c r="DR70" s="888">
        <v>1018.3</v>
      </c>
      <c r="DS70" s="888">
        <v>1050.7</v>
      </c>
      <c r="DT70" s="887">
        <v>1066</v>
      </c>
      <c r="DU70" s="888">
        <v>1080.9000000000001</v>
      </c>
      <c r="DV70" s="888">
        <v>1087.5999999999999</v>
      </c>
      <c r="DW70" s="888">
        <v>1127.0999999999999</v>
      </c>
      <c r="DX70" s="888">
        <v>1133.9000000000001</v>
      </c>
      <c r="DY70" s="888">
        <v>1157</v>
      </c>
      <c r="DZ70" s="888">
        <v>1157</v>
      </c>
      <c r="EA70" s="968">
        <v>1157</v>
      </c>
      <c r="EB70" s="888">
        <v>1152.9000000000001</v>
      </c>
      <c r="EC70" s="888">
        <v>1152.9000000000001</v>
      </c>
      <c r="ED70" s="888">
        <v>1159.0999999999999</v>
      </c>
      <c r="EE70" s="888">
        <v>1159.0999999999999</v>
      </c>
      <c r="EF70" s="888">
        <v>1159.0999999999999</v>
      </c>
      <c r="EG70" s="888">
        <v>1168.2</v>
      </c>
      <c r="EH70" s="888">
        <v>1200.5999999999999</v>
      </c>
      <c r="EI70" s="888">
        <v>1254.8</v>
      </c>
      <c r="EJ70" s="888">
        <v>1282.9000000000001</v>
      </c>
      <c r="EK70" s="887">
        <v>1282.9000000000001</v>
      </c>
      <c r="EL70" s="889">
        <v>1299.0999999999999</v>
      </c>
      <c r="EM70" s="888">
        <v>1301.3</v>
      </c>
      <c r="EN70" s="890">
        <v>1345.5</v>
      </c>
      <c r="EO70" s="888">
        <v>1363.9</v>
      </c>
      <c r="EP70" s="888">
        <v>1421.6</v>
      </c>
      <c r="EQ70" s="888">
        <v>1425.5</v>
      </c>
      <c r="ER70" s="888">
        <v>1456.5</v>
      </c>
      <c r="ES70" s="659">
        <v>1502.3</v>
      </c>
      <c r="ET70" s="659">
        <v>1504.9</v>
      </c>
      <c r="EU70" s="659">
        <v>1526.9</v>
      </c>
      <c r="EV70" s="659">
        <v>1526.9</v>
      </c>
      <c r="EW70" s="659">
        <v>1590</v>
      </c>
      <c r="EX70" s="659">
        <v>1602.3</v>
      </c>
      <c r="EY70" s="659">
        <v>1602.3</v>
      </c>
      <c r="EZ70" s="783">
        <v>1643.5</v>
      </c>
      <c r="FA70" s="659">
        <v>1924.4</v>
      </c>
      <c r="FB70" s="659">
        <v>2036.2</v>
      </c>
      <c r="FC70" s="659">
        <v>2278.8000000000002</v>
      </c>
      <c r="FD70" s="659">
        <v>2306.1</v>
      </c>
      <c r="FE70" s="659">
        <v>2383.6999999999998</v>
      </c>
      <c r="FF70" s="659">
        <v>2403.6999999999998</v>
      </c>
      <c r="FG70" s="659">
        <v>2407.1</v>
      </c>
      <c r="FH70" s="659">
        <v>2455.9</v>
      </c>
      <c r="FI70" s="659">
        <v>2508.8000000000002</v>
      </c>
      <c r="FJ70" s="659">
        <v>2513.8000000000002</v>
      </c>
      <c r="FK70" s="897">
        <v>2513.8000000000002</v>
      </c>
      <c r="FL70" s="783">
        <v>2513.6</v>
      </c>
      <c r="FM70" s="659">
        <v>2573.3000000000002</v>
      </c>
      <c r="FN70" s="659">
        <v>2727.2</v>
      </c>
      <c r="FO70" s="659">
        <v>2825.4</v>
      </c>
      <c r="FP70" s="659">
        <v>2825.4</v>
      </c>
      <c r="FQ70" s="659">
        <v>2826.9</v>
      </c>
      <c r="FR70" s="659">
        <v>2827.6</v>
      </c>
      <c r="FS70" s="659">
        <v>2850.8</v>
      </c>
      <c r="FT70" s="659">
        <v>2861.9</v>
      </c>
      <c r="FU70" s="897">
        <v>2989.4</v>
      </c>
      <c r="FV70" s="1167">
        <f t="shared" si="0"/>
        <v>1.044550822879905</v>
      </c>
    </row>
    <row r="71" spans="1:178" s="112" customFormat="1" ht="30.75" customHeight="1">
      <c r="A71" s="1543">
        <v>1</v>
      </c>
      <c r="B71" s="408">
        <v>46</v>
      </c>
      <c r="C71" s="621" t="s">
        <v>62</v>
      </c>
      <c r="D71" s="622" t="s">
        <v>63</v>
      </c>
      <c r="E71" s="621" t="s">
        <v>918</v>
      </c>
      <c r="F71" s="622"/>
      <c r="G71" s="621" t="s">
        <v>929</v>
      </c>
      <c r="H71" s="621" t="s">
        <v>930</v>
      </c>
      <c r="I71" s="390" t="s">
        <v>425</v>
      </c>
      <c r="J71" s="651"/>
      <c r="K71" s="669">
        <v>125.3</v>
      </c>
      <c r="L71" s="665">
        <v>143.9</v>
      </c>
      <c r="M71" s="625">
        <v>159.69999999999999</v>
      </c>
      <c r="N71" s="625">
        <v>163.4</v>
      </c>
      <c r="O71" s="625">
        <v>198.2</v>
      </c>
      <c r="P71" s="625">
        <v>218.9</v>
      </c>
      <c r="Q71" s="625">
        <v>245.4</v>
      </c>
      <c r="R71" s="625">
        <v>253.5</v>
      </c>
      <c r="S71" s="625">
        <v>258.2</v>
      </c>
      <c r="T71" s="625">
        <v>260.8</v>
      </c>
      <c r="U71" s="625">
        <v>263.5</v>
      </c>
      <c r="V71" s="625">
        <v>264</v>
      </c>
      <c r="W71" s="625">
        <v>264</v>
      </c>
      <c r="X71" s="625">
        <v>272</v>
      </c>
      <c r="Y71" s="625">
        <v>274.3</v>
      </c>
      <c r="Z71" s="625">
        <v>285.3</v>
      </c>
      <c r="AA71" s="625">
        <v>290.8</v>
      </c>
      <c r="AB71" s="625">
        <v>298.2</v>
      </c>
      <c r="AC71" s="625">
        <v>297.10000000000002</v>
      </c>
      <c r="AD71" s="625">
        <v>297.10000000000002</v>
      </c>
      <c r="AE71" s="625">
        <v>295.89999999999998</v>
      </c>
      <c r="AF71" s="625">
        <v>295.89999999999998</v>
      </c>
      <c r="AG71" s="625">
        <v>294.89999999999998</v>
      </c>
      <c r="AH71" s="625">
        <v>294.89999999999998</v>
      </c>
      <c r="AI71" s="764">
        <v>299.5</v>
      </c>
      <c r="AJ71" s="772">
        <v>295.10000000000002</v>
      </c>
      <c r="AK71" s="625">
        <v>300.2</v>
      </c>
      <c r="AL71" s="625">
        <v>300.3</v>
      </c>
      <c r="AM71" s="625">
        <v>304.7</v>
      </c>
      <c r="AN71" s="625">
        <v>304.7</v>
      </c>
      <c r="AO71" s="625">
        <v>304.7</v>
      </c>
      <c r="AP71" s="625">
        <v>304.7</v>
      </c>
      <c r="AQ71" s="625">
        <v>302.10000000000002</v>
      </c>
      <c r="AR71" s="625">
        <v>304</v>
      </c>
      <c r="AS71" s="625">
        <v>303.89999999999998</v>
      </c>
      <c r="AT71" s="625">
        <v>307.39999999999998</v>
      </c>
      <c r="AU71" s="764">
        <v>307.39999999999998</v>
      </c>
      <c r="AV71" s="752">
        <v>319.89999999999998</v>
      </c>
      <c r="AW71" s="626">
        <v>324.2</v>
      </c>
      <c r="AX71" s="626">
        <v>326.60000000000002</v>
      </c>
      <c r="AY71" s="626">
        <v>326</v>
      </c>
      <c r="AZ71" s="626">
        <v>328.6</v>
      </c>
      <c r="BA71" s="626">
        <v>326.60000000000002</v>
      </c>
      <c r="BB71" s="626">
        <v>326.60000000000002</v>
      </c>
      <c r="BC71" s="627">
        <v>326.60000000000002</v>
      </c>
      <c r="BD71" s="626">
        <v>326.7</v>
      </c>
      <c r="BE71" s="627">
        <v>329.4</v>
      </c>
      <c r="BF71" s="627">
        <v>342.2</v>
      </c>
      <c r="BG71" s="738">
        <v>342.2</v>
      </c>
      <c r="BH71" s="660">
        <v>351.6</v>
      </c>
      <c r="BI71" s="623">
        <v>351.6</v>
      </c>
      <c r="BJ71" s="623">
        <v>355.8</v>
      </c>
      <c r="BK71" s="623">
        <v>355</v>
      </c>
      <c r="BL71" s="623">
        <v>368.5</v>
      </c>
      <c r="BM71" s="623">
        <v>368.5</v>
      </c>
      <c r="BN71" s="623">
        <v>372.5</v>
      </c>
      <c r="BO71" s="623">
        <v>372.9</v>
      </c>
      <c r="BP71" s="623">
        <v>372.5</v>
      </c>
      <c r="BQ71" s="623">
        <v>372.5</v>
      </c>
      <c r="BR71" s="623">
        <v>372.5</v>
      </c>
      <c r="BS71" s="659">
        <v>372.5</v>
      </c>
      <c r="BT71" s="660">
        <v>372.5</v>
      </c>
      <c r="BU71" s="623">
        <v>381.7</v>
      </c>
      <c r="BV71" s="623">
        <v>384.3</v>
      </c>
      <c r="BW71" s="623">
        <v>387</v>
      </c>
      <c r="BX71" s="623">
        <v>391.5</v>
      </c>
      <c r="BY71" s="623">
        <v>394.5</v>
      </c>
      <c r="BZ71" s="623">
        <v>403.9</v>
      </c>
      <c r="CA71" s="623">
        <v>415.1</v>
      </c>
      <c r="CB71" s="623">
        <v>417.9</v>
      </c>
      <c r="CC71" s="623">
        <v>429.9</v>
      </c>
      <c r="CD71" s="623">
        <v>431.5</v>
      </c>
      <c r="CE71" s="659">
        <v>439.2</v>
      </c>
      <c r="CF71" s="660">
        <v>446.6</v>
      </c>
      <c r="CG71" s="623">
        <v>457.6</v>
      </c>
      <c r="CH71" s="623">
        <v>463.5</v>
      </c>
      <c r="CI71" s="623">
        <v>470.1</v>
      </c>
      <c r="CJ71" s="623">
        <v>474.1</v>
      </c>
      <c r="CK71" s="623">
        <v>484.2</v>
      </c>
      <c r="CL71" s="623">
        <v>520.4</v>
      </c>
      <c r="CM71" s="623">
        <v>517.20000000000005</v>
      </c>
      <c r="CN71" s="623">
        <v>517.20000000000005</v>
      </c>
      <c r="CO71" s="623">
        <v>517.20000000000005</v>
      </c>
      <c r="CP71" s="623">
        <v>517</v>
      </c>
      <c r="CQ71" s="659">
        <v>517</v>
      </c>
      <c r="CR71" s="660">
        <v>517</v>
      </c>
      <c r="CS71" s="623">
        <v>517</v>
      </c>
      <c r="CT71" s="623">
        <v>517</v>
      </c>
      <c r="CU71" s="623">
        <v>517</v>
      </c>
      <c r="CV71" s="623">
        <v>517</v>
      </c>
      <c r="CW71" s="623">
        <v>517</v>
      </c>
      <c r="CX71" s="623">
        <v>517</v>
      </c>
      <c r="CY71" s="623">
        <v>517</v>
      </c>
      <c r="CZ71" s="623">
        <v>521.29999999999995</v>
      </c>
      <c r="DA71" s="623">
        <v>534.70000000000005</v>
      </c>
      <c r="DB71" s="725">
        <v>534.70000000000005</v>
      </c>
      <c r="DC71" s="659">
        <v>534.70000000000005</v>
      </c>
      <c r="DD71" s="783">
        <v>538.70000000000005</v>
      </c>
      <c r="DE71" s="623">
        <v>560</v>
      </c>
      <c r="DF71" s="725">
        <v>563.29999999999995</v>
      </c>
      <c r="DG71" s="659">
        <v>563.29999999999995</v>
      </c>
      <c r="DH71" s="623">
        <v>569.9</v>
      </c>
      <c r="DI71" s="623">
        <v>569.9</v>
      </c>
      <c r="DJ71" s="623">
        <v>569.9</v>
      </c>
      <c r="DK71" s="659">
        <v>574.20000000000005</v>
      </c>
      <c r="DL71" s="623">
        <v>574.20000000000005</v>
      </c>
      <c r="DM71" s="659">
        <v>574.20000000000005</v>
      </c>
      <c r="DN71" s="659">
        <v>581.9</v>
      </c>
      <c r="DO71" s="897">
        <v>581.9</v>
      </c>
      <c r="DP71" s="783">
        <v>592.6</v>
      </c>
      <c r="DQ71" s="659">
        <v>601.6</v>
      </c>
      <c r="DR71" s="659">
        <v>601.6</v>
      </c>
      <c r="DS71" s="659">
        <v>601.6</v>
      </c>
      <c r="DT71" s="623">
        <v>635.1</v>
      </c>
      <c r="DU71" s="659">
        <v>646.6</v>
      </c>
      <c r="DV71" s="659">
        <v>651.79999999999995</v>
      </c>
      <c r="DW71" s="659">
        <v>669.1</v>
      </c>
      <c r="DX71" s="659">
        <v>682.6</v>
      </c>
      <c r="DY71" s="659">
        <v>682.6</v>
      </c>
      <c r="DZ71" s="659">
        <v>693.9</v>
      </c>
      <c r="EA71" s="897">
        <v>680.7</v>
      </c>
      <c r="EB71" s="659">
        <v>693.2</v>
      </c>
      <c r="EC71" s="659">
        <v>715.3</v>
      </c>
      <c r="ED71" s="659">
        <v>732.5</v>
      </c>
      <c r="EE71" s="659">
        <v>756.6</v>
      </c>
      <c r="EF71" s="659">
        <v>756.6</v>
      </c>
      <c r="EG71" s="659">
        <v>770</v>
      </c>
      <c r="EH71" s="659">
        <v>793.2</v>
      </c>
      <c r="EI71" s="659">
        <v>818.2</v>
      </c>
      <c r="EJ71" s="659">
        <v>818.2</v>
      </c>
      <c r="EK71" s="623">
        <v>829.2</v>
      </c>
      <c r="EL71" s="725">
        <v>829.2</v>
      </c>
      <c r="EM71" s="659">
        <v>832.7</v>
      </c>
      <c r="EN71" s="783">
        <v>835.1</v>
      </c>
      <c r="EO71" s="659">
        <v>840</v>
      </c>
      <c r="EP71" s="659">
        <v>863.3</v>
      </c>
      <c r="EQ71" s="659">
        <v>875</v>
      </c>
      <c r="ER71" s="659">
        <v>891.8</v>
      </c>
      <c r="ES71" s="659">
        <v>898.2</v>
      </c>
      <c r="ET71" s="659">
        <v>921.3</v>
      </c>
      <c r="EU71" s="659">
        <v>931.5</v>
      </c>
      <c r="EV71" s="659">
        <v>964.2</v>
      </c>
      <c r="EW71" s="659">
        <v>970.2</v>
      </c>
      <c r="EX71" s="659">
        <v>1031.5</v>
      </c>
      <c r="EY71" s="659">
        <v>995.8</v>
      </c>
      <c r="EZ71" s="783">
        <v>1019.9</v>
      </c>
      <c r="FA71" s="659">
        <v>1111.8</v>
      </c>
      <c r="FB71" s="659">
        <v>1180.9000000000001</v>
      </c>
      <c r="FC71" s="659">
        <v>1209.5999999999999</v>
      </c>
      <c r="FD71" s="659">
        <v>1229.2</v>
      </c>
      <c r="FE71" s="659">
        <v>1253.8</v>
      </c>
      <c r="FF71" s="659">
        <v>1253.8</v>
      </c>
      <c r="FG71" s="659">
        <v>1259.2</v>
      </c>
      <c r="FH71" s="659">
        <v>1269.4000000000001</v>
      </c>
      <c r="FI71" s="659">
        <v>1269.4000000000001</v>
      </c>
      <c r="FJ71" s="659">
        <v>1289.0999999999999</v>
      </c>
      <c r="FK71" s="897">
        <v>1323.7</v>
      </c>
      <c r="FL71" s="783">
        <v>1322</v>
      </c>
      <c r="FM71" s="659">
        <v>1322</v>
      </c>
      <c r="FN71" s="659">
        <v>1344.2</v>
      </c>
      <c r="FO71" s="659">
        <v>1348.1</v>
      </c>
      <c r="FP71" s="659">
        <v>1348.1</v>
      </c>
      <c r="FQ71" s="659">
        <v>1358.6</v>
      </c>
      <c r="FR71" s="659">
        <v>1388.4</v>
      </c>
      <c r="FS71" s="659">
        <v>1421.4</v>
      </c>
      <c r="FT71" s="659">
        <v>1471.7</v>
      </c>
      <c r="FU71" s="897">
        <v>1495.7</v>
      </c>
      <c r="FV71" s="1167">
        <f t="shared" si="0"/>
        <v>1.0163076714004213</v>
      </c>
    </row>
    <row r="72" spans="1:178" s="112" customFormat="1" ht="23.25" customHeight="1">
      <c r="A72" s="1543">
        <v>1</v>
      </c>
      <c r="B72" s="408">
        <v>47</v>
      </c>
      <c r="C72" s="621" t="s">
        <v>65</v>
      </c>
      <c r="D72" s="622" t="s">
        <v>66</v>
      </c>
      <c r="E72" s="621" t="s">
        <v>918</v>
      </c>
      <c r="F72" s="622"/>
      <c r="G72" s="621" t="s">
        <v>929</v>
      </c>
      <c r="H72" s="621" t="s">
        <v>930</v>
      </c>
      <c r="I72" s="390" t="s">
        <v>50</v>
      </c>
      <c r="J72" s="651"/>
      <c r="K72" s="669">
        <v>95.2</v>
      </c>
      <c r="L72" s="665">
        <v>105.2</v>
      </c>
      <c r="M72" s="625">
        <v>133.19999999999999</v>
      </c>
      <c r="N72" s="625">
        <v>140.4</v>
      </c>
      <c r="O72" s="625">
        <v>173.8</v>
      </c>
      <c r="P72" s="625">
        <v>184.4</v>
      </c>
      <c r="Q72" s="625">
        <v>200</v>
      </c>
      <c r="R72" s="625">
        <v>213.6</v>
      </c>
      <c r="S72" s="625">
        <v>228.8</v>
      </c>
      <c r="T72" s="625">
        <v>231.3</v>
      </c>
      <c r="U72" s="625">
        <v>232.2</v>
      </c>
      <c r="V72" s="625">
        <v>224.2</v>
      </c>
      <c r="W72" s="625">
        <v>217.6</v>
      </c>
      <c r="X72" s="625">
        <v>217.6</v>
      </c>
      <c r="Y72" s="625">
        <v>215.9</v>
      </c>
      <c r="Z72" s="625">
        <v>221.5</v>
      </c>
      <c r="AA72" s="625">
        <v>222.2</v>
      </c>
      <c r="AB72" s="625">
        <v>223.1</v>
      </c>
      <c r="AC72" s="625">
        <v>221.3</v>
      </c>
      <c r="AD72" s="625">
        <v>221.8</v>
      </c>
      <c r="AE72" s="625">
        <v>222.3</v>
      </c>
      <c r="AF72" s="625">
        <v>221.1</v>
      </c>
      <c r="AG72" s="625">
        <v>221.3</v>
      </c>
      <c r="AH72" s="625">
        <v>221.2</v>
      </c>
      <c r="AI72" s="764">
        <v>218.8</v>
      </c>
      <c r="AJ72" s="772">
        <v>218.5</v>
      </c>
      <c r="AK72" s="625">
        <v>226</v>
      </c>
      <c r="AL72" s="625">
        <v>221.9</v>
      </c>
      <c r="AM72" s="625">
        <v>220.2</v>
      </c>
      <c r="AN72" s="625">
        <v>224.1</v>
      </c>
      <c r="AO72" s="625">
        <v>224.1</v>
      </c>
      <c r="AP72" s="625">
        <v>225.7</v>
      </c>
      <c r="AQ72" s="625">
        <v>228.6</v>
      </c>
      <c r="AR72" s="625">
        <v>231.3</v>
      </c>
      <c r="AS72" s="625">
        <v>247.2</v>
      </c>
      <c r="AT72" s="625">
        <v>246.8</v>
      </c>
      <c r="AU72" s="764">
        <v>246.8</v>
      </c>
      <c r="AV72" s="752">
        <v>248.2</v>
      </c>
      <c r="AW72" s="626">
        <v>260</v>
      </c>
      <c r="AX72" s="626">
        <v>267.89999999999998</v>
      </c>
      <c r="AY72" s="626">
        <v>267.89999999999998</v>
      </c>
      <c r="AZ72" s="626">
        <v>270</v>
      </c>
      <c r="BA72" s="626">
        <v>270</v>
      </c>
      <c r="BB72" s="626">
        <v>275.89999999999998</v>
      </c>
      <c r="BC72" s="627">
        <v>275.89999999999998</v>
      </c>
      <c r="BD72" s="626">
        <v>274</v>
      </c>
      <c r="BE72" s="627">
        <v>280.5</v>
      </c>
      <c r="BF72" s="627">
        <v>307</v>
      </c>
      <c r="BG72" s="738">
        <v>307</v>
      </c>
      <c r="BH72" s="660">
        <v>318.2</v>
      </c>
      <c r="BI72" s="623">
        <v>318.2</v>
      </c>
      <c r="BJ72" s="623">
        <v>318.2</v>
      </c>
      <c r="BK72" s="623">
        <v>315.7</v>
      </c>
      <c r="BL72" s="623">
        <v>341.5</v>
      </c>
      <c r="BM72" s="623">
        <v>341.5</v>
      </c>
      <c r="BN72" s="623">
        <v>353.5</v>
      </c>
      <c r="BO72" s="623">
        <v>359</v>
      </c>
      <c r="BP72" s="623">
        <v>359</v>
      </c>
      <c r="BQ72" s="623">
        <v>359</v>
      </c>
      <c r="BR72" s="623">
        <v>359</v>
      </c>
      <c r="BS72" s="659">
        <v>359</v>
      </c>
      <c r="BT72" s="660">
        <v>359</v>
      </c>
      <c r="BU72" s="623">
        <v>361.5</v>
      </c>
      <c r="BV72" s="623">
        <v>358.1</v>
      </c>
      <c r="BW72" s="623">
        <v>370.2</v>
      </c>
      <c r="BX72" s="623">
        <v>372.7</v>
      </c>
      <c r="BY72" s="623">
        <v>382.1</v>
      </c>
      <c r="BZ72" s="623">
        <v>384.8</v>
      </c>
      <c r="CA72" s="623">
        <v>393.9</v>
      </c>
      <c r="CB72" s="623">
        <v>408.3</v>
      </c>
      <c r="CC72" s="623">
        <v>441.1</v>
      </c>
      <c r="CD72" s="623">
        <v>441.1</v>
      </c>
      <c r="CE72" s="659">
        <v>442.6</v>
      </c>
      <c r="CF72" s="660">
        <v>424.5</v>
      </c>
      <c r="CG72" s="623">
        <v>427.7</v>
      </c>
      <c r="CH72" s="623">
        <v>427.6</v>
      </c>
      <c r="CI72" s="623">
        <v>431.5</v>
      </c>
      <c r="CJ72" s="623">
        <v>435.6</v>
      </c>
      <c r="CK72" s="623">
        <v>449.1</v>
      </c>
      <c r="CL72" s="623">
        <v>452.4</v>
      </c>
      <c r="CM72" s="623">
        <v>473</v>
      </c>
      <c r="CN72" s="623">
        <v>473</v>
      </c>
      <c r="CO72" s="623">
        <v>478.5</v>
      </c>
      <c r="CP72" s="623">
        <v>478.5</v>
      </c>
      <c r="CQ72" s="659">
        <v>473.8</v>
      </c>
      <c r="CR72" s="660">
        <v>473.8</v>
      </c>
      <c r="CS72" s="623">
        <v>473.8</v>
      </c>
      <c r="CT72" s="623">
        <v>464.8</v>
      </c>
      <c r="CU72" s="623">
        <v>464.7</v>
      </c>
      <c r="CV72" s="623">
        <v>464.7</v>
      </c>
      <c r="CW72" s="623">
        <v>444.4</v>
      </c>
      <c r="CX72" s="623">
        <v>460</v>
      </c>
      <c r="CY72" s="623">
        <v>469</v>
      </c>
      <c r="CZ72" s="623">
        <v>477.3</v>
      </c>
      <c r="DA72" s="623">
        <v>485.6</v>
      </c>
      <c r="DB72" s="725">
        <v>497.4</v>
      </c>
      <c r="DC72" s="659">
        <v>476.2</v>
      </c>
      <c r="DD72" s="783">
        <v>470.6</v>
      </c>
      <c r="DE72" s="623">
        <v>489.4</v>
      </c>
      <c r="DF72" s="725">
        <v>500.5</v>
      </c>
      <c r="DG72" s="659">
        <v>500.5</v>
      </c>
      <c r="DH72" s="623">
        <v>508.4</v>
      </c>
      <c r="DI72" s="623">
        <v>523.20000000000005</v>
      </c>
      <c r="DJ72" s="623">
        <v>537.79999999999995</v>
      </c>
      <c r="DK72" s="659">
        <v>539.20000000000005</v>
      </c>
      <c r="DL72" s="623">
        <v>542.6</v>
      </c>
      <c r="DM72" s="659">
        <v>542.6</v>
      </c>
      <c r="DN72" s="659">
        <v>543.9</v>
      </c>
      <c r="DO72" s="897">
        <v>543.9</v>
      </c>
      <c r="DP72" s="783">
        <v>551.70000000000005</v>
      </c>
      <c r="DQ72" s="659">
        <v>556.6</v>
      </c>
      <c r="DR72" s="659">
        <v>566.1</v>
      </c>
      <c r="DS72" s="659">
        <v>567.79999999999995</v>
      </c>
      <c r="DT72" s="623">
        <v>568.20000000000005</v>
      </c>
      <c r="DU72" s="659">
        <v>587.29999999999995</v>
      </c>
      <c r="DV72" s="659">
        <v>592.79999999999995</v>
      </c>
      <c r="DW72" s="659">
        <v>602.1</v>
      </c>
      <c r="DX72" s="659">
        <v>619.5</v>
      </c>
      <c r="DY72" s="659">
        <v>629.9</v>
      </c>
      <c r="DZ72" s="659">
        <v>634</v>
      </c>
      <c r="EA72" s="897">
        <v>634</v>
      </c>
      <c r="EB72" s="659">
        <v>655.5</v>
      </c>
      <c r="EC72" s="659">
        <v>670.3</v>
      </c>
      <c r="ED72" s="659">
        <v>686.8</v>
      </c>
      <c r="EE72" s="659">
        <v>692.5</v>
      </c>
      <c r="EF72" s="659">
        <v>699.1</v>
      </c>
      <c r="EG72" s="659">
        <v>708.6</v>
      </c>
      <c r="EH72" s="659">
        <v>712.8</v>
      </c>
      <c r="EI72" s="659">
        <v>718.4</v>
      </c>
      <c r="EJ72" s="659">
        <v>715.2</v>
      </c>
      <c r="EK72" s="623">
        <v>735.6</v>
      </c>
      <c r="EL72" s="725">
        <v>751.8</v>
      </c>
      <c r="EM72" s="659">
        <v>756</v>
      </c>
      <c r="EN72" s="783">
        <v>759.8</v>
      </c>
      <c r="EO72" s="659">
        <v>771.4</v>
      </c>
      <c r="EP72" s="659">
        <v>785.4</v>
      </c>
      <c r="EQ72" s="659">
        <v>806.2</v>
      </c>
      <c r="ER72" s="659">
        <v>820.1</v>
      </c>
      <c r="ES72" s="659">
        <v>834.8</v>
      </c>
      <c r="ET72" s="659">
        <v>858.1</v>
      </c>
      <c r="EU72" s="659">
        <v>869.6</v>
      </c>
      <c r="EV72" s="659">
        <v>888.2</v>
      </c>
      <c r="EW72" s="659">
        <v>901</v>
      </c>
      <c r="EX72" s="659">
        <v>913.7</v>
      </c>
      <c r="EY72" s="659">
        <v>938.8</v>
      </c>
      <c r="EZ72" s="783">
        <v>970</v>
      </c>
      <c r="FA72" s="659">
        <v>1102.8</v>
      </c>
      <c r="FB72" s="659">
        <v>1139.2</v>
      </c>
      <c r="FC72" s="659">
        <v>1139.8</v>
      </c>
      <c r="FD72" s="659">
        <v>1151.3</v>
      </c>
      <c r="FE72" s="659">
        <v>1160.5</v>
      </c>
      <c r="FF72" s="659">
        <v>1162.0999999999999</v>
      </c>
      <c r="FG72" s="659">
        <v>1203.5999999999999</v>
      </c>
      <c r="FH72" s="659">
        <v>1215.7</v>
      </c>
      <c r="FI72" s="659">
        <v>1255</v>
      </c>
      <c r="FJ72" s="659">
        <v>1266.5999999999999</v>
      </c>
      <c r="FK72" s="897">
        <v>1274.5999999999999</v>
      </c>
      <c r="FL72" s="783">
        <v>1276.4000000000001</v>
      </c>
      <c r="FM72" s="659">
        <v>1277.2</v>
      </c>
      <c r="FN72" s="659">
        <v>1295.7</v>
      </c>
      <c r="FO72" s="659">
        <v>1305.9000000000001</v>
      </c>
      <c r="FP72" s="659">
        <v>1310.4000000000001</v>
      </c>
      <c r="FQ72" s="659">
        <v>1375.7</v>
      </c>
      <c r="FR72" s="659">
        <v>1428.5</v>
      </c>
      <c r="FS72" s="659">
        <v>1466.8</v>
      </c>
      <c r="FT72" s="659">
        <v>1489.2</v>
      </c>
      <c r="FU72" s="897">
        <v>1505.8</v>
      </c>
      <c r="FV72" s="1167">
        <f t="shared" si="0"/>
        <v>1.0111469245232338</v>
      </c>
    </row>
    <row r="73" spans="1:178" s="112" customFormat="1">
      <c r="A73" s="1543">
        <v>1</v>
      </c>
      <c r="B73" s="408">
        <v>48</v>
      </c>
      <c r="C73" s="621" t="s">
        <v>67</v>
      </c>
      <c r="D73" s="622" t="s">
        <v>68</v>
      </c>
      <c r="E73" s="621" t="s">
        <v>918</v>
      </c>
      <c r="F73" s="622"/>
      <c r="G73" s="621" t="s">
        <v>919</v>
      </c>
      <c r="H73" s="621" t="s">
        <v>920</v>
      </c>
      <c r="I73" s="390" t="s">
        <v>69</v>
      </c>
      <c r="J73" s="651"/>
      <c r="K73" s="669">
        <v>193.96</v>
      </c>
      <c r="L73" s="665">
        <v>228.37</v>
      </c>
      <c r="M73" s="625">
        <v>228.37</v>
      </c>
      <c r="N73" s="625">
        <v>247.77</v>
      </c>
      <c r="O73" s="625">
        <v>247.77</v>
      </c>
      <c r="P73" s="625">
        <v>275.08</v>
      </c>
      <c r="Q73" s="625">
        <v>287.57</v>
      </c>
      <c r="R73" s="625">
        <v>287.83999999999997</v>
      </c>
      <c r="S73" s="625">
        <v>287.83999999999997</v>
      </c>
      <c r="T73" s="625">
        <v>287.83999999999997</v>
      </c>
      <c r="U73" s="625">
        <v>287.89</v>
      </c>
      <c r="V73" s="625">
        <v>287.89</v>
      </c>
      <c r="W73" s="625">
        <v>287.89</v>
      </c>
      <c r="X73" s="625">
        <v>287.89</v>
      </c>
      <c r="Y73" s="625">
        <v>287.89</v>
      </c>
      <c r="Z73" s="625">
        <v>227.05</v>
      </c>
      <c r="AA73" s="625">
        <v>217.37</v>
      </c>
      <c r="AB73" s="625">
        <v>217.37</v>
      </c>
      <c r="AC73" s="625">
        <v>217.37</v>
      </c>
      <c r="AD73" s="625">
        <v>287.89</v>
      </c>
      <c r="AE73" s="625">
        <v>287.89</v>
      </c>
      <c r="AF73" s="625">
        <v>287.89</v>
      </c>
      <c r="AG73" s="625">
        <v>287.89</v>
      </c>
      <c r="AH73" s="625">
        <v>287.89</v>
      </c>
      <c r="AI73" s="764">
        <v>287.89</v>
      </c>
      <c r="AJ73" s="772">
        <v>287.89</v>
      </c>
      <c r="AK73" s="625">
        <v>287.89</v>
      </c>
      <c r="AL73" s="625">
        <v>287.89</v>
      </c>
      <c r="AM73" s="625">
        <v>287.89</v>
      </c>
      <c r="AN73" s="625">
        <v>287.89</v>
      </c>
      <c r="AO73" s="625">
        <v>287.89</v>
      </c>
      <c r="AP73" s="625">
        <v>287.89</v>
      </c>
      <c r="AQ73" s="625">
        <v>287.89</v>
      </c>
      <c r="AR73" s="625">
        <v>287.89</v>
      </c>
      <c r="AS73" s="625">
        <v>287.89</v>
      </c>
      <c r="AT73" s="625">
        <v>287.89</v>
      </c>
      <c r="AU73" s="764">
        <v>287.89</v>
      </c>
      <c r="AV73" s="752">
        <v>287.89</v>
      </c>
      <c r="AW73" s="626">
        <v>287.89</v>
      </c>
      <c r="AX73" s="626">
        <v>287.89</v>
      </c>
      <c r="AY73" s="626">
        <v>287.89</v>
      </c>
      <c r="AZ73" s="626">
        <v>287.89</v>
      </c>
      <c r="BA73" s="626">
        <v>238.49</v>
      </c>
      <c r="BB73" s="626">
        <v>238.49</v>
      </c>
      <c r="BC73" s="627">
        <v>238.49</v>
      </c>
      <c r="BD73" s="626">
        <v>238.49</v>
      </c>
      <c r="BE73" s="627">
        <v>238.49</v>
      </c>
      <c r="BF73" s="627">
        <v>230.06</v>
      </c>
      <c r="BG73" s="738">
        <v>284.27999999999997</v>
      </c>
      <c r="BH73" s="660">
        <v>284.27999999999997</v>
      </c>
      <c r="BI73" s="623">
        <v>294.20999999999998</v>
      </c>
      <c r="BJ73" s="623">
        <v>294.20999999999998</v>
      </c>
      <c r="BK73" s="623">
        <v>294.20999999999998</v>
      </c>
      <c r="BL73" s="623">
        <v>294.20999999999998</v>
      </c>
      <c r="BM73" s="623">
        <v>296.18</v>
      </c>
      <c r="BN73" s="623">
        <v>296.18</v>
      </c>
      <c r="BO73" s="623">
        <v>301.87</v>
      </c>
      <c r="BP73" s="623">
        <v>301.87</v>
      </c>
      <c r="BQ73" s="623">
        <v>301.87</v>
      </c>
      <c r="BR73" s="623">
        <v>301.87</v>
      </c>
      <c r="BS73" s="659">
        <v>299.54000000000002</v>
      </c>
      <c r="BT73" s="660">
        <v>300</v>
      </c>
      <c r="BU73" s="623">
        <v>302.33</v>
      </c>
      <c r="BV73" s="623">
        <v>303.64999999999998</v>
      </c>
      <c r="BW73" s="623">
        <v>303.64999999999998</v>
      </c>
      <c r="BX73" s="623">
        <v>303.64999999999998</v>
      </c>
      <c r="BY73" s="623">
        <v>307.77999999999997</v>
      </c>
      <c r="BZ73" s="623">
        <v>321.91000000000003</v>
      </c>
      <c r="CA73" s="623">
        <v>335.19</v>
      </c>
      <c r="CB73" s="623">
        <v>352.88</v>
      </c>
      <c r="CC73" s="623">
        <v>360.94</v>
      </c>
      <c r="CD73" s="623">
        <v>359.26</v>
      </c>
      <c r="CE73" s="659">
        <v>371.44</v>
      </c>
      <c r="CF73" s="660">
        <v>371.44</v>
      </c>
      <c r="CG73" s="623">
        <v>377.64</v>
      </c>
      <c r="CH73" s="623">
        <v>385.29</v>
      </c>
      <c r="CI73" s="623">
        <v>385.29</v>
      </c>
      <c r="CJ73" s="623">
        <v>385.29</v>
      </c>
      <c r="CK73" s="623">
        <v>391.65</v>
      </c>
      <c r="CL73" s="623">
        <v>391.05</v>
      </c>
      <c r="CM73" s="623">
        <v>391.05</v>
      </c>
      <c r="CN73" s="623">
        <v>399.53</v>
      </c>
      <c r="CO73" s="623">
        <v>418.11</v>
      </c>
      <c r="CP73" s="623">
        <v>418.1</v>
      </c>
      <c r="CQ73" s="659">
        <v>407.16</v>
      </c>
      <c r="CR73" s="660">
        <v>407.16</v>
      </c>
      <c r="CS73" s="623">
        <v>402.09</v>
      </c>
      <c r="CT73" s="623">
        <v>402.09</v>
      </c>
      <c r="CU73" s="623">
        <v>402.09</v>
      </c>
      <c r="CV73" s="623">
        <v>402.09</v>
      </c>
      <c r="CW73" s="623">
        <v>396.72</v>
      </c>
      <c r="CX73" s="623">
        <v>407.02</v>
      </c>
      <c r="CY73" s="623">
        <v>410.27</v>
      </c>
      <c r="CZ73" s="623">
        <v>415.87</v>
      </c>
      <c r="DA73" s="623">
        <v>415.87</v>
      </c>
      <c r="DB73" s="725">
        <v>415.87</v>
      </c>
      <c r="DC73" s="659">
        <v>415.87</v>
      </c>
      <c r="DD73" s="783">
        <v>433.94</v>
      </c>
      <c r="DE73" s="623">
        <v>448.57</v>
      </c>
      <c r="DF73" s="725">
        <v>470.59</v>
      </c>
      <c r="DG73" s="659">
        <v>470.59</v>
      </c>
      <c r="DH73" s="623">
        <v>470.59</v>
      </c>
      <c r="DI73" s="623">
        <v>470.59</v>
      </c>
      <c r="DJ73" s="623">
        <v>470.59</v>
      </c>
      <c r="DK73" s="659">
        <v>470.59</v>
      </c>
      <c r="DL73" s="623">
        <v>470.59</v>
      </c>
      <c r="DM73" s="659">
        <v>479.39</v>
      </c>
      <c r="DN73" s="659">
        <v>479.39</v>
      </c>
      <c r="DO73" s="897">
        <v>479.39</v>
      </c>
      <c r="DP73" s="783">
        <v>479.39</v>
      </c>
      <c r="DQ73" s="659">
        <v>479.39</v>
      </c>
      <c r="DR73" s="659">
        <v>483.92</v>
      </c>
      <c r="DS73" s="659">
        <v>488.66</v>
      </c>
      <c r="DT73" s="623">
        <v>503.52</v>
      </c>
      <c r="DU73" s="659">
        <v>503.52</v>
      </c>
      <c r="DV73" s="659">
        <v>527.09</v>
      </c>
      <c r="DW73" s="659">
        <v>527.09</v>
      </c>
      <c r="DX73" s="659">
        <v>527.09</v>
      </c>
      <c r="DY73" s="659">
        <v>527.09</v>
      </c>
      <c r="DZ73" s="659">
        <v>527.09</v>
      </c>
      <c r="EA73" s="897">
        <v>527.09</v>
      </c>
      <c r="EB73" s="659">
        <v>527.09</v>
      </c>
      <c r="EC73" s="659">
        <v>532.76</v>
      </c>
      <c r="ED73" s="659">
        <v>549.82000000000005</v>
      </c>
      <c r="EE73" s="659">
        <v>561.85</v>
      </c>
      <c r="EF73" s="659">
        <v>581.66999999999996</v>
      </c>
      <c r="EG73" s="659">
        <v>594.04999999999995</v>
      </c>
      <c r="EH73" s="659">
        <v>593.66999999999996</v>
      </c>
      <c r="EI73" s="659">
        <v>594.04999999999995</v>
      </c>
      <c r="EJ73" s="659">
        <v>594.04999999999995</v>
      </c>
      <c r="EK73" s="623">
        <v>594.04999999999995</v>
      </c>
      <c r="EL73" s="725">
        <v>604.01</v>
      </c>
      <c r="EM73" s="659">
        <v>604.01</v>
      </c>
      <c r="EN73" s="783">
        <v>604.01</v>
      </c>
      <c r="EO73" s="659">
        <v>623.6</v>
      </c>
      <c r="EP73" s="659">
        <v>626.13</v>
      </c>
      <c r="EQ73" s="659">
        <v>626.16999999999996</v>
      </c>
      <c r="ER73" s="659">
        <v>626.13</v>
      </c>
      <c r="ES73" s="659">
        <v>626.13</v>
      </c>
      <c r="ET73" s="659">
        <v>644.69000000000005</v>
      </c>
      <c r="EU73" s="659">
        <v>644.69000000000005</v>
      </c>
      <c r="EV73" s="659">
        <v>644.69000000000005</v>
      </c>
      <c r="EW73" s="659">
        <v>633.76</v>
      </c>
      <c r="EX73" s="659">
        <v>633.76</v>
      </c>
      <c r="EY73" s="659">
        <v>629.12</v>
      </c>
      <c r="EZ73" s="783">
        <v>712.34</v>
      </c>
      <c r="FA73" s="659">
        <v>763.05</v>
      </c>
      <c r="FB73" s="659">
        <v>763.07</v>
      </c>
      <c r="FC73" s="659">
        <v>763.05</v>
      </c>
      <c r="FD73" s="659">
        <v>763.05</v>
      </c>
      <c r="FE73" s="659">
        <v>763.05</v>
      </c>
      <c r="FF73" s="659">
        <v>784.79</v>
      </c>
      <c r="FG73" s="659">
        <v>784.79</v>
      </c>
      <c r="FH73" s="659">
        <v>784.79</v>
      </c>
      <c r="FI73" s="659">
        <v>880.24</v>
      </c>
      <c r="FJ73" s="659">
        <v>880.24</v>
      </c>
      <c r="FK73" s="897">
        <v>881.27</v>
      </c>
      <c r="FL73" s="783">
        <v>902.69</v>
      </c>
      <c r="FM73" s="659">
        <v>901.66</v>
      </c>
      <c r="FN73" s="659">
        <v>901.66</v>
      </c>
      <c r="FO73" s="659">
        <v>919.99</v>
      </c>
      <c r="FP73" s="659">
        <v>919.99</v>
      </c>
      <c r="FQ73" s="659">
        <v>930.84</v>
      </c>
      <c r="FR73" s="659">
        <v>930.84</v>
      </c>
      <c r="FS73" s="659">
        <v>940.49</v>
      </c>
      <c r="FT73" s="659">
        <v>940.49</v>
      </c>
      <c r="FU73" s="897">
        <v>967.69</v>
      </c>
      <c r="FV73" s="1167">
        <f t="shared" si="0"/>
        <v>1.0289210943231719</v>
      </c>
    </row>
    <row r="74" spans="1:178" s="112" customFormat="1" ht="18.95" customHeight="1">
      <c r="A74" s="1543">
        <v>1</v>
      </c>
      <c r="B74" s="408">
        <v>49</v>
      </c>
      <c r="C74" s="621" t="s">
        <v>70</v>
      </c>
      <c r="D74" s="622" t="s">
        <v>71</v>
      </c>
      <c r="E74" s="621" t="s">
        <v>918</v>
      </c>
      <c r="F74" s="622"/>
      <c r="G74" s="621" t="s">
        <v>929</v>
      </c>
      <c r="H74" s="621" t="s">
        <v>930</v>
      </c>
      <c r="I74" s="390" t="s">
        <v>72</v>
      </c>
      <c r="J74" s="651"/>
      <c r="K74" s="669">
        <v>99.3</v>
      </c>
      <c r="L74" s="665">
        <v>101.4</v>
      </c>
      <c r="M74" s="625">
        <v>105.4</v>
      </c>
      <c r="N74" s="625">
        <v>104.7</v>
      </c>
      <c r="O74" s="625">
        <v>113.1</v>
      </c>
      <c r="P74" s="625">
        <v>124.6</v>
      </c>
      <c r="Q74" s="625">
        <v>136.6</v>
      </c>
      <c r="R74" s="625">
        <v>146.19999999999999</v>
      </c>
      <c r="S74" s="625">
        <v>163</v>
      </c>
      <c r="T74" s="625">
        <v>177.9</v>
      </c>
      <c r="U74" s="625">
        <v>191.8</v>
      </c>
      <c r="V74" s="625">
        <v>197.2</v>
      </c>
      <c r="W74" s="625">
        <v>201.8</v>
      </c>
      <c r="X74" s="625">
        <v>201</v>
      </c>
      <c r="Y74" s="625">
        <v>202</v>
      </c>
      <c r="Z74" s="625">
        <v>200.6</v>
      </c>
      <c r="AA74" s="625">
        <v>202.6</v>
      </c>
      <c r="AB74" s="625">
        <v>202</v>
      </c>
      <c r="AC74" s="625">
        <v>204.7</v>
      </c>
      <c r="AD74" s="625">
        <v>204.9</v>
      </c>
      <c r="AE74" s="625">
        <v>205.2</v>
      </c>
      <c r="AF74" s="625">
        <v>207.7</v>
      </c>
      <c r="AG74" s="625">
        <v>208.2</v>
      </c>
      <c r="AH74" s="625">
        <v>209.6</v>
      </c>
      <c r="AI74" s="764">
        <v>208.9</v>
      </c>
      <c r="AJ74" s="772">
        <v>210.1</v>
      </c>
      <c r="AK74" s="625">
        <v>211.4</v>
      </c>
      <c r="AL74" s="625">
        <v>212.3</v>
      </c>
      <c r="AM74" s="625">
        <v>214.9</v>
      </c>
      <c r="AN74" s="625">
        <v>219.4</v>
      </c>
      <c r="AO74" s="625">
        <v>220.9</v>
      </c>
      <c r="AP74" s="625">
        <v>220.3</v>
      </c>
      <c r="AQ74" s="625">
        <v>220.3</v>
      </c>
      <c r="AR74" s="625">
        <v>220.3</v>
      </c>
      <c r="AS74" s="625">
        <v>219.4</v>
      </c>
      <c r="AT74" s="625">
        <v>217.8</v>
      </c>
      <c r="AU74" s="764">
        <v>218.6</v>
      </c>
      <c r="AV74" s="752">
        <v>219.5</v>
      </c>
      <c r="AW74" s="626">
        <v>219.3</v>
      </c>
      <c r="AX74" s="626">
        <v>220.7</v>
      </c>
      <c r="AY74" s="626">
        <v>220.7</v>
      </c>
      <c r="AZ74" s="626">
        <v>220.8</v>
      </c>
      <c r="BA74" s="626">
        <v>220.8</v>
      </c>
      <c r="BB74" s="626">
        <v>220.8</v>
      </c>
      <c r="BC74" s="627">
        <v>220.8</v>
      </c>
      <c r="BD74" s="626">
        <v>220.8</v>
      </c>
      <c r="BE74" s="627">
        <v>220.8</v>
      </c>
      <c r="BF74" s="627">
        <v>219.9</v>
      </c>
      <c r="BG74" s="738">
        <v>220.3</v>
      </c>
      <c r="BH74" s="660">
        <v>221</v>
      </c>
      <c r="BI74" s="623">
        <v>223.5</v>
      </c>
      <c r="BJ74" s="623">
        <v>223.5</v>
      </c>
      <c r="BK74" s="623">
        <v>228.1</v>
      </c>
      <c r="BL74" s="623">
        <v>234.6</v>
      </c>
      <c r="BM74" s="623">
        <v>235.2</v>
      </c>
      <c r="BN74" s="623">
        <v>236.4</v>
      </c>
      <c r="BO74" s="623">
        <v>236</v>
      </c>
      <c r="BP74" s="623">
        <v>236</v>
      </c>
      <c r="BQ74" s="623">
        <v>236.5</v>
      </c>
      <c r="BR74" s="623">
        <v>239.5</v>
      </c>
      <c r="BS74" s="659">
        <v>240.9</v>
      </c>
      <c r="BT74" s="660">
        <v>247.7</v>
      </c>
      <c r="BU74" s="623">
        <v>248.7</v>
      </c>
      <c r="BV74" s="623">
        <v>260.7</v>
      </c>
      <c r="BW74" s="623">
        <v>261.3</v>
      </c>
      <c r="BX74" s="623">
        <v>262.89999999999998</v>
      </c>
      <c r="BY74" s="623">
        <v>267</v>
      </c>
      <c r="BZ74" s="623">
        <v>272.2</v>
      </c>
      <c r="CA74" s="623">
        <v>278</v>
      </c>
      <c r="CB74" s="623">
        <v>278.60000000000002</v>
      </c>
      <c r="CC74" s="623">
        <v>283.5</v>
      </c>
      <c r="CD74" s="623">
        <v>287.60000000000002</v>
      </c>
      <c r="CE74" s="659">
        <v>292.3</v>
      </c>
      <c r="CF74" s="660">
        <v>299.8</v>
      </c>
      <c r="CG74" s="623">
        <v>300.7</v>
      </c>
      <c r="CH74" s="623">
        <v>300.10000000000002</v>
      </c>
      <c r="CI74" s="623">
        <v>308.7</v>
      </c>
      <c r="CJ74" s="623">
        <v>311.5</v>
      </c>
      <c r="CK74" s="623">
        <v>312.89999999999998</v>
      </c>
      <c r="CL74" s="623">
        <v>317.60000000000002</v>
      </c>
      <c r="CM74" s="623">
        <v>317.5</v>
      </c>
      <c r="CN74" s="623">
        <v>321.2</v>
      </c>
      <c r="CO74" s="623">
        <v>323.8</v>
      </c>
      <c r="CP74" s="623">
        <v>326.39999999999998</v>
      </c>
      <c r="CQ74" s="659">
        <v>327</v>
      </c>
      <c r="CR74" s="660">
        <v>333.9</v>
      </c>
      <c r="CS74" s="623">
        <v>334.9</v>
      </c>
      <c r="CT74" s="623">
        <v>334.9</v>
      </c>
      <c r="CU74" s="623">
        <v>339.5</v>
      </c>
      <c r="CV74" s="623">
        <v>341.5</v>
      </c>
      <c r="CW74" s="623">
        <v>343</v>
      </c>
      <c r="CX74" s="623">
        <v>343.6</v>
      </c>
      <c r="CY74" s="623">
        <v>351.8</v>
      </c>
      <c r="CZ74" s="623">
        <v>354.7</v>
      </c>
      <c r="DA74" s="623">
        <v>356.2</v>
      </c>
      <c r="DB74" s="725">
        <v>357.5</v>
      </c>
      <c r="DC74" s="659">
        <v>357.5</v>
      </c>
      <c r="DD74" s="783">
        <v>365</v>
      </c>
      <c r="DE74" s="623">
        <v>368</v>
      </c>
      <c r="DF74" s="725">
        <v>369.7</v>
      </c>
      <c r="DG74" s="659">
        <v>369.7</v>
      </c>
      <c r="DH74" s="623">
        <v>376.4</v>
      </c>
      <c r="DI74" s="623">
        <v>377.2</v>
      </c>
      <c r="DJ74" s="623">
        <v>381.8</v>
      </c>
      <c r="DK74" s="659">
        <v>386.6</v>
      </c>
      <c r="DL74" s="623">
        <v>390.3</v>
      </c>
      <c r="DM74" s="659">
        <v>392</v>
      </c>
      <c r="DN74" s="659">
        <v>405.6</v>
      </c>
      <c r="DO74" s="897">
        <v>407.3</v>
      </c>
      <c r="DP74" s="783">
        <v>408.7</v>
      </c>
      <c r="DQ74" s="659">
        <v>416.8</v>
      </c>
      <c r="DR74" s="659">
        <v>418.4</v>
      </c>
      <c r="DS74" s="659">
        <v>423</v>
      </c>
      <c r="DT74" s="623">
        <v>427.5</v>
      </c>
      <c r="DU74" s="659">
        <v>438.6</v>
      </c>
      <c r="DV74" s="659">
        <v>439.9</v>
      </c>
      <c r="DW74" s="659">
        <v>442.9</v>
      </c>
      <c r="DX74" s="659">
        <v>444.3</v>
      </c>
      <c r="DY74" s="659">
        <v>445.4</v>
      </c>
      <c r="DZ74" s="659">
        <v>459.8</v>
      </c>
      <c r="EA74" s="897">
        <v>466.2</v>
      </c>
      <c r="EB74" s="659">
        <v>467.4</v>
      </c>
      <c r="EC74" s="659">
        <v>468.4</v>
      </c>
      <c r="ED74" s="659">
        <v>470.1</v>
      </c>
      <c r="EE74" s="659">
        <v>489.8</v>
      </c>
      <c r="EF74" s="659">
        <v>493.6</v>
      </c>
      <c r="EG74" s="659">
        <v>495.8</v>
      </c>
      <c r="EH74" s="659">
        <v>505.7</v>
      </c>
      <c r="EI74" s="659">
        <v>515.20000000000005</v>
      </c>
      <c r="EJ74" s="659">
        <v>517.20000000000005</v>
      </c>
      <c r="EK74" s="623">
        <v>525.29999999999995</v>
      </c>
      <c r="EL74" s="725">
        <v>541.1</v>
      </c>
      <c r="EM74" s="659">
        <v>544.6</v>
      </c>
      <c r="EN74" s="783">
        <v>552.1</v>
      </c>
      <c r="EO74" s="659">
        <v>556.9</v>
      </c>
      <c r="EP74" s="659">
        <v>557.79999999999995</v>
      </c>
      <c r="EQ74" s="659">
        <v>557.9</v>
      </c>
      <c r="ER74" s="659">
        <v>587</v>
      </c>
      <c r="ES74" s="659">
        <v>588.9</v>
      </c>
      <c r="ET74" s="659">
        <v>590.5</v>
      </c>
      <c r="EU74" s="659">
        <v>595.9</v>
      </c>
      <c r="EV74" s="659">
        <v>622.29999999999995</v>
      </c>
      <c r="EW74" s="659">
        <v>631.5</v>
      </c>
      <c r="EX74" s="659">
        <v>641.4</v>
      </c>
      <c r="EY74" s="659">
        <v>649.5</v>
      </c>
      <c r="EZ74" s="783">
        <v>680.4</v>
      </c>
      <c r="FA74" s="659">
        <v>749.8</v>
      </c>
      <c r="FB74" s="659">
        <v>774.8</v>
      </c>
      <c r="FC74" s="659">
        <v>784.5</v>
      </c>
      <c r="FD74" s="659">
        <v>790.8</v>
      </c>
      <c r="FE74" s="659">
        <v>819.6</v>
      </c>
      <c r="FF74" s="659">
        <v>823.8</v>
      </c>
      <c r="FG74" s="659">
        <v>854.7</v>
      </c>
      <c r="FH74" s="659">
        <v>859.2</v>
      </c>
      <c r="FI74" s="659">
        <v>869.4</v>
      </c>
      <c r="FJ74" s="659">
        <v>900.3</v>
      </c>
      <c r="FK74" s="897">
        <v>917.5</v>
      </c>
      <c r="FL74" s="783">
        <v>913.5</v>
      </c>
      <c r="FM74" s="659">
        <v>941.8</v>
      </c>
      <c r="FN74" s="659">
        <v>960</v>
      </c>
      <c r="FO74" s="659">
        <v>957.5</v>
      </c>
      <c r="FP74" s="659">
        <v>991.4</v>
      </c>
      <c r="FQ74" s="659">
        <v>1000.2</v>
      </c>
      <c r="FR74" s="659">
        <v>1011.3</v>
      </c>
      <c r="FS74" s="659">
        <v>1051.9000000000001</v>
      </c>
      <c r="FT74" s="659">
        <v>1079.8</v>
      </c>
      <c r="FU74" s="897">
        <v>1078.8</v>
      </c>
      <c r="FV74" s="1167">
        <f t="shared" si="0"/>
        <v>0.99907390257455087</v>
      </c>
    </row>
    <row r="75" spans="1:178" s="112" customFormat="1" ht="30" customHeight="1">
      <c r="A75" s="1543">
        <v>1</v>
      </c>
      <c r="B75" s="408">
        <v>50</v>
      </c>
      <c r="C75" s="621" t="s">
        <v>73</v>
      </c>
      <c r="D75" s="622" t="s">
        <v>74</v>
      </c>
      <c r="E75" s="621" t="s">
        <v>918</v>
      </c>
      <c r="F75" s="622"/>
      <c r="G75" s="621" t="s">
        <v>919</v>
      </c>
      <c r="H75" s="621" t="s">
        <v>920</v>
      </c>
      <c r="I75" s="390" t="s">
        <v>123</v>
      </c>
      <c r="J75" s="651"/>
      <c r="K75" s="669">
        <v>111.68</v>
      </c>
      <c r="L75" s="665">
        <v>111.68</v>
      </c>
      <c r="M75" s="625">
        <v>121.73</v>
      </c>
      <c r="N75" s="625">
        <v>121.73</v>
      </c>
      <c r="O75" s="625">
        <v>133.53</v>
      </c>
      <c r="P75" s="625">
        <v>140.55000000000001</v>
      </c>
      <c r="Q75" s="625">
        <v>163</v>
      </c>
      <c r="R75" s="625">
        <v>178.53</v>
      </c>
      <c r="S75" s="625">
        <v>204.58</v>
      </c>
      <c r="T75" s="625">
        <v>227.23</v>
      </c>
      <c r="U75" s="625">
        <v>243.62</v>
      </c>
      <c r="V75" s="625">
        <v>255.83</v>
      </c>
      <c r="W75" s="625">
        <v>260.43</v>
      </c>
      <c r="X75" s="625">
        <v>263.58</v>
      </c>
      <c r="Y75" s="625">
        <v>263.48</v>
      </c>
      <c r="Z75" s="625">
        <v>263.48</v>
      </c>
      <c r="AA75" s="625">
        <v>263.48</v>
      </c>
      <c r="AB75" s="625">
        <v>263.92</v>
      </c>
      <c r="AC75" s="625">
        <v>264.07</v>
      </c>
      <c r="AD75" s="625">
        <v>267.77999999999997</v>
      </c>
      <c r="AE75" s="625">
        <v>268</v>
      </c>
      <c r="AF75" s="625">
        <v>268</v>
      </c>
      <c r="AG75" s="625">
        <v>268</v>
      </c>
      <c r="AH75" s="625">
        <v>268</v>
      </c>
      <c r="AI75" s="764">
        <v>268</v>
      </c>
      <c r="AJ75" s="772">
        <v>270.37</v>
      </c>
      <c r="AK75" s="625">
        <v>272.98</v>
      </c>
      <c r="AL75" s="625">
        <v>272.98</v>
      </c>
      <c r="AM75" s="625">
        <v>272.98</v>
      </c>
      <c r="AN75" s="625">
        <v>278.16000000000003</v>
      </c>
      <c r="AO75" s="625">
        <v>281.66000000000003</v>
      </c>
      <c r="AP75" s="625">
        <v>281.66000000000003</v>
      </c>
      <c r="AQ75" s="625">
        <v>281.66000000000003</v>
      </c>
      <c r="AR75" s="625">
        <v>281.66000000000003</v>
      </c>
      <c r="AS75" s="625">
        <v>281.66000000000003</v>
      </c>
      <c r="AT75" s="625">
        <v>281.89999999999998</v>
      </c>
      <c r="AU75" s="764">
        <v>281.89999999999998</v>
      </c>
      <c r="AV75" s="752">
        <v>281.89999999999998</v>
      </c>
      <c r="AW75" s="626">
        <v>281.89999999999998</v>
      </c>
      <c r="AX75" s="626">
        <v>281.89999999999998</v>
      </c>
      <c r="AY75" s="626">
        <v>282.2</v>
      </c>
      <c r="AZ75" s="626">
        <v>282.2</v>
      </c>
      <c r="BA75" s="626">
        <v>282.2</v>
      </c>
      <c r="BB75" s="626">
        <v>282.2</v>
      </c>
      <c r="BC75" s="627">
        <v>282.2</v>
      </c>
      <c r="BD75" s="626">
        <v>282.2</v>
      </c>
      <c r="BE75" s="627">
        <v>282.39999999999998</v>
      </c>
      <c r="BF75" s="627">
        <v>282.39999999999998</v>
      </c>
      <c r="BG75" s="738">
        <v>282.39999999999998</v>
      </c>
      <c r="BH75" s="660">
        <v>282.39999999999998</v>
      </c>
      <c r="BI75" s="623">
        <v>282.70999999999998</v>
      </c>
      <c r="BJ75" s="623">
        <v>277.11</v>
      </c>
      <c r="BK75" s="623">
        <v>290.88</v>
      </c>
      <c r="BL75" s="623">
        <v>290.88</v>
      </c>
      <c r="BM75" s="623">
        <v>291.08999999999997</v>
      </c>
      <c r="BN75" s="623">
        <v>291.08999999999997</v>
      </c>
      <c r="BO75" s="623">
        <v>291.08999999999997</v>
      </c>
      <c r="BP75" s="623">
        <v>291.08999999999997</v>
      </c>
      <c r="BQ75" s="623">
        <v>291.08999999999997</v>
      </c>
      <c r="BR75" s="623">
        <v>291.08999999999997</v>
      </c>
      <c r="BS75" s="659">
        <v>301.73</v>
      </c>
      <c r="BT75" s="660">
        <v>311.7</v>
      </c>
      <c r="BU75" s="623">
        <v>311.7</v>
      </c>
      <c r="BV75" s="623">
        <v>329.62</v>
      </c>
      <c r="BW75" s="623">
        <v>329.95</v>
      </c>
      <c r="BX75" s="623">
        <v>329.95</v>
      </c>
      <c r="BY75" s="623">
        <v>340.67</v>
      </c>
      <c r="BZ75" s="623">
        <v>340.75</v>
      </c>
      <c r="CA75" s="623">
        <v>347.52</v>
      </c>
      <c r="CB75" s="623">
        <v>347.98</v>
      </c>
      <c r="CC75" s="623">
        <v>347.98</v>
      </c>
      <c r="CD75" s="623">
        <v>364.08</v>
      </c>
      <c r="CE75" s="659">
        <v>365.3</v>
      </c>
      <c r="CF75" s="660">
        <v>381.68</v>
      </c>
      <c r="CG75" s="623">
        <v>381.68</v>
      </c>
      <c r="CH75" s="623">
        <v>381.68</v>
      </c>
      <c r="CI75" s="623">
        <v>393.83</v>
      </c>
      <c r="CJ75" s="623">
        <v>397.34</v>
      </c>
      <c r="CK75" s="623">
        <v>397.34</v>
      </c>
      <c r="CL75" s="623">
        <v>397.84</v>
      </c>
      <c r="CM75" s="623">
        <v>397.84</v>
      </c>
      <c r="CN75" s="623">
        <v>414.59</v>
      </c>
      <c r="CO75" s="623">
        <v>414.64</v>
      </c>
      <c r="CP75" s="623">
        <v>415.08</v>
      </c>
      <c r="CQ75" s="659">
        <v>414.9</v>
      </c>
      <c r="CR75" s="660">
        <v>431.23</v>
      </c>
      <c r="CS75" s="623">
        <v>431.69</v>
      </c>
      <c r="CT75" s="623">
        <v>431.69</v>
      </c>
      <c r="CU75" s="623">
        <v>438.31</v>
      </c>
      <c r="CV75" s="623">
        <v>440.51</v>
      </c>
      <c r="CW75" s="623">
        <v>440.51</v>
      </c>
      <c r="CX75" s="623">
        <v>440.51</v>
      </c>
      <c r="CY75" s="623">
        <v>449.06</v>
      </c>
      <c r="CZ75" s="623">
        <v>449.06</v>
      </c>
      <c r="DA75" s="623">
        <v>452.53</v>
      </c>
      <c r="DB75" s="725">
        <v>454.76</v>
      </c>
      <c r="DC75" s="659">
        <v>454.76</v>
      </c>
      <c r="DD75" s="783">
        <v>469.05</v>
      </c>
      <c r="DE75" s="623">
        <v>473.32</v>
      </c>
      <c r="DF75" s="725">
        <v>473.32</v>
      </c>
      <c r="DG75" s="659">
        <v>473.11</v>
      </c>
      <c r="DH75" s="623">
        <v>492.39</v>
      </c>
      <c r="DI75" s="623">
        <v>492.39</v>
      </c>
      <c r="DJ75" s="623">
        <v>492.39</v>
      </c>
      <c r="DK75" s="659">
        <v>493.11</v>
      </c>
      <c r="DL75" s="623">
        <v>493.11</v>
      </c>
      <c r="DM75" s="659">
        <v>493.11</v>
      </c>
      <c r="DN75" s="659">
        <v>509.85</v>
      </c>
      <c r="DO75" s="897">
        <v>509.85</v>
      </c>
      <c r="DP75" s="783">
        <v>509.85</v>
      </c>
      <c r="DQ75" s="659">
        <v>525.39</v>
      </c>
      <c r="DR75" s="659">
        <v>529.62</v>
      </c>
      <c r="DS75" s="659">
        <v>529.62</v>
      </c>
      <c r="DT75" s="623">
        <v>538.66999999999996</v>
      </c>
      <c r="DU75" s="659">
        <v>550.15</v>
      </c>
      <c r="DV75" s="659">
        <v>551.14</v>
      </c>
      <c r="DW75" s="659">
        <v>551.53</v>
      </c>
      <c r="DX75" s="659">
        <v>551.53</v>
      </c>
      <c r="DY75" s="659">
        <v>552.36</v>
      </c>
      <c r="DZ75" s="659">
        <v>553.51</v>
      </c>
      <c r="EA75" s="897">
        <v>575.30999999999995</v>
      </c>
      <c r="EB75" s="659">
        <v>580.54</v>
      </c>
      <c r="EC75" s="659">
        <v>580.54</v>
      </c>
      <c r="ED75" s="659">
        <v>581.49</v>
      </c>
      <c r="EE75" s="659">
        <v>598.91999999999996</v>
      </c>
      <c r="EF75" s="659">
        <v>602.66999999999996</v>
      </c>
      <c r="EG75" s="659">
        <v>602.66999999999996</v>
      </c>
      <c r="EH75" s="659">
        <v>614.08000000000004</v>
      </c>
      <c r="EI75" s="659">
        <v>626.52</v>
      </c>
      <c r="EJ75" s="659">
        <v>626.49</v>
      </c>
      <c r="EK75" s="623">
        <v>638.71</v>
      </c>
      <c r="EL75" s="725">
        <v>651.96</v>
      </c>
      <c r="EM75" s="659">
        <v>651.96</v>
      </c>
      <c r="EN75" s="783">
        <v>651.96</v>
      </c>
      <c r="EO75" s="659">
        <v>653.26</v>
      </c>
      <c r="EP75" s="659">
        <v>653.26</v>
      </c>
      <c r="EQ75" s="659">
        <v>653.26</v>
      </c>
      <c r="ER75" s="659">
        <v>668.92</v>
      </c>
      <c r="ES75" s="659">
        <v>684.84</v>
      </c>
      <c r="ET75" s="659">
        <v>684.84</v>
      </c>
      <c r="EU75" s="659">
        <v>686.29</v>
      </c>
      <c r="EV75" s="659">
        <v>695.16</v>
      </c>
      <c r="EW75" s="659">
        <v>706.2</v>
      </c>
      <c r="EX75" s="659">
        <v>710.02</v>
      </c>
      <c r="EY75" s="659">
        <v>731.41</v>
      </c>
      <c r="EZ75" s="783">
        <v>764.21</v>
      </c>
      <c r="FA75" s="659">
        <v>819.21</v>
      </c>
      <c r="FB75" s="659">
        <v>868.31</v>
      </c>
      <c r="FC75" s="659">
        <v>874.43</v>
      </c>
      <c r="FD75" s="659">
        <v>874.26</v>
      </c>
      <c r="FE75" s="659">
        <v>908.02</v>
      </c>
      <c r="FF75" s="659">
        <v>915.39</v>
      </c>
      <c r="FG75" s="659">
        <v>916.47</v>
      </c>
      <c r="FH75" s="659">
        <v>951.64</v>
      </c>
      <c r="FI75" s="659">
        <v>958.99</v>
      </c>
      <c r="FJ75" s="659">
        <v>999.26</v>
      </c>
      <c r="FK75" s="897">
        <v>1009.04</v>
      </c>
      <c r="FL75" s="783">
        <v>1016.92</v>
      </c>
      <c r="FM75" s="659">
        <v>1017.8</v>
      </c>
      <c r="FN75" s="659">
        <v>1057.18</v>
      </c>
      <c r="FO75" s="659">
        <v>1076.45</v>
      </c>
      <c r="FP75" s="659">
        <v>1095.1500000000001</v>
      </c>
      <c r="FQ75" s="659">
        <v>1118.81</v>
      </c>
      <c r="FR75" s="659">
        <v>1123.6199999999999</v>
      </c>
      <c r="FS75" s="659">
        <v>1169.5899999999999</v>
      </c>
      <c r="FT75" s="659">
        <v>1174.96</v>
      </c>
      <c r="FU75" s="897">
        <v>1179.99</v>
      </c>
      <c r="FV75" s="1167">
        <f t="shared" si="0"/>
        <v>1.0042809967998911</v>
      </c>
    </row>
    <row r="76" spans="1:178" s="112" customFormat="1" ht="18.95" customHeight="1">
      <c r="A76" s="1543">
        <v>1</v>
      </c>
      <c r="B76" s="644">
        <v>51</v>
      </c>
      <c r="C76" s="645" t="s">
        <v>75</v>
      </c>
      <c r="D76" s="646" t="s">
        <v>77</v>
      </c>
      <c r="E76" s="645" t="s">
        <v>918</v>
      </c>
      <c r="F76" s="646"/>
      <c r="G76" s="645" t="s">
        <v>919</v>
      </c>
      <c r="H76" s="645" t="s">
        <v>920</v>
      </c>
      <c r="I76" s="876" t="s">
        <v>78</v>
      </c>
      <c r="J76" s="869"/>
      <c r="K76" s="877">
        <v>102.52</v>
      </c>
      <c r="L76" s="878">
        <v>110.58</v>
      </c>
      <c r="M76" s="879">
        <v>125.39</v>
      </c>
      <c r="N76" s="879">
        <v>130.07</v>
      </c>
      <c r="O76" s="879">
        <v>167.15</v>
      </c>
      <c r="P76" s="879">
        <v>193.81</v>
      </c>
      <c r="Q76" s="879">
        <v>222.23</v>
      </c>
      <c r="R76" s="879">
        <v>233.28</v>
      </c>
      <c r="S76" s="879">
        <v>244.94</v>
      </c>
      <c r="T76" s="879">
        <v>269.44</v>
      </c>
      <c r="U76" s="879">
        <v>269.44</v>
      </c>
      <c r="V76" s="879">
        <v>269.44</v>
      </c>
      <c r="W76" s="879">
        <v>253.25</v>
      </c>
      <c r="X76" s="879">
        <v>253.25</v>
      </c>
      <c r="Y76" s="879">
        <v>253.25</v>
      </c>
      <c r="Z76" s="879">
        <v>268.45</v>
      </c>
      <c r="AA76" s="879">
        <v>284.56</v>
      </c>
      <c r="AB76" s="879">
        <v>284.56</v>
      </c>
      <c r="AC76" s="879">
        <v>284.56</v>
      </c>
      <c r="AD76" s="879">
        <v>284.56</v>
      </c>
      <c r="AE76" s="879">
        <v>284.56</v>
      </c>
      <c r="AF76" s="879">
        <v>284.56</v>
      </c>
      <c r="AG76" s="879">
        <v>284.56</v>
      </c>
      <c r="AH76" s="879">
        <v>298.79000000000002</v>
      </c>
      <c r="AI76" s="880">
        <v>298.79000000000002</v>
      </c>
      <c r="AJ76" s="881">
        <v>329.38</v>
      </c>
      <c r="AK76" s="879">
        <v>349.14</v>
      </c>
      <c r="AL76" s="879">
        <v>367.87</v>
      </c>
      <c r="AM76" s="879">
        <v>367.87</v>
      </c>
      <c r="AN76" s="879">
        <v>389.97</v>
      </c>
      <c r="AO76" s="879">
        <v>405.54</v>
      </c>
      <c r="AP76" s="879">
        <v>405.54</v>
      </c>
      <c r="AQ76" s="879">
        <v>410.04</v>
      </c>
      <c r="AR76" s="879">
        <v>410.04</v>
      </c>
      <c r="AS76" s="879">
        <v>410.04</v>
      </c>
      <c r="AT76" s="879">
        <v>410.04</v>
      </c>
      <c r="AU76" s="880">
        <v>410.04</v>
      </c>
      <c r="AV76" s="882">
        <v>410.04</v>
      </c>
      <c r="AW76" s="883">
        <v>410.04</v>
      </c>
      <c r="AX76" s="883">
        <v>410.04</v>
      </c>
      <c r="AY76" s="883">
        <v>410.04</v>
      </c>
      <c r="AZ76" s="883">
        <v>410.04</v>
      </c>
      <c r="BA76" s="883">
        <v>410.1</v>
      </c>
      <c r="BB76" s="883">
        <v>410.04</v>
      </c>
      <c r="BC76" s="884">
        <v>410.04</v>
      </c>
      <c r="BD76" s="883">
        <v>410.04</v>
      </c>
      <c r="BE76" s="884">
        <v>410.04</v>
      </c>
      <c r="BF76" s="884">
        <v>410.04</v>
      </c>
      <c r="BG76" s="885">
        <v>410.04</v>
      </c>
      <c r="BH76" s="886">
        <v>410.04</v>
      </c>
      <c r="BI76" s="887">
        <v>410.04</v>
      </c>
      <c r="BJ76" s="887">
        <v>410.04</v>
      </c>
      <c r="BK76" s="887">
        <v>410.04</v>
      </c>
      <c r="BL76" s="887">
        <v>410.04</v>
      </c>
      <c r="BM76" s="887">
        <v>410.04</v>
      </c>
      <c r="BN76" s="887">
        <v>410.04</v>
      </c>
      <c r="BO76" s="887">
        <v>410.04</v>
      </c>
      <c r="BP76" s="887">
        <v>410.04</v>
      </c>
      <c r="BQ76" s="887">
        <v>410.04</v>
      </c>
      <c r="BR76" s="887">
        <v>410.04</v>
      </c>
      <c r="BS76" s="888">
        <v>410.04</v>
      </c>
      <c r="BT76" s="886">
        <v>413.65</v>
      </c>
      <c r="BU76" s="887">
        <v>413.65</v>
      </c>
      <c r="BV76" s="887">
        <v>419.02</v>
      </c>
      <c r="BW76" s="887">
        <v>431.7</v>
      </c>
      <c r="BX76" s="887">
        <v>444.97</v>
      </c>
      <c r="BY76" s="887">
        <v>444.97</v>
      </c>
      <c r="BZ76" s="887">
        <v>477.74</v>
      </c>
      <c r="CA76" s="887">
        <v>477.74</v>
      </c>
      <c r="CB76" s="887">
        <v>486.35</v>
      </c>
      <c r="CC76" s="887">
        <v>486.2</v>
      </c>
      <c r="CD76" s="887">
        <v>509.76</v>
      </c>
      <c r="CE76" s="888">
        <v>509.76</v>
      </c>
      <c r="CF76" s="886">
        <v>541.09</v>
      </c>
      <c r="CG76" s="887">
        <v>538.76</v>
      </c>
      <c r="CH76" s="887">
        <v>541.09</v>
      </c>
      <c r="CI76" s="887">
        <v>546.23</v>
      </c>
      <c r="CJ76" s="887">
        <v>546.23</v>
      </c>
      <c r="CK76" s="887">
        <v>551.5</v>
      </c>
      <c r="CL76" s="887">
        <v>583.35</v>
      </c>
      <c r="CM76" s="887">
        <v>588.64</v>
      </c>
      <c r="CN76" s="887">
        <v>608.64</v>
      </c>
      <c r="CO76" s="887">
        <v>608.64</v>
      </c>
      <c r="CP76" s="887">
        <v>574.54</v>
      </c>
      <c r="CQ76" s="888">
        <v>614.07000000000005</v>
      </c>
      <c r="CR76" s="886">
        <v>614.07000000000005</v>
      </c>
      <c r="CS76" s="887">
        <v>581.99</v>
      </c>
      <c r="CT76" s="887">
        <v>578.9</v>
      </c>
      <c r="CU76" s="887">
        <v>580.87</v>
      </c>
      <c r="CV76" s="887">
        <v>580.87</v>
      </c>
      <c r="CW76" s="887">
        <v>584.52</v>
      </c>
      <c r="CX76" s="887">
        <v>584.52</v>
      </c>
      <c r="CY76" s="887">
        <v>584.52</v>
      </c>
      <c r="CZ76" s="887">
        <v>610.64</v>
      </c>
      <c r="DA76" s="887">
        <v>639.76</v>
      </c>
      <c r="DB76" s="889">
        <v>639.76</v>
      </c>
      <c r="DC76" s="888">
        <v>648.42999999999995</v>
      </c>
      <c r="DD76" s="890">
        <v>653.44000000000005</v>
      </c>
      <c r="DE76" s="887">
        <v>662.37</v>
      </c>
      <c r="DF76" s="889">
        <v>675.76</v>
      </c>
      <c r="DG76" s="888">
        <v>682.04</v>
      </c>
      <c r="DH76" s="887">
        <v>687.16</v>
      </c>
      <c r="DI76" s="887">
        <v>686.92</v>
      </c>
      <c r="DJ76" s="887">
        <v>686.92</v>
      </c>
      <c r="DK76" s="888">
        <v>699.31</v>
      </c>
      <c r="DL76" s="887">
        <v>701.16</v>
      </c>
      <c r="DM76" s="888">
        <v>701.16</v>
      </c>
      <c r="DN76" s="888">
        <v>712.5</v>
      </c>
      <c r="DO76" s="968">
        <v>714.34</v>
      </c>
      <c r="DP76" s="890">
        <v>713.9</v>
      </c>
      <c r="DQ76" s="888">
        <v>713.9</v>
      </c>
      <c r="DR76" s="888">
        <v>713.9</v>
      </c>
      <c r="DS76" s="888">
        <v>720.11</v>
      </c>
      <c r="DT76" s="887">
        <v>720.08</v>
      </c>
      <c r="DU76" s="888">
        <v>720.08</v>
      </c>
      <c r="DV76" s="888">
        <v>719.85</v>
      </c>
      <c r="DW76" s="888">
        <v>717.38</v>
      </c>
      <c r="DX76" s="888">
        <v>717.38</v>
      </c>
      <c r="DY76" s="888">
        <v>710.95</v>
      </c>
      <c r="DZ76" s="888">
        <v>710.95</v>
      </c>
      <c r="EA76" s="968">
        <v>710.95</v>
      </c>
      <c r="EB76" s="888">
        <v>710.95</v>
      </c>
      <c r="EC76" s="888">
        <v>710.95</v>
      </c>
      <c r="ED76" s="888">
        <v>710.95</v>
      </c>
      <c r="EE76" s="888">
        <v>710.95</v>
      </c>
      <c r="EF76" s="888">
        <v>724.34</v>
      </c>
      <c r="EG76" s="888">
        <v>739.32</v>
      </c>
      <c r="EH76" s="888">
        <v>739.32</v>
      </c>
      <c r="EI76" s="888">
        <v>739.32</v>
      </c>
      <c r="EJ76" s="888">
        <v>739.32</v>
      </c>
      <c r="EK76" s="887">
        <v>751.65</v>
      </c>
      <c r="EL76" s="889">
        <v>762.22</v>
      </c>
      <c r="EM76" s="888">
        <v>762.22</v>
      </c>
      <c r="EN76" s="890">
        <v>762.22</v>
      </c>
      <c r="EO76" s="888">
        <v>762.22</v>
      </c>
      <c r="EP76" s="888">
        <v>762.22</v>
      </c>
      <c r="EQ76" s="888">
        <v>762.22</v>
      </c>
      <c r="ER76" s="888">
        <v>762.22</v>
      </c>
      <c r="ES76" s="888">
        <v>776.71</v>
      </c>
      <c r="ET76" s="888">
        <v>776.71</v>
      </c>
      <c r="EU76" s="659">
        <v>783.81</v>
      </c>
      <c r="EV76" s="659">
        <v>783.81</v>
      </c>
      <c r="EW76" s="659">
        <v>783.81</v>
      </c>
      <c r="EX76" s="659">
        <v>790.83</v>
      </c>
      <c r="EY76" s="659">
        <v>802</v>
      </c>
      <c r="EZ76" s="783">
        <v>866.28</v>
      </c>
      <c r="FA76" s="659">
        <v>909.46</v>
      </c>
      <c r="FB76" s="659">
        <v>940.32</v>
      </c>
      <c r="FC76" s="659">
        <v>981.71</v>
      </c>
      <c r="FD76" s="659">
        <v>1017.57</v>
      </c>
      <c r="FE76" s="659">
        <v>1006.1</v>
      </c>
      <c r="FF76" s="659">
        <v>1016.28</v>
      </c>
      <c r="FG76" s="659">
        <v>1058.9100000000001</v>
      </c>
      <c r="FH76" s="659">
        <v>1070.75</v>
      </c>
      <c r="FI76" s="659">
        <v>1089.99</v>
      </c>
      <c r="FJ76" s="659">
        <v>1093.22</v>
      </c>
      <c r="FK76" s="897">
        <v>1096.6600000000001</v>
      </c>
      <c r="FL76" s="783">
        <v>1064.6099999999999</v>
      </c>
      <c r="FM76" s="659">
        <v>1092.8599999999999</v>
      </c>
      <c r="FN76" s="659">
        <v>1111.79</v>
      </c>
      <c r="FO76" s="659">
        <v>1127.3800000000001</v>
      </c>
      <c r="FP76" s="659">
        <v>1135.4000000000001</v>
      </c>
      <c r="FQ76" s="659">
        <v>1143.0899999999999</v>
      </c>
      <c r="FR76" s="659">
        <v>1152.9100000000001</v>
      </c>
      <c r="FS76" s="659">
        <v>1162.82</v>
      </c>
      <c r="FT76" s="659">
        <v>1174.6600000000001</v>
      </c>
      <c r="FU76" s="897">
        <v>1203.02</v>
      </c>
      <c r="FV76" s="1167">
        <f t="shared" si="0"/>
        <v>1.0241431563175727</v>
      </c>
    </row>
    <row r="77" spans="1:178" s="112" customFormat="1" ht="22.5" customHeight="1">
      <c r="A77" s="1543">
        <v>1</v>
      </c>
      <c r="B77" s="408">
        <v>52</v>
      </c>
      <c r="C77" s="621" t="s">
        <v>79</v>
      </c>
      <c r="D77" s="622" t="s">
        <v>80</v>
      </c>
      <c r="E77" s="621" t="s">
        <v>918</v>
      </c>
      <c r="F77" s="622"/>
      <c r="G77" s="621" t="s">
        <v>919</v>
      </c>
      <c r="H77" s="621" t="s">
        <v>920</v>
      </c>
      <c r="I77" s="390" t="s">
        <v>686</v>
      </c>
      <c r="J77" s="651"/>
      <c r="K77" s="669">
        <v>86.93</v>
      </c>
      <c r="L77" s="665">
        <v>93.44</v>
      </c>
      <c r="M77" s="625">
        <v>123.93</v>
      </c>
      <c r="N77" s="625">
        <v>166.39</v>
      </c>
      <c r="O77" s="625">
        <v>190.33</v>
      </c>
      <c r="P77" s="625">
        <v>214.93</v>
      </c>
      <c r="Q77" s="625">
        <v>227.32</v>
      </c>
      <c r="R77" s="625">
        <v>226.54</v>
      </c>
      <c r="S77" s="625">
        <v>232.68</v>
      </c>
      <c r="T77" s="625">
        <v>236.66</v>
      </c>
      <c r="U77" s="625">
        <v>236.25</v>
      </c>
      <c r="V77" s="625">
        <v>232.88</v>
      </c>
      <c r="W77" s="625">
        <v>231.12</v>
      </c>
      <c r="X77" s="625">
        <v>222.43</v>
      </c>
      <c r="Y77" s="625">
        <v>216.17</v>
      </c>
      <c r="Z77" s="625">
        <v>223.44</v>
      </c>
      <c r="AA77" s="625">
        <v>213.4</v>
      </c>
      <c r="AB77" s="625">
        <v>214.26</v>
      </c>
      <c r="AC77" s="625">
        <v>217.36</v>
      </c>
      <c r="AD77" s="625">
        <v>220.4</v>
      </c>
      <c r="AE77" s="625">
        <v>228.19</v>
      </c>
      <c r="AF77" s="625">
        <v>230.74</v>
      </c>
      <c r="AG77" s="625">
        <v>230.2</v>
      </c>
      <c r="AH77" s="625">
        <v>240.05</v>
      </c>
      <c r="AI77" s="764">
        <v>249.76</v>
      </c>
      <c r="AJ77" s="772">
        <v>264.72000000000003</v>
      </c>
      <c r="AK77" s="625">
        <v>290.31</v>
      </c>
      <c r="AL77" s="625">
        <v>298.33</v>
      </c>
      <c r="AM77" s="625">
        <v>300.47000000000003</v>
      </c>
      <c r="AN77" s="625">
        <v>306.38</v>
      </c>
      <c r="AO77" s="625">
        <v>327.43</v>
      </c>
      <c r="AP77" s="625">
        <v>326.04000000000002</v>
      </c>
      <c r="AQ77" s="625">
        <v>333.18</v>
      </c>
      <c r="AR77" s="625">
        <v>330.57</v>
      </c>
      <c r="AS77" s="625">
        <v>346.59</v>
      </c>
      <c r="AT77" s="625">
        <v>359.88</v>
      </c>
      <c r="AU77" s="764">
        <v>370.77</v>
      </c>
      <c r="AV77" s="752">
        <v>374.2</v>
      </c>
      <c r="AW77" s="626">
        <v>370.3</v>
      </c>
      <c r="AX77" s="626">
        <v>386.9</v>
      </c>
      <c r="AY77" s="626">
        <v>396.55</v>
      </c>
      <c r="AZ77" s="626">
        <v>394.8</v>
      </c>
      <c r="BA77" s="626">
        <v>390.28</v>
      </c>
      <c r="BB77" s="626">
        <v>391.02</v>
      </c>
      <c r="BC77" s="627">
        <v>401.14</v>
      </c>
      <c r="BD77" s="626">
        <v>411.94</v>
      </c>
      <c r="BE77" s="627">
        <v>420.95</v>
      </c>
      <c r="BF77" s="627">
        <v>443.25</v>
      </c>
      <c r="BG77" s="738">
        <v>459.03</v>
      </c>
      <c r="BH77" s="660">
        <v>474.97</v>
      </c>
      <c r="BI77" s="623">
        <v>496.8</v>
      </c>
      <c r="BJ77" s="623">
        <v>508.55</v>
      </c>
      <c r="BK77" s="623">
        <v>560.79999999999995</v>
      </c>
      <c r="BL77" s="623">
        <v>687.66</v>
      </c>
      <c r="BM77" s="623">
        <v>709.96</v>
      </c>
      <c r="BN77" s="623">
        <v>695.35</v>
      </c>
      <c r="BO77" s="623">
        <v>762.65</v>
      </c>
      <c r="BP77" s="623">
        <v>759.74</v>
      </c>
      <c r="BQ77" s="623">
        <v>759.93</v>
      </c>
      <c r="BR77" s="623">
        <v>733.59</v>
      </c>
      <c r="BS77" s="659">
        <v>723.45</v>
      </c>
      <c r="BT77" s="660">
        <v>687.56</v>
      </c>
      <c r="BU77" s="623">
        <v>662.98</v>
      </c>
      <c r="BV77" s="623">
        <v>642.83000000000004</v>
      </c>
      <c r="BW77" s="623">
        <v>718.13</v>
      </c>
      <c r="BX77" s="623">
        <v>732.15</v>
      </c>
      <c r="BY77" s="623">
        <v>730.25</v>
      </c>
      <c r="BZ77" s="623">
        <v>730.63</v>
      </c>
      <c r="CA77" s="623">
        <v>754.75</v>
      </c>
      <c r="CB77" s="623">
        <v>750.46</v>
      </c>
      <c r="CC77" s="623">
        <v>758.71</v>
      </c>
      <c r="CD77" s="623">
        <v>756.09</v>
      </c>
      <c r="CE77" s="659">
        <v>740.69</v>
      </c>
      <c r="CF77" s="660">
        <v>736.16</v>
      </c>
      <c r="CG77" s="623">
        <v>739.78</v>
      </c>
      <c r="CH77" s="623">
        <v>755.17</v>
      </c>
      <c r="CI77" s="623">
        <v>775.32</v>
      </c>
      <c r="CJ77" s="623">
        <v>819.09</v>
      </c>
      <c r="CK77" s="623">
        <v>806.21</v>
      </c>
      <c r="CL77" s="623">
        <v>795.56</v>
      </c>
      <c r="CM77" s="623">
        <v>785.66</v>
      </c>
      <c r="CN77" s="623">
        <v>778.81</v>
      </c>
      <c r="CO77" s="623">
        <v>783.12</v>
      </c>
      <c r="CP77" s="623">
        <v>676.5</v>
      </c>
      <c r="CQ77" s="659">
        <v>665.01</v>
      </c>
      <c r="CR77" s="660">
        <v>654.33000000000004</v>
      </c>
      <c r="CS77" s="623">
        <v>620.82000000000005</v>
      </c>
      <c r="CT77" s="623">
        <v>621.47</v>
      </c>
      <c r="CU77" s="623">
        <v>640.94000000000005</v>
      </c>
      <c r="CV77" s="623">
        <v>644.36</v>
      </c>
      <c r="CW77" s="623">
        <v>654.97</v>
      </c>
      <c r="CX77" s="623">
        <v>672.36</v>
      </c>
      <c r="CY77" s="623">
        <v>693.96</v>
      </c>
      <c r="CZ77" s="623">
        <v>698.67</v>
      </c>
      <c r="DA77" s="623">
        <v>729.14</v>
      </c>
      <c r="DB77" s="725">
        <v>741.52</v>
      </c>
      <c r="DC77" s="659">
        <v>758.48</v>
      </c>
      <c r="DD77" s="783">
        <v>806.37</v>
      </c>
      <c r="DE77" s="623">
        <v>825.95</v>
      </c>
      <c r="DF77" s="725">
        <v>830.92</v>
      </c>
      <c r="DG77" s="659">
        <v>843.26</v>
      </c>
      <c r="DH77" s="623">
        <v>805.84</v>
      </c>
      <c r="DI77" s="623">
        <v>792.03</v>
      </c>
      <c r="DJ77" s="623">
        <v>784.55</v>
      </c>
      <c r="DK77" s="659">
        <v>790.67</v>
      </c>
      <c r="DL77" s="623">
        <v>805.92</v>
      </c>
      <c r="DM77" s="659">
        <v>817.2</v>
      </c>
      <c r="DN77" s="659">
        <v>844.05</v>
      </c>
      <c r="DO77" s="897">
        <v>868.71</v>
      </c>
      <c r="DP77" s="783">
        <v>880.14</v>
      </c>
      <c r="DQ77" s="659">
        <v>901.38</v>
      </c>
      <c r="DR77" s="659">
        <v>905.52</v>
      </c>
      <c r="DS77" s="659">
        <v>909.91</v>
      </c>
      <c r="DT77" s="623">
        <v>907.74</v>
      </c>
      <c r="DU77" s="659">
        <v>914.54</v>
      </c>
      <c r="DV77" s="659">
        <v>931.05</v>
      </c>
      <c r="DW77" s="659">
        <v>934.44</v>
      </c>
      <c r="DX77" s="659">
        <v>935.98</v>
      </c>
      <c r="DY77" s="659">
        <v>901.02</v>
      </c>
      <c r="DZ77" s="659">
        <v>879.18</v>
      </c>
      <c r="EA77" s="897">
        <v>891.49</v>
      </c>
      <c r="EB77" s="659">
        <v>881.42</v>
      </c>
      <c r="EC77" s="659">
        <v>896.43</v>
      </c>
      <c r="ED77" s="659">
        <v>913.34</v>
      </c>
      <c r="EE77" s="659">
        <v>905.01</v>
      </c>
      <c r="EF77" s="659">
        <v>910.17</v>
      </c>
      <c r="EG77" s="659">
        <v>901.43</v>
      </c>
      <c r="EH77" s="659">
        <v>903.84</v>
      </c>
      <c r="EI77" s="659">
        <v>906.65</v>
      </c>
      <c r="EJ77" s="659">
        <v>925.72</v>
      </c>
      <c r="EK77" s="623">
        <v>947.56</v>
      </c>
      <c r="EL77" s="725">
        <v>959.69</v>
      </c>
      <c r="EM77" s="659">
        <v>976.75</v>
      </c>
      <c r="EN77" s="783">
        <v>984.91</v>
      </c>
      <c r="EO77" s="659">
        <v>995.57</v>
      </c>
      <c r="EP77" s="659">
        <v>1004.8</v>
      </c>
      <c r="EQ77" s="659">
        <v>1001.22</v>
      </c>
      <c r="ER77" s="659">
        <v>1003.64</v>
      </c>
      <c r="ES77" s="659">
        <v>1018.03</v>
      </c>
      <c r="ET77" s="659">
        <v>1024.97</v>
      </c>
      <c r="EU77" s="659">
        <v>1042.8599999999999</v>
      </c>
      <c r="EV77" s="659">
        <v>1061.9000000000001</v>
      </c>
      <c r="EW77" s="659">
        <v>1077.74</v>
      </c>
      <c r="EX77" s="659">
        <v>1095.3900000000001</v>
      </c>
      <c r="EY77" s="659">
        <v>1126.67</v>
      </c>
      <c r="EZ77" s="783">
        <v>1199.6199999999999</v>
      </c>
      <c r="FA77" s="659">
        <v>1246.6600000000001</v>
      </c>
      <c r="FB77" s="659">
        <v>1269.8900000000001</v>
      </c>
      <c r="FC77" s="659">
        <v>1266.08</v>
      </c>
      <c r="FD77" s="659">
        <v>1269.76</v>
      </c>
      <c r="FE77" s="659">
        <v>1272.44</v>
      </c>
      <c r="FF77" s="659">
        <v>1279.5899999999999</v>
      </c>
      <c r="FG77" s="659">
        <v>1303.8900000000001</v>
      </c>
      <c r="FH77" s="659">
        <v>1293.79</v>
      </c>
      <c r="FI77" s="659">
        <v>1305.02</v>
      </c>
      <c r="FJ77" s="659">
        <v>1305.3699999999999</v>
      </c>
      <c r="FK77" s="897">
        <v>1312.29</v>
      </c>
      <c r="FL77" s="783">
        <v>1302.29</v>
      </c>
      <c r="FM77" s="659">
        <v>1281.93</v>
      </c>
      <c r="FN77" s="659">
        <v>1275.79</v>
      </c>
      <c r="FO77" s="659">
        <v>1259.75</v>
      </c>
      <c r="FP77" s="659">
        <v>1270.96</v>
      </c>
      <c r="FQ77" s="659">
        <v>1249.18</v>
      </c>
      <c r="FR77" s="659">
        <v>1243.8399999999999</v>
      </c>
      <c r="FS77" s="659">
        <v>1240.6199999999999</v>
      </c>
      <c r="FT77" s="659">
        <v>1243.67</v>
      </c>
      <c r="FU77" s="897">
        <v>1255.9000000000001</v>
      </c>
      <c r="FV77" s="1167">
        <f t="shared" si="0"/>
        <v>1.0098337983548691</v>
      </c>
    </row>
    <row r="78" spans="1:178" s="1506" customFormat="1" ht="31.5" hidden="1" customHeight="1">
      <c r="A78" s="1544">
        <v>1</v>
      </c>
      <c r="B78" s="1059">
        <v>53</v>
      </c>
      <c r="C78" s="1068" t="s">
        <v>81</v>
      </c>
      <c r="D78" s="1058" t="s">
        <v>82</v>
      </c>
      <c r="E78" s="1039" t="s">
        <v>918</v>
      </c>
      <c r="F78" s="1058"/>
      <c r="G78" s="1039" t="s">
        <v>515</v>
      </c>
      <c r="H78" s="1039"/>
      <c r="I78" s="1504" t="s">
        <v>122</v>
      </c>
      <c r="J78" s="1507" t="s">
        <v>767</v>
      </c>
      <c r="K78" s="1041">
        <v>100</v>
      </c>
      <c r="L78" s="1042">
        <v>133</v>
      </c>
      <c r="M78" s="1043">
        <v>167</v>
      </c>
      <c r="N78" s="1043">
        <v>209</v>
      </c>
      <c r="O78" s="1043">
        <v>229</v>
      </c>
      <c r="P78" s="1043">
        <v>273</v>
      </c>
      <c r="Q78" s="1043">
        <v>285</v>
      </c>
      <c r="R78" s="1043">
        <v>285</v>
      </c>
      <c r="S78" s="1043">
        <v>279</v>
      </c>
      <c r="T78" s="1043">
        <v>285</v>
      </c>
      <c r="U78" s="1043">
        <v>275</v>
      </c>
      <c r="V78" s="1043">
        <v>277</v>
      </c>
      <c r="W78" s="1043">
        <v>272</v>
      </c>
      <c r="X78" s="1043">
        <v>267</v>
      </c>
      <c r="Y78" s="1043">
        <v>256</v>
      </c>
      <c r="Z78" s="1043">
        <v>250</v>
      </c>
      <c r="AA78" s="1043">
        <v>245</v>
      </c>
      <c r="AB78" s="1043">
        <v>241</v>
      </c>
      <c r="AC78" s="1043">
        <v>238</v>
      </c>
      <c r="AD78" s="1043">
        <v>238</v>
      </c>
      <c r="AE78" s="1043">
        <v>276</v>
      </c>
      <c r="AF78" s="1043">
        <v>276</v>
      </c>
      <c r="AG78" s="1043">
        <v>276</v>
      </c>
      <c r="AH78" s="1043">
        <v>251</v>
      </c>
      <c r="AI78" s="1044">
        <v>253</v>
      </c>
      <c r="AJ78" s="1045">
        <v>280</v>
      </c>
      <c r="AK78" s="1043">
        <v>285</v>
      </c>
      <c r="AL78" s="1043">
        <v>252.8</v>
      </c>
      <c r="AM78" s="1043">
        <v>245.5</v>
      </c>
      <c r="AN78" s="1043">
        <v>258.8</v>
      </c>
      <c r="AO78" s="1043">
        <v>268.8</v>
      </c>
      <c r="AP78" s="1043">
        <v>276.3</v>
      </c>
      <c r="AQ78" s="1043">
        <v>280</v>
      </c>
      <c r="AR78" s="1043">
        <v>282.5</v>
      </c>
      <c r="AS78" s="1043">
        <v>282.5</v>
      </c>
      <c r="AT78" s="1043">
        <v>283.3</v>
      </c>
      <c r="AU78" s="1044">
        <v>283.8</v>
      </c>
      <c r="AV78" s="1046">
        <v>286.8</v>
      </c>
      <c r="AW78" s="1047">
        <v>285.8</v>
      </c>
      <c r="AX78" s="1047">
        <v>289.3</v>
      </c>
      <c r="AY78" s="1047">
        <v>286</v>
      </c>
      <c r="AZ78" s="1047">
        <v>281.7</v>
      </c>
      <c r="BA78" s="1047">
        <v>286.8</v>
      </c>
      <c r="BB78" s="1047">
        <v>286.8</v>
      </c>
      <c r="BC78" s="1048">
        <v>327.3</v>
      </c>
      <c r="BD78" s="1047">
        <v>331.9</v>
      </c>
      <c r="BE78" s="1048">
        <v>296.8</v>
      </c>
      <c r="BF78" s="1048">
        <v>332.1</v>
      </c>
      <c r="BG78" s="1060">
        <v>332.1</v>
      </c>
      <c r="BH78" s="1050">
        <v>397.8</v>
      </c>
      <c r="BI78" s="1051">
        <v>319.2</v>
      </c>
      <c r="BJ78" s="1051">
        <v>326.60000000000002</v>
      </c>
      <c r="BK78" s="1051">
        <v>406.3</v>
      </c>
      <c r="BL78" s="1051">
        <v>468</v>
      </c>
      <c r="BM78" s="1051">
        <v>477.3</v>
      </c>
      <c r="BN78" s="1051">
        <v>477.3</v>
      </c>
      <c r="BO78" s="1051">
        <v>487</v>
      </c>
      <c r="BP78" s="1051">
        <v>488</v>
      </c>
      <c r="BQ78" s="1051">
        <v>488</v>
      </c>
      <c r="BR78" s="1051">
        <v>488</v>
      </c>
      <c r="BS78" s="1052">
        <v>488</v>
      </c>
      <c r="BT78" s="1050">
        <v>488</v>
      </c>
      <c r="BU78" s="1051">
        <v>488</v>
      </c>
      <c r="BV78" s="1051">
        <v>488</v>
      </c>
      <c r="BW78" s="1051">
        <v>487.85399999999998</v>
      </c>
      <c r="BX78" s="1051">
        <v>493.02600000000001</v>
      </c>
      <c r="BY78" s="1051">
        <v>511.03399999999999</v>
      </c>
      <c r="BZ78" s="1051">
        <v>514.88900000000001</v>
      </c>
      <c r="CA78" s="1051">
        <v>532.26199999999994</v>
      </c>
      <c r="CB78" s="1051">
        <v>539.43499999999995</v>
      </c>
      <c r="CC78" s="1051">
        <v>548.21900000000005</v>
      </c>
      <c r="CD78" s="1051">
        <v>548.21900000000005</v>
      </c>
      <c r="CE78" s="1052">
        <f>+'ANEXO I CADIEEL'!CE10</f>
        <v>558.80880000000002</v>
      </c>
      <c r="CF78" s="1050">
        <f>+'ANEXO I CADIEEL'!CF10</f>
        <v>576.62080000000003</v>
      </c>
      <c r="CG78" s="1051">
        <f>+'ANEXO I CADIEEL'!CG10</f>
        <v>582.57439999999997</v>
      </c>
      <c r="CH78" s="1051">
        <f>'ANEXO I CADIEEL'!CH10</f>
        <v>588.47919999999999</v>
      </c>
      <c r="CI78" s="1051">
        <f>'ANEXO I CADIEEL'!CI10</f>
        <v>604.7296</v>
      </c>
      <c r="CJ78" s="1051">
        <f>'ANEXO I CADIEEL'!CJ10</f>
        <v>610.48799999999994</v>
      </c>
      <c r="CK78" s="1051">
        <f>'ANEXO I CADIEEL'!CK10</f>
        <v>620.24799999999993</v>
      </c>
      <c r="CL78" s="1051">
        <f>'ANEXO I CADIEEL'!CL10</f>
        <v>620.88239999999996</v>
      </c>
      <c r="CM78" s="1051">
        <f>'ANEXO I CADIEEL'!CM10</f>
        <v>634.79040000000009</v>
      </c>
      <c r="CN78" s="1051">
        <f>'ANEXO I CADIEEL'!CN10</f>
        <v>637.18159999999989</v>
      </c>
      <c r="CO78" s="1051">
        <f>'ANEXO I CADIEEL'!CO10</f>
        <v>637.18159999999989</v>
      </c>
      <c r="CP78" s="1051">
        <f>+CO78</f>
        <v>637.18159999999989</v>
      </c>
      <c r="CQ78" s="1052">
        <f>'ANEXO I CADIEEL'!CQ10</f>
        <v>659.72719999999993</v>
      </c>
      <c r="CR78" s="1050">
        <f>'ANEXO I CADIEEL'!CR10</f>
        <v>659.72719999999993</v>
      </c>
      <c r="CS78" s="1051">
        <f>'ANEXO I CADIEEL'!CS10</f>
        <v>661.19119999999998</v>
      </c>
      <c r="CT78" s="1070" t="s">
        <v>524</v>
      </c>
      <c r="CU78" s="1070" t="s">
        <v>524</v>
      </c>
      <c r="CV78" s="1070" t="s">
        <v>524</v>
      </c>
      <c r="CW78" s="1070" t="s">
        <v>524</v>
      </c>
      <c r="CX78" s="1070" t="s">
        <v>524</v>
      </c>
      <c r="CY78" s="1070" t="s">
        <v>524</v>
      </c>
      <c r="CZ78" s="1070" t="s">
        <v>524</v>
      </c>
      <c r="DA78" s="1070" t="s">
        <v>524</v>
      </c>
      <c r="DB78" s="1070" t="s">
        <v>524</v>
      </c>
      <c r="DC78" s="1071" t="s">
        <v>524</v>
      </c>
      <c r="DD78" s="1072" t="s">
        <v>524</v>
      </c>
      <c r="DE78" s="1070" t="s">
        <v>524</v>
      </c>
      <c r="DF78" s="1073" t="s">
        <v>524</v>
      </c>
      <c r="DG78" s="1071" t="s">
        <v>524</v>
      </c>
      <c r="DH78" s="1070" t="s">
        <v>524</v>
      </c>
      <c r="DI78" s="1070" t="s">
        <v>524</v>
      </c>
      <c r="DJ78" s="1070" t="s">
        <v>524</v>
      </c>
      <c r="DK78" s="1071" t="s">
        <v>524</v>
      </c>
      <c r="DL78" s="1070" t="s">
        <v>524</v>
      </c>
      <c r="DM78" s="1071" t="s">
        <v>524</v>
      </c>
      <c r="DN78" s="1071" t="s">
        <v>524</v>
      </c>
      <c r="DO78" s="1074" t="s">
        <v>524</v>
      </c>
      <c r="DP78" s="1072" t="s">
        <v>524</v>
      </c>
      <c r="DQ78" s="1071" t="s">
        <v>524</v>
      </c>
      <c r="DR78" s="1071" t="s">
        <v>524</v>
      </c>
      <c r="DS78" s="1071" t="s">
        <v>524</v>
      </c>
      <c r="DT78" s="1070" t="s">
        <v>524</v>
      </c>
      <c r="DU78" s="1070" t="s">
        <v>524</v>
      </c>
      <c r="DV78" s="1071" t="s">
        <v>524</v>
      </c>
      <c r="DW78" s="1071" t="s">
        <v>524</v>
      </c>
      <c r="DX78" s="1071" t="s">
        <v>524</v>
      </c>
      <c r="DY78" s="1071" t="s">
        <v>524</v>
      </c>
      <c r="DZ78" s="1071" t="s">
        <v>524</v>
      </c>
      <c r="EA78" s="1074" t="s">
        <v>524</v>
      </c>
      <c r="EB78" s="1071" t="s">
        <v>524</v>
      </c>
      <c r="EC78" s="1071" t="s">
        <v>524</v>
      </c>
      <c r="ED78" s="1071" t="s">
        <v>524</v>
      </c>
      <c r="EE78" s="1071" t="s">
        <v>524</v>
      </c>
      <c r="EF78" s="1071" t="s">
        <v>524</v>
      </c>
      <c r="EG78" s="1071" t="s">
        <v>524</v>
      </c>
      <c r="EH78" s="1071"/>
      <c r="EI78" s="1071" t="s">
        <v>524</v>
      </c>
      <c r="EJ78" s="1071" t="s">
        <v>524</v>
      </c>
      <c r="EK78" s="1070" t="s">
        <v>524</v>
      </c>
      <c r="EL78" s="1070" t="s">
        <v>524</v>
      </c>
      <c r="EM78" s="1071" t="s">
        <v>524</v>
      </c>
      <c r="EN78" s="1072" t="s">
        <v>524</v>
      </c>
      <c r="EO78" s="1071" t="s">
        <v>524</v>
      </c>
      <c r="EP78" s="1071" t="s">
        <v>524</v>
      </c>
      <c r="EQ78" s="1071" t="s">
        <v>524</v>
      </c>
      <c r="ER78" s="1071" t="s">
        <v>524</v>
      </c>
      <c r="ES78" s="1071" t="s">
        <v>524</v>
      </c>
      <c r="ET78" s="1071" t="s">
        <v>524</v>
      </c>
      <c r="EU78" s="1071" t="s">
        <v>524</v>
      </c>
      <c r="EV78" s="1071" t="s">
        <v>524</v>
      </c>
      <c r="EW78" s="1071" t="s">
        <v>524</v>
      </c>
      <c r="EX78" s="1071" t="s">
        <v>524</v>
      </c>
      <c r="EY78" s="1071" t="s">
        <v>524</v>
      </c>
      <c r="EZ78" s="1072" t="s">
        <v>524</v>
      </c>
      <c r="FA78" s="1071" t="s">
        <v>524</v>
      </c>
      <c r="FB78" s="1071" t="s">
        <v>524</v>
      </c>
      <c r="FC78" s="1071" t="s">
        <v>524</v>
      </c>
      <c r="FD78" s="1071" t="s">
        <v>524</v>
      </c>
      <c r="FE78" s="1071" t="s">
        <v>524</v>
      </c>
      <c r="FF78" s="1071" t="s">
        <v>524</v>
      </c>
      <c r="FG78" s="1071" t="s">
        <v>524</v>
      </c>
      <c r="FH78" s="1071" t="s">
        <v>524</v>
      </c>
      <c r="FI78" s="1071" t="s">
        <v>524</v>
      </c>
      <c r="FJ78" s="1071" t="s">
        <v>524</v>
      </c>
      <c r="FK78" s="1074" t="s">
        <v>524</v>
      </c>
      <c r="FL78" s="1072"/>
      <c r="FM78" s="1071"/>
      <c r="FN78" s="1071"/>
      <c r="FO78" s="1071"/>
      <c r="FP78" s="1071"/>
      <c r="FQ78" s="1071"/>
      <c r="FR78" s="1071"/>
      <c r="FS78" s="1071"/>
      <c r="FT78" s="1071"/>
      <c r="FU78" s="1074"/>
      <c r="FV78" s="1167" t="e">
        <f t="shared" si="0"/>
        <v>#DIV/0!</v>
      </c>
    </row>
    <row r="79" spans="1:178" s="115" customFormat="1" ht="18.95" customHeight="1">
      <c r="A79" s="1546">
        <v>1</v>
      </c>
      <c r="B79" s="408">
        <v>54</v>
      </c>
      <c r="C79" s="621" t="s">
        <v>84</v>
      </c>
      <c r="D79" s="622" t="s">
        <v>85</v>
      </c>
      <c r="E79" s="621" t="s">
        <v>918</v>
      </c>
      <c r="F79" s="622"/>
      <c r="G79" s="621" t="s">
        <v>929</v>
      </c>
      <c r="H79" s="621" t="s">
        <v>930</v>
      </c>
      <c r="I79" s="390" t="s">
        <v>921</v>
      </c>
      <c r="J79" s="651"/>
      <c r="K79" s="669">
        <v>105</v>
      </c>
      <c r="L79" s="665">
        <v>119</v>
      </c>
      <c r="M79" s="625">
        <v>144.5</v>
      </c>
      <c r="N79" s="625">
        <v>162.80000000000001</v>
      </c>
      <c r="O79" s="625">
        <v>173.1</v>
      </c>
      <c r="P79" s="625">
        <v>196.2</v>
      </c>
      <c r="Q79" s="625">
        <v>223.8</v>
      </c>
      <c r="R79" s="625">
        <v>227.4</v>
      </c>
      <c r="S79" s="625">
        <v>221.7</v>
      </c>
      <c r="T79" s="625">
        <v>221.7</v>
      </c>
      <c r="U79" s="625">
        <v>223.8</v>
      </c>
      <c r="V79" s="625">
        <v>223.8</v>
      </c>
      <c r="W79" s="625">
        <v>223.8</v>
      </c>
      <c r="X79" s="625">
        <v>222.6</v>
      </c>
      <c r="Y79" s="625">
        <v>222.6</v>
      </c>
      <c r="Z79" s="625">
        <v>212.7</v>
      </c>
      <c r="AA79" s="625">
        <v>212.7</v>
      </c>
      <c r="AB79" s="625">
        <v>212.7</v>
      </c>
      <c r="AC79" s="625">
        <v>212.7</v>
      </c>
      <c r="AD79" s="625">
        <v>212.7</v>
      </c>
      <c r="AE79" s="625">
        <v>213.9</v>
      </c>
      <c r="AF79" s="625">
        <v>213.9</v>
      </c>
      <c r="AG79" s="625">
        <v>213.9</v>
      </c>
      <c r="AH79" s="625">
        <v>211.4</v>
      </c>
      <c r="AI79" s="764">
        <v>212.6</v>
      </c>
      <c r="AJ79" s="772">
        <v>212.6</v>
      </c>
      <c r="AK79" s="625">
        <v>212.6</v>
      </c>
      <c r="AL79" s="625">
        <v>217.1</v>
      </c>
      <c r="AM79" s="625">
        <v>217.1</v>
      </c>
      <c r="AN79" s="625">
        <v>219.9</v>
      </c>
      <c r="AO79" s="625">
        <v>219.9</v>
      </c>
      <c r="AP79" s="625">
        <v>221.8</v>
      </c>
      <c r="AQ79" s="625">
        <v>228.2</v>
      </c>
      <c r="AR79" s="625">
        <v>227.8</v>
      </c>
      <c r="AS79" s="625">
        <v>227.8</v>
      </c>
      <c r="AT79" s="625">
        <v>230.6</v>
      </c>
      <c r="AU79" s="764">
        <v>230.6</v>
      </c>
      <c r="AV79" s="752">
        <v>237.4</v>
      </c>
      <c r="AW79" s="626">
        <v>243.1</v>
      </c>
      <c r="AX79" s="626">
        <v>250.9</v>
      </c>
      <c r="AY79" s="626">
        <v>250.9</v>
      </c>
      <c r="AZ79" s="626">
        <v>250.9</v>
      </c>
      <c r="BA79" s="626">
        <v>250.9</v>
      </c>
      <c r="BB79" s="626">
        <v>250.9</v>
      </c>
      <c r="BC79" s="627">
        <v>250.9</v>
      </c>
      <c r="BD79" s="626">
        <v>250.9</v>
      </c>
      <c r="BE79" s="627">
        <v>305.88</v>
      </c>
      <c r="BF79" s="627">
        <v>271.60000000000002</v>
      </c>
      <c r="BG79" s="738">
        <v>274.10000000000002</v>
      </c>
      <c r="BH79" s="660">
        <v>274.39999999999998</v>
      </c>
      <c r="BI79" s="623">
        <v>277.10000000000002</v>
      </c>
      <c r="BJ79" s="623">
        <v>298.8</v>
      </c>
      <c r="BK79" s="623">
        <v>300.3</v>
      </c>
      <c r="BL79" s="623">
        <v>303</v>
      </c>
      <c r="BM79" s="623">
        <v>303</v>
      </c>
      <c r="BN79" s="623">
        <v>303</v>
      </c>
      <c r="BO79" s="623">
        <v>303</v>
      </c>
      <c r="BP79" s="623">
        <v>315.89999999999998</v>
      </c>
      <c r="BQ79" s="623">
        <v>315.89999999999998</v>
      </c>
      <c r="BR79" s="623">
        <v>316.8</v>
      </c>
      <c r="BS79" s="659">
        <v>316.8</v>
      </c>
      <c r="BT79" s="660">
        <v>320.2</v>
      </c>
      <c r="BU79" s="623">
        <v>322.8</v>
      </c>
      <c r="BV79" s="623">
        <v>327.7</v>
      </c>
      <c r="BW79" s="623">
        <v>332.2</v>
      </c>
      <c r="BX79" s="623">
        <v>332.2</v>
      </c>
      <c r="BY79" s="623">
        <v>342.7</v>
      </c>
      <c r="BZ79" s="623">
        <v>345.7</v>
      </c>
      <c r="CA79" s="623">
        <v>352.9</v>
      </c>
      <c r="CB79" s="623">
        <v>364</v>
      </c>
      <c r="CC79" s="623">
        <v>364</v>
      </c>
      <c r="CD79" s="623">
        <v>373.9</v>
      </c>
      <c r="CE79" s="659">
        <v>381.5</v>
      </c>
      <c r="CF79" s="660">
        <v>381.5</v>
      </c>
      <c r="CG79" s="623">
        <v>391.5</v>
      </c>
      <c r="CH79" s="623">
        <v>377.4</v>
      </c>
      <c r="CI79" s="623">
        <v>377.4</v>
      </c>
      <c r="CJ79" s="623">
        <v>377.4</v>
      </c>
      <c r="CK79" s="623">
        <v>377.4</v>
      </c>
      <c r="CL79" s="623">
        <v>377.4</v>
      </c>
      <c r="CM79" s="623">
        <v>377.4</v>
      </c>
      <c r="CN79" s="623">
        <v>379.8</v>
      </c>
      <c r="CO79" s="623">
        <v>379.8</v>
      </c>
      <c r="CP79" s="623">
        <v>379.8</v>
      </c>
      <c r="CQ79" s="659">
        <v>379.8</v>
      </c>
      <c r="CR79" s="660">
        <v>379.8</v>
      </c>
      <c r="CS79" s="623">
        <v>379.8</v>
      </c>
      <c r="CT79" s="623">
        <v>379.8</v>
      </c>
      <c r="CU79" s="623">
        <v>379.8</v>
      </c>
      <c r="CV79" s="623">
        <v>379.8</v>
      </c>
      <c r="CW79" s="623">
        <v>379.8</v>
      </c>
      <c r="CX79" s="623">
        <v>379.8</v>
      </c>
      <c r="CY79" s="623">
        <v>379.8</v>
      </c>
      <c r="CZ79" s="623">
        <v>379.8</v>
      </c>
      <c r="DA79" s="623">
        <v>385.1</v>
      </c>
      <c r="DB79" s="725">
        <v>385.1</v>
      </c>
      <c r="DC79" s="659">
        <v>385.1</v>
      </c>
      <c r="DD79" s="783">
        <v>388.6</v>
      </c>
      <c r="DE79" s="623">
        <v>388.6</v>
      </c>
      <c r="DF79" s="725">
        <v>388.6</v>
      </c>
      <c r="DG79" s="659">
        <v>402.7</v>
      </c>
      <c r="DH79" s="623">
        <v>402.7</v>
      </c>
      <c r="DI79" s="623">
        <v>402.7</v>
      </c>
      <c r="DJ79" s="623">
        <v>402.7</v>
      </c>
      <c r="DK79" s="659">
        <v>402.7</v>
      </c>
      <c r="DL79" s="623">
        <v>402.7</v>
      </c>
      <c r="DM79" s="659">
        <v>402.7</v>
      </c>
      <c r="DN79" s="659">
        <v>402.7</v>
      </c>
      <c r="DO79" s="897">
        <v>402.7</v>
      </c>
      <c r="DP79" s="783">
        <v>404.1</v>
      </c>
      <c r="DQ79" s="659">
        <v>404.1</v>
      </c>
      <c r="DR79" s="659">
        <v>404.1</v>
      </c>
      <c r="DS79" s="659">
        <v>404.1</v>
      </c>
      <c r="DT79" s="623">
        <v>415.2</v>
      </c>
      <c r="DU79" s="659">
        <v>415.1</v>
      </c>
      <c r="DV79" s="659">
        <v>415.1</v>
      </c>
      <c r="DW79" s="659">
        <v>416.4</v>
      </c>
      <c r="DX79" s="659">
        <v>416.4</v>
      </c>
      <c r="DY79" s="659">
        <v>426.4</v>
      </c>
      <c r="DZ79" s="659">
        <v>426.4</v>
      </c>
      <c r="EA79" s="897">
        <v>426.4</v>
      </c>
      <c r="EB79" s="659">
        <v>428.8</v>
      </c>
      <c r="EC79" s="659">
        <v>444.6</v>
      </c>
      <c r="ED79" s="659">
        <v>444.6</v>
      </c>
      <c r="EE79" s="659">
        <v>446.6</v>
      </c>
      <c r="EF79" s="659">
        <v>446.6</v>
      </c>
      <c r="EG79" s="659">
        <v>449.5</v>
      </c>
      <c r="EH79" s="659">
        <v>461</v>
      </c>
      <c r="EI79" s="659">
        <v>464.1</v>
      </c>
      <c r="EJ79" s="659">
        <v>464.1</v>
      </c>
      <c r="EK79" s="623">
        <v>475.8</v>
      </c>
      <c r="EL79" s="725">
        <v>479.7</v>
      </c>
      <c r="EM79" s="659">
        <v>486.6</v>
      </c>
      <c r="EN79" s="783">
        <v>490.5</v>
      </c>
      <c r="EO79" s="659">
        <v>512.5</v>
      </c>
      <c r="EP79" s="659">
        <v>512.5</v>
      </c>
      <c r="EQ79" s="659">
        <v>542.20000000000005</v>
      </c>
      <c r="ER79" s="659">
        <v>542.20000000000005</v>
      </c>
      <c r="ES79" s="659">
        <v>544.70000000000005</v>
      </c>
      <c r="ET79" s="659">
        <v>544.70000000000005</v>
      </c>
      <c r="EU79" s="659">
        <v>555.4</v>
      </c>
      <c r="EV79" s="659">
        <v>555.4</v>
      </c>
      <c r="EW79" s="659">
        <v>585</v>
      </c>
      <c r="EX79" s="659">
        <v>585</v>
      </c>
      <c r="EY79" s="659">
        <v>591.29999999999995</v>
      </c>
      <c r="EZ79" s="783">
        <v>617.4</v>
      </c>
      <c r="FA79" s="659">
        <v>637</v>
      </c>
      <c r="FB79" s="659">
        <v>704.4</v>
      </c>
      <c r="FC79" s="659">
        <v>704.4</v>
      </c>
      <c r="FD79" s="659">
        <v>704.4</v>
      </c>
      <c r="FE79" s="659">
        <v>715</v>
      </c>
      <c r="FF79" s="659">
        <v>715</v>
      </c>
      <c r="FG79" s="659">
        <v>722.8</v>
      </c>
      <c r="FH79" s="659">
        <v>751.8</v>
      </c>
      <c r="FI79" s="659">
        <v>751.8</v>
      </c>
      <c r="FJ79" s="659">
        <v>751.8</v>
      </c>
      <c r="FK79" s="897">
        <v>775.2</v>
      </c>
      <c r="FL79" s="783">
        <v>775.4</v>
      </c>
      <c r="FM79" s="659">
        <v>775.4</v>
      </c>
      <c r="FN79" s="659">
        <v>847.9</v>
      </c>
      <c r="FO79" s="659">
        <v>847.9</v>
      </c>
      <c r="FP79" s="659">
        <v>847.9</v>
      </c>
      <c r="FQ79" s="659">
        <v>856.7</v>
      </c>
      <c r="FR79" s="659">
        <v>881.2</v>
      </c>
      <c r="FS79" s="659">
        <v>881</v>
      </c>
      <c r="FT79" s="659">
        <v>908.7</v>
      </c>
      <c r="FU79" s="897">
        <v>939.8</v>
      </c>
      <c r="FV79" s="1167">
        <f t="shared" si="0"/>
        <v>1.03422471662815</v>
      </c>
    </row>
    <row r="80" spans="1:178" s="115" customFormat="1" ht="18.95" customHeight="1">
      <c r="A80" s="1546">
        <v>1</v>
      </c>
      <c r="B80" s="644">
        <v>55</v>
      </c>
      <c r="C80" s="645" t="s">
        <v>86</v>
      </c>
      <c r="D80" s="646" t="s">
        <v>97</v>
      </c>
      <c r="E80" s="645" t="s">
        <v>918</v>
      </c>
      <c r="F80" s="646"/>
      <c r="G80" s="645" t="s">
        <v>929</v>
      </c>
      <c r="H80" s="645" t="s">
        <v>930</v>
      </c>
      <c r="I80" s="876" t="s">
        <v>921</v>
      </c>
      <c r="J80" s="869"/>
      <c r="K80" s="877">
        <v>98.4</v>
      </c>
      <c r="L80" s="878">
        <v>105</v>
      </c>
      <c r="M80" s="879">
        <v>126</v>
      </c>
      <c r="N80" s="879">
        <v>129.80000000000001</v>
      </c>
      <c r="O80" s="879">
        <v>140.4</v>
      </c>
      <c r="P80" s="879">
        <v>162.6</v>
      </c>
      <c r="Q80" s="879">
        <v>165.8</v>
      </c>
      <c r="R80" s="879">
        <v>166.4</v>
      </c>
      <c r="S80" s="879">
        <v>162.9</v>
      </c>
      <c r="T80" s="879">
        <v>161.5</v>
      </c>
      <c r="U80" s="879">
        <v>163.9</v>
      </c>
      <c r="V80" s="879">
        <v>162.9</v>
      </c>
      <c r="W80" s="879">
        <v>164.8</v>
      </c>
      <c r="X80" s="879">
        <v>163</v>
      </c>
      <c r="Y80" s="879">
        <v>161.9</v>
      </c>
      <c r="Z80" s="879">
        <v>163</v>
      </c>
      <c r="AA80" s="879">
        <v>162.19999999999999</v>
      </c>
      <c r="AB80" s="879">
        <v>161.1</v>
      </c>
      <c r="AC80" s="879">
        <v>162.6</v>
      </c>
      <c r="AD80" s="879">
        <v>163.5</v>
      </c>
      <c r="AE80" s="879">
        <v>165.4</v>
      </c>
      <c r="AF80" s="879">
        <v>165.3</v>
      </c>
      <c r="AG80" s="879">
        <v>165.1</v>
      </c>
      <c r="AH80" s="879">
        <v>165.1</v>
      </c>
      <c r="AI80" s="880">
        <v>167.1</v>
      </c>
      <c r="AJ80" s="881">
        <v>170</v>
      </c>
      <c r="AK80" s="879">
        <v>171.6</v>
      </c>
      <c r="AL80" s="879">
        <v>177.3</v>
      </c>
      <c r="AM80" s="879">
        <v>179.8</v>
      </c>
      <c r="AN80" s="879">
        <v>179.8</v>
      </c>
      <c r="AO80" s="879">
        <v>179.8</v>
      </c>
      <c r="AP80" s="879">
        <v>182.3</v>
      </c>
      <c r="AQ80" s="879">
        <v>184.1</v>
      </c>
      <c r="AR80" s="879">
        <v>190.9</v>
      </c>
      <c r="AS80" s="879">
        <v>190.9</v>
      </c>
      <c r="AT80" s="879">
        <v>194.5</v>
      </c>
      <c r="AU80" s="880">
        <v>199.1</v>
      </c>
      <c r="AV80" s="882">
        <v>206.4</v>
      </c>
      <c r="AW80" s="883">
        <v>212.9</v>
      </c>
      <c r="AX80" s="883">
        <v>215.2</v>
      </c>
      <c r="AY80" s="883">
        <v>215</v>
      </c>
      <c r="AZ80" s="883">
        <v>215</v>
      </c>
      <c r="BA80" s="883">
        <v>218.1</v>
      </c>
      <c r="BB80" s="883">
        <v>218.1</v>
      </c>
      <c r="BC80" s="884">
        <v>216.2</v>
      </c>
      <c r="BD80" s="883">
        <v>216.4</v>
      </c>
      <c r="BE80" s="884">
        <v>216.2</v>
      </c>
      <c r="BF80" s="884">
        <v>223.6</v>
      </c>
      <c r="BG80" s="885">
        <v>228.4</v>
      </c>
      <c r="BH80" s="886">
        <v>229.1</v>
      </c>
      <c r="BI80" s="887">
        <v>230.8</v>
      </c>
      <c r="BJ80" s="887">
        <v>230.8</v>
      </c>
      <c r="BK80" s="887">
        <v>232.4</v>
      </c>
      <c r="BL80" s="887">
        <v>232.4</v>
      </c>
      <c r="BM80" s="887">
        <v>233.4</v>
      </c>
      <c r="BN80" s="887">
        <v>238.5</v>
      </c>
      <c r="BO80" s="887">
        <v>243.3</v>
      </c>
      <c r="BP80" s="887">
        <v>245.4</v>
      </c>
      <c r="BQ80" s="887">
        <v>247.7</v>
      </c>
      <c r="BR80" s="887">
        <v>249</v>
      </c>
      <c r="BS80" s="888">
        <v>249</v>
      </c>
      <c r="BT80" s="886">
        <v>249</v>
      </c>
      <c r="BU80" s="887">
        <v>252.9</v>
      </c>
      <c r="BV80" s="887">
        <v>255.1</v>
      </c>
      <c r="BW80" s="887">
        <v>260.7</v>
      </c>
      <c r="BX80" s="887">
        <v>263.89999999999998</v>
      </c>
      <c r="BY80" s="887">
        <v>272.60000000000002</v>
      </c>
      <c r="BZ80" s="887">
        <v>282.5</v>
      </c>
      <c r="CA80" s="887">
        <v>290.5</v>
      </c>
      <c r="CB80" s="887">
        <v>299.60000000000002</v>
      </c>
      <c r="CC80" s="887">
        <v>299.60000000000002</v>
      </c>
      <c r="CD80" s="887">
        <v>299.8</v>
      </c>
      <c r="CE80" s="888">
        <v>303.89999999999998</v>
      </c>
      <c r="CF80" s="886">
        <v>310.2</v>
      </c>
      <c r="CG80" s="887">
        <v>313.3</v>
      </c>
      <c r="CH80" s="887">
        <v>333.5</v>
      </c>
      <c r="CI80" s="887">
        <v>335.2</v>
      </c>
      <c r="CJ80" s="887">
        <v>346.8</v>
      </c>
      <c r="CK80" s="887">
        <v>354.3</v>
      </c>
      <c r="CL80" s="887">
        <v>357.1</v>
      </c>
      <c r="CM80" s="887">
        <v>371.1</v>
      </c>
      <c r="CN80" s="887">
        <v>371.1</v>
      </c>
      <c r="CO80" s="887">
        <v>371.1</v>
      </c>
      <c r="CP80" s="887">
        <v>371.1</v>
      </c>
      <c r="CQ80" s="888">
        <v>371.1</v>
      </c>
      <c r="CR80" s="886">
        <v>371.1</v>
      </c>
      <c r="CS80" s="887">
        <v>350.4</v>
      </c>
      <c r="CT80" s="887">
        <v>336.9</v>
      </c>
      <c r="CU80" s="887">
        <v>336.9</v>
      </c>
      <c r="CV80" s="887">
        <v>336.9</v>
      </c>
      <c r="CW80" s="887">
        <v>336.9</v>
      </c>
      <c r="CX80" s="887">
        <v>336.9</v>
      </c>
      <c r="CY80" s="887">
        <v>355.9</v>
      </c>
      <c r="CZ80" s="887">
        <v>366.4</v>
      </c>
      <c r="DA80" s="887">
        <v>366.4</v>
      </c>
      <c r="DB80" s="889">
        <v>366.4</v>
      </c>
      <c r="DC80" s="888">
        <v>366.4</v>
      </c>
      <c r="DD80" s="890">
        <v>368.8</v>
      </c>
      <c r="DE80" s="887">
        <v>383.6</v>
      </c>
      <c r="DF80" s="889">
        <v>393.9</v>
      </c>
      <c r="DG80" s="888">
        <v>402.2</v>
      </c>
      <c r="DH80" s="887">
        <v>404.6</v>
      </c>
      <c r="DI80" s="887">
        <v>404.6</v>
      </c>
      <c r="DJ80" s="887">
        <v>419.5</v>
      </c>
      <c r="DK80" s="888">
        <v>419.5</v>
      </c>
      <c r="DL80" s="887">
        <v>419.6</v>
      </c>
      <c r="DM80" s="888">
        <v>422.9</v>
      </c>
      <c r="DN80" s="888">
        <v>429.1</v>
      </c>
      <c r="DO80" s="968">
        <v>427.8</v>
      </c>
      <c r="DP80" s="890">
        <v>426.2</v>
      </c>
      <c r="DQ80" s="888">
        <v>416</v>
      </c>
      <c r="DR80" s="888">
        <v>442.5</v>
      </c>
      <c r="DS80" s="888">
        <v>456.4</v>
      </c>
      <c r="DT80" s="887">
        <v>454.8</v>
      </c>
      <c r="DU80" s="888">
        <v>461.6</v>
      </c>
      <c r="DV80" s="888">
        <v>471</v>
      </c>
      <c r="DW80" s="888">
        <v>475.5</v>
      </c>
      <c r="DX80" s="888">
        <v>475.5</v>
      </c>
      <c r="DY80" s="888">
        <v>475.5</v>
      </c>
      <c r="DZ80" s="888">
        <v>480.8</v>
      </c>
      <c r="EA80" s="968">
        <v>484.2</v>
      </c>
      <c r="EB80" s="888">
        <v>486.8</v>
      </c>
      <c r="EC80" s="888">
        <v>511.7</v>
      </c>
      <c r="ED80" s="888">
        <v>511.7</v>
      </c>
      <c r="EE80" s="888">
        <v>516.5</v>
      </c>
      <c r="EF80" s="888">
        <v>529.1</v>
      </c>
      <c r="EG80" s="888">
        <v>563.9</v>
      </c>
      <c r="EH80" s="888">
        <v>575.29999999999995</v>
      </c>
      <c r="EI80" s="888">
        <v>583.9</v>
      </c>
      <c r="EJ80" s="888">
        <v>583.9</v>
      </c>
      <c r="EK80" s="887">
        <v>594.20000000000005</v>
      </c>
      <c r="EL80" s="889">
        <v>598.9</v>
      </c>
      <c r="EM80" s="888">
        <v>624.29999999999995</v>
      </c>
      <c r="EN80" s="890">
        <v>624.29999999999995</v>
      </c>
      <c r="EO80" s="888">
        <v>633.20000000000005</v>
      </c>
      <c r="EP80" s="888">
        <v>643</v>
      </c>
      <c r="EQ80" s="888">
        <v>657.9</v>
      </c>
      <c r="ER80" s="888">
        <v>678.4</v>
      </c>
      <c r="ES80" s="888">
        <v>704.1</v>
      </c>
      <c r="ET80" s="888">
        <v>711.3</v>
      </c>
      <c r="EU80" s="888">
        <v>716.5</v>
      </c>
      <c r="EV80" s="888">
        <v>721.5</v>
      </c>
      <c r="EW80" s="659">
        <v>734.7</v>
      </c>
      <c r="EX80" s="659">
        <v>755.4</v>
      </c>
      <c r="EY80" s="659">
        <v>786</v>
      </c>
      <c r="EZ80" s="783">
        <v>796.8</v>
      </c>
      <c r="FA80" s="659">
        <v>831.2</v>
      </c>
      <c r="FB80" s="659">
        <v>888.6</v>
      </c>
      <c r="FC80" s="659">
        <v>909.3</v>
      </c>
      <c r="FD80" s="659">
        <v>921.5</v>
      </c>
      <c r="FE80" s="659">
        <v>928.1</v>
      </c>
      <c r="FF80" s="659">
        <v>941.5</v>
      </c>
      <c r="FG80" s="659">
        <v>956.8</v>
      </c>
      <c r="FH80" s="659">
        <v>985.9</v>
      </c>
      <c r="FI80" s="659">
        <v>1009.2</v>
      </c>
      <c r="FJ80" s="659">
        <v>1009.1</v>
      </c>
      <c r="FK80" s="897">
        <v>1014.6</v>
      </c>
      <c r="FL80" s="783">
        <v>1023.7</v>
      </c>
      <c r="FM80" s="659">
        <v>1030.2</v>
      </c>
      <c r="FN80" s="659">
        <v>1059.5999999999999</v>
      </c>
      <c r="FO80" s="659">
        <v>1067.4000000000001</v>
      </c>
      <c r="FP80" s="659">
        <v>1085.7</v>
      </c>
      <c r="FQ80" s="659">
        <v>1099.9000000000001</v>
      </c>
      <c r="FR80" s="659">
        <v>1107.9000000000001</v>
      </c>
      <c r="FS80" s="659">
        <v>1141</v>
      </c>
      <c r="FT80" s="659">
        <v>1189.2</v>
      </c>
      <c r="FU80" s="897">
        <v>1212</v>
      </c>
      <c r="FV80" s="1167">
        <f t="shared" si="0"/>
        <v>1.019172552976791</v>
      </c>
    </row>
    <row r="81" spans="1:178" s="115" customFormat="1" ht="18.95" customHeight="1">
      <c r="A81" s="1546">
        <v>1</v>
      </c>
      <c r="B81" s="408">
        <v>56</v>
      </c>
      <c r="C81" s="621" t="s">
        <v>98</v>
      </c>
      <c r="D81" s="622" t="s">
        <v>99</v>
      </c>
      <c r="E81" s="621" t="s">
        <v>918</v>
      </c>
      <c r="F81" s="622"/>
      <c r="G81" s="621" t="s">
        <v>919</v>
      </c>
      <c r="H81" s="621" t="s">
        <v>920</v>
      </c>
      <c r="I81" s="390" t="s">
        <v>921</v>
      </c>
      <c r="J81" s="651"/>
      <c r="K81" s="669">
        <v>86.02</v>
      </c>
      <c r="L81" s="665">
        <v>96.02</v>
      </c>
      <c r="M81" s="625">
        <v>116.56</v>
      </c>
      <c r="N81" s="625">
        <v>120.9</v>
      </c>
      <c r="O81" s="625">
        <v>178.75</v>
      </c>
      <c r="P81" s="625">
        <v>184.92</v>
      </c>
      <c r="Q81" s="625">
        <v>187.96</v>
      </c>
      <c r="R81" s="625">
        <v>187.96</v>
      </c>
      <c r="S81" s="625">
        <v>187.96</v>
      </c>
      <c r="T81" s="625">
        <v>187.96</v>
      </c>
      <c r="U81" s="625">
        <v>187.96</v>
      </c>
      <c r="V81" s="625">
        <v>187.96</v>
      </c>
      <c r="W81" s="625">
        <v>187.96</v>
      </c>
      <c r="X81" s="625">
        <v>187.96</v>
      </c>
      <c r="Y81" s="625">
        <v>187.96</v>
      </c>
      <c r="Z81" s="625">
        <v>187.96</v>
      </c>
      <c r="AA81" s="625">
        <v>187.96</v>
      </c>
      <c r="AB81" s="625">
        <v>191.3</v>
      </c>
      <c r="AC81" s="625">
        <v>191.3</v>
      </c>
      <c r="AD81" s="625">
        <v>187.96</v>
      </c>
      <c r="AE81" s="625">
        <v>191.3</v>
      </c>
      <c r="AF81" s="625">
        <v>191.3</v>
      </c>
      <c r="AG81" s="625">
        <v>191.3</v>
      </c>
      <c r="AH81" s="625">
        <v>191.3</v>
      </c>
      <c r="AI81" s="764">
        <v>191.49</v>
      </c>
      <c r="AJ81" s="772">
        <v>191.49</v>
      </c>
      <c r="AK81" s="625">
        <v>191.49</v>
      </c>
      <c r="AL81" s="625">
        <v>199.28</v>
      </c>
      <c r="AM81" s="625">
        <v>199.28</v>
      </c>
      <c r="AN81" s="625">
        <v>193.04</v>
      </c>
      <c r="AO81" s="625">
        <v>193.04</v>
      </c>
      <c r="AP81" s="625">
        <v>198.38</v>
      </c>
      <c r="AQ81" s="625">
        <v>198.91</v>
      </c>
      <c r="AR81" s="625">
        <v>202.43</v>
      </c>
      <c r="AS81" s="625">
        <v>198.91</v>
      </c>
      <c r="AT81" s="625">
        <v>198.75</v>
      </c>
      <c r="AU81" s="764">
        <v>211.54</v>
      </c>
      <c r="AV81" s="752">
        <v>211.54</v>
      </c>
      <c r="AW81" s="626">
        <v>215.07</v>
      </c>
      <c r="AX81" s="626">
        <v>211.52</v>
      </c>
      <c r="AY81" s="626">
        <v>217.42</v>
      </c>
      <c r="AZ81" s="626">
        <v>217.42</v>
      </c>
      <c r="BA81" s="626">
        <v>221.92</v>
      </c>
      <c r="BB81" s="626">
        <v>221.92</v>
      </c>
      <c r="BC81" s="627">
        <v>221.92</v>
      </c>
      <c r="BD81" s="626">
        <v>221.92</v>
      </c>
      <c r="BE81" s="627">
        <v>221.92</v>
      </c>
      <c r="BF81" s="627">
        <v>234.64</v>
      </c>
      <c r="BG81" s="738">
        <v>234.65</v>
      </c>
      <c r="BH81" s="660">
        <v>234.65</v>
      </c>
      <c r="BI81" s="623">
        <v>234.64</v>
      </c>
      <c r="BJ81" s="623">
        <v>234.64</v>
      </c>
      <c r="BK81" s="623">
        <v>234.64</v>
      </c>
      <c r="BL81" s="623">
        <v>234.65</v>
      </c>
      <c r="BM81" s="623">
        <v>238.11</v>
      </c>
      <c r="BN81" s="623">
        <v>242.29</v>
      </c>
      <c r="BO81" s="623">
        <v>242.28</v>
      </c>
      <c r="BP81" s="623">
        <v>246.02</v>
      </c>
      <c r="BQ81" s="623">
        <v>262.95</v>
      </c>
      <c r="BR81" s="623">
        <v>262.94</v>
      </c>
      <c r="BS81" s="659">
        <v>262.95</v>
      </c>
      <c r="BT81" s="660">
        <v>262.95</v>
      </c>
      <c r="BU81" s="623">
        <v>262.95</v>
      </c>
      <c r="BV81" s="623">
        <v>262.95</v>
      </c>
      <c r="BW81" s="623">
        <v>265.2</v>
      </c>
      <c r="BX81" s="623">
        <v>286.58999999999997</v>
      </c>
      <c r="BY81" s="623">
        <v>286.58999999999997</v>
      </c>
      <c r="BZ81" s="623">
        <v>286.58999999999997</v>
      </c>
      <c r="CA81" s="623">
        <v>286.58999999999997</v>
      </c>
      <c r="CB81" s="623">
        <v>319.58999999999997</v>
      </c>
      <c r="CC81" s="623">
        <v>319.58999999999997</v>
      </c>
      <c r="CD81" s="623">
        <v>322.98</v>
      </c>
      <c r="CE81" s="659">
        <v>322.94</v>
      </c>
      <c r="CF81" s="660">
        <v>322.98</v>
      </c>
      <c r="CG81" s="623">
        <v>328.11</v>
      </c>
      <c r="CH81" s="623">
        <v>328.11</v>
      </c>
      <c r="CI81" s="623">
        <v>354.48</v>
      </c>
      <c r="CJ81" s="623">
        <v>356.74</v>
      </c>
      <c r="CK81" s="623">
        <v>356.74</v>
      </c>
      <c r="CL81" s="623">
        <v>356.74</v>
      </c>
      <c r="CM81" s="623">
        <v>360.08</v>
      </c>
      <c r="CN81" s="623">
        <v>362.95</v>
      </c>
      <c r="CO81" s="623">
        <v>373.11</v>
      </c>
      <c r="CP81" s="623">
        <v>373.11</v>
      </c>
      <c r="CQ81" s="659">
        <v>380.29</v>
      </c>
      <c r="CR81" s="660">
        <v>380.29</v>
      </c>
      <c r="CS81" s="623">
        <v>380.29</v>
      </c>
      <c r="CT81" s="623">
        <v>380.29</v>
      </c>
      <c r="CU81" s="623">
        <v>384.54</v>
      </c>
      <c r="CV81" s="623">
        <v>392.84</v>
      </c>
      <c r="CW81" s="623">
        <v>392.84</v>
      </c>
      <c r="CX81" s="623">
        <v>393.09</v>
      </c>
      <c r="CY81" s="623">
        <v>401.36</v>
      </c>
      <c r="CZ81" s="623">
        <v>401.36</v>
      </c>
      <c r="DA81" s="623">
        <v>409.31</v>
      </c>
      <c r="DB81" s="725">
        <v>409.31</v>
      </c>
      <c r="DC81" s="659">
        <v>409.31</v>
      </c>
      <c r="DD81" s="783">
        <v>419.17</v>
      </c>
      <c r="DE81" s="623">
        <v>419.17</v>
      </c>
      <c r="DF81" s="725">
        <v>416.25</v>
      </c>
      <c r="DG81" s="659">
        <v>416.25</v>
      </c>
      <c r="DH81" s="623">
        <v>420.72</v>
      </c>
      <c r="DI81" s="623">
        <v>416.71</v>
      </c>
      <c r="DJ81" s="623">
        <v>422.66</v>
      </c>
      <c r="DK81" s="659">
        <v>429</v>
      </c>
      <c r="DL81" s="623">
        <v>429.23</v>
      </c>
      <c r="DM81" s="659">
        <v>452.07</v>
      </c>
      <c r="DN81" s="659">
        <v>452.07</v>
      </c>
      <c r="DO81" s="897">
        <v>452.07</v>
      </c>
      <c r="DP81" s="783">
        <v>459.92</v>
      </c>
      <c r="DQ81" s="659">
        <v>459.92</v>
      </c>
      <c r="DR81" s="659">
        <v>466.85</v>
      </c>
      <c r="DS81" s="659">
        <v>479.29</v>
      </c>
      <c r="DT81" s="623">
        <v>479.29</v>
      </c>
      <c r="DU81" s="659">
        <v>479.29</v>
      </c>
      <c r="DV81" s="659">
        <v>486.75</v>
      </c>
      <c r="DW81" s="659">
        <v>494.87</v>
      </c>
      <c r="DX81" s="659">
        <v>495.7</v>
      </c>
      <c r="DY81" s="659">
        <v>502.99</v>
      </c>
      <c r="DZ81" s="659">
        <v>512.07000000000005</v>
      </c>
      <c r="EA81" s="897">
        <v>529.16999999999996</v>
      </c>
      <c r="EB81" s="659">
        <v>538.04</v>
      </c>
      <c r="EC81" s="659">
        <v>537.71</v>
      </c>
      <c r="ED81" s="659">
        <v>543.26</v>
      </c>
      <c r="EE81" s="659">
        <v>543.26</v>
      </c>
      <c r="EF81" s="659">
        <v>562.9</v>
      </c>
      <c r="EG81" s="659">
        <v>572.38</v>
      </c>
      <c r="EH81" s="659">
        <v>593.51</v>
      </c>
      <c r="EI81" s="659">
        <v>601.72</v>
      </c>
      <c r="EJ81" s="659">
        <v>623.57000000000005</v>
      </c>
      <c r="EK81" s="623">
        <v>623.57000000000005</v>
      </c>
      <c r="EL81" s="725">
        <v>623.57000000000005</v>
      </c>
      <c r="EM81" s="659">
        <v>623.57000000000005</v>
      </c>
      <c r="EN81" s="783">
        <v>631.28</v>
      </c>
      <c r="EO81" s="659">
        <v>634.75</v>
      </c>
      <c r="EP81" s="659">
        <v>631.16999999999996</v>
      </c>
      <c r="EQ81" s="659">
        <v>638.72</v>
      </c>
      <c r="ER81" s="659">
        <v>649.78</v>
      </c>
      <c r="ES81" s="659">
        <v>657.74</v>
      </c>
      <c r="ET81" s="659">
        <v>657.57</v>
      </c>
      <c r="EU81" s="659">
        <v>665.77</v>
      </c>
      <c r="EV81" s="659">
        <v>665.77</v>
      </c>
      <c r="EW81" s="659">
        <v>669.75</v>
      </c>
      <c r="EX81" s="888">
        <v>675.22</v>
      </c>
      <c r="EY81" s="888">
        <v>683.62</v>
      </c>
      <c r="EZ81" s="783">
        <v>720.04</v>
      </c>
      <c r="FA81" s="659">
        <v>744.59</v>
      </c>
      <c r="FB81" s="659">
        <v>757.39</v>
      </c>
      <c r="FC81" s="659">
        <v>779.55</v>
      </c>
      <c r="FD81" s="659">
        <v>789.74</v>
      </c>
      <c r="FE81" s="888">
        <v>809.89</v>
      </c>
      <c r="FF81" s="659">
        <v>816.49</v>
      </c>
      <c r="FG81" s="659">
        <v>824.49</v>
      </c>
      <c r="FH81" s="659">
        <v>835.82</v>
      </c>
      <c r="FI81" s="659">
        <v>856.84</v>
      </c>
      <c r="FJ81" s="659">
        <v>881.76</v>
      </c>
      <c r="FK81" s="897">
        <v>901.62</v>
      </c>
      <c r="FL81" s="783">
        <v>920.32</v>
      </c>
      <c r="FM81" s="659">
        <v>964.31</v>
      </c>
      <c r="FN81" s="659">
        <v>973.45</v>
      </c>
      <c r="FO81" s="659">
        <v>999.9</v>
      </c>
      <c r="FP81" s="659">
        <v>1009.77</v>
      </c>
      <c r="FQ81" s="659">
        <v>1018.17</v>
      </c>
      <c r="FR81" s="659">
        <v>1039.02</v>
      </c>
      <c r="FS81" s="659">
        <v>1055.82</v>
      </c>
      <c r="FT81" s="659">
        <v>1061.29</v>
      </c>
      <c r="FU81" s="897">
        <v>1107.3</v>
      </c>
      <c r="FV81" s="1167">
        <f t="shared" si="0"/>
        <v>1.0433529007151674</v>
      </c>
    </row>
    <row r="82" spans="1:178" s="115" customFormat="1" ht="28.5" customHeight="1" thickBot="1">
      <c r="A82" s="1546">
        <v>1</v>
      </c>
      <c r="B82" s="407">
        <v>57</v>
      </c>
      <c r="C82" s="636" t="s">
        <v>100</v>
      </c>
      <c r="D82" s="637" t="s">
        <v>101</v>
      </c>
      <c r="E82" s="636" t="s">
        <v>918</v>
      </c>
      <c r="F82" s="637"/>
      <c r="G82" s="636" t="s">
        <v>919</v>
      </c>
      <c r="H82" s="636" t="s">
        <v>920</v>
      </c>
      <c r="I82" s="638" t="s">
        <v>186</v>
      </c>
      <c r="J82" s="684"/>
      <c r="K82" s="670">
        <v>108.83</v>
      </c>
      <c r="L82" s="666">
        <v>129.03</v>
      </c>
      <c r="M82" s="639">
        <v>178.56</v>
      </c>
      <c r="N82" s="639">
        <v>181.56</v>
      </c>
      <c r="O82" s="639">
        <v>235.24</v>
      </c>
      <c r="P82" s="639">
        <v>250.09</v>
      </c>
      <c r="Q82" s="639">
        <v>285.36</v>
      </c>
      <c r="R82" s="639">
        <v>285.36</v>
      </c>
      <c r="S82" s="639">
        <v>265.57</v>
      </c>
      <c r="T82" s="639">
        <v>274.86</v>
      </c>
      <c r="U82" s="639">
        <v>272.95</v>
      </c>
      <c r="V82" s="639">
        <v>277.8</v>
      </c>
      <c r="W82" s="639">
        <v>280.02</v>
      </c>
      <c r="X82" s="639">
        <v>280.02</v>
      </c>
      <c r="Y82" s="639">
        <v>287.77999999999997</v>
      </c>
      <c r="Z82" s="639">
        <v>299.05</v>
      </c>
      <c r="AA82" s="639">
        <v>302.61</v>
      </c>
      <c r="AB82" s="639">
        <v>302.61</v>
      </c>
      <c r="AC82" s="639">
        <v>316.14999999999998</v>
      </c>
      <c r="AD82" s="639">
        <v>326.3</v>
      </c>
      <c r="AE82" s="639">
        <v>326.3</v>
      </c>
      <c r="AF82" s="639">
        <v>326.3</v>
      </c>
      <c r="AG82" s="639">
        <v>326.3</v>
      </c>
      <c r="AH82" s="639">
        <v>326.3</v>
      </c>
      <c r="AI82" s="765">
        <v>326.3</v>
      </c>
      <c r="AJ82" s="773">
        <v>330.9</v>
      </c>
      <c r="AK82" s="639">
        <v>334.05</v>
      </c>
      <c r="AL82" s="639">
        <v>334.06</v>
      </c>
      <c r="AM82" s="639">
        <v>354.41</v>
      </c>
      <c r="AN82" s="639">
        <v>354.41</v>
      </c>
      <c r="AO82" s="639">
        <v>364.34</v>
      </c>
      <c r="AP82" s="639">
        <v>364.34</v>
      </c>
      <c r="AQ82" s="639">
        <v>355.8</v>
      </c>
      <c r="AR82" s="639">
        <v>354.35</v>
      </c>
      <c r="AS82" s="639">
        <v>354.35</v>
      </c>
      <c r="AT82" s="639">
        <v>354.35</v>
      </c>
      <c r="AU82" s="765">
        <v>354.35</v>
      </c>
      <c r="AV82" s="768">
        <v>353.29</v>
      </c>
      <c r="AW82" s="640">
        <v>352.85</v>
      </c>
      <c r="AX82" s="640">
        <v>355.1</v>
      </c>
      <c r="AY82" s="640">
        <v>355.1</v>
      </c>
      <c r="AZ82" s="640">
        <v>355.1</v>
      </c>
      <c r="BA82" s="640">
        <v>352.34</v>
      </c>
      <c r="BB82" s="640">
        <v>340.55</v>
      </c>
      <c r="BC82" s="641">
        <v>340.59</v>
      </c>
      <c r="BD82" s="640">
        <v>340.59</v>
      </c>
      <c r="BE82" s="641">
        <v>340.59</v>
      </c>
      <c r="BF82" s="641">
        <v>356.34</v>
      </c>
      <c r="BG82" s="751">
        <v>364.32</v>
      </c>
      <c r="BH82" s="661">
        <v>364.32</v>
      </c>
      <c r="BI82" s="642">
        <v>364.32</v>
      </c>
      <c r="BJ82" s="642">
        <v>362.64</v>
      </c>
      <c r="BK82" s="642">
        <v>362.66</v>
      </c>
      <c r="BL82" s="642">
        <v>369.95</v>
      </c>
      <c r="BM82" s="642">
        <v>373.72</v>
      </c>
      <c r="BN82" s="642">
        <v>373.72</v>
      </c>
      <c r="BO82" s="642">
        <v>373.72</v>
      </c>
      <c r="BP82" s="642">
        <v>373.72</v>
      </c>
      <c r="BQ82" s="642">
        <v>373.72</v>
      </c>
      <c r="BR82" s="642">
        <v>376.83</v>
      </c>
      <c r="BS82" s="736">
        <v>379.58</v>
      </c>
      <c r="BT82" s="661">
        <v>388.2</v>
      </c>
      <c r="BU82" s="642">
        <v>388.2</v>
      </c>
      <c r="BV82" s="642">
        <v>389.65</v>
      </c>
      <c r="BW82" s="642">
        <v>389.65</v>
      </c>
      <c r="BX82" s="642">
        <v>398.89</v>
      </c>
      <c r="BY82" s="642">
        <v>398.89</v>
      </c>
      <c r="BZ82" s="642">
        <v>402.75</v>
      </c>
      <c r="CA82" s="642">
        <v>407.83</v>
      </c>
      <c r="CB82" s="642">
        <v>418.12</v>
      </c>
      <c r="CC82" s="642">
        <v>421.51</v>
      </c>
      <c r="CD82" s="642">
        <v>432.17</v>
      </c>
      <c r="CE82" s="736">
        <v>443.93</v>
      </c>
      <c r="CF82" s="661">
        <v>450.8</v>
      </c>
      <c r="CG82" s="642">
        <v>472.7</v>
      </c>
      <c r="CH82" s="642">
        <v>494.79</v>
      </c>
      <c r="CI82" s="642">
        <v>511.84</v>
      </c>
      <c r="CJ82" s="642">
        <v>516.33000000000004</v>
      </c>
      <c r="CK82" s="642">
        <v>542.24</v>
      </c>
      <c r="CL82" s="642">
        <v>573.32000000000005</v>
      </c>
      <c r="CM82" s="642">
        <v>594.30999999999995</v>
      </c>
      <c r="CN82" s="642">
        <v>597.74</v>
      </c>
      <c r="CO82" s="642">
        <v>601.69000000000005</v>
      </c>
      <c r="CP82" s="642">
        <v>601.69000000000005</v>
      </c>
      <c r="CQ82" s="736">
        <v>601.69000000000005</v>
      </c>
      <c r="CR82" s="661">
        <v>606.72</v>
      </c>
      <c r="CS82" s="642">
        <v>606.72</v>
      </c>
      <c r="CT82" s="642">
        <v>606.72</v>
      </c>
      <c r="CU82" s="642">
        <v>606.72</v>
      </c>
      <c r="CV82" s="642">
        <v>606.72</v>
      </c>
      <c r="CW82" s="642">
        <v>597.44000000000005</v>
      </c>
      <c r="CX82" s="642">
        <v>601.76</v>
      </c>
      <c r="CY82" s="642">
        <v>607.69000000000005</v>
      </c>
      <c r="CZ82" s="642">
        <v>618.11</v>
      </c>
      <c r="DA82" s="642">
        <v>623.05999999999995</v>
      </c>
      <c r="DB82" s="726">
        <v>627.63</v>
      </c>
      <c r="DC82" s="736">
        <v>632.29</v>
      </c>
      <c r="DD82" s="784">
        <v>635.08000000000004</v>
      </c>
      <c r="DE82" s="642">
        <v>653.88</v>
      </c>
      <c r="DF82" s="726">
        <v>677.44</v>
      </c>
      <c r="DG82" s="736">
        <v>683.99</v>
      </c>
      <c r="DH82" s="642">
        <v>690.68</v>
      </c>
      <c r="DI82" s="642">
        <v>694.84</v>
      </c>
      <c r="DJ82" s="642">
        <v>700.45</v>
      </c>
      <c r="DK82" s="736">
        <v>706.13</v>
      </c>
      <c r="DL82" s="642">
        <v>709.07</v>
      </c>
      <c r="DM82" s="736">
        <v>768.17</v>
      </c>
      <c r="DN82" s="736">
        <v>779.66</v>
      </c>
      <c r="DO82" s="901">
        <v>815.07</v>
      </c>
      <c r="DP82" s="784">
        <v>815.07</v>
      </c>
      <c r="DQ82" s="736">
        <v>817.97</v>
      </c>
      <c r="DR82" s="736">
        <v>826.52</v>
      </c>
      <c r="DS82" s="736">
        <v>829.12</v>
      </c>
      <c r="DT82" s="642">
        <v>832.09</v>
      </c>
      <c r="DU82" s="736">
        <v>838.7</v>
      </c>
      <c r="DV82" s="736">
        <v>867.95</v>
      </c>
      <c r="DW82" s="736">
        <v>872.71</v>
      </c>
      <c r="DX82" s="736">
        <v>886.11</v>
      </c>
      <c r="DY82" s="736">
        <v>891.27</v>
      </c>
      <c r="DZ82" s="736">
        <v>920.2</v>
      </c>
      <c r="EA82" s="901">
        <v>922.43</v>
      </c>
      <c r="EB82" s="736">
        <v>923.87</v>
      </c>
      <c r="EC82" s="736">
        <v>926.64</v>
      </c>
      <c r="ED82" s="736">
        <v>927.7</v>
      </c>
      <c r="EE82" s="736">
        <v>963</v>
      </c>
      <c r="EF82" s="736">
        <v>965.8</v>
      </c>
      <c r="EG82" s="736">
        <v>968.82</v>
      </c>
      <c r="EH82" s="736">
        <v>971.8</v>
      </c>
      <c r="EI82" s="736">
        <v>983.19</v>
      </c>
      <c r="EJ82" s="736">
        <v>997.65</v>
      </c>
      <c r="EK82" s="642">
        <v>1008.23</v>
      </c>
      <c r="EL82" s="726">
        <v>1011.33</v>
      </c>
      <c r="EM82" s="736">
        <v>1014.32</v>
      </c>
      <c r="EN82" s="784">
        <v>1038.02</v>
      </c>
      <c r="EO82" s="736">
        <v>1041.07</v>
      </c>
      <c r="EP82" s="736">
        <v>1044.21</v>
      </c>
      <c r="EQ82" s="736">
        <v>1047.4100000000001</v>
      </c>
      <c r="ER82" s="736">
        <v>1050.6500000000001</v>
      </c>
      <c r="ES82" s="736">
        <v>1062.6600000000001</v>
      </c>
      <c r="ET82" s="736">
        <v>1090.79</v>
      </c>
      <c r="EU82" s="736">
        <v>1098.76</v>
      </c>
      <c r="EV82" s="736">
        <v>1102.1400000000001</v>
      </c>
      <c r="EW82" s="736">
        <v>1105.53</v>
      </c>
      <c r="EX82" s="736">
        <v>1108.92</v>
      </c>
      <c r="EY82" s="736">
        <v>1151.75</v>
      </c>
      <c r="EZ82" s="784">
        <v>1168.03</v>
      </c>
      <c r="FA82" s="736">
        <v>1259.2</v>
      </c>
      <c r="FB82" s="736">
        <v>1292.57</v>
      </c>
      <c r="FC82" s="736">
        <v>1301.28</v>
      </c>
      <c r="FD82" s="736">
        <v>1306.1199999999999</v>
      </c>
      <c r="FE82" s="736">
        <v>1309.99</v>
      </c>
      <c r="FF82" s="736">
        <v>1320.46</v>
      </c>
      <c r="FG82" s="736">
        <v>1324.33</v>
      </c>
      <c r="FH82" s="736">
        <v>1339.2</v>
      </c>
      <c r="FI82" s="736">
        <v>1380.74</v>
      </c>
      <c r="FJ82" s="736">
        <v>1424.91</v>
      </c>
      <c r="FK82" s="901">
        <v>1449.17</v>
      </c>
      <c r="FL82" s="784">
        <v>1449.17</v>
      </c>
      <c r="FM82" s="736">
        <v>1476.58</v>
      </c>
      <c r="FN82" s="736">
        <v>1481.42</v>
      </c>
      <c r="FO82" s="736">
        <v>1486.26</v>
      </c>
      <c r="FP82" s="736">
        <v>1503.19</v>
      </c>
      <c r="FQ82" s="736">
        <v>1506.58</v>
      </c>
      <c r="FR82" s="736">
        <v>1537.5</v>
      </c>
      <c r="FS82" s="736">
        <v>1556.82</v>
      </c>
      <c r="FT82" s="736">
        <v>1578.91</v>
      </c>
      <c r="FU82" s="901">
        <v>1592.22</v>
      </c>
      <c r="FV82" s="1167">
        <f t="shared" si="0"/>
        <v>1.0084298661734994</v>
      </c>
    </row>
    <row r="83" spans="1:178" s="115" customFormat="1" ht="30.75" customHeight="1">
      <c r="A83" s="1546">
        <v>1</v>
      </c>
      <c r="B83" s="613">
        <v>58</v>
      </c>
      <c r="C83" s="614" t="s">
        <v>102</v>
      </c>
      <c r="D83" s="615" t="s">
        <v>103</v>
      </c>
      <c r="E83" s="614" t="s">
        <v>918</v>
      </c>
      <c r="F83" s="615"/>
      <c r="G83" s="614" t="s">
        <v>919</v>
      </c>
      <c r="H83" s="614" t="s">
        <v>920</v>
      </c>
      <c r="I83" s="647" t="s">
        <v>129</v>
      </c>
      <c r="J83" s="835" t="s">
        <v>104</v>
      </c>
      <c r="K83" s="671">
        <v>85.46</v>
      </c>
      <c r="L83" s="667">
        <v>99.61</v>
      </c>
      <c r="M83" s="618">
        <v>114.83</v>
      </c>
      <c r="N83" s="618">
        <v>141.13999999999999</v>
      </c>
      <c r="O83" s="618">
        <v>181.19</v>
      </c>
      <c r="P83" s="618">
        <v>211.93</v>
      </c>
      <c r="Q83" s="618">
        <v>239.63</v>
      </c>
      <c r="R83" s="618">
        <v>253.18</v>
      </c>
      <c r="S83" s="618">
        <v>255.05</v>
      </c>
      <c r="T83" s="618">
        <v>255.17</v>
      </c>
      <c r="U83" s="618">
        <v>259.27</v>
      </c>
      <c r="V83" s="618">
        <v>249.1</v>
      </c>
      <c r="W83" s="618">
        <v>248.32</v>
      </c>
      <c r="X83" s="618">
        <v>237.61</v>
      </c>
      <c r="Y83" s="618">
        <v>234.6</v>
      </c>
      <c r="Z83" s="618">
        <v>236.09</v>
      </c>
      <c r="AA83" s="618">
        <v>232.22</v>
      </c>
      <c r="AB83" s="618">
        <v>224.6</v>
      </c>
      <c r="AC83" s="618">
        <v>225</v>
      </c>
      <c r="AD83" s="618">
        <v>222.45</v>
      </c>
      <c r="AE83" s="618">
        <v>228.52</v>
      </c>
      <c r="AF83" s="618">
        <v>228.87</v>
      </c>
      <c r="AG83" s="618">
        <v>225.91</v>
      </c>
      <c r="AH83" s="618">
        <v>228.07</v>
      </c>
      <c r="AI83" s="766">
        <v>232.46</v>
      </c>
      <c r="AJ83" s="774">
        <v>229.05</v>
      </c>
      <c r="AK83" s="618">
        <v>240.63</v>
      </c>
      <c r="AL83" s="618">
        <v>242.79</v>
      </c>
      <c r="AM83" s="618">
        <v>238.66</v>
      </c>
      <c r="AN83" s="618">
        <v>267.77</v>
      </c>
      <c r="AO83" s="618">
        <v>270.92</v>
      </c>
      <c r="AP83" s="618">
        <v>280.63</v>
      </c>
      <c r="AQ83" s="618">
        <v>286.05</v>
      </c>
      <c r="AR83" s="618">
        <v>282.83999999999997</v>
      </c>
      <c r="AS83" s="618">
        <v>295.39</v>
      </c>
      <c r="AT83" s="618">
        <v>297.23</v>
      </c>
      <c r="AU83" s="766">
        <v>298.72000000000003</v>
      </c>
      <c r="AV83" s="769">
        <v>296.95</v>
      </c>
      <c r="AW83" s="619">
        <v>294.83</v>
      </c>
      <c r="AX83" s="619">
        <v>295.88</v>
      </c>
      <c r="AY83" s="619">
        <v>295.26</v>
      </c>
      <c r="AZ83" s="619">
        <v>295.47000000000003</v>
      </c>
      <c r="BA83" s="619">
        <v>293.89</v>
      </c>
      <c r="BB83" s="619">
        <v>293.12</v>
      </c>
      <c r="BC83" s="620">
        <v>289.22000000000003</v>
      </c>
      <c r="BD83" s="619">
        <v>291.52999999999997</v>
      </c>
      <c r="BE83" s="620">
        <v>295.52999999999997</v>
      </c>
      <c r="BF83" s="620">
        <v>295.83</v>
      </c>
      <c r="BG83" s="750">
        <v>300.95</v>
      </c>
      <c r="BH83" s="662">
        <v>304</v>
      </c>
      <c r="BI83" s="617">
        <v>306.85000000000002</v>
      </c>
      <c r="BJ83" s="617">
        <v>308.5</v>
      </c>
      <c r="BK83" s="617">
        <v>316.7</v>
      </c>
      <c r="BL83" s="617">
        <v>316.41000000000003</v>
      </c>
      <c r="BM83" s="617">
        <v>317.72000000000003</v>
      </c>
      <c r="BN83" s="617">
        <v>318.88</v>
      </c>
      <c r="BO83" s="617">
        <v>334.13</v>
      </c>
      <c r="BP83" s="617">
        <v>336.9</v>
      </c>
      <c r="BQ83" s="617">
        <v>337.35</v>
      </c>
      <c r="BR83" s="617">
        <v>339.21</v>
      </c>
      <c r="BS83" s="737">
        <v>343.56</v>
      </c>
      <c r="BT83" s="662">
        <v>352.16</v>
      </c>
      <c r="BU83" s="617">
        <v>354.75</v>
      </c>
      <c r="BV83" s="617">
        <v>358.46</v>
      </c>
      <c r="BW83" s="617">
        <v>365.4</v>
      </c>
      <c r="BX83" s="617">
        <v>367.07</v>
      </c>
      <c r="BY83" s="617">
        <v>369.36</v>
      </c>
      <c r="BZ83" s="617">
        <v>377.73</v>
      </c>
      <c r="CA83" s="617">
        <v>382.07</v>
      </c>
      <c r="CB83" s="617">
        <v>385.52</v>
      </c>
      <c r="CC83" s="617">
        <v>388.96</v>
      </c>
      <c r="CD83" s="617">
        <v>397.05</v>
      </c>
      <c r="CE83" s="737">
        <v>398.47</v>
      </c>
      <c r="CF83" s="662">
        <v>419.8</v>
      </c>
      <c r="CG83" s="617">
        <v>430.29</v>
      </c>
      <c r="CH83" s="617">
        <v>443.98</v>
      </c>
      <c r="CI83" s="617">
        <v>451.32</v>
      </c>
      <c r="CJ83" s="617">
        <v>467.68</v>
      </c>
      <c r="CK83" s="617">
        <v>481.9</v>
      </c>
      <c r="CL83" s="617">
        <v>483.92</v>
      </c>
      <c r="CM83" s="617">
        <v>498.56</v>
      </c>
      <c r="CN83" s="617">
        <v>507.68</v>
      </c>
      <c r="CO83" s="617">
        <v>521.17999999999995</v>
      </c>
      <c r="CP83" s="617">
        <v>525.36</v>
      </c>
      <c r="CQ83" s="737">
        <v>516.92999999999995</v>
      </c>
      <c r="CR83" s="662">
        <v>509.23</v>
      </c>
      <c r="CS83" s="617">
        <v>505.33</v>
      </c>
      <c r="CT83" s="617">
        <v>504.35</v>
      </c>
      <c r="CU83" s="617">
        <v>495.54</v>
      </c>
      <c r="CV83" s="617">
        <v>493.62</v>
      </c>
      <c r="CW83" s="617">
        <v>489.22</v>
      </c>
      <c r="CX83" s="617">
        <v>497.27</v>
      </c>
      <c r="CY83" s="617">
        <v>496.83</v>
      </c>
      <c r="CZ83" s="617">
        <v>508.33</v>
      </c>
      <c r="DA83" s="617">
        <v>511.32</v>
      </c>
      <c r="DB83" s="798">
        <v>519.62</v>
      </c>
      <c r="DC83" s="737">
        <v>521.03</v>
      </c>
      <c r="DD83" s="786">
        <v>533.16</v>
      </c>
      <c r="DE83" s="617">
        <v>541.41999999999996</v>
      </c>
      <c r="DF83" s="798">
        <v>541.29</v>
      </c>
      <c r="DG83" s="737">
        <v>546.76</v>
      </c>
      <c r="DH83" s="617">
        <v>562.14</v>
      </c>
      <c r="DI83" s="617">
        <v>577.71</v>
      </c>
      <c r="DJ83" s="617">
        <v>579.42999999999995</v>
      </c>
      <c r="DK83" s="737">
        <v>554</v>
      </c>
      <c r="DL83" s="617">
        <v>556.15</v>
      </c>
      <c r="DM83" s="737">
        <v>557.89</v>
      </c>
      <c r="DN83" s="737">
        <v>557.91999999999996</v>
      </c>
      <c r="DO83" s="916">
        <v>560.63</v>
      </c>
      <c r="DP83" s="786">
        <v>562.08000000000004</v>
      </c>
      <c r="DQ83" s="737">
        <v>562.24</v>
      </c>
      <c r="DR83" s="737">
        <v>568.03</v>
      </c>
      <c r="DS83" s="737">
        <v>572.91999999999996</v>
      </c>
      <c r="DT83" s="617">
        <v>578.1</v>
      </c>
      <c r="DU83" s="737">
        <v>583.58000000000004</v>
      </c>
      <c r="DV83" s="737">
        <v>586.09</v>
      </c>
      <c r="DW83" s="737">
        <v>599.38</v>
      </c>
      <c r="DX83" s="737">
        <v>603.35</v>
      </c>
      <c r="DY83" s="737">
        <v>605.51</v>
      </c>
      <c r="DZ83" s="737">
        <v>603.41999999999996</v>
      </c>
      <c r="EA83" s="916">
        <v>603.75</v>
      </c>
      <c r="EB83" s="737">
        <v>606.04</v>
      </c>
      <c r="EC83" s="737">
        <v>606.41</v>
      </c>
      <c r="ED83" s="737">
        <v>607.54999999999995</v>
      </c>
      <c r="EE83" s="737">
        <v>609.28</v>
      </c>
      <c r="EF83" s="737">
        <v>611.51</v>
      </c>
      <c r="EG83" s="737">
        <v>624.03</v>
      </c>
      <c r="EH83" s="737">
        <v>641.24</v>
      </c>
      <c r="EI83" s="737">
        <v>646.97</v>
      </c>
      <c r="EJ83" s="737">
        <v>660.66</v>
      </c>
      <c r="EK83" s="617">
        <v>668.25</v>
      </c>
      <c r="EL83" s="798">
        <v>670.69</v>
      </c>
      <c r="EM83" s="737">
        <v>673.15</v>
      </c>
      <c r="EN83" s="786">
        <v>680.74</v>
      </c>
      <c r="EO83" s="737">
        <v>687.67</v>
      </c>
      <c r="EP83" s="737">
        <v>695.23</v>
      </c>
      <c r="EQ83" s="737">
        <v>700.9</v>
      </c>
      <c r="ER83" s="737">
        <v>712.25</v>
      </c>
      <c r="ES83" s="737">
        <v>721.46</v>
      </c>
      <c r="ET83" s="737">
        <v>730.87</v>
      </c>
      <c r="EU83" s="737">
        <v>747.23</v>
      </c>
      <c r="EV83" s="737">
        <v>761.82</v>
      </c>
      <c r="EW83" s="906">
        <v>773.76</v>
      </c>
      <c r="EX83" s="906">
        <v>785.74</v>
      </c>
      <c r="EY83" s="906">
        <v>817.01</v>
      </c>
      <c r="EZ83" s="1013">
        <v>852.8</v>
      </c>
      <c r="FA83" s="737">
        <v>880.8</v>
      </c>
      <c r="FB83" s="737">
        <v>907.89</v>
      </c>
      <c r="FC83" s="906">
        <v>921.86</v>
      </c>
      <c r="FD83" s="906">
        <v>941.01</v>
      </c>
      <c r="FE83" s="906">
        <v>959.07</v>
      </c>
      <c r="FF83" s="906">
        <v>960.63</v>
      </c>
      <c r="FG83" s="906">
        <v>972.31</v>
      </c>
      <c r="FH83" s="906">
        <v>991.36</v>
      </c>
      <c r="FI83" s="906">
        <v>987.92</v>
      </c>
      <c r="FJ83" s="906">
        <v>996.74</v>
      </c>
      <c r="FK83" s="899">
        <v>1000.35</v>
      </c>
      <c r="FL83" s="1013">
        <v>995.35</v>
      </c>
      <c r="FM83" s="906">
        <v>1002.75</v>
      </c>
      <c r="FN83" s="906">
        <v>1007.14</v>
      </c>
      <c r="FO83" s="906">
        <v>1009.82</v>
      </c>
      <c r="FP83" s="906">
        <v>1021.22</v>
      </c>
      <c r="FQ83" s="906">
        <v>1030.7</v>
      </c>
      <c r="FR83" s="906">
        <v>1040.3800000000001</v>
      </c>
      <c r="FS83" s="906">
        <v>1064.8699999999999</v>
      </c>
      <c r="FT83" s="906">
        <v>1087.4100000000001</v>
      </c>
      <c r="FU83" s="899">
        <v>1100.8599999999999</v>
      </c>
      <c r="FV83" s="1167">
        <f t="shared" si="0"/>
        <v>1.0123688397200685</v>
      </c>
    </row>
    <row r="84" spans="1:178" s="115" customFormat="1" ht="36" customHeight="1">
      <c r="A84" s="1546">
        <v>1</v>
      </c>
      <c r="B84" s="408">
        <v>59</v>
      </c>
      <c r="C84" s="621" t="s">
        <v>148</v>
      </c>
      <c r="D84" s="622" t="s">
        <v>149</v>
      </c>
      <c r="E84" s="621" t="s">
        <v>918</v>
      </c>
      <c r="F84" s="622"/>
      <c r="G84" s="621" t="s">
        <v>919</v>
      </c>
      <c r="H84" s="621" t="s">
        <v>510</v>
      </c>
      <c r="I84" s="390" t="s">
        <v>426</v>
      </c>
      <c r="J84" s="651"/>
      <c r="K84" s="669">
        <v>89.99</v>
      </c>
      <c r="L84" s="665">
        <v>108.11</v>
      </c>
      <c r="M84" s="625">
        <v>119.74</v>
      </c>
      <c r="N84" s="625">
        <v>119.74</v>
      </c>
      <c r="O84" s="625">
        <v>138.38</v>
      </c>
      <c r="P84" s="625">
        <v>200.07</v>
      </c>
      <c r="Q84" s="625">
        <v>201.97</v>
      </c>
      <c r="R84" s="625">
        <v>203.76</v>
      </c>
      <c r="S84" s="625">
        <v>203.76</v>
      </c>
      <c r="T84" s="625">
        <v>204.43</v>
      </c>
      <c r="U84" s="625">
        <v>205.12</v>
      </c>
      <c r="V84" s="625">
        <v>202.68</v>
      </c>
      <c r="W84" s="625">
        <v>200.95</v>
      </c>
      <c r="X84" s="625">
        <v>197.81</v>
      </c>
      <c r="Y84" s="625">
        <v>183</v>
      </c>
      <c r="Z84" s="625">
        <v>194.26</v>
      </c>
      <c r="AA84" s="625">
        <v>190.04</v>
      </c>
      <c r="AB84" s="625">
        <v>186.93</v>
      </c>
      <c r="AC84" s="625">
        <v>187.37</v>
      </c>
      <c r="AD84" s="625">
        <v>186.26</v>
      </c>
      <c r="AE84" s="625">
        <v>189.15</v>
      </c>
      <c r="AF84" s="625">
        <v>189.15</v>
      </c>
      <c r="AG84" s="625">
        <v>187.81</v>
      </c>
      <c r="AH84" s="625">
        <v>188.26</v>
      </c>
      <c r="AI84" s="764">
        <v>190.26</v>
      </c>
      <c r="AJ84" s="772">
        <v>195.92</v>
      </c>
      <c r="AK84" s="625">
        <v>195.92</v>
      </c>
      <c r="AL84" s="625">
        <v>195.92</v>
      </c>
      <c r="AM84" s="625">
        <v>202.37</v>
      </c>
      <c r="AN84" s="625">
        <v>202.37</v>
      </c>
      <c r="AO84" s="625">
        <v>202.37</v>
      </c>
      <c r="AP84" s="625">
        <v>202.37</v>
      </c>
      <c r="AQ84" s="625">
        <v>200.87</v>
      </c>
      <c r="AR84" s="625">
        <v>200.87</v>
      </c>
      <c r="AS84" s="625">
        <v>200.87</v>
      </c>
      <c r="AT84" s="625">
        <v>204.77</v>
      </c>
      <c r="AU84" s="764">
        <v>204.77</v>
      </c>
      <c r="AV84" s="752">
        <v>204.77</v>
      </c>
      <c r="AW84" s="626">
        <v>209.69</v>
      </c>
      <c r="AX84" s="626">
        <v>210.53</v>
      </c>
      <c r="AY84" s="626">
        <v>210.53</v>
      </c>
      <c r="AZ84" s="626">
        <v>210.53</v>
      </c>
      <c r="BA84" s="626">
        <v>210.53</v>
      </c>
      <c r="BB84" s="626">
        <v>212.25</v>
      </c>
      <c r="BC84" s="627">
        <v>214.42</v>
      </c>
      <c r="BD84" s="626">
        <v>217.39</v>
      </c>
      <c r="BE84" s="627">
        <v>217.39</v>
      </c>
      <c r="BF84" s="627">
        <v>221.38</v>
      </c>
      <c r="BG84" s="738">
        <v>222.27</v>
      </c>
      <c r="BH84" s="660">
        <v>222.27</v>
      </c>
      <c r="BI84" s="623">
        <v>230.6</v>
      </c>
      <c r="BJ84" s="623">
        <v>230.6</v>
      </c>
      <c r="BK84" s="623">
        <v>230.6</v>
      </c>
      <c r="BL84" s="623">
        <v>240.58</v>
      </c>
      <c r="BM84" s="623">
        <v>240.58</v>
      </c>
      <c r="BN84" s="623">
        <v>242.62</v>
      </c>
      <c r="BO84" s="623">
        <v>246.77</v>
      </c>
      <c r="BP84" s="623">
        <v>246.77</v>
      </c>
      <c r="BQ84" s="623">
        <v>246.77</v>
      </c>
      <c r="BR84" s="623">
        <v>246.77</v>
      </c>
      <c r="BS84" s="659">
        <v>246.77</v>
      </c>
      <c r="BT84" s="660">
        <v>246.77</v>
      </c>
      <c r="BU84" s="623">
        <v>246.77</v>
      </c>
      <c r="BV84" s="623">
        <v>249.82</v>
      </c>
      <c r="BW84" s="623">
        <v>249.82</v>
      </c>
      <c r="BX84" s="623">
        <v>256.10000000000002</v>
      </c>
      <c r="BY84" s="623">
        <v>261.83999999999997</v>
      </c>
      <c r="BZ84" s="623">
        <v>261.83999999999997</v>
      </c>
      <c r="CA84" s="623">
        <v>261.83999999999997</v>
      </c>
      <c r="CB84" s="623">
        <v>262.39999999999998</v>
      </c>
      <c r="CC84" s="623">
        <v>267.87</v>
      </c>
      <c r="CD84" s="623">
        <v>274.64</v>
      </c>
      <c r="CE84" s="659">
        <v>274.64</v>
      </c>
      <c r="CF84" s="660">
        <v>274.64</v>
      </c>
      <c r="CG84" s="623">
        <v>283.23</v>
      </c>
      <c r="CH84" s="623">
        <v>283.23</v>
      </c>
      <c r="CI84" s="623">
        <v>283.23</v>
      </c>
      <c r="CJ84" s="623">
        <v>284.26</v>
      </c>
      <c r="CK84" s="623">
        <v>296.55</v>
      </c>
      <c r="CL84" s="623">
        <v>302.12</v>
      </c>
      <c r="CM84" s="623">
        <v>302.12</v>
      </c>
      <c r="CN84" s="623">
        <v>302.12</v>
      </c>
      <c r="CO84" s="623">
        <v>302.12</v>
      </c>
      <c r="CP84" s="623">
        <v>302.12</v>
      </c>
      <c r="CQ84" s="659">
        <v>302.12</v>
      </c>
      <c r="CR84" s="660">
        <v>302.12</v>
      </c>
      <c r="CS84" s="623">
        <v>302.12</v>
      </c>
      <c r="CT84" s="623">
        <v>302.12</v>
      </c>
      <c r="CU84" s="623">
        <v>302.12</v>
      </c>
      <c r="CV84" s="623">
        <v>302.12</v>
      </c>
      <c r="CW84" s="623">
        <v>302.12</v>
      </c>
      <c r="CX84" s="623">
        <v>302.12</v>
      </c>
      <c r="CY84" s="623">
        <v>295.89999999999998</v>
      </c>
      <c r="CZ84" s="623">
        <v>295.89999999999998</v>
      </c>
      <c r="DA84" s="623">
        <v>308.31</v>
      </c>
      <c r="DB84" s="725">
        <v>308.31</v>
      </c>
      <c r="DC84" s="659">
        <v>308.31</v>
      </c>
      <c r="DD84" s="783">
        <v>308.31</v>
      </c>
      <c r="DE84" s="623">
        <v>312.5</v>
      </c>
      <c r="DF84" s="725">
        <v>317.86</v>
      </c>
      <c r="DG84" s="659">
        <v>317.86</v>
      </c>
      <c r="DH84" s="623">
        <v>334.74</v>
      </c>
      <c r="DI84" s="623">
        <v>342.11</v>
      </c>
      <c r="DJ84" s="623">
        <v>342.17</v>
      </c>
      <c r="DK84" s="659">
        <v>360.94</v>
      </c>
      <c r="DL84" s="623">
        <v>362.43</v>
      </c>
      <c r="DM84" s="659">
        <v>373.21</v>
      </c>
      <c r="DN84" s="659">
        <v>373.21</v>
      </c>
      <c r="DO84" s="897">
        <v>373.21</v>
      </c>
      <c r="DP84" s="783">
        <v>380.01</v>
      </c>
      <c r="DQ84" s="659">
        <v>396.19</v>
      </c>
      <c r="DR84" s="659">
        <v>396.19</v>
      </c>
      <c r="DS84" s="659">
        <v>396.19</v>
      </c>
      <c r="DT84" s="623">
        <v>400.75</v>
      </c>
      <c r="DU84" s="659">
        <v>409.59</v>
      </c>
      <c r="DV84" s="659">
        <v>416.24</v>
      </c>
      <c r="DW84" s="659">
        <v>416.24</v>
      </c>
      <c r="DX84" s="659">
        <v>426.29</v>
      </c>
      <c r="DY84" s="659">
        <v>426.29</v>
      </c>
      <c r="DZ84" s="659">
        <v>432.13</v>
      </c>
      <c r="EA84" s="897">
        <v>432.13</v>
      </c>
      <c r="EB84" s="659">
        <v>439.02</v>
      </c>
      <c r="EC84" s="659">
        <v>435.37</v>
      </c>
      <c r="ED84" s="659">
        <v>443.22</v>
      </c>
      <c r="EE84" s="659">
        <v>445.4</v>
      </c>
      <c r="EF84" s="659">
        <v>443.22</v>
      </c>
      <c r="EG84" s="659">
        <v>443.22</v>
      </c>
      <c r="EH84" s="659">
        <v>447.95</v>
      </c>
      <c r="EI84" s="659">
        <v>447.95</v>
      </c>
      <c r="EJ84" s="659">
        <v>447.95</v>
      </c>
      <c r="EK84" s="623">
        <v>464.51</v>
      </c>
      <c r="EL84" s="725">
        <v>464.51</v>
      </c>
      <c r="EM84" s="659">
        <v>464.51</v>
      </c>
      <c r="EN84" s="783">
        <v>468.02</v>
      </c>
      <c r="EO84" s="659">
        <v>468.02</v>
      </c>
      <c r="EP84" s="659">
        <v>468.02</v>
      </c>
      <c r="EQ84" s="659">
        <v>479.52</v>
      </c>
      <c r="ER84" s="659">
        <v>479.52</v>
      </c>
      <c r="ES84" s="659">
        <v>495.95</v>
      </c>
      <c r="ET84" s="659">
        <v>495.95</v>
      </c>
      <c r="EU84" s="659">
        <v>503.18</v>
      </c>
      <c r="EV84" s="659">
        <v>503.18</v>
      </c>
      <c r="EW84" s="659">
        <v>503.08</v>
      </c>
      <c r="EX84" s="659">
        <v>503.08</v>
      </c>
      <c r="EY84" s="659">
        <v>513.24</v>
      </c>
      <c r="EZ84" s="783">
        <v>524.08000000000004</v>
      </c>
      <c r="FA84" s="659">
        <v>562.32000000000005</v>
      </c>
      <c r="FB84" s="659">
        <v>562.32000000000005</v>
      </c>
      <c r="FC84" s="659">
        <v>575.08000000000004</v>
      </c>
      <c r="FD84" s="659">
        <v>575.07000000000005</v>
      </c>
      <c r="FE84" s="659">
        <v>575.07000000000005</v>
      </c>
      <c r="FF84" s="659">
        <v>575.07000000000005</v>
      </c>
      <c r="FG84" s="659">
        <v>602.55999999999995</v>
      </c>
      <c r="FH84" s="659">
        <v>602.55999999999995</v>
      </c>
      <c r="FI84" s="659">
        <v>602.55999999999995</v>
      </c>
      <c r="FJ84" s="659">
        <v>602.55999999999995</v>
      </c>
      <c r="FK84" s="897">
        <v>602.55999999999995</v>
      </c>
      <c r="FL84" s="783">
        <v>610.26</v>
      </c>
      <c r="FM84" s="659">
        <v>611.73</v>
      </c>
      <c r="FN84" s="659">
        <v>612.26</v>
      </c>
      <c r="FO84" s="659">
        <v>613.41</v>
      </c>
      <c r="FP84" s="659">
        <v>614.39</v>
      </c>
      <c r="FQ84" s="659">
        <v>615.42999999999995</v>
      </c>
      <c r="FR84" s="659">
        <v>646.11</v>
      </c>
      <c r="FS84" s="659">
        <v>652.32000000000005</v>
      </c>
      <c r="FT84" s="659">
        <v>661.5</v>
      </c>
      <c r="FU84" s="897">
        <v>677.89</v>
      </c>
      <c r="FV84" s="1167">
        <f t="shared" si="0"/>
        <v>1.0247770219198791</v>
      </c>
    </row>
    <row r="85" spans="1:178" s="115" customFormat="1" ht="18.95" customHeight="1">
      <c r="A85" s="1546">
        <v>1</v>
      </c>
      <c r="B85" s="408">
        <v>60</v>
      </c>
      <c r="C85" s="621"/>
      <c r="D85" s="622" t="s">
        <v>150</v>
      </c>
      <c r="E85" s="621" t="s">
        <v>918</v>
      </c>
      <c r="F85" s="622"/>
      <c r="G85" s="632" t="s">
        <v>64</v>
      </c>
      <c r="H85" s="621" t="s">
        <v>920</v>
      </c>
      <c r="I85" s="390" t="s">
        <v>921</v>
      </c>
      <c r="J85" s="676"/>
      <c r="K85" s="669">
        <v>93.4</v>
      </c>
      <c r="L85" s="665">
        <v>107.2</v>
      </c>
      <c r="M85" s="625">
        <v>126.1</v>
      </c>
      <c r="N85" s="625">
        <v>135.1</v>
      </c>
      <c r="O85" s="625">
        <v>156.30000000000001</v>
      </c>
      <c r="P85" s="625">
        <v>171.4</v>
      </c>
      <c r="Q85" s="625">
        <v>188.6</v>
      </c>
      <c r="R85" s="625">
        <v>190.5</v>
      </c>
      <c r="S85" s="625">
        <v>190.2</v>
      </c>
      <c r="T85" s="625">
        <v>188.6</v>
      </c>
      <c r="U85" s="625">
        <v>188.9</v>
      </c>
      <c r="V85" s="625">
        <v>188.1</v>
      </c>
      <c r="W85" s="625">
        <v>188.3</v>
      </c>
      <c r="X85" s="625">
        <v>190.2</v>
      </c>
      <c r="Y85" s="625">
        <v>188.2</v>
      </c>
      <c r="Z85" s="625">
        <v>190.2</v>
      </c>
      <c r="AA85" s="625">
        <v>190.1</v>
      </c>
      <c r="AB85" s="625">
        <v>191.9</v>
      </c>
      <c r="AC85" s="625">
        <v>192.4</v>
      </c>
      <c r="AD85" s="625">
        <v>192.3</v>
      </c>
      <c r="AE85" s="625">
        <v>191.6</v>
      </c>
      <c r="AF85" s="625">
        <v>192.1</v>
      </c>
      <c r="AG85" s="625">
        <v>193</v>
      </c>
      <c r="AH85" s="625">
        <v>193.1</v>
      </c>
      <c r="AI85" s="764">
        <v>193</v>
      </c>
      <c r="AJ85" s="772">
        <v>193.4</v>
      </c>
      <c r="AK85" s="625">
        <v>194.5</v>
      </c>
      <c r="AL85" s="625">
        <v>195.3</v>
      </c>
      <c r="AM85" s="625">
        <v>197.2</v>
      </c>
      <c r="AN85" s="625">
        <v>197.3</v>
      </c>
      <c r="AO85" s="625">
        <v>200.2</v>
      </c>
      <c r="AP85" s="625">
        <v>205.8</v>
      </c>
      <c r="AQ85" s="625">
        <v>201.9</v>
      </c>
      <c r="AR85" s="625">
        <v>202.9</v>
      </c>
      <c r="AS85" s="625">
        <v>207.7</v>
      </c>
      <c r="AT85" s="625">
        <v>211.2</v>
      </c>
      <c r="AU85" s="764">
        <v>212.4</v>
      </c>
      <c r="AV85" s="752">
        <v>216</v>
      </c>
      <c r="AW85" s="626">
        <v>221.7</v>
      </c>
      <c r="AX85" s="626">
        <v>221.7</v>
      </c>
      <c r="AY85" s="626">
        <v>228.1</v>
      </c>
      <c r="AZ85" s="626">
        <v>239.7</v>
      </c>
      <c r="BA85" s="626">
        <v>240.3</v>
      </c>
      <c r="BB85" s="626">
        <v>243.4</v>
      </c>
      <c r="BC85" s="627">
        <v>245.6</v>
      </c>
      <c r="BD85" s="626">
        <v>245.4</v>
      </c>
      <c r="BE85" s="627">
        <v>245.1</v>
      </c>
      <c r="BF85" s="627">
        <v>243.9</v>
      </c>
      <c r="BG85" s="738">
        <v>247.7</v>
      </c>
      <c r="BH85" s="660">
        <v>251.3</v>
      </c>
      <c r="BI85" s="623">
        <v>254.3</v>
      </c>
      <c r="BJ85" s="623">
        <v>253.1</v>
      </c>
      <c r="BK85" s="623">
        <v>261</v>
      </c>
      <c r="BL85" s="623">
        <v>262.3</v>
      </c>
      <c r="BM85" s="623">
        <v>262.60000000000002</v>
      </c>
      <c r="BN85" s="623">
        <v>263.8</v>
      </c>
      <c r="BO85" s="623">
        <v>266.10000000000002</v>
      </c>
      <c r="BP85" s="623">
        <v>262.39999999999998</v>
      </c>
      <c r="BQ85" s="623">
        <v>266.5</v>
      </c>
      <c r="BR85" s="623">
        <v>268.5</v>
      </c>
      <c r="BS85" s="659">
        <v>267.5</v>
      </c>
      <c r="BT85" s="660">
        <v>267.7</v>
      </c>
      <c r="BU85" s="623">
        <v>268.89999999999998</v>
      </c>
      <c r="BV85" s="623">
        <v>268.89999999999998</v>
      </c>
      <c r="BW85" s="623">
        <v>272.89999999999998</v>
      </c>
      <c r="BX85" s="623">
        <v>276.3</v>
      </c>
      <c r="BY85" s="623">
        <v>271.5</v>
      </c>
      <c r="BZ85" s="623">
        <v>270.7</v>
      </c>
      <c r="CA85" s="623">
        <v>273.3</v>
      </c>
      <c r="CB85" s="623">
        <v>279.8</v>
      </c>
      <c r="CC85" s="623">
        <v>285.60000000000002</v>
      </c>
      <c r="CD85" s="623">
        <v>285.89999999999998</v>
      </c>
      <c r="CE85" s="659">
        <v>289.5</v>
      </c>
      <c r="CF85" s="660">
        <v>296</v>
      </c>
      <c r="CG85" s="623">
        <v>297.10000000000002</v>
      </c>
      <c r="CH85" s="623">
        <v>309</v>
      </c>
      <c r="CI85" s="623">
        <v>326.8</v>
      </c>
      <c r="CJ85" s="623">
        <v>332.7</v>
      </c>
      <c r="CK85" s="623">
        <v>339.5</v>
      </c>
      <c r="CL85" s="623">
        <v>350.5</v>
      </c>
      <c r="CM85" s="623">
        <v>356.3</v>
      </c>
      <c r="CN85" s="623">
        <v>356.3</v>
      </c>
      <c r="CO85" s="623">
        <v>356.3</v>
      </c>
      <c r="CP85" s="623">
        <v>369.7</v>
      </c>
      <c r="CQ85" s="659">
        <v>378.6</v>
      </c>
      <c r="CR85" s="660">
        <v>382.2</v>
      </c>
      <c r="CS85" s="623">
        <v>381.2</v>
      </c>
      <c r="CT85" s="623">
        <v>386.4</v>
      </c>
      <c r="CU85" s="623">
        <v>381.6</v>
      </c>
      <c r="CV85" s="623">
        <v>388.8</v>
      </c>
      <c r="CW85" s="623">
        <v>388.4</v>
      </c>
      <c r="CX85" s="623">
        <v>391.4</v>
      </c>
      <c r="CY85" s="623">
        <v>393.9</v>
      </c>
      <c r="CZ85" s="623">
        <v>392.5</v>
      </c>
      <c r="DA85" s="623">
        <v>399.1</v>
      </c>
      <c r="DB85" s="725">
        <v>408.7</v>
      </c>
      <c r="DC85" s="659">
        <v>407.3</v>
      </c>
      <c r="DD85" s="783">
        <v>413.8</v>
      </c>
      <c r="DE85" s="623">
        <v>421.7</v>
      </c>
      <c r="DF85" s="725">
        <v>422.5</v>
      </c>
      <c r="DG85" s="659">
        <v>433.1</v>
      </c>
      <c r="DH85" s="623">
        <v>442.7</v>
      </c>
      <c r="DI85" s="623">
        <v>446.3</v>
      </c>
      <c r="DJ85" s="623">
        <v>455</v>
      </c>
      <c r="DK85" s="659">
        <v>469.3</v>
      </c>
      <c r="DL85" s="623">
        <v>474.8</v>
      </c>
      <c r="DM85" s="659">
        <v>486.2</v>
      </c>
      <c r="DN85" s="659">
        <v>493.1</v>
      </c>
      <c r="DO85" s="897">
        <v>496.7</v>
      </c>
      <c r="DP85" s="783">
        <v>499.3</v>
      </c>
      <c r="DQ85" s="659">
        <v>506.8</v>
      </c>
      <c r="DR85" s="659">
        <v>510.7</v>
      </c>
      <c r="DS85" s="659">
        <v>525.70000000000005</v>
      </c>
      <c r="DT85" s="623">
        <v>539.9</v>
      </c>
      <c r="DU85" s="659">
        <v>545.9</v>
      </c>
      <c r="DV85" s="659">
        <v>559.20000000000005</v>
      </c>
      <c r="DW85" s="659">
        <v>567</v>
      </c>
      <c r="DX85" s="659">
        <v>576.9</v>
      </c>
      <c r="DY85" s="659">
        <v>595.5</v>
      </c>
      <c r="DZ85" s="659">
        <v>599.1</v>
      </c>
      <c r="EA85" s="897">
        <v>615.20000000000005</v>
      </c>
      <c r="EB85" s="659">
        <v>625.6</v>
      </c>
      <c r="EC85" s="659">
        <v>626.4</v>
      </c>
      <c r="ED85" s="659">
        <v>627.70000000000005</v>
      </c>
      <c r="EE85" s="659">
        <v>637.9</v>
      </c>
      <c r="EF85" s="659">
        <v>659.6</v>
      </c>
      <c r="EG85" s="659">
        <v>653.1</v>
      </c>
      <c r="EH85" s="659">
        <v>641.79999999999995</v>
      </c>
      <c r="EI85" s="659">
        <v>659.5</v>
      </c>
      <c r="EJ85" s="659">
        <v>680.7</v>
      </c>
      <c r="EK85" s="623">
        <v>675.7</v>
      </c>
      <c r="EL85" s="725">
        <v>689.1</v>
      </c>
      <c r="EM85" s="659">
        <v>699.6</v>
      </c>
      <c r="EN85" s="783">
        <v>712.2</v>
      </c>
      <c r="EO85" s="659">
        <v>719.4</v>
      </c>
      <c r="EP85" s="659">
        <v>726</v>
      </c>
      <c r="EQ85" s="659">
        <v>741.1</v>
      </c>
      <c r="ER85" s="659">
        <v>757.4</v>
      </c>
      <c r="ES85" s="659">
        <v>782.9</v>
      </c>
      <c r="ET85" s="659">
        <v>795.2</v>
      </c>
      <c r="EU85" s="659">
        <v>794.9</v>
      </c>
      <c r="EV85" s="659">
        <v>821.5</v>
      </c>
      <c r="EW85" s="659">
        <v>933.3</v>
      </c>
      <c r="EX85" s="659">
        <v>862.7</v>
      </c>
      <c r="EY85" s="659">
        <v>873.9</v>
      </c>
      <c r="EZ85" s="783">
        <v>898.8</v>
      </c>
      <c r="FA85" s="659">
        <v>1044</v>
      </c>
      <c r="FB85" s="659">
        <v>1076.7</v>
      </c>
      <c r="FC85" s="659">
        <v>1079.9000000000001</v>
      </c>
      <c r="FD85" s="659">
        <v>1122.3</v>
      </c>
      <c r="FE85" s="659">
        <v>1151.3</v>
      </c>
      <c r="FF85" s="659">
        <v>1183.5999999999999</v>
      </c>
      <c r="FG85" s="659">
        <v>1194.9000000000001</v>
      </c>
      <c r="FH85" s="659">
        <v>1249.8</v>
      </c>
      <c r="FI85" s="659">
        <v>1297.3</v>
      </c>
      <c r="FJ85" s="659">
        <v>1322.5</v>
      </c>
      <c r="FK85" s="897">
        <v>1329.7</v>
      </c>
      <c r="FL85" s="783">
        <v>1380.6</v>
      </c>
      <c r="FM85" s="659">
        <v>1389</v>
      </c>
      <c r="FN85" s="659">
        <v>1414.9</v>
      </c>
      <c r="FO85" s="659">
        <v>1402.3</v>
      </c>
      <c r="FP85" s="659">
        <v>1422.5</v>
      </c>
      <c r="FQ85" s="659">
        <v>1435.4</v>
      </c>
      <c r="FR85" s="659">
        <v>1462.2</v>
      </c>
      <c r="FS85" s="659">
        <v>1473.2</v>
      </c>
      <c r="FT85" s="659">
        <v>1486.1</v>
      </c>
      <c r="FU85" s="897">
        <v>1524.7</v>
      </c>
      <c r="FV85" s="1167">
        <f t="shared" si="0"/>
        <v>1.025974025974026</v>
      </c>
    </row>
    <row r="86" spans="1:178" s="115" customFormat="1" ht="21.75" customHeight="1">
      <c r="A86" s="1546">
        <v>1</v>
      </c>
      <c r="B86" s="644">
        <v>61</v>
      </c>
      <c r="C86" s="645" t="s">
        <v>151</v>
      </c>
      <c r="D86" s="646" t="s">
        <v>152</v>
      </c>
      <c r="E86" s="645" t="s">
        <v>918</v>
      </c>
      <c r="F86" s="646"/>
      <c r="G86" s="645" t="s">
        <v>919</v>
      </c>
      <c r="H86" s="645" t="s">
        <v>920</v>
      </c>
      <c r="I86" s="876" t="s">
        <v>427</v>
      </c>
      <c r="J86" s="869"/>
      <c r="K86" s="877">
        <v>100.37</v>
      </c>
      <c r="L86" s="878">
        <v>115.6</v>
      </c>
      <c r="M86" s="879">
        <v>149.74</v>
      </c>
      <c r="N86" s="879">
        <v>158.51</v>
      </c>
      <c r="O86" s="879">
        <v>179.99</v>
      </c>
      <c r="P86" s="879">
        <v>204.59</v>
      </c>
      <c r="Q86" s="879">
        <v>219.77</v>
      </c>
      <c r="R86" s="879">
        <v>218.96</v>
      </c>
      <c r="S86" s="879">
        <v>215.52</v>
      </c>
      <c r="T86" s="879">
        <v>222.02</v>
      </c>
      <c r="U86" s="879">
        <v>226.19</v>
      </c>
      <c r="V86" s="879">
        <v>226.19</v>
      </c>
      <c r="W86" s="879">
        <v>226.19</v>
      </c>
      <c r="X86" s="879">
        <v>226.19</v>
      </c>
      <c r="Y86" s="879">
        <v>226.19</v>
      </c>
      <c r="Z86" s="879">
        <v>226.19</v>
      </c>
      <c r="AA86" s="879">
        <v>230.16</v>
      </c>
      <c r="AB86" s="879">
        <v>232.25</v>
      </c>
      <c r="AC86" s="879">
        <v>233.4</v>
      </c>
      <c r="AD86" s="879">
        <v>233.41</v>
      </c>
      <c r="AE86" s="879">
        <v>233.41</v>
      </c>
      <c r="AF86" s="879">
        <v>233.4</v>
      </c>
      <c r="AG86" s="879">
        <v>233.41</v>
      </c>
      <c r="AH86" s="879">
        <v>233.4</v>
      </c>
      <c r="AI86" s="880">
        <v>233.41</v>
      </c>
      <c r="AJ86" s="881">
        <v>233.36</v>
      </c>
      <c r="AK86" s="879">
        <v>234.89</v>
      </c>
      <c r="AL86" s="879">
        <v>238.19</v>
      </c>
      <c r="AM86" s="879">
        <v>238.19</v>
      </c>
      <c r="AN86" s="879">
        <v>238.19</v>
      </c>
      <c r="AO86" s="879">
        <v>239.16</v>
      </c>
      <c r="AP86" s="879">
        <v>240.32</v>
      </c>
      <c r="AQ86" s="879">
        <v>241.89</v>
      </c>
      <c r="AR86" s="879">
        <v>245.64</v>
      </c>
      <c r="AS86" s="879">
        <v>249.92</v>
      </c>
      <c r="AT86" s="879">
        <v>249.92</v>
      </c>
      <c r="AU86" s="880">
        <v>252.76</v>
      </c>
      <c r="AV86" s="882">
        <v>259.43</v>
      </c>
      <c r="AW86" s="883">
        <v>260.31</v>
      </c>
      <c r="AX86" s="883">
        <v>260.32</v>
      </c>
      <c r="AY86" s="883">
        <v>262.7</v>
      </c>
      <c r="AZ86" s="883">
        <v>268</v>
      </c>
      <c r="BA86" s="883">
        <v>269.2</v>
      </c>
      <c r="BB86" s="883">
        <v>275.91000000000003</v>
      </c>
      <c r="BC86" s="884">
        <v>276.63</v>
      </c>
      <c r="BD86" s="883">
        <v>276.63</v>
      </c>
      <c r="BE86" s="884">
        <v>276.63</v>
      </c>
      <c r="BF86" s="884">
        <v>277.37</v>
      </c>
      <c r="BG86" s="885">
        <v>283.86</v>
      </c>
      <c r="BH86" s="886">
        <v>283.86</v>
      </c>
      <c r="BI86" s="887">
        <v>285.36</v>
      </c>
      <c r="BJ86" s="887">
        <v>285.36</v>
      </c>
      <c r="BK86" s="887">
        <v>290.23</v>
      </c>
      <c r="BL86" s="887">
        <v>291.89</v>
      </c>
      <c r="BM86" s="887">
        <v>296.74</v>
      </c>
      <c r="BN86" s="887">
        <v>301.72000000000003</v>
      </c>
      <c r="BO86" s="887">
        <v>302.76</v>
      </c>
      <c r="BP86" s="887">
        <v>305.16000000000003</v>
      </c>
      <c r="BQ86" s="887">
        <v>306</v>
      </c>
      <c r="BR86" s="887">
        <v>310.02999999999997</v>
      </c>
      <c r="BS86" s="888">
        <v>313.83999999999997</v>
      </c>
      <c r="BT86" s="886">
        <v>313.83999999999997</v>
      </c>
      <c r="BU86" s="887">
        <v>314.8</v>
      </c>
      <c r="BV86" s="887">
        <v>314.8</v>
      </c>
      <c r="BW86" s="887">
        <v>321.95</v>
      </c>
      <c r="BX86" s="887">
        <v>323.38</v>
      </c>
      <c r="BY86" s="887">
        <v>327.61</v>
      </c>
      <c r="BZ86" s="887">
        <v>327.61</v>
      </c>
      <c r="CA86" s="887">
        <v>328.56</v>
      </c>
      <c r="CB86" s="887">
        <v>340.48</v>
      </c>
      <c r="CC86" s="887">
        <v>340.48</v>
      </c>
      <c r="CD86" s="887">
        <v>347.96</v>
      </c>
      <c r="CE86" s="888">
        <v>361.86</v>
      </c>
      <c r="CF86" s="886">
        <v>361.18</v>
      </c>
      <c r="CG86" s="887">
        <v>367.62</v>
      </c>
      <c r="CH86" s="887">
        <v>382.08</v>
      </c>
      <c r="CI86" s="887">
        <v>396.67</v>
      </c>
      <c r="CJ86" s="887">
        <v>402.97</v>
      </c>
      <c r="CK86" s="887">
        <v>408.42</v>
      </c>
      <c r="CL86" s="887">
        <v>408.42</v>
      </c>
      <c r="CM86" s="887">
        <v>413.03</v>
      </c>
      <c r="CN86" s="887">
        <v>433.1</v>
      </c>
      <c r="CO86" s="887">
        <v>436.24</v>
      </c>
      <c r="CP86" s="887">
        <v>446.9</v>
      </c>
      <c r="CQ86" s="888">
        <v>454.69</v>
      </c>
      <c r="CR86" s="886">
        <v>465.12</v>
      </c>
      <c r="CS86" s="887">
        <v>466.81</v>
      </c>
      <c r="CT86" s="887">
        <v>470.34</v>
      </c>
      <c r="CU86" s="887">
        <v>484.8</v>
      </c>
      <c r="CV86" s="887">
        <v>490.49</v>
      </c>
      <c r="CW86" s="887">
        <v>494.48</v>
      </c>
      <c r="CX86" s="887">
        <v>494.48</v>
      </c>
      <c r="CY86" s="887">
        <v>512.84</v>
      </c>
      <c r="CZ86" s="887">
        <v>512.84</v>
      </c>
      <c r="DA86" s="887">
        <v>521.09</v>
      </c>
      <c r="DB86" s="889">
        <v>519.66</v>
      </c>
      <c r="DC86" s="888">
        <v>527.70000000000005</v>
      </c>
      <c r="DD86" s="890">
        <v>528.86</v>
      </c>
      <c r="DE86" s="887">
        <v>536.04</v>
      </c>
      <c r="DF86" s="889">
        <v>519.16</v>
      </c>
      <c r="DG86" s="888">
        <v>534.52</v>
      </c>
      <c r="DH86" s="887">
        <v>534.52</v>
      </c>
      <c r="DI86" s="887">
        <v>537.49</v>
      </c>
      <c r="DJ86" s="623">
        <v>547.82000000000005</v>
      </c>
      <c r="DK86" s="659">
        <v>557.09</v>
      </c>
      <c r="DL86" s="623">
        <v>564.29999999999995</v>
      </c>
      <c r="DM86" s="659">
        <v>573.74</v>
      </c>
      <c r="DN86" s="659">
        <v>584.22</v>
      </c>
      <c r="DO86" s="897">
        <v>598.44000000000005</v>
      </c>
      <c r="DP86" s="783">
        <v>608.44000000000005</v>
      </c>
      <c r="DQ86" s="659">
        <v>610.29</v>
      </c>
      <c r="DR86" s="659">
        <v>612.22</v>
      </c>
      <c r="DS86" s="659">
        <v>627.54999999999995</v>
      </c>
      <c r="DT86" s="623">
        <v>627.54999999999995</v>
      </c>
      <c r="DU86" s="659">
        <v>638.16999999999996</v>
      </c>
      <c r="DV86" s="659">
        <v>668.04</v>
      </c>
      <c r="DW86" s="659">
        <v>668.04</v>
      </c>
      <c r="DX86" s="659">
        <v>669.22</v>
      </c>
      <c r="DY86" s="659">
        <v>688.37</v>
      </c>
      <c r="DZ86" s="659">
        <v>693.17</v>
      </c>
      <c r="EA86" s="897">
        <v>702.43</v>
      </c>
      <c r="EB86" s="659">
        <v>716.24</v>
      </c>
      <c r="EC86" s="659">
        <v>723.2</v>
      </c>
      <c r="ED86" s="659">
        <v>727.2</v>
      </c>
      <c r="EE86" s="659">
        <v>730.8</v>
      </c>
      <c r="EF86" s="659">
        <v>759.73</v>
      </c>
      <c r="EG86" s="659">
        <v>766.97</v>
      </c>
      <c r="EH86" s="659">
        <v>770.75</v>
      </c>
      <c r="EI86" s="659">
        <v>781.72</v>
      </c>
      <c r="EJ86" s="659">
        <v>783.61</v>
      </c>
      <c r="EK86" s="623">
        <v>793.23</v>
      </c>
      <c r="EL86" s="725">
        <v>801.57</v>
      </c>
      <c r="EM86" s="659">
        <v>801.57</v>
      </c>
      <c r="EN86" s="783">
        <v>801.57</v>
      </c>
      <c r="EO86" s="659">
        <v>814.63</v>
      </c>
      <c r="EP86" s="659">
        <v>819.3</v>
      </c>
      <c r="EQ86" s="659">
        <v>823.81</v>
      </c>
      <c r="ER86" s="659">
        <v>823.81</v>
      </c>
      <c r="ES86" s="659">
        <v>834.68</v>
      </c>
      <c r="ET86" s="659">
        <v>858.37</v>
      </c>
      <c r="EU86" s="659">
        <v>865.53</v>
      </c>
      <c r="EV86" s="659">
        <v>871.04</v>
      </c>
      <c r="EW86" s="659">
        <v>871.04</v>
      </c>
      <c r="EX86" s="659">
        <v>901.92</v>
      </c>
      <c r="EY86" s="659">
        <v>932.43</v>
      </c>
      <c r="EZ86" s="783">
        <v>997.82</v>
      </c>
      <c r="FA86" s="659">
        <v>1056.9100000000001</v>
      </c>
      <c r="FB86" s="659">
        <v>1091.5899999999999</v>
      </c>
      <c r="FC86" s="659">
        <v>1096.6600000000001</v>
      </c>
      <c r="FD86" s="659">
        <v>1121</v>
      </c>
      <c r="FE86" s="659">
        <v>1138.71</v>
      </c>
      <c r="FF86" s="659">
        <v>1138.71</v>
      </c>
      <c r="FG86" s="659">
        <v>1145.05</v>
      </c>
      <c r="FH86" s="659">
        <v>1198.7</v>
      </c>
      <c r="FI86" s="659">
        <v>1222.03</v>
      </c>
      <c r="FJ86" s="659">
        <v>1261.79</v>
      </c>
      <c r="FK86" s="897">
        <v>1280.8</v>
      </c>
      <c r="FL86" s="660">
        <v>1280.71</v>
      </c>
      <c r="FM86" s="623">
        <v>1310.92</v>
      </c>
      <c r="FN86" s="623">
        <v>1350.49</v>
      </c>
      <c r="FO86" s="623">
        <v>1353.85</v>
      </c>
      <c r="FP86" s="623">
        <v>1353.85</v>
      </c>
      <c r="FQ86" s="623">
        <v>1353.85</v>
      </c>
      <c r="FR86" s="623">
        <v>1402.39</v>
      </c>
      <c r="FS86" s="623">
        <v>1416.99</v>
      </c>
      <c r="FT86" s="623">
        <v>1416.99</v>
      </c>
      <c r="FU86" s="897">
        <v>1472.22</v>
      </c>
      <c r="FV86" s="1167">
        <f t="shared" si="0"/>
        <v>1.0389769864289797</v>
      </c>
    </row>
    <row r="87" spans="1:178" s="115" customFormat="1" ht="18.95" customHeight="1">
      <c r="A87" s="1546">
        <v>1</v>
      </c>
      <c r="B87" s="408">
        <v>62</v>
      </c>
      <c r="C87" s="621" t="s">
        <v>153</v>
      </c>
      <c r="D87" s="622" t="s">
        <v>154</v>
      </c>
      <c r="E87" s="621" t="s">
        <v>918</v>
      </c>
      <c r="F87" s="622"/>
      <c r="G87" s="621" t="s">
        <v>929</v>
      </c>
      <c r="H87" s="621" t="s">
        <v>930</v>
      </c>
      <c r="I87" s="390"/>
      <c r="J87" s="651"/>
      <c r="K87" s="669">
        <v>98.9</v>
      </c>
      <c r="L87" s="665">
        <v>111.4</v>
      </c>
      <c r="M87" s="625">
        <v>145.5</v>
      </c>
      <c r="N87" s="625">
        <v>165.4</v>
      </c>
      <c r="O87" s="625">
        <v>188.2</v>
      </c>
      <c r="P87" s="625">
        <v>195.1</v>
      </c>
      <c r="Q87" s="625">
        <v>205.5</v>
      </c>
      <c r="R87" s="625">
        <v>216.1</v>
      </c>
      <c r="S87" s="625">
        <v>218.5</v>
      </c>
      <c r="T87" s="625">
        <v>216.9</v>
      </c>
      <c r="U87" s="625">
        <v>217.6</v>
      </c>
      <c r="V87" s="625">
        <v>218.6</v>
      </c>
      <c r="W87" s="625">
        <v>218.6</v>
      </c>
      <c r="X87" s="625">
        <v>216.7</v>
      </c>
      <c r="Y87" s="625">
        <v>219.1</v>
      </c>
      <c r="Z87" s="625">
        <v>211.8</v>
      </c>
      <c r="AA87" s="625">
        <v>210.9</v>
      </c>
      <c r="AB87" s="625">
        <v>210.9</v>
      </c>
      <c r="AC87" s="625">
        <v>207.7</v>
      </c>
      <c r="AD87" s="625">
        <v>207.7</v>
      </c>
      <c r="AE87" s="625">
        <v>206.2</v>
      </c>
      <c r="AF87" s="625">
        <v>206.2</v>
      </c>
      <c r="AG87" s="625">
        <v>208.3</v>
      </c>
      <c r="AH87" s="625">
        <v>210</v>
      </c>
      <c r="AI87" s="764">
        <v>216.6</v>
      </c>
      <c r="AJ87" s="772">
        <v>229.8</v>
      </c>
      <c r="AK87" s="625">
        <v>241.5</v>
      </c>
      <c r="AL87" s="625">
        <v>253.7</v>
      </c>
      <c r="AM87" s="625">
        <v>281.89999999999998</v>
      </c>
      <c r="AN87" s="625">
        <v>285.10000000000002</v>
      </c>
      <c r="AO87" s="625">
        <v>297.7</v>
      </c>
      <c r="AP87" s="625">
        <v>306</v>
      </c>
      <c r="AQ87" s="625">
        <v>313.39999999999998</v>
      </c>
      <c r="AR87" s="625">
        <v>315.39999999999998</v>
      </c>
      <c r="AS87" s="625">
        <v>317.39999999999998</v>
      </c>
      <c r="AT87" s="625">
        <v>314.7</v>
      </c>
      <c r="AU87" s="764">
        <v>315.60000000000002</v>
      </c>
      <c r="AV87" s="752">
        <v>319</v>
      </c>
      <c r="AW87" s="626">
        <v>319</v>
      </c>
      <c r="AX87" s="626">
        <v>323.5</v>
      </c>
      <c r="AY87" s="626">
        <v>323.5</v>
      </c>
      <c r="AZ87" s="626">
        <v>323.5</v>
      </c>
      <c r="BA87" s="626">
        <v>319.39999999999998</v>
      </c>
      <c r="BB87" s="626">
        <v>319.39999999999998</v>
      </c>
      <c r="BC87" s="627">
        <v>319.39999999999998</v>
      </c>
      <c r="BD87" s="626">
        <v>317.60000000000002</v>
      </c>
      <c r="BE87" s="627">
        <v>317.60000000000002</v>
      </c>
      <c r="BF87" s="627">
        <v>320.60000000000002</v>
      </c>
      <c r="BG87" s="738">
        <v>320.60000000000002</v>
      </c>
      <c r="BH87" s="660">
        <v>321.10000000000002</v>
      </c>
      <c r="BI87" s="623">
        <v>324.10000000000002</v>
      </c>
      <c r="BJ87" s="623">
        <v>324.10000000000002</v>
      </c>
      <c r="BK87" s="623">
        <v>328.1</v>
      </c>
      <c r="BL87" s="623">
        <v>368.2</v>
      </c>
      <c r="BM87" s="623">
        <v>368.3</v>
      </c>
      <c r="BN87" s="623">
        <v>367.5</v>
      </c>
      <c r="BO87" s="623">
        <v>367.5</v>
      </c>
      <c r="BP87" s="623">
        <v>367.5</v>
      </c>
      <c r="BQ87" s="623">
        <v>368.4</v>
      </c>
      <c r="BR87" s="623">
        <v>375.3</v>
      </c>
      <c r="BS87" s="659">
        <v>379.7</v>
      </c>
      <c r="BT87" s="660">
        <v>397.9</v>
      </c>
      <c r="BU87" s="623">
        <v>403.7</v>
      </c>
      <c r="BV87" s="623">
        <v>454.3</v>
      </c>
      <c r="BW87" s="623">
        <v>461.5</v>
      </c>
      <c r="BX87" s="623">
        <v>502.2</v>
      </c>
      <c r="BY87" s="623">
        <v>502.2</v>
      </c>
      <c r="BZ87" s="623">
        <v>539.20000000000005</v>
      </c>
      <c r="CA87" s="623">
        <v>545</v>
      </c>
      <c r="CB87" s="623">
        <v>564.6</v>
      </c>
      <c r="CC87" s="623">
        <v>585.5</v>
      </c>
      <c r="CD87" s="623">
        <v>591.70000000000005</v>
      </c>
      <c r="CE87" s="659">
        <v>596.20000000000005</v>
      </c>
      <c r="CF87" s="660">
        <v>593.70000000000005</v>
      </c>
      <c r="CG87" s="623">
        <v>603</v>
      </c>
      <c r="CH87" s="623">
        <v>622.79999999999995</v>
      </c>
      <c r="CI87" s="623">
        <v>648.6</v>
      </c>
      <c r="CJ87" s="623">
        <v>667.8</v>
      </c>
      <c r="CK87" s="623">
        <v>705</v>
      </c>
      <c r="CL87" s="623">
        <v>711.7</v>
      </c>
      <c r="CM87" s="623">
        <v>716.7</v>
      </c>
      <c r="CN87" s="623">
        <v>718.1</v>
      </c>
      <c r="CO87" s="623">
        <v>718.1</v>
      </c>
      <c r="CP87" s="623">
        <v>718.1</v>
      </c>
      <c r="CQ87" s="659">
        <v>712.5</v>
      </c>
      <c r="CR87" s="660">
        <v>702.9</v>
      </c>
      <c r="CS87" s="623">
        <v>702.9</v>
      </c>
      <c r="CT87" s="623">
        <v>702.9</v>
      </c>
      <c r="CU87" s="623">
        <v>684.8</v>
      </c>
      <c r="CV87" s="623">
        <v>663.9</v>
      </c>
      <c r="CW87" s="623">
        <v>648.79999999999995</v>
      </c>
      <c r="CX87" s="623">
        <v>644.5</v>
      </c>
      <c r="CY87" s="623">
        <v>649.29999999999995</v>
      </c>
      <c r="CZ87" s="623">
        <v>662.3</v>
      </c>
      <c r="DA87" s="623">
        <v>645.6</v>
      </c>
      <c r="DB87" s="725">
        <v>646.5</v>
      </c>
      <c r="DC87" s="659">
        <v>660.2</v>
      </c>
      <c r="DD87" s="783">
        <v>674.3</v>
      </c>
      <c r="DE87" s="623">
        <v>674.3</v>
      </c>
      <c r="DF87" s="725">
        <v>682.3</v>
      </c>
      <c r="DG87" s="659">
        <v>687.3</v>
      </c>
      <c r="DH87" s="623">
        <v>700.8</v>
      </c>
      <c r="DI87" s="623">
        <v>700.1</v>
      </c>
      <c r="DJ87" s="623">
        <v>700.1</v>
      </c>
      <c r="DK87" s="659">
        <v>724.7</v>
      </c>
      <c r="DL87" s="623">
        <v>755.3</v>
      </c>
      <c r="DM87" s="659">
        <v>788.7</v>
      </c>
      <c r="DN87" s="659">
        <v>837.6</v>
      </c>
      <c r="DO87" s="897">
        <v>875.9</v>
      </c>
      <c r="DP87" s="783">
        <v>882.7</v>
      </c>
      <c r="DQ87" s="659">
        <v>915.5</v>
      </c>
      <c r="DR87" s="659">
        <v>945.4</v>
      </c>
      <c r="DS87" s="659">
        <v>942.1</v>
      </c>
      <c r="DT87" s="623">
        <v>946.9</v>
      </c>
      <c r="DU87" s="659">
        <v>946.9</v>
      </c>
      <c r="DV87" s="659">
        <v>946.9</v>
      </c>
      <c r="DW87" s="659">
        <v>946.9</v>
      </c>
      <c r="DX87" s="659">
        <v>946.9</v>
      </c>
      <c r="DY87" s="659">
        <v>942.5</v>
      </c>
      <c r="DZ87" s="659">
        <v>939.2</v>
      </c>
      <c r="EA87" s="897">
        <v>939.2</v>
      </c>
      <c r="EB87" s="659">
        <v>939.5</v>
      </c>
      <c r="EC87" s="659">
        <v>946.8</v>
      </c>
      <c r="ED87" s="659">
        <v>958.4</v>
      </c>
      <c r="EE87" s="659">
        <v>960.3</v>
      </c>
      <c r="EF87" s="659">
        <v>960.3</v>
      </c>
      <c r="EG87" s="659">
        <v>970.7</v>
      </c>
      <c r="EH87" s="659">
        <v>977.2</v>
      </c>
      <c r="EI87" s="659">
        <v>1004.6</v>
      </c>
      <c r="EJ87" s="659">
        <v>1004.6</v>
      </c>
      <c r="EK87" s="623">
        <v>1025</v>
      </c>
      <c r="EL87" s="725">
        <v>1036.4000000000001</v>
      </c>
      <c r="EM87" s="659">
        <v>1037.9000000000001</v>
      </c>
      <c r="EN87" s="783">
        <v>1053.9000000000001</v>
      </c>
      <c r="EO87" s="659">
        <v>1080.4000000000001</v>
      </c>
      <c r="EP87" s="659">
        <v>1093.9000000000001</v>
      </c>
      <c r="EQ87" s="659">
        <v>1113.7</v>
      </c>
      <c r="ER87" s="659">
        <v>1113.4000000000001</v>
      </c>
      <c r="ES87" s="659">
        <v>1128.7</v>
      </c>
      <c r="ET87" s="659">
        <v>1141.7</v>
      </c>
      <c r="EU87" s="659">
        <v>1171.8</v>
      </c>
      <c r="EV87" s="659">
        <v>1211.3</v>
      </c>
      <c r="EW87" s="659">
        <v>1231.5999999999999</v>
      </c>
      <c r="EX87" s="659">
        <v>1248.4000000000001</v>
      </c>
      <c r="EY87" s="659">
        <v>1248.4000000000001</v>
      </c>
      <c r="EZ87" s="783">
        <v>1326.6</v>
      </c>
      <c r="FA87" s="659">
        <v>1499.5</v>
      </c>
      <c r="FB87" s="659">
        <v>1557</v>
      </c>
      <c r="FC87" s="623">
        <v>1632.1</v>
      </c>
      <c r="FD87" s="659">
        <v>1688.6</v>
      </c>
      <c r="FE87" s="659">
        <v>1806.7</v>
      </c>
      <c r="FF87" s="659">
        <v>1806.8</v>
      </c>
      <c r="FG87" s="659">
        <v>1890.5</v>
      </c>
      <c r="FH87" s="659">
        <v>1934.5</v>
      </c>
      <c r="FI87" s="659">
        <v>1964</v>
      </c>
      <c r="FJ87" s="659">
        <v>1968.2</v>
      </c>
      <c r="FK87" s="897">
        <v>1980.1</v>
      </c>
      <c r="FL87" s="660">
        <v>1980.1</v>
      </c>
      <c r="FM87" s="623">
        <v>1998.5</v>
      </c>
      <c r="FN87" s="623">
        <v>2015.1</v>
      </c>
      <c r="FO87" s="623">
        <v>2036.7</v>
      </c>
      <c r="FP87" s="623">
        <v>2036.7</v>
      </c>
      <c r="FQ87" s="623">
        <v>2050.4</v>
      </c>
      <c r="FR87" s="623">
        <v>2050.4</v>
      </c>
      <c r="FS87" s="623">
        <v>2083.5</v>
      </c>
      <c r="FT87" s="623">
        <v>2105.3000000000002</v>
      </c>
      <c r="FU87" s="897">
        <v>2135.1999999999998</v>
      </c>
      <c r="FV87" s="1167">
        <f t="shared" si="0"/>
        <v>1.0142022514605993</v>
      </c>
    </row>
    <row r="88" spans="1:178" s="115" customFormat="1" ht="23.25">
      <c r="A88" s="1546">
        <v>1</v>
      </c>
      <c r="B88" s="408">
        <v>63</v>
      </c>
      <c r="C88" s="621" t="s">
        <v>155</v>
      </c>
      <c r="D88" s="622" t="s">
        <v>156</v>
      </c>
      <c r="E88" s="621"/>
      <c r="F88" s="622"/>
      <c r="G88" s="621" t="s">
        <v>919</v>
      </c>
      <c r="H88" s="621" t="s">
        <v>920</v>
      </c>
      <c r="I88" s="390" t="s">
        <v>157</v>
      </c>
      <c r="J88" s="651"/>
      <c r="K88" s="669">
        <v>96.5</v>
      </c>
      <c r="L88" s="665">
        <v>99.76</v>
      </c>
      <c r="M88" s="625">
        <v>114.75</v>
      </c>
      <c r="N88" s="625">
        <v>127.79</v>
      </c>
      <c r="O88" s="625">
        <v>135.65</v>
      </c>
      <c r="P88" s="625">
        <v>145.57</v>
      </c>
      <c r="Q88" s="625">
        <v>156.99</v>
      </c>
      <c r="R88" s="625">
        <v>168.19</v>
      </c>
      <c r="S88" s="625">
        <v>175.83</v>
      </c>
      <c r="T88" s="625">
        <v>175.83</v>
      </c>
      <c r="U88" s="625">
        <v>175.83</v>
      </c>
      <c r="V88" s="625">
        <v>175.83</v>
      </c>
      <c r="W88" s="625">
        <v>175.83</v>
      </c>
      <c r="X88" s="625">
        <v>178.91</v>
      </c>
      <c r="Y88" s="625">
        <v>178.91</v>
      </c>
      <c r="Z88" s="625">
        <v>178.91</v>
      </c>
      <c r="AA88" s="625">
        <v>173.96</v>
      </c>
      <c r="AB88" s="625">
        <v>173.96</v>
      </c>
      <c r="AC88" s="625">
        <v>173.96</v>
      </c>
      <c r="AD88" s="625">
        <v>173.96</v>
      </c>
      <c r="AE88" s="625">
        <v>173.96</v>
      </c>
      <c r="AF88" s="625">
        <v>173.96</v>
      </c>
      <c r="AG88" s="625">
        <v>173.96</v>
      </c>
      <c r="AH88" s="625">
        <v>174.62</v>
      </c>
      <c r="AI88" s="764">
        <v>174.62</v>
      </c>
      <c r="AJ88" s="772">
        <v>174.62</v>
      </c>
      <c r="AK88" s="625">
        <v>174.62</v>
      </c>
      <c r="AL88" s="625">
        <v>174.62</v>
      </c>
      <c r="AM88" s="625">
        <v>180.94</v>
      </c>
      <c r="AN88" s="625">
        <v>180.94</v>
      </c>
      <c r="AO88" s="625">
        <v>184.9</v>
      </c>
      <c r="AP88" s="625">
        <v>185.6</v>
      </c>
      <c r="AQ88" s="625">
        <v>185.6</v>
      </c>
      <c r="AR88" s="625">
        <v>192.45</v>
      </c>
      <c r="AS88" s="625">
        <v>193.66</v>
      </c>
      <c r="AT88" s="625">
        <v>193.66</v>
      </c>
      <c r="AU88" s="764">
        <v>196.66</v>
      </c>
      <c r="AV88" s="752">
        <v>199.98</v>
      </c>
      <c r="AW88" s="626">
        <v>201.15</v>
      </c>
      <c r="AX88" s="626">
        <v>201.15</v>
      </c>
      <c r="AY88" s="626">
        <v>201.15</v>
      </c>
      <c r="AZ88" s="626">
        <v>201.15</v>
      </c>
      <c r="BA88" s="626">
        <v>201.15</v>
      </c>
      <c r="BB88" s="626">
        <v>202.79</v>
      </c>
      <c r="BC88" s="627">
        <v>202.79</v>
      </c>
      <c r="BD88" s="626">
        <v>202.79</v>
      </c>
      <c r="BE88" s="627">
        <v>202.79</v>
      </c>
      <c r="BF88" s="627">
        <v>202.79</v>
      </c>
      <c r="BG88" s="738">
        <v>202.79</v>
      </c>
      <c r="BH88" s="660">
        <v>215.31</v>
      </c>
      <c r="BI88" s="623">
        <v>215.31</v>
      </c>
      <c r="BJ88" s="623">
        <v>215.31</v>
      </c>
      <c r="BK88" s="623">
        <v>226.06</v>
      </c>
      <c r="BL88" s="623">
        <v>226.06</v>
      </c>
      <c r="BM88" s="623">
        <v>226.06</v>
      </c>
      <c r="BN88" s="623">
        <v>226.06</v>
      </c>
      <c r="BO88" s="623">
        <v>226.06</v>
      </c>
      <c r="BP88" s="623">
        <v>226.06</v>
      </c>
      <c r="BQ88" s="623">
        <v>233.32</v>
      </c>
      <c r="BR88" s="623">
        <v>233.32</v>
      </c>
      <c r="BS88" s="659">
        <v>233.33</v>
      </c>
      <c r="BT88" s="660">
        <v>234.48</v>
      </c>
      <c r="BU88" s="623">
        <v>235.04</v>
      </c>
      <c r="BV88" s="623">
        <v>235.04</v>
      </c>
      <c r="BW88" s="623">
        <v>235.04</v>
      </c>
      <c r="BX88" s="623">
        <v>235.04</v>
      </c>
      <c r="BY88" s="623">
        <v>235.02</v>
      </c>
      <c r="BZ88" s="623">
        <v>235.02</v>
      </c>
      <c r="CA88" s="623">
        <v>235.02</v>
      </c>
      <c r="CB88" s="623">
        <v>239.58</v>
      </c>
      <c r="CC88" s="623">
        <v>239.58</v>
      </c>
      <c r="CD88" s="623">
        <v>239.58</v>
      </c>
      <c r="CE88" s="659">
        <v>244.69</v>
      </c>
      <c r="CF88" s="660">
        <v>244.69</v>
      </c>
      <c r="CG88" s="623">
        <v>244.63</v>
      </c>
      <c r="CH88" s="623">
        <v>252.8</v>
      </c>
      <c r="CI88" s="623">
        <v>254.98</v>
      </c>
      <c r="CJ88" s="623">
        <v>257.3</v>
      </c>
      <c r="CK88" s="623">
        <v>257.3</v>
      </c>
      <c r="CL88" s="623">
        <v>262.39999999999998</v>
      </c>
      <c r="CM88" s="623">
        <v>266.04000000000002</v>
      </c>
      <c r="CN88" s="623">
        <v>290.39</v>
      </c>
      <c r="CO88" s="623">
        <v>290.39</v>
      </c>
      <c r="CP88" s="623">
        <v>290.39</v>
      </c>
      <c r="CQ88" s="659">
        <v>290.39</v>
      </c>
      <c r="CR88" s="660">
        <v>290.39</v>
      </c>
      <c r="CS88" s="623">
        <v>290.39</v>
      </c>
      <c r="CT88" s="623">
        <v>290.39</v>
      </c>
      <c r="CU88" s="623">
        <v>292.86</v>
      </c>
      <c r="CV88" s="623">
        <v>292.86</v>
      </c>
      <c r="CW88" s="623">
        <v>292.86</v>
      </c>
      <c r="CX88" s="623">
        <v>292.86</v>
      </c>
      <c r="CY88" s="623">
        <v>292.86</v>
      </c>
      <c r="CZ88" s="623">
        <v>293.17</v>
      </c>
      <c r="DA88" s="623">
        <v>296.17</v>
      </c>
      <c r="DB88" s="725">
        <v>326.7</v>
      </c>
      <c r="DC88" s="659">
        <v>326.7</v>
      </c>
      <c r="DD88" s="783">
        <v>339.91</v>
      </c>
      <c r="DE88" s="623">
        <v>339.91</v>
      </c>
      <c r="DF88" s="725">
        <v>339.91</v>
      </c>
      <c r="DG88" s="659">
        <v>365.95</v>
      </c>
      <c r="DH88" s="623">
        <v>374</v>
      </c>
      <c r="DI88" s="623">
        <v>374.01</v>
      </c>
      <c r="DJ88" s="623">
        <v>374.01</v>
      </c>
      <c r="DK88" s="659">
        <v>376.72</v>
      </c>
      <c r="DL88" s="623">
        <v>390.6</v>
      </c>
      <c r="DM88" s="659">
        <v>390.6</v>
      </c>
      <c r="DN88" s="659">
        <v>390.6</v>
      </c>
      <c r="DO88" s="897">
        <v>390.6</v>
      </c>
      <c r="DP88" s="783">
        <v>390.95</v>
      </c>
      <c r="DQ88" s="659">
        <v>406.94</v>
      </c>
      <c r="DR88" s="659">
        <v>410.34</v>
      </c>
      <c r="DS88" s="659">
        <v>410.34</v>
      </c>
      <c r="DT88" s="623">
        <v>433.94</v>
      </c>
      <c r="DU88" s="659">
        <v>433.94</v>
      </c>
      <c r="DV88" s="659">
        <v>445.48</v>
      </c>
      <c r="DW88" s="659">
        <v>468.47</v>
      </c>
      <c r="DX88" s="659">
        <v>468.47</v>
      </c>
      <c r="DY88" s="659">
        <v>476.78</v>
      </c>
      <c r="DZ88" s="659">
        <v>476.78</v>
      </c>
      <c r="EA88" s="897">
        <v>511.06</v>
      </c>
      <c r="EB88" s="659">
        <v>520.77</v>
      </c>
      <c r="EC88" s="659">
        <v>520.77</v>
      </c>
      <c r="ED88" s="659">
        <v>520.77</v>
      </c>
      <c r="EE88" s="659">
        <v>520.77</v>
      </c>
      <c r="EF88" s="659">
        <v>543.16999999999996</v>
      </c>
      <c r="EG88" s="659">
        <v>561.13</v>
      </c>
      <c r="EH88" s="659">
        <v>561.13</v>
      </c>
      <c r="EI88" s="659">
        <v>595.89</v>
      </c>
      <c r="EJ88" s="659">
        <v>595.89</v>
      </c>
      <c r="EK88" s="623">
        <v>595.89</v>
      </c>
      <c r="EL88" s="725">
        <v>603.94000000000005</v>
      </c>
      <c r="EM88" s="659">
        <v>603.94000000000005</v>
      </c>
      <c r="EN88" s="783">
        <v>622.44000000000005</v>
      </c>
      <c r="EO88" s="659">
        <v>622.44000000000005</v>
      </c>
      <c r="EP88" s="659">
        <v>622.44000000000005</v>
      </c>
      <c r="EQ88" s="659">
        <v>622.44000000000005</v>
      </c>
      <c r="ER88" s="659">
        <v>619.39</v>
      </c>
      <c r="ES88" s="659">
        <v>619.37</v>
      </c>
      <c r="ET88" s="659">
        <v>619.37</v>
      </c>
      <c r="EU88" s="659">
        <v>633.29</v>
      </c>
      <c r="EV88" s="659">
        <v>633.29</v>
      </c>
      <c r="EW88" s="659">
        <v>633.29</v>
      </c>
      <c r="EX88" s="659">
        <v>641.32000000000005</v>
      </c>
      <c r="EY88" s="659">
        <v>660.35</v>
      </c>
      <c r="EZ88" s="783">
        <v>676.45</v>
      </c>
      <c r="FA88" s="659">
        <v>689.7</v>
      </c>
      <c r="FB88" s="659">
        <v>744.94</v>
      </c>
      <c r="FC88" s="659">
        <v>744.94</v>
      </c>
      <c r="FD88" s="659">
        <v>768.76</v>
      </c>
      <c r="FE88" s="659">
        <v>762.9</v>
      </c>
      <c r="FF88" s="659">
        <v>762.9</v>
      </c>
      <c r="FG88" s="659">
        <v>762.9</v>
      </c>
      <c r="FH88" s="659">
        <v>807.65</v>
      </c>
      <c r="FI88" s="659">
        <v>807.65</v>
      </c>
      <c r="FJ88" s="659">
        <v>807.65</v>
      </c>
      <c r="FK88" s="897">
        <v>819.68</v>
      </c>
      <c r="FL88" s="660">
        <v>870.56</v>
      </c>
      <c r="FM88" s="623">
        <v>870.56</v>
      </c>
      <c r="FN88" s="623">
        <v>870.56</v>
      </c>
      <c r="FO88" s="623">
        <v>883.05</v>
      </c>
      <c r="FP88" s="623">
        <v>932.51</v>
      </c>
      <c r="FQ88" s="623">
        <v>932.51</v>
      </c>
      <c r="FR88" s="623">
        <v>932.51</v>
      </c>
      <c r="FS88" s="623">
        <v>964.15</v>
      </c>
      <c r="FT88" s="623">
        <v>1021.15</v>
      </c>
      <c r="FU88" s="897">
        <v>1046.79</v>
      </c>
      <c r="FV88" s="1167">
        <f t="shared" si="0"/>
        <v>1.025108945796406</v>
      </c>
    </row>
    <row r="89" spans="1:178" s="115" customFormat="1" ht="18.95" customHeight="1">
      <c r="A89" s="1546">
        <v>1</v>
      </c>
      <c r="B89" s="408">
        <v>64</v>
      </c>
      <c r="C89" s="621"/>
      <c r="D89" s="622" t="s">
        <v>158</v>
      </c>
      <c r="E89" s="621" t="s">
        <v>918</v>
      </c>
      <c r="F89" s="622"/>
      <c r="G89" s="632" t="s">
        <v>64</v>
      </c>
      <c r="H89" s="621" t="s">
        <v>920</v>
      </c>
      <c r="I89" s="390" t="s">
        <v>921</v>
      </c>
      <c r="J89" s="676"/>
      <c r="K89" s="669">
        <v>95.4</v>
      </c>
      <c r="L89" s="665">
        <v>104.5</v>
      </c>
      <c r="M89" s="625">
        <v>116.3</v>
      </c>
      <c r="N89" s="625">
        <v>121.6</v>
      </c>
      <c r="O89" s="625">
        <v>133</v>
      </c>
      <c r="P89" s="625">
        <v>137.19999999999999</v>
      </c>
      <c r="Q89" s="625">
        <v>140.5</v>
      </c>
      <c r="R89" s="625">
        <v>141.80000000000001</v>
      </c>
      <c r="S89" s="625">
        <v>151.30000000000001</v>
      </c>
      <c r="T89" s="625">
        <v>154.19999999999999</v>
      </c>
      <c r="U89" s="625">
        <v>160.5</v>
      </c>
      <c r="V89" s="625">
        <v>160.5</v>
      </c>
      <c r="W89" s="625">
        <v>160.5</v>
      </c>
      <c r="X89" s="625">
        <v>160.5</v>
      </c>
      <c r="Y89" s="625">
        <v>160.5</v>
      </c>
      <c r="Z89" s="625">
        <v>163.1</v>
      </c>
      <c r="AA89" s="625">
        <v>163.5</v>
      </c>
      <c r="AB89" s="625">
        <v>163.5</v>
      </c>
      <c r="AC89" s="625">
        <v>162.1</v>
      </c>
      <c r="AD89" s="625">
        <v>162.1</v>
      </c>
      <c r="AE89" s="625">
        <v>163.5</v>
      </c>
      <c r="AF89" s="625">
        <v>163.30000000000001</v>
      </c>
      <c r="AG89" s="625">
        <v>163.69999999999999</v>
      </c>
      <c r="AH89" s="625">
        <v>165.6</v>
      </c>
      <c r="AI89" s="764">
        <v>168.2</v>
      </c>
      <c r="AJ89" s="772">
        <v>170.1</v>
      </c>
      <c r="AK89" s="625">
        <v>174.1</v>
      </c>
      <c r="AL89" s="625">
        <v>178.3</v>
      </c>
      <c r="AM89" s="625">
        <v>179.3</v>
      </c>
      <c r="AN89" s="625">
        <v>182.2</v>
      </c>
      <c r="AO89" s="625">
        <v>185.4</v>
      </c>
      <c r="AP89" s="625">
        <v>185.4</v>
      </c>
      <c r="AQ89" s="625">
        <v>191.2</v>
      </c>
      <c r="AR89" s="625">
        <v>184.2</v>
      </c>
      <c r="AS89" s="625">
        <v>185.5</v>
      </c>
      <c r="AT89" s="625">
        <v>186.6</v>
      </c>
      <c r="AU89" s="764">
        <v>187</v>
      </c>
      <c r="AV89" s="752">
        <v>192.3</v>
      </c>
      <c r="AW89" s="626">
        <v>192.3</v>
      </c>
      <c r="AX89" s="626">
        <v>193.4</v>
      </c>
      <c r="AY89" s="626">
        <v>194</v>
      </c>
      <c r="AZ89" s="626">
        <v>194</v>
      </c>
      <c r="BA89" s="626">
        <v>194</v>
      </c>
      <c r="BB89" s="626">
        <v>195.1</v>
      </c>
      <c r="BC89" s="627">
        <v>195.1</v>
      </c>
      <c r="BD89" s="626">
        <v>196.2</v>
      </c>
      <c r="BE89" s="627">
        <v>198.1</v>
      </c>
      <c r="BF89" s="627">
        <v>200.8</v>
      </c>
      <c r="BG89" s="738">
        <v>202.1</v>
      </c>
      <c r="BH89" s="660">
        <v>202.1</v>
      </c>
      <c r="BI89" s="623">
        <v>204.8</v>
      </c>
      <c r="BJ89" s="623">
        <v>209.3</v>
      </c>
      <c r="BK89" s="623">
        <v>209.3</v>
      </c>
      <c r="BL89" s="623">
        <v>212.8</v>
      </c>
      <c r="BM89" s="623">
        <v>212.8</v>
      </c>
      <c r="BN89" s="623">
        <v>216.2</v>
      </c>
      <c r="BO89" s="623">
        <v>223.4</v>
      </c>
      <c r="BP89" s="623">
        <v>229.8</v>
      </c>
      <c r="BQ89" s="623">
        <v>233.8</v>
      </c>
      <c r="BR89" s="623">
        <v>233.8</v>
      </c>
      <c r="BS89" s="659">
        <v>234</v>
      </c>
      <c r="BT89" s="660">
        <v>240.9</v>
      </c>
      <c r="BU89" s="623">
        <v>245.1</v>
      </c>
      <c r="BV89" s="623">
        <v>244.8</v>
      </c>
      <c r="BW89" s="623">
        <v>250.6</v>
      </c>
      <c r="BX89" s="623">
        <v>250.6</v>
      </c>
      <c r="BY89" s="623">
        <v>248</v>
      </c>
      <c r="BZ89" s="623">
        <v>254.4</v>
      </c>
      <c r="CA89" s="623">
        <v>259.60000000000002</v>
      </c>
      <c r="CB89" s="623">
        <v>265.7</v>
      </c>
      <c r="CC89" s="623">
        <v>269.5</v>
      </c>
      <c r="CD89" s="623">
        <v>274.5</v>
      </c>
      <c r="CE89" s="659">
        <v>279.2</v>
      </c>
      <c r="CF89" s="660">
        <v>284.3</v>
      </c>
      <c r="CG89" s="623">
        <v>291.7</v>
      </c>
      <c r="CH89" s="623">
        <v>298.39999999999998</v>
      </c>
      <c r="CI89" s="623">
        <v>307.8</v>
      </c>
      <c r="CJ89" s="623">
        <v>317.7</v>
      </c>
      <c r="CK89" s="623">
        <v>320.8</v>
      </c>
      <c r="CL89" s="623">
        <v>325.5</v>
      </c>
      <c r="CM89" s="623">
        <v>331.4</v>
      </c>
      <c r="CN89" s="623">
        <v>336.2</v>
      </c>
      <c r="CO89" s="623">
        <v>342.4</v>
      </c>
      <c r="CP89" s="623">
        <v>349.2</v>
      </c>
      <c r="CQ89" s="659">
        <v>349.2</v>
      </c>
      <c r="CR89" s="660">
        <v>349.2</v>
      </c>
      <c r="CS89" s="623">
        <v>349.2</v>
      </c>
      <c r="CT89" s="623">
        <v>349.2</v>
      </c>
      <c r="CU89" s="623">
        <v>347.6</v>
      </c>
      <c r="CV89" s="623">
        <v>347.2</v>
      </c>
      <c r="CW89" s="623">
        <v>344.8</v>
      </c>
      <c r="CX89" s="623">
        <v>344.8</v>
      </c>
      <c r="CY89" s="623">
        <v>347.9</v>
      </c>
      <c r="CZ89" s="623">
        <v>350.8</v>
      </c>
      <c r="DA89" s="623">
        <v>350.8</v>
      </c>
      <c r="DB89" s="725">
        <v>350.8</v>
      </c>
      <c r="DC89" s="659">
        <v>353.1</v>
      </c>
      <c r="DD89" s="783">
        <v>358.5</v>
      </c>
      <c r="DE89" s="623">
        <v>374.2</v>
      </c>
      <c r="DF89" s="725">
        <v>389.8</v>
      </c>
      <c r="DG89" s="659">
        <v>391</v>
      </c>
      <c r="DH89" s="623">
        <v>393.5</v>
      </c>
      <c r="DI89" s="623">
        <v>403.5</v>
      </c>
      <c r="DJ89" s="623">
        <v>418.6</v>
      </c>
      <c r="DK89" s="659">
        <v>424.3</v>
      </c>
      <c r="DL89" s="623">
        <v>422.9</v>
      </c>
      <c r="DM89" s="659">
        <v>423.8</v>
      </c>
      <c r="DN89" s="659">
        <v>427.4</v>
      </c>
      <c r="DO89" s="897">
        <v>434.9</v>
      </c>
      <c r="DP89" s="783">
        <v>438.5</v>
      </c>
      <c r="DQ89" s="659">
        <v>438.5</v>
      </c>
      <c r="DR89" s="659">
        <v>439.9</v>
      </c>
      <c r="DS89" s="659">
        <v>445.7</v>
      </c>
      <c r="DT89" s="623">
        <v>450.3</v>
      </c>
      <c r="DU89" s="659">
        <v>455.7</v>
      </c>
      <c r="DV89" s="659">
        <v>462</v>
      </c>
      <c r="DW89" s="659">
        <v>461.8</v>
      </c>
      <c r="DX89" s="659">
        <v>467.7</v>
      </c>
      <c r="DY89" s="659">
        <v>478.9</v>
      </c>
      <c r="DZ89" s="659">
        <v>487.1</v>
      </c>
      <c r="EA89" s="897">
        <v>488.8</v>
      </c>
      <c r="EB89" s="659">
        <v>493.9</v>
      </c>
      <c r="EC89" s="659">
        <v>499.2</v>
      </c>
      <c r="ED89" s="659">
        <v>504.2</v>
      </c>
      <c r="EE89" s="659">
        <v>513.20000000000005</v>
      </c>
      <c r="EF89" s="659">
        <v>516.5</v>
      </c>
      <c r="EG89" s="659">
        <v>528.29999999999995</v>
      </c>
      <c r="EH89" s="659">
        <v>527.20000000000005</v>
      </c>
      <c r="EI89" s="659">
        <v>533.29999999999995</v>
      </c>
      <c r="EJ89" s="659">
        <v>536.20000000000005</v>
      </c>
      <c r="EK89" s="623">
        <v>552.5</v>
      </c>
      <c r="EL89" s="725">
        <v>554.70000000000005</v>
      </c>
      <c r="EM89" s="659">
        <v>557.9</v>
      </c>
      <c r="EN89" s="783">
        <v>567.20000000000005</v>
      </c>
      <c r="EO89" s="659">
        <v>579.9</v>
      </c>
      <c r="EP89" s="659">
        <v>586</v>
      </c>
      <c r="EQ89" s="659">
        <v>588.20000000000005</v>
      </c>
      <c r="ER89" s="659">
        <v>598.79999999999995</v>
      </c>
      <c r="ES89" s="659">
        <v>611</v>
      </c>
      <c r="ET89" s="659">
        <v>622.79999999999995</v>
      </c>
      <c r="EU89" s="659">
        <v>639.79999999999995</v>
      </c>
      <c r="EV89" s="659">
        <v>643.6</v>
      </c>
      <c r="EW89" s="659">
        <v>632.79999999999995</v>
      </c>
      <c r="EX89" s="659">
        <v>648.1</v>
      </c>
      <c r="EY89" s="659">
        <v>666.3</v>
      </c>
      <c r="EZ89" s="783">
        <v>698</v>
      </c>
      <c r="FA89" s="659">
        <v>741.2</v>
      </c>
      <c r="FB89" s="659">
        <v>782.7</v>
      </c>
      <c r="FC89" s="659">
        <v>799.1</v>
      </c>
      <c r="FD89" s="659">
        <v>838.8</v>
      </c>
      <c r="FE89" s="659">
        <v>853.1</v>
      </c>
      <c r="FF89" s="659">
        <v>883.7</v>
      </c>
      <c r="FG89" s="659">
        <v>894.1</v>
      </c>
      <c r="FH89" s="659">
        <v>898.4</v>
      </c>
      <c r="FI89" s="659">
        <v>928</v>
      </c>
      <c r="FJ89" s="659">
        <v>917.7</v>
      </c>
      <c r="FK89" s="897">
        <v>928.9</v>
      </c>
      <c r="FL89" s="660">
        <v>940.8</v>
      </c>
      <c r="FM89" s="623">
        <v>943.4</v>
      </c>
      <c r="FN89" s="623">
        <v>982.8</v>
      </c>
      <c r="FO89" s="623">
        <v>980.3</v>
      </c>
      <c r="FP89" s="623">
        <v>1017</v>
      </c>
      <c r="FQ89" s="623">
        <v>1048</v>
      </c>
      <c r="FR89" s="623">
        <v>1071.2</v>
      </c>
      <c r="FS89" s="623">
        <v>1087.0999999999999</v>
      </c>
      <c r="FT89" s="623">
        <v>1133.5999999999999</v>
      </c>
      <c r="FU89" s="897">
        <v>1167.5</v>
      </c>
      <c r="FV89" s="1167">
        <f t="shared" si="0"/>
        <v>1.0299047282992237</v>
      </c>
    </row>
    <row r="90" spans="1:178" s="115" customFormat="1" ht="19.5" customHeight="1">
      <c r="A90" s="1546">
        <v>1</v>
      </c>
      <c r="B90" s="644">
        <v>65</v>
      </c>
      <c r="C90" s="645" t="s">
        <v>159</v>
      </c>
      <c r="D90" s="646" t="s">
        <v>160</v>
      </c>
      <c r="E90" s="645" t="s">
        <v>918</v>
      </c>
      <c r="F90" s="646"/>
      <c r="G90" s="645" t="s">
        <v>919</v>
      </c>
      <c r="H90" s="645" t="s">
        <v>920</v>
      </c>
      <c r="I90" s="876" t="s">
        <v>161</v>
      </c>
      <c r="J90" s="869"/>
      <c r="K90" s="877">
        <v>144.27000000000001</v>
      </c>
      <c r="L90" s="878">
        <v>144.27000000000001</v>
      </c>
      <c r="M90" s="879">
        <v>135</v>
      </c>
      <c r="N90" s="879">
        <v>138.71</v>
      </c>
      <c r="O90" s="879">
        <v>250.45</v>
      </c>
      <c r="P90" s="879">
        <v>323.64999999999998</v>
      </c>
      <c r="Q90" s="879">
        <v>373.5</v>
      </c>
      <c r="R90" s="879">
        <v>479.77</v>
      </c>
      <c r="S90" s="879">
        <v>518.75</v>
      </c>
      <c r="T90" s="879">
        <v>528.48</v>
      </c>
      <c r="U90" s="879">
        <v>544.33000000000004</v>
      </c>
      <c r="V90" s="879">
        <v>539.70000000000005</v>
      </c>
      <c r="W90" s="879">
        <v>495.82</v>
      </c>
      <c r="X90" s="879">
        <v>487.32</v>
      </c>
      <c r="Y90" s="879">
        <v>549.21</v>
      </c>
      <c r="Z90" s="879">
        <v>593.36</v>
      </c>
      <c r="AA90" s="879">
        <v>541.62</v>
      </c>
      <c r="AB90" s="879">
        <v>565.61</v>
      </c>
      <c r="AC90" s="879">
        <v>470.33</v>
      </c>
      <c r="AD90" s="879">
        <v>484.41</v>
      </c>
      <c r="AE90" s="879">
        <v>478.48</v>
      </c>
      <c r="AF90" s="879">
        <v>470.51</v>
      </c>
      <c r="AG90" s="879">
        <v>510.81</v>
      </c>
      <c r="AH90" s="879">
        <v>495.43</v>
      </c>
      <c r="AI90" s="880">
        <v>499.12</v>
      </c>
      <c r="AJ90" s="881">
        <v>516.15</v>
      </c>
      <c r="AK90" s="879">
        <v>558.69000000000005</v>
      </c>
      <c r="AL90" s="879">
        <v>532.24</v>
      </c>
      <c r="AM90" s="879">
        <v>532.74</v>
      </c>
      <c r="AN90" s="879">
        <v>578.74</v>
      </c>
      <c r="AO90" s="879">
        <v>590.67999999999995</v>
      </c>
      <c r="AP90" s="879">
        <v>607.45000000000005</v>
      </c>
      <c r="AQ90" s="879">
        <v>603.08000000000004</v>
      </c>
      <c r="AR90" s="879">
        <v>579.45000000000005</v>
      </c>
      <c r="AS90" s="879">
        <v>537.44000000000005</v>
      </c>
      <c r="AT90" s="879">
        <v>545.94000000000005</v>
      </c>
      <c r="AU90" s="880">
        <v>537.84</v>
      </c>
      <c r="AV90" s="882">
        <v>543.97</v>
      </c>
      <c r="AW90" s="883">
        <v>550.14</v>
      </c>
      <c r="AX90" s="883">
        <v>564.12</v>
      </c>
      <c r="AY90" s="883">
        <v>580.55999999999995</v>
      </c>
      <c r="AZ90" s="883">
        <v>631.61</v>
      </c>
      <c r="BA90" s="883">
        <v>626.85</v>
      </c>
      <c r="BB90" s="883">
        <v>650.79999999999995</v>
      </c>
      <c r="BC90" s="884">
        <v>682.31</v>
      </c>
      <c r="BD90" s="883">
        <v>688.77</v>
      </c>
      <c r="BE90" s="884">
        <v>761.62</v>
      </c>
      <c r="BF90" s="884">
        <v>781.43</v>
      </c>
      <c r="BG90" s="885">
        <v>740.99</v>
      </c>
      <c r="BH90" s="886">
        <v>752.41</v>
      </c>
      <c r="BI90" s="887">
        <v>741.36</v>
      </c>
      <c r="BJ90" s="887">
        <v>779.69</v>
      </c>
      <c r="BK90" s="887">
        <v>775.34</v>
      </c>
      <c r="BL90" s="887">
        <v>796.27</v>
      </c>
      <c r="BM90" s="887">
        <v>781.32</v>
      </c>
      <c r="BN90" s="887">
        <v>814.42</v>
      </c>
      <c r="BO90" s="887">
        <v>823.29</v>
      </c>
      <c r="BP90" s="887">
        <v>857.76</v>
      </c>
      <c r="BQ90" s="887">
        <v>844.59</v>
      </c>
      <c r="BR90" s="887">
        <v>810.27</v>
      </c>
      <c r="BS90" s="888">
        <v>799.03</v>
      </c>
      <c r="BT90" s="886">
        <v>776.75</v>
      </c>
      <c r="BU90" s="887">
        <v>762.36</v>
      </c>
      <c r="BV90" s="887">
        <v>730.05</v>
      </c>
      <c r="BW90" s="887">
        <v>765.72</v>
      </c>
      <c r="BX90" s="887">
        <v>794.14</v>
      </c>
      <c r="BY90" s="887">
        <v>879.12</v>
      </c>
      <c r="BZ90" s="887">
        <v>1111.18</v>
      </c>
      <c r="CA90" s="887">
        <v>1111.18</v>
      </c>
      <c r="CB90" s="887">
        <v>1001.03</v>
      </c>
      <c r="CC90" s="887">
        <v>935.32</v>
      </c>
      <c r="CD90" s="887">
        <v>950.08</v>
      </c>
      <c r="CE90" s="888">
        <v>967.21</v>
      </c>
      <c r="CF90" s="886">
        <v>965.31</v>
      </c>
      <c r="CG90" s="887">
        <v>966.42</v>
      </c>
      <c r="CH90" s="887">
        <v>945.95</v>
      </c>
      <c r="CI90" s="887">
        <v>987.27</v>
      </c>
      <c r="CJ90" s="887">
        <v>1001.52</v>
      </c>
      <c r="CK90" s="887">
        <v>969.11</v>
      </c>
      <c r="CL90" s="887">
        <v>954.03</v>
      </c>
      <c r="CM90" s="887">
        <v>928.17</v>
      </c>
      <c r="CN90" s="887">
        <v>924.51</v>
      </c>
      <c r="CO90" s="887">
        <v>931.5</v>
      </c>
      <c r="CP90" s="887">
        <v>943.22</v>
      </c>
      <c r="CQ90" s="888">
        <v>931.55</v>
      </c>
      <c r="CR90" s="886">
        <v>926.71</v>
      </c>
      <c r="CS90" s="887">
        <v>932.07</v>
      </c>
      <c r="CT90" s="887">
        <v>844.97</v>
      </c>
      <c r="CU90" s="887">
        <v>868.32</v>
      </c>
      <c r="CV90" s="887">
        <v>960.52</v>
      </c>
      <c r="CW90" s="887">
        <v>1054.1400000000001</v>
      </c>
      <c r="CX90" s="887">
        <v>1078.0999999999999</v>
      </c>
      <c r="CY90" s="887">
        <v>1083.6199999999999</v>
      </c>
      <c r="CZ90" s="887">
        <v>1085.25</v>
      </c>
      <c r="DA90" s="887">
        <v>1116.3599999999999</v>
      </c>
      <c r="DB90" s="889">
        <v>1126.6199999999999</v>
      </c>
      <c r="DC90" s="888">
        <v>1183.76</v>
      </c>
      <c r="DD90" s="890">
        <v>1145.0999999999999</v>
      </c>
      <c r="DE90" s="887">
        <v>1133.5899999999999</v>
      </c>
      <c r="DF90" s="889">
        <v>1090.07</v>
      </c>
      <c r="DG90" s="888">
        <v>1236.8699999999999</v>
      </c>
      <c r="DH90" s="887">
        <v>1383.37</v>
      </c>
      <c r="DI90" s="887">
        <v>1426.71</v>
      </c>
      <c r="DJ90" s="887">
        <v>1600.79</v>
      </c>
      <c r="DK90" s="888">
        <v>1608.47</v>
      </c>
      <c r="DL90" s="887">
        <v>1587.37</v>
      </c>
      <c r="DM90" s="888">
        <v>1541.19</v>
      </c>
      <c r="DN90" s="659">
        <v>1484.34</v>
      </c>
      <c r="DO90" s="897">
        <v>1511.83</v>
      </c>
      <c r="DP90" s="783">
        <v>1629.29</v>
      </c>
      <c r="DQ90" s="659">
        <v>1659.34</v>
      </c>
      <c r="DR90" s="659">
        <v>1650.68</v>
      </c>
      <c r="DS90" s="659">
        <v>1692.52</v>
      </c>
      <c r="DT90" s="623">
        <v>1764.92</v>
      </c>
      <c r="DU90" s="659">
        <v>1797.27</v>
      </c>
      <c r="DV90" s="659">
        <v>1872.18</v>
      </c>
      <c r="DW90" s="659">
        <v>1925.6</v>
      </c>
      <c r="DX90" s="659">
        <v>1888.43</v>
      </c>
      <c r="DY90" s="659">
        <v>1891.12</v>
      </c>
      <c r="DZ90" s="659">
        <v>1851.88</v>
      </c>
      <c r="EA90" s="897">
        <v>1865.28</v>
      </c>
      <c r="EB90" s="659">
        <v>1885.18</v>
      </c>
      <c r="EC90" s="659">
        <v>1891.98</v>
      </c>
      <c r="ED90" s="659">
        <v>1862.15</v>
      </c>
      <c r="EE90" s="659">
        <v>1885.79</v>
      </c>
      <c r="EF90" s="659">
        <v>1947.39</v>
      </c>
      <c r="EG90" s="659">
        <v>1933.24</v>
      </c>
      <c r="EH90" s="659">
        <v>1952.19</v>
      </c>
      <c r="EI90" s="659">
        <v>1950.67</v>
      </c>
      <c r="EJ90" s="659">
        <v>1903.47</v>
      </c>
      <c r="EK90" s="623">
        <v>1936.48</v>
      </c>
      <c r="EL90" s="725">
        <v>1957.96</v>
      </c>
      <c r="EM90" s="659">
        <v>1959.46</v>
      </c>
      <c r="EN90" s="783">
        <v>1944.22</v>
      </c>
      <c r="EO90" s="659">
        <v>1921.11</v>
      </c>
      <c r="EP90" s="659">
        <v>1938.93</v>
      </c>
      <c r="EQ90" s="659">
        <v>1933.94</v>
      </c>
      <c r="ER90" s="659">
        <v>1995.77</v>
      </c>
      <c r="ES90" s="659">
        <v>2000.67</v>
      </c>
      <c r="ET90" s="659">
        <v>1992.11</v>
      </c>
      <c r="EU90" s="659">
        <v>2025.03</v>
      </c>
      <c r="EV90" s="659">
        <v>2044.35</v>
      </c>
      <c r="EW90" s="659">
        <v>2038.96</v>
      </c>
      <c r="EX90" s="659">
        <v>2049.59</v>
      </c>
      <c r="EY90" s="659">
        <v>2053.0500000000002</v>
      </c>
      <c r="EZ90" s="783">
        <v>2278.9699999999998</v>
      </c>
      <c r="FA90" s="659">
        <v>2387.9</v>
      </c>
      <c r="FB90" s="659">
        <v>2363.56</v>
      </c>
      <c r="FC90" s="659">
        <v>2386.9</v>
      </c>
      <c r="FD90" s="659">
        <v>2405.46</v>
      </c>
      <c r="FE90" s="659">
        <v>2468.4</v>
      </c>
      <c r="FF90" s="659">
        <v>2550.85</v>
      </c>
      <c r="FG90" s="659">
        <v>2547.36</v>
      </c>
      <c r="FH90" s="659">
        <v>2610.7600000000002</v>
      </c>
      <c r="FI90" s="659">
        <v>2592.17</v>
      </c>
      <c r="FJ90" s="659">
        <v>2591.5</v>
      </c>
      <c r="FK90" s="897">
        <v>2625.19</v>
      </c>
      <c r="FL90" s="660">
        <v>2357.6</v>
      </c>
      <c r="FM90" s="623">
        <v>2274.58</v>
      </c>
      <c r="FN90" s="623">
        <v>2241.65</v>
      </c>
      <c r="FO90" s="623">
        <v>2177.87</v>
      </c>
      <c r="FP90" s="623">
        <v>2184.11</v>
      </c>
      <c r="FQ90" s="623">
        <v>2207.6799999999998</v>
      </c>
      <c r="FR90" s="623">
        <v>2302.36</v>
      </c>
      <c r="FS90" s="623">
        <v>2362.59</v>
      </c>
      <c r="FT90" s="623">
        <v>2387.5100000000002</v>
      </c>
      <c r="FU90" s="897">
        <v>2343.37</v>
      </c>
      <c r="FV90" s="1167">
        <f t="shared" si="0"/>
        <v>0.98151211932096605</v>
      </c>
    </row>
    <row r="91" spans="1:178" s="115" customFormat="1" ht="19.5" customHeight="1">
      <c r="A91" s="1546">
        <v>1</v>
      </c>
      <c r="B91" s="408">
        <v>66</v>
      </c>
      <c r="C91" s="621" t="s">
        <v>162</v>
      </c>
      <c r="D91" s="622" t="s">
        <v>163</v>
      </c>
      <c r="E91" s="621" t="s">
        <v>918</v>
      </c>
      <c r="F91" s="622"/>
      <c r="G91" s="621" t="s">
        <v>929</v>
      </c>
      <c r="H91" s="621" t="s">
        <v>930</v>
      </c>
      <c r="I91" s="390" t="s">
        <v>164</v>
      </c>
      <c r="J91" s="651"/>
      <c r="K91" s="669">
        <v>109</v>
      </c>
      <c r="L91" s="665">
        <v>141.4</v>
      </c>
      <c r="M91" s="625">
        <v>162.6</v>
      </c>
      <c r="N91" s="625">
        <v>168.4</v>
      </c>
      <c r="O91" s="625">
        <v>199</v>
      </c>
      <c r="P91" s="625">
        <v>198.2</v>
      </c>
      <c r="Q91" s="625">
        <v>244.7</v>
      </c>
      <c r="R91" s="625">
        <v>227.3</v>
      </c>
      <c r="S91" s="625">
        <v>230.2</v>
      </c>
      <c r="T91" s="625">
        <v>233.9</v>
      </c>
      <c r="U91" s="625">
        <v>223.5</v>
      </c>
      <c r="V91" s="625">
        <v>218.5</v>
      </c>
      <c r="W91" s="625">
        <v>218.5</v>
      </c>
      <c r="X91" s="625">
        <v>217.4</v>
      </c>
      <c r="Y91" s="625">
        <v>217.6</v>
      </c>
      <c r="Z91" s="625">
        <v>215.4</v>
      </c>
      <c r="AA91" s="625">
        <v>213.1</v>
      </c>
      <c r="AB91" s="625">
        <v>208.9</v>
      </c>
      <c r="AC91" s="625">
        <v>207.3</v>
      </c>
      <c r="AD91" s="625">
        <v>207.1</v>
      </c>
      <c r="AE91" s="625">
        <v>207.1</v>
      </c>
      <c r="AF91" s="625">
        <v>207.1</v>
      </c>
      <c r="AG91" s="625">
        <v>205.5</v>
      </c>
      <c r="AH91" s="625">
        <v>203.2</v>
      </c>
      <c r="AI91" s="764">
        <v>203.1</v>
      </c>
      <c r="AJ91" s="772">
        <v>200.7</v>
      </c>
      <c r="AK91" s="625">
        <v>200.7</v>
      </c>
      <c r="AL91" s="625">
        <v>200.6</v>
      </c>
      <c r="AM91" s="625">
        <v>203.1</v>
      </c>
      <c r="AN91" s="625">
        <v>201.4</v>
      </c>
      <c r="AO91" s="625">
        <v>206.2</v>
      </c>
      <c r="AP91" s="625">
        <v>206.2</v>
      </c>
      <c r="AQ91" s="625">
        <v>208.5</v>
      </c>
      <c r="AR91" s="625">
        <v>208.9</v>
      </c>
      <c r="AS91" s="625">
        <v>212.9</v>
      </c>
      <c r="AT91" s="625">
        <v>214.3</v>
      </c>
      <c r="AU91" s="764">
        <v>214.16</v>
      </c>
      <c r="AV91" s="752">
        <v>218.9</v>
      </c>
      <c r="AW91" s="626">
        <v>222.5</v>
      </c>
      <c r="AX91" s="626">
        <v>222.6</v>
      </c>
      <c r="AY91" s="626">
        <v>219.4</v>
      </c>
      <c r="AZ91" s="626">
        <v>219.5</v>
      </c>
      <c r="BA91" s="626">
        <v>218.8</v>
      </c>
      <c r="BB91" s="626">
        <v>218.8</v>
      </c>
      <c r="BC91" s="627">
        <v>218.8</v>
      </c>
      <c r="BD91" s="626">
        <v>217.4</v>
      </c>
      <c r="BE91" s="627">
        <v>216.9</v>
      </c>
      <c r="BF91" s="627">
        <v>219</v>
      </c>
      <c r="BG91" s="738">
        <v>225.1</v>
      </c>
      <c r="BH91" s="660">
        <v>223.6</v>
      </c>
      <c r="BI91" s="623">
        <v>226.6</v>
      </c>
      <c r="BJ91" s="623">
        <v>227.3</v>
      </c>
      <c r="BK91" s="623">
        <v>233.6</v>
      </c>
      <c r="BL91" s="623">
        <v>236</v>
      </c>
      <c r="BM91" s="623">
        <v>250</v>
      </c>
      <c r="BN91" s="623">
        <v>253.1</v>
      </c>
      <c r="BO91" s="623">
        <v>254.2</v>
      </c>
      <c r="BP91" s="623">
        <v>253.4</v>
      </c>
      <c r="BQ91" s="623">
        <v>255.5</v>
      </c>
      <c r="BR91" s="623">
        <v>255.5</v>
      </c>
      <c r="BS91" s="659">
        <v>255.5</v>
      </c>
      <c r="BT91" s="660">
        <v>255.5</v>
      </c>
      <c r="BU91" s="623">
        <v>255.5</v>
      </c>
      <c r="BV91" s="623">
        <v>255.5</v>
      </c>
      <c r="BW91" s="623">
        <v>259.3</v>
      </c>
      <c r="BX91" s="623">
        <v>260.8</v>
      </c>
      <c r="BY91" s="623">
        <v>261.10000000000002</v>
      </c>
      <c r="BZ91" s="623">
        <v>262.89999999999998</v>
      </c>
      <c r="CA91" s="623">
        <v>263.60000000000002</v>
      </c>
      <c r="CB91" s="623">
        <v>263.60000000000002</v>
      </c>
      <c r="CC91" s="623">
        <v>263.60000000000002</v>
      </c>
      <c r="CD91" s="623">
        <v>263.60000000000002</v>
      </c>
      <c r="CE91" s="659">
        <v>263.39999999999998</v>
      </c>
      <c r="CF91" s="660">
        <v>257.39999999999998</v>
      </c>
      <c r="CG91" s="623">
        <v>239.2</v>
      </c>
      <c r="CH91" s="623">
        <v>240.9</v>
      </c>
      <c r="CI91" s="623">
        <v>240.9</v>
      </c>
      <c r="CJ91" s="623">
        <v>245.9</v>
      </c>
      <c r="CK91" s="623">
        <v>246.6</v>
      </c>
      <c r="CL91" s="623">
        <v>242.8</v>
      </c>
      <c r="CM91" s="623">
        <v>248.1</v>
      </c>
      <c r="CN91" s="623">
        <v>248.1</v>
      </c>
      <c r="CO91" s="623">
        <v>248.1</v>
      </c>
      <c r="CP91" s="623">
        <v>250.7</v>
      </c>
      <c r="CQ91" s="659">
        <v>246.5</v>
      </c>
      <c r="CR91" s="660">
        <v>244.6</v>
      </c>
      <c r="CS91" s="623">
        <v>243.5</v>
      </c>
      <c r="CT91" s="623">
        <v>241.9</v>
      </c>
      <c r="CU91" s="623">
        <v>241.9</v>
      </c>
      <c r="CV91" s="623">
        <v>241.9</v>
      </c>
      <c r="CW91" s="623">
        <v>236.8</v>
      </c>
      <c r="CX91" s="623">
        <v>236.4</v>
      </c>
      <c r="CY91" s="623">
        <v>236.4</v>
      </c>
      <c r="CZ91" s="623">
        <v>236.4</v>
      </c>
      <c r="DA91" s="623">
        <v>238.1</v>
      </c>
      <c r="DB91" s="725">
        <v>238.1</v>
      </c>
      <c r="DC91" s="659">
        <v>238.9</v>
      </c>
      <c r="DD91" s="783">
        <v>244.5</v>
      </c>
      <c r="DE91" s="623">
        <v>244.7</v>
      </c>
      <c r="DF91" s="725">
        <v>247</v>
      </c>
      <c r="DG91" s="659">
        <v>244.9</v>
      </c>
      <c r="DH91" s="623">
        <v>253.7</v>
      </c>
      <c r="DI91" s="623">
        <v>252.3</v>
      </c>
      <c r="DJ91" s="623">
        <v>253.8</v>
      </c>
      <c r="DK91" s="659">
        <v>266.60000000000002</v>
      </c>
      <c r="DL91" s="623">
        <v>270</v>
      </c>
      <c r="DM91" s="659">
        <v>278.3</v>
      </c>
      <c r="DN91" s="659">
        <v>278.3</v>
      </c>
      <c r="DO91" s="897">
        <v>285.3</v>
      </c>
      <c r="DP91" s="783">
        <v>291.10000000000002</v>
      </c>
      <c r="DQ91" s="659">
        <v>294.60000000000002</v>
      </c>
      <c r="DR91" s="659">
        <v>298.10000000000002</v>
      </c>
      <c r="DS91" s="659">
        <v>301.39999999999998</v>
      </c>
      <c r="DT91" s="623">
        <v>302.89999999999998</v>
      </c>
      <c r="DU91" s="659">
        <v>302.89999999999998</v>
      </c>
      <c r="DV91" s="659">
        <v>306.60000000000002</v>
      </c>
      <c r="DW91" s="659">
        <v>308.5</v>
      </c>
      <c r="DX91" s="659">
        <v>309</v>
      </c>
      <c r="DY91" s="659">
        <v>317</v>
      </c>
      <c r="DZ91" s="659">
        <v>319</v>
      </c>
      <c r="EA91" s="897">
        <v>319</v>
      </c>
      <c r="EB91" s="659">
        <v>319</v>
      </c>
      <c r="EC91" s="659">
        <v>321.3</v>
      </c>
      <c r="ED91" s="659">
        <v>323.60000000000002</v>
      </c>
      <c r="EE91" s="659">
        <v>349.8</v>
      </c>
      <c r="EF91" s="659">
        <v>351.8</v>
      </c>
      <c r="EG91" s="659">
        <v>354.8</v>
      </c>
      <c r="EH91" s="659">
        <v>368.6</v>
      </c>
      <c r="EI91" s="659">
        <v>370.5</v>
      </c>
      <c r="EJ91" s="659">
        <v>370.5</v>
      </c>
      <c r="EK91" s="623">
        <v>370.5</v>
      </c>
      <c r="EL91" s="725">
        <v>381.2</v>
      </c>
      <c r="EM91" s="659">
        <v>389.3</v>
      </c>
      <c r="EN91" s="783">
        <v>389.3</v>
      </c>
      <c r="EO91" s="659">
        <v>389.3</v>
      </c>
      <c r="EP91" s="659">
        <v>392.3</v>
      </c>
      <c r="EQ91" s="659">
        <v>406.5</v>
      </c>
      <c r="ER91" s="659">
        <v>411</v>
      </c>
      <c r="ES91" s="659">
        <v>416.6</v>
      </c>
      <c r="ET91" s="659">
        <v>425.8</v>
      </c>
      <c r="EU91" s="659">
        <v>429</v>
      </c>
      <c r="EV91" s="659">
        <v>435.1</v>
      </c>
      <c r="EW91" s="659">
        <v>441.8</v>
      </c>
      <c r="EX91" s="659">
        <v>463.1</v>
      </c>
      <c r="EY91" s="659">
        <v>463.9</v>
      </c>
      <c r="EZ91" s="783">
        <v>488.5</v>
      </c>
      <c r="FA91" s="659">
        <v>576.79999999999995</v>
      </c>
      <c r="FB91" s="659">
        <v>598.1</v>
      </c>
      <c r="FC91" s="659">
        <v>598.1</v>
      </c>
      <c r="FD91" s="659">
        <v>610.79999999999995</v>
      </c>
      <c r="FE91" s="659">
        <v>610.9</v>
      </c>
      <c r="FF91" s="659">
        <v>633.20000000000005</v>
      </c>
      <c r="FG91" s="659">
        <v>643.5</v>
      </c>
      <c r="FH91" s="659">
        <v>656.3</v>
      </c>
      <c r="FI91" s="659">
        <v>672.6</v>
      </c>
      <c r="FJ91" s="659">
        <v>696.3</v>
      </c>
      <c r="FK91" s="897">
        <v>702.9</v>
      </c>
      <c r="FL91" s="660">
        <v>722.9</v>
      </c>
      <c r="FM91" s="623">
        <v>751.9</v>
      </c>
      <c r="FN91" s="623">
        <v>751.9</v>
      </c>
      <c r="FO91" s="623">
        <v>751.9</v>
      </c>
      <c r="FP91" s="623">
        <v>776</v>
      </c>
      <c r="FQ91" s="623">
        <v>779.4</v>
      </c>
      <c r="FR91" s="623">
        <v>792.4</v>
      </c>
      <c r="FS91" s="623">
        <v>797.3</v>
      </c>
      <c r="FT91" s="623">
        <v>833.9</v>
      </c>
      <c r="FU91" s="897">
        <v>843.8</v>
      </c>
      <c r="FV91" s="1167">
        <f t="shared" si="0"/>
        <v>1.0118719270895791</v>
      </c>
    </row>
    <row r="92" spans="1:178" s="115" customFormat="1" ht="18.95" customHeight="1">
      <c r="A92" s="1546">
        <v>1</v>
      </c>
      <c r="B92" s="408">
        <v>67</v>
      </c>
      <c r="C92" s="621" t="s">
        <v>165</v>
      </c>
      <c r="D92" s="622" t="s">
        <v>166</v>
      </c>
      <c r="E92" s="621" t="s">
        <v>918</v>
      </c>
      <c r="F92" s="622"/>
      <c r="G92" s="621" t="s">
        <v>919</v>
      </c>
      <c r="H92" s="621" t="s">
        <v>920</v>
      </c>
      <c r="I92" s="390"/>
      <c r="J92" s="651"/>
      <c r="K92" s="669">
        <v>126.2</v>
      </c>
      <c r="L92" s="665">
        <v>125.09</v>
      </c>
      <c r="M92" s="625">
        <v>125.15</v>
      </c>
      <c r="N92" s="625">
        <v>140.52000000000001</v>
      </c>
      <c r="O92" s="625">
        <v>188.01</v>
      </c>
      <c r="P92" s="625">
        <v>244.81</v>
      </c>
      <c r="Q92" s="625">
        <v>297</v>
      </c>
      <c r="R92" s="625">
        <v>323.32</v>
      </c>
      <c r="S92" s="625">
        <v>343.33</v>
      </c>
      <c r="T92" s="625">
        <v>370.81</v>
      </c>
      <c r="U92" s="625">
        <v>382.18</v>
      </c>
      <c r="V92" s="625">
        <v>384.52</v>
      </c>
      <c r="W92" s="625">
        <v>383.54</v>
      </c>
      <c r="X92" s="625">
        <v>406.07</v>
      </c>
      <c r="Y92" s="625">
        <v>406.51</v>
      </c>
      <c r="Z92" s="625">
        <v>406.9</v>
      </c>
      <c r="AA92" s="625">
        <v>406.68</v>
      </c>
      <c r="AB92" s="625">
        <v>406.68</v>
      </c>
      <c r="AC92" s="625">
        <v>402.3</v>
      </c>
      <c r="AD92" s="625">
        <v>399.57</v>
      </c>
      <c r="AE92" s="625">
        <v>399.57</v>
      </c>
      <c r="AF92" s="625">
        <v>399.57</v>
      </c>
      <c r="AG92" s="625">
        <v>399.57</v>
      </c>
      <c r="AH92" s="625">
        <v>399.57</v>
      </c>
      <c r="AI92" s="764">
        <v>399.57</v>
      </c>
      <c r="AJ92" s="772">
        <v>399.95</v>
      </c>
      <c r="AK92" s="625">
        <v>399.95</v>
      </c>
      <c r="AL92" s="625">
        <v>400.47</v>
      </c>
      <c r="AM92" s="625">
        <v>400.73</v>
      </c>
      <c r="AN92" s="625">
        <v>405.2</v>
      </c>
      <c r="AO92" s="625">
        <v>407.47</v>
      </c>
      <c r="AP92" s="625">
        <v>409.3</v>
      </c>
      <c r="AQ92" s="625">
        <v>425.51</v>
      </c>
      <c r="AR92" s="625">
        <v>430.59</v>
      </c>
      <c r="AS92" s="625">
        <v>430.82</v>
      </c>
      <c r="AT92" s="625">
        <v>430.93</v>
      </c>
      <c r="AU92" s="764">
        <v>431.16</v>
      </c>
      <c r="AV92" s="752">
        <v>431.16</v>
      </c>
      <c r="AW92" s="626">
        <v>431.16</v>
      </c>
      <c r="AX92" s="626">
        <v>434.92</v>
      </c>
      <c r="AY92" s="626">
        <v>434.58</v>
      </c>
      <c r="AZ92" s="626">
        <v>433.74</v>
      </c>
      <c r="BA92" s="626">
        <v>430.24</v>
      </c>
      <c r="BB92" s="626">
        <v>430.24</v>
      </c>
      <c r="BC92" s="627">
        <v>430.08</v>
      </c>
      <c r="BD92" s="626">
        <v>430.42</v>
      </c>
      <c r="BE92" s="627">
        <v>431.1</v>
      </c>
      <c r="BF92" s="627">
        <v>431.1</v>
      </c>
      <c r="BG92" s="738">
        <v>431.1</v>
      </c>
      <c r="BH92" s="660">
        <v>431.1</v>
      </c>
      <c r="BI92" s="623">
        <v>431.1</v>
      </c>
      <c r="BJ92" s="623">
        <v>441.23</v>
      </c>
      <c r="BK92" s="623">
        <v>431.2</v>
      </c>
      <c r="BL92" s="623">
        <v>431.2</v>
      </c>
      <c r="BM92" s="623">
        <v>431.25</v>
      </c>
      <c r="BN92" s="623">
        <v>431.25</v>
      </c>
      <c r="BO92" s="623">
        <v>431.25</v>
      </c>
      <c r="BP92" s="623">
        <v>432.07</v>
      </c>
      <c r="BQ92" s="623">
        <v>431.25</v>
      </c>
      <c r="BR92" s="623">
        <v>431.2</v>
      </c>
      <c r="BS92" s="659">
        <v>431.2</v>
      </c>
      <c r="BT92" s="660">
        <v>431.2</v>
      </c>
      <c r="BU92" s="623">
        <v>431.25</v>
      </c>
      <c r="BV92" s="623">
        <v>431.25</v>
      </c>
      <c r="BW92" s="623">
        <v>431.25</v>
      </c>
      <c r="BX92" s="623">
        <v>435.57</v>
      </c>
      <c r="BY92" s="623">
        <v>437.96</v>
      </c>
      <c r="BZ92" s="623">
        <v>444.17</v>
      </c>
      <c r="CA92" s="623">
        <v>440.98</v>
      </c>
      <c r="CB92" s="623">
        <v>443.35</v>
      </c>
      <c r="CC92" s="623">
        <v>445.21</v>
      </c>
      <c r="CD92" s="623">
        <v>448.22</v>
      </c>
      <c r="CE92" s="659">
        <v>456.08</v>
      </c>
      <c r="CF92" s="660">
        <v>448.6</v>
      </c>
      <c r="CG92" s="623">
        <v>420.39</v>
      </c>
      <c r="CH92" s="623">
        <v>418.16</v>
      </c>
      <c r="CI92" s="623">
        <v>423.22</v>
      </c>
      <c r="CJ92" s="623">
        <v>438.77</v>
      </c>
      <c r="CK92" s="623">
        <v>448.78</v>
      </c>
      <c r="CL92" s="623">
        <v>454.18</v>
      </c>
      <c r="CM92" s="623">
        <v>450.71</v>
      </c>
      <c r="CN92" s="623">
        <v>453.07</v>
      </c>
      <c r="CO92" s="623">
        <v>454.67</v>
      </c>
      <c r="CP92" s="623">
        <v>458.77</v>
      </c>
      <c r="CQ92" s="659">
        <v>463.22</v>
      </c>
      <c r="CR92" s="660">
        <v>471.3</v>
      </c>
      <c r="CS92" s="623">
        <v>482.05</v>
      </c>
      <c r="CT92" s="623">
        <v>495.91</v>
      </c>
      <c r="CU92" s="623">
        <v>519.02</v>
      </c>
      <c r="CV92" s="623">
        <v>534.95000000000005</v>
      </c>
      <c r="CW92" s="623">
        <v>555.30999999999995</v>
      </c>
      <c r="CX92" s="623">
        <v>582.22</v>
      </c>
      <c r="CY92" s="623">
        <v>584.62</v>
      </c>
      <c r="CZ92" s="623">
        <v>586.39</v>
      </c>
      <c r="DA92" s="623">
        <v>604.54</v>
      </c>
      <c r="DB92" s="725">
        <v>606.80999999999995</v>
      </c>
      <c r="DC92" s="659">
        <v>609.45000000000005</v>
      </c>
      <c r="DD92" s="783">
        <v>609.84</v>
      </c>
      <c r="DE92" s="623">
        <v>610.65</v>
      </c>
      <c r="DF92" s="725">
        <v>615.25</v>
      </c>
      <c r="DG92" s="659">
        <v>635.57000000000005</v>
      </c>
      <c r="DH92" s="623">
        <v>655.53</v>
      </c>
      <c r="DI92" s="623">
        <v>679.52</v>
      </c>
      <c r="DJ92" s="623">
        <v>693.53</v>
      </c>
      <c r="DK92" s="659">
        <v>709.66</v>
      </c>
      <c r="DL92" s="623">
        <v>721.1</v>
      </c>
      <c r="DM92" s="659">
        <v>721.1</v>
      </c>
      <c r="DN92" s="659">
        <v>726.54</v>
      </c>
      <c r="DO92" s="897">
        <v>745.61</v>
      </c>
      <c r="DP92" s="783">
        <v>775.48</v>
      </c>
      <c r="DQ92" s="659">
        <v>777.44</v>
      </c>
      <c r="DR92" s="659">
        <v>784.16</v>
      </c>
      <c r="DS92" s="659">
        <v>822.74</v>
      </c>
      <c r="DT92" s="623">
        <v>835.98</v>
      </c>
      <c r="DU92" s="659">
        <v>842.63</v>
      </c>
      <c r="DV92" s="659">
        <v>858.52</v>
      </c>
      <c r="DW92" s="659">
        <v>868.83</v>
      </c>
      <c r="DX92" s="659">
        <v>878.37</v>
      </c>
      <c r="DY92" s="659">
        <v>885.52</v>
      </c>
      <c r="DZ92" s="659">
        <v>885.52</v>
      </c>
      <c r="EA92" s="897">
        <v>893.21</v>
      </c>
      <c r="EB92" s="659">
        <v>928.95</v>
      </c>
      <c r="EC92" s="659">
        <v>933.84</v>
      </c>
      <c r="ED92" s="659">
        <v>946.21</v>
      </c>
      <c r="EE92" s="659">
        <v>951.2</v>
      </c>
      <c r="EF92" s="659">
        <v>972.32</v>
      </c>
      <c r="EG92" s="659">
        <v>972.59</v>
      </c>
      <c r="EH92" s="659">
        <v>998.56</v>
      </c>
      <c r="EI92" s="659">
        <v>1003.73</v>
      </c>
      <c r="EJ92" s="659">
        <v>1004.43</v>
      </c>
      <c r="EK92" s="623">
        <v>1004.6</v>
      </c>
      <c r="EL92" s="725">
        <v>1016.06</v>
      </c>
      <c r="EM92" s="659">
        <v>1016.77</v>
      </c>
      <c r="EN92" s="783">
        <v>1024.6099999999999</v>
      </c>
      <c r="EO92" s="659">
        <v>1032.78</v>
      </c>
      <c r="EP92" s="659">
        <v>1055.3499999999999</v>
      </c>
      <c r="EQ92" s="659">
        <v>1077.53</v>
      </c>
      <c r="ER92" s="659">
        <v>1093.44</v>
      </c>
      <c r="ES92" s="659">
        <v>1109.21</v>
      </c>
      <c r="ET92" s="659">
        <v>1118.96</v>
      </c>
      <c r="EU92" s="659">
        <v>1126.55</v>
      </c>
      <c r="EV92" s="659">
        <v>1130.51</v>
      </c>
      <c r="EW92" s="659">
        <v>1130.51</v>
      </c>
      <c r="EX92" s="659">
        <v>1132.25</v>
      </c>
      <c r="EY92" s="659">
        <v>1141.83</v>
      </c>
      <c r="EZ92" s="783">
        <v>1188</v>
      </c>
      <c r="FA92" s="659">
        <v>1212.73</v>
      </c>
      <c r="FB92" s="659">
        <v>1274.3499999999999</v>
      </c>
      <c r="FC92" s="659">
        <v>1373.92</v>
      </c>
      <c r="FD92" s="659">
        <v>1386.78</v>
      </c>
      <c r="FE92" s="659">
        <v>1396.59</v>
      </c>
      <c r="FF92" s="659">
        <v>1469.17</v>
      </c>
      <c r="FG92" s="659">
        <v>1477.54</v>
      </c>
      <c r="FH92" s="659">
        <v>1505.35</v>
      </c>
      <c r="FI92" s="659">
        <v>1511.76</v>
      </c>
      <c r="FJ92" s="659">
        <v>1511.91</v>
      </c>
      <c r="FK92" s="897">
        <v>1511.84</v>
      </c>
      <c r="FL92" s="660">
        <v>1445.03</v>
      </c>
      <c r="FM92" s="623">
        <v>1462.41</v>
      </c>
      <c r="FN92" s="623">
        <v>1480.48</v>
      </c>
      <c r="FO92" s="623">
        <v>1483.26</v>
      </c>
      <c r="FP92" s="623">
        <v>1505.43</v>
      </c>
      <c r="FQ92" s="623">
        <v>1535.69</v>
      </c>
      <c r="FR92" s="623">
        <v>1553.18</v>
      </c>
      <c r="FS92" s="623">
        <v>1574.35</v>
      </c>
      <c r="FT92" s="623">
        <v>1577.45</v>
      </c>
      <c r="FU92" s="897">
        <v>1577.54</v>
      </c>
      <c r="FV92" s="1167">
        <f t="shared" si="0"/>
        <v>1.0000570541063107</v>
      </c>
    </row>
    <row r="93" spans="1:178" s="115" customFormat="1" ht="18.95" customHeight="1">
      <c r="A93" s="1546">
        <v>1</v>
      </c>
      <c r="B93" s="408">
        <v>68</v>
      </c>
      <c r="C93" s="621" t="s">
        <v>167</v>
      </c>
      <c r="D93" s="622" t="s">
        <v>168</v>
      </c>
      <c r="E93" s="621" t="s">
        <v>918</v>
      </c>
      <c r="F93" s="622"/>
      <c r="G93" s="621" t="s">
        <v>919</v>
      </c>
      <c r="H93" s="621" t="s">
        <v>920</v>
      </c>
      <c r="I93" s="390" t="s">
        <v>921</v>
      </c>
      <c r="J93" s="651"/>
      <c r="K93" s="669">
        <v>95.09</v>
      </c>
      <c r="L93" s="665">
        <v>100.98</v>
      </c>
      <c r="M93" s="625">
        <v>104.1</v>
      </c>
      <c r="N93" s="625">
        <v>126.62</v>
      </c>
      <c r="O93" s="625">
        <v>173.61</v>
      </c>
      <c r="P93" s="625">
        <v>185.65</v>
      </c>
      <c r="Q93" s="625">
        <v>189.96</v>
      </c>
      <c r="R93" s="625">
        <v>189.96</v>
      </c>
      <c r="S93" s="625">
        <v>189.96</v>
      </c>
      <c r="T93" s="625">
        <v>191.42</v>
      </c>
      <c r="U93" s="625">
        <v>192.88</v>
      </c>
      <c r="V93" s="625">
        <v>192.88</v>
      </c>
      <c r="W93" s="625">
        <v>192.83</v>
      </c>
      <c r="X93" s="625">
        <v>192.88</v>
      </c>
      <c r="Y93" s="625">
        <v>192.88</v>
      </c>
      <c r="Z93" s="625">
        <v>192.88</v>
      </c>
      <c r="AA93" s="625">
        <v>192.88</v>
      </c>
      <c r="AB93" s="625">
        <v>192.88</v>
      </c>
      <c r="AC93" s="625">
        <v>192.88</v>
      </c>
      <c r="AD93" s="625">
        <v>192.88</v>
      </c>
      <c r="AE93" s="625">
        <v>192.88</v>
      </c>
      <c r="AF93" s="625">
        <v>193.61</v>
      </c>
      <c r="AG93" s="625">
        <v>193.61</v>
      </c>
      <c r="AH93" s="625">
        <v>174.6</v>
      </c>
      <c r="AI93" s="764">
        <v>181.88</v>
      </c>
      <c r="AJ93" s="772">
        <v>181.88</v>
      </c>
      <c r="AK93" s="625">
        <v>184.81</v>
      </c>
      <c r="AL93" s="625">
        <v>200.62</v>
      </c>
      <c r="AM93" s="625">
        <v>200.62</v>
      </c>
      <c r="AN93" s="625">
        <v>205.68</v>
      </c>
      <c r="AO93" s="625">
        <v>205.68</v>
      </c>
      <c r="AP93" s="625">
        <v>205.68</v>
      </c>
      <c r="AQ93" s="625">
        <v>205.68</v>
      </c>
      <c r="AR93" s="625">
        <v>205.68</v>
      </c>
      <c r="AS93" s="625">
        <v>213.66</v>
      </c>
      <c r="AT93" s="625">
        <v>213.66</v>
      </c>
      <c r="AU93" s="764">
        <v>213.66</v>
      </c>
      <c r="AV93" s="752">
        <v>213.66</v>
      </c>
      <c r="AW93" s="626">
        <v>221.64</v>
      </c>
      <c r="AX93" s="626">
        <v>221.64</v>
      </c>
      <c r="AY93" s="626">
        <v>224.57</v>
      </c>
      <c r="AZ93" s="626">
        <v>224.57</v>
      </c>
      <c r="BA93" s="626">
        <v>224.57</v>
      </c>
      <c r="BB93" s="626">
        <v>226.52</v>
      </c>
      <c r="BC93" s="627">
        <v>234.49</v>
      </c>
      <c r="BD93" s="626">
        <v>227.83</v>
      </c>
      <c r="BE93" s="627">
        <v>232.26</v>
      </c>
      <c r="BF93" s="627">
        <v>243.8</v>
      </c>
      <c r="BG93" s="738">
        <v>243.8</v>
      </c>
      <c r="BH93" s="660">
        <v>243.8</v>
      </c>
      <c r="BI93" s="623">
        <v>262.49</v>
      </c>
      <c r="BJ93" s="623">
        <v>262.49</v>
      </c>
      <c r="BK93" s="623">
        <v>284.85000000000002</v>
      </c>
      <c r="BL93" s="623">
        <v>337.07</v>
      </c>
      <c r="BM93" s="623">
        <v>328.4</v>
      </c>
      <c r="BN93" s="623">
        <v>328.4</v>
      </c>
      <c r="BO93" s="623">
        <v>328.4</v>
      </c>
      <c r="BP93" s="623">
        <v>328.4</v>
      </c>
      <c r="BQ93" s="623">
        <v>328.4</v>
      </c>
      <c r="BR93" s="623">
        <v>328.4</v>
      </c>
      <c r="BS93" s="659">
        <v>328.4</v>
      </c>
      <c r="BT93" s="660">
        <v>328.4</v>
      </c>
      <c r="BU93" s="623">
        <v>328.4</v>
      </c>
      <c r="BV93" s="623">
        <v>328.4</v>
      </c>
      <c r="BW93" s="623">
        <v>328.4</v>
      </c>
      <c r="BX93" s="623">
        <v>353.16</v>
      </c>
      <c r="BY93" s="623">
        <v>353.16</v>
      </c>
      <c r="BZ93" s="623">
        <v>353.16</v>
      </c>
      <c r="CA93" s="623">
        <v>359.69</v>
      </c>
      <c r="CB93" s="623">
        <v>364.97</v>
      </c>
      <c r="CC93" s="623">
        <v>376.47</v>
      </c>
      <c r="CD93" s="623">
        <v>381.67</v>
      </c>
      <c r="CE93" s="659">
        <v>385.76</v>
      </c>
      <c r="CF93" s="660">
        <v>385.76</v>
      </c>
      <c r="CG93" s="623">
        <v>385.76</v>
      </c>
      <c r="CH93" s="623">
        <v>385.76</v>
      </c>
      <c r="CI93" s="623">
        <v>388.64</v>
      </c>
      <c r="CJ93" s="623">
        <v>400.96</v>
      </c>
      <c r="CK93" s="623">
        <v>404.21</v>
      </c>
      <c r="CL93" s="623">
        <v>418.36</v>
      </c>
      <c r="CM93" s="623">
        <v>418.36</v>
      </c>
      <c r="CN93" s="623">
        <v>445.08</v>
      </c>
      <c r="CO93" s="623">
        <v>445.08</v>
      </c>
      <c r="CP93" s="623">
        <v>444.27</v>
      </c>
      <c r="CQ93" s="659">
        <v>444.27</v>
      </c>
      <c r="CR93" s="660">
        <v>444.27</v>
      </c>
      <c r="CS93" s="623">
        <v>444.27</v>
      </c>
      <c r="CT93" s="623">
        <v>444.27</v>
      </c>
      <c r="CU93" s="623">
        <v>454.45</v>
      </c>
      <c r="CV93" s="623">
        <v>454.45</v>
      </c>
      <c r="CW93" s="623">
        <v>468.67</v>
      </c>
      <c r="CX93" s="623">
        <v>468.67</v>
      </c>
      <c r="CY93" s="623">
        <v>468.67</v>
      </c>
      <c r="CZ93" s="623">
        <v>508.31</v>
      </c>
      <c r="DA93" s="623">
        <v>508.31</v>
      </c>
      <c r="DB93" s="725">
        <v>508.31</v>
      </c>
      <c r="DC93" s="659">
        <v>508.31</v>
      </c>
      <c r="DD93" s="783">
        <v>542.88</v>
      </c>
      <c r="DE93" s="623">
        <v>557.08000000000004</v>
      </c>
      <c r="DF93" s="725">
        <v>557.08000000000004</v>
      </c>
      <c r="DG93" s="659">
        <v>570.27</v>
      </c>
      <c r="DH93" s="623">
        <v>570.27</v>
      </c>
      <c r="DI93" s="623">
        <v>569.89</v>
      </c>
      <c r="DJ93" s="623">
        <v>569.9</v>
      </c>
      <c r="DK93" s="659">
        <v>569.9</v>
      </c>
      <c r="DL93" s="623">
        <v>569.9</v>
      </c>
      <c r="DM93" s="659">
        <v>582.27</v>
      </c>
      <c r="DN93" s="659">
        <v>586.91999999999996</v>
      </c>
      <c r="DO93" s="897">
        <v>613.04</v>
      </c>
      <c r="DP93" s="783">
        <v>613.04</v>
      </c>
      <c r="DQ93" s="659">
        <v>625.94000000000005</v>
      </c>
      <c r="DR93" s="659">
        <v>625.94000000000005</v>
      </c>
      <c r="DS93" s="659">
        <v>625.94000000000005</v>
      </c>
      <c r="DT93" s="623">
        <v>625.94000000000005</v>
      </c>
      <c r="DU93" s="659">
        <v>652.94000000000005</v>
      </c>
      <c r="DV93" s="659">
        <v>652.94000000000005</v>
      </c>
      <c r="DW93" s="659">
        <v>652.94000000000005</v>
      </c>
      <c r="DX93" s="659">
        <v>672.06</v>
      </c>
      <c r="DY93" s="659">
        <v>687.8</v>
      </c>
      <c r="DZ93" s="659">
        <v>687.8</v>
      </c>
      <c r="EA93" s="897">
        <v>664.38</v>
      </c>
      <c r="EB93" s="659">
        <v>684.29</v>
      </c>
      <c r="EC93" s="659">
        <v>684.29</v>
      </c>
      <c r="ED93" s="659">
        <v>705.8</v>
      </c>
      <c r="EE93" s="659">
        <v>705.8</v>
      </c>
      <c r="EF93" s="659">
        <v>705.81</v>
      </c>
      <c r="EG93" s="659">
        <v>705.8</v>
      </c>
      <c r="EH93" s="659">
        <v>727.05</v>
      </c>
      <c r="EI93" s="659">
        <v>749.83</v>
      </c>
      <c r="EJ93" s="659">
        <v>749.83</v>
      </c>
      <c r="EK93" s="623">
        <v>749.83</v>
      </c>
      <c r="EL93" s="725">
        <v>756.8</v>
      </c>
      <c r="EM93" s="659">
        <v>756.8</v>
      </c>
      <c r="EN93" s="783">
        <v>756.8</v>
      </c>
      <c r="EO93" s="659">
        <v>756.8</v>
      </c>
      <c r="EP93" s="659">
        <v>756.8</v>
      </c>
      <c r="EQ93" s="659">
        <v>756.8</v>
      </c>
      <c r="ER93" s="659">
        <v>781.15</v>
      </c>
      <c r="ES93" s="659">
        <v>781.15</v>
      </c>
      <c r="ET93" s="659">
        <v>781.15</v>
      </c>
      <c r="EU93" s="659">
        <v>781.15</v>
      </c>
      <c r="EV93" s="659">
        <v>781.15</v>
      </c>
      <c r="EW93" s="659">
        <v>781.15</v>
      </c>
      <c r="EX93" s="659">
        <v>786.37</v>
      </c>
      <c r="EY93" s="659">
        <v>786.37</v>
      </c>
      <c r="EZ93" s="783">
        <v>830.37</v>
      </c>
      <c r="FA93" s="659">
        <v>860.45</v>
      </c>
      <c r="FB93" s="659">
        <v>860.45</v>
      </c>
      <c r="FC93" s="659">
        <v>911.05</v>
      </c>
      <c r="FD93" s="659">
        <v>911.05</v>
      </c>
      <c r="FE93" s="659">
        <v>911.05</v>
      </c>
      <c r="FF93" s="659">
        <v>911.05</v>
      </c>
      <c r="FG93" s="659">
        <v>911.05</v>
      </c>
      <c r="FH93" s="659">
        <v>944.44</v>
      </c>
      <c r="FI93" s="659">
        <v>979.1</v>
      </c>
      <c r="FJ93" s="659">
        <v>994.02</v>
      </c>
      <c r="FK93" s="897">
        <v>1035.54</v>
      </c>
      <c r="FL93" s="660">
        <v>1035.54</v>
      </c>
      <c r="FM93" s="623">
        <v>1035.54</v>
      </c>
      <c r="FN93" s="623">
        <v>1035.54</v>
      </c>
      <c r="FO93" s="623">
        <v>1035.54</v>
      </c>
      <c r="FP93" s="623">
        <v>1078.6500000000001</v>
      </c>
      <c r="FQ93" s="623">
        <v>1078.6500000000001</v>
      </c>
      <c r="FR93" s="623">
        <v>1078.6500000000001</v>
      </c>
      <c r="FS93" s="623">
        <v>1078.6500000000001</v>
      </c>
      <c r="FT93" s="623">
        <v>1130.8699999999999</v>
      </c>
      <c r="FU93" s="897">
        <v>1130.8699999999999</v>
      </c>
      <c r="FV93" s="1167">
        <f t="shared" si="0"/>
        <v>1</v>
      </c>
    </row>
    <row r="94" spans="1:178" s="115" customFormat="1" ht="18.95" customHeight="1">
      <c r="A94" s="1546">
        <v>1</v>
      </c>
      <c r="B94" s="408">
        <v>69</v>
      </c>
      <c r="C94" s="621" t="s">
        <v>169</v>
      </c>
      <c r="D94" s="622" t="s">
        <v>170</v>
      </c>
      <c r="E94" s="621" t="s">
        <v>918</v>
      </c>
      <c r="F94" s="622"/>
      <c r="G94" s="621" t="s">
        <v>919</v>
      </c>
      <c r="H94" s="621" t="s">
        <v>920</v>
      </c>
      <c r="I94" s="390" t="s">
        <v>921</v>
      </c>
      <c r="J94" s="651"/>
      <c r="K94" s="669">
        <v>125.13</v>
      </c>
      <c r="L94" s="665">
        <v>135.77000000000001</v>
      </c>
      <c r="M94" s="625">
        <v>142.72</v>
      </c>
      <c r="N94" s="625">
        <v>149.36000000000001</v>
      </c>
      <c r="O94" s="625">
        <v>166.74</v>
      </c>
      <c r="P94" s="625">
        <v>185.86</v>
      </c>
      <c r="Q94" s="625">
        <v>192.38</v>
      </c>
      <c r="R94" s="625">
        <v>202.45</v>
      </c>
      <c r="S94" s="625">
        <v>202.45</v>
      </c>
      <c r="T94" s="625">
        <v>207.33</v>
      </c>
      <c r="U94" s="625">
        <v>208.78</v>
      </c>
      <c r="V94" s="625">
        <v>213.66</v>
      </c>
      <c r="W94" s="625">
        <v>213.66</v>
      </c>
      <c r="X94" s="625">
        <v>215.14</v>
      </c>
      <c r="Y94" s="625">
        <v>215.14</v>
      </c>
      <c r="Z94" s="625">
        <v>215.14</v>
      </c>
      <c r="AA94" s="625">
        <v>215.14</v>
      </c>
      <c r="AB94" s="625">
        <v>215.14</v>
      </c>
      <c r="AC94" s="625">
        <v>215.14</v>
      </c>
      <c r="AD94" s="625">
        <v>215.14</v>
      </c>
      <c r="AE94" s="625">
        <v>215.14</v>
      </c>
      <c r="AF94" s="625">
        <v>215.14</v>
      </c>
      <c r="AG94" s="625">
        <v>215.14</v>
      </c>
      <c r="AH94" s="625">
        <v>215.14</v>
      </c>
      <c r="AI94" s="764">
        <v>215.14</v>
      </c>
      <c r="AJ94" s="772">
        <v>215.14</v>
      </c>
      <c r="AK94" s="625">
        <v>217.71</v>
      </c>
      <c r="AL94" s="625">
        <v>217.71</v>
      </c>
      <c r="AM94" s="625">
        <v>226.4</v>
      </c>
      <c r="AN94" s="625">
        <v>226.4</v>
      </c>
      <c r="AO94" s="625">
        <v>230.35</v>
      </c>
      <c r="AP94" s="625">
        <v>235.56</v>
      </c>
      <c r="AQ94" s="625">
        <v>235.56</v>
      </c>
      <c r="AR94" s="625">
        <v>235.56</v>
      </c>
      <c r="AS94" s="625">
        <v>236.66</v>
      </c>
      <c r="AT94" s="625">
        <v>245.44</v>
      </c>
      <c r="AU94" s="764">
        <v>245.44</v>
      </c>
      <c r="AV94" s="752">
        <v>247.14</v>
      </c>
      <c r="AW94" s="626">
        <v>247.14</v>
      </c>
      <c r="AX94" s="626">
        <v>247.14</v>
      </c>
      <c r="AY94" s="626">
        <v>251.05</v>
      </c>
      <c r="AZ94" s="626">
        <v>259.77</v>
      </c>
      <c r="BA94" s="626">
        <v>259.77</v>
      </c>
      <c r="BB94" s="626">
        <v>259.77</v>
      </c>
      <c r="BC94" s="627">
        <v>262.75</v>
      </c>
      <c r="BD94" s="626">
        <v>262.75</v>
      </c>
      <c r="BE94" s="627">
        <v>266.23</v>
      </c>
      <c r="BF94" s="627">
        <v>268.77</v>
      </c>
      <c r="BG94" s="738">
        <v>268.77</v>
      </c>
      <c r="BH94" s="660">
        <v>268.77</v>
      </c>
      <c r="BI94" s="623">
        <v>289.64999999999998</v>
      </c>
      <c r="BJ94" s="623">
        <v>289.64999999999998</v>
      </c>
      <c r="BK94" s="623">
        <v>289.64999999999998</v>
      </c>
      <c r="BL94" s="623">
        <v>298.33999999999997</v>
      </c>
      <c r="BM94" s="623">
        <v>298.98</v>
      </c>
      <c r="BN94" s="623">
        <v>300.72000000000003</v>
      </c>
      <c r="BO94" s="623">
        <v>298.98</v>
      </c>
      <c r="BP94" s="623">
        <v>298.98</v>
      </c>
      <c r="BQ94" s="623">
        <v>301.74</v>
      </c>
      <c r="BR94" s="623">
        <v>301.74</v>
      </c>
      <c r="BS94" s="659">
        <v>301.74</v>
      </c>
      <c r="BT94" s="660">
        <v>308.87</v>
      </c>
      <c r="BU94" s="623">
        <v>308.87</v>
      </c>
      <c r="BV94" s="623">
        <v>321.51</v>
      </c>
      <c r="BW94" s="623">
        <v>328.34</v>
      </c>
      <c r="BX94" s="623">
        <v>328.34</v>
      </c>
      <c r="BY94" s="623">
        <v>336.77</v>
      </c>
      <c r="BZ94" s="623">
        <v>335</v>
      </c>
      <c r="CA94" s="623">
        <v>336.77</v>
      </c>
      <c r="CB94" s="623">
        <v>345.47</v>
      </c>
      <c r="CC94" s="623">
        <v>345.47</v>
      </c>
      <c r="CD94" s="623">
        <v>345.47</v>
      </c>
      <c r="CE94" s="659">
        <v>365.47</v>
      </c>
      <c r="CF94" s="660">
        <v>365.47</v>
      </c>
      <c r="CG94" s="623">
        <v>365.47</v>
      </c>
      <c r="CH94" s="623">
        <v>365.47</v>
      </c>
      <c r="CI94" s="623">
        <v>370.81</v>
      </c>
      <c r="CJ94" s="623">
        <v>379.28</v>
      </c>
      <c r="CK94" s="623">
        <v>379.28</v>
      </c>
      <c r="CL94" s="623">
        <v>399.07</v>
      </c>
      <c r="CM94" s="623">
        <v>404.4</v>
      </c>
      <c r="CN94" s="623">
        <v>409.91</v>
      </c>
      <c r="CO94" s="623">
        <v>414.79</v>
      </c>
      <c r="CP94" s="623">
        <v>420.56</v>
      </c>
      <c r="CQ94" s="659">
        <v>428.61</v>
      </c>
      <c r="CR94" s="660">
        <v>428.61</v>
      </c>
      <c r="CS94" s="623">
        <v>433.48</v>
      </c>
      <c r="CT94" s="623">
        <v>449.72</v>
      </c>
      <c r="CU94" s="623">
        <v>449.72</v>
      </c>
      <c r="CV94" s="623">
        <v>459.98</v>
      </c>
      <c r="CW94" s="623">
        <v>459.98</v>
      </c>
      <c r="CX94" s="623">
        <v>459.98</v>
      </c>
      <c r="CY94" s="623">
        <v>465.21</v>
      </c>
      <c r="CZ94" s="623">
        <v>465.21</v>
      </c>
      <c r="DA94" s="623">
        <v>465.21</v>
      </c>
      <c r="DB94" s="725">
        <v>465.21</v>
      </c>
      <c r="DC94" s="659">
        <v>465.21</v>
      </c>
      <c r="DD94" s="787">
        <v>481.6</v>
      </c>
      <c r="DE94" s="623">
        <v>481.6</v>
      </c>
      <c r="DF94" s="725">
        <v>491.95</v>
      </c>
      <c r="DG94" s="659">
        <v>491.95</v>
      </c>
      <c r="DH94" s="623">
        <v>494.04</v>
      </c>
      <c r="DI94" s="623">
        <v>502.1</v>
      </c>
      <c r="DJ94" s="623">
        <v>511.76</v>
      </c>
      <c r="DK94" s="659">
        <v>525.80999999999995</v>
      </c>
      <c r="DL94" s="623">
        <v>531.16999999999996</v>
      </c>
      <c r="DM94" s="659">
        <v>548.89</v>
      </c>
      <c r="DN94" s="659">
        <v>558.1</v>
      </c>
      <c r="DO94" s="897">
        <v>572.6</v>
      </c>
      <c r="DP94" s="783">
        <v>572.6</v>
      </c>
      <c r="DQ94" s="659">
        <v>572.6</v>
      </c>
      <c r="DR94" s="659">
        <v>582.4</v>
      </c>
      <c r="DS94" s="659">
        <v>582.4</v>
      </c>
      <c r="DT94" s="623">
        <v>593.67999999999995</v>
      </c>
      <c r="DU94" s="659">
        <v>593.67999999999995</v>
      </c>
      <c r="DV94" s="659">
        <v>614.47</v>
      </c>
      <c r="DW94" s="659">
        <v>634.72</v>
      </c>
      <c r="DX94" s="659">
        <v>642.57000000000005</v>
      </c>
      <c r="DY94" s="659">
        <v>638.17999999999995</v>
      </c>
      <c r="DZ94" s="659">
        <v>657.83</v>
      </c>
      <c r="EA94" s="897">
        <v>673.56</v>
      </c>
      <c r="EB94" s="659">
        <v>673.56</v>
      </c>
      <c r="EC94" s="659">
        <v>694.13</v>
      </c>
      <c r="ED94" s="659">
        <v>704.22</v>
      </c>
      <c r="EE94" s="659">
        <v>704.22</v>
      </c>
      <c r="EF94" s="659">
        <v>708.51</v>
      </c>
      <c r="EG94" s="659">
        <v>739.98</v>
      </c>
      <c r="EH94" s="659">
        <v>739.98</v>
      </c>
      <c r="EI94" s="659">
        <v>760.31</v>
      </c>
      <c r="EJ94" s="659">
        <v>784.51</v>
      </c>
      <c r="EK94" s="623">
        <v>798.07</v>
      </c>
      <c r="EL94" s="725">
        <v>806.75</v>
      </c>
      <c r="EM94" s="659">
        <v>806.75</v>
      </c>
      <c r="EN94" s="783">
        <v>832.13</v>
      </c>
      <c r="EO94" s="659">
        <v>845.51</v>
      </c>
      <c r="EP94" s="659">
        <v>870.92</v>
      </c>
      <c r="EQ94" s="659">
        <v>879.39</v>
      </c>
      <c r="ER94" s="659">
        <v>894.31</v>
      </c>
      <c r="ES94" s="659">
        <v>922.14</v>
      </c>
      <c r="ET94" s="659">
        <v>921.54</v>
      </c>
      <c r="EU94" s="659">
        <v>936.44</v>
      </c>
      <c r="EV94" s="659">
        <v>966.7</v>
      </c>
      <c r="EW94" s="659">
        <v>966.7</v>
      </c>
      <c r="EX94" s="659">
        <v>966.7</v>
      </c>
      <c r="EY94" s="659">
        <v>1011.26</v>
      </c>
      <c r="EZ94" s="783">
        <v>1049.9000000000001</v>
      </c>
      <c r="FA94" s="659">
        <v>1150.3599999999999</v>
      </c>
      <c r="FB94" s="659">
        <v>1187.8399999999999</v>
      </c>
      <c r="FC94" s="659">
        <v>1187.8399999999999</v>
      </c>
      <c r="FD94" s="659">
        <v>1195.92</v>
      </c>
      <c r="FE94" s="659">
        <v>1260.01</v>
      </c>
      <c r="FF94" s="659">
        <v>1259.4100000000001</v>
      </c>
      <c r="FG94" s="659">
        <v>1276.1500000000001</v>
      </c>
      <c r="FH94" s="659">
        <v>1310.03</v>
      </c>
      <c r="FI94" s="659">
        <v>1308.6300000000001</v>
      </c>
      <c r="FJ94" s="659">
        <v>1328.57</v>
      </c>
      <c r="FK94" s="897">
        <v>1350.37</v>
      </c>
      <c r="FL94" s="660">
        <v>1350.37</v>
      </c>
      <c r="FM94" s="623">
        <v>1350.46</v>
      </c>
      <c r="FN94" s="623">
        <v>1438.9</v>
      </c>
      <c r="FO94" s="623">
        <v>1460.68</v>
      </c>
      <c r="FP94" s="623">
        <v>1485.89</v>
      </c>
      <c r="FQ94" s="623">
        <v>1501.86</v>
      </c>
      <c r="FR94" s="623">
        <v>1559.36</v>
      </c>
      <c r="FS94" s="623">
        <v>1598.27</v>
      </c>
      <c r="FT94" s="623">
        <v>1636.67</v>
      </c>
      <c r="FU94" s="897">
        <v>1636.91</v>
      </c>
      <c r="FV94" s="1167">
        <f t="shared" si="0"/>
        <v>1.0001466392125475</v>
      </c>
    </row>
    <row r="95" spans="1:178" s="115" customFormat="1" ht="18.95" customHeight="1">
      <c r="A95" s="1546">
        <v>1</v>
      </c>
      <c r="B95" s="408">
        <v>70</v>
      </c>
      <c r="C95" s="621" t="s">
        <v>171</v>
      </c>
      <c r="D95" s="622" t="s">
        <v>172</v>
      </c>
      <c r="E95" s="621" t="s">
        <v>918</v>
      </c>
      <c r="F95" s="622"/>
      <c r="G95" s="621" t="s">
        <v>929</v>
      </c>
      <c r="H95" s="621" t="s">
        <v>930</v>
      </c>
      <c r="I95" s="390" t="s">
        <v>173</v>
      </c>
      <c r="J95" s="651"/>
      <c r="K95" s="669">
        <v>80.599999999999994</v>
      </c>
      <c r="L95" s="665">
        <v>80.8</v>
      </c>
      <c r="M95" s="625">
        <v>83.6</v>
      </c>
      <c r="N95" s="625">
        <v>84.1</v>
      </c>
      <c r="O95" s="625">
        <v>87.4</v>
      </c>
      <c r="P95" s="625">
        <v>92.7</v>
      </c>
      <c r="Q95" s="625">
        <v>95.8</v>
      </c>
      <c r="R95" s="625">
        <v>100.3</v>
      </c>
      <c r="S95" s="625">
        <v>108.5</v>
      </c>
      <c r="T95" s="625">
        <v>117.6</v>
      </c>
      <c r="U95" s="625">
        <v>126</v>
      </c>
      <c r="V95" s="625">
        <v>139.30000000000001</v>
      </c>
      <c r="W95" s="625">
        <v>142.9</v>
      </c>
      <c r="X95" s="625">
        <v>145.69999999999999</v>
      </c>
      <c r="Y95" s="625">
        <v>145.69999999999999</v>
      </c>
      <c r="Z95" s="625">
        <v>149.5</v>
      </c>
      <c r="AA95" s="625">
        <v>151</v>
      </c>
      <c r="AB95" s="625">
        <v>151</v>
      </c>
      <c r="AC95" s="625">
        <v>151.1</v>
      </c>
      <c r="AD95" s="625">
        <v>151.6</v>
      </c>
      <c r="AE95" s="625">
        <v>150.5</v>
      </c>
      <c r="AF95" s="625">
        <v>151.80000000000001</v>
      </c>
      <c r="AG95" s="625">
        <v>150.9</v>
      </c>
      <c r="AH95" s="625">
        <v>153.69999999999999</v>
      </c>
      <c r="AI95" s="764">
        <v>155.9</v>
      </c>
      <c r="AJ95" s="772">
        <v>155.4</v>
      </c>
      <c r="AK95" s="625">
        <v>155.9</v>
      </c>
      <c r="AL95" s="625">
        <v>156.19999999999999</v>
      </c>
      <c r="AM95" s="625">
        <v>158.9</v>
      </c>
      <c r="AN95" s="625">
        <v>163</v>
      </c>
      <c r="AO95" s="625">
        <v>163.4</v>
      </c>
      <c r="AP95" s="625">
        <v>163.80000000000001</v>
      </c>
      <c r="AQ95" s="625">
        <v>167.9</v>
      </c>
      <c r="AR95" s="625">
        <v>168.7</v>
      </c>
      <c r="AS95" s="625">
        <v>169.1</v>
      </c>
      <c r="AT95" s="625">
        <v>171</v>
      </c>
      <c r="AU95" s="764">
        <v>171.3</v>
      </c>
      <c r="AV95" s="752">
        <v>173.6</v>
      </c>
      <c r="AW95" s="626">
        <v>174</v>
      </c>
      <c r="AX95" s="626">
        <v>175.2</v>
      </c>
      <c r="AY95" s="626">
        <v>177.9</v>
      </c>
      <c r="AZ95" s="626">
        <v>179.5</v>
      </c>
      <c r="BA95" s="626">
        <v>184.9</v>
      </c>
      <c r="BB95" s="626">
        <v>185.7</v>
      </c>
      <c r="BC95" s="627">
        <v>188.3</v>
      </c>
      <c r="BD95" s="626">
        <v>188.4</v>
      </c>
      <c r="BE95" s="627">
        <v>189.6</v>
      </c>
      <c r="BF95" s="627">
        <v>193.5</v>
      </c>
      <c r="BG95" s="738">
        <v>194.5</v>
      </c>
      <c r="BH95" s="660">
        <v>196.7</v>
      </c>
      <c r="BI95" s="623">
        <v>196.7</v>
      </c>
      <c r="BJ95" s="623">
        <v>199.2</v>
      </c>
      <c r="BK95" s="623">
        <v>201.4</v>
      </c>
      <c r="BL95" s="623">
        <v>205</v>
      </c>
      <c r="BM95" s="623">
        <v>207.7</v>
      </c>
      <c r="BN95" s="623">
        <v>211.9</v>
      </c>
      <c r="BO95" s="623">
        <v>211.9</v>
      </c>
      <c r="BP95" s="623">
        <v>213.2</v>
      </c>
      <c r="BQ95" s="623">
        <v>213.2</v>
      </c>
      <c r="BR95" s="623">
        <v>214.1</v>
      </c>
      <c r="BS95" s="659">
        <v>214.4</v>
      </c>
      <c r="BT95" s="660">
        <v>217.3</v>
      </c>
      <c r="BU95" s="623">
        <v>217.6</v>
      </c>
      <c r="BV95" s="623">
        <v>222.2</v>
      </c>
      <c r="BW95" s="623">
        <v>223.3</v>
      </c>
      <c r="BX95" s="623">
        <v>223.8</v>
      </c>
      <c r="BY95" s="623">
        <v>228.4</v>
      </c>
      <c r="BZ95" s="623">
        <v>230.1</v>
      </c>
      <c r="CA95" s="623">
        <v>240.2</v>
      </c>
      <c r="CB95" s="623">
        <v>232.6</v>
      </c>
      <c r="CC95" s="623">
        <v>243.4</v>
      </c>
      <c r="CD95" s="623">
        <v>252</v>
      </c>
      <c r="CE95" s="659">
        <v>259.89999999999998</v>
      </c>
      <c r="CF95" s="660">
        <v>266.7</v>
      </c>
      <c r="CG95" s="623">
        <v>270.39999999999998</v>
      </c>
      <c r="CH95" s="623">
        <v>272.5</v>
      </c>
      <c r="CI95" s="623">
        <v>280.2</v>
      </c>
      <c r="CJ95" s="623">
        <v>281.2</v>
      </c>
      <c r="CK95" s="623">
        <v>287.10000000000002</v>
      </c>
      <c r="CL95" s="623">
        <v>291.5</v>
      </c>
      <c r="CM95" s="623">
        <v>293.5</v>
      </c>
      <c r="CN95" s="623">
        <v>300.60000000000002</v>
      </c>
      <c r="CO95" s="623">
        <v>300.60000000000002</v>
      </c>
      <c r="CP95" s="623">
        <v>300.60000000000002</v>
      </c>
      <c r="CQ95" s="659">
        <v>300.60000000000002</v>
      </c>
      <c r="CR95" s="660">
        <v>302.89999999999998</v>
      </c>
      <c r="CS95" s="623">
        <v>301.8</v>
      </c>
      <c r="CT95" s="623">
        <v>300.60000000000002</v>
      </c>
      <c r="CU95" s="623">
        <v>301.8</v>
      </c>
      <c r="CV95" s="623">
        <v>304.3</v>
      </c>
      <c r="CW95" s="623">
        <v>304.7</v>
      </c>
      <c r="CX95" s="623">
        <v>305.7</v>
      </c>
      <c r="CY95" s="623">
        <v>314.2</v>
      </c>
      <c r="CZ95" s="623">
        <v>318.7</v>
      </c>
      <c r="DA95" s="623">
        <v>316.3</v>
      </c>
      <c r="DB95" s="725">
        <v>316.3</v>
      </c>
      <c r="DC95" s="659">
        <v>316.3</v>
      </c>
      <c r="DD95" s="783">
        <v>319.7</v>
      </c>
      <c r="DE95" s="623">
        <v>322.10000000000002</v>
      </c>
      <c r="DF95" s="725">
        <v>322.10000000000002</v>
      </c>
      <c r="DG95" s="659">
        <v>331.7</v>
      </c>
      <c r="DH95" s="623">
        <v>336.3</v>
      </c>
      <c r="DI95" s="623">
        <v>338.6</v>
      </c>
      <c r="DJ95" s="623">
        <v>338.6</v>
      </c>
      <c r="DK95" s="659">
        <v>338.6</v>
      </c>
      <c r="DL95" s="623">
        <v>351.2</v>
      </c>
      <c r="DM95" s="659">
        <v>354.1</v>
      </c>
      <c r="DN95" s="659">
        <v>368.7</v>
      </c>
      <c r="DO95" s="897">
        <v>373.3</v>
      </c>
      <c r="DP95" s="783">
        <v>375.6</v>
      </c>
      <c r="DQ95" s="659">
        <v>380.1</v>
      </c>
      <c r="DR95" s="659">
        <v>383.4</v>
      </c>
      <c r="DS95" s="659">
        <v>391.9</v>
      </c>
      <c r="DT95" s="623">
        <v>398.9</v>
      </c>
      <c r="DU95" s="659">
        <v>402.8</v>
      </c>
      <c r="DV95" s="659">
        <v>399.6</v>
      </c>
      <c r="DW95" s="659">
        <v>397.4</v>
      </c>
      <c r="DX95" s="659">
        <v>401.7</v>
      </c>
      <c r="DY95" s="659">
        <v>406.7</v>
      </c>
      <c r="DZ95" s="659">
        <v>406.7</v>
      </c>
      <c r="EA95" s="897">
        <v>406.7</v>
      </c>
      <c r="EB95" s="659">
        <v>411.7</v>
      </c>
      <c r="EC95" s="659">
        <v>411.7</v>
      </c>
      <c r="ED95" s="659">
        <v>411.7</v>
      </c>
      <c r="EE95" s="659">
        <v>424.3</v>
      </c>
      <c r="EF95" s="659">
        <v>427.6</v>
      </c>
      <c r="EG95" s="659">
        <v>427.6</v>
      </c>
      <c r="EH95" s="659">
        <v>432.7</v>
      </c>
      <c r="EI95" s="659">
        <v>430.1</v>
      </c>
      <c r="EJ95" s="659">
        <v>430.6</v>
      </c>
      <c r="EK95" s="623">
        <v>434.5</v>
      </c>
      <c r="EL95" s="725">
        <v>455.4</v>
      </c>
      <c r="EM95" s="659">
        <v>463.2</v>
      </c>
      <c r="EN95" s="783">
        <v>465.8</v>
      </c>
      <c r="EO95" s="659">
        <v>483.9</v>
      </c>
      <c r="EP95" s="659">
        <v>485.8</v>
      </c>
      <c r="EQ95" s="659">
        <v>503.3</v>
      </c>
      <c r="ER95" s="659">
        <v>507.5</v>
      </c>
      <c r="ES95" s="659">
        <v>513.5</v>
      </c>
      <c r="ET95" s="659">
        <v>517.20000000000005</v>
      </c>
      <c r="EU95" s="659">
        <v>526.70000000000005</v>
      </c>
      <c r="EV95" s="659">
        <v>536.70000000000005</v>
      </c>
      <c r="EW95" s="659">
        <v>541.29999999999995</v>
      </c>
      <c r="EX95" s="659">
        <v>549.29999999999995</v>
      </c>
      <c r="EY95" s="659">
        <v>554.6</v>
      </c>
      <c r="EZ95" s="783">
        <v>584.79999999999995</v>
      </c>
      <c r="FA95" s="659">
        <v>649.79999999999995</v>
      </c>
      <c r="FB95" s="659">
        <v>670.4</v>
      </c>
      <c r="FC95" s="659">
        <v>685.2</v>
      </c>
      <c r="FD95" s="659">
        <v>690.2</v>
      </c>
      <c r="FE95" s="659">
        <v>719.4</v>
      </c>
      <c r="FF95" s="659">
        <v>758.4</v>
      </c>
      <c r="FG95" s="659">
        <v>774.5</v>
      </c>
      <c r="FH95" s="659">
        <v>794.5</v>
      </c>
      <c r="FI95" s="659">
        <v>802.1</v>
      </c>
      <c r="FJ95" s="659">
        <v>827.3</v>
      </c>
      <c r="FK95" s="897">
        <v>859</v>
      </c>
      <c r="FL95" s="660">
        <v>878</v>
      </c>
      <c r="FM95" s="623">
        <v>883.3</v>
      </c>
      <c r="FN95" s="623">
        <v>904.5</v>
      </c>
      <c r="FO95" s="623">
        <v>954.8</v>
      </c>
      <c r="FP95" s="623">
        <v>980.5</v>
      </c>
      <c r="FQ95" s="623">
        <v>995.5</v>
      </c>
      <c r="FR95" s="623">
        <v>1032.3</v>
      </c>
      <c r="FS95" s="623">
        <v>1049.4000000000001</v>
      </c>
      <c r="FT95" s="623">
        <v>1056.8</v>
      </c>
      <c r="FU95" s="897">
        <v>1047.8</v>
      </c>
      <c r="FV95" s="1167">
        <f t="shared" si="0"/>
        <v>0.99148372445117339</v>
      </c>
    </row>
    <row r="96" spans="1:178" s="1075" customFormat="1" ht="31.5" hidden="1" customHeight="1">
      <c r="A96" s="1547">
        <v>1</v>
      </c>
      <c r="B96" s="1059">
        <v>71</v>
      </c>
      <c r="C96" s="1068" t="s">
        <v>174</v>
      </c>
      <c r="D96" s="1058" t="s">
        <v>175</v>
      </c>
      <c r="E96" s="1039" t="s">
        <v>918</v>
      </c>
      <c r="F96" s="1058"/>
      <c r="G96" s="1039" t="s">
        <v>515</v>
      </c>
      <c r="H96" s="1039"/>
      <c r="I96" s="1057" t="s">
        <v>83</v>
      </c>
      <c r="J96" s="1069" t="s">
        <v>768</v>
      </c>
      <c r="K96" s="1041">
        <v>100</v>
      </c>
      <c r="L96" s="1042">
        <v>133</v>
      </c>
      <c r="M96" s="1043">
        <v>167</v>
      </c>
      <c r="N96" s="1043">
        <v>241</v>
      </c>
      <c r="O96" s="1043">
        <v>242</v>
      </c>
      <c r="P96" s="1043">
        <v>301</v>
      </c>
      <c r="Q96" s="1043">
        <v>318</v>
      </c>
      <c r="R96" s="1043">
        <v>303</v>
      </c>
      <c r="S96" s="1043">
        <v>298</v>
      </c>
      <c r="T96" s="1043">
        <v>305</v>
      </c>
      <c r="U96" s="1043">
        <v>293</v>
      </c>
      <c r="V96" s="1043">
        <v>299</v>
      </c>
      <c r="W96" s="1043">
        <v>282</v>
      </c>
      <c r="X96" s="1043">
        <v>270</v>
      </c>
      <c r="Y96" s="1043">
        <v>269</v>
      </c>
      <c r="Z96" s="1043">
        <v>255</v>
      </c>
      <c r="AA96" s="1043">
        <v>255</v>
      </c>
      <c r="AB96" s="1043">
        <v>246</v>
      </c>
      <c r="AC96" s="1043">
        <v>243</v>
      </c>
      <c r="AD96" s="1043">
        <v>250</v>
      </c>
      <c r="AE96" s="1043">
        <v>253</v>
      </c>
      <c r="AF96" s="1043">
        <v>250</v>
      </c>
      <c r="AG96" s="1043">
        <v>250</v>
      </c>
      <c r="AH96" s="1043">
        <v>250</v>
      </c>
      <c r="AI96" s="1044">
        <v>250</v>
      </c>
      <c r="AJ96" s="1045">
        <v>277</v>
      </c>
      <c r="AK96" s="1043">
        <v>277</v>
      </c>
      <c r="AL96" s="1043">
        <v>272.8</v>
      </c>
      <c r="AM96" s="1043">
        <v>273.39999999999998</v>
      </c>
      <c r="AN96" s="1043">
        <v>273.39999999999998</v>
      </c>
      <c r="AO96" s="1043">
        <v>273.39999999999998</v>
      </c>
      <c r="AP96" s="1043">
        <v>291.2</v>
      </c>
      <c r="AQ96" s="1043">
        <v>291.2</v>
      </c>
      <c r="AR96" s="1043">
        <v>302.3</v>
      </c>
      <c r="AS96" s="1043">
        <v>302.3</v>
      </c>
      <c r="AT96" s="1043">
        <v>302.3</v>
      </c>
      <c r="AU96" s="1044">
        <v>302.3</v>
      </c>
      <c r="AV96" s="1046">
        <v>312.8</v>
      </c>
      <c r="AW96" s="1047">
        <v>312.8</v>
      </c>
      <c r="AX96" s="1047">
        <v>337.8</v>
      </c>
      <c r="AY96" s="1047">
        <v>345.8</v>
      </c>
      <c r="AZ96" s="1047">
        <v>345.8</v>
      </c>
      <c r="BA96" s="1047">
        <v>321</v>
      </c>
      <c r="BB96" s="1047">
        <v>321</v>
      </c>
      <c r="BC96" s="1048">
        <v>379.3</v>
      </c>
      <c r="BD96" s="1047">
        <v>389.6</v>
      </c>
      <c r="BE96" s="1048">
        <v>389.6</v>
      </c>
      <c r="BF96" s="1048">
        <v>417.7</v>
      </c>
      <c r="BG96" s="1060">
        <v>417.7</v>
      </c>
      <c r="BH96" s="1050">
        <v>394.7</v>
      </c>
      <c r="BI96" s="1051">
        <v>377.8</v>
      </c>
      <c r="BJ96" s="1051">
        <v>379.6</v>
      </c>
      <c r="BK96" s="1051">
        <v>384.8</v>
      </c>
      <c r="BL96" s="1051">
        <v>384.8</v>
      </c>
      <c r="BM96" s="1051">
        <v>453.3</v>
      </c>
      <c r="BN96" s="1051">
        <v>453.3</v>
      </c>
      <c r="BO96" s="1051">
        <v>457</v>
      </c>
      <c r="BP96" s="1051">
        <v>457</v>
      </c>
      <c r="BQ96" s="1051">
        <v>582.70000000000005</v>
      </c>
      <c r="BR96" s="1051">
        <v>582.70000000000005</v>
      </c>
      <c r="BS96" s="1052">
        <v>582.70000000000005</v>
      </c>
      <c r="BT96" s="1050">
        <v>582.70000000000005</v>
      </c>
      <c r="BU96" s="1051">
        <v>582.70000000000005</v>
      </c>
      <c r="BV96" s="1051">
        <v>582.70000000000005</v>
      </c>
      <c r="BW96" s="1051">
        <v>581.12699999999995</v>
      </c>
      <c r="BX96" s="1051">
        <v>589.34299999999996</v>
      </c>
      <c r="BY96" s="1051">
        <v>622.73099999999999</v>
      </c>
      <c r="BZ96" s="1051">
        <v>627.33500000000004</v>
      </c>
      <c r="CA96" s="1051">
        <v>650.46799999999996</v>
      </c>
      <c r="CB96" s="1051">
        <v>664.33600000000001</v>
      </c>
      <c r="CC96" s="1051">
        <v>680.76800000000003</v>
      </c>
      <c r="CD96" s="1051">
        <v>680.76800000000003</v>
      </c>
      <c r="CE96" s="1052">
        <f>+'ANEXO I CADIEEL'!CE12</f>
        <v>705.18353999999999</v>
      </c>
      <c r="CF96" s="1050">
        <f>+'ANEXO I CADIEEL'!CF12</f>
        <v>736.99896000000012</v>
      </c>
      <c r="CG96" s="1051">
        <f>+'ANEXO I CADIEEL'!CG12</f>
        <v>746.73005000000012</v>
      </c>
      <c r="CH96" s="1051">
        <f>'ANEXO I CADIEEL'!CH12</f>
        <v>754.88785000000007</v>
      </c>
      <c r="CI96" s="1051">
        <f>'ANEXO I CADIEEL'!CI12</f>
        <v>794.04529000000002</v>
      </c>
      <c r="CJ96" s="1051">
        <f>'ANEXO I CADIEEL'!CJ12</f>
        <v>811.8176400000001</v>
      </c>
      <c r="CK96" s="1051">
        <f>'ANEXO I CADIEEL'!CK12</f>
        <v>833.14446000000009</v>
      </c>
      <c r="CL96" s="1051">
        <f>'ANEXO I CADIEEL'!CL12</f>
        <v>847.53715</v>
      </c>
      <c r="CM96" s="1051">
        <f>'ANEXO I CADIEEL'!CM12</f>
        <v>862.86216000000013</v>
      </c>
      <c r="CN96" s="1051">
        <f>'ANEXO I CADIEEL'!CN12</f>
        <v>867.87338000000011</v>
      </c>
      <c r="CO96" s="1051">
        <f>'ANEXO I CADIEEL'!CO12</f>
        <v>867.87338000000011</v>
      </c>
      <c r="CP96" s="1051">
        <f>+CO96</f>
        <v>867.87338000000011</v>
      </c>
      <c r="CQ96" s="1052">
        <f>'ANEXO I CADIEEL'!CQ12</f>
        <v>881.97472000000005</v>
      </c>
      <c r="CR96" s="1050">
        <f>'ANEXO I CADIEEL'!CR12</f>
        <v>881.97472000000005</v>
      </c>
      <c r="CS96" s="1051">
        <f>'ANEXO I CADIEEL'!CS12</f>
        <v>862.45427000000007</v>
      </c>
      <c r="CT96" s="1070" t="s">
        <v>524</v>
      </c>
      <c r="CU96" s="1070" t="s">
        <v>524</v>
      </c>
      <c r="CV96" s="1070" t="s">
        <v>524</v>
      </c>
      <c r="CW96" s="1070" t="s">
        <v>524</v>
      </c>
      <c r="CX96" s="1070" t="s">
        <v>524</v>
      </c>
      <c r="CY96" s="1070" t="s">
        <v>524</v>
      </c>
      <c r="CZ96" s="1070" t="s">
        <v>524</v>
      </c>
      <c r="DA96" s="1070" t="s">
        <v>524</v>
      </c>
      <c r="DB96" s="1070" t="s">
        <v>524</v>
      </c>
      <c r="DC96" s="1071" t="s">
        <v>524</v>
      </c>
      <c r="DD96" s="1072" t="s">
        <v>524</v>
      </c>
      <c r="DE96" s="1070" t="s">
        <v>524</v>
      </c>
      <c r="DF96" s="1073" t="s">
        <v>524</v>
      </c>
      <c r="DG96" s="1071" t="s">
        <v>524</v>
      </c>
      <c r="DH96" s="1070" t="s">
        <v>524</v>
      </c>
      <c r="DI96" s="1070" t="s">
        <v>524</v>
      </c>
      <c r="DJ96" s="1070" t="s">
        <v>524</v>
      </c>
      <c r="DK96" s="1071" t="s">
        <v>524</v>
      </c>
      <c r="DL96" s="1070" t="s">
        <v>524</v>
      </c>
      <c r="DM96" s="1071" t="s">
        <v>524</v>
      </c>
      <c r="DN96" s="1071" t="s">
        <v>524</v>
      </c>
      <c r="DO96" s="1074" t="s">
        <v>524</v>
      </c>
      <c r="DP96" s="1072" t="s">
        <v>524</v>
      </c>
      <c r="DQ96" s="1071" t="s">
        <v>524</v>
      </c>
      <c r="DR96" s="1071" t="s">
        <v>524</v>
      </c>
      <c r="DS96" s="1071" t="s">
        <v>524</v>
      </c>
      <c r="DT96" s="1070" t="s">
        <v>524</v>
      </c>
      <c r="DU96" s="1070" t="s">
        <v>524</v>
      </c>
      <c r="DV96" s="1071" t="s">
        <v>524</v>
      </c>
      <c r="DW96" s="1071" t="s">
        <v>524</v>
      </c>
      <c r="DX96" s="1071" t="s">
        <v>524</v>
      </c>
      <c r="DY96" s="1071" t="s">
        <v>524</v>
      </c>
      <c r="DZ96" s="1071" t="s">
        <v>524</v>
      </c>
      <c r="EA96" s="1074" t="s">
        <v>524</v>
      </c>
      <c r="EB96" s="1071" t="s">
        <v>524</v>
      </c>
      <c r="EC96" s="1071" t="s">
        <v>524</v>
      </c>
      <c r="ED96" s="1071" t="s">
        <v>524</v>
      </c>
      <c r="EE96" s="1071" t="s">
        <v>524</v>
      </c>
      <c r="EF96" s="1071" t="s">
        <v>524</v>
      </c>
      <c r="EG96" s="1071" t="s">
        <v>524</v>
      </c>
      <c r="EH96" s="1071"/>
      <c r="EI96" s="1071" t="s">
        <v>524</v>
      </c>
      <c r="EJ96" s="1071" t="s">
        <v>524</v>
      </c>
      <c r="EK96" s="1070" t="s">
        <v>524</v>
      </c>
      <c r="EL96" s="1070" t="s">
        <v>524</v>
      </c>
      <c r="EM96" s="1071" t="s">
        <v>524</v>
      </c>
      <c r="EN96" s="1072" t="s">
        <v>524</v>
      </c>
      <c r="EO96" s="1071" t="s">
        <v>524</v>
      </c>
      <c r="EP96" s="1071" t="s">
        <v>524</v>
      </c>
      <c r="EQ96" s="1071" t="s">
        <v>524</v>
      </c>
      <c r="ER96" s="1071" t="s">
        <v>524</v>
      </c>
      <c r="ES96" s="1071" t="s">
        <v>524</v>
      </c>
      <c r="ET96" s="1071" t="s">
        <v>524</v>
      </c>
      <c r="EU96" s="1071" t="s">
        <v>524</v>
      </c>
      <c r="EV96" s="1071" t="s">
        <v>524</v>
      </c>
      <c r="EW96" s="1071" t="s">
        <v>524</v>
      </c>
      <c r="EX96" s="1071" t="s">
        <v>524</v>
      </c>
      <c r="EY96" s="1071" t="s">
        <v>524</v>
      </c>
      <c r="EZ96" s="1072" t="s">
        <v>524</v>
      </c>
      <c r="FA96" s="1071" t="s">
        <v>524</v>
      </c>
      <c r="FB96" s="1071" t="s">
        <v>524</v>
      </c>
      <c r="FC96" s="1071" t="s">
        <v>524</v>
      </c>
      <c r="FD96" s="1071" t="s">
        <v>524</v>
      </c>
      <c r="FE96" s="1071" t="s">
        <v>524</v>
      </c>
      <c r="FF96" s="1071" t="s">
        <v>524</v>
      </c>
      <c r="FG96" s="1071" t="s">
        <v>524</v>
      </c>
      <c r="FH96" s="1071" t="s">
        <v>524</v>
      </c>
      <c r="FI96" s="1071" t="s">
        <v>524</v>
      </c>
      <c r="FJ96" s="1071" t="s">
        <v>524</v>
      </c>
      <c r="FK96" s="1074" t="s">
        <v>524</v>
      </c>
      <c r="FL96" s="1564"/>
      <c r="FM96" s="1070"/>
      <c r="FN96" s="1070"/>
      <c r="FO96" s="1070"/>
      <c r="FP96" s="1070"/>
      <c r="FQ96" s="1070"/>
      <c r="FR96" s="1070"/>
      <c r="FS96" s="1070"/>
      <c r="FT96" s="1070"/>
      <c r="FU96" s="1074"/>
      <c r="FV96" s="1167" t="e">
        <f t="shared" si="0"/>
        <v>#DIV/0!</v>
      </c>
    </row>
    <row r="97" spans="1:178" s="115" customFormat="1" ht="18.95" customHeight="1">
      <c r="A97" s="1546">
        <v>1</v>
      </c>
      <c r="B97" s="613">
        <v>72</v>
      </c>
      <c r="C97" s="614" t="s">
        <v>176</v>
      </c>
      <c r="D97" s="615" t="s">
        <v>177</v>
      </c>
      <c r="E97" s="614" t="s">
        <v>918</v>
      </c>
      <c r="F97" s="615"/>
      <c r="G97" s="614" t="s">
        <v>919</v>
      </c>
      <c r="H97" s="614" t="s">
        <v>920</v>
      </c>
      <c r="I97" s="647" t="s">
        <v>921</v>
      </c>
      <c r="J97" s="652"/>
      <c r="K97" s="671">
        <v>98.77</v>
      </c>
      <c r="L97" s="667">
        <v>107.66</v>
      </c>
      <c r="M97" s="618">
        <v>134.63</v>
      </c>
      <c r="N97" s="618">
        <v>133.29</v>
      </c>
      <c r="O97" s="618">
        <v>161.88</v>
      </c>
      <c r="P97" s="618">
        <v>169.85</v>
      </c>
      <c r="Q97" s="618">
        <v>194.69</v>
      </c>
      <c r="R97" s="618">
        <v>196.84</v>
      </c>
      <c r="S97" s="618">
        <v>204.35</v>
      </c>
      <c r="T97" s="618">
        <v>204.04</v>
      </c>
      <c r="U97" s="618">
        <v>205.25</v>
      </c>
      <c r="V97" s="618">
        <v>191.68</v>
      </c>
      <c r="W97" s="618">
        <v>191.68</v>
      </c>
      <c r="X97" s="618">
        <v>191.68</v>
      </c>
      <c r="Y97" s="618">
        <v>191.68</v>
      </c>
      <c r="Z97" s="618">
        <v>191.68</v>
      </c>
      <c r="AA97" s="618">
        <v>191.99</v>
      </c>
      <c r="AB97" s="618">
        <v>191.99</v>
      </c>
      <c r="AC97" s="618">
        <v>193</v>
      </c>
      <c r="AD97" s="618">
        <v>193</v>
      </c>
      <c r="AE97" s="618">
        <v>192.69</v>
      </c>
      <c r="AF97" s="618">
        <v>192.69</v>
      </c>
      <c r="AG97" s="618">
        <v>185.17</v>
      </c>
      <c r="AH97" s="618">
        <v>192.69</v>
      </c>
      <c r="AI97" s="766">
        <v>192.68</v>
      </c>
      <c r="AJ97" s="774">
        <v>192.68</v>
      </c>
      <c r="AK97" s="618">
        <v>193.73</v>
      </c>
      <c r="AL97" s="618">
        <v>193.73</v>
      </c>
      <c r="AM97" s="618">
        <v>204.84</v>
      </c>
      <c r="AN97" s="618">
        <v>204.84</v>
      </c>
      <c r="AO97" s="618">
        <v>206.79</v>
      </c>
      <c r="AP97" s="618">
        <v>211.87</v>
      </c>
      <c r="AQ97" s="618">
        <v>211.87</v>
      </c>
      <c r="AR97" s="618">
        <v>213.02</v>
      </c>
      <c r="AS97" s="618">
        <v>205.74</v>
      </c>
      <c r="AT97" s="618">
        <v>211.58</v>
      </c>
      <c r="AU97" s="766">
        <v>213.11</v>
      </c>
      <c r="AV97" s="769">
        <v>217.41</v>
      </c>
      <c r="AW97" s="619">
        <v>217.41</v>
      </c>
      <c r="AX97" s="619">
        <v>217.66</v>
      </c>
      <c r="AY97" s="619">
        <v>219.1</v>
      </c>
      <c r="AZ97" s="619">
        <v>220.73</v>
      </c>
      <c r="BA97" s="619">
        <v>220.73</v>
      </c>
      <c r="BB97" s="619">
        <v>223.24</v>
      </c>
      <c r="BC97" s="620">
        <v>224.2</v>
      </c>
      <c r="BD97" s="619">
        <v>232.24</v>
      </c>
      <c r="BE97" s="620">
        <v>234.59</v>
      </c>
      <c r="BF97" s="620">
        <v>234.91</v>
      </c>
      <c r="BG97" s="750">
        <v>268.25</v>
      </c>
      <c r="BH97" s="662">
        <v>269.20999999999998</v>
      </c>
      <c r="BI97" s="617">
        <v>276.67</v>
      </c>
      <c r="BJ97" s="617">
        <v>276.67</v>
      </c>
      <c r="BK97" s="617">
        <v>277.70999999999998</v>
      </c>
      <c r="BL97" s="617">
        <v>277.70999999999998</v>
      </c>
      <c r="BM97" s="617">
        <v>280.14</v>
      </c>
      <c r="BN97" s="617">
        <v>280.81</v>
      </c>
      <c r="BO97" s="617">
        <v>280.81</v>
      </c>
      <c r="BP97" s="617">
        <v>282.58999999999997</v>
      </c>
      <c r="BQ97" s="617">
        <v>282.58999999999997</v>
      </c>
      <c r="BR97" s="617">
        <v>284.08999999999997</v>
      </c>
      <c r="BS97" s="737">
        <v>290.33999999999997</v>
      </c>
      <c r="BT97" s="662">
        <v>290.33999999999997</v>
      </c>
      <c r="BU97" s="617">
        <v>290.33999999999997</v>
      </c>
      <c r="BV97" s="617">
        <v>292.52</v>
      </c>
      <c r="BW97" s="617">
        <v>293.64999999999998</v>
      </c>
      <c r="BX97" s="617">
        <v>296.37</v>
      </c>
      <c r="BY97" s="617">
        <v>298.55</v>
      </c>
      <c r="BZ97" s="617">
        <v>298.55</v>
      </c>
      <c r="CA97" s="617">
        <v>357.83</v>
      </c>
      <c r="CB97" s="617">
        <v>304.11</v>
      </c>
      <c r="CC97" s="617">
        <v>316.20999999999998</v>
      </c>
      <c r="CD97" s="617">
        <v>322.8</v>
      </c>
      <c r="CE97" s="737">
        <v>325.19</v>
      </c>
      <c r="CF97" s="662">
        <v>327.27999999999997</v>
      </c>
      <c r="CG97" s="617">
        <v>329.41</v>
      </c>
      <c r="CH97" s="617">
        <v>332.63</v>
      </c>
      <c r="CI97" s="617">
        <v>334.92</v>
      </c>
      <c r="CJ97" s="617">
        <v>338.67</v>
      </c>
      <c r="CK97" s="617">
        <v>346.75</v>
      </c>
      <c r="CL97" s="617">
        <v>355.73</v>
      </c>
      <c r="CM97" s="617">
        <v>355.73</v>
      </c>
      <c r="CN97" s="617">
        <v>363.6</v>
      </c>
      <c r="CO97" s="617">
        <v>368.41</v>
      </c>
      <c r="CP97" s="617">
        <v>362.02</v>
      </c>
      <c r="CQ97" s="737">
        <v>365.36</v>
      </c>
      <c r="CR97" s="662">
        <v>373.88</v>
      </c>
      <c r="CS97" s="617">
        <v>371.77</v>
      </c>
      <c r="CT97" s="617">
        <v>376.36</v>
      </c>
      <c r="CU97" s="617">
        <v>389.92</v>
      </c>
      <c r="CV97" s="623">
        <v>393.19</v>
      </c>
      <c r="CW97" s="623">
        <v>396.98</v>
      </c>
      <c r="CX97" s="623">
        <v>411.36</v>
      </c>
      <c r="CY97" s="623">
        <v>411.36</v>
      </c>
      <c r="CZ97" s="623">
        <v>409.03</v>
      </c>
      <c r="DA97" s="623">
        <v>409.03</v>
      </c>
      <c r="DB97" s="725">
        <v>417.72</v>
      </c>
      <c r="DC97" s="659">
        <v>417.72</v>
      </c>
      <c r="DD97" s="783">
        <v>436.06</v>
      </c>
      <c r="DE97" s="623">
        <v>425.88</v>
      </c>
      <c r="DF97" s="725">
        <v>418.86</v>
      </c>
      <c r="DG97" s="659">
        <v>422.71</v>
      </c>
      <c r="DH97" s="623">
        <v>427.46</v>
      </c>
      <c r="DI97" s="623">
        <v>420.47</v>
      </c>
      <c r="DJ97" s="623">
        <v>427.38</v>
      </c>
      <c r="DK97" s="659">
        <v>411.39</v>
      </c>
      <c r="DL97" s="623">
        <v>422.84</v>
      </c>
      <c r="DM97" s="659">
        <v>425.13</v>
      </c>
      <c r="DN97" s="659">
        <v>432.17</v>
      </c>
      <c r="DO97" s="897">
        <v>448.14</v>
      </c>
      <c r="DP97" s="783">
        <v>454.63</v>
      </c>
      <c r="DQ97" s="659">
        <v>454.63</v>
      </c>
      <c r="DR97" s="659">
        <v>456.65</v>
      </c>
      <c r="DS97" s="659">
        <v>447.05</v>
      </c>
      <c r="DT97" s="623">
        <v>447.05</v>
      </c>
      <c r="DU97" s="659">
        <v>461.87</v>
      </c>
      <c r="DV97" s="659">
        <v>467.16</v>
      </c>
      <c r="DW97" s="659">
        <v>477.57</v>
      </c>
      <c r="DX97" s="659">
        <v>477.57</v>
      </c>
      <c r="DY97" s="659">
        <v>496.75</v>
      </c>
      <c r="DZ97" s="659">
        <v>508.18</v>
      </c>
      <c r="EA97" s="897">
        <v>510.09</v>
      </c>
      <c r="EB97" s="659">
        <v>517.78</v>
      </c>
      <c r="EC97" s="659">
        <v>534.54</v>
      </c>
      <c r="ED97" s="659">
        <v>534.54</v>
      </c>
      <c r="EE97" s="659">
        <v>547.14</v>
      </c>
      <c r="EF97" s="659">
        <v>554.12</v>
      </c>
      <c r="EG97" s="659">
        <v>558.13</v>
      </c>
      <c r="EH97" s="659">
        <v>566.91999999999996</v>
      </c>
      <c r="EI97" s="659">
        <v>572.80999999999995</v>
      </c>
      <c r="EJ97" s="659">
        <v>594.12</v>
      </c>
      <c r="EK97" s="623">
        <v>602.15</v>
      </c>
      <c r="EL97" s="725">
        <v>598.91999999999996</v>
      </c>
      <c r="EM97" s="659">
        <v>601.37</v>
      </c>
      <c r="EN97" s="783">
        <v>614.53</v>
      </c>
      <c r="EO97" s="659">
        <v>626.09</v>
      </c>
      <c r="EP97" s="659">
        <v>630.92999999999995</v>
      </c>
      <c r="EQ97" s="659">
        <v>637.26</v>
      </c>
      <c r="ER97" s="659">
        <v>653.17999999999995</v>
      </c>
      <c r="ES97" s="659">
        <v>653.17999999999995</v>
      </c>
      <c r="ET97" s="659">
        <v>668.69</v>
      </c>
      <c r="EU97" s="659">
        <v>691.83</v>
      </c>
      <c r="EV97" s="659">
        <v>693.58</v>
      </c>
      <c r="EW97" s="659">
        <v>709.61</v>
      </c>
      <c r="EX97" s="659">
        <v>718.27</v>
      </c>
      <c r="EY97" s="659">
        <v>724.42</v>
      </c>
      <c r="EZ97" s="783">
        <v>778.98</v>
      </c>
      <c r="FA97" s="659">
        <v>830.83</v>
      </c>
      <c r="FB97" s="659">
        <v>855.5</v>
      </c>
      <c r="FC97" s="659">
        <v>870.6</v>
      </c>
      <c r="FD97" s="659">
        <v>887.51</v>
      </c>
      <c r="FE97" s="659">
        <v>904</v>
      </c>
      <c r="FF97" s="659">
        <v>903.58</v>
      </c>
      <c r="FG97" s="659">
        <v>933.43</v>
      </c>
      <c r="FH97" s="659">
        <v>946.29</v>
      </c>
      <c r="FI97" s="659">
        <v>986.4</v>
      </c>
      <c r="FJ97" s="659">
        <v>998.14</v>
      </c>
      <c r="FK97" s="897">
        <v>998.14</v>
      </c>
      <c r="FL97" s="660">
        <v>1004.56</v>
      </c>
      <c r="FM97" s="623">
        <v>1008.91</v>
      </c>
      <c r="FN97" s="623">
        <v>1029.0899999999999</v>
      </c>
      <c r="FO97" s="623">
        <v>1043.8</v>
      </c>
      <c r="FP97" s="623">
        <v>1061.26</v>
      </c>
      <c r="FQ97" s="623">
        <v>1061.27</v>
      </c>
      <c r="FR97" s="623">
        <v>1066.2</v>
      </c>
      <c r="FS97" s="623">
        <v>1094.78</v>
      </c>
      <c r="FT97" s="623">
        <v>1105.2</v>
      </c>
      <c r="FU97" s="897">
        <v>1120.6300000000001</v>
      </c>
      <c r="FV97" s="1167">
        <f t="shared" si="0"/>
        <v>1.0139612739775608</v>
      </c>
    </row>
    <row r="98" spans="1:178" s="115" customFormat="1" ht="23.25">
      <c r="A98" s="1546">
        <v>1</v>
      </c>
      <c r="B98" s="644">
        <v>73</v>
      </c>
      <c r="C98" s="645"/>
      <c r="D98" s="646" t="s">
        <v>178</v>
      </c>
      <c r="E98" s="645" t="s">
        <v>918</v>
      </c>
      <c r="F98" s="646"/>
      <c r="G98" s="632" t="s">
        <v>64</v>
      </c>
      <c r="H98" s="645" t="s">
        <v>920</v>
      </c>
      <c r="I98" s="876" t="s">
        <v>424</v>
      </c>
      <c r="J98" s="893"/>
      <c r="K98" s="877">
        <v>102.1</v>
      </c>
      <c r="L98" s="878">
        <v>106.4</v>
      </c>
      <c r="M98" s="879">
        <v>113</v>
      </c>
      <c r="N98" s="879">
        <v>119.5</v>
      </c>
      <c r="O98" s="879">
        <v>140.6</v>
      </c>
      <c r="P98" s="879">
        <v>147.9</v>
      </c>
      <c r="Q98" s="879">
        <v>149.1</v>
      </c>
      <c r="R98" s="879">
        <v>153.30000000000001</v>
      </c>
      <c r="S98" s="879">
        <v>153.30000000000001</v>
      </c>
      <c r="T98" s="879">
        <v>153.30000000000001</v>
      </c>
      <c r="U98" s="879">
        <v>153.30000000000001</v>
      </c>
      <c r="V98" s="879">
        <v>153.30000000000001</v>
      </c>
      <c r="W98" s="879">
        <v>153.19999999999999</v>
      </c>
      <c r="X98" s="879">
        <v>153.19999999999999</v>
      </c>
      <c r="Y98" s="879">
        <v>153.19999999999999</v>
      </c>
      <c r="Z98" s="879">
        <v>153.19999999999999</v>
      </c>
      <c r="AA98" s="879">
        <v>153.19999999999999</v>
      </c>
      <c r="AB98" s="879">
        <v>153.19999999999999</v>
      </c>
      <c r="AC98" s="879">
        <v>153.19999999999999</v>
      </c>
      <c r="AD98" s="879">
        <v>153.1</v>
      </c>
      <c r="AE98" s="879">
        <v>153.30000000000001</v>
      </c>
      <c r="AF98" s="879">
        <v>153.30000000000001</v>
      </c>
      <c r="AG98" s="879">
        <v>153.19999999999999</v>
      </c>
      <c r="AH98" s="879">
        <v>153.80000000000001</v>
      </c>
      <c r="AI98" s="880">
        <v>153.80000000000001</v>
      </c>
      <c r="AJ98" s="881">
        <v>156.69999999999999</v>
      </c>
      <c r="AK98" s="879">
        <v>161.30000000000001</v>
      </c>
      <c r="AL98" s="879">
        <v>161.6</v>
      </c>
      <c r="AM98" s="879">
        <v>161.69999999999999</v>
      </c>
      <c r="AN98" s="879">
        <v>162.69999999999999</v>
      </c>
      <c r="AO98" s="879">
        <v>163.5</v>
      </c>
      <c r="AP98" s="879">
        <v>167.8</v>
      </c>
      <c r="AQ98" s="879">
        <v>167.8</v>
      </c>
      <c r="AR98" s="879">
        <v>168.7</v>
      </c>
      <c r="AS98" s="879">
        <v>169.4</v>
      </c>
      <c r="AT98" s="879">
        <v>169.3</v>
      </c>
      <c r="AU98" s="880">
        <v>169.3</v>
      </c>
      <c r="AV98" s="882">
        <v>174.8</v>
      </c>
      <c r="AW98" s="883">
        <v>175.4</v>
      </c>
      <c r="AX98" s="883">
        <v>177.7</v>
      </c>
      <c r="AY98" s="883">
        <v>177.6</v>
      </c>
      <c r="AZ98" s="883">
        <v>177.6</v>
      </c>
      <c r="BA98" s="883">
        <v>177.6</v>
      </c>
      <c r="BB98" s="883">
        <v>177.6</v>
      </c>
      <c r="BC98" s="884">
        <v>177.6</v>
      </c>
      <c r="BD98" s="883">
        <v>177.6</v>
      </c>
      <c r="BE98" s="884">
        <v>178</v>
      </c>
      <c r="BF98" s="884">
        <v>178.6</v>
      </c>
      <c r="BG98" s="885">
        <v>178.6</v>
      </c>
      <c r="BH98" s="886">
        <v>183</v>
      </c>
      <c r="BI98" s="887">
        <v>183.2</v>
      </c>
      <c r="BJ98" s="887">
        <v>183.2</v>
      </c>
      <c r="BK98" s="887">
        <v>183.2</v>
      </c>
      <c r="BL98" s="887">
        <v>183.2</v>
      </c>
      <c r="BM98" s="887">
        <v>187.9</v>
      </c>
      <c r="BN98" s="887">
        <v>190.2</v>
      </c>
      <c r="BO98" s="887">
        <v>190.5</v>
      </c>
      <c r="BP98" s="887">
        <v>192.9</v>
      </c>
      <c r="BQ98" s="887">
        <v>193.3</v>
      </c>
      <c r="BR98" s="887">
        <v>200.6</v>
      </c>
      <c r="BS98" s="888">
        <v>200.6</v>
      </c>
      <c r="BT98" s="886">
        <v>205.7</v>
      </c>
      <c r="BU98" s="887">
        <v>206.1</v>
      </c>
      <c r="BV98" s="887">
        <v>209</v>
      </c>
      <c r="BW98" s="887">
        <v>214.4</v>
      </c>
      <c r="BX98" s="887">
        <v>224.1</v>
      </c>
      <c r="BY98" s="887">
        <v>232.3</v>
      </c>
      <c r="BZ98" s="887">
        <v>237.7</v>
      </c>
      <c r="CA98" s="887">
        <v>241.3</v>
      </c>
      <c r="CB98" s="887">
        <v>241.6</v>
      </c>
      <c r="CC98" s="887">
        <v>241.6</v>
      </c>
      <c r="CD98" s="887">
        <v>245.1</v>
      </c>
      <c r="CE98" s="888">
        <v>245.1</v>
      </c>
      <c r="CF98" s="886">
        <v>247.1</v>
      </c>
      <c r="CG98" s="887">
        <v>259.60000000000002</v>
      </c>
      <c r="CH98" s="887">
        <v>262.3</v>
      </c>
      <c r="CI98" s="887">
        <v>262.3</v>
      </c>
      <c r="CJ98" s="887">
        <v>267.8</v>
      </c>
      <c r="CK98" s="887">
        <v>269.2</v>
      </c>
      <c r="CL98" s="887">
        <v>264.8</v>
      </c>
      <c r="CM98" s="887">
        <v>266.8</v>
      </c>
      <c r="CN98" s="887">
        <v>271.10000000000002</v>
      </c>
      <c r="CO98" s="887">
        <v>273.7</v>
      </c>
      <c r="CP98" s="887">
        <v>273.7</v>
      </c>
      <c r="CQ98" s="888">
        <v>273.7</v>
      </c>
      <c r="CR98" s="886">
        <v>274.3</v>
      </c>
      <c r="CS98" s="887">
        <v>274.3</v>
      </c>
      <c r="CT98" s="887">
        <v>276.3</v>
      </c>
      <c r="CU98" s="887">
        <v>277.5</v>
      </c>
      <c r="CV98" s="887">
        <v>277.8</v>
      </c>
      <c r="CW98" s="887">
        <v>285.7</v>
      </c>
      <c r="CX98" s="887">
        <v>286.60000000000002</v>
      </c>
      <c r="CY98" s="887">
        <v>287.3</v>
      </c>
      <c r="CZ98" s="887">
        <v>287.7</v>
      </c>
      <c r="DA98" s="887">
        <v>296.2</v>
      </c>
      <c r="DB98" s="889">
        <v>304.7</v>
      </c>
      <c r="DC98" s="888">
        <v>304.8</v>
      </c>
      <c r="DD98" s="890">
        <v>310.60000000000002</v>
      </c>
      <c r="DE98" s="887">
        <v>316</v>
      </c>
      <c r="DF98" s="889">
        <v>317.5</v>
      </c>
      <c r="DG98" s="888">
        <v>317.5</v>
      </c>
      <c r="DH98" s="887">
        <v>320</v>
      </c>
      <c r="DI98" s="887">
        <v>319.89999999999998</v>
      </c>
      <c r="DJ98" s="887">
        <v>325.3</v>
      </c>
      <c r="DK98" s="888">
        <v>327.60000000000002</v>
      </c>
      <c r="DL98" s="887">
        <v>329.4</v>
      </c>
      <c r="DM98" s="888">
        <v>333</v>
      </c>
      <c r="DN98" s="888">
        <v>336</v>
      </c>
      <c r="DO98" s="968">
        <v>336</v>
      </c>
      <c r="DP98" s="890">
        <v>336.7</v>
      </c>
      <c r="DQ98" s="888">
        <v>336.7</v>
      </c>
      <c r="DR98" s="888">
        <v>335.7</v>
      </c>
      <c r="DS98" s="888">
        <v>340.3</v>
      </c>
      <c r="DT98" s="887">
        <v>348.2</v>
      </c>
      <c r="DU98" s="888">
        <v>349.4</v>
      </c>
      <c r="DV98" s="888">
        <v>349.8</v>
      </c>
      <c r="DW98" s="888">
        <v>356.2</v>
      </c>
      <c r="DX98" s="888">
        <v>359.5</v>
      </c>
      <c r="DY98" s="888">
        <v>367.4</v>
      </c>
      <c r="DZ98" s="888">
        <v>367.6</v>
      </c>
      <c r="EA98" s="968">
        <v>368.2</v>
      </c>
      <c r="EB98" s="888">
        <v>368.2</v>
      </c>
      <c r="EC98" s="888">
        <v>373.7</v>
      </c>
      <c r="ED98" s="659">
        <v>373.7</v>
      </c>
      <c r="EE98" s="659">
        <v>381.8</v>
      </c>
      <c r="EF98" s="659">
        <v>381.8</v>
      </c>
      <c r="EG98" s="659">
        <v>396.8</v>
      </c>
      <c r="EH98" s="659">
        <v>404.1</v>
      </c>
      <c r="EI98" s="659">
        <v>408.2</v>
      </c>
      <c r="EJ98" s="659">
        <v>420.6</v>
      </c>
      <c r="EK98" s="623">
        <v>428.9</v>
      </c>
      <c r="EL98" s="725">
        <v>432.2</v>
      </c>
      <c r="EM98" s="659">
        <v>431.6</v>
      </c>
      <c r="EN98" s="783">
        <v>442.4</v>
      </c>
      <c r="EO98" s="659">
        <v>442.4</v>
      </c>
      <c r="EP98" s="659">
        <v>445.7</v>
      </c>
      <c r="EQ98" s="659">
        <v>457.6</v>
      </c>
      <c r="ER98" s="659">
        <v>462.7</v>
      </c>
      <c r="ES98" s="659">
        <v>479.8</v>
      </c>
      <c r="ET98" s="659">
        <v>482.7</v>
      </c>
      <c r="EU98" s="659">
        <v>493.9</v>
      </c>
      <c r="EV98" s="659">
        <v>495.5</v>
      </c>
      <c r="EW98" s="659">
        <v>502.7</v>
      </c>
      <c r="EX98" s="659">
        <v>508.2</v>
      </c>
      <c r="EY98" s="659">
        <v>526.6</v>
      </c>
      <c r="EZ98" s="783">
        <v>548.1</v>
      </c>
      <c r="FA98" s="659">
        <v>601.79999999999995</v>
      </c>
      <c r="FB98" s="659">
        <v>622.29999999999995</v>
      </c>
      <c r="FC98" s="659">
        <v>633</v>
      </c>
      <c r="FD98" s="659">
        <v>660.5</v>
      </c>
      <c r="FE98" s="659">
        <v>657.7</v>
      </c>
      <c r="FF98" s="659">
        <v>677.4</v>
      </c>
      <c r="FG98" s="659">
        <v>688.2</v>
      </c>
      <c r="FH98" s="659">
        <v>730.3</v>
      </c>
      <c r="FI98" s="659">
        <v>775</v>
      </c>
      <c r="FJ98" s="659">
        <v>780.2</v>
      </c>
      <c r="FK98" s="897">
        <v>803.9</v>
      </c>
      <c r="FL98" s="660">
        <v>819.8</v>
      </c>
      <c r="FM98" s="623">
        <v>833</v>
      </c>
      <c r="FN98" s="623">
        <v>845.5</v>
      </c>
      <c r="FO98" s="623">
        <v>851.1</v>
      </c>
      <c r="FP98" s="623">
        <v>861</v>
      </c>
      <c r="FQ98" s="623">
        <v>887.4</v>
      </c>
      <c r="FR98" s="623">
        <v>912.8</v>
      </c>
      <c r="FS98" s="623">
        <v>938.4</v>
      </c>
      <c r="FT98" s="623">
        <v>961.6</v>
      </c>
      <c r="FU98" s="897">
        <v>955.2</v>
      </c>
      <c r="FV98" s="1167">
        <f t="shared" si="0"/>
        <v>0.99334442595673877</v>
      </c>
    </row>
    <row r="99" spans="1:178" s="115" customFormat="1" ht="18.95" customHeight="1">
      <c r="A99" s="1546">
        <v>1</v>
      </c>
      <c r="B99" s="408">
        <v>74</v>
      </c>
      <c r="C99" s="621" t="s">
        <v>179</v>
      </c>
      <c r="D99" s="622" t="s">
        <v>180</v>
      </c>
      <c r="E99" s="621" t="s">
        <v>918</v>
      </c>
      <c r="F99" s="622"/>
      <c r="G99" s="621" t="s">
        <v>929</v>
      </c>
      <c r="H99" s="621" t="s">
        <v>930</v>
      </c>
      <c r="I99" s="390" t="s">
        <v>921</v>
      </c>
      <c r="J99" s="651"/>
      <c r="K99" s="669">
        <v>92.3</v>
      </c>
      <c r="L99" s="665">
        <v>117.9</v>
      </c>
      <c r="M99" s="625">
        <v>142.30000000000001</v>
      </c>
      <c r="N99" s="625">
        <v>176.5</v>
      </c>
      <c r="O99" s="625">
        <v>224.9</v>
      </c>
      <c r="P99" s="625">
        <v>249</v>
      </c>
      <c r="Q99" s="625">
        <v>270.3</v>
      </c>
      <c r="R99" s="625">
        <v>259</v>
      </c>
      <c r="S99" s="625">
        <v>252.3</v>
      </c>
      <c r="T99" s="625">
        <v>248.1</v>
      </c>
      <c r="U99" s="625">
        <v>249.3</v>
      </c>
      <c r="V99" s="625">
        <v>245.9</v>
      </c>
      <c r="W99" s="625">
        <v>247.1</v>
      </c>
      <c r="X99" s="625">
        <v>240.8</v>
      </c>
      <c r="Y99" s="625">
        <v>235.9</v>
      </c>
      <c r="Z99" s="625">
        <v>236.3</v>
      </c>
      <c r="AA99" s="625">
        <v>227.5</v>
      </c>
      <c r="AB99" s="625">
        <v>226.6</v>
      </c>
      <c r="AC99" s="625">
        <v>220.3</v>
      </c>
      <c r="AD99" s="625">
        <v>209.3</v>
      </c>
      <c r="AE99" s="625">
        <v>209.7</v>
      </c>
      <c r="AF99" s="625">
        <v>209.7</v>
      </c>
      <c r="AG99" s="625">
        <v>208.9</v>
      </c>
      <c r="AH99" s="625">
        <v>206.5</v>
      </c>
      <c r="AI99" s="764">
        <v>204.3</v>
      </c>
      <c r="AJ99" s="772">
        <v>200.5</v>
      </c>
      <c r="AK99" s="625">
        <v>200.5</v>
      </c>
      <c r="AL99" s="625">
        <v>200</v>
      </c>
      <c r="AM99" s="625">
        <v>198.3</v>
      </c>
      <c r="AN99" s="625">
        <v>191</v>
      </c>
      <c r="AO99" s="625">
        <v>190</v>
      </c>
      <c r="AP99" s="625">
        <v>190.4</v>
      </c>
      <c r="AQ99" s="625">
        <v>191.4</v>
      </c>
      <c r="AR99" s="625">
        <v>191.3</v>
      </c>
      <c r="AS99" s="625">
        <v>191.7</v>
      </c>
      <c r="AT99" s="625">
        <v>191.7</v>
      </c>
      <c r="AU99" s="764">
        <v>191.2</v>
      </c>
      <c r="AV99" s="752">
        <v>191.1</v>
      </c>
      <c r="AW99" s="626">
        <v>189.8</v>
      </c>
      <c r="AX99" s="626">
        <v>190</v>
      </c>
      <c r="AY99" s="626">
        <v>190.2</v>
      </c>
      <c r="AZ99" s="626">
        <v>191.3</v>
      </c>
      <c r="BA99" s="626">
        <v>191</v>
      </c>
      <c r="BB99" s="626">
        <v>190.9</v>
      </c>
      <c r="BC99" s="627">
        <v>190.9</v>
      </c>
      <c r="BD99" s="626">
        <v>191</v>
      </c>
      <c r="BE99" s="627">
        <v>191.2</v>
      </c>
      <c r="BF99" s="627">
        <v>192.2</v>
      </c>
      <c r="BG99" s="738">
        <v>194.7</v>
      </c>
      <c r="BH99" s="660">
        <v>195.1</v>
      </c>
      <c r="BI99" s="623">
        <v>197.3</v>
      </c>
      <c r="BJ99" s="623">
        <v>198.5</v>
      </c>
      <c r="BK99" s="623">
        <v>202</v>
      </c>
      <c r="BL99" s="623">
        <v>201.6</v>
      </c>
      <c r="BM99" s="623">
        <v>205.3</v>
      </c>
      <c r="BN99" s="623">
        <v>208.2</v>
      </c>
      <c r="BO99" s="623">
        <v>208.1</v>
      </c>
      <c r="BP99" s="623">
        <v>208.6</v>
      </c>
      <c r="BQ99" s="623">
        <v>208.8</v>
      </c>
      <c r="BR99" s="623">
        <v>207.6</v>
      </c>
      <c r="BS99" s="659">
        <v>208.6</v>
      </c>
      <c r="BT99" s="660">
        <v>209.6</v>
      </c>
      <c r="BU99" s="623">
        <v>211</v>
      </c>
      <c r="BV99" s="623">
        <v>215.7</v>
      </c>
      <c r="BW99" s="623">
        <v>215.4</v>
      </c>
      <c r="BX99" s="623">
        <v>215.4</v>
      </c>
      <c r="BY99" s="623">
        <v>215.2</v>
      </c>
      <c r="BZ99" s="623">
        <v>216.5</v>
      </c>
      <c r="CA99" s="623">
        <v>217.8</v>
      </c>
      <c r="CB99" s="623">
        <v>217.5</v>
      </c>
      <c r="CC99" s="623">
        <v>218.1</v>
      </c>
      <c r="CD99" s="623">
        <v>218.8</v>
      </c>
      <c r="CE99" s="659">
        <v>223</v>
      </c>
      <c r="CF99" s="660">
        <v>222.9</v>
      </c>
      <c r="CG99" s="623">
        <v>222.9</v>
      </c>
      <c r="CH99" s="623">
        <v>223.7</v>
      </c>
      <c r="CI99" s="623">
        <v>223.3</v>
      </c>
      <c r="CJ99" s="623">
        <v>229</v>
      </c>
      <c r="CK99" s="623">
        <v>229.8</v>
      </c>
      <c r="CL99" s="623">
        <v>228</v>
      </c>
      <c r="CM99" s="623">
        <v>227.9</v>
      </c>
      <c r="CN99" s="623">
        <v>227.9</v>
      </c>
      <c r="CO99" s="623">
        <v>229.3</v>
      </c>
      <c r="CP99" s="623">
        <v>237.7</v>
      </c>
      <c r="CQ99" s="659">
        <v>246.7</v>
      </c>
      <c r="CR99" s="660">
        <v>247.8</v>
      </c>
      <c r="CS99" s="623">
        <v>248.8</v>
      </c>
      <c r="CT99" s="623">
        <v>257.60000000000002</v>
      </c>
      <c r="CU99" s="623">
        <v>258.8</v>
      </c>
      <c r="CV99" s="623">
        <v>263.60000000000002</v>
      </c>
      <c r="CW99" s="623">
        <v>268.39999999999998</v>
      </c>
      <c r="CX99" s="623">
        <v>269.7</v>
      </c>
      <c r="CY99" s="623">
        <v>273.3</v>
      </c>
      <c r="CZ99" s="623">
        <v>274.39999999999998</v>
      </c>
      <c r="DA99" s="623">
        <v>275</v>
      </c>
      <c r="DB99" s="725">
        <v>277.10000000000002</v>
      </c>
      <c r="DC99" s="659">
        <v>276.2</v>
      </c>
      <c r="DD99" s="783">
        <v>278.60000000000002</v>
      </c>
      <c r="DE99" s="623">
        <v>282.8</v>
      </c>
      <c r="DF99" s="725">
        <v>284.5</v>
      </c>
      <c r="DG99" s="659">
        <v>285.10000000000002</v>
      </c>
      <c r="DH99" s="623">
        <v>288.39999999999998</v>
      </c>
      <c r="DI99" s="623">
        <v>292.8</v>
      </c>
      <c r="DJ99" s="623">
        <v>292.8</v>
      </c>
      <c r="DK99" s="659">
        <v>293.89999999999998</v>
      </c>
      <c r="DL99" s="623">
        <v>297.10000000000002</v>
      </c>
      <c r="DM99" s="659">
        <v>298</v>
      </c>
      <c r="DN99" s="659">
        <v>299.39999999999998</v>
      </c>
      <c r="DO99" s="897">
        <v>303.7</v>
      </c>
      <c r="DP99" s="783">
        <v>305.3</v>
      </c>
      <c r="DQ99" s="659">
        <v>318.3</v>
      </c>
      <c r="DR99" s="659">
        <v>320.5</v>
      </c>
      <c r="DS99" s="659">
        <v>324.7</v>
      </c>
      <c r="DT99" s="623">
        <v>329.3</v>
      </c>
      <c r="DU99" s="659">
        <v>332.7</v>
      </c>
      <c r="DV99" s="659">
        <v>332.9</v>
      </c>
      <c r="DW99" s="659">
        <v>339.8</v>
      </c>
      <c r="DX99" s="659">
        <v>345.5</v>
      </c>
      <c r="DY99" s="659">
        <v>346.1</v>
      </c>
      <c r="DZ99" s="659">
        <v>356.9</v>
      </c>
      <c r="EA99" s="897">
        <v>367.1</v>
      </c>
      <c r="EB99" s="659">
        <v>372.3</v>
      </c>
      <c r="EC99" s="659">
        <v>382.9</v>
      </c>
      <c r="ED99" s="659">
        <v>383.5</v>
      </c>
      <c r="EE99" s="659">
        <v>389.8</v>
      </c>
      <c r="EF99" s="659">
        <v>396.1</v>
      </c>
      <c r="EG99" s="659">
        <v>415.3</v>
      </c>
      <c r="EH99" s="659">
        <v>428.7</v>
      </c>
      <c r="EI99" s="659">
        <v>435.4</v>
      </c>
      <c r="EJ99" s="659">
        <v>437.5</v>
      </c>
      <c r="EK99" s="623">
        <v>442.3</v>
      </c>
      <c r="EL99" s="725">
        <v>449.6</v>
      </c>
      <c r="EM99" s="659">
        <v>455.1</v>
      </c>
      <c r="EN99" s="783">
        <v>458.7</v>
      </c>
      <c r="EO99" s="659">
        <v>471.8</v>
      </c>
      <c r="EP99" s="659">
        <v>488.6</v>
      </c>
      <c r="EQ99" s="659">
        <v>512.6</v>
      </c>
      <c r="ER99" s="659">
        <v>536</v>
      </c>
      <c r="ES99" s="659">
        <v>547.6</v>
      </c>
      <c r="ET99" s="659">
        <v>565.20000000000005</v>
      </c>
      <c r="EU99" s="659">
        <v>576.1</v>
      </c>
      <c r="EV99" s="659">
        <v>597.9</v>
      </c>
      <c r="EW99" s="659">
        <v>610</v>
      </c>
      <c r="EX99" s="659">
        <v>624.20000000000005</v>
      </c>
      <c r="EY99" s="659">
        <v>663.3</v>
      </c>
      <c r="EZ99" s="783">
        <v>715.9</v>
      </c>
      <c r="FA99" s="659">
        <v>844.6</v>
      </c>
      <c r="FB99" s="659">
        <v>886.8</v>
      </c>
      <c r="FC99" s="659">
        <v>890.4</v>
      </c>
      <c r="FD99" s="659">
        <v>902</v>
      </c>
      <c r="FE99" s="659">
        <v>889.9</v>
      </c>
      <c r="FF99" s="659">
        <v>903.3</v>
      </c>
      <c r="FG99" s="659">
        <v>914.4</v>
      </c>
      <c r="FH99" s="659">
        <v>934.6</v>
      </c>
      <c r="FI99" s="659">
        <v>1025.7</v>
      </c>
      <c r="FJ99" s="659">
        <v>1065</v>
      </c>
      <c r="FK99" s="897">
        <v>1079.4000000000001</v>
      </c>
      <c r="FL99" s="660">
        <v>1091.0999999999999</v>
      </c>
      <c r="FM99" s="623">
        <v>1113.2</v>
      </c>
      <c r="FN99" s="623">
        <v>1127.3</v>
      </c>
      <c r="FO99" s="623">
        <v>1185.0999999999999</v>
      </c>
      <c r="FP99" s="623">
        <v>1194.3</v>
      </c>
      <c r="FQ99" s="623">
        <v>1190.8</v>
      </c>
      <c r="FR99" s="623">
        <v>1220.5999999999999</v>
      </c>
      <c r="FS99" s="623">
        <v>1231.4000000000001</v>
      </c>
      <c r="FT99" s="623">
        <v>1255.0999999999999</v>
      </c>
      <c r="FU99" s="897">
        <v>1266.8</v>
      </c>
      <c r="FV99" s="1167">
        <f t="shared" si="0"/>
        <v>1.0093219663771811</v>
      </c>
    </row>
    <row r="100" spans="1:178" s="115" customFormat="1" ht="18.95" customHeight="1">
      <c r="A100" s="1546">
        <v>1</v>
      </c>
      <c r="B100" s="408">
        <v>75</v>
      </c>
      <c r="C100" s="621" t="s">
        <v>181</v>
      </c>
      <c r="D100" s="622" t="s">
        <v>182</v>
      </c>
      <c r="E100" s="621" t="s">
        <v>918</v>
      </c>
      <c r="F100" s="622"/>
      <c r="G100" s="621" t="s">
        <v>929</v>
      </c>
      <c r="H100" s="621" t="s">
        <v>930</v>
      </c>
      <c r="I100" s="390" t="s">
        <v>921</v>
      </c>
      <c r="J100" s="651"/>
      <c r="K100" s="669">
        <v>93.7</v>
      </c>
      <c r="L100" s="665">
        <v>116.5</v>
      </c>
      <c r="M100" s="625">
        <v>137.69999999999999</v>
      </c>
      <c r="N100" s="625">
        <v>172.6</v>
      </c>
      <c r="O100" s="625">
        <v>210.5</v>
      </c>
      <c r="P100" s="625">
        <v>232.4</v>
      </c>
      <c r="Q100" s="625">
        <v>248.5</v>
      </c>
      <c r="R100" s="625">
        <v>247.2</v>
      </c>
      <c r="S100" s="625">
        <v>220.7</v>
      </c>
      <c r="T100" s="625">
        <v>205.9</v>
      </c>
      <c r="U100" s="625">
        <v>204.7</v>
      </c>
      <c r="V100" s="625">
        <v>201.1</v>
      </c>
      <c r="W100" s="625">
        <v>201.1</v>
      </c>
      <c r="X100" s="625">
        <v>194.8</v>
      </c>
      <c r="Y100" s="625">
        <v>192</v>
      </c>
      <c r="Z100" s="625">
        <v>192.6</v>
      </c>
      <c r="AA100" s="625">
        <v>188.6</v>
      </c>
      <c r="AB100" s="625">
        <v>186.7</v>
      </c>
      <c r="AC100" s="625">
        <v>182.9</v>
      </c>
      <c r="AD100" s="625">
        <v>181.7</v>
      </c>
      <c r="AE100" s="625">
        <v>182.4</v>
      </c>
      <c r="AF100" s="625">
        <v>182.4</v>
      </c>
      <c r="AG100" s="625">
        <v>180.6</v>
      </c>
      <c r="AH100" s="625">
        <v>178.8</v>
      </c>
      <c r="AI100" s="764">
        <v>178.8</v>
      </c>
      <c r="AJ100" s="772">
        <v>177.4</v>
      </c>
      <c r="AK100" s="625">
        <v>177.6</v>
      </c>
      <c r="AL100" s="625">
        <v>177.6</v>
      </c>
      <c r="AM100" s="625">
        <v>176.4</v>
      </c>
      <c r="AN100" s="625">
        <v>175.2</v>
      </c>
      <c r="AO100" s="625">
        <v>175.3</v>
      </c>
      <c r="AP100" s="625">
        <v>175.6</v>
      </c>
      <c r="AQ100" s="625">
        <v>176.5</v>
      </c>
      <c r="AR100" s="625">
        <v>176.5</v>
      </c>
      <c r="AS100" s="625">
        <v>176.3</v>
      </c>
      <c r="AT100" s="625">
        <v>175.8</v>
      </c>
      <c r="AU100" s="764">
        <v>175.9</v>
      </c>
      <c r="AV100" s="752">
        <v>175.9</v>
      </c>
      <c r="AW100" s="626">
        <v>175.9</v>
      </c>
      <c r="AX100" s="626">
        <v>175.9</v>
      </c>
      <c r="AY100" s="626">
        <v>175.5</v>
      </c>
      <c r="AZ100" s="626">
        <v>176</v>
      </c>
      <c r="BA100" s="626">
        <v>175.7</v>
      </c>
      <c r="BB100" s="626">
        <v>175.7</v>
      </c>
      <c r="BC100" s="627">
        <v>176.9</v>
      </c>
      <c r="BD100" s="626">
        <v>176.9</v>
      </c>
      <c r="BE100" s="627">
        <v>176.6</v>
      </c>
      <c r="BF100" s="627">
        <v>177.8</v>
      </c>
      <c r="BG100" s="738">
        <v>180.2</v>
      </c>
      <c r="BH100" s="660">
        <v>179.9</v>
      </c>
      <c r="BI100" s="623">
        <v>181.2</v>
      </c>
      <c r="BJ100" s="623">
        <v>181.6</v>
      </c>
      <c r="BK100" s="623">
        <v>186.3</v>
      </c>
      <c r="BL100" s="623">
        <v>187.1</v>
      </c>
      <c r="BM100" s="623">
        <v>193.5</v>
      </c>
      <c r="BN100" s="623">
        <v>193.5</v>
      </c>
      <c r="BO100" s="623">
        <v>193.5</v>
      </c>
      <c r="BP100" s="623">
        <v>193.7</v>
      </c>
      <c r="BQ100" s="623">
        <v>193.7</v>
      </c>
      <c r="BR100" s="623">
        <v>193.7</v>
      </c>
      <c r="BS100" s="659">
        <v>194.8</v>
      </c>
      <c r="BT100" s="660">
        <v>198.4</v>
      </c>
      <c r="BU100" s="623">
        <v>199.3</v>
      </c>
      <c r="BV100" s="623">
        <v>199.6</v>
      </c>
      <c r="BW100" s="623">
        <v>202.2</v>
      </c>
      <c r="BX100" s="623">
        <v>210.5</v>
      </c>
      <c r="BY100" s="623">
        <v>209.3</v>
      </c>
      <c r="BZ100" s="623">
        <v>209.4</v>
      </c>
      <c r="CA100" s="623">
        <v>211.4</v>
      </c>
      <c r="CB100" s="623">
        <v>213.5</v>
      </c>
      <c r="CC100" s="623">
        <v>214.2</v>
      </c>
      <c r="CD100" s="623">
        <v>214.2</v>
      </c>
      <c r="CE100" s="659">
        <v>217.6</v>
      </c>
      <c r="CF100" s="660">
        <v>213.2</v>
      </c>
      <c r="CG100" s="623">
        <v>218.4</v>
      </c>
      <c r="CH100" s="623">
        <v>218.3</v>
      </c>
      <c r="CI100" s="623">
        <v>218.3</v>
      </c>
      <c r="CJ100" s="623">
        <v>231.4</v>
      </c>
      <c r="CK100" s="623">
        <v>233.1</v>
      </c>
      <c r="CL100" s="623">
        <v>232.1</v>
      </c>
      <c r="CM100" s="623">
        <v>231.6</v>
      </c>
      <c r="CN100" s="623">
        <v>231.6</v>
      </c>
      <c r="CO100" s="623">
        <v>231.6</v>
      </c>
      <c r="CP100" s="623">
        <v>241.4</v>
      </c>
      <c r="CQ100" s="659">
        <v>246.4</v>
      </c>
      <c r="CR100" s="660">
        <v>249.1</v>
      </c>
      <c r="CS100" s="623">
        <v>249.8</v>
      </c>
      <c r="CT100" s="623">
        <v>257.60000000000002</v>
      </c>
      <c r="CU100" s="623">
        <v>259</v>
      </c>
      <c r="CV100" s="623">
        <v>262</v>
      </c>
      <c r="CW100" s="623">
        <v>263.39999999999998</v>
      </c>
      <c r="CX100" s="623">
        <v>264.2</v>
      </c>
      <c r="CY100" s="623">
        <v>269.39999999999998</v>
      </c>
      <c r="CZ100" s="623">
        <v>269.7</v>
      </c>
      <c r="DA100" s="623">
        <v>265.89999999999998</v>
      </c>
      <c r="DB100" s="725">
        <v>269.7</v>
      </c>
      <c r="DC100" s="659">
        <v>269.2</v>
      </c>
      <c r="DD100" s="783">
        <v>271.2</v>
      </c>
      <c r="DE100" s="623">
        <v>275.3</v>
      </c>
      <c r="DF100" s="725">
        <v>275.7</v>
      </c>
      <c r="DG100" s="659">
        <v>272.3</v>
      </c>
      <c r="DH100" s="623">
        <v>276</v>
      </c>
      <c r="DI100" s="623">
        <v>278.10000000000002</v>
      </c>
      <c r="DJ100" s="623">
        <v>276.7</v>
      </c>
      <c r="DK100" s="659">
        <v>279.8</v>
      </c>
      <c r="DL100" s="623">
        <v>283.8</v>
      </c>
      <c r="DM100" s="659">
        <v>282.60000000000002</v>
      </c>
      <c r="DN100" s="659">
        <v>284.3</v>
      </c>
      <c r="DO100" s="897">
        <v>287.5</v>
      </c>
      <c r="DP100" s="783">
        <v>287.60000000000002</v>
      </c>
      <c r="DQ100" s="659">
        <v>295.39999999999998</v>
      </c>
      <c r="DR100" s="659">
        <v>304.89999999999998</v>
      </c>
      <c r="DS100" s="659">
        <v>304.8</v>
      </c>
      <c r="DT100" s="623">
        <v>314.3</v>
      </c>
      <c r="DU100" s="659">
        <v>318.39999999999998</v>
      </c>
      <c r="DV100" s="659">
        <v>321.10000000000002</v>
      </c>
      <c r="DW100" s="659">
        <v>329.5</v>
      </c>
      <c r="DX100" s="659">
        <v>335.1</v>
      </c>
      <c r="DY100" s="659">
        <v>336.5</v>
      </c>
      <c r="DZ100" s="659">
        <v>341.7</v>
      </c>
      <c r="EA100" s="897">
        <v>354.8</v>
      </c>
      <c r="EB100" s="659">
        <v>358.8</v>
      </c>
      <c r="EC100" s="659">
        <v>363.1</v>
      </c>
      <c r="ED100" s="659">
        <v>364.2</v>
      </c>
      <c r="EE100" s="659">
        <v>370.9</v>
      </c>
      <c r="EF100" s="659">
        <v>381</v>
      </c>
      <c r="EG100" s="659">
        <v>394.5</v>
      </c>
      <c r="EH100" s="659">
        <v>410.8</v>
      </c>
      <c r="EI100" s="659">
        <v>412.4</v>
      </c>
      <c r="EJ100" s="659">
        <v>427.9</v>
      </c>
      <c r="EK100" s="623">
        <v>431.2</v>
      </c>
      <c r="EL100" s="725">
        <v>431.9</v>
      </c>
      <c r="EM100" s="659">
        <v>437.4</v>
      </c>
      <c r="EN100" s="783">
        <v>444.2</v>
      </c>
      <c r="EO100" s="659">
        <v>469.6</v>
      </c>
      <c r="EP100" s="659">
        <v>491.9</v>
      </c>
      <c r="EQ100" s="659">
        <v>512.6</v>
      </c>
      <c r="ER100" s="659">
        <v>531.70000000000005</v>
      </c>
      <c r="ES100" s="659">
        <v>550.20000000000005</v>
      </c>
      <c r="ET100" s="659">
        <v>570.29999999999995</v>
      </c>
      <c r="EU100" s="659">
        <v>568.79999999999995</v>
      </c>
      <c r="EV100" s="659">
        <v>591.9</v>
      </c>
      <c r="EW100" s="659">
        <v>609</v>
      </c>
      <c r="EX100" s="659">
        <v>632.1</v>
      </c>
      <c r="EY100" s="659">
        <v>675.8</v>
      </c>
      <c r="EZ100" s="783">
        <v>709.2</v>
      </c>
      <c r="FA100" s="659">
        <v>833.2</v>
      </c>
      <c r="FB100" s="659">
        <v>888.2</v>
      </c>
      <c r="FC100" s="659">
        <v>937.5</v>
      </c>
      <c r="FD100" s="659">
        <v>950.3</v>
      </c>
      <c r="FE100" s="659">
        <v>953.2</v>
      </c>
      <c r="FF100" s="659">
        <v>964.2</v>
      </c>
      <c r="FG100" s="659">
        <v>981.4</v>
      </c>
      <c r="FH100" s="659">
        <v>1004.8</v>
      </c>
      <c r="FI100" s="659">
        <v>1083</v>
      </c>
      <c r="FJ100" s="659">
        <v>1133.5999999999999</v>
      </c>
      <c r="FK100" s="897">
        <v>1135.2</v>
      </c>
      <c r="FL100" s="660">
        <v>1141.2</v>
      </c>
      <c r="FM100" s="623">
        <v>1178.0999999999999</v>
      </c>
      <c r="FN100" s="623">
        <v>1187</v>
      </c>
      <c r="FO100" s="623">
        <v>1234.8</v>
      </c>
      <c r="FP100" s="623">
        <v>1241.7</v>
      </c>
      <c r="FQ100" s="623">
        <v>1249.3</v>
      </c>
      <c r="FR100" s="623">
        <v>1255</v>
      </c>
      <c r="FS100" s="623">
        <v>1262.7</v>
      </c>
      <c r="FT100" s="623">
        <v>1293.2</v>
      </c>
      <c r="FU100" s="897">
        <v>1318.9</v>
      </c>
      <c r="FV100" s="1167">
        <f t="shared" ref="FV100:FV163" si="1">+FU100/FT100</f>
        <v>1.0198731828023508</v>
      </c>
    </row>
    <row r="101" spans="1:178" s="115" customFormat="1" ht="18.95" customHeight="1">
      <c r="A101" s="1546">
        <v>1</v>
      </c>
      <c r="B101" s="644">
        <v>76</v>
      </c>
      <c r="C101" s="645" t="s">
        <v>207</v>
      </c>
      <c r="D101" s="646" t="s">
        <v>208</v>
      </c>
      <c r="E101" s="645" t="s">
        <v>918</v>
      </c>
      <c r="F101" s="646"/>
      <c r="G101" s="895" t="s">
        <v>64</v>
      </c>
      <c r="H101" s="645" t="s">
        <v>920</v>
      </c>
      <c r="I101" s="876" t="s">
        <v>209</v>
      </c>
      <c r="J101" s="893"/>
      <c r="K101" s="877">
        <v>97</v>
      </c>
      <c r="L101" s="878">
        <v>114.4</v>
      </c>
      <c r="M101" s="879">
        <v>142.1</v>
      </c>
      <c r="N101" s="879">
        <v>153</v>
      </c>
      <c r="O101" s="879">
        <v>176.5</v>
      </c>
      <c r="P101" s="879">
        <v>192</v>
      </c>
      <c r="Q101" s="879">
        <v>187.9</v>
      </c>
      <c r="R101" s="879">
        <v>196.6</v>
      </c>
      <c r="S101" s="879">
        <v>181.3</v>
      </c>
      <c r="T101" s="879">
        <v>181.5</v>
      </c>
      <c r="U101" s="879">
        <v>180.6</v>
      </c>
      <c r="V101" s="879">
        <v>174.6</v>
      </c>
      <c r="W101" s="879">
        <v>177.4</v>
      </c>
      <c r="X101" s="879">
        <v>178.3</v>
      </c>
      <c r="Y101" s="879">
        <v>177.2</v>
      </c>
      <c r="Z101" s="879">
        <v>177.9</v>
      </c>
      <c r="AA101" s="879">
        <v>177.6</v>
      </c>
      <c r="AB101" s="879">
        <v>177.1</v>
      </c>
      <c r="AC101" s="879">
        <v>175.4</v>
      </c>
      <c r="AD101" s="879">
        <v>174.1</v>
      </c>
      <c r="AE101" s="879">
        <v>174.4</v>
      </c>
      <c r="AF101" s="879">
        <v>174.4</v>
      </c>
      <c r="AG101" s="879">
        <v>175.3</v>
      </c>
      <c r="AH101" s="879">
        <v>175.3</v>
      </c>
      <c r="AI101" s="880">
        <v>175.4</v>
      </c>
      <c r="AJ101" s="881">
        <v>176.2</v>
      </c>
      <c r="AK101" s="879">
        <v>179</v>
      </c>
      <c r="AL101" s="879">
        <v>179</v>
      </c>
      <c r="AM101" s="879">
        <v>176.1</v>
      </c>
      <c r="AN101" s="879">
        <v>182</v>
      </c>
      <c r="AO101" s="879">
        <v>182.6</v>
      </c>
      <c r="AP101" s="879">
        <v>182.6</v>
      </c>
      <c r="AQ101" s="879">
        <v>185.6</v>
      </c>
      <c r="AR101" s="879">
        <v>184.7</v>
      </c>
      <c r="AS101" s="879">
        <v>191.2</v>
      </c>
      <c r="AT101" s="879">
        <v>191</v>
      </c>
      <c r="AU101" s="880">
        <v>191</v>
      </c>
      <c r="AV101" s="882">
        <v>192.1</v>
      </c>
      <c r="AW101" s="883">
        <v>194.8</v>
      </c>
      <c r="AX101" s="883">
        <v>195.8</v>
      </c>
      <c r="AY101" s="883">
        <v>195.5</v>
      </c>
      <c r="AZ101" s="883">
        <v>197.5</v>
      </c>
      <c r="BA101" s="883">
        <v>199.2</v>
      </c>
      <c r="BB101" s="883">
        <v>200</v>
      </c>
      <c r="BC101" s="884">
        <v>203</v>
      </c>
      <c r="BD101" s="883">
        <v>203.6</v>
      </c>
      <c r="BE101" s="884">
        <v>203.1</v>
      </c>
      <c r="BF101" s="884">
        <v>204.5</v>
      </c>
      <c r="BG101" s="885">
        <v>213.6</v>
      </c>
      <c r="BH101" s="886">
        <v>213.3</v>
      </c>
      <c r="BI101" s="887">
        <v>211.8</v>
      </c>
      <c r="BJ101" s="887">
        <v>211.4</v>
      </c>
      <c r="BK101" s="887">
        <v>218.6</v>
      </c>
      <c r="BL101" s="887">
        <v>226.3</v>
      </c>
      <c r="BM101" s="887">
        <v>226.1</v>
      </c>
      <c r="BN101" s="887">
        <v>226.1</v>
      </c>
      <c r="BO101" s="887">
        <v>226.1</v>
      </c>
      <c r="BP101" s="887">
        <v>232.2</v>
      </c>
      <c r="BQ101" s="887">
        <v>229.9</v>
      </c>
      <c r="BR101" s="887">
        <v>229.1</v>
      </c>
      <c r="BS101" s="888">
        <v>229.1</v>
      </c>
      <c r="BT101" s="886">
        <v>228.8</v>
      </c>
      <c r="BU101" s="887">
        <v>228.8</v>
      </c>
      <c r="BV101" s="887">
        <v>230.7</v>
      </c>
      <c r="BW101" s="887">
        <v>240.9</v>
      </c>
      <c r="BX101" s="887">
        <v>241.9</v>
      </c>
      <c r="BY101" s="887">
        <v>243.5</v>
      </c>
      <c r="BZ101" s="887">
        <v>252.3</v>
      </c>
      <c r="CA101" s="887">
        <v>259.5</v>
      </c>
      <c r="CB101" s="887">
        <v>260.8</v>
      </c>
      <c r="CC101" s="887">
        <v>261.89999999999998</v>
      </c>
      <c r="CD101" s="887">
        <v>263.7</v>
      </c>
      <c r="CE101" s="888">
        <v>268.2</v>
      </c>
      <c r="CF101" s="886">
        <v>274.7</v>
      </c>
      <c r="CG101" s="887">
        <v>276.2</v>
      </c>
      <c r="CH101" s="887">
        <v>279.7</v>
      </c>
      <c r="CI101" s="887">
        <v>283.5</v>
      </c>
      <c r="CJ101" s="887">
        <v>298.89999999999998</v>
      </c>
      <c r="CK101" s="887">
        <v>296.60000000000002</v>
      </c>
      <c r="CL101" s="887">
        <v>297.7</v>
      </c>
      <c r="CM101" s="887">
        <v>301.2</v>
      </c>
      <c r="CN101" s="887">
        <v>301.2</v>
      </c>
      <c r="CO101" s="887">
        <v>304.8</v>
      </c>
      <c r="CP101" s="887">
        <v>309</v>
      </c>
      <c r="CQ101" s="888">
        <v>315</v>
      </c>
      <c r="CR101" s="886">
        <v>314.2</v>
      </c>
      <c r="CS101" s="887">
        <v>308</v>
      </c>
      <c r="CT101" s="887">
        <v>305.60000000000002</v>
      </c>
      <c r="CU101" s="887">
        <v>306.60000000000002</v>
      </c>
      <c r="CV101" s="887">
        <v>306.39999999999998</v>
      </c>
      <c r="CW101" s="887">
        <v>305.7</v>
      </c>
      <c r="CX101" s="887">
        <v>306.10000000000002</v>
      </c>
      <c r="CY101" s="887">
        <v>313</v>
      </c>
      <c r="CZ101" s="887">
        <v>313.89999999999998</v>
      </c>
      <c r="DA101" s="887">
        <v>319.3</v>
      </c>
      <c r="DB101" s="889">
        <v>323.10000000000002</v>
      </c>
      <c r="DC101" s="888">
        <v>324.5</v>
      </c>
      <c r="DD101" s="890">
        <v>325.10000000000002</v>
      </c>
      <c r="DE101" s="887">
        <v>327.10000000000002</v>
      </c>
      <c r="DF101" s="889">
        <v>337.7</v>
      </c>
      <c r="DG101" s="888">
        <v>338.6</v>
      </c>
      <c r="DH101" s="887">
        <v>347.4</v>
      </c>
      <c r="DI101" s="887">
        <v>352.4</v>
      </c>
      <c r="DJ101" s="887">
        <v>352.4</v>
      </c>
      <c r="DK101" s="888">
        <v>358.8</v>
      </c>
      <c r="DL101" s="887">
        <v>362.6</v>
      </c>
      <c r="DM101" s="888">
        <v>368.5</v>
      </c>
      <c r="DN101" s="888">
        <v>375.5</v>
      </c>
      <c r="DO101" s="968">
        <v>386.9</v>
      </c>
      <c r="DP101" s="890">
        <v>393.3</v>
      </c>
      <c r="DQ101" s="888">
        <v>397.2</v>
      </c>
      <c r="DR101" s="888">
        <v>409.2</v>
      </c>
      <c r="DS101" s="888">
        <v>423.3</v>
      </c>
      <c r="DT101" s="887">
        <v>429.6</v>
      </c>
      <c r="DU101" s="888">
        <v>438.6</v>
      </c>
      <c r="DV101" s="888">
        <v>452.3</v>
      </c>
      <c r="DW101" s="888">
        <v>459.4</v>
      </c>
      <c r="DX101" s="888">
        <v>459.5</v>
      </c>
      <c r="DY101" s="888">
        <v>468.4</v>
      </c>
      <c r="DZ101" s="888">
        <v>474.7</v>
      </c>
      <c r="EA101" s="968">
        <v>482</v>
      </c>
      <c r="EB101" s="888">
        <v>488.1</v>
      </c>
      <c r="EC101" s="888">
        <v>492.4</v>
      </c>
      <c r="ED101" s="888">
        <v>508.4</v>
      </c>
      <c r="EE101" s="888">
        <v>516.4</v>
      </c>
      <c r="EF101" s="659">
        <v>517.6</v>
      </c>
      <c r="EG101" s="659">
        <v>530.1</v>
      </c>
      <c r="EH101" s="659">
        <v>536.6</v>
      </c>
      <c r="EI101" s="659">
        <v>541.5</v>
      </c>
      <c r="EJ101" s="659">
        <v>547</v>
      </c>
      <c r="EK101" s="623">
        <v>551</v>
      </c>
      <c r="EL101" s="725">
        <v>565.4</v>
      </c>
      <c r="EM101" s="659">
        <v>566.6</v>
      </c>
      <c r="EN101" s="783">
        <v>576.1</v>
      </c>
      <c r="EO101" s="659">
        <v>580.6</v>
      </c>
      <c r="EP101" s="659">
        <v>597</v>
      </c>
      <c r="EQ101" s="659">
        <v>603.20000000000005</v>
      </c>
      <c r="ER101" s="659">
        <v>617.29999999999995</v>
      </c>
      <c r="ES101" s="659">
        <v>629.6</v>
      </c>
      <c r="ET101" s="659">
        <v>646.20000000000005</v>
      </c>
      <c r="EU101" s="659">
        <v>644.79999999999995</v>
      </c>
      <c r="EV101" s="659">
        <v>688.1</v>
      </c>
      <c r="EW101" s="659">
        <v>693.1</v>
      </c>
      <c r="EX101" s="659">
        <v>713.5</v>
      </c>
      <c r="EY101" s="659">
        <v>737.1</v>
      </c>
      <c r="EZ101" s="783">
        <v>745.7</v>
      </c>
      <c r="FA101" s="659">
        <v>820.7</v>
      </c>
      <c r="FB101" s="659">
        <v>829.4</v>
      </c>
      <c r="FC101" s="659">
        <v>845.5</v>
      </c>
      <c r="FD101" s="659">
        <v>860.1</v>
      </c>
      <c r="FE101" s="659">
        <v>859.2</v>
      </c>
      <c r="FF101" s="659">
        <v>894</v>
      </c>
      <c r="FG101" s="659">
        <v>931</v>
      </c>
      <c r="FH101" s="659">
        <v>959.9</v>
      </c>
      <c r="FI101" s="659">
        <v>995.6</v>
      </c>
      <c r="FJ101" s="659">
        <v>1054.9000000000001</v>
      </c>
      <c r="FK101" s="897">
        <v>1061.0999999999999</v>
      </c>
      <c r="FL101" s="660">
        <v>1064.9000000000001</v>
      </c>
      <c r="FM101" s="623">
        <v>1082.4000000000001</v>
      </c>
      <c r="FN101" s="623">
        <v>1094.3</v>
      </c>
      <c r="FO101" s="623">
        <v>1097.9000000000001</v>
      </c>
      <c r="FP101" s="623">
        <v>1098.3</v>
      </c>
      <c r="FQ101" s="623">
        <v>1126.5</v>
      </c>
      <c r="FR101" s="623">
        <v>1127.5</v>
      </c>
      <c r="FS101" s="623">
        <v>1131.9000000000001</v>
      </c>
      <c r="FT101" s="623">
        <v>1160.2</v>
      </c>
      <c r="FU101" s="897">
        <v>1167.0999999999999</v>
      </c>
      <c r="FV101" s="1167">
        <f t="shared" si="1"/>
        <v>1.0059472504740561</v>
      </c>
    </row>
    <row r="102" spans="1:178" s="115" customFormat="1" ht="16.5" customHeight="1">
      <c r="A102" s="1546">
        <v>1</v>
      </c>
      <c r="B102" s="408">
        <v>77</v>
      </c>
      <c r="C102" s="621" t="s">
        <v>210</v>
      </c>
      <c r="D102" s="622" t="s">
        <v>211</v>
      </c>
      <c r="E102" s="621" t="s">
        <v>918</v>
      </c>
      <c r="F102" s="622"/>
      <c r="G102" s="621" t="s">
        <v>929</v>
      </c>
      <c r="H102" s="621" t="s">
        <v>930</v>
      </c>
      <c r="I102" s="390" t="s">
        <v>47</v>
      </c>
      <c r="J102" s="651"/>
      <c r="K102" s="669">
        <v>87.4</v>
      </c>
      <c r="L102" s="665">
        <v>87.4</v>
      </c>
      <c r="M102" s="625">
        <v>88.3</v>
      </c>
      <c r="N102" s="625">
        <v>88.4</v>
      </c>
      <c r="O102" s="625">
        <v>99.1</v>
      </c>
      <c r="P102" s="625">
        <v>99.4</v>
      </c>
      <c r="Q102" s="625">
        <v>107.7</v>
      </c>
      <c r="R102" s="625">
        <v>128.6</v>
      </c>
      <c r="S102" s="625">
        <v>124.5</v>
      </c>
      <c r="T102" s="625">
        <v>126.3</v>
      </c>
      <c r="U102" s="625">
        <v>127.4</v>
      </c>
      <c r="V102" s="625">
        <v>125.2</v>
      </c>
      <c r="W102" s="625">
        <v>124.5</v>
      </c>
      <c r="X102" s="625">
        <v>123.5</v>
      </c>
      <c r="Y102" s="625">
        <v>123.7</v>
      </c>
      <c r="Z102" s="625">
        <v>124.2</v>
      </c>
      <c r="AA102" s="625">
        <v>124</v>
      </c>
      <c r="AB102" s="625">
        <v>125.7</v>
      </c>
      <c r="AC102" s="625">
        <v>125.2</v>
      </c>
      <c r="AD102" s="625">
        <v>128.19999999999999</v>
      </c>
      <c r="AE102" s="625">
        <v>132.30000000000001</v>
      </c>
      <c r="AF102" s="625">
        <v>143.19999999999999</v>
      </c>
      <c r="AG102" s="625">
        <v>141.4</v>
      </c>
      <c r="AH102" s="625">
        <v>169.9</v>
      </c>
      <c r="AI102" s="764">
        <v>189.9</v>
      </c>
      <c r="AJ102" s="772">
        <v>196.6</v>
      </c>
      <c r="AK102" s="625">
        <v>203.3</v>
      </c>
      <c r="AL102" s="625">
        <v>203.6</v>
      </c>
      <c r="AM102" s="625">
        <v>217.8</v>
      </c>
      <c r="AN102" s="625">
        <v>226.5</v>
      </c>
      <c r="AO102" s="625">
        <v>230.1</v>
      </c>
      <c r="AP102" s="625">
        <v>237.7</v>
      </c>
      <c r="AQ102" s="625">
        <v>238.5</v>
      </c>
      <c r="AR102" s="625">
        <v>237.7</v>
      </c>
      <c r="AS102" s="625">
        <v>235.5</v>
      </c>
      <c r="AT102" s="625">
        <v>235.5</v>
      </c>
      <c r="AU102" s="764">
        <v>232.8</v>
      </c>
      <c r="AV102" s="752">
        <v>232.7</v>
      </c>
      <c r="AW102" s="626">
        <v>230.9</v>
      </c>
      <c r="AX102" s="626">
        <v>231.9</v>
      </c>
      <c r="AY102" s="626">
        <v>232.8</v>
      </c>
      <c r="AZ102" s="626">
        <v>232.8</v>
      </c>
      <c r="BA102" s="626">
        <v>233</v>
      </c>
      <c r="BB102" s="626">
        <v>233.4</v>
      </c>
      <c r="BC102" s="627">
        <v>232.3</v>
      </c>
      <c r="BD102" s="626">
        <v>232.9</v>
      </c>
      <c r="BE102" s="627">
        <v>230.2</v>
      </c>
      <c r="BF102" s="627">
        <v>238.4</v>
      </c>
      <c r="BG102" s="738">
        <v>245.4</v>
      </c>
      <c r="BH102" s="660">
        <v>255.7</v>
      </c>
      <c r="BI102" s="623">
        <v>261.10000000000002</v>
      </c>
      <c r="BJ102" s="623">
        <v>271.5</v>
      </c>
      <c r="BK102" s="623">
        <v>301.8</v>
      </c>
      <c r="BL102" s="623">
        <v>344</v>
      </c>
      <c r="BM102" s="623">
        <v>349.6</v>
      </c>
      <c r="BN102" s="623">
        <v>362.3</v>
      </c>
      <c r="BO102" s="623">
        <v>366.1</v>
      </c>
      <c r="BP102" s="623">
        <v>366.1</v>
      </c>
      <c r="BQ102" s="623">
        <v>367.1</v>
      </c>
      <c r="BR102" s="623">
        <v>372.8</v>
      </c>
      <c r="BS102" s="659">
        <v>372.9</v>
      </c>
      <c r="BT102" s="660">
        <v>376.1</v>
      </c>
      <c r="BU102" s="623">
        <v>377.3</v>
      </c>
      <c r="BV102" s="623">
        <v>390.8</v>
      </c>
      <c r="BW102" s="623">
        <v>390.8</v>
      </c>
      <c r="BX102" s="623">
        <v>393.1</v>
      </c>
      <c r="BY102" s="623">
        <v>388.9</v>
      </c>
      <c r="BZ102" s="623">
        <v>396.7</v>
      </c>
      <c r="CA102" s="623">
        <v>402.3</v>
      </c>
      <c r="CB102" s="623">
        <v>402.3</v>
      </c>
      <c r="CC102" s="623">
        <v>404.6</v>
      </c>
      <c r="CD102" s="623">
        <v>405.7</v>
      </c>
      <c r="CE102" s="659">
        <v>411.6</v>
      </c>
      <c r="CF102" s="660">
        <v>412.2</v>
      </c>
      <c r="CG102" s="623">
        <v>414</v>
      </c>
      <c r="CH102" s="623">
        <v>412.5</v>
      </c>
      <c r="CI102" s="623">
        <v>417.7</v>
      </c>
      <c r="CJ102" s="623">
        <v>419.2</v>
      </c>
      <c r="CK102" s="623">
        <v>426</v>
      </c>
      <c r="CL102" s="623">
        <v>427.6</v>
      </c>
      <c r="CM102" s="623">
        <v>429.1</v>
      </c>
      <c r="CN102" s="623">
        <v>429.1</v>
      </c>
      <c r="CO102" s="623">
        <v>429.1</v>
      </c>
      <c r="CP102" s="623">
        <v>432.1</v>
      </c>
      <c r="CQ102" s="659">
        <v>431.9</v>
      </c>
      <c r="CR102" s="660">
        <v>431.9</v>
      </c>
      <c r="CS102" s="623">
        <v>430.7</v>
      </c>
      <c r="CT102" s="623">
        <v>430.7</v>
      </c>
      <c r="CU102" s="623">
        <v>430.7</v>
      </c>
      <c r="CV102" s="623">
        <v>430.7</v>
      </c>
      <c r="CW102" s="623">
        <v>430.7</v>
      </c>
      <c r="CX102" s="623">
        <v>430.6</v>
      </c>
      <c r="CY102" s="623">
        <v>437.2</v>
      </c>
      <c r="CZ102" s="623">
        <v>438.3</v>
      </c>
      <c r="DA102" s="623">
        <v>438.2</v>
      </c>
      <c r="DB102" s="725">
        <v>438.3</v>
      </c>
      <c r="DC102" s="659">
        <v>438.3</v>
      </c>
      <c r="DD102" s="783">
        <v>439.9</v>
      </c>
      <c r="DE102" s="623">
        <v>441.9</v>
      </c>
      <c r="DF102" s="725">
        <v>446.5</v>
      </c>
      <c r="DG102" s="659">
        <v>450.1</v>
      </c>
      <c r="DH102" s="623">
        <v>450</v>
      </c>
      <c r="DI102" s="623">
        <v>454.1</v>
      </c>
      <c r="DJ102" s="623">
        <v>459.7</v>
      </c>
      <c r="DK102" s="659">
        <v>461.8</v>
      </c>
      <c r="DL102" s="623">
        <v>463.4</v>
      </c>
      <c r="DM102" s="659">
        <v>469.9</v>
      </c>
      <c r="DN102" s="659">
        <v>469.9</v>
      </c>
      <c r="DO102" s="897">
        <v>474.8</v>
      </c>
      <c r="DP102" s="783">
        <v>479.8</v>
      </c>
      <c r="DQ102" s="659">
        <v>480.2</v>
      </c>
      <c r="DR102" s="659">
        <v>481.9</v>
      </c>
      <c r="DS102" s="659">
        <v>481.7</v>
      </c>
      <c r="DT102" s="623">
        <v>491.1</v>
      </c>
      <c r="DU102" s="659">
        <v>491.1</v>
      </c>
      <c r="DV102" s="659">
        <v>496.7</v>
      </c>
      <c r="DW102" s="659">
        <v>504.4</v>
      </c>
      <c r="DX102" s="659">
        <v>511.2</v>
      </c>
      <c r="DY102" s="659">
        <v>525</v>
      </c>
      <c r="DZ102" s="659">
        <v>524.9</v>
      </c>
      <c r="EA102" s="897">
        <v>537.9</v>
      </c>
      <c r="EB102" s="659">
        <v>548.29999999999995</v>
      </c>
      <c r="EC102" s="659">
        <v>548.29999999999995</v>
      </c>
      <c r="ED102" s="659">
        <v>566.79999999999995</v>
      </c>
      <c r="EE102" s="623">
        <v>577.79999999999995</v>
      </c>
      <c r="EF102" s="659">
        <v>591.5</v>
      </c>
      <c r="EG102" s="659">
        <v>600.79999999999995</v>
      </c>
      <c r="EH102" s="659">
        <v>605.9</v>
      </c>
      <c r="EI102" s="659">
        <v>605.9</v>
      </c>
      <c r="EJ102" s="659">
        <v>629.1</v>
      </c>
      <c r="EK102" s="623">
        <v>634.29999999999995</v>
      </c>
      <c r="EL102" s="725">
        <v>644</v>
      </c>
      <c r="EM102" s="659">
        <v>649.4</v>
      </c>
      <c r="EN102" s="783">
        <v>660</v>
      </c>
      <c r="EO102" s="659">
        <v>665.8</v>
      </c>
      <c r="EP102" s="659">
        <v>670.9</v>
      </c>
      <c r="EQ102" s="659">
        <v>686.1</v>
      </c>
      <c r="ER102" s="659">
        <v>692.3</v>
      </c>
      <c r="ES102" s="659">
        <v>696.5</v>
      </c>
      <c r="ET102" s="659">
        <v>697.9</v>
      </c>
      <c r="EU102" s="659">
        <v>715.7</v>
      </c>
      <c r="EV102" s="659">
        <v>722.2</v>
      </c>
      <c r="EW102" s="659">
        <v>723.8</v>
      </c>
      <c r="EX102" s="659">
        <v>758.6</v>
      </c>
      <c r="EY102" s="659">
        <v>784</v>
      </c>
      <c r="EZ102" s="783">
        <v>798.8</v>
      </c>
      <c r="FA102" s="659">
        <v>812.5</v>
      </c>
      <c r="FB102" s="659">
        <v>837.4</v>
      </c>
      <c r="FC102" s="659">
        <v>852.7</v>
      </c>
      <c r="FD102" s="659">
        <v>873.1</v>
      </c>
      <c r="FE102" s="659">
        <v>882.3</v>
      </c>
      <c r="FF102" s="659">
        <v>897.5</v>
      </c>
      <c r="FG102" s="659">
        <v>900.5</v>
      </c>
      <c r="FH102" s="659">
        <v>908.4</v>
      </c>
      <c r="FI102" s="659">
        <v>971.1</v>
      </c>
      <c r="FJ102" s="659">
        <v>971.1</v>
      </c>
      <c r="FK102" s="897">
        <v>971.1</v>
      </c>
      <c r="FL102" s="660">
        <v>970.9</v>
      </c>
      <c r="FM102" s="623">
        <v>977.7</v>
      </c>
      <c r="FN102" s="623">
        <v>981.7</v>
      </c>
      <c r="FO102" s="623">
        <v>989.7</v>
      </c>
      <c r="FP102" s="623">
        <v>1009.9</v>
      </c>
      <c r="FQ102" s="623">
        <v>1018.4</v>
      </c>
      <c r="FR102" s="623">
        <v>1026.5</v>
      </c>
      <c r="FS102" s="623">
        <v>1041.2</v>
      </c>
      <c r="FT102" s="623">
        <v>1050.3</v>
      </c>
      <c r="FU102" s="897">
        <v>1069.2</v>
      </c>
      <c r="FV102" s="1167">
        <f t="shared" si="1"/>
        <v>1.0179948586118253</v>
      </c>
    </row>
    <row r="103" spans="1:178" s="115" customFormat="1" ht="18.95" customHeight="1">
      <c r="A103" s="1546">
        <v>1</v>
      </c>
      <c r="B103" s="408">
        <v>78</v>
      </c>
      <c r="C103" s="621" t="s">
        <v>212</v>
      </c>
      <c r="D103" s="622" t="s">
        <v>213</v>
      </c>
      <c r="E103" s="621" t="s">
        <v>918</v>
      </c>
      <c r="F103" s="622"/>
      <c r="G103" s="621" t="s">
        <v>929</v>
      </c>
      <c r="H103" s="621" t="s">
        <v>930</v>
      </c>
      <c r="I103" s="390" t="s">
        <v>47</v>
      </c>
      <c r="J103" s="651"/>
      <c r="K103" s="669">
        <v>92.4</v>
      </c>
      <c r="L103" s="665">
        <v>93.5</v>
      </c>
      <c r="M103" s="625">
        <v>92.7</v>
      </c>
      <c r="N103" s="625">
        <v>93.5</v>
      </c>
      <c r="O103" s="625">
        <v>100.3</v>
      </c>
      <c r="P103" s="625">
        <v>99.4</v>
      </c>
      <c r="Q103" s="625">
        <v>101</v>
      </c>
      <c r="R103" s="625">
        <v>125.1</v>
      </c>
      <c r="S103" s="625">
        <v>126.5</v>
      </c>
      <c r="T103" s="625">
        <v>124.2</v>
      </c>
      <c r="U103" s="625">
        <v>125.5</v>
      </c>
      <c r="V103" s="625">
        <v>123.9</v>
      </c>
      <c r="W103" s="625">
        <v>123.9</v>
      </c>
      <c r="X103" s="625">
        <v>125.7</v>
      </c>
      <c r="Y103" s="625">
        <v>129.6</v>
      </c>
      <c r="Z103" s="625">
        <v>127.9</v>
      </c>
      <c r="AA103" s="625">
        <v>131.4</v>
      </c>
      <c r="AB103" s="625">
        <v>128.5</v>
      </c>
      <c r="AC103" s="625">
        <v>127.3</v>
      </c>
      <c r="AD103" s="625">
        <v>125.4</v>
      </c>
      <c r="AE103" s="625">
        <v>136</v>
      </c>
      <c r="AF103" s="625">
        <v>138.5</v>
      </c>
      <c r="AG103" s="625">
        <v>141.9</v>
      </c>
      <c r="AH103" s="625">
        <v>153.69999999999999</v>
      </c>
      <c r="AI103" s="764">
        <v>163.69999999999999</v>
      </c>
      <c r="AJ103" s="772">
        <v>176.2</v>
      </c>
      <c r="AK103" s="625">
        <v>184</v>
      </c>
      <c r="AL103" s="625">
        <v>192.5</v>
      </c>
      <c r="AM103" s="625">
        <v>201</v>
      </c>
      <c r="AN103" s="625">
        <v>215</v>
      </c>
      <c r="AO103" s="625">
        <v>220.1</v>
      </c>
      <c r="AP103" s="625">
        <v>224.1</v>
      </c>
      <c r="AQ103" s="625">
        <v>224.2</v>
      </c>
      <c r="AR103" s="625">
        <v>220</v>
      </c>
      <c r="AS103" s="625">
        <v>212.7</v>
      </c>
      <c r="AT103" s="625">
        <v>205.6</v>
      </c>
      <c r="AU103" s="764">
        <v>205.6</v>
      </c>
      <c r="AV103" s="752">
        <v>206</v>
      </c>
      <c r="AW103" s="626">
        <v>206.1</v>
      </c>
      <c r="AX103" s="626">
        <v>208.7</v>
      </c>
      <c r="AY103" s="626">
        <v>209.2</v>
      </c>
      <c r="AZ103" s="626">
        <v>209.8</v>
      </c>
      <c r="BA103" s="626">
        <v>209.8</v>
      </c>
      <c r="BB103" s="626">
        <v>205.1</v>
      </c>
      <c r="BC103" s="627">
        <v>205.1</v>
      </c>
      <c r="BD103" s="626">
        <v>205.1</v>
      </c>
      <c r="BE103" s="627">
        <v>212.3</v>
      </c>
      <c r="BF103" s="627">
        <v>215.4</v>
      </c>
      <c r="BG103" s="738">
        <v>223</v>
      </c>
      <c r="BH103" s="660">
        <v>229.7</v>
      </c>
      <c r="BI103" s="623">
        <v>236.1</v>
      </c>
      <c r="BJ103" s="623">
        <v>249.5</v>
      </c>
      <c r="BK103" s="623">
        <v>262.89999999999998</v>
      </c>
      <c r="BL103" s="623">
        <v>265.7</v>
      </c>
      <c r="BM103" s="623">
        <v>271.39999999999998</v>
      </c>
      <c r="BN103" s="623">
        <v>281.60000000000002</v>
      </c>
      <c r="BO103" s="623">
        <v>286.5</v>
      </c>
      <c r="BP103" s="623">
        <v>288.60000000000002</v>
      </c>
      <c r="BQ103" s="623">
        <v>287.7</v>
      </c>
      <c r="BR103" s="623">
        <v>291.5</v>
      </c>
      <c r="BS103" s="659">
        <v>293.39999999999998</v>
      </c>
      <c r="BT103" s="660">
        <v>294.5</v>
      </c>
      <c r="BU103" s="623">
        <v>300</v>
      </c>
      <c r="BV103" s="623">
        <v>309.5</v>
      </c>
      <c r="BW103" s="623">
        <v>312.5</v>
      </c>
      <c r="BX103" s="623">
        <v>304.39999999999998</v>
      </c>
      <c r="BY103" s="623">
        <v>307.5</v>
      </c>
      <c r="BZ103" s="623">
        <v>322</v>
      </c>
      <c r="CA103" s="623">
        <v>324.89999999999998</v>
      </c>
      <c r="CB103" s="623">
        <v>326.5</v>
      </c>
      <c r="CC103" s="623">
        <v>327.2</v>
      </c>
      <c r="CD103" s="623">
        <v>332.6</v>
      </c>
      <c r="CE103" s="659">
        <v>332.6</v>
      </c>
      <c r="CF103" s="660">
        <v>329.7</v>
      </c>
      <c r="CG103" s="623">
        <v>333.4</v>
      </c>
      <c r="CH103" s="623">
        <v>333.4</v>
      </c>
      <c r="CI103" s="623">
        <v>336.9</v>
      </c>
      <c r="CJ103" s="623">
        <v>340.1</v>
      </c>
      <c r="CK103" s="623">
        <v>339.9</v>
      </c>
      <c r="CL103" s="623">
        <v>351.5</v>
      </c>
      <c r="CM103" s="623">
        <v>355.6</v>
      </c>
      <c r="CN103" s="623">
        <v>360.4</v>
      </c>
      <c r="CO103" s="623">
        <v>360.4</v>
      </c>
      <c r="CP103" s="623">
        <v>360.4</v>
      </c>
      <c r="CQ103" s="659">
        <v>361.1</v>
      </c>
      <c r="CR103" s="660">
        <v>361.1</v>
      </c>
      <c r="CS103" s="623">
        <v>360.9</v>
      </c>
      <c r="CT103" s="623">
        <v>348.7</v>
      </c>
      <c r="CU103" s="623">
        <v>348.7</v>
      </c>
      <c r="CV103" s="623">
        <v>360.2</v>
      </c>
      <c r="CW103" s="623">
        <v>354.4</v>
      </c>
      <c r="CX103" s="623">
        <v>354.4</v>
      </c>
      <c r="CY103" s="623">
        <v>353.6</v>
      </c>
      <c r="CZ103" s="623">
        <v>359.2</v>
      </c>
      <c r="DA103" s="623">
        <v>359.2</v>
      </c>
      <c r="DB103" s="725">
        <v>359.2</v>
      </c>
      <c r="DC103" s="659">
        <v>365.9</v>
      </c>
      <c r="DD103" s="783">
        <v>363.7</v>
      </c>
      <c r="DE103" s="623">
        <v>364.9</v>
      </c>
      <c r="DF103" s="725">
        <v>363.3</v>
      </c>
      <c r="DG103" s="659">
        <v>366.5</v>
      </c>
      <c r="DH103" s="623">
        <v>361.6</v>
      </c>
      <c r="DI103" s="623">
        <v>364.3</v>
      </c>
      <c r="DJ103" s="623">
        <v>368</v>
      </c>
      <c r="DK103" s="659">
        <v>377.3</v>
      </c>
      <c r="DL103" s="623">
        <v>377.2</v>
      </c>
      <c r="DM103" s="659">
        <v>380.8</v>
      </c>
      <c r="DN103" s="659">
        <v>384.6</v>
      </c>
      <c r="DO103" s="897">
        <v>389.1</v>
      </c>
      <c r="DP103" s="783">
        <v>390.1</v>
      </c>
      <c r="DQ103" s="659">
        <v>395.3</v>
      </c>
      <c r="DR103" s="659">
        <v>400.4</v>
      </c>
      <c r="DS103" s="659">
        <v>396.2</v>
      </c>
      <c r="DT103" s="623">
        <v>399.7</v>
      </c>
      <c r="DU103" s="659">
        <v>409.9</v>
      </c>
      <c r="DV103" s="659">
        <v>417.3</v>
      </c>
      <c r="DW103" s="659">
        <v>421.7</v>
      </c>
      <c r="DX103" s="659">
        <v>436.1</v>
      </c>
      <c r="DY103" s="659">
        <v>445.6</v>
      </c>
      <c r="DZ103" s="659">
        <v>445.6</v>
      </c>
      <c r="EA103" s="897">
        <v>463.3</v>
      </c>
      <c r="EB103" s="659">
        <v>467.4</v>
      </c>
      <c r="EC103" s="659">
        <v>460.2</v>
      </c>
      <c r="ED103" s="659">
        <v>468.4</v>
      </c>
      <c r="EE103" s="659">
        <v>476.7</v>
      </c>
      <c r="EF103" s="659">
        <v>486</v>
      </c>
      <c r="EG103" s="659">
        <v>494</v>
      </c>
      <c r="EH103" s="659">
        <v>498.4</v>
      </c>
      <c r="EI103" s="659">
        <v>505.8</v>
      </c>
      <c r="EJ103" s="659">
        <v>511.5</v>
      </c>
      <c r="EK103" s="623">
        <v>511.7</v>
      </c>
      <c r="EL103" s="725">
        <v>520.4</v>
      </c>
      <c r="EM103" s="659">
        <v>532.70000000000005</v>
      </c>
      <c r="EN103" s="783">
        <v>550.6</v>
      </c>
      <c r="EO103" s="659">
        <v>558.79999999999995</v>
      </c>
      <c r="EP103" s="659">
        <v>565.6</v>
      </c>
      <c r="EQ103" s="659">
        <v>561.70000000000005</v>
      </c>
      <c r="ER103" s="659">
        <v>572.9</v>
      </c>
      <c r="ES103" s="659">
        <v>572.20000000000005</v>
      </c>
      <c r="ET103" s="659">
        <v>611.9</v>
      </c>
      <c r="EU103" s="659">
        <v>629</v>
      </c>
      <c r="EV103" s="659">
        <v>633.1</v>
      </c>
      <c r="EW103" s="659">
        <v>640.5</v>
      </c>
      <c r="EX103" s="659">
        <v>647.70000000000005</v>
      </c>
      <c r="EY103" s="659">
        <v>653.6</v>
      </c>
      <c r="EZ103" s="783">
        <v>680.7</v>
      </c>
      <c r="FA103" s="659">
        <v>722.6</v>
      </c>
      <c r="FB103" s="659">
        <v>755.7</v>
      </c>
      <c r="FC103" s="659">
        <v>772.4</v>
      </c>
      <c r="FD103" s="659">
        <v>785.7</v>
      </c>
      <c r="FE103" s="659">
        <v>794.4</v>
      </c>
      <c r="FF103" s="659">
        <v>808.5</v>
      </c>
      <c r="FG103" s="659">
        <v>812.7</v>
      </c>
      <c r="FH103" s="659">
        <v>827.3</v>
      </c>
      <c r="FI103" s="659">
        <v>844.5</v>
      </c>
      <c r="FJ103" s="659">
        <v>849.3</v>
      </c>
      <c r="FK103" s="897">
        <v>853.4</v>
      </c>
      <c r="FL103" s="660">
        <v>873.6</v>
      </c>
      <c r="FM103" s="623">
        <v>889.2</v>
      </c>
      <c r="FN103" s="623">
        <v>893.1</v>
      </c>
      <c r="FO103" s="623">
        <v>893.1</v>
      </c>
      <c r="FP103" s="623">
        <v>907.2</v>
      </c>
      <c r="FQ103" s="623">
        <v>908.2</v>
      </c>
      <c r="FR103" s="623">
        <v>922.7</v>
      </c>
      <c r="FS103" s="623">
        <v>898.9</v>
      </c>
      <c r="FT103" s="623">
        <v>907</v>
      </c>
      <c r="FU103" s="897">
        <v>913.2</v>
      </c>
      <c r="FV103" s="1167">
        <f t="shared" si="1"/>
        <v>1.0068357221609703</v>
      </c>
    </row>
    <row r="104" spans="1:178" s="115" customFormat="1" ht="20.25" customHeight="1">
      <c r="A104" s="1546">
        <v>1</v>
      </c>
      <c r="B104" s="613">
        <v>79</v>
      </c>
      <c r="C104" s="614" t="s">
        <v>214</v>
      </c>
      <c r="D104" s="615" t="s">
        <v>215</v>
      </c>
      <c r="E104" s="614" t="s">
        <v>918</v>
      </c>
      <c r="F104" s="615"/>
      <c r="G104" s="614" t="s">
        <v>929</v>
      </c>
      <c r="H104" s="614" t="s">
        <v>930</v>
      </c>
      <c r="I104" s="647" t="s">
        <v>196</v>
      </c>
      <c r="J104" s="652"/>
      <c r="K104" s="671">
        <v>89.5</v>
      </c>
      <c r="L104" s="667">
        <v>90.3</v>
      </c>
      <c r="M104" s="618">
        <v>92.9</v>
      </c>
      <c r="N104" s="618">
        <v>92.9</v>
      </c>
      <c r="O104" s="618">
        <v>94.8</v>
      </c>
      <c r="P104" s="618">
        <v>98.8</v>
      </c>
      <c r="Q104" s="618">
        <v>101</v>
      </c>
      <c r="R104" s="618">
        <v>105.6</v>
      </c>
      <c r="S104" s="618">
        <v>106.4</v>
      </c>
      <c r="T104" s="618">
        <v>106.6</v>
      </c>
      <c r="U104" s="618">
        <v>107.8</v>
      </c>
      <c r="V104" s="618">
        <v>108.2</v>
      </c>
      <c r="W104" s="618">
        <v>107.3</v>
      </c>
      <c r="X104" s="618">
        <v>107.1</v>
      </c>
      <c r="Y104" s="618">
        <v>106.7</v>
      </c>
      <c r="Z104" s="618">
        <v>106.7</v>
      </c>
      <c r="AA104" s="618">
        <v>107</v>
      </c>
      <c r="AB104" s="618">
        <v>107.5</v>
      </c>
      <c r="AC104" s="618">
        <v>108.9</v>
      </c>
      <c r="AD104" s="618">
        <v>110</v>
      </c>
      <c r="AE104" s="618">
        <v>111.7</v>
      </c>
      <c r="AF104" s="618">
        <v>114.1</v>
      </c>
      <c r="AG104" s="618">
        <v>114.8</v>
      </c>
      <c r="AH104" s="618">
        <v>117.6</v>
      </c>
      <c r="AI104" s="766">
        <v>117.7</v>
      </c>
      <c r="AJ104" s="774">
        <v>118.7</v>
      </c>
      <c r="AK104" s="618">
        <v>119.8</v>
      </c>
      <c r="AL104" s="618">
        <v>124.9</v>
      </c>
      <c r="AM104" s="618">
        <v>134.5</v>
      </c>
      <c r="AN104" s="618">
        <v>139.1</v>
      </c>
      <c r="AO104" s="618">
        <v>145</v>
      </c>
      <c r="AP104" s="618">
        <v>148.19999999999999</v>
      </c>
      <c r="AQ104" s="618">
        <v>148.19999999999999</v>
      </c>
      <c r="AR104" s="618">
        <v>149.4</v>
      </c>
      <c r="AS104" s="618">
        <v>147.80000000000001</v>
      </c>
      <c r="AT104" s="618">
        <v>148</v>
      </c>
      <c r="AU104" s="766">
        <v>149.30000000000001</v>
      </c>
      <c r="AV104" s="769">
        <v>150.69999999999999</v>
      </c>
      <c r="AW104" s="619">
        <v>153</v>
      </c>
      <c r="AX104" s="619">
        <v>153.6</v>
      </c>
      <c r="AY104" s="619">
        <v>154</v>
      </c>
      <c r="AZ104" s="619">
        <v>154.4</v>
      </c>
      <c r="BA104" s="619">
        <v>158.30000000000001</v>
      </c>
      <c r="BB104" s="619">
        <v>158.1</v>
      </c>
      <c r="BC104" s="620">
        <v>158.30000000000001</v>
      </c>
      <c r="BD104" s="619">
        <v>161.4</v>
      </c>
      <c r="BE104" s="620">
        <v>161.5</v>
      </c>
      <c r="BF104" s="620">
        <v>161.69999999999999</v>
      </c>
      <c r="BG104" s="750">
        <v>162.1</v>
      </c>
      <c r="BH104" s="662">
        <v>167.7</v>
      </c>
      <c r="BI104" s="617">
        <v>168.2</v>
      </c>
      <c r="BJ104" s="617">
        <v>169</v>
      </c>
      <c r="BK104" s="617">
        <v>173.3</v>
      </c>
      <c r="BL104" s="617">
        <v>178.1</v>
      </c>
      <c r="BM104" s="617">
        <v>180.7</v>
      </c>
      <c r="BN104" s="617">
        <v>181.5</v>
      </c>
      <c r="BO104" s="617">
        <v>186.4</v>
      </c>
      <c r="BP104" s="617">
        <v>189.7</v>
      </c>
      <c r="BQ104" s="617">
        <v>197.4</v>
      </c>
      <c r="BR104" s="617">
        <v>201</v>
      </c>
      <c r="BS104" s="737">
        <v>201.1</v>
      </c>
      <c r="BT104" s="662">
        <v>209.4</v>
      </c>
      <c r="BU104" s="617">
        <v>212</v>
      </c>
      <c r="BV104" s="617">
        <v>224.5</v>
      </c>
      <c r="BW104" s="617">
        <v>238.2</v>
      </c>
      <c r="BX104" s="617">
        <v>253.5</v>
      </c>
      <c r="BY104" s="617">
        <v>270.8</v>
      </c>
      <c r="BZ104" s="617">
        <v>296.89999999999998</v>
      </c>
      <c r="CA104" s="617">
        <v>301.2</v>
      </c>
      <c r="CB104" s="617">
        <v>300.60000000000002</v>
      </c>
      <c r="CC104" s="617">
        <v>313.2</v>
      </c>
      <c r="CD104" s="617">
        <v>315.10000000000002</v>
      </c>
      <c r="CE104" s="737">
        <v>315.60000000000002</v>
      </c>
      <c r="CF104" s="662">
        <v>319.10000000000002</v>
      </c>
      <c r="CG104" s="617">
        <v>321.2</v>
      </c>
      <c r="CH104" s="617">
        <v>319.2</v>
      </c>
      <c r="CI104" s="617">
        <v>321.89999999999998</v>
      </c>
      <c r="CJ104" s="617">
        <v>323.7</v>
      </c>
      <c r="CK104" s="617">
        <v>325.89999999999998</v>
      </c>
      <c r="CL104" s="617">
        <v>329.4</v>
      </c>
      <c r="CM104" s="617">
        <v>329.3</v>
      </c>
      <c r="CN104" s="617">
        <v>329.3</v>
      </c>
      <c r="CO104" s="617">
        <v>328.4</v>
      </c>
      <c r="CP104" s="617">
        <v>329.5</v>
      </c>
      <c r="CQ104" s="737">
        <v>329.5</v>
      </c>
      <c r="CR104" s="662">
        <v>329.5</v>
      </c>
      <c r="CS104" s="617">
        <v>326.10000000000002</v>
      </c>
      <c r="CT104" s="617">
        <v>327.2</v>
      </c>
      <c r="CU104" s="617">
        <v>329.1</v>
      </c>
      <c r="CV104" s="617">
        <v>327.2</v>
      </c>
      <c r="CW104" s="617">
        <v>327.60000000000002</v>
      </c>
      <c r="CX104" s="617">
        <v>326.8</v>
      </c>
      <c r="CY104" s="617">
        <v>325.8</v>
      </c>
      <c r="CZ104" s="617">
        <v>326.60000000000002</v>
      </c>
      <c r="DA104" s="617">
        <v>326.60000000000002</v>
      </c>
      <c r="DB104" s="798">
        <v>327.8</v>
      </c>
      <c r="DC104" s="737">
        <v>328.2</v>
      </c>
      <c r="DD104" s="786">
        <v>327.39999999999998</v>
      </c>
      <c r="DE104" s="617">
        <v>328.4</v>
      </c>
      <c r="DF104" s="798">
        <v>329.8</v>
      </c>
      <c r="DG104" s="737">
        <v>329.1</v>
      </c>
      <c r="DH104" s="617">
        <v>327.5</v>
      </c>
      <c r="DI104" s="617">
        <v>328.1</v>
      </c>
      <c r="DJ104" s="617">
        <v>328.7</v>
      </c>
      <c r="DK104" s="737">
        <v>328.7</v>
      </c>
      <c r="DL104" s="617">
        <v>329</v>
      </c>
      <c r="DM104" s="737">
        <v>329.1</v>
      </c>
      <c r="DN104" s="737">
        <v>329.2</v>
      </c>
      <c r="DO104" s="916">
        <v>329.7</v>
      </c>
      <c r="DP104" s="786">
        <v>329.2</v>
      </c>
      <c r="DQ104" s="737">
        <v>329.3</v>
      </c>
      <c r="DR104" s="737">
        <v>330.9</v>
      </c>
      <c r="DS104" s="737">
        <v>325.10000000000002</v>
      </c>
      <c r="DT104" s="617">
        <v>330.5</v>
      </c>
      <c r="DU104" s="737">
        <v>330.5</v>
      </c>
      <c r="DV104" s="737">
        <v>334.6</v>
      </c>
      <c r="DW104" s="737">
        <v>342.3</v>
      </c>
      <c r="DX104" s="737">
        <v>345.3</v>
      </c>
      <c r="DY104" s="737">
        <v>357.6</v>
      </c>
      <c r="DZ104" s="737">
        <v>361.4</v>
      </c>
      <c r="EA104" s="916">
        <v>362</v>
      </c>
      <c r="EB104" s="737">
        <v>363.3</v>
      </c>
      <c r="EC104" s="737">
        <v>377.1</v>
      </c>
      <c r="ED104" s="659">
        <v>377.1</v>
      </c>
      <c r="EE104" s="659">
        <v>377.1</v>
      </c>
      <c r="EF104" s="659">
        <v>374.5</v>
      </c>
      <c r="EG104" s="659">
        <v>374.5</v>
      </c>
      <c r="EH104" s="659">
        <v>374.5</v>
      </c>
      <c r="EI104" s="659">
        <v>374.5</v>
      </c>
      <c r="EJ104" s="659">
        <v>396.5</v>
      </c>
      <c r="EK104" s="623">
        <v>400.3</v>
      </c>
      <c r="EL104" s="725">
        <v>406</v>
      </c>
      <c r="EM104" s="659">
        <v>415.5</v>
      </c>
      <c r="EN104" s="783">
        <v>414.6</v>
      </c>
      <c r="EO104" s="659">
        <v>407.2</v>
      </c>
      <c r="EP104" s="659">
        <v>420.7</v>
      </c>
      <c r="EQ104" s="659">
        <v>420.6</v>
      </c>
      <c r="ER104" s="659">
        <v>420.6</v>
      </c>
      <c r="ES104" s="659">
        <v>430.4</v>
      </c>
      <c r="ET104" s="659">
        <v>437.4</v>
      </c>
      <c r="EU104" s="659">
        <v>437.4</v>
      </c>
      <c r="EV104" s="659">
        <v>442.7</v>
      </c>
      <c r="EW104" s="659">
        <v>440.2</v>
      </c>
      <c r="EX104" s="659">
        <v>443.2</v>
      </c>
      <c r="EY104" s="659">
        <v>443.9</v>
      </c>
      <c r="EZ104" s="783">
        <v>445.2</v>
      </c>
      <c r="FA104" s="659">
        <v>478.5</v>
      </c>
      <c r="FB104" s="659">
        <v>480.9</v>
      </c>
      <c r="FC104" s="659">
        <v>482.5</v>
      </c>
      <c r="FD104" s="659">
        <v>486</v>
      </c>
      <c r="FE104" s="659">
        <v>492</v>
      </c>
      <c r="FF104" s="659">
        <v>497</v>
      </c>
      <c r="FG104" s="659">
        <v>497.3</v>
      </c>
      <c r="FH104" s="659">
        <v>502.8</v>
      </c>
      <c r="FI104" s="659">
        <v>503.1</v>
      </c>
      <c r="FJ104" s="659">
        <v>504.9</v>
      </c>
      <c r="FK104" s="897">
        <v>519.4</v>
      </c>
      <c r="FL104" s="660">
        <v>512.20000000000005</v>
      </c>
      <c r="FM104" s="623">
        <v>538.5</v>
      </c>
      <c r="FN104" s="623">
        <v>539.4</v>
      </c>
      <c r="FO104" s="623">
        <v>548.5</v>
      </c>
      <c r="FP104" s="623">
        <v>557.1</v>
      </c>
      <c r="FQ104" s="623">
        <v>564.70000000000005</v>
      </c>
      <c r="FR104" s="623">
        <v>565.4</v>
      </c>
      <c r="FS104" s="623">
        <v>589.70000000000005</v>
      </c>
      <c r="FT104" s="623">
        <v>606</v>
      </c>
      <c r="FU104" s="897">
        <v>609.20000000000005</v>
      </c>
      <c r="FV104" s="1167">
        <f t="shared" si="1"/>
        <v>1.0052805280528054</v>
      </c>
    </row>
    <row r="105" spans="1:178" s="115" customFormat="1" ht="18" customHeight="1">
      <c r="A105" s="1546">
        <v>1</v>
      </c>
      <c r="B105" s="644">
        <v>80</v>
      </c>
      <c r="C105" s="645" t="s">
        <v>216</v>
      </c>
      <c r="D105" s="646" t="s">
        <v>217</v>
      </c>
      <c r="E105" s="645" t="s">
        <v>918</v>
      </c>
      <c r="F105" s="646"/>
      <c r="G105" s="645" t="s">
        <v>929</v>
      </c>
      <c r="H105" s="645" t="s">
        <v>930</v>
      </c>
      <c r="I105" s="876" t="s">
        <v>218</v>
      </c>
      <c r="J105" s="869"/>
      <c r="K105" s="877">
        <v>97.9</v>
      </c>
      <c r="L105" s="878">
        <v>107.5</v>
      </c>
      <c r="M105" s="879">
        <v>108.9</v>
      </c>
      <c r="N105" s="879">
        <v>111.9</v>
      </c>
      <c r="O105" s="879">
        <v>169.7</v>
      </c>
      <c r="P105" s="879">
        <v>172.4</v>
      </c>
      <c r="Q105" s="879">
        <v>187.2</v>
      </c>
      <c r="R105" s="879">
        <v>188.3</v>
      </c>
      <c r="S105" s="879">
        <v>188.3</v>
      </c>
      <c r="T105" s="879">
        <v>190.9</v>
      </c>
      <c r="U105" s="879">
        <v>190.9</v>
      </c>
      <c r="V105" s="879">
        <v>188</v>
      </c>
      <c r="W105" s="879">
        <v>187.9</v>
      </c>
      <c r="X105" s="879">
        <v>190.3</v>
      </c>
      <c r="Y105" s="879">
        <v>190.2</v>
      </c>
      <c r="Z105" s="879">
        <v>188.5</v>
      </c>
      <c r="AA105" s="879">
        <v>188.5</v>
      </c>
      <c r="AB105" s="879">
        <v>188.5</v>
      </c>
      <c r="AC105" s="879">
        <v>188.5</v>
      </c>
      <c r="AD105" s="879">
        <v>188.5</v>
      </c>
      <c r="AE105" s="879">
        <v>188.5</v>
      </c>
      <c r="AF105" s="879">
        <v>188.5</v>
      </c>
      <c r="AG105" s="879">
        <v>188.5</v>
      </c>
      <c r="AH105" s="879">
        <v>193</v>
      </c>
      <c r="AI105" s="880">
        <v>200.2</v>
      </c>
      <c r="AJ105" s="881">
        <v>206.4</v>
      </c>
      <c r="AK105" s="879">
        <v>215</v>
      </c>
      <c r="AL105" s="879">
        <v>235.3</v>
      </c>
      <c r="AM105" s="879">
        <v>238.6</v>
      </c>
      <c r="AN105" s="879">
        <v>243.9</v>
      </c>
      <c r="AO105" s="879">
        <v>243.9</v>
      </c>
      <c r="AP105" s="879">
        <v>243.9</v>
      </c>
      <c r="AQ105" s="879">
        <v>243.9</v>
      </c>
      <c r="AR105" s="879">
        <v>243.9</v>
      </c>
      <c r="AS105" s="879">
        <v>249.1</v>
      </c>
      <c r="AT105" s="879">
        <v>258.7</v>
      </c>
      <c r="AU105" s="880">
        <v>258.7</v>
      </c>
      <c r="AV105" s="882">
        <v>258.7</v>
      </c>
      <c r="AW105" s="883">
        <v>260.3</v>
      </c>
      <c r="AX105" s="883">
        <v>261.60000000000002</v>
      </c>
      <c r="AY105" s="883">
        <v>261.60000000000002</v>
      </c>
      <c r="AZ105" s="883">
        <v>263.39999999999998</v>
      </c>
      <c r="BA105" s="883">
        <v>264.60000000000002</v>
      </c>
      <c r="BB105" s="883">
        <v>269.60000000000002</v>
      </c>
      <c r="BC105" s="884">
        <v>274.8</v>
      </c>
      <c r="BD105" s="883">
        <v>275.10000000000002</v>
      </c>
      <c r="BE105" s="884">
        <v>277.5</v>
      </c>
      <c r="BF105" s="884">
        <v>278.5</v>
      </c>
      <c r="BG105" s="885">
        <v>282.5</v>
      </c>
      <c r="BH105" s="886">
        <v>289.7</v>
      </c>
      <c r="BI105" s="887">
        <v>293.7</v>
      </c>
      <c r="BJ105" s="887">
        <v>295.8</v>
      </c>
      <c r="BK105" s="887">
        <v>307.3</v>
      </c>
      <c r="BL105" s="887">
        <v>337.8</v>
      </c>
      <c r="BM105" s="887">
        <v>433.1</v>
      </c>
      <c r="BN105" s="887">
        <v>399.7</v>
      </c>
      <c r="BO105" s="887">
        <v>395.7</v>
      </c>
      <c r="BP105" s="887">
        <v>395.7</v>
      </c>
      <c r="BQ105" s="887">
        <v>391</v>
      </c>
      <c r="BR105" s="887">
        <v>398.7</v>
      </c>
      <c r="BS105" s="888">
        <v>398.7</v>
      </c>
      <c r="BT105" s="886">
        <v>403</v>
      </c>
      <c r="BU105" s="887">
        <v>409.7</v>
      </c>
      <c r="BV105" s="887">
        <v>405.9</v>
      </c>
      <c r="BW105" s="887">
        <v>410.7</v>
      </c>
      <c r="BX105" s="887">
        <v>437.2</v>
      </c>
      <c r="BY105" s="887">
        <v>447.6</v>
      </c>
      <c r="BZ105" s="887">
        <v>467.3</v>
      </c>
      <c r="CA105" s="887">
        <v>467.3</v>
      </c>
      <c r="CB105" s="887">
        <v>467.3</v>
      </c>
      <c r="CC105" s="887">
        <v>471.3</v>
      </c>
      <c r="CD105" s="887">
        <v>476.7</v>
      </c>
      <c r="CE105" s="888">
        <v>477.6</v>
      </c>
      <c r="CF105" s="886">
        <v>477.6</v>
      </c>
      <c r="CG105" s="887">
        <v>484.5</v>
      </c>
      <c r="CH105" s="887">
        <v>510.6</v>
      </c>
      <c r="CI105" s="887">
        <v>524.5</v>
      </c>
      <c r="CJ105" s="887">
        <v>544.9</v>
      </c>
      <c r="CK105" s="887">
        <v>523.6</v>
      </c>
      <c r="CL105" s="887">
        <v>520.1</v>
      </c>
      <c r="CM105" s="887">
        <v>520.1</v>
      </c>
      <c r="CN105" s="887">
        <v>520.1</v>
      </c>
      <c r="CO105" s="887">
        <v>516.29999999999995</v>
      </c>
      <c r="CP105" s="887">
        <v>514</v>
      </c>
      <c r="CQ105" s="888">
        <v>512.70000000000005</v>
      </c>
      <c r="CR105" s="886">
        <v>512.70000000000005</v>
      </c>
      <c r="CS105" s="887">
        <v>512.70000000000005</v>
      </c>
      <c r="CT105" s="887">
        <v>512.70000000000005</v>
      </c>
      <c r="CU105" s="887">
        <v>506.1</v>
      </c>
      <c r="CV105" s="887">
        <v>489</v>
      </c>
      <c r="CW105" s="887">
        <v>485.6</v>
      </c>
      <c r="CX105" s="887">
        <v>495.5</v>
      </c>
      <c r="CY105" s="887">
        <v>507.6</v>
      </c>
      <c r="CZ105" s="887">
        <v>512</v>
      </c>
      <c r="DA105" s="887">
        <v>544.1</v>
      </c>
      <c r="DB105" s="889">
        <v>528.1</v>
      </c>
      <c r="DC105" s="888">
        <v>538.4</v>
      </c>
      <c r="DD105" s="890">
        <v>564</v>
      </c>
      <c r="DE105" s="887">
        <v>541.29999999999995</v>
      </c>
      <c r="DF105" s="889">
        <v>550.1</v>
      </c>
      <c r="DG105" s="888">
        <v>558.79999999999995</v>
      </c>
      <c r="DH105" s="887">
        <v>605.6</v>
      </c>
      <c r="DI105" s="887">
        <v>627.9</v>
      </c>
      <c r="DJ105" s="887">
        <v>634.6</v>
      </c>
      <c r="DK105" s="888">
        <v>660.5</v>
      </c>
      <c r="DL105" s="887">
        <v>686.1</v>
      </c>
      <c r="DM105" s="888">
        <v>686.1</v>
      </c>
      <c r="DN105" s="888">
        <v>711.7</v>
      </c>
      <c r="DO105" s="968">
        <v>726.4</v>
      </c>
      <c r="DP105" s="890">
        <v>738.7</v>
      </c>
      <c r="DQ105" s="888">
        <v>774.7</v>
      </c>
      <c r="DR105" s="888">
        <v>806.3</v>
      </c>
      <c r="DS105" s="888">
        <v>821.7</v>
      </c>
      <c r="DT105" s="887">
        <v>821.4</v>
      </c>
      <c r="DU105" s="888">
        <v>852.9</v>
      </c>
      <c r="DV105" s="888">
        <v>852.9</v>
      </c>
      <c r="DW105" s="888">
        <v>852.9</v>
      </c>
      <c r="DX105" s="888">
        <v>871.3</v>
      </c>
      <c r="DY105" s="888">
        <v>875.7</v>
      </c>
      <c r="DZ105" s="888">
        <v>880.9</v>
      </c>
      <c r="EA105" s="968">
        <v>880.9</v>
      </c>
      <c r="EB105" s="888">
        <v>900</v>
      </c>
      <c r="EC105" s="888">
        <v>900.3</v>
      </c>
      <c r="ED105" s="888">
        <v>921.3</v>
      </c>
      <c r="EE105" s="888">
        <v>921.3</v>
      </c>
      <c r="EF105" s="888">
        <v>933.8</v>
      </c>
      <c r="EG105" s="888">
        <v>945.8</v>
      </c>
      <c r="EH105" s="888">
        <v>954.9</v>
      </c>
      <c r="EI105" s="888">
        <v>965</v>
      </c>
      <c r="EJ105" s="888">
        <v>1021.2</v>
      </c>
      <c r="EK105" s="887">
        <v>1041.0999999999999</v>
      </c>
      <c r="EL105" s="889">
        <v>1041.0999999999999</v>
      </c>
      <c r="EM105" s="888">
        <v>1080.5999999999999</v>
      </c>
      <c r="EN105" s="890">
        <v>1080.5999999999999</v>
      </c>
      <c r="EO105" s="888">
        <v>1092.7</v>
      </c>
      <c r="EP105" s="888">
        <v>1158.5</v>
      </c>
      <c r="EQ105" s="888">
        <v>1162.2</v>
      </c>
      <c r="ER105" s="888">
        <v>1209.4000000000001</v>
      </c>
      <c r="ES105" s="659">
        <v>1302.7</v>
      </c>
      <c r="ET105" s="659">
        <v>1305.4000000000001</v>
      </c>
      <c r="EU105" s="659">
        <v>1305.4000000000001</v>
      </c>
      <c r="EV105" s="659">
        <v>1366.1</v>
      </c>
      <c r="EW105" s="659">
        <v>1414.7</v>
      </c>
      <c r="EX105" s="659">
        <v>1441.9</v>
      </c>
      <c r="EY105" s="659">
        <v>1530.8</v>
      </c>
      <c r="EZ105" s="783">
        <v>1620.4</v>
      </c>
      <c r="FA105" s="659">
        <v>1702.8</v>
      </c>
      <c r="FB105" s="659">
        <v>1858.6</v>
      </c>
      <c r="FC105" s="659">
        <v>2026.5</v>
      </c>
      <c r="FD105" s="659">
        <v>2093.6999999999998</v>
      </c>
      <c r="FE105" s="659">
        <v>2093.8000000000002</v>
      </c>
      <c r="FF105" s="659">
        <v>2155.6</v>
      </c>
      <c r="FG105" s="659">
        <v>2160.1</v>
      </c>
      <c r="FH105" s="659">
        <v>2168</v>
      </c>
      <c r="FI105" s="659">
        <v>2251</v>
      </c>
      <c r="FJ105" s="659">
        <v>2281.1</v>
      </c>
      <c r="FK105" s="897">
        <v>2281.1</v>
      </c>
      <c r="FL105" s="660">
        <v>2281.1999999999998</v>
      </c>
      <c r="FM105" s="623">
        <v>2281.1999999999998</v>
      </c>
      <c r="FN105" s="623">
        <v>2281.1999999999998</v>
      </c>
      <c r="FO105" s="623">
        <v>2329.1</v>
      </c>
      <c r="FP105" s="623">
        <v>2329.1</v>
      </c>
      <c r="FQ105" s="623">
        <v>2376.8000000000002</v>
      </c>
      <c r="FR105" s="623">
        <v>2386.1</v>
      </c>
      <c r="FS105" s="623">
        <v>2395.6999999999998</v>
      </c>
      <c r="FT105" s="623">
        <v>2401.1</v>
      </c>
      <c r="FU105" s="897">
        <v>2401.1</v>
      </c>
      <c r="FV105" s="1167">
        <f t="shared" si="1"/>
        <v>1</v>
      </c>
    </row>
    <row r="106" spans="1:178" s="115" customFormat="1" ht="18.95" customHeight="1">
      <c r="A106" s="1546">
        <v>1</v>
      </c>
      <c r="B106" s="408">
        <v>81</v>
      </c>
      <c r="C106" s="632"/>
      <c r="D106" s="622" t="s">
        <v>219</v>
      </c>
      <c r="E106" s="621" t="s">
        <v>918</v>
      </c>
      <c r="F106" s="622"/>
      <c r="G106" s="632" t="s">
        <v>64</v>
      </c>
      <c r="H106" s="621" t="s">
        <v>920</v>
      </c>
      <c r="I106" s="390" t="s">
        <v>220</v>
      </c>
      <c r="J106" s="676"/>
      <c r="K106" s="669">
        <v>99.2</v>
      </c>
      <c r="L106" s="665">
        <v>102.6</v>
      </c>
      <c r="M106" s="625">
        <v>104.3</v>
      </c>
      <c r="N106" s="625">
        <v>104</v>
      </c>
      <c r="O106" s="625">
        <v>115</v>
      </c>
      <c r="P106" s="625">
        <v>116.4</v>
      </c>
      <c r="Q106" s="625">
        <v>123.6</v>
      </c>
      <c r="R106" s="625">
        <v>132.4</v>
      </c>
      <c r="S106" s="625">
        <v>147.19999999999999</v>
      </c>
      <c r="T106" s="625">
        <v>154.9</v>
      </c>
      <c r="U106" s="625">
        <v>157.69999999999999</v>
      </c>
      <c r="V106" s="625">
        <v>159.80000000000001</v>
      </c>
      <c r="W106" s="625">
        <v>159.9</v>
      </c>
      <c r="X106" s="625">
        <v>160.69999999999999</v>
      </c>
      <c r="Y106" s="625">
        <v>161.30000000000001</v>
      </c>
      <c r="Z106" s="625">
        <v>162.9</v>
      </c>
      <c r="AA106" s="625">
        <v>164.2</v>
      </c>
      <c r="AB106" s="625">
        <v>167.1</v>
      </c>
      <c r="AC106" s="625">
        <v>170</v>
      </c>
      <c r="AD106" s="625">
        <v>170.7</v>
      </c>
      <c r="AE106" s="625">
        <v>170.2</v>
      </c>
      <c r="AF106" s="625">
        <v>171.8</v>
      </c>
      <c r="AG106" s="625">
        <v>175.6</v>
      </c>
      <c r="AH106" s="625">
        <v>176.1</v>
      </c>
      <c r="AI106" s="764">
        <v>177.4</v>
      </c>
      <c r="AJ106" s="772">
        <v>174.4</v>
      </c>
      <c r="AK106" s="625">
        <v>175.3</v>
      </c>
      <c r="AL106" s="625">
        <v>175.3</v>
      </c>
      <c r="AM106" s="625">
        <v>178.1</v>
      </c>
      <c r="AN106" s="625">
        <v>179.1</v>
      </c>
      <c r="AO106" s="625">
        <v>179.6</v>
      </c>
      <c r="AP106" s="625">
        <v>184.8</v>
      </c>
      <c r="AQ106" s="625">
        <v>184.5</v>
      </c>
      <c r="AR106" s="625">
        <v>184.6</v>
      </c>
      <c r="AS106" s="625">
        <v>184.9</v>
      </c>
      <c r="AT106" s="625">
        <v>187</v>
      </c>
      <c r="AU106" s="764">
        <v>192.9</v>
      </c>
      <c r="AV106" s="752">
        <v>195.8</v>
      </c>
      <c r="AW106" s="626">
        <v>203.4</v>
      </c>
      <c r="AX106" s="626">
        <v>210.2</v>
      </c>
      <c r="AY106" s="626">
        <v>213.5</v>
      </c>
      <c r="AZ106" s="626">
        <v>212.3</v>
      </c>
      <c r="BA106" s="626">
        <v>214.4</v>
      </c>
      <c r="BB106" s="626">
        <v>216.6</v>
      </c>
      <c r="BC106" s="627">
        <v>221</v>
      </c>
      <c r="BD106" s="626">
        <v>222.1</v>
      </c>
      <c r="BE106" s="627">
        <v>225.1</v>
      </c>
      <c r="BF106" s="627">
        <v>228.6</v>
      </c>
      <c r="BG106" s="738">
        <v>229.8</v>
      </c>
      <c r="BH106" s="660">
        <v>228.9</v>
      </c>
      <c r="BI106" s="623">
        <v>231.1</v>
      </c>
      <c r="BJ106" s="623">
        <v>234.8</v>
      </c>
      <c r="BK106" s="623">
        <v>235.6</v>
      </c>
      <c r="BL106" s="623">
        <v>236.6</v>
      </c>
      <c r="BM106" s="623">
        <v>245.3</v>
      </c>
      <c r="BN106" s="623">
        <v>249.6</v>
      </c>
      <c r="BO106" s="623">
        <v>252.8</v>
      </c>
      <c r="BP106" s="623">
        <v>252.2</v>
      </c>
      <c r="BQ106" s="623">
        <v>252.8</v>
      </c>
      <c r="BR106" s="623">
        <v>254.7</v>
      </c>
      <c r="BS106" s="659">
        <v>256.5</v>
      </c>
      <c r="BT106" s="660">
        <v>257.3</v>
      </c>
      <c r="BU106" s="623">
        <v>263.89999999999998</v>
      </c>
      <c r="BV106" s="623">
        <v>266.5</v>
      </c>
      <c r="BW106" s="623">
        <v>266.39999999999998</v>
      </c>
      <c r="BX106" s="623">
        <v>275.8</v>
      </c>
      <c r="BY106" s="623">
        <v>280.60000000000002</v>
      </c>
      <c r="BZ106" s="623">
        <v>288</v>
      </c>
      <c r="CA106" s="623">
        <v>292.5</v>
      </c>
      <c r="CB106" s="623">
        <v>298.2</v>
      </c>
      <c r="CC106" s="623">
        <v>301.8</v>
      </c>
      <c r="CD106" s="623">
        <v>307.89999999999998</v>
      </c>
      <c r="CE106" s="659">
        <v>309.5</v>
      </c>
      <c r="CF106" s="660">
        <v>319.2</v>
      </c>
      <c r="CG106" s="623">
        <v>330.7</v>
      </c>
      <c r="CH106" s="623">
        <v>333.4</v>
      </c>
      <c r="CI106" s="623">
        <v>345.7</v>
      </c>
      <c r="CJ106" s="623">
        <v>354.2</v>
      </c>
      <c r="CK106" s="623">
        <v>359.8</v>
      </c>
      <c r="CL106" s="623">
        <v>367.6</v>
      </c>
      <c r="CM106" s="623">
        <v>369.1</v>
      </c>
      <c r="CN106" s="623">
        <v>369.1</v>
      </c>
      <c r="CO106" s="623">
        <v>364.8</v>
      </c>
      <c r="CP106" s="623">
        <v>365.1</v>
      </c>
      <c r="CQ106" s="659">
        <v>370.2</v>
      </c>
      <c r="CR106" s="660">
        <v>371.8</v>
      </c>
      <c r="CS106" s="623">
        <v>378.7</v>
      </c>
      <c r="CT106" s="623">
        <v>377.3</v>
      </c>
      <c r="CU106" s="623">
        <v>378.9</v>
      </c>
      <c r="CV106" s="623">
        <v>381.7</v>
      </c>
      <c r="CW106" s="623">
        <v>381.7</v>
      </c>
      <c r="CX106" s="623">
        <v>377.5</v>
      </c>
      <c r="CY106" s="623">
        <v>377.5</v>
      </c>
      <c r="CZ106" s="623">
        <v>377.8</v>
      </c>
      <c r="DA106" s="623">
        <v>378.5</v>
      </c>
      <c r="DB106" s="725">
        <v>382.2</v>
      </c>
      <c r="DC106" s="659">
        <v>383.3</v>
      </c>
      <c r="DD106" s="783">
        <v>394.3</v>
      </c>
      <c r="DE106" s="623">
        <v>401.9</v>
      </c>
      <c r="DF106" s="725">
        <v>409.3</v>
      </c>
      <c r="DG106" s="659">
        <v>417.9</v>
      </c>
      <c r="DH106" s="623">
        <v>437.9</v>
      </c>
      <c r="DI106" s="623">
        <v>448.9</v>
      </c>
      <c r="DJ106" s="623">
        <v>450.5</v>
      </c>
      <c r="DK106" s="659">
        <v>463.1</v>
      </c>
      <c r="DL106" s="623">
        <v>472.6</v>
      </c>
      <c r="DM106" s="659">
        <v>471.7</v>
      </c>
      <c r="DN106" s="659">
        <v>477.8</v>
      </c>
      <c r="DO106" s="897">
        <v>478</v>
      </c>
      <c r="DP106" s="783">
        <v>485.8</v>
      </c>
      <c r="DQ106" s="659">
        <v>487.7</v>
      </c>
      <c r="DR106" s="659">
        <v>494.7</v>
      </c>
      <c r="DS106" s="659">
        <v>508.7</v>
      </c>
      <c r="DT106" s="623">
        <v>526.20000000000005</v>
      </c>
      <c r="DU106" s="659">
        <v>543.5</v>
      </c>
      <c r="DV106" s="659">
        <v>551.6</v>
      </c>
      <c r="DW106" s="659">
        <v>570.1</v>
      </c>
      <c r="DX106" s="659">
        <v>588.6</v>
      </c>
      <c r="DY106" s="659">
        <v>597.79999999999995</v>
      </c>
      <c r="DZ106" s="659">
        <v>598.79999999999995</v>
      </c>
      <c r="EA106" s="897">
        <v>606</v>
      </c>
      <c r="EB106" s="659">
        <v>622.79999999999995</v>
      </c>
      <c r="EC106" s="659">
        <v>632.5</v>
      </c>
      <c r="ED106" s="659">
        <v>636.29999999999995</v>
      </c>
      <c r="EE106" s="659">
        <v>665.8</v>
      </c>
      <c r="EF106" s="659">
        <v>681.1</v>
      </c>
      <c r="EG106" s="659">
        <v>694</v>
      </c>
      <c r="EH106" s="659">
        <v>694.3</v>
      </c>
      <c r="EI106" s="659">
        <v>703.4</v>
      </c>
      <c r="EJ106" s="659">
        <v>724.8</v>
      </c>
      <c r="EK106" s="623">
        <v>720.7</v>
      </c>
      <c r="EL106" s="725">
        <v>722</v>
      </c>
      <c r="EM106" s="659">
        <v>724.2</v>
      </c>
      <c r="EN106" s="783">
        <v>728.5</v>
      </c>
      <c r="EO106" s="659">
        <v>751.4</v>
      </c>
      <c r="EP106" s="659">
        <v>780</v>
      </c>
      <c r="EQ106" s="659">
        <v>791.4</v>
      </c>
      <c r="ER106" s="659">
        <v>804.8</v>
      </c>
      <c r="ES106" s="659">
        <v>828.9</v>
      </c>
      <c r="ET106" s="659">
        <v>831.4</v>
      </c>
      <c r="EU106" s="659">
        <v>853.7</v>
      </c>
      <c r="EV106" s="659">
        <v>860.9</v>
      </c>
      <c r="EW106" s="659">
        <v>879</v>
      </c>
      <c r="EX106" s="659">
        <v>894.7</v>
      </c>
      <c r="EY106" s="659">
        <v>920.3</v>
      </c>
      <c r="EZ106" s="783">
        <v>933.5</v>
      </c>
      <c r="FA106" s="659">
        <v>1021.5</v>
      </c>
      <c r="FB106" s="659">
        <v>1085.5</v>
      </c>
      <c r="FC106" s="659">
        <v>1119.9000000000001</v>
      </c>
      <c r="FD106" s="659">
        <v>1143.5</v>
      </c>
      <c r="FE106" s="659">
        <v>1198.9000000000001</v>
      </c>
      <c r="FF106" s="659">
        <v>1215.4000000000001</v>
      </c>
      <c r="FG106" s="659">
        <v>1249.3</v>
      </c>
      <c r="FH106" s="659">
        <v>1269.3</v>
      </c>
      <c r="FI106" s="659">
        <v>1281.9000000000001</v>
      </c>
      <c r="FJ106" s="659">
        <v>1322.9</v>
      </c>
      <c r="FK106" s="897">
        <v>1318.3</v>
      </c>
      <c r="FL106" s="660">
        <v>1362.2</v>
      </c>
      <c r="FM106" s="623">
        <v>1408</v>
      </c>
      <c r="FN106" s="623">
        <v>1418.7</v>
      </c>
      <c r="FO106" s="623">
        <v>1450.8</v>
      </c>
      <c r="FP106" s="623">
        <v>1493.7</v>
      </c>
      <c r="FQ106" s="623">
        <v>1497.5</v>
      </c>
      <c r="FR106" s="623">
        <v>1529.3</v>
      </c>
      <c r="FS106" s="623">
        <v>1542.4</v>
      </c>
      <c r="FT106" s="623">
        <v>1593.4</v>
      </c>
      <c r="FU106" s="897">
        <v>1634.8</v>
      </c>
      <c r="FV106" s="1167">
        <f t="shared" si="1"/>
        <v>1.0259821764779715</v>
      </c>
    </row>
    <row r="107" spans="1:178" s="115" customFormat="1" ht="30" customHeight="1">
      <c r="A107" s="1546">
        <v>1</v>
      </c>
      <c r="B107" s="408">
        <v>82</v>
      </c>
      <c r="C107" s="621">
        <v>20</v>
      </c>
      <c r="D107" s="628" t="s">
        <v>748</v>
      </c>
      <c r="E107" s="621" t="s">
        <v>918</v>
      </c>
      <c r="F107" s="622"/>
      <c r="G107" s="621" t="s">
        <v>223</v>
      </c>
      <c r="H107" s="621" t="s">
        <v>930</v>
      </c>
      <c r="I107" s="390" t="s">
        <v>121</v>
      </c>
      <c r="J107" s="674"/>
      <c r="K107" s="669">
        <v>91.05</v>
      </c>
      <c r="L107" s="665">
        <v>92.86</v>
      </c>
      <c r="M107" s="625">
        <v>100.48</v>
      </c>
      <c r="N107" s="625">
        <v>108.09</v>
      </c>
      <c r="O107" s="625">
        <v>125.15</v>
      </c>
      <c r="P107" s="625">
        <v>131.84</v>
      </c>
      <c r="Q107" s="625">
        <v>144.30000000000001</v>
      </c>
      <c r="R107" s="625">
        <v>150.93</v>
      </c>
      <c r="S107" s="625">
        <v>155.9</v>
      </c>
      <c r="T107" s="625">
        <v>156.77000000000001</v>
      </c>
      <c r="U107" s="625">
        <v>158.69</v>
      </c>
      <c r="V107" s="625">
        <v>158.96</v>
      </c>
      <c r="W107" s="625">
        <v>156.15</v>
      </c>
      <c r="X107" s="625">
        <v>159.91999999999999</v>
      </c>
      <c r="Y107" s="625">
        <v>161.09</v>
      </c>
      <c r="Z107" s="625">
        <v>160.08000000000001</v>
      </c>
      <c r="AA107" s="625">
        <v>158.69999999999999</v>
      </c>
      <c r="AB107" s="625">
        <v>158.78</v>
      </c>
      <c r="AC107" s="625">
        <v>158.56</v>
      </c>
      <c r="AD107" s="625">
        <v>157.15</v>
      </c>
      <c r="AE107" s="625">
        <v>157.96</v>
      </c>
      <c r="AF107" s="625">
        <v>158.27000000000001</v>
      </c>
      <c r="AG107" s="625">
        <v>158.49</v>
      </c>
      <c r="AH107" s="625">
        <v>157.62</v>
      </c>
      <c r="AI107" s="764">
        <v>159.04</v>
      </c>
      <c r="AJ107" s="772">
        <v>160</v>
      </c>
      <c r="AK107" s="625">
        <v>165.94</v>
      </c>
      <c r="AL107" s="625">
        <v>173.68</v>
      </c>
      <c r="AM107" s="625">
        <v>177.82</v>
      </c>
      <c r="AN107" s="625">
        <v>180.27</v>
      </c>
      <c r="AO107" s="625">
        <v>182.52</v>
      </c>
      <c r="AP107" s="625">
        <v>184.18</v>
      </c>
      <c r="AQ107" s="625">
        <v>186.85</v>
      </c>
      <c r="AR107" s="625">
        <v>189.89</v>
      </c>
      <c r="AS107" s="625">
        <v>193.51</v>
      </c>
      <c r="AT107" s="625">
        <v>192.74</v>
      </c>
      <c r="AU107" s="764">
        <v>200.52</v>
      </c>
      <c r="AV107" s="752">
        <v>217</v>
      </c>
      <c r="AW107" s="626">
        <v>217.05</v>
      </c>
      <c r="AX107" s="626">
        <v>220.47</v>
      </c>
      <c r="AY107" s="626">
        <v>222.34</v>
      </c>
      <c r="AZ107" s="626">
        <v>222.65</v>
      </c>
      <c r="BA107" s="626">
        <v>227.61</v>
      </c>
      <c r="BB107" s="626">
        <v>228.91</v>
      </c>
      <c r="BC107" s="627">
        <v>229.19</v>
      </c>
      <c r="BD107" s="626">
        <v>233.76</v>
      </c>
      <c r="BE107" s="627">
        <v>236.19</v>
      </c>
      <c r="BF107" s="627">
        <v>240.63</v>
      </c>
      <c r="BG107" s="738">
        <v>242.09</v>
      </c>
      <c r="BH107" s="660">
        <v>244.2</v>
      </c>
      <c r="BI107" s="623">
        <v>247.04</v>
      </c>
      <c r="BJ107" s="623">
        <v>247.8</v>
      </c>
      <c r="BK107" s="623">
        <v>248.95</v>
      </c>
      <c r="BL107" s="623">
        <v>251.72</v>
      </c>
      <c r="BM107" s="623">
        <v>259.16000000000003</v>
      </c>
      <c r="BN107" s="623">
        <v>268.01</v>
      </c>
      <c r="BO107" s="623">
        <v>272.64</v>
      </c>
      <c r="BP107" s="623">
        <v>268.77</v>
      </c>
      <c r="BQ107" s="623">
        <v>270.77999999999997</v>
      </c>
      <c r="BR107" s="623">
        <v>275.70999999999998</v>
      </c>
      <c r="BS107" s="659">
        <v>275.44</v>
      </c>
      <c r="BT107" s="660">
        <v>278.67</v>
      </c>
      <c r="BU107" s="623">
        <v>283.60000000000002</v>
      </c>
      <c r="BV107" s="623">
        <v>283.67</v>
      </c>
      <c r="BW107" s="623">
        <v>288.39</v>
      </c>
      <c r="BX107" s="623">
        <v>291</v>
      </c>
      <c r="BY107" s="623">
        <v>296.17</v>
      </c>
      <c r="BZ107" s="623">
        <v>305.26</v>
      </c>
      <c r="CA107" s="623">
        <v>319.07</v>
      </c>
      <c r="CB107" s="623">
        <v>327.32</v>
      </c>
      <c r="CC107" s="623">
        <v>333.55</v>
      </c>
      <c r="CD107" s="623">
        <v>335.02</v>
      </c>
      <c r="CE107" s="659">
        <v>340.05</v>
      </c>
      <c r="CF107" s="660">
        <v>346.75</v>
      </c>
      <c r="CG107" s="623">
        <v>355.43</v>
      </c>
      <c r="CH107" s="623">
        <v>357.82</v>
      </c>
      <c r="CI107" s="623">
        <v>363.58</v>
      </c>
      <c r="CJ107" s="623">
        <v>364.84</v>
      </c>
      <c r="CK107" s="623">
        <v>374.82</v>
      </c>
      <c r="CL107" s="623">
        <v>387.63</v>
      </c>
      <c r="CM107" s="623">
        <v>390.6</v>
      </c>
      <c r="CN107" s="623">
        <v>395.45</v>
      </c>
      <c r="CO107" s="623">
        <v>397.64</v>
      </c>
      <c r="CP107" s="623">
        <v>401.61</v>
      </c>
      <c r="CQ107" s="659">
        <v>400.76</v>
      </c>
      <c r="CR107" s="660">
        <v>402.66</v>
      </c>
      <c r="CS107" s="623">
        <v>402.86</v>
      </c>
      <c r="CT107" s="623">
        <v>403.09</v>
      </c>
      <c r="CU107" s="623">
        <v>403.86</v>
      </c>
      <c r="CV107" s="623">
        <v>400.44</v>
      </c>
      <c r="CW107" s="623">
        <v>403.91</v>
      </c>
      <c r="CX107" s="623">
        <v>404.97</v>
      </c>
      <c r="CY107" s="623">
        <v>404.78</v>
      </c>
      <c r="CZ107" s="623">
        <v>408.63</v>
      </c>
      <c r="DA107" s="623">
        <v>409.06</v>
      </c>
      <c r="DB107" s="725">
        <v>413.31</v>
      </c>
      <c r="DC107" s="659">
        <v>414.24</v>
      </c>
      <c r="DD107" s="783">
        <v>416.35</v>
      </c>
      <c r="DE107" s="623">
        <v>421.39</v>
      </c>
      <c r="DF107" s="725">
        <v>436.06</v>
      </c>
      <c r="DG107" s="659">
        <v>446.18</v>
      </c>
      <c r="DH107" s="623">
        <v>448.43</v>
      </c>
      <c r="DI107" s="623">
        <v>458.33</v>
      </c>
      <c r="DJ107" s="623">
        <v>462.19</v>
      </c>
      <c r="DK107" s="659">
        <v>464.9</v>
      </c>
      <c r="DL107" s="623">
        <v>463.61</v>
      </c>
      <c r="DM107" s="659">
        <v>475.46</v>
      </c>
      <c r="DN107" s="659">
        <v>482.36</v>
      </c>
      <c r="DO107" s="897">
        <v>485.26</v>
      </c>
      <c r="DP107" s="783">
        <v>486.27</v>
      </c>
      <c r="DQ107" s="659">
        <v>489.71</v>
      </c>
      <c r="DR107" s="659">
        <v>494.8</v>
      </c>
      <c r="DS107" s="659">
        <v>497.07</v>
      </c>
      <c r="DT107" s="623">
        <v>505.18</v>
      </c>
      <c r="DU107" s="659">
        <v>513.79</v>
      </c>
      <c r="DV107" s="659">
        <v>519.61</v>
      </c>
      <c r="DW107" s="659">
        <v>525.85</v>
      </c>
      <c r="DX107" s="659">
        <v>543.07000000000005</v>
      </c>
      <c r="DY107" s="659">
        <v>542.55999999999995</v>
      </c>
      <c r="DZ107" s="659">
        <v>550.55999999999995</v>
      </c>
      <c r="EA107" s="897">
        <v>560.54999999999995</v>
      </c>
      <c r="EB107" s="659">
        <v>565.36</v>
      </c>
      <c r="EC107" s="659">
        <v>574.22</v>
      </c>
      <c r="ED107" s="659">
        <v>577.72</v>
      </c>
      <c r="EE107" s="659">
        <v>585.19000000000005</v>
      </c>
      <c r="EF107" s="659">
        <v>591.19000000000005</v>
      </c>
      <c r="EG107" s="659">
        <v>597.03</v>
      </c>
      <c r="EH107" s="659">
        <v>601.69000000000005</v>
      </c>
      <c r="EI107" s="659">
        <v>608.86</v>
      </c>
      <c r="EJ107" s="659">
        <v>612.07000000000005</v>
      </c>
      <c r="EK107" s="623">
        <v>626.91</v>
      </c>
      <c r="EL107" s="725">
        <v>631.61</v>
      </c>
      <c r="EM107" s="659">
        <v>639.99</v>
      </c>
      <c r="EN107" s="783">
        <v>641.75</v>
      </c>
      <c r="EO107" s="659">
        <v>652.74</v>
      </c>
      <c r="EP107" s="659">
        <v>664.54</v>
      </c>
      <c r="EQ107" s="659">
        <v>672.96</v>
      </c>
      <c r="ER107" s="659">
        <v>684.57</v>
      </c>
      <c r="ES107" s="659">
        <v>690.36</v>
      </c>
      <c r="ET107" s="659">
        <v>700.72</v>
      </c>
      <c r="EU107" s="659">
        <v>711.82</v>
      </c>
      <c r="EV107" s="659">
        <v>712.26</v>
      </c>
      <c r="EW107" s="659">
        <v>720.98</v>
      </c>
      <c r="EX107" s="659">
        <v>727.42</v>
      </c>
      <c r="EY107" s="659">
        <v>734.31</v>
      </c>
      <c r="EZ107" s="783">
        <v>763.18</v>
      </c>
      <c r="FA107" s="659">
        <v>797.75</v>
      </c>
      <c r="FB107" s="659">
        <v>822.64</v>
      </c>
      <c r="FC107" s="659">
        <v>848.02</v>
      </c>
      <c r="FD107" s="659">
        <v>860.99</v>
      </c>
      <c r="FE107" s="659">
        <v>876.8</v>
      </c>
      <c r="FF107" s="659">
        <v>898.77</v>
      </c>
      <c r="FG107" s="659">
        <v>919.07</v>
      </c>
      <c r="FH107" s="659">
        <v>933.18</v>
      </c>
      <c r="FI107" s="659">
        <v>951.89</v>
      </c>
      <c r="FJ107" s="659">
        <v>961</v>
      </c>
      <c r="FK107" s="897">
        <v>974.18</v>
      </c>
      <c r="FL107" s="660">
        <v>991.36</v>
      </c>
      <c r="FM107" s="623">
        <v>997.49</v>
      </c>
      <c r="FN107" s="623">
        <v>1017.69</v>
      </c>
      <c r="FO107" s="623">
        <v>1027.18</v>
      </c>
      <c r="FP107" s="623">
        <v>1058.3499999999999</v>
      </c>
      <c r="FQ107" s="623">
        <v>1086.02</v>
      </c>
      <c r="FR107" s="623">
        <v>1088.76</v>
      </c>
      <c r="FS107" s="623">
        <v>1115.06</v>
      </c>
      <c r="FT107" s="623">
        <v>1157.22</v>
      </c>
      <c r="FU107" s="897">
        <v>1159.26</v>
      </c>
      <c r="FV107" s="1167">
        <f t="shared" si="1"/>
        <v>1.0017628454399337</v>
      </c>
    </row>
    <row r="108" spans="1:178" s="115" customFormat="1" ht="21.75" customHeight="1">
      <c r="A108" s="1546">
        <v>1</v>
      </c>
      <c r="B108" s="408">
        <v>83</v>
      </c>
      <c r="C108" s="621">
        <v>292</v>
      </c>
      <c r="D108" s="622" t="s">
        <v>224</v>
      </c>
      <c r="E108" s="621" t="s">
        <v>918</v>
      </c>
      <c r="F108" s="622"/>
      <c r="G108" s="621" t="s">
        <v>223</v>
      </c>
      <c r="H108" s="621" t="s">
        <v>930</v>
      </c>
      <c r="I108" s="390" t="s">
        <v>771</v>
      </c>
      <c r="J108" s="651"/>
      <c r="K108" s="669">
        <v>102.51</v>
      </c>
      <c r="L108" s="665">
        <v>109.63</v>
      </c>
      <c r="M108" s="625">
        <v>117.3</v>
      </c>
      <c r="N108" s="625">
        <v>141.19</v>
      </c>
      <c r="O108" s="625">
        <v>165.77</v>
      </c>
      <c r="P108" s="625">
        <v>181.76</v>
      </c>
      <c r="Q108" s="625">
        <v>205.91</v>
      </c>
      <c r="R108" s="625">
        <v>211.67</v>
      </c>
      <c r="S108" s="625">
        <v>212.12</v>
      </c>
      <c r="T108" s="625">
        <v>211.41</v>
      </c>
      <c r="U108" s="625">
        <v>213.54</v>
      </c>
      <c r="V108" s="625">
        <v>215.2</v>
      </c>
      <c r="W108" s="625">
        <v>216.22</v>
      </c>
      <c r="X108" s="625">
        <v>210.1</v>
      </c>
      <c r="Y108" s="625">
        <v>208.5</v>
      </c>
      <c r="Z108" s="625">
        <v>207.22</v>
      </c>
      <c r="AA108" s="625">
        <v>205.53</v>
      </c>
      <c r="AB108" s="625">
        <v>203.5</v>
      </c>
      <c r="AC108" s="625">
        <v>204.6</v>
      </c>
      <c r="AD108" s="625">
        <v>206.01</v>
      </c>
      <c r="AE108" s="625">
        <v>208.55</v>
      </c>
      <c r="AF108" s="625">
        <v>207.19</v>
      </c>
      <c r="AG108" s="625">
        <v>206.79</v>
      </c>
      <c r="AH108" s="625">
        <v>207.4</v>
      </c>
      <c r="AI108" s="764">
        <v>211.61</v>
      </c>
      <c r="AJ108" s="772">
        <v>212.96</v>
      </c>
      <c r="AK108" s="625">
        <v>217.55</v>
      </c>
      <c r="AL108" s="625">
        <v>223.19</v>
      </c>
      <c r="AM108" s="625">
        <v>224.48</v>
      </c>
      <c r="AN108" s="625">
        <v>230.5</v>
      </c>
      <c r="AO108" s="625">
        <v>232.87</v>
      </c>
      <c r="AP108" s="625">
        <v>233.41</v>
      </c>
      <c r="AQ108" s="625">
        <v>236.4</v>
      </c>
      <c r="AR108" s="625">
        <v>236.93</v>
      </c>
      <c r="AS108" s="625">
        <v>237.47</v>
      </c>
      <c r="AT108" s="625">
        <v>237.59</v>
      </c>
      <c r="AU108" s="764">
        <v>240.15</v>
      </c>
      <c r="AV108" s="752">
        <v>216.17</v>
      </c>
      <c r="AW108" s="626">
        <v>250.89</v>
      </c>
      <c r="AX108" s="626">
        <v>252.02</v>
      </c>
      <c r="AY108" s="626">
        <v>251.9</v>
      </c>
      <c r="AZ108" s="626">
        <v>252.86</v>
      </c>
      <c r="BA108" s="626">
        <v>253.4</v>
      </c>
      <c r="BB108" s="626">
        <v>255</v>
      </c>
      <c r="BC108" s="627">
        <v>257.06</v>
      </c>
      <c r="BD108" s="626">
        <v>261.47000000000003</v>
      </c>
      <c r="BE108" s="627">
        <v>263.62</v>
      </c>
      <c r="BF108" s="627">
        <v>264.24</v>
      </c>
      <c r="BG108" s="738">
        <v>268.44</v>
      </c>
      <c r="BH108" s="660">
        <v>270.8</v>
      </c>
      <c r="BI108" s="623">
        <v>272.8</v>
      </c>
      <c r="BJ108" s="623">
        <v>275.3</v>
      </c>
      <c r="BK108" s="623">
        <v>275.99</v>
      </c>
      <c r="BL108" s="623">
        <v>276.68</v>
      </c>
      <c r="BM108" s="623">
        <v>280.37</v>
      </c>
      <c r="BN108" s="623">
        <v>284.91000000000003</v>
      </c>
      <c r="BO108" s="623">
        <v>288.25</v>
      </c>
      <c r="BP108" s="623">
        <v>290.45</v>
      </c>
      <c r="BQ108" s="623">
        <v>292.33</v>
      </c>
      <c r="BR108" s="623">
        <v>291.57</v>
      </c>
      <c r="BS108" s="659">
        <v>292.86</v>
      </c>
      <c r="BT108" s="660">
        <v>293.02999999999997</v>
      </c>
      <c r="BU108" s="623">
        <v>295.75</v>
      </c>
      <c r="BV108" s="623">
        <v>296.64999999999998</v>
      </c>
      <c r="BW108" s="623">
        <v>299.89</v>
      </c>
      <c r="BX108" s="623">
        <v>303.62</v>
      </c>
      <c r="BY108" s="623">
        <v>305.82</v>
      </c>
      <c r="BZ108" s="623">
        <v>309.12</v>
      </c>
      <c r="CA108" s="623">
        <v>317.08</v>
      </c>
      <c r="CB108" s="623">
        <v>319.87</v>
      </c>
      <c r="CC108" s="623">
        <v>324.16000000000003</v>
      </c>
      <c r="CD108" s="623">
        <v>328.17</v>
      </c>
      <c r="CE108" s="659">
        <v>332.5</v>
      </c>
      <c r="CF108" s="660">
        <v>342.73</v>
      </c>
      <c r="CG108" s="623">
        <v>343.74</v>
      </c>
      <c r="CH108" s="623">
        <v>349.94</v>
      </c>
      <c r="CI108" s="623">
        <v>354.24</v>
      </c>
      <c r="CJ108" s="623">
        <v>357.44</v>
      </c>
      <c r="CK108" s="623">
        <v>362.74</v>
      </c>
      <c r="CL108" s="623">
        <v>368</v>
      </c>
      <c r="CM108" s="623">
        <v>373.34</v>
      </c>
      <c r="CN108" s="623">
        <v>378.67</v>
      </c>
      <c r="CO108" s="623">
        <v>383.11</v>
      </c>
      <c r="CP108" s="623">
        <v>388.76</v>
      </c>
      <c r="CQ108" s="659">
        <v>391.06</v>
      </c>
      <c r="CR108" s="660">
        <v>394.13</v>
      </c>
      <c r="CS108" s="623">
        <v>395.52</v>
      </c>
      <c r="CT108" s="623">
        <v>398.39</v>
      </c>
      <c r="CU108" s="623">
        <v>400.48</v>
      </c>
      <c r="CV108" s="623">
        <v>403.45</v>
      </c>
      <c r="CW108" s="623">
        <v>405.16</v>
      </c>
      <c r="CX108" s="623">
        <v>407.63</v>
      </c>
      <c r="CY108" s="623">
        <v>414.66</v>
      </c>
      <c r="CZ108" s="623">
        <v>418.25</v>
      </c>
      <c r="DA108" s="623">
        <v>419.83</v>
      </c>
      <c r="DB108" s="725">
        <v>422.16</v>
      </c>
      <c r="DC108" s="659">
        <v>423.25</v>
      </c>
      <c r="DD108" s="783">
        <v>424.12</v>
      </c>
      <c r="DE108" s="623">
        <v>431.55</v>
      </c>
      <c r="DF108" s="725">
        <v>440.34</v>
      </c>
      <c r="DG108" s="659">
        <v>449.05</v>
      </c>
      <c r="DH108" s="623">
        <v>453.38</v>
      </c>
      <c r="DI108" s="623">
        <v>458.64</v>
      </c>
      <c r="DJ108" s="623">
        <v>465.27</v>
      </c>
      <c r="DK108" s="659">
        <v>471.64</v>
      </c>
      <c r="DL108" s="623">
        <v>476.84</v>
      </c>
      <c r="DM108" s="659">
        <v>482.37</v>
      </c>
      <c r="DN108" s="659">
        <v>492.48</v>
      </c>
      <c r="DO108" s="897">
        <v>502</v>
      </c>
      <c r="DP108" s="783">
        <v>505.26</v>
      </c>
      <c r="DQ108" s="659">
        <v>509.27</v>
      </c>
      <c r="DR108" s="659">
        <v>518.70000000000005</v>
      </c>
      <c r="DS108" s="659">
        <v>531.61</v>
      </c>
      <c r="DT108" s="623">
        <v>536.58000000000004</v>
      </c>
      <c r="DU108" s="659">
        <v>549.77</v>
      </c>
      <c r="DV108" s="659">
        <v>570.05999999999995</v>
      </c>
      <c r="DW108" s="659">
        <v>573.98</v>
      </c>
      <c r="DX108" s="659">
        <v>583.4</v>
      </c>
      <c r="DY108" s="659">
        <v>594.66</v>
      </c>
      <c r="DZ108" s="659">
        <v>602.83000000000004</v>
      </c>
      <c r="EA108" s="897">
        <v>609.22</v>
      </c>
      <c r="EB108" s="659">
        <v>609.70000000000005</v>
      </c>
      <c r="EC108" s="659">
        <v>621.41999999999996</v>
      </c>
      <c r="ED108" s="659">
        <v>633.08000000000004</v>
      </c>
      <c r="EE108" s="659">
        <v>638.13</v>
      </c>
      <c r="EF108" s="659">
        <v>643.44000000000005</v>
      </c>
      <c r="EG108" s="659">
        <v>648</v>
      </c>
      <c r="EH108" s="659">
        <v>658.35</v>
      </c>
      <c r="EI108" s="659">
        <v>665.32</v>
      </c>
      <c r="EJ108" s="659">
        <v>679.78</v>
      </c>
      <c r="EK108" s="623">
        <v>685.63</v>
      </c>
      <c r="EL108" s="725">
        <v>697.46</v>
      </c>
      <c r="EM108" s="659">
        <v>704.2</v>
      </c>
      <c r="EN108" s="783">
        <v>716.11</v>
      </c>
      <c r="EO108" s="659">
        <v>725.75</v>
      </c>
      <c r="EP108" s="659">
        <v>734.59</v>
      </c>
      <c r="EQ108" s="659">
        <v>747.48</v>
      </c>
      <c r="ER108" s="659">
        <v>759.14</v>
      </c>
      <c r="ES108" s="659">
        <v>777.15</v>
      </c>
      <c r="ET108" s="659">
        <v>792.91</v>
      </c>
      <c r="EU108" s="659">
        <v>802.7</v>
      </c>
      <c r="EV108" s="659">
        <v>818.46</v>
      </c>
      <c r="EW108" s="659">
        <v>827.46</v>
      </c>
      <c r="EX108" s="659">
        <v>840.62</v>
      </c>
      <c r="EY108" s="659">
        <v>852.26</v>
      </c>
      <c r="EZ108" s="783">
        <v>893.47</v>
      </c>
      <c r="FA108" s="659">
        <v>953.29</v>
      </c>
      <c r="FB108" s="659">
        <v>991.48</v>
      </c>
      <c r="FC108" s="659">
        <v>1014.94</v>
      </c>
      <c r="FD108" s="659">
        <v>1033.69</v>
      </c>
      <c r="FE108" s="659">
        <v>1052.1500000000001</v>
      </c>
      <c r="FF108" s="659">
        <v>1071.1500000000001</v>
      </c>
      <c r="FG108" s="659">
        <v>1080.27</v>
      </c>
      <c r="FH108" s="659">
        <v>1089.29</v>
      </c>
      <c r="FI108" s="659">
        <v>1106.3499999999999</v>
      </c>
      <c r="FJ108" s="659">
        <v>1115.67</v>
      </c>
      <c r="FK108" s="897">
        <v>1134.23</v>
      </c>
      <c r="FL108" s="660">
        <v>1149.28</v>
      </c>
      <c r="FM108" s="623">
        <v>1150.04</v>
      </c>
      <c r="FN108" s="623">
        <v>1178.03</v>
      </c>
      <c r="FO108" s="623">
        <v>1191.53</v>
      </c>
      <c r="FP108" s="623">
        <v>1196.75</v>
      </c>
      <c r="FQ108" s="623">
        <v>1210.8800000000001</v>
      </c>
      <c r="FR108" s="623">
        <v>1228.3399999999999</v>
      </c>
      <c r="FS108" s="623">
        <v>1259.17</v>
      </c>
      <c r="FT108" s="623">
        <v>1273.71</v>
      </c>
      <c r="FU108" s="897">
        <v>1293.96</v>
      </c>
      <c r="FV108" s="1167">
        <f t="shared" si="1"/>
        <v>1.0158984384200485</v>
      </c>
    </row>
    <row r="109" spans="1:178" s="1075" customFormat="1" ht="33.75" hidden="1" customHeight="1">
      <c r="A109" s="1547">
        <v>1</v>
      </c>
      <c r="B109" s="1059">
        <v>84</v>
      </c>
      <c r="C109" s="1068" t="s">
        <v>225</v>
      </c>
      <c r="D109" s="1058" t="s">
        <v>749</v>
      </c>
      <c r="E109" s="1039" t="s">
        <v>918</v>
      </c>
      <c r="F109" s="1058"/>
      <c r="G109" s="1039" t="s">
        <v>515</v>
      </c>
      <c r="H109" s="1039"/>
      <c r="I109" s="1057" t="s">
        <v>83</v>
      </c>
      <c r="J109" s="1069" t="s">
        <v>769</v>
      </c>
      <c r="K109" s="1041">
        <v>100</v>
      </c>
      <c r="L109" s="1042">
        <v>117</v>
      </c>
      <c r="M109" s="1043">
        <v>134</v>
      </c>
      <c r="N109" s="1043">
        <v>152</v>
      </c>
      <c r="O109" s="1043">
        <v>188</v>
      </c>
      <c r="P109" s="1043">
        <v>254</v>
      </c>
      <c r="Q109" s="1043">
        <v>267</v>
      </c>
      <c r="R109" s="1043">
        <v>273</v>
      </c>
      <c r="S109" s="1043">
        <v>279</v>
      </c>
      <c r="T109" s="1043">
        <v>284</v>
      </c>
      <c r="U109" s="1043">
        <v>284</v>
      </c>
      <c r="V109" s="1043">
        <v>284</v>
      </c>
      <c r="W109" s="1043">
        <v>284</v>
      </c>
      <c r="X109" s="1043">
        <v>284</v>
      </c>
      <c r="Y109" s="1043">
        <v>284</v>
      </c>
      <c r="Z109" s="1043">
        <v>284</v>
      </c>
      <c r="AA109" s="1043">
        <v>284</v>
      </c>
      <c r="AB109" s="1043">
        <v>284</v>
      </c>
      <c r="AC109" s="1043">
        <v>284</v>
      </c>
      <c r="AD109" s="1043">
        <v>284</v>
      </c>
      <c r="AE109" s="1043">
        <v>284</v>
      </c>
      <c r="AF109" s="1043">
        <v>284</v>
      </c>
      <c r="AG109" s="1043">
        <v>284</v>
      </c>
      <c r="AH109" s="1043">
        <v>284</v>
      </c>
      <c r="AI109" s="1044">
        <v>284</v>
      </c>
      <c r="AJ109" s="1045">
        <v>270</v>
      </c>
      <c r="AK109" s="1043">
        <v>270</v>
      </c>
      <c r="AL109" s="1043">
        <v>270</v>
      </c>
      <c r="AM109" s="1043">
        <v>270</v>
      </c>
      <c r="AN109" s="1043">
        <v>270</v>
      </c>
      <c r="AO109" s="1043">
        <v>270</v>
      </c>
      <c r="AP109" s="1043">
        <v>270</v>
      </c>
      <c r="AQ109" s="1043">
        <v>270</v>
      </c>
      <c r="AR109" s="1043">
        <v>270</v>
      </c>
      <c r="AS109" s="1043">
        <v>270</v>
      </c>
      <c r="AT109" s="1043">
        <v>270</v>
      </c>
      <c r="AU109" s="1044">
        <v>270</v>
      </c>
      <c r="AV109" s="1046">
        <v>270</v>
      </c>
      <c r="AW109" s="1047">
        <v>270</v>
      </c>
      <c r="AX109" s="1047">
        <v>270</v>
      </c>
      <c r="AY109" s="1047">
        <v>270</v>
      </c>
      <c r="AZ109" s="1047">
        <v>270</v>
      </c>
      <c r="BA109" s="1047">
        <v>270</v>
      </c>
      <c r="BB109" s="1047">
        <v>270</v>
      </c>
      <c r="BC109" s="1048">
        <v>270</v>
      </c>
      <c r="BD109" s="1047">
        <v>270</v>
      </c>
      <c r="BE109" s="1048">
        <v>270</v>
      </c>
      <c r="BF109" s="1048">
        <v>270</v>
      </c>
      <c r="BG109" s="1060">
        <v>270</v>
      </c>
      <c r="BH109" s="1050">
        <v>270</v>
      </c>
      <c r="BI109" s="1051">
        <v>270</v>
      </c>
      <c r="BJ109" s="1051">
        <v>270</v>
      </c>
      <c r="BK109" s="1051">
        <v>270</v>
      </c>
      <c r="BL109" s="1051">
        <v>270</v>
      </c>
      <c r="BM109" s="1051">
        <v>270</v>
      </c>
      <c r="BN109" s="1051">
        <v>270</v>
      </c>
      <c r="BO109" s="1051">
        <v>270</v>
      </c>
      <c r="BP109" s="1051">
        <v>270</v>
      </c>
      <c r="BQ109" s="1051">
        <v>270</v>
      </c>
      <c r="BR109" s="1051">
        <v>270</v>
      </c>
      <c r="BS109" s="1052">
        <v>270</v>
      </c>
      <c r="BT109" s="1050">
        <v>270</v>
      </c>
      <c r="BU109" s="1051">
        <v>270</v>
      </c>
      <c r="BV109" s="1051">
        <v>270</v>
      </c>
      <c r="BW109" s="1051">
        <v>270</v>
      </c>
      <c r="BX109" s="1051">
        <v>270</v>
      </c>
      <c r="BY109" s="1051">
        <v>270</v>
      </c>
      <c r="BZ109" s="1051">
        <v>270</v>
      </c>
      <c r="CA109" s="1051">
        <v>270</v>
      </c>
      <c r="CB109" s="1051">
        <v>270</v>
      </c>
      <c r="CC109" s="1051">
        <v>270</v>
      </c>
      <c r="CD109" s="1051">
        <v>270</v>
      </c>
      <c r="CE109" s="1052">
        <f>+'ANEXO I CADIEEL'!CE14</f>
        <v>270</v>
      </c>
      <c r="CF109" s="1050">
        <f>+'ANEXO I CADIEEL'!CF14</f>
        <v>270</v>
      </c>
      <c r="CG109" s="1051">
        <f>+'ANEXO I CADIEEL'!CG14</f>
        <v>270</v>
      </c>
      <c r="CH109" s="1051">
        <f>'ANEXO I CADIEEL'!CH14</f>
        <v>270</v>
      </c>
      <c r="CI109" s="1051">
        <f>'ANEXO I CADIEEL'!CI14</f>
        <v>270</v>
      </c>
      <c r="CJ109" s="1051">
        <f>'ANEXO I CADIEEL'!CJ14</f>
        <v>270</v>
      </c>
      <c r="CK109" s="1051">
        <f>'ANEXO I CADIEEL'!CK14</f>
        <v>270</v>
      </c>
      <c r="CL109" s="1051">
        <f>'ANEXO I CADIEEL'!CL14</f>
        <v>270</v>
      </c>
      <c r="CM109" s="1051">
        <f>'ANEXO I CADIEEL'!CM14</f>
        <v>270</v>
      </c>
      <c r="CN109" s="1051">
        <f>'ANEXO I CADIEEL'!CN14</f>
        <v>270</v>
      </c>
      <c r="CO109" s="1051">
        <f>'ANEXO I CADIEEL'!CO14</f>
        <v>270</v>
      </c>
      <c r="CP109" s="1051">
        <f>+CO109</f>
        <v>270</v>
      </c>
      <c r="CQ109" s="1052">
        <f>'ANEXO I CADIEEL'!CQ14</f>
        <v>270</v>
      </c>
      <c r="CR109" s="1050">
        <f>'ANEXO I CADIEEL'!CR14</f>
        <v>270</v>
      </c>
      <c r="CS109" s="1051">
        <f>'ANEXO I CADIEEL'!CS14</f>
        <v>270</v>
      </c>
      <c r="CT109" s="1070" t="s">
        <v>524</v>
      </c>
      <c r="CU109" s="1070" t="s">
        <v>524</v>
      </c>
      <c r="CV109" s="1070" t="s">
        <v>524</v>
      </c>
      <c r="CW109" s="1070" t="s">
        <v>524</v>
      </c>
      <c r="CX109" s="1070" t="s">
        <v>524</v>
      </c>
      <c r="CY109" s="1070" t="s">
        <v>524</v>
      </c>
      <c r="CZ109" s="1070" t="s">
        <v>524</v>
      </c>
      <c r="DA109" s="1070" t="s">
        <v>524</v>
      </c>
      <c r="DB109" s="1070" t="s">
        <v>524</v>
      </c>
      <c r="DC109" s="1071" t="s">
        <v>524</v>
      </c>
      <c r="DD109" s="1072" t="s">
        <v>524</v>
      </c>
      <c r="DE109" s="1070" t="s">
        <v>524</v>
      </c>
      <c r="DF109" s="1073" t="s">
        <v>524</v>
      </c>
      <c r="DG109" s="1071" t="s">
        <v>524</v>
      </c>
      <c r="DH109" s="1070" t="s">
        <v>524</v>
      </c>
      <c r="DI109" s="1070" t="s">
        <v>524</v>
      </c>
      <c r="DJ109" s="1070" t="s">
        <v>524</v>
      </c>
      <c r="DK109" s="1071" t="s">
        <v>524</v>
      </c>
      <c r="DL109" s="1070" t="s">
        <v>524</v>
      </c>
      <c r="DM109" s="1071" t="s">
        <v>524</v>
      </c>
      <c r="DN109" s="1071" t="s">
        <v>524</v>
      </c>
      <c r="DO109" s="1074" t="s">
        <v>524</v>
      </c>
      <c r="DP109" s="1072" t="s">
        <v>524</v>
      </c>
      <c r="DQ109" s="1071" t="s">
        <v>524</v>
      </c>
      <c r="DR109" s="1071" t="s">
        <v>524</v>
      </c>
      <c r="DS109" s="1071" t="s">
        <v>524</v>
      </c>
      <c r="DT109" s="1070" t="s">
        <v>524</v>
      </c>
      <c r="DU109" s="1070" t="s">
        <v>524</v>
      </c>
      <c r="DV109" s="1071" t="s">
        <v>524</v>
      </c>
      <c r="DW109" s="1071" t="s">
        <v>524</v>
      </c>
      <c r="DX109" s="1071" t="s">
        <v>524</v>
      </c>
      <c r="DY109" s="1071" t="s">
        <v>524</v>
      </c>
      <c r="DZ109" s="1071" t="s">
        <v>524</v>
      </c>
      <c r="EA109" s="1074" t="s">
        <v>524</v>
      </c>
      <c r="EB109" s="1071" t="s">
        <v>524</v>
      </c>
      <c r="EC109" s="1071" t="s">
        <v>524</v>
      </c>
      <c r="ED109" s="1071" t="s">
        <v>524</v>
      </c>
      <c r="EE109" s="1071" t="s">
        <v>524</v>
      </c>
      <c r="EF109" s="1071" t="s">
        <v>524</v>
      </c>
      <c r="EG109" s="1071" t="s">
        <v>524</v>
      </c>
      <c r="EH109" s="1071"/>
      <c r="EI109" s="1071" t="s">
        <v>524</v>
      </c>
      <c r="EJ109" s="1071" t="s">
        <v>524</v>
      </c>
      <c r="EK109" s="1070" t="s">
        <v>524</v>
      </c>
      <c r="EL109" s="1070" t="s">
        <v>524</v>
      </c>
      <c r="EM109" s="1071" t="s">
        <v>524</v>
      </c>
      <c r="EN109" s="1072" t="s">
        <v>524</v>
      </c>
      <c r="EO109" s="1071" t="s">
        <v>524</v>
      </c>
      <c r="EP109" s="1071" t="s">
        <v>524</v>
      </c>
      <c r="EQ109" s="1071" t="s">
        <v>524</v>
      </c>
      <c r="ER109" s="1071" t="s">
        <v>524</v>
      </c>
      <c r="ES109" s="1071" t="s">
        <v>524</v>
      </c>
      <c r="ET109" s="1071" t="s">
        <v>524</v>
      </c>
      <c r="EU109" s="1071" t="s">
        <v>524</v>
      </c>
      <c r="EV109" s="1071" t="s">
        <v>524</v>
      </c>
      <c r="EW109" s="1071" t="s">
        <v>524</v>
      </c>
      <c r="EX109" s="1071" t="s">
        <v>524</v>
      </c>
      <c r="EY109" s="1071" t="s">
        <v>524</v>
      </c>
      <c r="EZ109" s="1072" t="s">
        <v>524</v>
      </c>
      <c r="FA109" s="1071" t="s">
        <v>524</v>
      </c>
      <c r="FB109" s="1071" t="s">
        <v>524</v>
      </c>
      <c r="FC109" s="1071" t="s">
        <v>524</v>
      </c>
      <c r="FD109" s="1071" t="s">
        <v>524</v>
      </c>
      <c r="FE109" s="1071" t="s">
        <v>524</v>
      </c>
      <c r="FF109" s="1071" t="s">
        <v>524</v>
      </c>
      <c r="FG109" s="1071" t="s">
        <v>524</v>
      </c>
      <c r="FH109" s="1071" t="s">
        <v>524</v>
      </c>
      <c r="FI109" s="1071" t="s">
        <v>524</v>
      </c>
      <c r="FJ109" s="1071" t="s">
        <v>524</v>
      </c>
      <c r="FK109" s="1074" t="s">
        <v>524</v>
      </c>
      <c r="FL109" s="1564"/>
      <c r="FM109" s="1070"/>
      <c r="FN109" s="1070"/>
      <c r="FO109" s="1070"/>
      <c r="FP109" s="1070"/>
      <c r="FQ109" s="1070"/>
      <c r="FR109" s="1070"/>
      <c r="FS109" s="1070"/>
      <c r="FT109" s="1070"/>
      <c r="FU109" s="1074"/>
      <c r="FV109" s="1167" t="e">
        <f t="shared" si="1"/>
        <v>#DIV/0!</v>
      </c>
    </row>
    <row r="110" spans="1:178" s="115" customFormat="1" ht="19.5" customHeight="1">
      <c r="A110" s="1546">
        <v>1</v>
      </c>
      <c r="B110" s="408">
        <v>85</v>
      </c>
      <c r="C110" s="621">
        <v>31</v>
      </c>
      <c r="D110" s="622" t="s">
        <v>227</v>
      </c>
      <c r="E110" s="621" t="s">
        <v>918</v>
      </c>
      <c r="F110" s="622"/>
      <c r="G110" s="621" t="s">
        <v>223</v>
      </c>
      <c r="H110" s="621" t="s">
        <v>930</v>
      </c>
      <c r="I110" s="390" t="s">
        <v>422</v>
      </c>
      <c r="J110" s="676"/>
      <c r="K110" s="669">
        <v>82.6</v>
      </c>
      <c r="L110" s="665">
        <v>87.9</v>
      </c>
      <c r="M110" s="625">
        <v>103.38</v>
      </c>
      <c r="N110" s="625">
        <v>131.44</v>
      </c>
      <c r="O110" s="625">
        <v>152.13999999999999</v>
      </c>
      <c r="P110" s="625">
        <v>175.65</v>
      </c>
      <c r="Q110" s="625">
        <v>189.43</v>
      </c>
      <c r="R110" s="625">
        <v>191.25</v>
      </c>
      <c r="S110" s="625">
        <v>193.04</v>
      </c>
      <c r="T110" s="625">
        <v>194.91</v>
      </c>
      <c r="U110" s="625">
        <v>195.4</v>
      </c>
      <c r="V110" s="625">
        <v>196.8</v>
      </c>
      <c r="W110" s="625">
        <v>194.25</v>
      </c>
      <c r="X110" s="625">
        <v>189.81</v>
      </c>
      <c r="Y110" s="625">
        <v>182.7</v>
      </c>
      <c r="Z110" s="625">
        <v>184.89</v>
      </c>
      <c r="AA110" s="625">
        <v>180.65</v>
      </c>
      <c r="AB110" s="625">
        <v>178.98</v>
      </c>
      <c r="AC110" s="625">
        <v>178.4</v>
      </c>
      <c r="AD110" s="625">
        <v>179.17</v>
      </c>
      <c r="AE110" s="625">
        <v>182.71</v>
      </c>
      <c r="AF110" s="625">
        <v>185.31</v>
      </c>
      <c r="AG110" s="625">
        <v>184.52</v>
      </c>
      <c r="AH110" s="625">
        <v>188.09</v>
      </c>
      <c r="AI110" s="764">
        <v>192.44</v>
      </c>
      <c r="AJ110" s="772">
        <v>196.85</v>
      </c>
      <c r="AK110" s="625">
        <v>208.68</v>
      </c>
      <c r="AL110" s="625">
        <v>216.54</v>
      </c>
      <c r="AM110" s="625">
        <v>217.8</v>
      </c>
      <c r="AN110" s="625">
        <v>224.15</v>
      </c>
      <c r="AO110" s="625">
        <v>231.64</v>
      </c>
      <c r="AP110" s="625">
        <v>231</v>
      </c>
      <c r="AQ110" s="625">
        <v>234.67</v>
      </c>
      <c r="AR110" s="625">
        <v>230.66</v>
      </c>
      <c r="AS110" s="625">
        <v>236.64</v>
      </c>
      <c r="AT110" s="625">
        <v>241.09</v>
      </c>
      <c r="AU110" s="764">
        <v>247.71</v>
      </c>
      <c r="AV110" s="752">
        <v>249.92</v>
      </c>
      <c r="AW110" s="626">
        <v>248.22</v>
      </c>
      <c r="AX110" s="626">
        <v>255.21</v>
      </c>
      <c r="AY110" s="626">
        <v>258.33999999999997</v>
      </c>
      <c r="AZ110" s="626">
        <v>259.25</v>
      </c>
      <c r="BA110" s="626">
        <v>258.7</v>
      </c>
      <c r="BB110" s="626">
        <v>259.3</v>
      </c>
      <c r="BC110" s="627">
        <v>263.67</v>
      </c>
      <c r="BD110" s="626">
        <v>268.95</v>
      </c>
      <c r="BE110" s="627">
        <v>278.06</v>
      </c>
      <c r="BF110" s="627">
        <v>286.57</v>
      </c>
      <c r="BG110" s="738">
        <v>292.85000000000002</v>
      </c>
      <c r="BH110" s="660">
        <v>293.32</v>
      </c>
      <c r="BI110" s="623">
        <v>303.76</v>
      </c>
      <c r="BJ110" s="623">
        <v>316.02999999999997</v>
      </c>
      <c r="BK110" s="623">
        <v>332.95</v>
      </c>
      <c r="BL110" s="623">
        <v>379.37</v>
      </c>
      <c r="BM110" s="623">
        <v>387.31</v>
      </c>
      <c r="BN110" s="623">
        <v>389.56</v>
      </c>
      <c r="BO110" s="623">
        <v>409.31</v>
      </c>
      <c r="BP110" s="623">
        <v>411.43</v>
      </c>
      <c r="BQ110" s="623">
        <v>410.5</v>
      </c>
      <c r="BR110" s="623">
        <v>401.84</v>
      </c>
      <c r="BS110" s="659">
        <v>400.51</v>
      </c>
      <c r="BT110" s="660">
        <v>389.71</v>
      </c>
      <c r="BU110" s="623">
        <v>383.97</v>
      </c>
      <c r="BV110" s="623">
        <v>378.05</v>
      </c>
      <c r="BW110" s="623">
        <v>403.72</v>
      </c>
      <c r="BX110" s="623">
        <v>413.42</v>
      </c>
      <c r="BY110" s="623">
        <v>414.58</v>
      </c>
      <c r="BZ110" s="623">
        <v>423.6</v>
      </c>
      <c r="CA110" s="623">
        <v>437.31</v>
      </c>
      <c r="CB110" s="623">
        <v>436.3</v>
      </c>
      <c r="CC110" s="623">
        <v>440.8</v>
      </c>
      <c r="CD110" s="623">
        <v>444.16</v>
      </c>
      <c r="CE110" s="659">
        <v>441.44</v>
      </c>
      <c r="CF110" s="660">
        <v>442.96</v>
      </c>
      <c r="CG110" s="623">
        <v>444.34</v>
      </c>
      <c r="CH110" s="623">
        <v>457.93</v>
      </c>
      <c r="CI110" s="623">
        <v>466.34</v>
      </c>
      <c r="CJ110" s="623">
        <v>481.92</v>
      </c>
      <c r="CK110" s="623">
        <v>476.4</v>
      </c>
      <c r="CL110" s="623">
        <v>475.55</v>
      </c>
      <c r="CM110" s="623">
        <v>472.31</v>
      </c>
      <c r="CN110" s="623">
        <v>472.99</v>
      </c>
      <c r="CO110" s="623">
        <v>475.91</v>
      </c>
      <c r="CP110" s="623">
        <v>445.54</v>
      </c>
      <c r="CQ110" s="659">
        <v>439.47</v>
      </c>
      <c r="CR110" s="660">
        <v>436.67</v>
      </c>
      <c r="CS110" s="623">
        <v>424.87</v>
      </c>
      <c r="CT110" s="623">
        <v>424.2</v>
      </c>
      <c r="CU110" s="623">
        <v>422.46</v>
      </c>
      <c r="CV110" s="623">
        <v>425.79</v>
      </c>
      <c r="CW110" s="623">
        <v>429.43</v>
      </c>
      <c r="CX110" s="623">
        <v>438.2</v>
      </c>
      <c r="CY110" s="623">
        <v>448.9</v>
      </c>
      <c r="CZ110" s="623">
        <v>451.39</v>
      </c>
      <c r="DA110" s="623">
        <v>461.79</v>
      </c>
      <c r="DB110" s="725">
        <v>466.13</v>
      </c>
      <c r="DC110" s="659">
        <v>471.97</v>
      </c>
      <c r="DD110" s="783">
        <v>488.65</v>
      </c>
      <c r="DE110" s="623">
        <v>499.4</v>
      </c>
      <c r="DF110" s="725">
        <v>502.82</v>
      </c>
      <c r="DG110" s="659">
        <v>512.65</v>
      </c>
      <c r="DH110" s="623">
        <v>508.02</v>
      </c>
      <c r="DI110" s="623">
        <v>506.52</v>
      </c>
      <c r="DJ110" s="623">
        <v>503.13</v>
      </c>
      <c r="DK110" s="659">
        <v>506.14</v>
      </c>
      <c r="DL110" s="623">
        <v>512.34</v>
      </c>
      <c r="DM110" s="659">
        <v>518.01</v>
      </c>
      <c r="DN110" s="659">
        <v>529.78</v>
      </c>
      <c r="DO110" s="897">
        <v>537.72</v>
      </c>
      <c r="DP110" s="783">
        <v>545.38</v>
      </c>
      <c r="DQ110" s="659">
        <v>554.72</v>
      </c>
      <c r="DR110" s="659">
        <v>557.63</v>
      </c>
      <c r="DS110" s="659">
        <v>561.94000000000005</v>
      </c>
      <c r="DT110" s="623">
        <v>561.16</v>
      </c>
      <c r="DU110" s="659">
        <v>568.08000000000004</v>
      </c>
      <c r="DV110" s="659">
        <v>574.70000000000005</v>
      </c>
      <c r="DW110" s="659">
        <v>578.09</v>
      </c>
      <c r="DX110" s="659">
        <v>582.83000000000004</v>
      </c>
      <c r="DY110" s="659">
        <v>572.48</v>
      </c>
      <c r="DZ110" s="659">
        <v>571</v>
      </c>
      <c r="EA110" s="897">
        <v>575.94000000000005</v>
      </c>
      <c r="EB110" s="659">
        <v>573.88</v>
      </c>
      <c r="EC110" s="659">
        <v>579.24</v>
      </c>
      <c r="ED110" s="659">
        <v>587.03</v>
      </c>
      <c r="EE110" s="659">
        <v>588.51</v>
      </c>
      <c r="EF110" s="659">
        <v>591.65</v>
      </c>
      <c r="EG110" s="659">
        <v>594.54999999999995</v>
      </c>
      <c r="EH110" s="659">
        <v>598.32000000000005</v>
      </c>
      <c r="EI110" s="659">
        <v>602.59</v>
      </c>
      <c r="EJ110" s="659">
        <v>617.04</v>
      </c>
      <c r="EK110" s="623">
        <v>626.17999999999995</v>
      </c>
      <c r="EL110" s="725">
        <v>633.75</v>
      </c>
      <c r="EM110" s="659">
        <v>643.09</v>
      </c>
      <c r="EN110" s="783">
        <v>646.15</v>
      </c>
      <c r="EO110" s="659">
        <v>657.32</v>
      </c>
      <c r="EP110" s="659">
        <v>670.1</v>
      </c>
      <c r="EQ110" s="659">
        <v>673.85</v>
      </c>
      <c r="ER110" s="659">
        <v>677.96</v>
      </c>
      <c r="ES110" s="659">
        <v>685.3</v>
      </c>
      <c r="ET110" s="659">
        <v>699.37</v>
      </c>
      <c r="EU110" s="659">
        <v>709.54</v>
      </c>
      <c r="EV110" s="659">
        <v>716.94</v>
      </c>
      <c r="EW110" s="659">
        <v>727.78</v>
      </c>
      <c r="EX110" s="659">
        <v>738.23</v>
      </c>
      <c r="EY110" s="659">
        <v>755.17</v>
      </c>
      <c r="EZ110" s="783">
        <v>792.26</v>
      </c>
      <c r="FA110" s="659">
        <v>829.4</v>
      </c>
      <c r="FB110" s="659">
        <v>885.25</v>
      </c>
      <c r="FC110" s="659">
        <v>891.33</v>
      </c>
      <c r="FD110" s="659">
        <v>892.76</v>
      </c>
      <c r="FE110" s="659">
        <v>898.28</v>
      </c>
      <c r="FF110" s="659">
        <v>907.2</v>
      </c>
      <c r="FG110" s="659">
        <v>921.39</v>
      </c>
      <c r="FH110" s="659">
        <v>930.2</v>
      </c>
      <c r="FI110" s="659">
        <v>942.12</v>
      </c>
      <c r="FJ110" s="659">
        <v>940.47</v>
      </c>
      <c r="FK110" s="897">
        <v>943.79</v>
      </c>
      <c r="FL110" s="660">
        <v>954.29</v>
      </c>
      <c r="FM110" s="623">
        <v>958.08</v>
      </c>
      <c r="FN110" s="623">
        <v>973.4</v>
      </c>
      <c r="FO110" s="623">
        <v>970.01</v>
      </c>
      <c r="FP110" s="623">
        <v>979.26</v>
      </c>
      <c r="FQ110" s="623">
        <v>979.39</v>
      </c>
      <c r="FR110" s="623">
        <v>982.93</v>
      </c>
      <c r="FS110" s="623">
        <v>986.23</v>
      </c>
      <c r="FT110" s="623">
        <v>995.32</v>
      </c>
      <c r="FU110" s="897">
        <v>1023.73</v>
      </c>
      <c r="FV110" s="1167">
        <f t="shared" si="1"/>
        <v>1.0285435839729935</v>
      </c>
    </row>
    <row r="111" spans="1:178" s="115" customFormat="1" ht="19.5" customHeight="1">
      <c r="A111" s="1546">
        <v>1</v>
      </c>
      <c r="B111" s="408">
        <v>86</v>
      </c>
      <c r="C111" s="621">
        <v>29</v>
      </c>
      <c r="D111" s="622" t="s">
        <v>228</v>
      </c>
      <c r="E111" s="621" t="s">
        <v>918</v>
      </c>
      <c r="F111" s="622"/>
      <c r="G111" s="621" t="s">
        <v>223</v>
      </c>
      <c r="H111" s="621" t="s">
        <v>930</v>
      </c>
      <c r="I111" s="390" t="s">
        <v>197</v>
      </c>
      <c r="J111" s="674"/>
      <c r="K111" s="669">
        <v>96.16</v>
      </c>
      <c r="L111" s="665">
        <v>102.41</v>
      </c>
      <c r="M111" s="625">
        <v>113.89</v>
      </c>
      <c r="N111" s="625">
        <v>125.37</v>
      </c>
      <c r="O111" s="625">
        <v>133.56</v>
      </c>
      <c r="P111" s="625">
        <v>159.34</v>
      </c>
      <c r="Q111" s="625">
        <v>174.27</v>
      </c>
      <c r="R111" s="625">
        <v>177.79</v>
      </c>
      <c r="S111" s="625">
        <v>179.03</v>
      </c>
      <c r="T111" s="625">
        <v>179.21</v>
      </c>
      <c r="U111" s="625">
        <v>180.08</v>
      </c>
      <c r="V111" s="625">
        <v>183.19</v>
      </c>
      <c r="W111" s="625">
        <v>181.75</v>
      </c>
      <c r="X111" s="625">
        <v>179.75</v>
      </c>
      <c r="Y111" s="625">
        <v>178.21</v>
      </c>
      <c r="Z111" s="625">
        <v>178.79</v>
      </c>
      <c r="AA111" s="625">
        <v>177.8</v>
      </c>
      <c r="AB111" s="625">
        <v>177.01</v>
      </c>
      <c r="AC111" s="625">
        <v>176.74</v>
      </c>
      <c r="AD111" s="625">
        <v>177.32</v>
      </c>
      <c r="AE111" s="625">
        <v>177.84</v>
      </c>
      <c r="AF111" s="625">
        <v>176.99</v>
      </c>
      <c r="AG111" s="625">
        <v>176.61</v>
      </c>
      <c r="AH111" s="625">
        <v>177.07</v>
      </c>
      <c r="AI111" s="764">
        <v>178.31</v>
      </c>
      <c r="AJ111" s="772">
        <v>179.53</v>
      </c>
      <c r="AK111" s="625">
        <v>183.2</v>
      </c>
      <c r="AL111" s="625">
        <v>187.02</v>
      </c>
      <c r="AM111" s="625">
        <v>189.58</v>
      </c>
      <c r="AN111" s="625">
        <v>191.94</v>
      </c>
      <c r="AO111" s="625">
        <v>194.23</v>
      </c>
      <c r="AP111" s="625">
        <v>194.62</v>
      </c>
      <c r="AQ111" s="625">
        <v>195.96</v>
      </c>
      <c r="AR111" s="625">
        <v>197.29</v>
      </c>
      <c r="AS111" s="625">
        <v>198.53</v>
      </c>
      <c r="AT111" s="625">
        <v>199.67</v>
      </c>
      <c r="AU111" s="764">
        <v>202.07</v>
      </c>
      <c r="AV111" s="752">
        <v>195.51</v>
      </c>
      <c r="AW111" s="626">
        <v>209.24</v>
      </c>
      <c r="AX111" s="626">
        <v>211.66</v>
      </c>
      <c r="AY111" s="626">
        <v>213.48</v>
      </c>
      <c r="AZ111" s="626">
        <v>214.66</v>
      </c>
      <c r="BA111" s="626">
        <v>215.77</v>
      </c>
      <c r="BB111" s="626">
        <v>218.33</v>
      </c>
      <c r="BC111" s="627">
        <v>219.75</v>
      </c>
      <c r="BD111" s="626">
        <v>222.96</v>
      </c>
      <c r="BE111" s="627">
        <v>225.73</v>
      </c>
      <c r="BF111" s="627">
        <v>226.17</v>
      </c>
      <c r="BG111" s="738">
        <v>230.75</v>
      </c>
      <c r="BH111" s="660">
        <v>234.31</v>
      </c>
      <c r="BI111" s="623">
        <v>235.93</v>
      </c>
      <c r="BJ111" s="623">
        <v>238.18</v>
      </c>
      <c r="BK111" s="623">
        <v>239.48</v>
      </c>
      <c r="BL111" s="623">
        <v>241.79</v>
      </c>
      <c r="BM111" s="623">
        <v>245.25</v>
      </c>
      <c r="BN111" s="623">
        <v>248.01</v>
      </c>
      <c r="BO111" s="623">
        <v>251.87</v>
      </c>
      <c r="BP111" s="623">
        <v>254.65</v>
      </c>
      <c r="BQ111" s="623">
        <v>255.77</v>
      </c>
      <c r="BR111" s="623">
        <v>255.88</v>
      </c>
      <c r="BS111" s="659">
        <v>256.83</v>
      </c>
      <c r="BT111" s="660">
        <v>257.47000000000003</v>
      </c>
      <c r="BU111" s="623">
        <v>260.14999999999998</v>
      </c>
      <c r="BV111" s="623">
        <v>262.92</v>
      </c>
      <c r="BW111" s="623">
        <v>266.02999999999997</v>
      </c>
      <c r="BX111" s="623">
        <v>269.98</v>
      </c>
      <c r="BY111" s="623">
        <v>276.5</v>
      </c>
      <c r="BZ111" s="623">
        <v>278.31</v>
      </c>
      <c r="CA111" s="623">
        <v>285.3</v>
      </c>
      <c r="CB111" s="623">
        <v>287.25</v>
      </c>
      <c r="CC111" s="623">
        <v>290.82</v>
      </c>
      <c r="CD111" s="623">
        <v>294.52</v>
      </c>
      <c r="CE111" s="659">
        <v>297.51</v>
      </c>
      <c r="CF111" s="660">
        <v>302.06</v>
      </c>
      <c r="CG111" s="623">
        <v>305.85000000000002</v>
      </c>
      <c r="CH111" s="623">
        <v>311.14999999999998</v>
      </c>
      <c r="CI111" s="623">
        <v>316.32</v>
      </c>
      <c r="CJ111" s="623">
        <v>318.14</v>
      </c>
      <c r="CK111" s="623">
        <v>325.26</v>
      </c>
      <c r="CL111" s="623">
        <v>330.42</v>
      </c>
      <c r="CM111" s="623">
        <v>333.56</v>
      </c>
      <c r="CN111" s="623">
        <v>336.4</v>
      </c>
      <c r="CO111" s="623">
        <v>339.07</v>
      </c>
      <c r="CP111" s="623">
        <v>341.77</v>
      </c>
      <c r="CQ111" s="659">
        <v>342.65</v>
      </c>
      <c r="CR111" s="660">
        <v>344.18</v>
      </c>
      <c r="CS111" s="623">
        <v>344.29</v>
      </c>
      <c r="CT111" s="623">
        <v>345.6</v>
      </c>
      <c r="CU111" s="623">
        <v>347.1</v>
      </c>
      <c r="CV111" s="623">
        <v>351.16</v>
      </c>
      <c r="CW111" s="623">
        <v>353.79</v>
      </c>
      <c r="CX111" s="623">
        <v>355.96</v>
      </c>
      <c r="CY111" s="623">
        <v>358.57</v>
      </c>
      <c r="CZ111" s="623">
        <v>360.64</v>
      </c>
      <c r="DA111" s="623">
        <v>366.56</v>
      </c>
      <c r="DB111" s="725">
        <v>370.8</v>
      </c>
      <c r="DC111" s="659">
        <v>372.58</v>
      </c>
      <c r="DD111" s="783">
        <v>375.32</v>
      </c>
      <c r="DE111" s="623">
        <v>381.66</v>
      </c>
      <c r="DF111" s="725">
        <v>387.71</v>
      </c>
      <c r="DG111" s="659">
        <v>393.72</v>
      </c>
      <c r="DH111" s="623">
        <v>400.1</v>
      </c>
      <c r="DI111" s="623">
        <v>406.34</v>
      </c>
      <c r="DJ111" s="623">
        <v>409.68</v>
      </c>
      <c r="DK111" s="659">
        <v>413.44</v>
      </c>
      <c r="DL111" s="623">
        <v>418.29</v>
      </c>
      <c r="DM111" s="659">
        <v>423.56</v>
      </c>
      <c r="DN111" s="659">
        <v>428.2</v>
      </c>
      <c r="DO111" s="897">
        <v>433.09</v>
      </c>
      <c r="DP111" s="783">
        <v>436.64</v>
      </c>
      <c r="DQ111" s="659">
        <v>441.57</v>
      </c>
      <c r="DR111" s="659">
        <v>445.29</v>
      </c>
      <c r="DS111" s="659">
        <v>451.31</v>
      </c>
      <c r="DT111" s="623">
        <v>460.7</v>
      </c>
      <c r="DU111" s="659">
        <v>469.05</v>
      </c>
      <c r="DV111" s="659">
        <v>477.92</v>
      </c>
      <c r="DW111" s="659">
        <v>480.47</v>
      </c>
      <c r="DX111" s="659">
        <v>490.71</v>
      </c>
      <c r="DY111" s="659">
        <v>498.65</v>
      </c>
      <c r="DZ111" s="659">
        <v>505.93</v>
      </c>
      <c r="EA111" s="897">
        <v>513.14</v>
      </c>
      <c r="EB111" s="659">
        <v>512.16999999999996</v>
      </c>
      <c r="EC111" s="659">
        <v>518.04</v>
      </c>
      <c r="ED111" s="659">
        <v>521.73</v>
      </c>
      <c r="EE111" s="659">
        <v>524.71</v>
      </c>
      <c r="EF111" s="659">
        <v>535.71</v>
      </c>
      <c r="EG111" s="659">
        <v>541.21</v>
      </c>
      <c r="EH111" s="659">
        <v>549.09</v>
      </c>
      <c r="EI111" s="659">
        <v>553.22</v>
      </c>
      <c r="EJ111" s="659">
        <v>559.66</v>
      </c>
      <c r="EK111" s="623">
        <v>567.66999999999996</v>
      </c>
      <c r="EL111" s="725">
        <v>575.41</v>
      </c>
      <c r="EM111" s="659">
        <v>582.27</v>
      </c>
      <c r="EN111" s="783">
        <v>585.5</v>
      </c>
      <c r="EO111" s="659">
        <v>590.44000000000005</v>
      </c>
      <c r="EP111" s="659">
        <v>595.26</v>
      </c>
      <c r="EQ111" s="659">
        <v>603.30999999999995</v>
      </c>
      <c r="ER111" s="659">
        <v>610.41</v>
      </c>
      <c r="ES111" s="659">
        <v>620.32000000000005</v>
      </c>
      <c r="ET111" s="659">
        <v>633.65</v>
      </c>
      <c r="EU111" s="659">
        <v>641.38</v>
      </c>
      <c r="EV111" s="659">
        <v>649.63</v>
      </c>
      <c r="EW111" s="659">
        <v>655.08000000000004</v>
      </c>
      <c r="EX111" s="659">
        <v>661.61</v>
      </c>
      <c r="EY111" s="659">
        <v>671.05</v>
      </c>
      <c r="EZ111" s="783">
        <v>699.99</v>
      </c>
      <c r="FA111" s="659">
        <v>747.93</v>
      </c>
      <c r="FB111" s="659">
        <v>771.14</v>
      </c>
      <c r="FC111" s="659">
        <v>792.06</v>
      </c>
      <c r="FD111" s="659">
        <v>801.54</v>
      </c>
      <c r="FE111" s="659">
        <v>816.81</v>
      </c>
      <c r="FF111" s="659">
        <v>833.98</v>
      </c>
      <c r="FG111" s="659">
        <v>850.7</v>
      </c>
      <c r="FH111" s="659">
        <v>858.46</v>
      </c>
      <c r="FI111" s="659">
        <v>867.8</v>
      </c>
      <c r="FJ111" s="659">
        <v>879.55</v>
      </c>
      <c r="FK111" s="897">
        <v>891.27</v>
      </c>
      <c r="FL111" s="660">
        <v>903.12</v>
      </c>
      <c r="FM111" s="623">
        <v>907.26</v>
      </c>
      <c r="FN111" s="623">
        <v>926.46</v>
      </c>
      <c r="FO111" s="623">
        <v>933.82</v>
      </c>
      <c r="FP111" s="623">
        <v>952.35</v>
      </c>
      <c r="FQ111" s="623">
        <v>969.41</v>
      </c>
      <c r="FR111" s="623">
        <v>980.58</v>
      </c>
      <c r="FS111" s="623">
        <v>1009.52</v>
      </c>
      <c r="FT111" s="623">
        <v>1027.55</v>
      </c>
      <c r="FU111" s="897">
        <v>1040.8699999999999</v>
      </c>
      <c r="FV111" s="1167">
        <f t="shared" si="1"/>
        <v>1.0129628728529025</v>
      </c>
    </row>
    <row r="112" spans="1:178" s="115" customFormat="1" ht="23.25" customHeight="1">
      <c r="A112" s="1546">
        <v>1</v>
      </c>
      <c r="B112" s="408">
        <v>87</v>
      </c>
      <c r="C112" s="621">
        <v>29</v>
      </c>
      <c r="D112" s="622" t="s">
        <v>230</v>
      </c>
      <c r="E112" s="621" t="s">
        <v>918</v>
      </c>
      <c r="F112" s="622"/>
      <c r="G112" s="621" t="s">
        <v>223</v>
      </c>
      <c r="H112" s="621" t="s">
        <v>229</v>
      </c>
      <c r="I112" s="390" t="s">
        <v>198</v>
      </c>
      <c r="J112" s="676"/>
      <c r="K112" s="669">
        <v>86.98</v>
      </c>
      <c r="L112" s="665">
        <v>96.77</v>
      </c>
      <c r="M112" s="625">
        <v>124.1</v>
      </c>
      <c r="N112" s="625">
        <v>151.43</v>
      </c>
      <c r="O112" s="625">
        <v>177.29</v>
      </c>
      <c r="P112" s="625">
        <v>233.84</v>
      </c>
      <c r="Q112" s="625">
        <v>250.46</v>
      </c>
      <c r="R112" s="625">
        <v>254.83</v>
      </c>
      <c r="S112" s="625">
        <v>274.5</v>
      </c>
      <c r="T112" s="625">
        <v>269.93</v>
      </c>
      <c r="U112" s="625">
        <v>270.97000000000003</v>
      </c>
      <c r="V112" s="625">
        <v>245.33</v>
      </c>
      <c r="W112" s="625">
        <v>240.5</v>
      </c>
      <c r="X112" s="625">
        <v>235.25</v>
      </c>
      <c r="Y112" s="625">
        <v>232.29</v>
      </c>
      <c r="Z112" s="625">
        <v>219.12</v>
      </c>
      <c r="AA112" s="625">
        <v>208.84</v>
      </c>
      <c r="AB112" s="625">
        <v>201.61</v>
      </c>
      <c r="AC112" s="625">
        <v>199.82</v>
      </c>
      <c r="AD112" s="625">
        <v>195.1</v>
      </c>
      <c r="AE112" s="625">
        <v>200.55</v>
      </c>
      <c r="AF112" s="625">
        <v>200.67</v>
      </c>
      <c r="AG112" s="625">
        <v>197.49</v>
      </c>
      <c r="AH112" s="625">
        <v>198.58</v>
      </c>
      <c r="AI112" s="764">
        <v>203.2</v>
      </c>
      <c r="AJ112" s="772">
        <v>201.71</v>
      </c>
      <c r="AK112" s="625">
        <v>202.78</v>
      </c>
      <c r="AL112" s="625">
        <v>201.87</v>
      </c>
      <c r="AM112" s="625">
        <v>197.8</v>
      </c>
      <c r="AN112" s="625">
        <v>201.36</v>
      </c>
      <c r="AO112" s="625">
        <v>203.29</v>
      </c>
      <c r="AP112" s="625">
        <v>202</v>
      </c>
      <c r="AQ112" s="625">
        <v>205.35</v>
      </c>
      <c r="AR112" s="625">
        <v>201.39</v>
      </c>
      <c r="AS112" s="625">
        <v>200.73</v>
      </c>
      <c r="AT112" s="625">
        <v>200.83</v>
      </c>
      <c r="AU112" s="764">
        <v>202.68</v>
      </c>
      <c r="AV112" s="752">
        <v>201.91</v>
      </c>
      <c r="AW112" s="626">
        <v>200.03</v>
      </c>
      <c r="AX112" s="626">
        <v>201.18</v>
      </c>
      <c r="AY112" s="626">
        <v>201.25</v>
      </c>
      <c r="AZ112" s="626">
        <v>201.16</v>
      </c>
      <c r="BA112" s="626">
        <v>199.75</v>
      </c>
      <c r="BB112" s="626">
        <v>199.21</v>
      </c>
      <c r="BC112" s="627">
        <v>200.06</v>
      </c>
      <c r="BD112" s="626">
        <v>200.96</v>
      </c>
      <c r="BE112" s="627">
        <v>202.99</v>
      </c>
      <c r="BF112" s="627">
        <v>203.01</v>
      </c>
      <c r="BG112" s="738">
        <v>205.3</v>
      </c>
      <c r="BH112" s="660">
        <v>207.32</v>
      </c>
      <c r="BI112" s="623">
        <v>208.67</v>
      </c>
      <c r="BJ112" s="623">
        <v>210.06</v>
      </c>
      <c r="BK112" s="623">
        <v>205.17</v>
      </c>
      <c r="BL112" s="623">
        <v>205.6</v>
      </c>
      <c r="BM112" s="623">
        <v>205.98</v>
      </c>
      <c r="BN112" s="623">
        <v>207.15</v>
      </c>
      <c r="BO112" s="623">
        <v>210.4</v>
      </c>
      <c r="BP112" s="623">
        <v>211.75</v>
      </c>
      <c r="BQ112" s="623">
        <v>209.37</v>
      </c>
      <c r="BR112" s="623">
        <v>205.57</v>
      </c>
      <c r="BS112" s="659">
        <v>205.82</v>
      </c>
      <c r="BT112" s="660">
        <v>206.59</v>
      </c>
      <c r="BU112" s="623">
        <v>209</v>
      </c>
      <c r="BV112" s="623">
        <v>207.55</v>
      </c>
      <c r="BW112" s="623">
        <v>208.09</v>
      </c>
      <c r="BX112" s="623">
        <v>210.07</v>
      </c>
      <c r="BY112" s="623">
        <v>210.61</v>
      </c>
      <c r="BZ112" s="623">
        <v>211.83</v>
      </c>
      <c r="CA112" s="623">
        <v>214.05</v>
      </c>
      <c r="CB112" s="623">
        <v>213.93</v>
      </c>
      <c r="CC112" s="623">
        <v>215.54</v>
      </c>
      <c r="CD112" s="623">
        <v>215.07</v>
      </c>
      <c r="CE112" s="659">
        <v>217.04</v>
      </c>
      <c r="CF112" s="660">
        <v>215.69</v>
      </c>
      <c r="CG112" s="623">
        <v>220.42</v>
      </c>
      <c r="CH112" s="623">
        <v>221.77</v>
      </c>
      <c r="CI112" s="623">
        <v>225.23</v>
      </c>
      <c r="CJ112" s="623">
        <v>226.13</v>
      </c>
      <c r="CK112" s="623">
        <v>224.52</v>
      </c>
      <c r="CL112" s="623">
        <v>224.32</v>
      </c>
      <c r="CM112" s="623">
        <v>225.54</v>
      </c>
      <c r="CN112" s="623">
        <v>225.71</v>
      </c>
      <c r="CO112" s="623">
        <v>230.59</v>
      </c>
      <c r="CP112" s="623">
        <v>231.96</v>
      </c>
      <c r="CQ112" s="659">
        <v>235.11</v>
      </c>
      <c r="CR112" s="660">
        <v>236.1</v>
      </c>
      <c r="CS112" s="623">
        <v>239.19</v>
      </c>
      <c r="CT112" s="623">
        <v>243.08</v>
      </c>
      <c r="CU112" s="623">
        <v>246.93</v>
      </c>
      <c r="CV112" s="623">
        <v>248.53</v>
      </c>
      <c r="CW112" s="623">
        <v>248.84</v>
      </c>
      <c r="CX112" s="623">
        <v>250.02</v>
      </c>
      <c r="CY112" s="623">
        <v>253.12</v>
      </c>
      <c r="CZ112" s="623">
        <v>254.32</v>
      </c>
      <c r="DA112" s="623">
        <v>255.29</v>
      </c>
      <c r="DB112" s="725">
        <v>255.08</v>
      </c>
      <c r="DC112" s="659">
        <v>255.21</v>
      </c>
      <c r="DD112" s="783">
        <v>256.14</v>
      </c>
      <c r="DE112" s="623">
        <v>258.68</v>
      </c>
      <c r="DF112" s="725">
        <v>259.64</v>
      </c>
      <c r="DG112" s="659">
        <v>260.64</v>
      </c>
      <c r="DH112" s="623">
        <v>263.70999999999998</v>
      </c>
      <c r="DI112" s="623">
        <v>263.48</v>
      </c>
      <c r="DJ112" s="623">
        <v>265.2</v>
      </c>
      <c r="DK112" s="659">
        <v>265.69</v>
      </c>
      <c r="DL112" s="623">
        <v>267.23</v>
      </c>
      <c r="DM112" s="659">
        <v>271.48</v>
      </c>
      <c r="DN112" s="659">
        <v>271.63</v>
      </c>
      <c r="DO112" s="897">
        <v>272.07</v>
      </c>
      <c r="DP112" s="783">
        <v>273.76</v>
      </c>
      <c r="DQ112" s="659">
        <v>275.47000000000003</v>
      </c>
      <c r="DR112" s="659">
        <v>274.87</v>
      </c>
      <c r="DS112" s="659">
        <v>277.68</v>
      </c>
      <c r="DT112" s="623">
        <v>278.39999999999998</v>
      </c>
      <c r="DU112" s="659">
        <v>280.92</v>
      </c>
      <c r="DV112" s="659">
        <v>283.97000000000003</v>
      </c>
      <c r="DW112" s="659">
        <v>285.57</v>
      </c>
      <c r="DX112" s="659">
        <v>286.70999999999998</v>
      </c>
      <c r="DY112" s="659">
        <v>287.63</v>
      </c>
      <c r="DZ112" s="659">
        <v>287.57</v>
      </c>
      <c r="EA112" s="897">
        <v>290.86</v>
      </c>
      <c r="EB112" s="659">
        <v>292.23</v>
      </c>
      <c r="EC112" s="659">
        <v>292.87</v>
      </c>
      <c r="ED112" s="659">
        <v>298.32</v>
      </c>
      <c r="EE112" s="659">
        <v>301.19</v>
      </c>
      <c r="EF112" s="659">
        <v>302.73</v>
      </c>
      <c r="EG112" s="659">
        <v>304.72000000000003</v>
      </c>
      <c r="EH112" s="659">
        <v>310.02999999999997</v>
      </c>
      <c r="EI112" s="659">
        <v>312.56</v>
      </c>
      <c r="EJ112" s="659">
        <v>315.41000000000003</v>
      </c>
      <c r="EK112" s="623">
        <v>317.06</v>
      </c>
      <c r="EL112" s="725">
        <v>319.25</v>
      </c>
      <c r="EM112" s="659">
        <v>321.04000000000002</v>
      </c>
      <c r="EN112" s="783">
        <v>325.05</v>
      </c>
      <c r="EO112" s="659">
        <v>328.3</v>
      </c>
      <c r="EP112" s="659">
        <v>331.02</v>
      </c>
      <c r="EQ112" s="659">
        <v>335.58</v>
      </c>
      <c r="ER112" s="659">
        <v>339.63</v>
      </c>
      <c r="ES112" s="659">
        <v>342.3</v>
      </c>
      <c r="ET112" s="659">
        <v>344.58</v>
      </c>
      <c r="EU112" s="659">
        <v>347.78</v>
      </c>
      <c r="EV112" s="659">
        <v>351.2</v>
      </c>
      <c r="EW112" s="659">
        <v>352.67</v>
      </c>
      <c r="EX112" s="659">
        <v>355.11</v>
      </c>
      <c r="EY112" s="659">
        <v>363.37</v>
      </c>
      <c r="EZ112" s="783">
        <v>373.45</v>
      </c>
      <c r="FA112" s="659">
        <v>401.96</v>
      </c>
      <c r="FB112" s="659">
        <v>410.44</v>
      </c>
      <c r="FC112" s="659">
        <v>413.52</v>
      </c>
      <c r="FD112" s="659">
        <v>415.78</v>
      </c>
      <c r="FE112" s="659">
        <v>418.81</v>
      </c>
      <c r="FF112" s="659">
        <v>417.62</v>
      </c>
      <c r="FG112" s="659">
        <v>432.32</v>
      </c>
      <c r="FH112" s="659">
        <v>437.15</v>
      </c>
      <c r="FI112" s="659">
        <v>441.84</v>
      </c>
      <c r="FJ112" s="659">
        <v>447.45</v>
      </c>
      <c r="FK112" s="897">
        <v>448.27</v>
      </c>
      <c r="FL112" s="660">
        <v>451.33</v>
      </c>
      <c r="FM112" s="623">
        <v>453.1</v>
      </c>
      <c r="FN112" s="623">
        <v>464.05</v>
      </c>
      <c r="FO112" s="623">
        <v>479.19</v>
      </c>
      <c r="FP112" s="623">
        <v>488.94</v>
      </c>
      <c r="FQ112" s="623">
        <v>499.36</v>
      </c>
      <c r="FR112" s="623">
        <v>508.36</v>
      </c>
      <c r="FS112" s="623">
        <v>517.79</v>
      </c>
      <c r="FT112" s="623">
        <v>519.94000000000005</v>
      </c>
      <c r="FU112" s="897">
        <v>526.96</v>
      </c>
      <c r="FV112" s="1167">
        <f t="shared" si="1"/>
        <v>1.0135015578720621</v>
      </c>
    </row>
    <row r="113" spans="1:178" s="115" customFormat="1" ht="18.95" customHeight="1">
      <c r="A113" s="1546">
        <v>1</v>
      </c>
      <c r="B113" s="408">
        <v>88</v>
      </c>
      <c r="C113" s="621" t="s">
        <v>461</v>
      </c>
      <c r="D113" s="622" t="s">
        <v>232</v>
      </c>
      <c r="E113" s="621" t="s">
        <v>233</v>
      </c>
      <c r="F113" s="621" t="s">
        <v>234</v>
      </c>
      <c r="G113" s="621" t="s">
        <v>737</v>
      </c>
      <c r="H113" s="621" t="s">
        <v>930</v>
      </c>
      <c r="I113" s="390" t="s">
        <v>921</v>
      </c>
      <c r="J113" s="676" t="s">
        <v>235</v>
      </c>
      <c r="K113" s="669">
        <v>2.2799999999999998</v>
      </c>
      <c r="L113" s="728">
        <v>2.2799999999999998</v>
      </c>
      <c r="M113" s="729">
        <v>2.2799999999999998</v>
      </c>
      <c r="N113" s="729">
        <v>2.2799999999999998</v>
      </c>
      <c r="O113" s="729">
        <v>2.2799999999999998</v>
      </c>
      <c r="P113" s="729">
        <v>2.82</v>
      </c>
      <c r="Q113" s="729">
        <v>2.82</v>
      </c>
      <c r="R113" s="729">
        <v>2.82</v>
      </c>
      <c r="S113" s="729">
        <v>2.82</v>
      </c>
      <c r="T113" s="729">
        <v>3.27</v>
      </c>
      <c r="U113" s="729">
        <v>3.27</v>
      </c>
      <c r="V113" s="729">
        <v>3.27</v>
      </c>
      <c r="W113" s="729">
        <v>3.27</v>
      </c>
      <c r="X113" s="729">
        <v>3.27</v>
      </c>
      <c r="Y113" s="729">
        <v>3.27</v>
      </c>
      <c r="Z113" s="729">
        <v>3.27</v>
      </c>
      <c r="AA113" s="729">
        <v>3.27</v>
      </c>
      <c r="AB113" s="729">
        <v>3.27</v>
      </c>
      <c r="AC113" s="729">
        <v>3.27</v>
      </c>
      <c r="AD113" s="729">
        <v>3.27</v>
      </c>
      <c r="AE113" s="729">
        <v>3.27</v>
      </c>
      <c r="AF113" s="729">
        <v>3.27</v>
      </c>
      <c r="AG113" s="729">
        <v>3.3</v>
      </c>
      <c r="AH113" s="729">
        <v>3.3</v>
      </c>
      <c r="AI113" s="767">
        <v>3.3</v>
      </c>
      <c r="AJ113" s="775">
        <v>3.3</v>
      </c>
      <c r="AK113" s="729">
        <v>3.3</v>
      </c>
      <c r="AL113" s="729">
        <v>3.3</v>
      </c>
      <c r="AM113" s="729">
        <v>3.3</v>
      </c>
      <c r="AN113" s="729">
        <v>3.3</v>
      </c>
      <c r="AO113" s="729">
        <v>3.3</v>
      </c>
      <c r="AP113" s="729">
        <v>3.56</v>
      </c>
      <c r="AQ113" s="729">
        <v>3.56</v>
      </c>
      <c r="AR113" s="729">
        <v>3.56</v>
      </c>
      <c r="AS113" s="729">
        <v>3.56</v>
      </c>
      <c r="AT113" s="729">
        <v>3.64</v>
      </c>
      <c r="AU113" s="767">
        <v>3.64</v>
      </c>
      <c r="AV113" s="770">
        <v>3.64</v>
      </c>
      <c r="AW113" s="730">
        <v>3.64</v>
      </c>
      <c r="AX113" s="730">
        <v>3.74</v>
      </c>
      <c r="AY113" s="730">
        <v>3.74</v>
      </c>
      <c r="AZ113" s="730">
        <v>3.74</v>
      </c>
      <c r="BA113" s="730">
        <v>3.86</v>
      </c>
      <c r="BB113" s="730">
        <v>3.86</v>
      </c>
      <c r="BC113" s="731">
        <v>3.86</v>
      </c>
      <c r="BD113" s="730">
        <v>4.01</v>
      </c>
      <c r="BE113" s="731">
        <v>4.01</v>
      </c>
      <c r="BF113" s="731">
        <v>4.01</v>
      </c>
      <c r="BG113" s="757">
        <v>4.01</v>
      </c>
      <c r="BH113" s="755">
        <v>4.01</v>
      </c>
      <c r="BI113" s="732">
        <v>4.1900000000000004</v>
      </c>
      <c r="BJ113" s="732">
        <v>4.1900000000000004</v>
      </c>
      <c r="BK113" s="732">
        <v>4.1900000000000004</v>
      </c>
      <c r="BL113" s="732">
        <v>4.5199999999999996</v>
      </c>
      <c r="BM113" s="732">
        <v>4.5199999999999996</v>
      </c>
      <c r="BN113" s="732">
        <v>4.6900000000000004</v>
      </c>
      <c r="BO113" s="732">
        <v>4.6900000000000004</v>
      </c>
      <c r="BP113" s="732">
        <v>4.6900000000000004</v>
      </c>
      <c r="BQ113" s="732">
        <v>4.6900000000000004</v>
      </c>
      <c r="BR113" s="732">
        <v>4.92</v>
      </c>
      <c r="BS113" s="753">
        <v>4.92</v>
      </c>
      <c r="BT113" s="755">
        <v>4.92</v>
      </c>
      <c r="BU113" s="732">
        <v>4.92</v>
      </c>
      <c r="BV113" s="732">
        <v>5.07</v>
      </c>
      <c r="BW113" s="732">
        <v>5.07</v>
      </c>
      <c r="BX113" s="732">
        <v>5.31</v>
      </c>
      <c r="BY113" s="732">
        <v>5.31</v>
      </c>
      <c r="BZ113" s="732">
        <v>5.31</v>
      </c>
      <c r="CA113" s="732">
        <v>5.31</v>
      </c>
      <c r="CB113" s="732">
        <v>5.31</v>
      </c>
      <c r="CC113" s="732">
        <v>5.31</v>
      </c>
      <c r="CD113" s="732">
        <v>5.31</v>
      </c>
      <c r="CE113" s="753">
        <v>5.31</v>
      </c>
      <c r="CF113" s="755">
        <v>5.31</v>
      </c>
      <c r="CG113" s="732">
        <v>5.31</v>
      </c>
      <c r="CH113" s="732">
        <v>5.31</v>
      </c>
      <c r="CI113" s="732">
        <v>5.31</v>
      </c>
      <c r="CJ113" s="732">
        <v>6.76</v>
      </c>
      <c r="CK113" s="732">
        <v>6.76</v>
      </c>
      <c r="CL113" s="732">
        <v>6.76</v>
      </c>
      <c r="CM113" s="732">
        <v>6.76</v>
      </c>
      <c r="CN113" s="623">
        <v>6.76</v>
      </c>
      <c r="CO113" s="732">
        <v>7.17</v>
      </c>
      <c r="CP113" s="732">
        <v>7.45</v>
      </c>
      <c r="CQ113" s="659">
        <v>7.45</v>
      </c>
      <c r="CR113" s="660">
        <v>7.45</v>
      </c>
      <c r="CS113" s="623">
        <v>7.45</v>
      </c>
      <c r="CT113" s="623">
        <v>8.06</v>
      </c>
      <c r="CU113" s="623">
        <v>8.06</v>
      </c>
      <c r="CV113" s="623">
        <v>8.06</v>
      </c>
      <c r="CW113" s="623">
        <v>8.06</v>
      </c>
      <c r="CX113" s="623">
        <v>8.3000000000000007</v>
      </c>
      <c r="CY113" s="623">
        <v>8.3000000000000007</v>
      </c>
      <c r="CZ113" s="623">
        <v>8.3000000000000007</v>
      </c>
      <c r="DA113" s="623">
        <v>8.3000000000000007</v>
      </c>
      <c r="DB113" s="725">
        <v>8.3000000000000007</v>
      </c>
      <c r="DC113" s="659">
        <v>8.3000000000000007</v>
      </c>
      <c r="DD113" s="783">
        <v>8.3000000000000007</v>
      </c>
      <c r="DE113" s="623">
        <v>8.3000000000000007</v>
      </c>
      <c r="DF113" s="725">
        <v>8.3000000000000007</v>
      </c>
      <c r="DG113" s="659">
        <v>8.3000000000000007</v>
      </c>
      <c r="DH113" s="623">
        <v>8.3000000000000007</v>
      </c>
      <c r="DI113" s="623">
        <v>8.3000000000000007</v>
      </c>
      <c r="DJ113" s="623">
        <v>8.3000000000000007</v>
      </c>
      <c r="DK113" s="659">
        <v>9.24</v>
      </c>
      <c r="DL113" s="623">
        <v>9.24</v>
      </c>
      <c r="DM113" s="659">
        <v>9.24</v>
      </c>
      <c r="DN113" s="659">
        <v>9.24</v>
      </c>
      <c r="DO113" s="897">
        <v>9.24</v>
      </c>
      <c r="DP113" s="783">
        <v>9.24</v>
      </c>
      <c r="DQ113" s="659">
        <v>9.24</v>
      </c>
      <c r="DR113" s="659">
        <v>10.29</v>
      </c>
      <c r="DS113" s="659">
        <v>10.47</v>
      </c>
      <c r="DT113" s="623">
        <v>10.47</v>
      </c>
      <c r="DU113" s="659">
        <v>10.51</v>
      </c>
      <c r="DV113" s="659">
        <v>10.51</v>
      </c>
      <c r="DW113" s="659">
        <v>10.68</v>
      </c>
      <c r="DX113" s="659">
        <v>10.68</v>
      </c>
      <c r="DY113" s="659">
        <v>10.68</v>
      </c>
      <c r="DZ113" s="659">
        <v>11.18</v>
      </c>
      <c r="EA113" s="897">
        <v>11.81</v>
      </c>
      <c r="EB113" s="659">
        <v>11.81</v>
      </c>
      <c r="EC113" s="659">
        <v>11.81</v>
      </c>
      <c r="ED113" s="659">
        <v>11.81</v>
      </c>
      <c r="EE113" s="659">
        <v>11.81</v>
      </c>
      <c r="EF113" s="659">
        <v>14.23</v>
      </c>
      <c r="EG113" s="659">
        <v>14.23</v>
      </c>
      <c r="EH113" s="659">
        <v>14.23</v>
      </c>
      <c r="EI113" s="659">
        <v>14.23</v>
      </c>
      <c r="EJ113" s="659">
        <v>15.46</v>
      </c>
      <c r="EK113" s="623">
        <v>15.46</v>
      </c>
      <c r="EL113" s="725">
        <v>16.27</v>
      </c>
      <c r="EM113" s="659">
        <v>16.27</v>
      </c>
      <c r="EN113" s="783">
        <v>16.27</v>
      </c>
      <c r="EO113" s="659">
        <v>16.940000000000001</v>
      </c>
      <c r="EP113" s="659">
        <v>17.239999999999998</v>
      </c>
      <c r="EQ113" s="659">
        <v>17.239999999999998</v>
      </c>
      <c r="ER113" s="659">
        <v>18.489999999999998</v>
      </c>
      <c r="ES113" s="659">
        <v>18.489999999999998</v>
      </c>
      <c r="ET113" s="659">
        <v>19.66</v>
      </c>
      <c r="EU113" s="659">
        <v>19.66</v>
      </c>
      <c r="EV113" s="659">
        <v>19.66</v>
      </c>
      <c r="EW113" s="659">
        <v>19.66</v>
      </c>
      <c r="EX113" s="659">
        <v>20.82</v>
      </c>
      <c r="EY113" s="659">
        <v>20.82</v>
      </c>
      <c r="EZ113" s="783">
        <v>22.62</v>
      </c>
      <c r="FA113" s="659">
        <v>22.62</v>
      </c>
      <c r="FB113" s="659">
        <v>23.09</v>
      </c>
      <c r="FC113" s="659">
        <v>24.84</v>
      </c>
      <c r="FD113" s="1526">
        <v>25.14</v>
      </c>
      <c r="FE113" s="1526">
        <v>26.19</v>
      </c>
      <c r="FF113" s="1526">
        <v>26.19</v>
      </c>
      <c r="FG113" s="659">
        <v>47.52</v>
      </c>
      <c r="FH113" s="1526">
        <v>47.52</v>
      </c>
      <c r="FI113" s="1526">
        <v>49.7</v>
      </c>
      <c r="FJ113" s="659">
        <v>50.59</v>
      </c>
      <c r="FK113" s="897">
        <v>56.59</v>
      </c>
      <c r="FL113" s="660">
        <v>56.59</v>
      </c>
      <c r="FM113" s="623">
        <v>57.11</v>
      </c>
      <c r="FN113" s="623">
        <v>60.28</v>
      </c>
      <c r="FO113" s="623">
        <v>61.57</v>
      </c>
      <c r="FP113" s="623">
        <v>61.57</v>
      </c>
      <c r="FQ113" s="623">
        <v>64.150000000000006</v>
      </c>
      <c r="FR113" s="623">
        <v>64.150000000000006</v>
      </c>
      <c r="FS113" s="623">
        <v>69.180000000000007</v>
      </c>
      <c r="FT113" s="623">
        <v>69.180000000000007</v>
      </c>
      <c r="FU113" s="897">
        <v>69.180000000000007</v>
      </c>
      <c r="FV113" s="1167">
        <f t="shared" si="1"/>
        <v>1</v>
      </c>
    </row>
    <row r="114" spans="1:178" s="1075" customFormat="1" ht="33.75" hidden="1" customHeight="1">
      <c r="A114" s="1547">
        <v>1</v>
      </c>
      <c r="B114" s="1059">
        <v>89</v>
      </c>
      <c r="C114" s="1068" t="s">
        <v>236</v>
      </c>
      <c r="D114" s="1058" t="s">
        <v>237</v>
      </c>
      <c r="E114" s="1039" t="s">
        <v>918</v>
      </c>
      <c r="F114" s="1058"/>
      <c r="G114" s="1039" t="s">
        <v>515</v>
      </c>
      <c r="H114" s="1039"/>
      <c r="I114" s="1057" t="s">
        <v>83</v>
      </c>
      <c r="J114" s="1069" t="s">
        <v>770</v>
      </c>
      <c r="K114" s="1041">
        <v>100</v>
      </c>
      <c r="L114" s="1042">
        <v>134</v>
      </c>
      <c r="M114" s="1043">
        <v>168</v>
      </c>
      <c r="N114" s="1043">
        <v>217</v>
      </c>
      <c r="O114" s="1043">
        <v>237</v>
      </c>
      <c r="P114" s="1043">
        <v>273</v>
      </c>
      <c r="Q114" s="1043">
        <v>294</v>
      </c>
      <c r="R114" s="1043">
        <v>292</v>
      </c>
      <c r="S114" s="1043">
        <v>291</v>
      </c>
      <c r="T114" s="1043">
        <v>294</v>
      </c>
      <c r="U114" s="1043">
        <v>286</v>
      </c>
      <c r="V114" s="1043">
        <v>292</v>
      </c>
      <c r="W114" s="1043">
        <v>282</v>
      </c>
      <c r="X114" s="1043">
        <v>281</v>
      </c>
      <c r="Y114" s="1043">
        <v>250</v>
      </c>
      <c r="Z114" s="1043">
        <v>244</v>
      </c>
      <c r="AA114" s="1043">
        <v>241</v>
      </c>
      <c r="AB114" s="1043">
        <v>240</v>
      </c>
      <c r="AC114" s="1043">
        <v>237</v>
      </c>
      <c r="AD114" s="1043">
        <v>235</v>
      </c>
      <c r="AE114" s="1043">
        <v>240</v>
      </c>
      <c r="AF114" s="1043">
        <v>235</v>
      </c>
      <c r="AG114" s="1043">
        <v>238</v>
      </c>
      <c r="AH114" s="1043">
        <v>253</v>
      </c>
      <c r="AI114" s="1044">
        <v>206</v>
      </c>
      <c r="AJ114" s="1045">
        <v>269</v>
      </c>
      <c r="AK114" s="1043">
        <v>269</v>
      </c>
      <c r="AL114" s="1043">
        <v>250.6</v>
      </c>
      <c r="AM114" s="1043">
        <v>255.1</v>
      </c>
      <c r="AN114" s="1043">
        <v>260</v>
      </c>
      <c r="AO114" s="1043">
        <v>261.8</v>
      </c>
      <c r="AP114" s="1043">
        <v>262.10000000000002</v>
      </c>
      <c r="AQ114" s="1043">
        <v>268.5</v>
      </c>
      <c r="AR114" s="1043">
        <v>279.8</v>
      </c>
      <c r="AS114" s="1043">
        <v>279.8</v>
      </c>
      <c r="AT114" s="1043">
        <v>268.5</v>
      </c>
      <c r="AU114" s="1044">
        <v>279</v>
      </c>
      <c r="AV114" s="1046">
        <v>273.3</v>
      </c>
      <c r="AW114" s="1047">
        <v>272.7</v>
      </c>
      <c r="AX114" s="1047">
        <v>272.7</v>
      </c>
      <c r="AY114" s="1047">
        <v>272</v>
      </c>
      <c r="AZ114" s="1047">
        <v>273</v>
      </c>
      <c r="BA114" s="1047">
        <v>265.8</v>
      </c>
      <c r="BB114" s="1047">
        <v>265.8</v>
      </c>
      <c r="BC114" s="1048">
        <v>316.5</v>
      </c>
      <c r="BD114" s="1047">
        <v>320.60000000000002</v>
      </c>
      <c r="BE114" s="1047">
        <v>314.39999999999998</v>
      </c>
      <c r="BF114" s="1047">
        <v>278.3</v>
      </c>
      <c r="BG114" s="1049">
        <v>320</v>
      </c>
      <c r="BH114" s="1050">
        <v>325.7</v>
      </c>
      <c r="BI114" s="1051">
        <v>307.55</v>
      </c>
      <c r="BJ114" s="1051">
        <v>316.60000000000002</v>
      </c>
      <c r="BK114" s="1051">
        <v>344.8</v>
      </c>
      <c r="BL114" s="1051">
        <v>348.5</v>
      </c>
      <c r="BM114" s="1051">
        <v>370</v>
      </c>
      <c r="BN114" s="1051">
        <v>371</v>
      </c>
      <c r="BO114" s="1051">
        <v>371.5</v>
      </c>
      <c r="BP114" s="1051">
        <v>372</v>
      </c>
      <c r="BQ114" s="1051">
        <v>393.2</v>
      </c>
      <c r="BR114" s="1051">
        <v>393.2</v>
      </c>
      <c r="BS114" s="1052">
        <v>393.2</v>
      </c>
      <c r="BT114" s="1050">
        <v>393.2</v>
      </c>
      <c r="BU114" s="1051">
        <v>393.2</v>
      </c>
      <c r="BV114" s="1051">
        <v>393.2</v>
      </c>
      <c r="BW114" s="1051">
        <v>389.81799999999998</v>
      </c>
      <c r="BX114" s="1051">
        <v>396.54199999999997</v>
      </c>
      <c r="BY114" s="1051">
        <v>417.65699999999998</v>
      </c>
      <c r="BZ114" s="1051">
        <v>420.88099999999997</v>
      </c>
      <c r="CA114" s="1051">
        <v>436.767</v>
      </c>
      <c r="CB114" s="1051">
        <v>444.19799999999998</v>
      </c>
      <c r="CC114" s="1051">
        <v>451.66899999999998</v>
      </c>
      <c r="CD114" s="1051">
        <v>451.66899999999998</v>
      </c>
      <c r="CE114" s="1052">
        <f>+'ANEXO I CADIEEL'!CE16</f>
        <v>463.77940000000001</v>
      </c>
      <c r="CF114" s="1050">
        <f>+'ANEXO I CADIEEL'!CF16</f>
        <v>484.10784000000001</v>
      </c>
      <c r="CG114" s="1051">
        <f>+'ANEXO I CADIEEL'!CG16</f>
        <v>492.95483999999999</v>
      </c>
      <c r="CH114" s="1051">
        <f>'ANEXO I CADIEEL'!CH16</f>
        <v>498.30236000000002</v>
      </c>
      <c r="CI114" s="1051">
        <f>'ANEXO I CADIEEL'!CI16</f>
        <v>518.8273999999999</v>
      </c>
      <c r="CJ114" s="1051">
        <f>'ANEXO I CADIEEL'!CJ16</f>
        <v>527.87099999999998</v>
      </c>
      <c r="CK114" s="1051">
        <f>'ANEXO I CADIEEL'!CK16</f>
        <v>538.17283999999995</v>
      </c>
      <c r="CL114" s="1051">
        <f>'ANEXO I CADIEEL'!CL16</f>
        <v>543.52035999999998</v>
      </c>
      <c r="CM114" s="1051">
        <f>'ANEXO I CADIEEL'!CM16</f>
        <v>550.63727999999992</v>
      </c>
      <c r="CN114" s="1051">
        <f>'ANEXO I CADIEEL'!CN16</f>
        <v>551.62027999999987</v>
      </c>
      <c r="CO114" s="1051">
        <f>'ANEXO I CADIEEL'!CO16</f>
        <v>551.62027999999987</v>
      </c>
      <c r="CP114" s="1051">
        <f>+CO114</f>
        <v>551.62027999999987</v>
      </c>
      <c r="CQ114" s="1052">
        <f>'ANEXO I CADIEEL'!CQ16</f>
        <v>565.81479999999999</v>
      </c>
      <c r="CR114" s="1050">
        <f>'ANEXO I CADIEEL'!CR16</f>
        <v>565.81479999999999</v>
      </c>
      <c r="CS114" s="1051">
        <f>'ANEXO I CADIEEL'!CS16</f>
        <v>550.55864000000008</v>
      </c>
      <c r="CT114" s="1070" t="s">
        <v>524</v>
      </c>
      <c r="CU114" s="1070" t="s">
        <v>524</v>
      </c>
      <c r="CV114" s="1070" t="s">
        <v>524</v>
      </c>
      <c r="CW114" s="1070" t="s">
        <v>524</v>
      </c>
      <c r="CX114" s="1070" t="s">
        <v>524</v>
      </c>
      <c r="CY114" s="1070" t="s">
        <v>524</v>
      </c>
      <c r="CZ114" s="1070" t="s">
        <v>524</v>
      </c>
      <c r="DA114" s="1070" t="s">
        <v>524</v>
      </c>
      <c r="DB114" s="1070" t="s">
        <v>524</v>
      </c>
      <c r="DC114" s="1071" t="s">
        <v>524</v>
      </c>
      <c r="DD114" s="1072" t="s">
        <v>524</v>
      </c>
      <c r="DE114" s="1070" t="s">
        <v>524</v>
      </c>
      <c r="DF114" s="1073" t="s">
        <v>524</v>
      </c>
      <c r="DG114" s="1071" t="s">
        <v>524</v>
      </c>
      <c r="DH114" s="1070" t="s">
        <v>524</v>
      </c>
      <c r="DI114" s="1070" t="s">
        <v>944</v>
      </c>
      <c r="DJ114" s="1070" t="s">
        <v>944</v>
      </c>
      <c r="DK114" s="1071" t="s">
        <v>944</v>
      </c>
      <c r="DL114" s="1070" t="s">
        <v>524</v>
      </c>
      <c r="DM114" s="1071" t="s">
        <v>524</v>
      </c>
      <c r="DN114" s="1071" t="s">
        <v>524</v>
      </c>
      <c r="DO114" s="1074" t="s">
        <v>524</v>
      </c>
      <c r="DP114" s="1072" t="s">
        <v>524</v>
      </c>
      <c r="DQ114" s="1071" t="s">
        <v>524</v>
      </c>
      <c r="DR114" s="1071" t="s">
        <v>524</v>
      </c>
      <c r="DS114" s="1071" t="s">
        <v>524</v>
      </c>
      <c r="DT114" s="1070" t="s">
        <v>524</v>
      </c>
      <c r="DU114" s="1070" t="s">
        <v>524</v>
      </c>
      <c r="DV114" s="1071" t="s">
        <v>524</v>
      </c>
      <c r="DW114" s="1071" t="s">
        <v>524</v>
      </c>
      <c r="DX114" s="1071" t="s">
        <v>524</v>
      </c>
      <c r="DY114" s="1071" t="s">
        <v>524</v>
      </c>
      <c r="DZ114" s="1071" t="s">
        <v>524</v>
      </c>
      <c r="EA114" s="1074" t="s">
        <v>524</v>
      </c>
      <c r="EB114" s="1071" t="s">
        <v>524</v>
      </c>
      <c r="EC114" s="1071" t="s">
        <v>524</v>
      </c>
      <c r="ED114" s="1071" t="s">
        <v>524</v>
      </c>
      <c r="EE114" s="1071" t="s">
        <v>524</v>
      </c>
      <c r="EF114" s="1071" t="s">
        <v>524</v>
      </c>
      <c r="EG114" s="1071" t="s">
        <v>524</v>
      </c>
      <c r="EH114" s="1071"/>
      <c r="EI114" s="1071" t="s">
        <v>524</v>
      </c>
      <c r="EJ114" s="1071" t="s">
        <v>524</v>
      </c>
      <c r="EK114" s="1070" t="s">
        <v>524</v>
      </c>
      <c r="EL114" s="1070" t="s">
        <v>524</v>
      </c>
      <c r="EM114" s="1071" t="s">
        <v>524</v>
      </c>
      <c r="EN114" s="1072" t="s">
        <v>524</v>
      </c>
      <c r="EO114" s="1071" t="s">
        <v>524</v>
      </c>
      <c r="EP114" s="1071" t="s">
        <v>524</v>
      </c>
      <c r="EQ114" s="1071" t="s">
        <v>524</v>
      </c>
      <c r="ER114" s="1071" t="s">
        <v>524</v>
      </c>
      <c r="ES114" s="1071" t="s">
        <v>524</v>
      </c>
      <c r="ET114" s="1071" t="s">
        <v>524</v>
      </c>
      <c r="EU114" s="1071" t="s">
        <v>524</v>
      </c>
      <c r="EV114" s="1071" t="s">
        <v>524</v>
      </c>
      <c r="EW114" s="1071" t="s">
        <v>524</v>
      </c>
      <c r="EX114" s="1071" t="s">
        <v>524</v>
      </c>
      <c r="EY114" s="1071" t="s">
        <v>524</v>
      </c>
      <c r="EZ114" s="1072" t="s">
        <v>524</v>
      </c>
      <c r="FA114" s="1071" t="s">
        <v>524</v>
      </c>
      <c r="FB114" s="1071" t="s">
        <v>524</v>
      </c>
      <c r="FC114" s="1071" t="s">
        <v>524</v>
      </c>
      <c r="FD114" s="1071" t="s">
        <v>524</v>
      </c>
      <c r="FE114" s="1071" t="s">
        <v>524</v>
      </c>
      <c r="FF114" s="1071" t="s">
        <v>524</v>
      </c>
      <c r="FG114" s="1071" t="s">
        <v>524</v>
      </c>
      <c r="FH114" s="1071" t="s">
        <v>524</v>
      </c>
      <c r="FI114" s="1071" t="s">
        <v>524</v>
      </c>
      <c r="FJ114" s="1071" t="s">
        <v>524</v>
      </c>
      <c r="FK114" s="1074" t="s">
        <v>524</v>
      </c>
      <c r="FL114" s="1564"/>
      <c r="FM114" s="1070"/>
      <c r="FN114" s="1070"/>
      <c r="FO114" s="1070"/>
      <c r="FP114" s="1070"/>
      <c r="FQ114" s="1070"/>
      <c r="FR114" s="1070"/>
      <c r="FS114" s="1070"/>
      <c r="FT114" s="1070"/>
      <c r="FU114" s="1074"/>
      <c r="FV114" s="1167" t="e">
        <f t="shared" si="1"/>
        <v>#DIV/0!</v>
      </c>
    </row>
    <row r="115" spans="1:178" s="115" customFormat="1" ht="21" customHeight="1">
      <c r="A115" s="1546">
        <v>1</v>
      </c>
      <c r="B115" s="408">
        <v>90</v>
      </c>
      <c r="C115" s="621" t="s">
        <v>238</v>
      </c>
      <c r="D115" s="622" t="s">
        <v>239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98.11</v>
      </c>
      <c r="L115" s="665">
        <v>98.11</v>
      </c>
      <c r="M115" s="625">
        <v>98.11</v>
      </c>
      <c r="N115" s="625">
        <v>112.75</v>
      </c>
      <c r="O115" s="625">
        <v>128.16</v>
      </c>
      <c r="P115" s="625">
        <v>167.34</v>
      </c>
      <c r="Q115" s="625">
        <v>197.82</v>
      </c>
      <c r="R115" s="625">
        <v>202.86</v>
      </c>
      <c r="S115" s="625">
        <v>204.31</v>
      </c>
      <c r="T115" s="625">
        <v>202.8</v>
      </c>
      <c r="U115" s="625">
        <v>199.83</v>
      </c>
      <c r="V115" s="625">
        <v>199.83</v>
      </c>
      <c r="W115" s="625">
        <v>199.83</v>
      </c>
      <c r="X115" s="625">
        <v>204.31</v>
      </c>
      <c r="Y115" s="625">
        <v>204.31</v>
      </c>
      <c r="Z115" s="625">
        <v>204.31</v>
      </c>
      <c r="AA115" s="625">
        <v>207.29</v>
      </c>
      <c r="AB115" s="625">
        <v>207.29</v>
      </c>
      <c r="AC115" s="625">
        <v>207.29</v>
      </c>
      <c r="AD115" s="625">
        <v>198.21</v>
      </c>
      <c r="AE115" s="625">
        <v>198.21</v>
      </c>
      <c r="AF115" s="625">
        <v>198.21</v>
      </c>
      <c r="AG115" s="625">
        <v>198.21</v>
      </c>
      <c r="AH115" s="625">
        <v>198.21</v>
      </c>
      <c r="AI115" s="764">
        <v>198.21</v>
      </c>
      <c r="AJ115" s="772">
        <v>198.21</v>
      </c>
      <c r="AK115" s="625">
        <v>198.21</v>
      </c>
      <c r="AL115" s="625">
        <v>198.21</v>
      </c>
      <c r="AM115" s="625">
        <v>198.12</v>
      </c>
      <c r="AN115" s="625">
        <v>203.22</v>
      </c>
      <c r="AO115" s="625">
        <v>227.96</v>
      </c>
      <c r="AP115" s="625">
        <v>227.96</v>
      </c>
      <c r="AQ115" s="625">
        <v>227.96</v>
      </c>
      <c r="AR115" s="625">
        <v>226.66</v>
      </c>
      <c r="AS115" s="625">
        <v>226.66</v>
      </c>
      <c r="AT115" s="625">
        <v>232.72</v>
      </c>
      <c r="AU115" s="764">
        <v>236.3</v>
      </c>
      <c r="AV115" s="752">
        <v>236.3</v>
      </c>
      <c r="AW115" s="626">
        <v>245.97</v>
      </c>
      <c r="AX115" s="626">
        <v>254.71</v>
      </c>
      <c r="AY115" s="626">
        <v>256.77</v>
      </c>
      <c r="AZ115" s="626">
        <v>269.83</v>
      </c>
      <c r="BA115" s="626">
        <v>269.83</v>
      </c>
      <c r="BB115" s="626">
        <v>269.83</v>
      </c>
      <c r="BC115" s="627">
        <v>269.83</v>
      </c>
      <c r="BD115" s="626">
        <v>287.64999999999998</v>
      </c>
      <c r="BE115" s="627">
        <v>293.72000000000003</v>
      </c>
      <c r="BF115" s="627">
        <v>291.26</v>
      </c>
      <c r="BG115" s="738">
        <v>291.26</v>
      </c>
      <c r="BH115" s="660">
        <v>297.55</v>
      </c>
      <c r="BI115" s="623">
        <v>297.55</v>
      </c>
      <c r="BJ115" s="623">
        <v>298.23</v>
      </c>
      <c r="BK115" s="623">
        <v>298.23</v>
      </c>
      <c r="BL115" s="623">
        <v>300.92</v>
      </c>
      <c r="BM115" s="623">
        <v>300.89</v>
      </c>
      <c r="BN115" s="623">
        <v>300.89</v>
      </c>
      <c r="BO115" s="623">
        <v>314.45</v>
      </c>
      <c r="BP115" s="623">
        <v>314.45</v>
      </c>
      <c r="BQ115" s="623">
        <v>314.45</v>
      </c>
      <c r="BR115" s="623">
        <v>314.45</v>
      </c>
      <c r="BS115" s="659">
        <v>318.91000000000003</v>
      </c>
      <c r="BT115" s="660">
        <v>318.91000000000003</v>
      </c>
      <c r="BU115" s="623">
        <v>318.91000000000003</v>
      </c>
      <c r="BV115" s="623">
        <v>318.97000000000003</v>
      </c>
      <c r="BW115" s="623">
        <v>323.45</v>
      </c>
      <c r="BX115" s="623">
        <v>335.34</v>
      </c>
      <c r="BY115" s="623">
        <v>335.34</v>
      </c>
      <c r="BZ115" s="623">
        <v>349.59</v>
      </c>
      <c r="CA115" s="623">
        <v>364.22</v>
      </c>
      <c r="CB115" s="623">
        <v>364.22</v>
      </c>
      <c r="CC115" s="623">
        <v>367.45</v>
      </c>
      <c r="CD115" s="623">
        <v>382.08</v>
      </c>
      <c r="CE115" s="659">
        <v>383.69</v>
      </c>
      <c r="CF115" s="660">
        <v>383.69</v>
      </c>
      <c r="CG115" s="623">
        <v>385.37</v>
      </c>
      <c r="CH115" s="623">
        <v>407.81</v>
      </c>
      <c r="CI115" s="623">
        <v>422.86</v>
      </c>
      <c r="CJ115" s="623">
        <v>425.96</v>
      </c>
      <c r="CK115" s="623">
        <v>433.23</v>
      </c>
      <c r="CL115" s="623">
        <v>433.23</v>
      </c>
      <c r="CM115" s="623">
        <v>434.12</v>
      </c>
      <c r="CN115" s="623">
        <v>437.12</v>
      </c>
      <c r="CO115" s="623">
        <v>431.26</v>
      </c>
      <c r="CP115" s="623">
        <v>432.39</v>
      </c>
      <c r="CQ115" s="659">
        <v>432.63</v>
      </c>
      <c r="CR115" s="660">
        <v>432.49</v>
      </c>
      <c r="CS115" s="623">
        <v>432.49</v>
      </c>
      <c r="CT115" s="623">
        <v>432.49</v>
      </c>
      <c r="CU115" s="623">
        <v>434.55</v>
      </c>
      <c r="CV115" s="623">
        <v>434.55</v>
      </c>
      <c r="CW115" s="623">
        <v>455.5</v>
      </c>
      <c r="CX115" s="623">
        <v>483.44</v>
      </c>
      <c r="CY115" s="623">
        <v>519.14</v>
      </c>
      <c r="CZ115" s="623">
        <v>515.49</v>
      </c>
      <c r="DA115" s="623">
        <v>526.74</v>
      </c>
      <c r="DB115" s="725">
        <v>542.66999999999996</v>
      </c>
      <c r="DC115" s="659">
        <v>550.61</v>
      </c>
      <c r="DD115" s="783">
        <v>559.04</v>
      </c>
      <c r="DE115" s="623">
        <v>556.14</v>
      </c>
      <c r="DF115" s="725">
        <v>582.66</v>
      </c>
      <c r="DG115" s="659">
        <v>607.1</v>
      </c>
      <c r="DH115" s="623">
        <v>606.35</v>
      </c>
      <c r="DI115" s="623">
        <v>606.48</v>
      </c>
      <c r="DJ115" s="623">
        <v>613.84</v>
      </c>
      <c r="DK115" s="659">
        <v>630.75</v>
      </c>
      <c r="DL115" s="623">
        <v>635.76</v>
      </c>
      <c r="DM115" s="659">
        <v>641.33000000000004</v>
      </c>
      <c r="DN115" s="659">
        <v>656.94</v>
      </c>
      <c r="DO115" s="897">
        <v>673.69</v>
      </c>
      <c r="DP115" s="783">
        <v>699.04</v>
      </c>
      <c r="DQ115" s="659">
        <v>699.04</v>
      </c>
      <c r="DR115" s="659">
        <v>710.12</v>
      </c>
      <c r="DS115" s="659">
        <v>733.06</v>
      </c>
      <c r="DT115" s="623">
        <v>751.23</v>
      </c>
      <c r="DU115" s="659">
        <v>772.89</v>
      </c>
      <c r="DV115" s="659">
        <v>800.86</v>
      </c>
      <c r="DW115" s="659">
        <v>820.7</v>
      </c>
      <c r="DX115" s="659">
        <v>841.76</v>
      </c>
      <c r="DY115" s="659">
        <v>856.55</v>
      </c>
      <c r="DZ115" s="659">
        <v>909.66</v>
      </c>
      <c r="EA115" s="897">
        <v>925.92</v>
      </c>
      <c r="EB115" s="659">
        <v>960.68</v>
      </c>
      <c r="EC115" s="659">
        <v>1016.06</v>
      </c>
      <c r="ED115" s="659">
        <v>1044.69</v>
      </c>
      <c r="EE115" s="659">
        <v>1051.3399999999999</v>
      </c>
      <c r="EF115" s="659">
        <v>1083.4100000000001</v>
      </c>
      <c r="EG115" s="659">
        <v>1082.93</v>
      </c>
      <c r="EH115" s="659">
        <v>1084.21</v>
      </c>
      <c r="EI115" s="659">
        <v>1095.2</v>
      </c>
      <c r="EJ115" s="659">
        <v>1142.4000000000001</v>
      </c>
      <c r="EK115" s="623">
        <v>1150.33</v>
      </c>
      <c r="EL115" s="725">
        <v>1194.5899999999999</v>
      </c>
      <c r="EM115" s="659">
        <v>1209.8</v>
      </c>
      <c r="EN115" s="783">
        <v>1244.6500000000001</v>
      </c>
      <c r="EO115" s="659">
        <v>1289.96</v>
      </c>
      <c r="EP115" s="659">
        <v>1287.99</v>
      </c>
      <c r="EQ115" s="659">
        <v>1333.33</v>
      </c>
      <c r="ER115" s="659">
        <v>1347.93</v>
      </c>
      <c r="ES115" s="659">
        <v>1349.68</v>
      </c>
      <c r="ET115" s="659">
        <v>1375.82</v>
      </c>
      <c r="EU115" s="659">
        <v>1392.43</v>
      </c>
      <c r="EV115" s="659">
        <v>1393.71</v>
      </c>
      <c r="EW115" s="659">
        <v>1393.46</v>
      </c>
      <c r="EX115" s="659">
        <v>1438.82</v>
      </c>
      <c r="EY115" s="659">
        <v>1440.2</v>
      </c>
      <c r="EZ115" s="783">
        <v>1470.06</v>
      </c>
      <c r="FA115" s="659">
        <v>1505.89</v>
      </c>
      <c r="FB115" s="659">
        <v>1563.24</v>
      </c>
      <c r="FC115" s="659">
        <v>1580.55</v>
      </c>
      <c r="FD115" s="659">
        <v>1620.11</v>
      </c>
      <c r="FE115" s="659">
        <v>1660.24</v>
      </c>
      <c r="FF115" s="659">
        <v>1678.81</v>
      </c>
      <c r="FG115" s="659">
        <v>1680.19</v>
      </c>
      <c r="FH115" s="659">
        <v>1719.52</v>
      </c>
      <c r="FI115" s="659">
        <v>1762.2</v>
      </c>
      <c r="FJ115" s="659">
        <v>1762.2</v>
      </c>
      <c r="FK115" s="897">
        <v>1762.2</v>
      </c>
      <c r="FL115" s="660">
        <v>1788.44</v>
      </c>
      <c r="FM115" s="623">
        <v>1788.44</v>
      </c>
      <c r="FN115" s="623">
        <v>1789.82</v>
      </c>
      <c r="FO115" s="623">
        <v>1818.39</v>
      </c>
      <c r="FP115" s="623">
        <v>1863.07</v>
      </c>
      <c r="FQ115" s="623">
        <v>1863.07</v>
      </c>
      <c r="FR115" s="623">
        <v>1863.82</v>
      </c>
      <c r="FS115" s="623">
        <v>1886.56</v>
      </c>
      <c r="FT115" s="623">
        <v>1910.9</v>
      </c>
      <c r="FU115" s="897">
        <v>1934.59</v>
      </c>
      <c r="FV115" s="1167">
        <f t="shared" si="1"/>
        <v>1.0123972997017112</v>
      </c>
    </row>
    <row r="116" spans="1:178" s="115" customFormat="1" ht="18.95" customHeight="1">
      <c r="A116" s="1546">
        <v>1</v>
      </c>
      <c r="B116" s="644">
        <v>91</v>
      </c>
      <c r="C116" s="645" t="s">
        <v>240</v>
      </c>
      <c r="D116" s="646" t="s">
        <v>241</v>
      </c>
      <c r="E116" s="645" t="s">
        <v>918</v>
      </c>
      <c r="F116" s="646"/>
      <c r="G116" s="645" t="s">
        <v>929</v>
      </c>
      <c r="H116" s="645" t="s">
        <v>930</v>
      </c>
      <c r="I116" s="876" t="s">
        <v>921</v>
      </c>
      <c r="J116" s="869"/>
      <c r="K116" s="877">
        <v>95.2</v>
      </c>
      <c r="L116" s="878">
        <v>101.4</v>
      </c>
      <c r="M116" s="879">
        <v>104.6</v>
      </c>
      <c r="N116" s="879">
        <v>121.5</v>
      </c>
      <c r="O116" s="879">
        <v>136.30000000000001</v>
      </c>
      <c r="P116" s="879">
        <v>138.4</v>
      </c>
      <c r="Q116" s="879">
        <v>139.1</v>
      </c>
      <c r="R116" s="879">
        <v>140.5</v>
      </c>
      <c r="S116" s="879">
        <v>142.30000000000001</v>
      </c>
      <c r="T116" s="879">
        <v>142.30000000000001</v>
      </c>
      <c r="U116" s="879">
        <v>142.30000000000001</v>
      </c>
      <c r="V116" s="879">
        <v>142.30000000000001</v>
      </c>
      <c r="W116" s="879">
        <v>142.30000000000001</v>
      </c>
      <c r="X116" s="879">
        <v>146.6</v>
      </c>
      <c r="Y116" s="879">
        <v>148.19999999999999</v>
      </c>
      <c r="Z116" s="879">
        <v>148.19999999999999</v>
      </c>
      <c r="AA116" s="879">
        <v>148.19999999999999</v>
      </c>
      <c r="AB116" s="879">
        <v>148.19999999999999</v>
      </c>
      <c r="AC116" s="879">
        <v>148.19999999999999</v>
      </c>
      <c r="AD116" s="879">
        <v>144.19999999999999</v>
      </c>
      <c r="AE116" s="879">
        <v>146.30000000000001</v>
      </c>
      <c r="AF116" s="879">
        <v>146.30000000000001</v>
      </c>
      <c r="AG116" s="879">
        <v>148.80000000000001</v>
      </c>
      <c r="AH116" s="879">
        <v>148.80000000000001</v>
      </c>
      <c r="AI116" s="880">
        <v>150.19999999999999</v>
      </c>
      <c r="AJ116" s="881">
        <v>154.1</v>
      </c>
      <c r="AK116" s="879">
        <v>154.1</v>
      </c>
      <c r="AL116" s="879">
        <v>155</v>
      </c>
      <c r="AM116" s="879">
        <v>158.6</v>
      </c>
      <c r="AN116" s="879">
        <v>159.30000000000001</v>
      </c>
      <c r="AO116" s="879">
        <v>159.30000000000001</v>
      </c>
      <c r="AP116" s="879">
        <v>159.30000000000001</v>
      </c>
      <c r="AQ116" s="879">
        <v>159.19999999999999</v>
      </c>
      <c r="AR116" s="879">
        <v>159.30000000000001</v>
      </c>
      <c r="AS116" s="879">
        <v>159.30000000000001</v>
      </c>
      <c r="AT116" s="879">
        <v>159.30000000000001</v>
      </c>
      <c r="AU116" s="880">
        <v>164</v>
      </c>
      <c r="AV116" s="882">
        <v>164</v>
      </c>
      <c r="AW116" s="883">
        <v>164</v>
      </c>
      <c r="AX116" s="883">
        <v>164.5</v>
      </c>
      <c r="AY116" s="883">
        <v>165.4</v>
      </c>
      <c r="AZ116" s="883">
        <v>165.5</v>
      </c>
      <c r="BA116" s="883">
        <v>165.5</v>
      </c>
      <c r="BB116" s="883">
        <v>165.5</v>
      </c>
      <c r="BC116" s="884">
        <v>165.5</v>
      </c>
      <c r="BD116" s="883">
        <v>295.60000000000002</v>
      </c>
      <c r="BE116" s="884">
        <v>165.8</v>
      </c>
      <c r="BF116" s="884">
        <v>165.8</v>
      </c>
      <c r="BG116" s="885">
        <v>168.3</v>
      </c>
      <c r="BH116" s="886">
        <v>172.9</v>
      </c>
      <c r="BI116" s="887">
        <v>173</v>
      </c>
      <c r="BJ116" s="887">
        <v>173</v>
      </c>
      <c r="BK116" s="887">
        <v>173</v>
      </c>
      <c r="BL116" s="887">
        <v>173</v>
      </c>
      <c r="BM116" s="887">
        <v>175.8</v>
      </c>
      <c r="BN116" s="887">
        <v>185.6</v>
      </c>
      <c r="BO116" s="887">
        <v>185.6</v>
      </c>
      <c r="BP116" s="887">
        <v>185.6</v>
      </c>
      <c r="BQ116" s="887">
        <v>185.6</v>
      </c>
      <c r="BR116" s="887">
        <v>185.6</v>
      </c>
      <c r="BS116" s="888">
        <v>185.6</v>
      </c>
      <c r="BT116" s="886">
        <v>188.7</v>
      </c>
      <c r="BU116" s="887">
        <v>188.7</v>
      </c>
      <c r="BV116" s="887">
        <v>189</v>
      </c>
      <c r="BW116" s="887">
        <v>189</v>
      </c>
      <c r="BX116" s="887">
        <v>197.3</v>
      </c>
      <c r="BY116" s="887">
        <v>196.8</v>
      </c>
      <c r="BZ116" s="887">
        <v>201.2</v>
      </c>
      <c r="CA116" s="887">
        <v>201.2</v>
      </c>
      <c r="CB116" s="887">
        <v>206</v>
      </c>
      <c r="CC116" s="887">
        <v>211.3</v>
      </c>
      <c r="CD116" s="887">
        <v>215.1</v>
      </c>
      <c r="CE116" s="888">
        <v>217.7</v>
      </c>
      <c r="CF116" s="886">
        <v>220.1</v>
      </c>
      <c r="CG116" s="887">
        <v>222.1</v>
      </c>
      <c r="CH116" s="887">
        <v>227.3</v>
      </c>
      <c r="CI116" s="887">
        <v>236</v>
      </c>
      <c r="CJ116" s="887">
        <v>236</v>
      </c>
      <c r="CK116" s="887">
        <v>237.6</v>
      </c>
      <c r="CL116" s="887">
        <v>240.1</v>
      </c>
      <c r="CM116" s="887">
        <v>240.1</v>
      </c>
      <c r="CN116" s="887">
        <v>246.6</v>
      </c>
      <c r="CO116" s="887">
        <v>250.6</v>
      </c>
      <c r="CP116" s="887">
        <v>251.9</v>
      </c>
      <c r="CQ116" s="888">
        <v>257.2</v>
      </c>
      <c r="CR116" s="886">
        <v>258.3</v>
      </c>
      <c r="CS116" s="887">
        <v>259.10000000000002</v>
      </c>
      <c r="CT116" s="887">
        <v>264.39999999999998</v>
      </c>
      <c r="CU116" s="887">
        <v>265.10000000000002</v>
      </c>
      <c r="CV116" s="887">
        <v>265.5</v>
      </c>
      <c r="CW116" s="887">
        <v>274.2</v>
      </c>
      <c r="CX116" s="887">
        <v>269.5</v>
      </c>
      <c r="CY116" s="887">
        <v>270.2</v>
      </c>
      <c r="CZ116" s="887">
        <v>278.60000000000002</v>
      </c>
      <c r="DA116" s="887">
        <v>286.2</v>
      </c>
      <c r="DB116" s="889">
        <v>286.2</v>
      </c>
      <c r="DC116" s="888">
        <v>286.5</v>
      </c>
      <c r="DD116" s="890">
        <v>286.5</v>
      </c>
      <c r="DE116" s="887">
        <v>288.3</v>
      </c>
      <c r="DF116" s="889">
        <v>293</v>
      </c>
      <c r="DG116" s="888">
        <v>301.7</v>
      </c>
      <c r="DH116" s="887">
        <v>312.39999999999998</v>
      </c>
      <c r="DI116" s="887">
        <v>333</v>
      </c>
      <c r="DJ116" s="887">
        <v>334.1</v>
      </c>
      <c r="DK116" s="888">
        <v>334.6</v>
      </c>
      <c r="DL116" s="887">
        <v>338.2</v>
      </c>
      <c r="DM116" s="888">
        <v>337.6</v>
      </c>
      <c r="DN116" s="888">
        <v>346.5</v>
      </c>
      <c r="DO116" s="968">
        <v>344.3</v>
      </c>
      <c r="DP116" s="890">
        <v>346.5</v>
      </c>
      <c r="DQ116" s="888">
        <v>343.8</v>
      </c>
      <c r="DR116" s="888">
        <v>344.7</v>
      </c>
      <c r="DS116" s="888">
        <v>346.5</v>
      </c>
      <c r="DT116" s="887">
        <v>355.1</v>
      </c>
      <c r="DU116" s="888">
        <v>360</v>
      </c>
      <c r="DV116" s="888">
        <v>363</v>
      </c>
      <c r="DW116" s="888">
        <v>373.1</v>
      </c>
      <c r="DX116" s="888">
        <v>388</v>
      </c>
      <c r="DY116" s="888">
        <v>392.4</v>
      </c>
      <c r="DZ116" s="888">
        <v>401.2</v>
      </c>
      <c r="EA116" s="968">
        <v>410</v>
      </c>
      <c r="EB116" s="888">
        <v>410.2</v>
      </c>
      <c r="EC116" s="888">
        <v>459.7</v>
      </c>
      <c r="ED116" s="888">
        <v>461.2</v>
      </c>
      <c r="EE116" s="888">
        <v>469.9</v>
      </c>
      <c r="EF116" s="888">
        <v>478.4</v>
      </c>
      <c r="EG116" s="888">
        <v>492.3</v>
      </c>
      <c r="EH116" s="888">
        <v>500.8</v>
      </c>
      <c r="EI116" s="888">
        <v>500.7</v>
      </c>
      <c r="EJ116" s="888">
        <v>519.6</v>
      </c>
      <c r="EK116" s="887">
        <v>526.9</v>
      </c>
      <c r="EL116" s="889">
        <v>538</v>
      </c>
      <c r="EM116" s="888">
        <v>540.79999999999995</v>
      </c>
      <c r="EN116" s="890">
        <v>534.70000000000005</v>
      </c>
      <c r="EO116" s="888">
        <v>555.79999999999995</v>
      </c>
      <c r="EP116" s="888">
        <v>567.6</v>
      </c>
      <c r="EQ116" s="888">
        <v>567.6</v>
      </c>
      <c r="ER116" s="888">
        <v>571.5</v>
      </c>
      <c r="ES116" s="888">
        <v>613.20000000000005</v>
      </c>
      <c r="ET116" s="888">
        <v>622</v>
      </c>
      <c r="EU116" s="659">
        <v>626.5</v>
      </c>
      <c r="EV116" s="659">
        <v>635.29999999999995</v>
      </c>
      <c r="EW116" s="659">
        <v>647.79999999999995</v>
      </c>
      <c r="EX116" s="659">
        <v>676.6</v>
      </c>
      <c r="EY116" s="659">
        <v>695.3</v>
      </c>
      <c r="EZ116" s="783">
        <v>711.8</v>
      </c>
      <c r="FA116" s="659">
        <v>763.5</v>
      </c>
      <c r="FB116" s="659">
        <v>789</v>
      </c>
      <c r="FC116" s="659">
        <v>798.1</v>
      </c>
      <c r="FD116" s="659">
        <v>852.7</v>
      </c>
      <c r="FE116" s="659">
        <v>857.1</v>
      </c>
      <c r="FF116" s="659">
        <v>864.2</v>
      </c>
      <c r="FG116" s="659">
        <v>878.6</v>
      </c>
      <c r="FH116" s="659">
        <v>1061.0999999999999</v>
      </c>
      <c r="FI116" s="659">
        <v>1096.4000000000001</v>
      </c>
      <c r="FJ116" s="659">
        <v>1103.5</v>
      </c>
      <c r="FK116" s="897">
        <v>1116.5999999999999</v>
      </c>
      <c r="FL116" s="660">
        <v>1119.5999999999999</v>
      </c>
      <c r="FM116" s="623">
        <v>1123.2</v>
      </c>
      <c r="FN116" s="623">
        <v>1139.5</v>
      </c>
      <c r="FO116" s="623">
        <v>1143</v>
      </c>
      <c r="FP116" s="623">
        <v>1163.5</v>
      </c>
      <c r="FQ116" s="623">
        <v>1195.9000000000001</v>
      </c>
      <c r="FR116" s="623">
        <v>1308.5</v>
      </c>
      <c r="FS116" s="623">
        <v>1364.4</v>
      </c>
      <c r="FT116" s="623">
        <v>1463.1</v>
      </c>
      <c r="FU116" s="897">
        <v>1519.1</v>
      </c>
      <c r="FV116" s="1167">
        <f t="shared" si="1"/>
        <v>1.0382748957692571</v>
      </c>
    </row>
    <row r="117" spans="1:178" s="115" customFormat="1" ht="30" customHeight="1">
      <c r="A117" s="1546">
        <v>1</v>
      </c>
      <c r="B117" s="408">
        <v>92</v>
      </c>
      <c r="C117" s="621"/>
      <c r="D117" s="622" t="s">
        <v>242</v>
      </c>
      <c r="E117" s="621" t="s">
        <v>918</v>
      </c>
      <c r="F117" s="622"/>
      <c r="G117" s="632" t="s">
        <v>64</v>
      </c>
      <c r="H117" s="621" t="s">
        <v>920</v>
      </c>
      <c r="I117" s="390" t="s">
        <v>420</v>
      </c>
      <c r="J117" s="676"/>
      <c r="K117" s="669">
        <v>108</v>
      </c>
      <c r="L117" s="665">
        <v>113.7</v>
      </c>
      <c r="M117" s="625">
        <v>124.7</v>
      </c>
      <c r="N117" s="625">
        <v>137.6</v>
      </c>
      <c r="O117" s="625">
        <v>175.7</v>
      </c>
      <c r="P117" s="625">
        <v>180.6</v>
      </c>
      <c r="Q117" s="625">
        <v>194.2</v>
      </c>
      <c r="R117" s="625">
        <v>201.2</v>
      </c>
      <c r="S117" s="625">
        <v>204</v>
      </c>
      <c r="T117" s="625">
        <v>206.6</v>
      </c>
      <c r="U117" s="625">
        <v>206.6</v>
      </c>
      <c r="V117" s="625">
        <v>206.6</v>
      </c>
      <c r="W117" s="625">
        <v>206.6</v>
      </c>
      <c r="X117" s="625">
        <v>206.6</v>
      </c>
      <c r="Y117" s="625">
        <v>210.2</v>
      </c>
      <c r="Z117" s="625">
        <v>206.6</v>
      </c>
      <c r="AA117" s="625">
        <v>206.6</v>
      </c>
      <c r="AB117" s="625">
        <v>206.6</v>
      </c>
      <c r="AC117" s="625">
        <v>206.6</v>
      </c>
      <c r="AD117" s="625">
        <v>206.6</v>
      </c>
      <c r="AE117" s="625">
        <v>206.6</v>
      </c>
      <c r="AF117" s="625">
        <v>206.6</v>
      </c>
      <c r="AG117" s="625">
        <v>206.6</v>
      </c>
      <c r="AH117" s="625">
        <v>206.6</v>
      </c>
      <c r="AI117" s="764">
        <v>210.9</v>
      </c>
      <c r="AJ117" s="772">
        <v>216.3</v>
      </c>
      <c r="AK117" s="625">
        <v>229.2</v>
      </c>
      <c r="AL117" s="625">
        <v>252.1</v>
      </c>
      <c r="AM117" s="625">
        <v>257.89999999999998</v>
      </c>
      <c r="AN117" s="625">
        <v>257.89999999999998</v>
      </c>
      <c r="AO117" s="625">
        <v>257.89999999999998</v>
      </c>
      <c r="AP117" s="625">
        <v>263.5</v>
      </c>
      <c r="AQ117" s="625">
        <v>265.7</v>
      </c>
      <c r="AR117" s="625">
        <v>268.60000000000002</v>
      </c>
      <c r="AS117" s="625">
        <v>268.60000000000002</v>
      </c>
      <c r="AT117" s="625">
        <v>268.8</v>
      </c>
      <c r="AU117" s="764">
        <v>272</v>
      </c>
      <c r="AV117" s="752">
        <v>272</v>
      </c>
      <c r="AW117" s="626">
        <v>274.2</v>
      </c>
      <c r="AX117" s="626">
        <v>285.89999999999998</v>
      </c>
      <c r="AY117" s="626">
        <v>287.8</v>
      </c>
      <c r="AZ117" s="626">
        <v>287.8</v>
      </c>
      <c r="BA117" s="626">
        <v>287.8</v>
      </c>
      <c r="BB117" s="626">
        <v>290.7</v>
      </c>
      <c r="BC117" s="627">
        <v>290.7</v>
      </c>
      <c r="BD117" s="626">
        <v>290.7</v>
      </c>
      <c r="BE117" s="627">
        <v>290.7</v>
      </c>
      <c r="BF117" s="627">
        <v>299.5</v>
      </c>
      <c r="BG117" s="738">
        <v>304.89999999999998</v>
      </c>
      <c r="BH117" s="660">
        <v>309</v>
      </c>
      <c r="BI117" s="623">
        <v>329.2</v>
      </c>
      <c r="BJ117" s="623">
        <v>329.2</v>
      </c>
      <c r="BK117" s="623">
        <v>329.2</v>
      </c>
      <c r="BL117" s="623">
        <v>332.3</v>
      </c>
      <c r="BM117" s="623">
        <v>371.3</v>
      </c>
      <c r="BN117" s="623">
        <v>377.9</v>
      </c>
      <c r="BO117" s="623">
        <v>380.3</v>
      </c>
      <c r="BP117" s="623">
        <v>380.3</v>
      </c>
      <c r="BQ117" s="623">
        <v>380.3</v>
      </c>
      <c r="BR117" s="623">
        <v>380.3</v>
      </c>
      <c r="BS117" s="659">
        <v>380</v>
      </c>
      <c r="BT117" s="660">
        <v>379.7</v>
      </c>
      <c r="BU117" s="623">
        <v>379.7</v>
      </c>
      <c r="BV117" s="623">
        <v>390.5</v>
      </c>
      <c r="BW117" s="623">
        <v>392.5</v>
      </c>
      <c r="BX117" s="623">
        <v>392.5</v>
      </c>
      <c r="BY117" s="623">
        <v>392.4</v>
      </c>
      <c r="BZ117" s="623">
        <v>393.8</v>
      </c>
      <c r="CA117" s="623">
        <v>393.8</v>
      </c>
      <c r="CB117" s="623">
        <v>393.8</v>
      </c>
      <c r="CC117" s="623">
        <v>393.8</v>
      </c>
      <c r="CD117" s="623">
        <v>402.3</v>
      </c>
      <c r="CE117" s="659">
        <v>402.3</v>
      </c>
      <c r="CF117" s="660">
        <v>402.3</v>
      </c>
      <c r="CG117" s="623">
        <v>402.3</v>
      </c>
      <c r="CH117" s="623">
        <v>405</v>
      </c>
      <c r="CI117" s="623">
        <v>419.4</v>
      </c>
      <c r="CJ117" s="623">
        <v>451.4</v>
      </c>
      <c r="CK117" s="623">
        <v>453.3</v>
      </c>
      <c r="CL117" s="623">
        <v>453.3</v>
      </c>
      <c r="CM117" s="623">
        <v>453.3</v>
      </c>
      <c r="CN117" s="623">
        <v>453.3</v>
      </c>
      <c r="CO117" s="623">
        <v>453.3</v>
      </c>
      <c r="CP117" s="623">
        <v>453.3</v>
      </c>
      <c r="CQ117" s="659">
        <v>453.3</v>
      </c>
      <c r="CR117" s="660">
        <v>453.3</v>
      </c>
      <c r="CS117" s="623">
        <v>453.3</v>
      </c>
      <c r="CT117" s="623">
        <v>453.3</v>
      </c>
      <c r="CU117" s="623">
        <v>453.8</v>
      </c>
      <c r="CV117" s="623">
        <v>453.3</v>
      </c>
      <c r="CW117" s="623">
        <v>442.5</v>
      </c>
      <c r="CX117" s="623">
        <v>452.8</v>
      </c>
      <c r="CY117" s="623">
        <v>461.9</v>
      </c>
      <c r="CZ117" s="623">
        <v>461.9</v>
      </c>
      <c r="DA117" s="623">
        <v>464.4</v>
      </c>
      <c r="DB117" s="725">
        <v>464.4</v>
      </c>
      <c r="DC117" s="659">
        <v>464.4</v>
      </c>
      <c r="DD117" s="783">
        <v>464.4</v>
      </c>
      <c r="DE117" s="623">
        <v>466.9</v>
      </c>
      <c r="DF117" s="725">
        <v>472.2</v>
      </c>
      <c r="DG117" s="659">
        <v>482.8</v>
      </c>
      <c r="DH117" s="623">
        <v>487.1</v>
      </c>
      <c r="DI117" s="623">
        <v>492.4</v>
      </c>
      <c r="DJ117" s="623">
        <v>505.9</v>
      </c>
      <c r="DK117" s="659">
        <v>517.79999999999995</v>
      </c>
      <c r="DL117" s="623">
        <v>517.79999999999995</v>
      </c>
      <c r="DM117" s="659">
        <v>519.70000000000005</v>
      </c>
      <c r="DN117" s="659">
        <v>519.70000000000005</v>
      </c>
      <c r="DO117" s="897">
        <v>519.70000000000005</v>
      </c>
      <c r="DP117" s="783">
        <v>537</v>
      </c>
      <c r="DQ117" s="659">
        <v>544.5</v>
      </c>
      <c r="DR117" s="659">
        <v>544.4</v>
      </c>
      <c r="DS117" s="659">
        <v>552</v>
      </c>
      <c r="DT117" s="623">
        <v>558.1</v>
      </c>
      <c r="DU117" s="659">
        <v>562.70000000000005</v>
      </c>
      <c r="DV117" s="659">
        <v>562.79999999999995</v>
      </c>
      <c r="DW117" s="659">
        <v>574.29999999999995</v>
      </c>
      <c r="DX117" s="659">
        <v>578.29999999999995</v>
      </c>
      <c r="DY117" s="659">
        <v>582</v>
      </c>
      <c r="DZ117" s="659">
        <v>587.6</v>
      </c>
      <c r="EA117" s="897">
        <v>587.6</v>
      </c>
      <c r="EB117" s="659">
        <v>607.1</v>
      </c>
      <c r="EC117" s="659">
        <v>627.6</v>
      </c>
      <c r="ED117" s="659">
        <v>631.20000000000005</v>
      </c>
      <c r="EE117" s="659">
        <v>631.20000000000005</v>
      </c>
      <c r="EF117" s="659">
        <v>635.70000000000005</v>
      </c>
      <c r="EG117" s="659">
        <v>653</v>
      </c>
      <c r="EH117" s="659">
        <v>661</v>
      </c>
      <c r="EI117" s="659">
        <v>672.8</v>
      </c>
      <c r="EJ117" s="659">
        <v>692.9</v>
      </c>
      <c r="EK117" s="623">
        <v>689.3</v>
      </c>
      <c r="EL117" s="725">
        <v>692.9</v>
      </c>
      <c r="EM117" s="659">
        <v>692.9</v>
      </c>
      <c r="EN117" s="783">
        <v>695</v>
      </c>
      <c r="EO117" s="659">
        <v>695</v>
      </c>
      <c r="EP117" s="659">
        <v>695</v>
      </c>
      <c r="EQ117" s="659">
        <v>731.5</v>
      </c>
      <c r="ER117" s="659">
        <v>731.5</v>
      </c>
      <c r="ES117" s="659">
        <v>737</v>
      </c>
      <c r="ET117" s="659">
        <v>751.3</v>
      </c>
      <c r="EU117" s="659">
        <v>751.3</v>
      </c>
      <c r="EV117" s="659">
        <v>785.5</v>
      </c>
      <c r="EW117" s="659">
        <v>785.2</v>
      </c>
      <c r="EX117" s="659">
        <v>815.7</v>
      </c>
      <c r="EY117" s="659">
        <v>824.2</v>
      </c>
      <c r="EZ117" s="783">
        <v>857.5</v>
      </c>
      <c r="FA117" s="659">
        <v>909.9</v>
      </c>
      <c r="FB117" s="659">
        <v>916.9</v>
      </c>
      <c r="FC117" s="659">
        <v>952.9</v>
      </c>
      <c r="FD117" s="659">
        <v>954.3</v>
      </c>
      <c r="FE117" s="659">
        <v>1013.6</v>
      </c>
      <c r="FF117" s="659">
        <v>1021.9</v>
      </c>
      <c r="FG117" s="659">
        <v>1031.5</v>
      </c>
      <c r="FH117" s="659">
        <v>1126.8</v>
      </c>
      <c r="FI117" s="659">
        <v>1146.5</v>
      </c>
      <c r="FJ117" s="659">
        <v>1146.5</v>
      </c>
      <c r="FK117" s="897">
        <v>1156</v>
      </c>
      <c r="FL117" s="660">
        <v>1169.2</v>
      </c>
      <c r="FM117" s="623">
        <v>1182</v>
      </c>
      <c r="FN117" s="623">
        <v>1198.5</v>
      </c>
      <c r="FO117" s="623">
        <v>1217.2</v>
      </c>
      <c r="FP117" s="623">
        <v>1217.0999999999999</v>
      </c>
      <c r="FQ117" s="623">
        <v>1217.2</v>
      </c>
      <c r="FR117" s="623">
        <v>1217.4000000000001</v>
      </c>
      <c r="FS117" s="623">
        <v>1217.4000000000001</v>
      </c>
      <c r="FT117" s="623">
        <v>1293.5</v>
      </c>
      <c r="FU117" s="897">
        <v>1307.5999999999999</v>
      </c>
      <c r="FV117" s="1167">
        <f t="shared" si="1"/>
        <v>1.0109006571318129</v>
      </c>
    </row>
    <row r="118" spans="1:178" s="115" customFormat="1" ht="18.95" customHeight="1">
      <c r="A118" s="1546">
        <v>1</v>
      </c>
      <c r="B118" s="408">
        <v>93</v>
      </c>
      <c r="C118" s="621" t="s">
        <v>243</v>
      </c>
      <c r="D118" s="622" t="s">
        <v>244</v>
      </c>
      <c r="E118" s="621" t="s">
        <v>918</v>
      </c>
      <c r="F118" s="622"/>
      <c r="G118" s="621" t="s">
        <v>929</v>
      </c>
      <c r="H118" s="621" t="s">
        <v>930</v>
      </c>
      <c r="I118" s="390" t="s">
        <v>921</v>
      </c>
      <c r="J118" s="651"/>
      <c r="K118" s="669">
        <v>93.3</v>
      </c>
      <c r="L118" s="665">
        <v>101.5</v>
      </c>
      <c r="M118" s="625">
        <v>108.8</v>
      </c>
      <c r="N118" s="625">
        <v>116.7</v>
      </c>
      <c r="O118" s="625">
        <v>135</v>
      </c>
      <c r="P118" s="625">
        <v>149.19999999999999</v>
      </c>
      <c r="Q118" s="625">
        <v>166.2</v>
      </c>
      <c r="R118" s="625">
        <v>187.1</v>
      </c>
      <c r="S118" s="625">
        <v>199.5</v>
      </c>
      <c r="T118" s="625">
        <v>200.6</v>
      </c>
      <c r="U118" s="625">
        <v>200.6</v>
      </c>
      <c r="V118" s="625">
        <v>200.8</v>
      </c>
      <c r="W118" s="625">
        <v>200</v>
      </c>
      <c r="X118" s="625">
        <v>197.5</v>
      </c>
      <c r="Y118" s="625">
        <v>197</v>
      </c>
      <c r="Z118" s="625">
        <v>195.5</v>
      </c>
      <c r="AA118" s="625">
        <v>199.7</v>
      </c>
      <c r="AB118" s="625">
        <v>196.1</v>
      </c>
      <c r="AC118" s="625">
        <v>199.9</v>
      </c>
      <c r="AD118" s="625">
        <v>195.3</v>
      </c>
      <c r="AE118" s="625">
        <v>198.5</v>
      </c>
      <c r="AF118" s="625">
        <v>193.4</v>
      </c>
      <c r="AG118" s="625">
        <v>199</v>
      </c>
      <c r="AH118" s="625">
        <v>199</v>
      </c>
      <c r="AI118" s="764">
        <v>199.3</v>
      </c>
      <c r="AJ118" s="772">
        <v>199.7</v>
      </c>
      <c r="AK118" s="625">
        <v>209.5</v>
      </c>
      <c r="AL118" s="625">
        <v>217.4</v>
      </c>
      <c r="AM118" s="625">
        <v>219.3</v>
      </c>
      <c r="AN118" s="625">
        <v>223.7</v>
      </c>
      <c r="AO118" s="625">
        <v>227.6</v>
      </c>
      <c r="AP118" s="625">
        <v>230.9</v>
      </c>
      <c r="AQ118" s="625">
        <v>232.4</v>
      </c>
      <c r="AR118" s="625">
        <v>240.6</v>
      </c>
      <c r="AS118" s="625">
        <v>239.9</v>
      </c>
      <c r="AT118" s="625">
        <v>243.5</v>
      </c>
      <c r="AU118" s="764">
        <v>244.6</v>
      </c>
      <c r="AV118" s="752">
        <v>244.2</v>
      </c>
      <c r="AW118" s="626">
        <v>251.3</v>
      </c>
      <c r="AX118" s="626">
        <v>251.3</v>
      </c>
      <c r="AY118" s="626">
        <v>249.7</v>
      </c>
      <c r="AZ118" s="626">
        <v>248.2</v>
      </c>
      <c r="BA118" s="626">
        <v>248.2</v>
      </c>
      <c r="BB118" s="626">
        <v>252.3</v>
      </c>
      <c r="BC118" s="627">
        <v>252.2</v>
      </c>
      <c r="BD118" s="626">
        <v>252.2</v>
      </c>
      <c r="BE118" s="627">
        <v>252.5</v>
      </c>
      <c r="BF118" s="627">
        <v>252.4</v>
      </c>
      <c r="BG118" s="738">
        <v>252.5</v>
      </c>
      <c r="BH118" s="660">
        <v>253.3</v>
      </c>
      <c r="BI118" s="623">
        <v>253.3</v>
      </c>
      <c r="BJ118" s="623">
        <v>253.3</v>
      </c>
      <c r="BK118" s="623">
        <v>253.3</v>
      </c>
      <c r="BL118" s="623">
        <v>263.2</v>
      </c>
      <c r="BM118" s="623">
        <v>263.2</v>
      </c>
      <c r="BN118" s="623">
        <v>266.2</v>
      </c>
      <c r="BO118" s="623">
        <v>274.89999999999998</v>
      </c>
      <c r="BP118" s="623">
        <v>274.2</v>
      </c>
      <c r="BQ118" s="623">
        <v>274.89999999999998</v>
      </c>
      <c r="BR118" s="623">
        <v>274.89999999999998</v>
      </c>
      <c r="BS118" s="659">
        <v>276.89999999999998</v>
      </c>
      <c r="BT118" s="660">
        <v>280.39999999999998</v>
      </c>
      <c r="BU118" s="623">
        <v>280.89999999999998</v>
      </c>
      <c r="BV118" s="623">
        <v>284.8</v>
      </c>
      <c r="BW118" s="623">
        <v>286.8</v>
      </c>
      <c r="BX118" s="623">
        <v>287.60000000000002</v>
      </c>
      <c r="BY118" s="623">
        <v>288.2</v>
      </c>
      <c r="BZ118" s="623">
        <v>297.7</v>
      </c>
      <c r="CA118" s="623">
        <v>306.5</v>
      </c>
      <c r="CB118" s="623">
        <v>309.5</v>
      </c>
      <c r="CC118" s="623">
        <v>312.7</v>
      </c>
      <c r="CD118" s="623">
        <v>317.10000000000002</v>
      </c>
      <c r="CE118" s="659">
        <v>318</v>
      </c>
      <c r="CF118" s="660">
        <v>324.39999999999998</v>
      </c>
      <c r="CG118" s="623">
        <v>332.9</v>
      </c>
      <c r="CH118" s="623">
        <v>340</v>
      </c>
      <c r="CI118" s="623">
        <v>345.5</v>
      </c>
      <c r="CJ118" s="623">
        <v>355.5</v>
      </c>
      <c r="CK118" s="623">
        <v>372.8</v>
      </c>
      <c r="CL118" s="623">
        <v>390.6</v>
      </c>
      <c r="CM118" s="623">
        <v>398.7</v>
      </c>
      <c r="CN118" s="623">
        <v>398.7</v>
      </c>
      <c r="CO118" s="623">
        <v>404.6</v>
      </c>
      <c r="CP118" s="623">
        <v>411.9</v>
      </c>
      <c r="CQ118" s="659">
        <v>406.5</v>
      </c>
      <c r="CR118" s="660">
        <v>410.1</v>
      </c>
      <c r="CS118" s="623">
        <v>409.2</v>
      </c>
      <c r="CT118" s="623">
        <v>401.2</v>
      </c>
      <c r="CU118" s="623">
        <v>396</v>
      </c>
      <c r="CV118" s="623">
        <v>400.1</v>
      </c>
      <c r="CW118" s="623">
        <v>404.6</v>
      </c>
      <c r="CX118" s="623">
        <v>413.9</v>
      </c>
      <c r="CY118" s="623">
        <v>413.9</v>
      </c>
      <c r="CZ118" s="623">
        <v>424.6</v>
      </c>
      <c r="DA118" s="623">
        <v>433.4</v>
      </c>
      <c r="DB118" s="725">
        <v>434.7</v>
      </c>
      <c r="DC118" s="659">
        <v>436</v>
      </c>
      <c r="DD118" s="783">
        <v>438.6</v>
      </c>
      <c r="DE118" s="623">
        <v>449</v>
      </c>
      <c r="DF118" s="725">
        <v>450.8</v>
      </c>
      <c r="DG118" s="659">
        <v>464.3</v>
      </c>
      <c r="DH118" s="623">
        <v>473.1</v>
      </c>
      <c r="DI118" s="623">
        <v>477.4</v>
      </c>
      <c r="DJ118" s="623">
        <v>474</v>
      </c>
      <c r="DK118" s="659">
        <v>483.9</v>
      </c>
      <c r="DL118" s="623">
        <v>501.4</v>
      </c>
      <c r="DM118" s="659">
        <v>504.9</v>
      </c>
      <c r="DN118" s="659">
        <v>504.5</v>
      </c>
      <c r="DO118" s="897">
        <v>511.8</v>
      </c>
      <c r="DP118" s="783">
        <v>512.79999999999995</v>
      </c>
      <c r="DQ118" s="659">
        <v>525.5</v>
      </c>
      <c r="DR118" s="659">
        <v>535.4</v>
      </c>
      <c r="DS118" s="659">
        <v>557.5</v>
      </c>
      <c r="DT118" s="623">
        <v>560.9</v>
      </c>
      <c r="DU118" s="659">
        <v>569.6</v>
      </c>
      <c r="DV118" s="659">
        <v>578.9</v>
      </c>
      <c r="DW118" s="659">
        <v>584</v>
      </c>
      <c r="DX118" s="659">
        <v>591.1</v>
      </c>
      <c r="DY118" s="659">
        <v>601.5</v>
      </c>
      <c r="DZ118" s="659">
        <v>604.5</v>
      </c>
      <c r="EA118" s="897">
        <v>612.5</v>
      </c>
      <c r="EB118" s="659">
        <v>612.5</v>
      </c>
      <c r="EC118" s="659">
        <v>613.79999999999995</v>
      </c>
      <c r="ED118" s="659">
        <v>613.70000000000005</v>
      </c>
      <c r="EE118" s="659">
        <v>619.5</v>
      </c>
      <c r="EF118" s="659">
        <v>629</v>
      </c>
      <c r="EG118" s="659">
        <v>634</v>
      </c>
      <c r="EH118" s="659">
        <v>643.70000000000005</v>
      </c>
      <c r="EI118" s="659">
        <v>650</v>
      </c>
      <c r="EJ118" s="659">
        <v>664.4</v>
      </c>
      <c r="EK118" s="623">
        <v>668</v>
      </c>
      <c r="EL118" s="725">
        <v>676.5</v>
      </c>
      <c r="EM118" s="659">
        <v>687.6</v>
      </c>
      <c r="EN118" s="783">
        <v>694.5</v>
      </c>
      <c r="EO118" s="659">
        <v>708.4</v>
      </c>
      <c r="EP118" s="659">
        <v>720.7</v>
      </c>
      <c r="EQ118" s="659">
        <v>732.2</v>
      </c>
      <c r="ER118" s="659">
        <v>742.5</v>
      </c>
      <c r="ES118" s="659">
        <v>775.9</v>
      </c>
      <c r="ET118" s="659">
        <v>793.9</v>
      </c>
      <c r="EU118" s="659">
        <v>801.9</v>
      </c>
      <c r="EV118" s="659">
        <v>816.5</v>
      </c>
      <c r="EW118" s="659">
        <v>834.8</v>
      </c>
      <c r="EX118" s="659">
        <v>839</v>
      </c>
      <c r="EY118" s="659">
        <v>878.1</v>
      </c>
      <c r="EZ118" s="783">
        <v>935.2</v>
      </c>
      <c r="FA118" s="659">
        <v>1047.4000000000001</v>
      </c>
      <c r="FB118" s="659">
        <v>1120.8</v>
      </c>
      <c r="FC118" s="659">
        <v>1139.7</v>
      </c>
      <c r="FD118" s="659">
        <v>1150.0999999999999</v>
      </c>
      <c r="FE118" s="659">
        <v>1173.4000000000001</v>
      </c>
      <c r="FF118" s="659">
        <v>1185.0999999999999</v>
      </c>
      <c r="FG118" s="659">
        <v>1268.3</v>
      </c>
      <c r="FH118" s="659">
        <v>1270.9000000000001</v>
      </c>
      <c r="FI118" s="659">
        <v>1280.8</v>
      </c>
      <c r="FJ118" s="659">
        <v>1285.3</v>
      </c>
      <c r="FK118" s="897">
        <v>1297.4000000000001</v>
      </c>
      <c r="FL118" s="660">
        <v>1297.5</v>
      </c>
      <c r="FM118" s="623">
        <v>1293.5</v>
      </c>
      <c r="FN118" s="623">
        <v>1315.7</v>
      </c>
      <c r="FO118" s="623">
        <v>1323.1</v>
      </c>
      <c r="FP118" s="623">
        <v>1338.2</v>
      </c>
      <c r="FQ118" s="623">
        <v>1338.2</v>
      </c>
      <c r="FR118" s="623">
        <v>1352.3</v>
      </c>
      <c r="FS118" s="623">
        <v>1365.9</v>
      </c>
      <c r="FT118" s="623">
        <v>1387.1</v>
      </c>
      <c r="FU118" s="897">
        <v>1411.8</v>
      </c>
      <c r="FV118" s="1167">
        <f t="shared" si="1"/>
        <v>1.0178069353327086</v>
      </c>
    </row>
    <row r="119" spans="1:178" s="1075" customFormat="1" ht="36" hidden="1" customHeight="1">
      <c r="A119" s="1547">
        <v>1</v>
      </c>
      <c r="B119" s="1059">
        <v>94</v>
      </c>
      <c r="C119" s="1039" t="s">
        <v>245</v>
      </c>
      <c r="D119" s="1058" t="s">
        <v>246</v>
      </c>
      <c r="E119" s="1039" t="s">
        <v>918</v>
      </c>
      <c r="F119" s="1058"/>
      <c r="G119" s="1039" t="s">
        <v>515</v>
      </c>
      <c r="H119" s="1039"/>
      <c r="I119" s="1057" t="s">
        <v>124</v>
      </c>
      <c r="J119" s="1069" t="s">
        <v>772</v>
      </c>
      <c r="K119" s="1041">
        <v>100</v>
      </c>
      <c r="L119" s="1042">
        <v>131</v>
      </c>
      <c r="M119" s="1043">
        <v>162</v>
      </c>
      <c r="N119" s="1043">
        <v>172</v>
      </c>
      <c r="O119" s="1043">
        <v>197</v>
      </c>
      <c r="P119" s="1043">
        <v>233</v>
      </c>
      <c r="Q119" s="1043">
        <v>245</v>
      </c>
      <c r="R119" s="1043">
        <v>253</v>
      </c>
      <c r="S119" s="1043">
        <v>252</v>
      </c>
      <c r="T119" s="1043">
        <v>256</v>
      </c>
      <c r="U119" s="1043">
        <v>254</v>
      </c>
      <c r="V119" s="1043">
        <v>253</v>
      </c>
      <c r="W119" s="1043">
        <v>253</v>
      </c>
      <c r="X119" s="1043">
        <v>253</v>
      </c>
      <c r="Y119" s="1043">
        <v>244</v>
      </c>
      <c r="Z119" s="1043">
        <v>243</v>
      </c>
      <c r="AA119" s="1043">
        <v>235</v>
      </c>
      <c r="AB119" s="1043">
        <v>233</v>
      </c>
      <c r="AC119" s="1043">
        <v>230</v>
      </c>
      <c r="AD119" s="1043">
        <v>230</v>
      </c>
      <c r="AE119" s="1043">
        <v>230</v>
      </c>
      <c r="AF119" s="1043">
        <v>230</v>
      </c>
      <c r="AG119" s="1043">
        <v>230</v>
      </c>
      <c r="AH119" s="1043">
        <v>240</v>
      </c>
      <c r="AI119" s="1044">
        <v>241</v>
      </c>
      <c r="AJ119" s="1045">
        <v>250</v>
      </c>
      <c r="AK119" s="1043">
        <v>259</v>
      </c>
      <c r="AL119" s="1043">
        <v>258.8</v>
      </c>
      <c r="AM119" s="1043">
        <v>260</v>
      </c>
      <c r="AN119" s="1043">
        <v>268.2</v>
      </c>
      <c r="AO119" s="1043">
        <v>279</v>
      </c>
      <c r="AP119" s="1043">
        <v>279.2</v>
      </c>
      <c r="AQ119" s="1043">
        <v>285</v>
      </c>
      <c r="AR119" s="1043">
        <v>299.5</v>
      </c>
      <c r="AS119" s="1043">
        <v>299.5</v>
      </c>
      <c r="AT119" s="1043">
        <v>305.3</v>
      </c>
      <c r="AU119" s="1044">
        <v>318.8</v>
      </c>
      <c r="AV119" s="1046">
        <v>318.8</v>
      </c>
      <c r="AW119" s="1047">
        <v>319</v>
      </c>
      <c r="AX119" s="1047">
        <v>318.8</v>
      </c>
      <c r="AY119" s="1047">
        <v>321.8</v>
      </c>
      <c r="AZ119" s="1047">
        <v>321.8</v>
      </c>
      <c r="BA119" s="1047">
        <v>321.8</v>
      </c>
      <c r="BB119" s="1047">
        <v>321.8</v>
      </c>
      <c r="BC119" s="1048">
        <v>334</v>
      </c>
      <c r="BD119" s="1047">
        <v>347.4</v>
      </c>
      <c r="BE119" s="1048">
        <v>347.4</v>
      </c>
      <c r="BF119" s="1048">
        <v>354.3</v>
      </c>
      <c r="BG119" s="1060">
        <v>355.3</v>
      </c>
      <c r="BH119" s="1050">
        <v>396.1</v>
      </c>
      <c r="BI119" s="1051">
        <v>387.08</v>
      </c>
      <c r="BJ119" s="1051">
        <v>401.875</v>
      </c>
      <c r="BK119" s="1051">
        <v>410.5</v>
      </c>
      <c r="BL119" s="1051">
        <v>434.8</v>
      </c>
      <c r="BM119" s="1051">
        <v>448.5</v>
      </c>
      <c r="BN119" s="1051">
        <v>449</v>
      </c>
      <c r="BO119" s="1051">
        <v>454.8</v>
      </c>
      <c r="BP119" s="1051">
        <v>455.3</v>
      </c>
      <c r="BQ119" s="1051">
        <v>457.2</v>
      </c>
      <c r="BR119" s="1051">
        <v>457.2</v>
      </c>
      <c r="BS119" s="1052">
        <v>457.2</v>
      </c>
      <c r="BT119" s="1050">
        <v>457.2</v>
      </c>
      <c r="BU119" s="1051">
        <v>457.2</v>
      </c>
      <c r="BV119" s="1051">
        <v>457.2</v>
      </c>
      <c r="BW119" s="1051">
        <v>453.45100000000002</v>
      </c>
      <c r="BX119" s="1051">
        <v>458.892</v>
      </c>
      <c r="BY119" s="1051">
        <v>480.92899999999997</v>
      </c>
      <c r="BZ119" s="1051">
        <v>482.11700000000002</v>
      </c>
      <c r="CA119" s="1051">
        <v>501.68599999999998</v>
      </c>
      <c r="CB119" s="1051">
        <v>508.36099999999999</v>
      </c>
      <c r="CC119" s="1051">
        <v>516.72699999999998</v>
      </c>
      <c r="CD119" s="1051">
        <v>516.72699999999998</v>
      </c>
      <c r="CE119" s="1052">
        <f>+'ANEXO I CADIEEL'!CE18</f>
        <v>525.78</v>
      </c>
      <c r="CF119" s="1050">
        <f>+'ANEXO I CADIEEL'!CF18</f>
        <v>540.73043999999993</v>
      </c>
      <c r="CG119" s="1051">
        <f>+'ANEXO I CADIEEL'!CG18</f>
        <v>546.39972</v>
      </c>
      <c r="CH119" s="1051">
        <f>'ANEXO I CADIEEL'!CH18</f>
        <v>552.5261999999999</v>
      </c>
      <c r="CI119" s="1051">
        <f>'ANEXO I CADIEEL'!CI18</f>
        <v>572.04863999999998</v>
      </c>
      <c r="CJ119" s="1051">
        <f>'ANEXO I CADIEEL'!CJ18</f>
        <v>577.76364000000001</v>
      </c>
      <c r="CK119" s="1051">
        <f>'ANEXO I CADIEEL'!CK18</f>
        <v>587.31912000000011</v>
      </c>
      <c r="CL119" s="1051">
        <f>'ANEXO I CADIEEL'!CL18</f>
        <v>586.95335999999998</v>
      </c>
      <c r="CM119" s="1051">
        <f>'ANEXO I CADIEEL'!CM18</f>
        <v>600.25788</v>
      </c>
      <c r="CN119" s="1051">
        <f>'ANEXO I CADIEEL'!CN18</f>
        <v>600.44076000000007</v>
      </c>
      <c r="CO119" s="1051">
        <f>'ANEXO I CADIEEL'!CO18</f>
        <v>600.44076000000007</v>
      </c>
      <c r="CP119" s="1051">
        <f>+CO119</f>
        <v>600.44076000000007</v>
      </c>
      <c r="CQ119" s="1052">
        <f>'ANEXO I CADIEEL'!CQ18</f>
        <v>614.2482</v>
      </c>
      <c r="CR119" s="1050">
        <f>'ANEXO I CADIEEL'!CR18</f>
        <v>614.2482</v>
      </c>
      <c r="CS119" s="1051">
        <f>'ANEXO I CADIEEL'!CS18</f>
        <v>609.03611999999998</v>
      </c>
      <c r="CT119" s="1070" t="s">
        <v>524</v>
      </c>
      <c r="CU119" s="1070" t="s">
        <v>524</v>
      </c>
      <c r="CV119" s="1070" t="s">
        <v>524</v>
      </c>
      <c r="CW119" s="1070" t="s">
        <v>524</v>
      </c>
      <c r="CX119" s="1070" t="s">
        <v>524</v>
      </c>
      <c r="CY119" s="1070" t="s">
        <v>524</v>
      </c>
      <c r="CZ119" s="1070" t="s">
        <v>524</v>
      </c>
      <c r="DA119" s="1070" t="s">
        <v>524</v>
      </c>
      <c r="DB119" s="1070" t="s">
        <v>524</v>
      </c>
      <c r="DC119" s="1071" t="s">
        <v>524</v>
      </c>
      <c r="DD119" s="1072" t="s">
        <v>524</v>
      </c>
      <c r="DE119" s="1070" t="s">
        <v>524</v>
      </c>
      <c r="DF119" s="1073" t="s">
        <v>524</v>
      </c>
      <c r="DG119" s="1071" t="s">
        <v>524</v>
      </c>
      <c r="DH119" s="1070" t="s">
        <v>524</v>
      </c>
      <c r="DI119" s="1070" t="s">
        <v>524</v>
      </c>
      <c r="DJ119" s="1070" t="s">
        <v>524</v>
      </c>
      <c r="DK119" s="1071" t="s">
        <v>524</v>
      </c>
      <c r="DL119" s="1070" t="s">
        <v>524</v>
      </c>
      <c r="DM119" s="1071" t="s">
        <v>524</v>
      </c>
      <c r="DN119" s="1071" t="s">
        <v>524</v>
      </c>
      <c r="DO119" s="1074" t="s">
        <v>524</v>
      </c>
      <c r="DP119" s="1072" t="s">
        <v>524</v>
      </c>
      <c r="DQ119" s="1071" t="s">
        <v>524</v>
      </c>
      <c r="DR119" s="1071" t="s">
        <v>524</v>
      </c>
      <c r="DS119" s="1071" t="s">
        <v>524</v>
      </c>
      <c r="DT119" s="1070" t="s">
        <v>524</v>
      </c>
      <c r="DU119" s="1070" t="s">
        <v>524</v>
      </c>
      <c r="DV119" s="1071" t="s">
        <v>524</v>
      </c>
      <c r="DW119" s="1071" t="s">
        <v>524</v>
      </c>
      <c r="DX119" s="1071" t="s">
        <v>524</v>
      </c>
      <c r="DY119" s="1071" t="s">
        <v>524</v>
      </c>
      <c r="DZ119" s="1071" t="s">
        <v>524</v>
      </c>
      <c r="EA119" s="1074" t="s">
        <v>524</v>
      </c>
      <c r="EB119" s="1071" t="s">
        <v>524</v>
      </c>
      <c r="EC119" s="1071" t="s">
        <v>524</v>
      </c>
      <c r="ED119" s="1071" t="s">
        <v>524</v>
      </c>
      <c r="EE119" s="1071" t="s">
        <v>524</v>
      </c>
      <c r="EF119" s="1071" t="s">
        <v>524</v>
      </c>
      <c r="EG119" s="1071" t="s">
        <v>524</v>
      </c>
      <c r="EH119" s="1071"/>
      <c r="EI119" s="1071" t="s">
        <v>524</v>
      </c>
      <c r="EJ119" s="1071" t="s">
        <v>524</v>
      </c>
      <c r="EK119" s="1070" t="s">
        <v>524</v>
      </c>
      <c r="EL119" s="1070" t="s">
        <v>524</v>
      </c>
      <c r="EM119" s="1071" t="s">
        <v>524</v>
      </c>
      <c r="EN119" s="1072" t="s">
        <v>524</v>
      </c>
      <c r="EO119" s="1071" t="s">
        <v>524</v>
      </c>
      <c r="EP119" s="1071" t="s">
        <v>524</v>
      </c>
      <c r="EQ119" s="1071" t="s">
        <v>524</v>
      </c>
      <c r="ER119" s="1071" t="s">
        <v>524</v>
      </c>
      <c r="ES119" s="1071" t="s">
        <v>524</v>
      </c>
      <c r="ET119" s="1071" t="s">
        <v>524</v>
      </c>
      <c r="EU119" s="1071" t="s">
        <v>524</v>
      </c>
      <c r="EV119" s="1071" t="s">
        <v>524</v>
      </c>
      <c r="EW119" s="1071" t="s">
        <v>524</v>
      </c>
      <c r="EX119" s="1071" t="s">
        <v>524</v>
      </c>
      <c r="EY119" s="1071" t="s">
        <v>524</v>
      </c>
      <c r="EZ119" s="1072" t="s">
        <v>524</v>
      </c>
      <c r="FA119" s="1071" t="s">
        <v>524</v>
      </c>
      <c r="FB119" s="1071" t="s">
        <v>524</v>
      </c>
      <c r="FC119" s="1071" t="s">
        <v>524</v>
      </c>
      <c r="FD119" s="1071" t="s">
        <v>524</v>
      </c>
      <c r="FE119" s="1071" t="s">
        <v>524</v>
      </c>
      <c r="FF119" s="1071" t="s">
        <v>524</v>
      </c>
      <c r="FG119" s="1071" t="s">
        <v>524</v>
      </c>
      <c r="FH119" s="1071" t="s">
        <v>524</v>
      </c>
      <c r="FI119" s="1071" t="s">
        <v>524</v>
      </c>
      <c r="FJ119" s="1071" t="s">
        <v>524</v>
      </c>
      <c r="FK119" s="1074" t="s">
        <v>524</v>
      </c>
      <c r="FL119" s="1564"/>
      <c r="FM119" s="1070"/>
      <c r="FN119" s="1070"/>
      <c r="FO119" s="1070"/>
      <c r="FP119" s="1070"/>
      <c r="FQ119" s="1070"/>
      <c r="FR119" s="1070"/>
      <c r="FS119" s="1070"/>
      <c r="FT119" s="1070"/>
      <c r="FU119" s="1074"/>
      <c r="FV119" s="1167" t="e">
        <f t="shared" si="1"/>
        <v>#DIV/0!</v>
      </c>
    </row>
    <row r="120" spans="1:178" s="115" customFormat="1" ht="18.95" customHeight="1">
      <c r="A120" s="1546">
        <v>1</v>
      </c>
      <c r="B120" s="408">
        <v>95</v>
      </c>
      <c r="C120" s="621" t="s">
        <v>247</v>
      </c>
      <c r="D120" s="622" t="s">
        <v>250</v>
      </c>
      <c r="E120" s="621" t="s">
        <v>918</v>
      </c>
      <c r="F120" s="622"/>
      <c r="G120" s="621" t="s">
        <v>919</v>
      </c>
      <c r="H120" s="621" t="s">
        <v>920</v>
      </c>
      <c r="I120" s="390" t="s">
        <v>921</v>
      </c>
      <c r="J120" s="651"/>
      <c r="K120" s="669">
        <v>96.66</v>
      </c>
      <c r="L120" s="665">
        <v>97.07</v>
      </c>
      <c r="M120" s="625">
        <v>100.02</v>
      </c>
      <c r="N120" s="625">
        <v>103.91</v>
      </c>
      <c r="O120" s="625">
        <v>106.66</v>
      </c>
      <c r="P120" s="625">
        <v>129.97</v>
      </c>
      <c r="Q120" s="625">
        <v>126.73</v>
      </c>
      <c r="R120" s="625">
        <v>132.49</v>
      </c>
      <c r="S120" s="625">
        <v>130.6</v>
      </c>
      <c r="T120" s="625">
        <v>138.12</v>
      </c>
      <c r="U120" s="625">
        <v>141.47999999999999</v>
      </c>
      <c r="V120" s="625">
        <v>141.16</v>
      </c>
      <c r="W120" s="625">
        <v>127.31</v>
      </c>
      <c r="X120" s="625">
        <v>134.35</v>
      </c>
      <c r="Y120" s="625">
        <v>144.03</v>
      </c>
      <c r="Z120" s="625">
        <v>143.97</v>
      </c>
      <c r="AA120" s="625">
        <v>134.54</v>
      </c>
      <c r="AB120" s="625">
        <v>134.99</v>
      </c>
      <c r="AC120" s="625">
        <v>134.93</v>
      </c>
      <c r="AD120" s="625">
        <v>135.66999999999999</v>
      </c>
      <c r="AE120" s="625">
        <v>144.36000000000001</v>
      </c>
      <c r="AF120" s="625">
        <v>144.36000000000001</v>
      </c>
      <c r="AG120" s="625">
        <v>142.18</v>
      </c>
      <c r="AH120" s="625">
        <v>143.55000000000001</v>
      </c>
      <c r="AI120" s="764">
        <v>146.66999999999999</v>
      </c>
      <c r="AJ120" s="772">
        <v>147.68</v>
      </c>
      <c r="AK120" s="625">
        <v>140.34</v>
      </c>
      <c r="AL120" s="625">
        <v>147.21</v>
      </c>
      <c r="AM120" s="625">
        <v>152.77000000000001</v>
      </c>
      <c r="AN120" s="625">
        <v>153.07</v>
      </c>
      <c r="AO120" s="625">
        <v>150.26</v>
      </c>
      <c r="AP120" s="625">
        <v>153.96</v>
      </c>
      <c r="AQ120" s="625">
        <v>153.19</v>
      </c>
      <c r="AR120" s="625">
        <v>152.87</v>
      </c>
      <c r="AS120" s="625">
        <v>153.51</v>
      </c>
      <c r="AT120" s="625">
        <v>153.41</v>
      </c>
      <c r="AU120" s="764">
        <v>155.06</v>
      </c>
      <c r="AV120" s="752">
        <v>155.06</v>
      </c>
      <c r="AW120" s="626">
        <v>158.02000000000001</v>
      </c>
      <c r="AX120" s="626">
        <v>158.03</v>
      </c>
      <c r="AY120" s="626">
        <v>158.27000000000001</v>
      </c>
      <c r="AZ120" s="626">
        <v>158.27000000000001</v>
      </c>
      <c r="BA120" s="626">
        <v>158.9</v>
      </c>
      <c r="BB120" s="626">
        <v>159.91999999999999</v>
      </c>
      <c r="BC120" s="627">
        <v>159.91999999999999</v>
      </c>
      <c r="BD120" s="626">
        <v>164.02</v>
      </c>
      <c r="BE120" s="627">
        <v>165.68</v>
      </c>
      <c r="BF120" s="627">
        <v>168.71</v>
      </c>
      <c r="BG120" s="738">
        <v>168.71</v>
      </c>
      <c r="BH120" s="660">
        <v>174.59</v>
      </c>
      <c r="BI120" s="623">
        <v>183.31</v>
      </c>
      <c r="BJ120" s="623">
        <v>183.31</v>
      </c>
      <c r="BK120" s="623">
        <v>190.06</v>
      </c>
      <c r="BL120" s="623">
        <v>193.23</v>
      </c>
      <c r="BM120" s="623">
        <v>193.23</v>
      </c>
      <c r="BN120" s="623">
        <v>195.99</v>
      </c>
      <c r="BO120" s="623">
        <v>195.99</v>
      </c>
      <c r="BP120" s="623">
        <v>198.09</v>
      </c>
      <c r="BQ120" s="623">
        <v>198.09</v>
      </c>
      <c r="BR120" s="623">
        <v>198.09</v>
      </c>
      <c r="BS120" s="659">
        <v>202.01</v>
      </c>
      <c r="BT120" s="660">
        <v>206.55</v>
      </c>
      <c r="BU120" s="623">
        <v>208.85</v>
      </c>
      <c r="BV120" s="623">
        <v>228.2</v>
      </c>
      <c r="BW120" s="623">
        <v>230.49</v>
      </c>
      <c r="BX120" s="623">
        <v>232.01</v>
      </c>
      <c r="BY120" s="623">
        <v>234.47</v>
      </c>
      <c r="BZ120" s="623">
        <v>234.46</v>
      </c>
      <c r="CA120" s="623">
        <v>238.77</v>
      </c>
      <c r="CB120" s="623">
        <v>238.77</v>
      </c>
      <c r="CC120" s="623">
        <v>241.46</v>
      </c>
      <c r="CD120" s="623">
        <v>244.75</v>
      </c>
      <c r="CE120" s="659">
        <v>249.26</v>
      </c>
      <c r="CF120" s="660">
        <v>253.26</v>
      </c>
      <c r="CG120" s="623">
        <v>262.06</v>
      </c>
      <c r="CH120" s="623">
        <v>265.51</v>
      </c>
      <c r="CI120" s="623">
        <v>268.31</v>
      </c>
      <c r="CJ120" s="623">
        <v>270.63</v>
      </c>
      <c r="CK120" s="623">
        <v>284.36</v>
      </c>
      <c r="CL120" s="623">
        <v>285.26</v>
      </c>
      <c r="CM120" s="623">
        <v>276.04000000000002</v>
      </c>
      <c r="CN120" s="623">
        <v>290.14</v>
      </c>
      <c r="CO120" s="623">
        <v>290.14</v>
      </c>
      <c r="CP120" s="623">
        <v>290.14</v>
      </c>
      <c r="CQ120" s="659">
        <v>290.14</v>
      </c>
      <c r="CR120" s="660">
        <v>307.43</v>
      </c>
      <c r="CS120" s="623">
        <v>307.43</v>
      </c>
      <c r="CT120" s="623">
        <v>307.43</v>
      </c>
      <c r="CU120" s="623">
        <v>302.63</v>
      </c>
      <c r="CV120" s="623">
        <v>302.63</v>
      </c>
      <c r="CW120" s="623">
        <v>306.63</v>
      </c>
      <c r="CX120" s="623">
        <v>304.47000000000003</v>
      </c>
      <c r="CY120" s="623">
        <v>307.55</v>
      </c>
      <c r="CZ120" s="623">
        <v>311.89999999999998</v>
      </c>
      <c r="DA120" s="623">
        <v>314.13</v>
      </c>
      <c r="DB120" s="725">
        <v>329.89</v>
      </c>
      <c r="DC120" s="659">
        <v>329.89</v>
      </c>
      <c r="DD120" s="783">
        <v>329.89</v>
      </c>
      <c r="DE120" s="623">
        <v>330.66</v>
      </c>
      <c r="DF120" s="725">
        <v>337.98</v>
      </c>
      <c r="DG120" s="659">
        <v>339.45</v>
      </c>
      <c r="DH120" s="623">
        <v>352.54</v>
      </c>
      <c r="DI120" s="623">
        <v>356.94</v>
      </c>
      <c r="DJ120" s="623">
        <v>357.57</v>
      </c>
      <c r="DK120" s="659">
        <v>361.73</v>
      </c>
      <c r="DL120" s="623">
        <v>361.72</v>
      </c>
      <c r="DM120" s="659">
        <v>374.39</v>
      </c>
      <c r="DN120" s="659">
        <v>388.78</v>
      </c>
      <c r="DO120" s="897">
        <v>399.67</v>
      </c>
      <c r="DP120" s="783">
        <v>398.5</v>
      </c>
      <c r="DQ120" s="659">
        <v>409.2</v>
      </c>
      <c r="DR120" s="659">
        <v>423.44</v>
      </c>
      <c r="DS120" s="659">
        <v>437.29</v>
      </c>
      <c r="DT120" s="623">
        <v>443.33</v>
      </c>
      <c r="DU120" s="659">
        <v>457.65</v>
      </c>
      <c r="DV120" s="659">
        <v>457.88</v>
      </c>
      <c r="DW120" s="659">
        <v>463.53</v>
      </c>
      <c r="DX120" s="659">
        <v>474.23</v>
      </c>
      <c r="DY120" s="659">
        <v>481.32</v>
      </c>
      <c r="DZ120" s="659">
        <v>481.86</v>
      </c>
      <c r="EA120" s="897">
        <v>503.47</v>
      </c>
      <c r="EB120" s="659">
        <v>523.52</v>
      </c>
      <c r="EC120" s="659">
        <v>530.07000000000005</v>
      </c>
      <c r="ED120" s="659">
        <v>546.45000000000005</v>
      </c>
      <c r="EE120" s="659">
        <v>572.57000000000005</v>
      </c>
      <c r="EF120" s="659">
        <v>582.58000000000004</v>
      </c>
      <c r="EG120" s="659">
        <v>586.15</v>
      </c>
      <c r="EH120" s="659">
        <v>595.88</v>
      </c>
      <c r="EI120" s="659">
        <v>604.61</v>
      </c>
      <c r="EJ120" s="659">
        <v>605.61</v>
      </c>
      <c r="EK120" s="623">
        <v>624.47</v>
      </c>
      <c r="EL120" s="725">
        <v>626.29999999999995</v>
      </c>
      <c r="EM120" s="659">
        <v>626.29999999999995</v>
      </c>
      <c r="EN120" s="783">
        <v>644.4</v>
      </c>
      <c r="EO120" s="659">
        <v>651.16999999999996</v>
      </c>
      <c r="EP120" s="659">
        <v>653.17999999999995</v>
      </c>
      <c r="EQ120" s="659">
        <v>678.31</v>
      </c>
      <c r="ER120" s="659">
        <v>683.66</v>
      </c>
      <c r="ES120" s="659">
        <v>707.45</v>
      </c>
      <c r="ET120" s="659">
        <v>714.36</v>
      </c>
      <c r="EU120" s="659">
        <v>738.06</v>
      </c>
      <c r="EV120" s="659">
        <v>741.75</v>
      </c>
      <c r="EW120" s="659">
        <v>763.76</v>
      </c>
      <c r="EX120" s="659">
        <v>765.25</v>
      </c>
      <c r="EY120" s="659">
        <v>793.91</v>
      </c>
      <c r="EZ120" s="783">
        <v>825.48</v>
      </c>
      <c r="FA120" s="659">
        <v>897.26</v>
      </c>
      <c r="FB120" s="659">
        <v>922.22</v>
      </c>
      <c r="FC120" s="659">
        <v>950.58</v>
      </c>
      <c r="FD120" s="659">
        <v>977.06</v>
      </c>
      <c r="FE120" s="659">
        <v>991.43</v>
      </c>
      <c r="FF120" s="659">
        <v>1007.73</v>
      </c>
      <c r="FG120" s="659">
        <v>1034.6099999999999</v>
      </c>
      <c r="FH120" s="659">
        <v>1056.81</v>
      </c>
      <c r="FI120" s="659">
        <v>1057.3699999999999</v>
      </c>
      <c r="FJ120" s="659">
        <v>1087.0999999999999</v>
      </c>
      <c r="FK120" s="897">
        <v>1095.25</v>
      </c>
      <c r="FL120" s="660">
        <v>1142.07</v>
      </c>
      <c r="FM120" s="623">
        <v>1155.1199999999999</v>
      </c>
      <c r="FN120" s="623">
        <v>1197.08</v>
      </c>
      <c r="FO120" s="623">
        <v>1203.4000000000001</v>
      </c>
      <c r="FP120" s="623">
        <v>1234.76</v>
      </c>
      <c r="FQ120" s="623">
        <v>1260.76</v>
      </c>
      <c r="FR120" s="623">
        <v>1264.95</v>
      </c>
      <c r="FS120" s="623">
        <v>1310.68</v>
      </c>
      <c r="FT120" s="623">
        <v>1321.67</v>
      </c>
      <c r="FU120" s="897">
        <v>1369.1</v>
      </c>
      <c r="FV120" s="1167">
        <f t="shared" si="1"/>
        <v>1.0358864164277013</v>
      </c>
    </row>
    <row r="121" spans="1:178" s="115" customFormat="1" ht="18.95" customHeight="1">
      <c r="A121" s="1546">
        <v>1</v>
      </c>
      <c r="B121" s="644">
        <v>96</v>
      </c>
      <c r="C121" s="645" t="s">
        <v>251</v>
      </c>
      <c r="D121" s="646" t="s">
        <v>252</v>
      </c>
      <c r="E121" s="645" t="s">
        <v>918</v>
      </c>
      <c r="F121" s="646"/>
      <c r="G121" s="645" t="s">
        <v>919</v>
      </c>
      <c r="H121" s="645" t="s">
        <v>920</v>
      </c>
      <c r="I121" s="876"/>
      <c r="J121" s="869"/>
      <c r="K121" s="877">
        <v>118.2</v>
      </c>
      <c r="L121" s="878">
        <v>116.15</v>
      </c>
      <c r="M121" s="879">
        <v>119.36</v>
      </c>
      <c r="N121" s="879">
        <v>135.93</v>
      </c>
      <c r="O121" s="879">
        <v>164.26</v>
      </c>
      <c r="P121" s="879">
        <v>196.45</v>
      </c>
      <c r="Q121" s="879">
        <v>239.69</v>
      </c>
      <c r="R121" s="879">
        <v>268.20999999999998</v>
      </c>
      <c r="S121" s="879">
        <v>290.24</v>
      </c>
      <c r="T121" s="879">
        <v>306.37</v>
      </c>
      <c r="U121" s="879">
        <v>315.87</v>
      </c>
      <c r="V121" s="879">
        <v>314.8</v>
      </c>
      <c r="W121" s="879">
        <v>314.61</v>
      </c>
      <c r="X121" s="879">
        <v>329.58</v>
      </c>
      <c r="Y121" s="879">
        <v>329.25</v>
      </c>
      <c r="Z121" s="879">
        <v>329.86</v>
      </c>
      <c r="AA121" s="879">
        <v>329.86</v>
      </c>
      <c r="AB121" s="879">
        <v>329.86</v>
      </c>
      <c r="AC121" s="879">
        <v>322.29000000000002</v>
      </c>
      <c r="AD121" s="879">
        <v>321.02999999999997</v>
      </c>
      <c r="AE121" s="879">
        <v>321.52</v>
      </c>
      <c r="AF121" s="879">
        <v>320.7</v>
      </c>
      <c r="AG121" s="879">
        <v>320.7</v>
      </c>
      <c r="AH121" s="879">
        <v>320.7</v>
      </c>
      <c r="AI121" s="880">
        <v>320.67</v>
      </c>
      <c r="AJ121" s="881">
        <v>321.14999999999998</v>
      </c>
      <c r="AK121" s="879">
        <v>321.14999999999998</v>
      </c>
      <c r="AL121" s="879">
        <v>322.19</v>
      </c>
      <c r="AM121" s="879">
        <v>322.41000000000003</v>
      </c>
      <c r="AN121" s="879">
        <v>323.56</v>
      </c>
      <c r="AO121" s="879">
        <v>324.01</v>
      </c>
      <c r="AP121" s="879">
        <v>323.45999999999998</v>
      </c>
      <c r="AQ121" s="879">
        <v>328.2</v>
      </c>
      <c r="AR121" s="879">
        <v>329.49</v>
      </c>
      <c r="AS121" s="879">
        <v>329.49</v>
      </c>
      <c r="AT121" s="879">
        <v>329.49</v>
      </c>
      <c r="AU121" s="880">
        <v>329.43</v>
      </c>
      <c r="AV121" s="882">
        <v>329.36</v>
      </c>
      <c r="AW121" s="883">
        <v>329.36</v>
      </c>
      <c r="AX121" s="883">
        <v>331.96</v>
      </c>
      <c r="AY121" s="883">
        <v>328.85</v>
      </c>
      <c r="AZ121" s="883">
        <v>328.85</v>
      </c>
      <c r="BA121" s="883">
        <v>328.85</v>
      </c>
      <c r="BB121" s="883">
        <v>328.85</v>
      </c>
      <c r="BC121" s="884">
        <v>328.92</v>
      </c>
      <c r="BD121" s="883">
        <v>328.88</v>
      </c>
      <c r="BE121" s="884">
        <v>330.14</v>
      </c>
      <c r="BF121" s="884">
        <v>330.72</v>
      </c>
      <c r="BG121" s="885">
        <v>330.72</v>
      </c>
      <c r="BH121" s="886">
        <v>330.72</v>
      </c>
      <c r="BI121" s="887">
        <v>330.72</v>
      </c>
      <c r="BJ121" s="887">
        <v>330.72</v>
      </c>
      <c r="BK121" s="887">
        <v>330.62</v>
      </c>
      <c r="BL121" s="887">
        <v>330.79</v>
      </c>
      <c r="BM121" s="887">
        <v>331.18</v>
      </c>
      <c r="BN121" s="887">
        <v>331.2</v>
      </c>
      <c r="BO121" s="887">
        <v>331.18</v>
      </c>
      <c r="BP121" s="887">
        <v>331.2</v>
      </c>
      <c r="BQ121" s="887">
        <v>331.2</v>
      </c>
      <c r="BR121" s="887">
        <v>331.2</v>
      </c>
      <c r="BS121" s="888">
        <v>331.2</v>
      </c>
      <c r="BT121" s="886">
        <v>331.2</v>
      </c>
      <c r="BU121" s="887">
        <v>331.2</v>
      </c>
      <c r="BV121" s="887">
        <v>331.2</v>
      </c>
      <c r="BW121" s="887">
        <v>331.2</v>
      </c>
      <c r="BX121" s="887">
        <v>334.34</v>
      </c>
      <c r="BY121" s="887">
        <v>335.12</v>
      </c>
      <c r="BZ121" s="887">
        <v>338.4</v>
      </c>
      <c r="CA121" s="887">
        <v>342.8</v>
      </c>
      <c r="CB121" s="887">
        <v>344.41</v>
      </c>
      <c r="CC121" s="887">
        <v>344.81</v>
      </c>
      <c r="CD121" s="887">
        <v>350.86</v>
      </c>
      <c r="CE121" s="888">
        <v>358.4</v>
      </c>
      <c r="CF121" s="886">
        <v>351.91</v>
      </c>
      <c r="CG121" s="887">
        <v>334.19</v>
      </c>
      <c r="CH121" s="887">
        <v>330.19</v>
      </c>
      <c r="CI121" s="887">
        <v>341.96</v>
      </c>
      <c r="CJ121" s="887">
        <v>367.35</v>
      </c>
      <c r="CK121" s="887">
        <v>381.04</v>
      </c>
      <c r="CL121" s="887">
        <v>384.24</v>
      </c>
      <c r="CM121" s="887">
        <v>384.8</v>
      </c>
      <c r="CN121" s="887">
        <v>387.33</v>
      </c>
      <c r="CO121" s="887">
        <v>389.03</v>
      </c>
      <c r="CP121" s="887">
        <v>393.59</v>
      </c>
      <c r="CQ121" s="888">
        <v>405.88</v>
      </c>
      <c r="CR121" s="886">
        <v>410.41</v>
      </c>
      <c r="CS121" s="887">
        <v>420.96</v>
      </c>
      <c r="CT121" s="887">
        <v>430.4</v>
      </c>
      <c r="CU121" s="887">
        <v>454.8</v>
      </c>
      <c r="CV121" s="887">
        <v>465.17</v>
      </c>
      <c r="CW121" s="887">
        <v>471.72</v>
      </c>
      <c r="CX121" s="887">
        <v>483.54</v>
      </c>
      <c r="CY121" s="887">
        <v>485.11</v>
      </c>
      <c r="CZ121" s="887">
        <v>486.9</v>
      </c>
      <c r="DA121" s="887">
        <v>497.77</v>
      </c>
      <c r="DB121" s="889">
        <v>502.4</v>
      </c>
      <c r="DC121" s="888">
        <v>503.41</v>
      </c>
      <c r="DD121" s="890">
        <v>504.16</v>
      </c>
      <c r="DE121" s="887">
        <v>505.46</v>
      </c>
      <c r="DF121" s="889">
        <v>508.61</v>
      </c>
      <c r="DG121" s="888">
        <v>529.4</v>
      </c>
      <c r="DH121" s="887">
        <v>540.15</v>
      </c>
      <c r="DI121" s="887">
        <v>558.12</v>
      </c>
      <c r="DJ121" s="887">
        <v>569.94000000000005</v>
      </c>
      <c r="DK121" s="888">
        <v>578.08000000000004</v>
      </c>
      <c r="DL121" s="887">
        <v>585.37</v>
      </c>
      <c r="DM121" s="888">
        <v>585.37</v>
      </c>
      <c r="DN121" s="888">
        <v>591.70000000000005</v>
      </c>
      <c r="DO121" s="968">
        <v>602.57000000000005</v>
      </c>
      <c r="DP121" s="890">
        <v>627.69000000000005</v>
      </c>
      <c r="DQ121" s="888">
        <v>629.16</v>
      </c>
      <c r="DR121" s="888">
        <v>636.86</v>
      </c>
      <c r="DS121" s="888">
        <v>673.61</v>
      </c>
      <c r="DT121" s="887">
        <v>678.41</v>
      </c>
      <c r="DU121" s="888">
        <v>686.09</v>
      </c>
      <c r="DV121" s="888">
        <v>694.95</v>
      </c>
      <c r="DW121" s="888">
        <v>716.6</v>
      </c>
      <c r="DX121" s="888">
        <v>725.67</v>
      </c>
      <c r="DY121" s="888">
        <v>730.77</v>
      </c>
      <c r="DZ121" s="888">
        <v>730.77</v>
      </c>
      <c r="EA121" s="968">
        <v>734.26</v>
      </c>
      <c r="EB121" s="888">
        <v>748.36</v>
      </c>
      <c r="EC121" s="888">
        <v>749.62</v>
      </c>
      <c r="ED121" s="888">
        <v>765.59</v>
      </c>
      <c r="EE121" s="888">
        <v>798.44</v>
      </c>
      <c r="EF121" s="888">
        <v>811.49</v>
      </c>
      <c r="EG121" s="888">
        <v>811.49</v>
      </c>
      <c r="EH121" s="888">
        <v>812.16</v>
      </c>
      <c r="EI121" s="888">
        <v>812.35</v>
      </c>
      <c r="EJ121" s="888">
        <v>813.27</v>
      </c>
      <c r="EK121" s="887">
        <v>814.95</v>
      </c>
      <c r="EL121" s="889">
        <v>826.18</v>
      </c>
      <c r="EM121" s="888">
        <v>826.55</v>
      </c>
      <c r="EN121" s="890">
        <v>831.92</v>
      </c>
      <c r="EO121" s="888">
        <v>837.17</v>
      </c>
      <c r="EP121" s="888">
        <v>848.59</v>
      </c>
      <c r="EQ121" s="888">
        <v>868.55</v>
      </c>
      <c r="ER121" s="888">
        <v>894.16</v>
      </c>
      <c r="ES121" s="888">
        <v>897.32</v>
      </c>
      <c r="ET121" s="888">
        <v>918.31</v>
      </c>
      <c r="EU121" s="888">
        <v>925.24</v>
      </c>
      <c r="EV121" s="888">
        <v>927.93</v>
      </c>
      <c r="EW121" s="659">
        <v>932.57</v>
      </c>
      <c r="EX121" s="659">
        <v>936.57</v>
      </c>
      <c r="EY121" s="659">
        <v>945.13</v>
      </c>
      <c r="EZ121" s="783">
        <v>990.55</v>
      </c>
      <c r="FA121" s="659">
        <v>1031.28</v>
      </c>
      <c r="FB121" s="659">
        <v>1069.4100000000001</v>
      </c>
      <c r="FC121" s="659">
        <v>1132.6500000000001</v>
      </c>
      <c r="FD121" s="659">
        <v>1195.18</v>
      </c>
      <c r="FE121" s="659">
        <v>1196.21</v>
      </c>
      <c r="FF121" s="659">
        <v>1237.79</v>
      </c>
      <c r="FG121" s="659">
        <v>1238.31</v>
      </c>
      <c r="FH121" s="659">
        <v>1272.6500000000001</v>
      </c>
      <c r="FI121" s="659">
        <v>1282.28</v>
      </c>
      <c r="FJ121" s="659">
        <v>1283.31</v>
      </c>
      <c r="FK121" s="897">
        <v>1284.4000000000001</v>
      </c>
      <c r="FL121" s="660">
        <v>1261.5</v>
      </c>
      <c r="FM121" s="623">
        <v>1268.6500000000001</v>
      </c>
      <c r="FN121" s="623">
        <v>1280.6400000000001</v>
      </c>
      <c r="FO121" s="623">
        <v>1294.1199999999999</v>
      </c>
      <c r="FP121" s="623">
        <v>1310.3900000000001</v>
      </c>
      <c r="FQ121" s="623">
        <v>1323.3</v>
      </c>
      <c r="FR121" s="623">
        <v>1338.74</v>
      </c>
      <c r="FS121" s="623">
        <v>1360.2</v>
      </c>
      <c r="FT121" s="623">
        <v>1366.84</v>
      </c>
      <c r="FU121" s="897">
        <v>1366.92</v>
      </c>
      <c r="FV121" s="1167">
        <f t="shared" si="1"/>
        <v>1.0000585291621551</v>
      </c>
    </row>
    <row r="122" spans="1:178" s="115" customFormat="1" ht="18.95" customHeight="1">
      <c r="A122" s="1546">
        <v>1</v>
      </c>
      <c r="B122" s="408">
        <v>97</v>
      </c>
      <c r="C122" s="621" t="s">
        <v>253</v>
      </c>
      <c r="D122" s="622" t="s">
        <v>254</v>
      </c>
      <c r="E122" s="621" t="s">
        <v>918</v>
      </c>
      <c r="F122" s="622"/>
      <c r="G122" s="621" t="s">
        <v>929</v>
      </c>
      <c r="H122" s="621" t="s">
        <v>930</v>
      </c>
      <c r="I122" s="390"/>
      <c r="J122" s="651"/>
      <c r="K122" s="669">
        <v>98.3</v>
      </c>
      <c r="L122" s="665">
        <v>102.5</v>
      </c>
      <c r="M122" s="625">
        <v>129.19999999999999</v>
      </c>
      <c r="N122" s="625">
        <v>134.4</v>
      </c>
      <c r="O122" s="625">
        <v>175.1</v>
      </c>
      <c r="P122" s="625">
        <v>176.7</v>
      </c>
      <c r="Q122" s="625">
        <v>182.7</v>
      </c>
      <c r="R122" s="625">
        <v>198.7</v>
      </c>
      <c r="S122" s="625">
        <v>204.6</v>
      </c>
      <c r="T122" s="625">
        <v>204.6</v>
      </c>
      <c r="U122" s="625">
        <v>204.6</v>
      </c>
      <c r="V122" s="625">
        <v>204.6</v>
      </c>
      <c r="W122" s="625">
        <v>206.5</v>
      </c>
      <c r="X122" s="625">
        <v>206.5</v>
      </c>
      <c r="Y122" s="625">
        <v>208.9</v>
      </c>
      <c r="Z122" s="625">
        <v>217.3</v>
      </c>
      <c r="AA122" s="625">
        <v>216.4</v>
      </c>
      <c r="AB122" s="625">
        <v>207</v>
      </c>
      <c r="AC122" s="625">
        <v>207</v>
      </c>
      <c r="AD122" s="625">
        <v>206.4</v>
      </c>
      <c r="AE122" s="625">
        <v>203.8</v>
      </c>
      <c r="AF122" s="625">
        <v>203.8</v>
      </c>
      <c r="AG122" s="625">
        <v>204.7</v>
      </c>
      <c r="AH122" s="625">
        <v>204.7</v>
      </c>
      <c r="AI122" s="764">
        <v>211.4</v>
      </c>
      <c r="AJ122" s="772">
        <v>215.7</v>
      </c>
      <c r="AK122" s="625">
        <v>219.8</v>
      </c>
      <c r="AL122" s="625">
        <v>236.2</v>
      </c>
      <c r="AM122" s="625">
        <v>234.9</v>
      </c>
      <c r="AN122" s="625">
        <v>234.9</v>
      </c>
      <c r="AO122" s="625">
        <v>235.6</v>
      </c>
      <c r="AP122" s="625">
        <v>238.3</v>
      </c>
      <c r="AQ122" s="625">
        <v>244.7</v>
      </c>
      <c r="AR122" s="625">
        <v>244.7</v>
      </c>
      <c r="AS122" s="625">
        <v>261.10000000000002</v>
      </c>
      <c r="AT122" s="625">
        <v>261.10000000000002</v>
      </c>
      <c r="AU122" s="764">
        <v>261.10000000000002</v>
      </c>
      <c r="AV122" s="752">
        <v>265.3</v>
      </c>
      <c r="AW122" s="626">
        <v>273.10000000000002</v>
      </c>
      <c r="AX122" s="626">
        <v>281.3</v>
      </c>
      <c r="AY122" s="626">
        <v>289.89999999999998</v>
      </c>
      <c r="AZ122" s="626">
        <v>291.3</v>
      </c>
      <c r="BA122" s="626">
        <v>290.3</v>
      </c>
      <c r="BB122" s="626">
        <v>290.3</v>
      </c>
      <c r="BC122" s="627">
        <v>290.3</v>
      </c>
      <c r="BD122" s="626">
        <v>290.3</v>
      </c>
      <c r="BE122" s="627">
        <v>289.5</v>
      </c>
      <c r="BF122" s="627">
        <v>312.8</v>
      </c>
      <c r="BG122" s="738">
        <v>313.39999999999998</v>
      </c>
      <c r="BH122" s="660">
        <v>313.39999999999998</v>
      </c>
      <c r="BI122" s="623">
        <v>304.60000000000002</v>
      </c>
      <c r="BJ122" s="623">
        <v>321</v>
      </c>
      <c r="BK122" s="623">
        <v>318.60000000000002</v>
      </c>
      <c r="BL122" s="623">
        <v>329</v>
      </c>
      <c r="BM122" s="623">
        <v>333.2</v>
      </c>
      <c r="BN122" s="623">
        <v>340.5</v>
      </c>
      <c r="BO122" s="623">
        <v>340.5</v>
      </c>
      <c r="BP122" s="623">
        <v>340.7</v>
      </c>
      <c r="BQ122" s="623">
        <v>335.9</v>
      </c>
      <c r="BR122" s="623">
        <v>338</v>
      </c>
      <c r="BS122" s="659">
        <v>338</v>
      </c>
      <c r="BT122" s="660">
        <v>338</v>
      </c>
      <c r="BU122" s="623">
        <v>338</v>
      </c>
      <c r="BV122" s="623">
        <v>338.6</v>
      </c>
      <c r="BW122" s="623">
        <v>342.1</v>
      </c>
      <c r="BX122" s="623">
        <v>342.1</v>
      </c>
      <c r="BY122" s="623">
        <v>342.1</v>
      </c>
      <c r="BZ122" s="623">
        <v>347.7</v>
      </c>
      <c r="CA122" s="623">
        <v>352.4</v>
      </c>
      <c r="CB122" s="623">
        <v>352.4</v>
      </c>
      <c r="CC122" s="623">
        <v>356</v>
      </c>
      <c r="CD122" s="623">
        <v>358</v>
      </c>
      <c r="CE122" s="659">
        <v>358</v>
      </c>
      <c r="CF122" s="660">
        <v>358</v>
      </c>
      <c r="CG122" s="623">
        <v>359.1</v>
      </c>
      <c r="CH122" s="623">
        <v>350.2</v>
      </c>
      <c r="CI122" s="623">
        <v>353.1</v>
      </c>
      <c r="CJ122" s="623">
        <v>355.1</v>
      </c>
      <c r="CK122" s="623">
        <v>366</v>
      </c>
      <c r="CL122" s="623">
        <v>373.5</v>
      </c>
      <c r="CM122" s="623">
        <v>385.3</v>
      </c>
      <c r="CN122" s="623">
        <v>385.3</v>
      </c>
      <c r="CO122" s="623">
        <v>385.3</v>
      </c>
      <c r="CP122" s="623">
        <v>385.3</v>
      </c>
      <c r="CQ122" s="659">
        <v>389.8</v>
      </c>
      <c r="CR122" s="660">
        <v>389.8</v>
      </c>
      <c r="CS122" s="623">
        <v>393.3</v>
      </c>
      <c r="CT122" s="623">
        <v>393.3</v>
      </c>
      <c r="CU122" s="623">
        <v>393.3</v>
      </c>
      <c r="CV122" s="623">
        <v>390.9</v>
      </c>
      <c r="CW122" s="623">
        <v>396.4</v>
      </c>
      <c r="CX122" s="623">
        <v>398.6</v>
      </c>
      <c r="CY122" s="623">
        <v>401.9</v>
      </c>
      <c r="CZ122" s="623">
        <v>410.9</v>
      </c>
      <c r="DA122" s="623">
        <v>421.6</v>
      </c>
      <c r="DB122" s="725">
        <v>426.4</v>
      </c>
      <c r="DC122" s="659">
        <v>426.4</v>
      </c>
      <c r="DD122" s="783">
        <v>431.9</v>
      </c>
      <c r="DE122" s="623">
        <v>449</v>
      </c>
      <c r="DF122" s="725">
        <v>460.7</v>
      </c>
      <c r="DG122" s="659">
        <v>468.2</v>
      </c>
      <c r="DH122" s="623">
        <v>470.4</v>
      </c>
      <c r="DI122" s="623">
        <v>475.7</v>
      </c>
      <c r="DJ122" s="623">
        <v>478</v>
      </c>
      <c r="DK122" s="659">
        <v>478.4</v>
      </c>
      <c r="DL122" s="623">
        <v>484.5</v>
      </c>
      <c r="DM122" s="659">
        <v>511.4</v>
      </c>
      <c r="DN122" s="659">
        <v>515</v>
      </c>
      <c r="DO122" s="897">
        <v>519.1</v>
      </c>
      <c r="DP122" s="783">
        <v>528.4</v>
      </c>
      <c r="DQ122" s="659">
        <v>537.5</v>
      </c>
      <c r="DR122" s="659">
        <v>542.79999999999995</v>
      </c>
      <c r="DS122" s="659">
        <v>546.79999999999995</v>
      </c>
      <c r="DT122" s="623">
        <v>553.79999999999995</v>
      </c>
      <c r="DU122" s="659">
        <v>567.1</v>
      </c>
      <c r="DV122" s="659">
        <v>584.6</v>
      </c>
      <c r="DW122" s="659">
        <v>613.9</v>
      </c>
      <c r="DX122" s="659">
        <v>618.9</v>
      </c>
      <c r="DY122" s="659">
        <v>620.29999999999995</v>
      </c>
      <c r="DZ122" s="659">
        <v>636.20000000000005</v>
      </c>
      <c r="EA122" s="897">
        <v>641.79999999999995</v>
      </c>
      <c r="EB122" s="659">
        <v>645.6</v>
      </c>
      <c r="EC122" s="659">
        <v>645.6</v>
      </c>
      <c r="ED122" s="659">
        <v>670.7</v>
      </c>
      <c r="EE122" s="659">
        <v>686.9</v>
      </c>
      <c r="EF122" s="659">
        <v>688.2</v>
      </c>
      <c r="EG122" s="659">
        <v>687.4</v>
      </c>
      <c r="EH122" s="659">
        <v>714.4</v>
      </c>
      <c r="EI122" s="659">
        <v>731.5</v>
      </c>
      <c r="EJ122" s="659">
        <v>731.5</v>
      </c>
      <c r="EK122" s="623">
        <v>745.6</v>
      </c>
      <c r="EL122" s="725">
        <v>755.6</v>
      </c>
      <c r="EM122" s="659">
        <v>755.6</v>
      </c>
      <c r="EN122" s="783">
        <v>772.7</v>
      </c>
      <c r="EO122" s="659">
        <v>781.5</v>
      </c>
      <c r="EP122" s="659">
        <v>782.9</v>
      </c>
      <c r="EQ122" s="659">
        <v>808.1</v>
      </c>
      <c r="ER122" s="659">
        <v>813.8</v>
      </c>
      <c r="ES122" s="659">
        <v>822.3</v>
      </c>
      <c r="ET122" s="659">
        <v>873.5</v>
      </c>
      <c r="EU122" s="659">
        <v>918.1</v>
      </c>
      <c r="EV122" s="659">
        <v>932.9</v>
      </c>
      <c r="EW122" s="659">
        <v>956.7</v>
      </c>
      <c r="EX122" s="659">
        <v>992.1</v>
      </c>
      <c r="EY122" s="659">
        <v>991.2</v>
      </c>
      <c r="EZ122" s="783">
        <v>1046</v>
      </c>
      <c r="FA122" s="659">
        <v>1079.0999999999999</v>
      </c>
      <c r="FB122" s="659">
        <v>1107.4000000000001</v>
      </c>
      <c r="FC122" s="659">
        <v>1123.9000000000001</v>
      </c>
      <c r="FD122" s="659">
        <v>1129.9000000000001</v>
      </c>
      <c r="FE122" s="659">
        <v>1132.8</v>
      </c>
      <c r="FF122" s="659">
        <v>1174.7</v>
      </c>
      <c r="FG122" s="888">
        <v>1223.3</v>
      </c>
      <c r="FH122" s="659">
        <v>1270.0999999999999</v>
      </c>
      <c r="FI122" s="659">
        <v>1276.0999999999999</v>
      </c>
      <c r="FJ122" s="659">
        <v>1345</v>
      </c>
      <c r="FK122" s="897">
        <v>1345</v>
      </c>
      <c r="FL122" s="660">
        <v>1345</v>
      </c>
      <c r="FM122" s="623">
        <v>1345</v>
      </c>
      <c r="FN122" s="623">
        <v>1359.3</v>
      </c>
      <c r="FO122" s="623">
        <v>1394.2</v>
      </c>
      <c r="FP122" s="623">
        <v>1431.5</v>
      </c>
      <c r="FQ122" s="623">
        <v>1431.5</v>
      </c>
      <c r="FR122" s="623">
        <v>1463</v>
      </c>
      <c r="FS122" s="623">
        <v>1483.1</v>
      </c>
      <c r="FT122" s="623">
        <v>1503.1</v>
      </c>
      <c r="FU122" s="897">
        <v>1520.6</v>
      </c>
      <c r="FV122" s="1167">
        <f t="shared" si="1"/>
        <v>1.0116426052824163</v>
      </c>
    </row>
    <row r="123" spans="1:178" s="115" customFormat="1" ht="24" thickBot="1">
      <c r="A123" s="1546">
        <v>1</v>
      </c>
      <c r="B123" s="407">
        <v>98</v>
      </c>
      <c r="C123" s="636" t="s">
        <v>255</v>
      </c>
      <c r="D123" s="637" t="s">
        <v>256</v>
      </c>
      <c r="E123" s="636" t="s">
        <v>918</v>
      </c>
      <c r="F123" s="637"/>
      <c r="G123" s="636" t="s">
        <v>919</v>
      </c>
      <c r="H123" s="636" t="s">
        <v>920</v>
      </c>
      <c r="I123" s="638" t="s">
        <v>416</v>
      </c>
      <c r="J123" s="684"/>
      <c r="K123" s="670">
        <v>91.63</v>
      </c>
      <c r="L123" s="666">
        <v>97.87</v>
      </c>
      <c r="M123" s="639">
        <v>111.38</v>
      </c>
      <c r="N123" s="639">
        <v>132.13</v>
      </c>
      <c r="O123" s="639">
        <v>169.51</v>
      </c>
      <c r="P123" s="639">
        <v>173.67</v>
      </c>
      <c r="Q123" s="639">
        <v>198.39</v>
      </c>
      <c r="R123" s="639">
        <v>223.2</v>
      </c>
      <c r="S123" s="639">
        <v>240.73</v>
      </c>
      <c r="T123" s="639">
        <v>254.68</v>
      </c>
      <c r="U123" s="639">
        <v>259.41000000000003</v>
      </c>
      <c r="V123" s="639">
        <v>259.56</v>
      </c>
      <c r="W123" s="639">
        <v>259.56</v>
      </c>
      <c r="X123" s="639">
        <v>259.56</v>
      </c>
      <c r="Y123" s="639">
        <v>267.58</v>
      </c>
      <c r="Z123" s="639">
        <v>277.60000000000002</v>
      </c>
      <c r="AA123" s="639">
        <v>277.60000000000002</v>
      </c>
      <c r="AB123" s="639">
        <v>283.58</v>
      </c>
      <c r="AC123" s="639">
        <v>283.58</v>
      </c>
      <c r="AD123" s="639">
        <v>280.54000000000002</v>
      </c>
      <c r="AE123" s="639">
        <v>280.54000000000002</v>
      </c>
      <c r="AF123" s="639">
        <v>280.54000000000002</v>
      </c>
      <c r="AG123" s="639">
        <v>280.54000000000002</v>
      </c>
      <c r="AH123" s="639">
        <v>280.54000000000002</v>
      </c>
      <c r="AI123" s="765">
        <v>285.81</v>
      </c>
      <c r="AJ123" s="773">
        <v>289.45</v>
      </c>
      <c r="AK123" s="639">
        <v>326.10000000000002</v>
      </c>
      <c r="AL123" s="639">
        <v>340.55</v>
      </c>
      <c r="AM123" s="639">
        <v>350.74</v>
      </c>
      <c r="AN123" s="639">
        <v>353.38</v>
      </c>
      <c r="AO123" s="639">
        <v>364.74</v>
      </c>
      <c r="AP123" s="639">
        <v>364.74</v>
      </c>
      <c r="AQ123" s="639">
        <v>364.76</v>
      </c>
      <c r="AR123" s="639">
        <v>368.31</v>
      </c>
      <c r="AS123" s="639">
        <v>371.65</v>
      </c>
      <c r="AT123" s="639">
        <v>388.01</v>
      </c>
      <c r="AU123" s="765">
        <v>388.96</v>
      </c>
      <c r="AV123" s="768">
        <v>388.96</v>
      </c>
      <c r="AW123" s="640">
        <v>388.96</v>
      </c>
      <c r="AX123" s="640">
        <v>388.96</v>
      </c>
      <c r="AY123" s="640">
        <v>366.57</v>
      </c>
      <c r="AZ123" s="640">
        <v>366.57</v>
      </c>
      <c r="BA123" s="640">
        <v>366.57</v>
      </c>
      <c r="BB123" s="640">
        <v>368.54</v>
      </c>
      <c r="BC123" s="641">
        <v>374.34</v>
      </c>
      <c r="BD123" s="640">
        <v>374.34</v>
      </c>
      <c r="BE123" s="641">
        <v>374.31</v>
      </c>
      <c r="BF123" s="641">
        <v>374.31</v>
      </c>
      <c r="BG123" s="751">
        <v>374.31</v>
      </c>
      <c r="BH123" s="661">
        <v>375.42</v>
      </c>
      <c r="BI123" s="642">
        <v>375.42</v>
      </c>
      <c r="BJ123" s="642">
        <v>376.7</v>
      </c>
      <c r="BK123" s="642">
        <v>376.7</v>
      </c>
      <c r="BL123" s="642">
        <v>376.7</v>
      </c>
      <c r="BM123" s="642">
        <v>376.7</v>
      </c>
      <c r="BN123" s="642">
        <v>376.7</v>
      </c>
      <c r="BO123" s="642">
        <v>376.7</v>
      </c>
      <c r="BP123" s="642">
        <v>376.7</v>
      </c>
      <c r="BQ123" s="642">
        <v>376.7</v>
      </c>
      <c r="BR123" s="642">
        <v>377.62</v>
      </c>
      <c r="BS123" s="736">
        <v>383.58</v>
      </c>
      <c r="BT123" s="661">
        <v>383.58</v>
      </c>
      <c r="BU123" s="642">
        <v>383.58</v>
      </c>
      <c r="BV123" s="642">
        <v>393.21</v>
      </c>
      <c r="BW123" s="642">
        <v>393.4</v>
      </c>
      <c r="BX123" s="642">
        <v>393.4</v>
      </c>
      <c r="BY123" s="642">
        <v>395.93</v>
      </c>
      <c r="BZ123" s="642">
        <v>395.93</v>
      </c>
      <c r="CA123" s="642">
        <v>396.65</v>
      </c>
      <c r="CB123" s="642">
        <v>415.68</v>
      </c>
      <c r="CC123" s="642">
        <v>415.68</v>
      </c>
      <c r="CD123" s="642">
        <v>418.09</v>
      </c>
      <c r="CE123" s="736">
        <v>420.89</v>
      </c>
      <c r="CF123" s="661">
        <v>433.46</v>
      </c>
      <c r="CG123" s="642">
        <v>433.46</v>
      </c>
      <c r="CH123" s="642">
        <v>433.46</v>
      </c>
      <c r="CI123" s="642">
        <v>451.41</v>
      </c>
      <c r="CJ123" s="642">
        <v>451.41</v>
      </c>
      <c r="CK123" s="642">
        <v>482.83</v>
      </c>
      <c r="CL123" s="642">
        <v>492.49</v>
      </c>
      <c r="CM123" s="642">
        <v>492.49</v>
      </c>
      <c r="CN123" s="642">
        <v>526.75</v>
      </c>
      <c r="CO123" s="642">
        <v>526.75</v>
      </c>
      <c r="CP123" s="642">
        <v>526.75</v>
      </c>
      <c r="CQ123" s="736">
        <v>526.75</v>
      </c>
      <c r="CR123" s="661">
        <v>526.75</v>
      </c>
      <c r="CS123" s="642">
        <v>526.75</v>
      </c>
      <c r="CT123" s="642">
        <v>526.75</v>
      </c>
      <c r="CU123" s="642">
        <v>526.75</v>
      </c>
      <c r="CV123" s="642">
        <v>526.75</v>
      </c>
      <c r="CW123" s="642">
        <v>526.75</v>
      </c>
      <c r="CX123" s="642">
        <v>532.78</v>
      </c>
      <c r="CY123" s="642">
        <v>532.78</v>
      </c>
      <c r="CZ123" s="642">
        <v>532.78</v>
      </c>
      <c r="DA123" s="642">
        <v>537.76</v>
      </c>
      <c r="DB123" s="726">
        <v>537.76</v>
      </c>
      <c r="DC123" s="736">
        <v>533.17999999999995</v>
      </c>
      <c r="DD123" s="784">
        <v>533.33000000000004</v>
      </c>
      <c r="DE123" s="642">
        <v>558.57000000000005</v>
      </c>
      <c r="DF123" s="726">
        <v>565.89</v>
      </c>
      <c r="DG123" s="736">
        <v>565.35</v>
      </c>
      <c r="DH123" s="642">
        <v>565.35</v>
      </c>
      <c r="DI123" s="642">
        <v>574.70000000000005</v>
      </c>
      <c r="DJ123" s="642">
        <v>574.70000000000005</v>
      </c>
      <c r="DK123" s="736">
        <v>574.73</v>
      </c>
      <c r="DL123" s="642">
        <v>587.05999999999995</v>
      </c>
      <c r="DM123" s="736">
        <v>599.97</v>
      </c>
      <c r="DN123" s="736">
        <v>625.17999999999995</v>
      </c>
      <c r="DO123" s="901">
        <v>625.17999999999995</v>
      </c>
      <c r="DP123" s="784">
        <v>614.66</v>
      </c>
      <c r="DQ123" s="736">
        <v>625.17999999999995</v>
      </c>
      <c r="DR123" s="736">
        <v>633.92999999999995</v>
      </c>
      <c r="DS123" s="736">
        <v>633.92999999999995</v>
      </c>
      <c r="DT123" s="642">
        <v>633.92999999999995</v>
      </c>
      <c r="DU123" s="736">
        <v>633.92999999999995</v>
      </c>
      <c r="DV123" s="736">
        <v>647.82000000000005</v>
      </c>
      <c r="DW123" s="736">
        <v>650.66</v>
      </c>
      <c r="DX123" s="736">
        <v>650.66</v>
      </c>
      <c r="DY123" s="736">
        <v>650.66</v>
      </c>
      <c r="DZ123" s="736">
        <v>676.2</v>
      </c>
      <c r="EA123" s="901">
        <v>676.2</v>
      </c>
      <c r="EB123" s="736">
        <v>676.2</v>
      </c>
      <c r="EC123" s="736">
        <v>676.2</v>
      </c>
      <c r="ED123" s="736">
        <v>676.2</v>
      </c>
      <c r="EE123" s="736">
        <v>676.2</v>
      </c>
      <c r="EF123" s="736">
        <v>714.41</v>
      </c>
      <c r="EG123" s="736">
        <v>714.41</v>
      </c>
      <c r="EH123" s="736">
        <v>714.41</v>
      </c>
      <c r="EI123" s="736">
        <v>716.42</v>
      </c>
      <c r="EJ123" s="736">
        <v>716.42</v>
      </c>
      <c r="EK123" s="642">
        <v>729.31</v>
      </c>
      <c r="EL123" s="726">
        <v>759.48</v>
      </c>
      <c r="EM123" s="736">
        <v>797.96</v>
      </c>
      <c r="EN123" s="784">
        <v>800.48</v>
      </c>
      <c r="EO123" s="736">
        <v>800.48</v>
      </c>
      <c r="EP123" s="736">
        <v>800.48</v>
      </c>
      <c r="EQ123" s="736">
        <v>800.48</v>
      </c>
      <c r="ER123" s="736">
        <v>800.48</v>
      </c>
      <c r="ES123" s="736">
        <v>833.44</v>
      </c>
      <c r="ET123" s="736">
        <v>847.85</v>
      </c>
      <c r="EU123" s="736">
        <v>847.85</v>
      </c>
      <c r="EV123" s="736">
        <v>847.85</v>
      </c>
      <c r="EW123" s="736">
        <v>847.85</v>
      </c>
      <c r="EX123" s="736">
        <v>847.85</v>
      </c>
      <c r="EY123" s="736">
        <v>914.86</v>
      </c>
      <c r="EZ123" s="784">
        <v>974.71</v>
      </c>
      <c r="FA123" s="736">
        <v>1031.07</v>
      </c>
      <c r="FB123" s="736">
        <v>1040.8599999999999</v>
      </c>
      <c r="FC123" s="736">
        <v>1101.25</v>
      </c>
      <c r="FD123" s="736">
        <v>1150.5999999999999</v>
      </c>
      <c r="FE123" s="736">
        <v>1161.1099999999999</v>
      </c>
      <c r="FF123" s="736">
        <v>1163.06</v>
      </c>
      <c r="FG123" s="736">
        <v>1177.3499999999999</v>
      </c>
      <c r="FH123" s="736">
        <v>1200.76</v>
      </c>
      <c r="FI123" s="736">
        <v>1218.04</v>
      </c>
      <c r="FJ123" s="736">
        <v>1223.0999999999999</v>
      </c>
      <c r="FK123" s="901">
        <v>1229.6600000000001</v>
      </c>
      <c r="FL123" s="661">
        <v>1235.23</v>
      </c>
      <c r="FM123" s="642">
        <v>1248.8599999999999</v>
      </c>
      <c r="FN123" s="642">
        <v>1263.02</v>
      </c>
      <c r="FO123" s="642">
        <v>1274.52</v>
      </c>
      <c r="FP123" s="642">
        <v>1286.26</v>
      </c>
      <c r="FQ123" s="642">
        <v>1299.3399999999999</v>
      </c>
      <c r="FR123" s="642">
        <v>1308.51</v>
      </c>
      <c r="FS123" s="642">
        <v>1329.31</v>
      </c>
      <c r="FT123" s="642">
        <v>1346.84</v>
      </c>
      <c r="FU123" s="901">
        <v>1364.66</v>
      </c>
      <c r="FV123" s="1167">
        <f t="shared" si="1"/>
        <v>1.0132309702711533</v>
      </c>
    </row>
    <row r="124" spans="1:178" s="115" customFormat="1" ht="21.75" customHeight="1">
      <c r="A124" s="1546">
        <v>1</v>
      </c>
      <c r="B124" s="613">
        <v>99</v>
      </c>
      <c r="C124" s="614" t="s">
        <v>257</v>
      </c>
      <c r="D124" s="615" t="s">
        <v>258</v>
      </c>
      <c r="E124" s="614" t="s">
        <v>918</v>
      </c>
      <c r="F124" s="614"/>
      <c r="G124" s="614" t="s">
        <v>919</v>
      </c>
      <c r="H124" s="614" t="s">
        <v>930</v>
      </c>
      <c r="I124" s="647" t="s">
        <v>415</v>
      </c>
      <c r="J124" s="1393"/>
      <c r="K124" s="1521">
        <v>85.86</v>
      </c>
      <c r="L124" s="1522">
        <v>94.04</v>
      </c>
      <c r="M124" s="1018">
        <v>104.01</v>
      </c>
      <c r="N124" s="1018">
        <v>117.75</v>
      </c>
      <c r="O124" s="1018">
        <v>146.38999999999999</v>
      </c>
      <c r="P124" s="1018">
        <v>157.80000000000001</v>
      </c>
      <c r="Q124" s="1018">
        <v>156.91</v>
      </c>
      <c r="R124" s="1018">
        <v>186.11</v>
      </c>
      <c r="S124" s="1018">
        <v>186.11</v>
      </c>
      <c r="T124" s="1018">
        <v>186.11</v>
      </c>
      <c r="U124" s="1018">
        <v>197.52</v>
      </c>
      <c r="V124" s="1018">
        <v>197.52</v>
      </c>
      <c r="W124" s="1018">
        <v>197.52</v>
      </c>
      <c r="X124" s="1018">
        <v>197.52</v>
      </c>
      <c r="Y124" s="1018">
        <v>197.52</v>
      </c>
      <c r="Z124" s="1018">
        <v>197.52</v>
      </c>
      <c r="AA124" s="1018">
        <v>186.11</v>
      </c>
      <c r="AB124" s="1018">
        <v>186.11</v>
      </c>
      <c r="AC124" s="1018">
        <v>197.52</v>
      </c>
      <c r="AD124" s="1018">
        <v>197.52</v>
      </c>
      <c r="AE124" s="1018">
        <v>197.52</v>
      </c>
      <c r="AF124" s="1018">
        <v>197.52</v>
      </c>
      <c r="AG124" s="1018">
        <v>197.52</v>
      </c>
      <c r="AH124" s="1018">
        <v>197.52</v>
      </c>
      <c r="AI124" s="1019">
        <v>197.52</v>
      </c>
      <c r="AJ124" s="1523">
        <v>217.81</v>
      </c>
      <c r="AK124" s="1018">
        <v>217.81</v>
      </c>
      <c r="AL124" s="1018">
        <v>217.81</v>
      </c>
      <c r="AM124" s="1018">
        <v>217.81</v>
      </c>
      <c r="AN124" s="1018">
        <v>234.38</v>
      </c>
      <c r="AO124" s="1018">
        <v>240.05</v>
      </c>
      <c r="AP124" s="1018">
        <v>240.05</v>
      </c>
      <c r="AQ124" s="1018">
        <v>240.05</v>
      </c>
      <c r="AR124" s="1018">
        <v>240.05</v>
      </c>
      <c r="AS124" s="1018">
        <v>244.5</v>
      </c>
      <c r="AT124" s="1018">
        <v>251.81</v>
      </c>
      <c r="AU124" s="1019">
        <v>251.81</v>
      </c>
      <c r="AV124" s="1021">
        <v>251.81</v>
      </c>
      <c r="AW124" s="1022">
        <v>252.4</v>
      </c>
      <c r="AX124" s="1022">
        <v>252.4</v>
      </c>
      <c r="AY124" s="1022">
        <v>252.4</v>
      </c>
      <c r="AZ124" s="1022">
        <v>266.25</v>
      </c>
      <c r="BA124" s="1022">
        <v>266.25</v>
      </c>
      <c r="BB124" s="1022">
        <v>274.81</v>
      </c>
      <c r="BC124" s="1023">
        <v>274.81</v>
      </c>
      <c r="BD124" s="1022">
        <v>274.81</v>
      </c>
      <c r="BE124" s="1023">
        <v>290.81</v>
      </c>
      <c r="BF124" s="1023">
        <v>291.86</v>
      </c>
      <c r="BG124" s="1524">
        <v>291.86</v>
      </c>
      <c r="BH124" s="1025">
        <v>282.25</v>
      </c>
      <c r="BI124" s="643">
        <v>290.81</v>
      </c>
      <c r="BJ124" s="643">
        <v>282.25</v>
      </c>
      <c r="BK124" s="643">
        <v>290.81</v>
      </c>
      <c r="BL124" s="643">
        <v>300.06</v>
      </c>
      <c r="BM124" s="643">
        <v>300.06</v>
      </c>
      <c r="BN124" s="643">
        <v>318.93</v>
      </c>
      <c r="BO124" s="643">
        <v>318.93</v>
      </c>
      <c r="BP124" s="643">
        <v>318.93</v>
      </c>
      <c r="BQ124" s="643">
        <v>318.93</v>
      </c>
      <c r="BR124" s="643">
        <v>318.93</v>
      </c>
      <c r="BS124" s="906">
        <v>318.93</v>
      </c>
      <c r="BT124" s="1025">
        <v>318.93</v>
      </c>
      <c r="BU124" s="643">
        <v>338.3</v>
      </c>
      <c r="BV124" s="643">
        <v>338.3</v>
      </c>
      <c r="BW124" s="643">
        <v>369.67</v>
      </c>
      <c r="BX124" s="643">
        <v>384.45</v>
      </c>
      <c r="BY124" s="643">
        <v>384.45</v>
      </c>
      <c r="BZ124" s="643">
        <v>392.98</v>
      </c>
      <c r="CA124" s="643">
        <v>402.6</v>
      </c>
      <c r="CB124" s="643">
        <v>402.6</v>
      </c>
      <c r="CC124" s="643">
        <v>402.6</v>
      </c>
      <c r="CD124" s="643">
        <v>402.6</v>
      </c>
      <c r="CE124" s="906">
        <v>407.16</v>
      </c>
      <c r="CF124" s="1025">
        <v>419.71</v>
      </c>
      <c r="CG124" s="643">
        <v>430.54</v>
      </c>
      <c r="CH124" s="643">
        <v>430.25</v>
      </c>
      <c r="CI124" s="643">
        <v>443.43</v>
      </c>
      <c r="CJ124" s="643">
        <v>459.82</v>
      </c>
      <c r="CK124" s="643">
        <v>459.82</v>
      </c>
      <c r="CL124" s="643">
        <v>459.82</v>
      </c>
      <c r="CM124" s="643">
        <v>470.8</v>
      </c>
      <c r="CN124" s="643">
        <v>470.8</v>
      </c>
      <c r="CO124" s="643">
        <v>470.8</v>
      </c>
      <c r="CP124" s="643">
        <v>470.8</v>
      </c>
      <c r="CQ124" s="906">
        <v>452.5</v>
      </c>
      <c r="CR124" s="1025">
        <v>452.5</v>
      </c>
      <c r="CS124" s="643">
        <v>470.8</v>
      </c>
      <c r="CT124" s="643">
        <v>470.8</v>
      </c>
      <c r="CU124" s="643">
        <v>470.8</v>
      </c>
      <c r="CV124" s="643">
        <v>470.8</v>
      </c>
      <c r="CW124" s="643">
        <v>470.8</v>
      </c>
      <c r="CX124" s="643">
        <v>470.8</v>
      </c>
      <c r="CY124" s="643">
        <v>470.8</v>
      </c>
      <c r="CZ124" s="643">
        <v>492.58</v>
      </c>
      <c r="DA124" s="643">
        <v>492.58</v>
      </c>
      <c r="DB124" s="966">
        <v>501.73</v>
      </c>
      <c r="DC124" s="906">
        <v>502.06</v>
      </c>
      <c r="DD124" s="1013">
        <v>517.77</v>
      </c>
      <c r="DE124" s="643">
        <v>518.92999999999995</v>
      </c>
      <c r="DF124" s="966">
        <v>521.45000000000005</v>
      </c>
      <c r="DG124" s="906">
        <v>521.45000000000005</v>
      </c>
      <c r="DH124" s="643">
        <v>528.52</v>
      </c>
      <c r="DI124" s="643">
        <v>531.61</v>
      </c>
      <c r="DJ124" s="643">
        <v>535.59</v>
      </c>
      <c r="DK124" s="906">
        <v>536.11</v>
      </c>
      <c r="DL124" s="643">
        <v>536.70000000000005</v>
      </c>
      <c r="DM124" s="906">
        <v>536.70000000000005</v>
      </c>
      <c r="DN124" s="906">
        <v>537.73</v>
      </c>
      <c r="DO124" s="899">
        <v>537.73</v>
      </c>
      <c r="DP124" s="1013">
        <v>537.73</v>
      </c>
      <c r="DQ124" s="906">
        <v>556.49</v>
      </c>
      <c r="DR124" s="906">
        <v>557.04</v>
      </c>
      <c r="DS124" s="906">
        <v>558.91999999999996</v>
      </c>
      <c r="DT124" s="643">
        <v>570.6</v>
      </c>
      <c r="DU124" s="906">
        <v>574.92999999999995</v>
      </c>
      <c r="DV124" s="906">
        <v>583.48</v>
      </c>
      <c r="DW124" s="906">
        <v>591.28</v>
      </c>
      <c r="DX124" s="906">
        <v>591.28</v>
      </c>
      <c r="DY124" s="906">
        <v>591.29</v>
      </c>
      <c r="DZ124" s="906">
        <v>605.39</v>
      </c>
      <c r="EA124" s="899">
        <v>606.04</v>
      </c>
      <c r="EB124" s="906">
        <v>606.08000000000004</v>
      </c>
      <c r="EC124" s="906">
        <v>614.62</v>
      </c>
      <c r="ED124" s="906">
        <v>614.69000000000005</v>
      </c>
      <c r="EE124" s="906">
        <v>616.1</v>
      </c>
      <c r="EF124" s="906">
        <v>621.03</v>
      </c>
      <c r="EG124" s="906">
        <v>624.04</v>
      </c>
      <c r="EH124" s="906">
        <v>626.30999999999995</v>
      </c>
      <c r="EI124" s="906">
        <v>637.76</v>
      </c>
      <c r="EJ124" s="906">
        <v>652.33000000000004</v>
      </c>
      <c r="EK124" s="643">
        <v>659.07</v>
      </c>
      <c r="EL124" s="966">
        <v>659.2</v>
      </c>
      <c r="EM124" s="906">
        <v>659.2</v>
      </c>
      <c r="EN124" s="1013">
        <v>660.78</v>
      </c>
      <c r="EO124" s="906">
        <v>668.74</v>
      </c>
      <c r="EP124" s="906">
        <v>674.39</v>
      </c>
      <c r="EQ124" s="906">
        <v>674.71</v>
      </c>
      <c r="ER124" s="906">
        <v>697.45</v>
      </c>
      <c r="ES124" s="906">
        <v>705.34</v>
      </c>
      <c r="ET124" s="906">
        <v>710.11</v>
      </c>
      <c r="EU124" s="906">
        <v>711.98</v>
      </c>
      <c r="EV124" s="906">
        <v>714.27</v>
      </c>
      <c r="EW124" s="906">
        <v>709.84</v>
      </c>
      <c r="EX124" s="906">
        <v>699.46</v>
      </c>
      <c r="EY124" s="906">
        <v>699.46</v>
      </c>
      <c r="EZ124" s="1013">
        <v>699.46</v>
      </c>
      <c r="FA124" s="906">
        <v>703.53</v>
      </c>
      <c r="FB124" s="906">
        <v>745.57</v>
      </c>
      <c r="FC124" s="906">
        <v>758.29</v>
      </c>
      <c r="FD124" s="906">
        <v>759.22</v>
      </c>
      <c r="FE124" s="906">
        <v>781.12</v>
      </c>
      <c r="FF124" s="906">
        <v>788.42</v>
      </c>
      <c r="FG124" s="906">
        <v>827.12</v>
      </c>
      <c r="FH124" s="906">
        <v>829.67</v>
      </c>
      <c r="FI124" s="906">
        <v>833.15</v>
      </c>
      <c r="FJ124" s="906">
        <v>835.75</v>
      </c>
      <c r="FK124" s="899">
        <v>842.79</v>
      </c>
      <c r="FL124" s="1025">
        <v>851.86</v>
      </c>
      <c r="FM124" s="643">
        <v>855.18</v>
      </c>
      <c r="FN124" s="643">
        <v>872.58</v>
      </c>
      <c r="FO124" s="643">
        <v>880.61</v>
      </c>
      <c r="FP124" s="643">
        <v>895</v>
      </c>
      <c r="FQ124" s="643">
        <v>966.36</v>
      </c>
      <c r="FR124" s="643">
        <v>982.52</v>
      </c>
      <c r="FS124" s="643">
        <v>985.96</v>
      </c>
      <c r="FT124" s="643">
        <v>1003.87</v>
      </c>
      <c r="FU124" s="899">
        <v>1060.32</v>
      </c>
      <c r="FV124" s="1167">
        <f t="shared" si="1"/>
        <v>1.0562323806867422</v>
      </c>
    </row>
    <row r="125" spans="1:178" s="115" customFormat="1" ht="18.95" customHeight="1">
      <c r="A125" s="1546">
        <v>1</v>
      </c>
      <c r="B125" s="408">
        <v>100</v>
      </c>
      <c r="C125" s="621" t="s">
        <v>259</v>
      </c>
      <c r="D125" s="622" t="s">
        <v>260</v>
      </c>
      <c r="E125" s="621" t="s">
        <v>918</v>
      </c>
      <c r="F125" s="622"/>
      <c r="G125" s="621" t="s">
        <v>929</v>
      </c>
      <c r="H125" s="621" t="s">
        <v>930</v>
      </c>
      <c r="I125" s="390"/>
      <c r="J125" s="651"/>
      <c r="K125" s="669">
        <v>101.7</v>
      </c>
      <c r="L125" s="665">
        <v>113.9</v>
      </c>
      <c r="M125" s="625">
        <v>137.30000000000001</v>
      </c>
      <c r="N125" s="625">
        <v>141.9</v>
      </c>
      <c r="O125" s="625">
        <v>160.69999999999999</v>
      </c>
      <c r="P125" s="625">
        <v>175.9</v>
      </c>
      <c r="Q125" s="625">
        <v>176.2</v>
      </c>
      <c r="R125" s="625">
        <v>185.2</v>
      </c>
      <c r="S125" s="625">
        <v>192.7</v>
      </c>
      <c r="T125" s="625">
        <v>189.3</v>
      </c>
      <c r="U125" s="625">
        <v>190.8</v>
      </c>
      <c r="V125" s="625">
        <v>193.2</v>
      </c>
      <c r="W125" s="625">
        <v>195.6</v>
      </c>
      <c r="X125" s="625">
        <v>195.3</v>
      </c>
      <c r="Y125" s="625">
        <v>196.4</v>
      </c>
      <c r="Z125" s="625">
        <v>195.2</v>
      </c>
      <c r="AA125" s="625">
        <v>195</v>
      </c>
      <c r="AB125" s="625">
        <v>196.5</v>
      </c>
      <c r="AC125" s="625">
        <v>197.9</v>
      </c>
      <c r="AD125" s="625">
        <v>197.6</v>
      </c>
      <c r="AE125" s="625">
        <v>197.6</v>
      </c>
      <c r="AF125" s="625">
        <v>197.6</v>
      </c>
      <c r="AG125" s="625">
        <v>197.6</v>
      </c>
      <c r="AH125" s="625">
        <v>197.6</v>
      </c>
      <c r="AI125" s="764">
        <v>197.6</v>
      </c>
      <c r="AJ125" s="772">
        <v>199.5</v>
      </c>
      <c r="AK125" s="625">
        <v>198.8</v>
      </c>
      <c r="AL125" s="625">
        <v>203.5</v>
      </c>
      <c r="AM125" s="625">
        <v>209.8</v>
      </c>
      <c r="AN125" s="625">
        <v>209.2</v>
      </c>
      <c r="AO125" s="625">
        <v>214.6</v>
      </c>
      <c r="AP125" s="625">
        <v>211</v>
      </c>
      <c r="AQ125" s="625">
        <v>206.9</v>
      </c>
      <c r="AR125" s="625">
        <v>206.5</v>
      </c>
      <c r="AS125" s="625">
        <v>203.1</v>
      </c>
      <c r="AT125" s="625">
        <v>203.7</v>
      </c>
      <c r="AU125" s="764">
        <v>210</v>
      </c>
      <c r="AV125" s="752">
        <v>211.3</v>
      </c>
      <c r="AW125" s="626">
        <v>211.4</v>
      </c>
      <c r="AX125" s="626">
        <v>212.4</v>
      </c>
      <c r="AY125" s="626">
        <v>215.5</v>
      </c>
      <c r="AZ125" s="626">
        <v>221.1</v>
      </c>
      <c r="BA125" s="626">
        <v>221.9</v>
      </c>
      <c r="BB125" s="626">
        <v>224.2</v>
      </c>
      <c r="BC125" s="627">
        <v>225.5</v>
      </c>
      <c r="BD125" s="626">
        <v>256.10000000000002</v>
      </c>
      <c r="BE125" s="627">
        <v>231.2</v>
      </c>
      <c r="BF125" s="627">
        <v>226</v>
      </c>
      <c r="BG125" s="738">
        <v>232.7</v>
      </c>
      <c r="BH125" s="660">
        <v>234.4</v>
      </c>
      <c r="BI125" s="623">
        <v>236.3</v>
      </c>
      <c r="BJ125" s="623">
        <v>236.3</v>
      </c>
      <c r="BK125" s="623">
        <v>239.3</v>
      </c>
      <c r="BL125" s="623">
        <v>247</v>
      </c>
      <c r="BM125" s="623">
        <v>247.9</v>
      </c>
      <c r="BN125" s="623">
        <v>249</v>
      </c>
      <c r="BO125" s="623">
        <v>248.7</v>
      </c>
      <c r="BP125" s="623">
        <v>250.2</v>
      </c>
      <c r="BQ125" s="623">
        <v>250.6</v>
      </c>
      <c r="BR125" s="623">
        <v>258.10000000000002</v>
      </c>
      <c r="BS125" s="659">
        <v>258.8</v>
      </c>
      <c r="BT125" s="660">
        <v>260.60000000000002</v>
      </c>
      <c r="BU125" s="623">
        <v>264.3</v>
      </c>
      <c r="BV125" s="623">
        <v>263.2</v>
      </c>
      <c r="BW125" s="623">
        <v>268.10000000000002</v>
      </c>
      <c r="BX125" s="623">
        <v>279</v>
      </c>
      <c r="BY125" s="623">
        <v>278.10000000000002</v>
      </c>
      <c r="BZ125" s="623">
        <v>278.10000000000002</v>
      </c>
      <c r="CA125" s="623">
        <v>285.10000000000002</v>
      </c>
      <c r="CB125" s="623">
        <v>287</v>
      </c>
      <c r="CC125" s="623">
        <v>293.10000000000002</v>
      </c>
      <c r="CD125" s="623">
        <v>307.10000000000002</v>
      </c>
      <c r="CE125" s="659">
        <v>307.10000000000002</v>
      </c>
      <c r="CF125" s="660">
        <v>307.60000000000002</v>
      </c>
      <c r="CG125" s="623">
        <v>308.10000000000002</v>
      </c>
      <c r="CH125" s="623">
        <v>315.7</v>
      </c>
      <c r="CI125" s="623">
        <v>300.2</v>
      </c>
      <c r="CJ125" s="623">
        <v>306.2</v>
      </c>
      <c r="CK125" s="623">
        <v>321.5</v>
      </c>
      <c r="CL125" s="623">
        <v>322.39999999999998</v>
      </c>
      <c r="CM125" s="623">
        <v>341.2</v>
      </c>
      <c r="CN125" s="623">
        <v>343.7</v>
      </c>
      <c r="CO125" s="623">
        <v>343.7</v>
      </c>
      <c r="CP125" s="623">
        <v>358.4</v>
      </c>
      <c r="CQ125" s="659">
        <v>359.4</v>
      </c>
      <c r="CR125" s="660">
        <v>351.8</v>
      </c>
      <c r="CS125" s="623">
        <v>341.9</v>
      </c>
      <c r="CT125" s="623">
        <v>348.2</v>
      </c>
      <c r="CU125" s="623">
        <v>348.2</v>
      </c>
      <c r="CV125" s="623">
        <v>332.6</v>
      </c>
      <c r="CW125" s="623">
        <v>335.9</v>
      </c>
      <c r="CX125" s="623">
        <v>335.9</v>
      </c>
      <c r="CY125" s="623">
        <v>340.6</v>
      </c>
      <c r="CZ125" s="623">
        <v>338.2</v>
      </c>
      <c r="DA125" s="623">
        <v>342.7</v>
      </c>
      <c r="DB125" s="725">
        <v>344.5</v>
      </c>
      <c r="DC125" s="659">
        <v>346.2</v>
      </c>
      <c r="DD125" s="783">
        <v>348.7</v>
      </c>
      <c r="DE125" s="623">
        <v>353.1</v>
      </c>
      <c r="DF125" s="725">
        <v>353.8</v>
      </c>
      <c r="DG125" s="659">
        <v>361.4</v>
      </c>
      <c r="DH125" s="623">
        <v>369</v>
      </c>
      <c r="DI125" s="623">
        <v>358.1</v>
      </c>
      <c r="DJ125" s="623">
        <v>366</v>
      </c>
      <c r="DK125" s="659">
        <v>372.6</v>
      </c>
      <c r="DL125" s="623">
        <v>372.6</v>
      </c>
      <c r="DM125" s="659">
        <v>381.1</v>
      </c>
      <c r="DN125" s="659">
        <v>384.7</v>
      </c>
      <c r="DO125" s="897">
        <v>386.4</v>
      </c>
      <c r="DP125" s="783">
        <v>390.2</v>
      </c>
      <c r="DQ125" s="659">
        <v>396.8</v>
      </c>
      <c r="DR125" s="659">
        <v>400.4</v>
      </c>
      <c r="DS125" s="659">
        <v>404.1</v>
      </c>
      <c r="DT125" s="623">
        <v>410</v>
      </c>
      <c r="DU125" s="659">
        <v>419.9</v>
      </c>
      <c r="DV125" s="659">
        <v>427</v>
      </c>
      <c r="DW125" s="659">
        <v>427</v>
      </c>
      <c r="DX125" s="659">
        <v>441.8</v>
      </c>
      <c r="DY125" s="659">
        <v>454.8</v>
      </c>
      <c r="DZ125" s="659">
        <v>454.8</v>
      </c>
      <c r="EA125" s="897">
        <v>457.9</v>
      </c>
      <c r="EB125" s="659">
        <v>457.9</v>
      </c>
      <c r="EC125" s="659">
        <v>467.2</v>
      </c>
      <c r="ED125" s="659">
        <v>476.1</v>
      </c>
      <c r="EE125" s="659">
        <v>479.1</v>
      </c>
      <c r="EF125" s="659">
        <v>484.3</v>
      </c>
      <c r="EG125" s="659">
        <v>490.8</v>
      </c>
      <c r="EH125" s="659">
        <v>502</v>
      </c>
      <c r="EI125" s="659">
        <v>509.9</v>
      </c>
      <c r="EJ125" s="659">
        <v>524.5</v>
      </c>
      <c r="EK125" s="623">
        <v>539.29999999999995</v>
      </c>
      <c r="EL125" s="725">
        <v>561.79999999999995</v>
      </c>
      <c r="EM125" s="659">
        <v>559.4</v>
      </c>
      <c r="EN125" s="783">
        <v>570.29999999999995</v>
      </c>
      <c r="EO125" s="659">
        <v>572.5</v>
      </c>
      <c r="EP125" s="659">
        <v>588.20000000000005</v>
      </c>
      <c r="EQ125" s="659">
        <v>589.70000000000005</v>
      </c>
      <c r="ER125" s="659">
        <v>589.70000000000005</v>
      </c>
      <c r="ES125" s="659">
        <v>596.79999999999995</v>
      </c>
      <c r="ET125" s="659">
        <v>623.9</v>
      </c>
      <c r="EU125" s="659">
        <v>626.6</v>
      </c>
      <c r="EV125" s="659">
        <v>631.79999999999995</v>
      </c>
      <c r="EW125" s="659">
        <v>654.5</v>
      </c>
      <c r="EX125" s="659">
        <v>654.5</v>
      </c>
      <c r="EY125" s="659">
        <v>668.8</v>
      </c>
      <c r="EZ125" s="783">
        <v>688.5</v>
      </c>
      <c r="FA125" s="659">
        <v>798.2</v>
      </c>
      <c r="FB125" s="659">
        <v>820.2</v>
      </c>
      <c r="FC125" s="659">
        <v>866.4</v>
      </c>
      <c r="FD125" s="659">
        <v>867.5</v>
      </c>
      <c r="FE125" s="659">
        <v>880.8</v>
      </c>
      <c r="FF125" s="659">
        <v>881</v>
      </c>
      <c r="FG125" s="659">
        <v>898.1</v>
      </c>
      <c r="FH125" s="659">
        <v>939.6</v>
      </c>
      <c r="FI125" s="659">
        <v>995</v>
      </c>
      <c r="FJ125" s="659">
        <v>989</v>
      </c>
      <c r="FK125" s="897">
        <v>998.6</v>
      </c>
      <c r="FL125" s="660">
        <v>1039.3</v>
      </c>
      <c r="FM125" s="623">
        <v>1046.2</v>
      </c>
      <c r="FN125" s="623">
        <v>1051.8</v>
      </c>
      <c r="FO125" s="623">
        <v>1032.5999999999999</v>
      </c>
      <c r="FP125" s="623">
        <v>1038.4000000000001</v>
      </c>
      <c r="FQ125" s="623">
        <v>1043.2</v>
      </c>
      <c r="FR125" s="623">
        <v>1077.2</v>
      </c>
      <c r="FS125" s="623">
        <v>1100.3</v>
      </c>
      <c r="FT125" s="623">
        <v>1129.0999999999999</v>
      </c>
      <c r="FU125" s="897">
        <v>1137.8</v>
      </c>
      <c r="FV125" s="1167">
        <f t="shared" si="1"/>
        <v>1.007705251970596</v>
      </c>
    </row>
    <row r="126" spans="1:178" s="115" customFormat="1" ht="18.95" customHeight="1">
      <c r="A126" s="1546">
        <v>1</v>
      </c>
      <c r="B126" s="644">
        <v>101</v>
      </c>
      <c r="C126" s="645" t="s">
        <v>261</v>
      </c>
      <c r="D126" s="646" t="s">
        <v>262</v>
      </c>
      <c r="E126" s="645" t="s">
        <v>918</v>
      </c>
      <c r="F126" s="646"/>
      <c r="G126" s="645" t="s">
        <v>929</v>
      </c>
      <c r="H126" s="645" t="s">
        <v>930</v>
      </c>
      <c r="I126" s="876" t="s">
        <v>921</v>
      </c>
      <c r="J126" s="869"/>
      <c r="K126" s="877">
        <v>96.4</v>
      </c>
      <c r="L126" s="878">
        <v>111.2</v>
      </c>
      <c r="M126" s="879">
        <v>129.9</v>
      </c>
      <c r="N126" s="879">
        <v>121.6</v>
      </c>
      <c r="O126" s="879">
        <v>140</v>
      </c>
      <c r="P126" s="879">
        <v>155.30000000000001</v>
      </c>
      <c r="Q126" s="879">
        <v>171.6</v>
      </c>
      <c r="R126" s="879">
        <v>170</v>
      </c>
      <c r="S126" s="879">
        <v>169.3</v>
      </c>
      <c r="T126" s="879">
        <v>166.2</v>
      </c>
      <c r="U126" s="879">
        <v>175.8</v>
      </c>
      <c r="V126" s="879">
        <v>177.4</v>
      </c>
      <c r="W126" s="879">
        <v>175.8</v>
      </c>
      <c r="X126" s="879">
        <v>177.9</v>
      </c>
      <c r="Y126" s="879">
        <v>177.9</v>
      </c>
      <c r="Z126" s="879">
        <v>181.4</v>
      </c>
      <c r="AA126" s="879">
        <v>182.4</v>
      </c>
      <c r="AB126" s="879">
        <v>179.4</v>
      </c>
      <c r="AC126" s="879">
        <v>179.4</v>
      </c>
      <c r="AD126" s="879">
        <v>179.2</v>
      </c>
      <c r="AE126" s="879">
        <v>178.5</v>
      </c>
      <c r="AF126" s="879">
        <v>178.5</v>
      </c>
      <c r="AG126" s="879">
        <v>181.4</v>
      </c>
      <c r="AH126" s="879">
        <v>182</v>
      </c>
      <c r="AI126" s="880">
        <v>182</v>
      </c>
      <c r="AJ126" s="881">
        <v>181.7</v>
      </c>
      <c r="AK126" s="879">
        <v>184.2</v>
      </c>
      <c r="AL126" s="879">
        <v>182.8</v>
      </c>
      <c r="AM126" s="879">
        <v>186.5</v>
      </c>
      <c r="AN126" s="879">
        <v>187.2</v>
      </c>
      <c r="AO126" s="879">
        <v>190.6</v>
      </c>
      <c r="AP126" s="879">
        <v>194.5</v>
      </c>
      <c r="AQ126" s="879">
        <v>193.7</v>
      </c>
      <c r="AR126" s="879">
        <v>195.7</v>
      </c>
      <c r="AS126" s="879">
        <v>199.4</v>
      </c>
      <c r="AT126" s="879">
        <v>203.7</v>
      </c>
      <c r="AU126" s="880">
        <v>206</v>
      </c>
      <c r="AV126" s="882">
        <v>208.2</v>
      </c>
      <c r="AW126" s="883">
        <v>215.4</v>
      </c>
      <c r="AX126" s="883">
        <v>215.4</v>
      </c>
      <c r="AY126" s="883">
        <v>221.1</v>
      </c>
      <c r="AZ126" s="883">
        <v>223.1</v>
      </c>
      <c r="BA126" s="883">
        <v>224.4</v>
      </c>
      <c r="BB126" s="883">
        <v>226.9</v>
      </c>
      <c r="BC126" s="884">
        <v>233.2</v>
      </c>
      <c r="BD126" s="883">
        <v>236.9</v>
      </c>
      <c r="BE126" s="884">
        <v>236.9</v>
      </c>
      <c r="BF126" s="884">
        <v>239.1</v>
      </c>
      <c r="BG126" s="885">
        <v>240.3</v>
      </c>
      <c r="BH126" s="886">
        <v>244.7</v>
      </c>
      <c r="BI126" s="887">
        <v>248.4</v>
      </c>
      <c r="BJ126" s="887">
        <v>249</v>
      </c>
      <c r="BK126" s="887">
        <v>251.3</v>
      </c>
      <c r="BL126" s="887">
        <v>250.7</v>
      </c>
      <c r="BM126" s="887">
        <v>251.5</v>
      </c>
      <c r="BN126" s="887">
        <v>251.5</v>
      </c>
      <c r="BO126" s="887">
        <v>254</v>
      </c>
      <c r="BP126" s="887">
        <v>252.3</v>
      </c>
      <c r="BQ126" s="887">
        <v>252.3</v>
      </c>
      <c r="BR126" s="887">
        <v>258.2</v>
      </c>
      <c r="BS126" s="888">
        <v>259.5</v>
      </c>
      <c r="BT126" s="886">
        <v>259.5</v>
      </c>
      <c r="BU126" s="887">
        <v>261.7</v>
      </c>
      <c r="BV126" s="887">
        <v>262.39999999999998</v>
      </c>
      <c r="BW126" s="887">
        <v>270.10000000000002</v>
      </c>
      <c r="BX126" s="887">
        <v>273.8</v>
      </c>
      <c r="BY126" s="887">
        <v>270.2</v>
      </c>
      <c r="BZ126" s="887">
        <v>270.2</v>
      </c>
      <c r="CA126" s="887">
        <v>277.39999999999998</v>
      </c>
      <c r="CB126" s="887">
        <v>281.5</v>
      </c>
      <c r="CC126" s="887">
        <v>281.5</v>
      </c>
      <c r="CD126" s="887">
        <v>285.10000000000002</v>
      </c>
      <c r="CE126" s="888">
        <v>288.60000000000002</v>
      </c>
      <c r="CF126" s="886">
        <v>299.8</v>
      </c>
      <c r="CG126" s="887">
        <v>306.10000000000002</v>
      </c>
      <c r="CH126" s="887">
        <v>306.60000000000002</v>
      </c>
      <c r="CI126" s="887">
        <v>318.3</v>
      </c>
      <c r="CJ126" s="887">
        <v>324.7</v>
      </c>
      <c r="CK126" s="887">
        <v>333.2</v>
      </c>
      <c r="CL126" s="887">
        <v>328.8</v>
      </c>
      <c r="CM126" s="887">
        <v>334.3</v>
      </c>
      <c r="CN126" s="887">
        <v>334.3</v>
      </c>
      <c r="CO126" s="887">
        <v>337.7</v>
      </c>
      <c r="CP126" s="887">
        <v>340.5</v>
      </c>
      <c r="CQ126" s="888">
        <v>347.6</v>
      </c>
      <c r="CR126" s="886">
        <v>350.5</v>
      </c>
      <c r="CS126" s="887">
        <v>345.3</v>
      </c>
      <c r="CT126" s="887">
        <v>348.6</v>
      </c>
      <c r="CU126" s="887">
        <v>349.2</v>
      </c>
      <c r="CV126" s="887">
        <v>352.4</v>
      </c>
      <c r="CW126" s="887">
        <v>357</v>
      </c>
      <c r="CX126" s="887">
        <v>356.6</v>
      </c>
      <c r="CY126" s="887">
        <v>362.3</v>
      </c>
      <c r="CZ126" s="887">
        <v>357.1</v>
      </c>
      <c r="DA126" s="887">
        <v>368.8</v>
      </c>
      <c r="DB126" s="889">
        <v>372.2</v>
      </c>
      <c r="DC126" s="888">
        <v>376.4</v>
      </c>
      <c r="DD126" s="890">
        <v>384.5</v>
      </c>
      <c r="DE126" s="887">
        <v>390.1</v>
      </c>
      <c r="DF126" s="889">
        <v>390.1</v>
      </c>
      <c r="DG126" s="888">
        <v>390.3</v>
      </c>
      <c r="DH126" s="887">
        <v>404.9</v>
      </c>
      <c r="DI126" s="887">
        <v>408.1</v>
      </c>
      <c r="DJ126" s="623">
        <v>417.3</v>
      </c>
      <c r="DK126" s="659">
        <v>432.2</v>
      </c>
      <c r="DL126" s="623">
        <v>432</v>
      </c>
      <c r="DM126" s="659">
        <v>436.7</v>
      </c>
      <c r="DN126" s="659">
        <v>441.9</v>
      </c>
      <c r="DO126" s="897">
        <v>444.6</v>
      </c>
      <c r="DP126" s="783">
        <v>451</v>
      </c>
      <c r="DQ126" s="659">
        <v>449.8</v>
      </c>
      <c r="DR126" s="659">
        <v>471</v>
      </c>
      <c r="DS126" s="659">
        <v>484.1</v>
      </c>
      <c r="DT126" s="623">
        <v>483.7</v>
      </c>
      <c r="DU126" s="659">
        <v>483.7</v>
      </c>
      <c r="DV126" s="659">
        <v>515.29999999999995</v>
      </c>
      <c r="DW126" s="659">
        <v>519.1</v>
      </c>
      <c r="DX126" s="659">
        <v>530.20000000000005</v>
      </c>
      <c r="DY126" s="659">
        <v>534</v>
      </c>
      <c r="DZ126" s="659">
        <v>548.20000000000005</v>
      </c>
      <c r="EA126" s="897">
        <v>555.1</v>
      </c>
      <c r="EB126" s="659">
        <v>562.5</v>
      </c>
      <c r="EC126" s="659">
        <v>575.4</v>
      </c>
      <c r="ED126" s="659">
        <v>577.9</v>
      </c>
      <c r="EE126" s="659">
        <v>599.79999999999995</v>
      </c>
      <c r="EF126" s="659">
        <v>606.79999999999995</v>
      </c>
      <c r="EG126" s="659">
        <v>620.70000000000005</v>
      </c>
      <c r="EH126" s="659">
        <v>620.70000000000005</v>
      </c>
      <c r="EI126" s="659">
        <v>643.29999999999995</v>
      </c>
      <c r="EJ126" s="659">
        <v>651.5</v>
      </c>
      <c r="EK126" s="623">
        <v>651.4</v>
      </c>
      <c r="EL126" s="725">
        <v>670.1</v>
      </c>
      <c r="EM126" s="659">
        <v>675.6</v>
      </c>
      <c r="EN126" s="783">
        <v>686.4</v>
      </c>
      <c r="EO126" s="659">
        <v>690.9</v>
      </c>
      <c r="EP126" s="659">
        <v>711.6</v>
      </c>
      <c r="EQ126" s="659">
        <v>720.4</v>
      </c>
      <c r="ER126" s="659">
        <v>733.3</v>
      </c>
      <c r="ES126" s="659">
        <v>751</v>
      </c>
      <c r="ET126" s="659">
        <v>762.8</v>
      </c>
      <c r="EU126" s="659">
        <v>767.3</v>
      </c>
      <c r="EV126" s="659">
        <v>803.1</v>
      </c>
      <c r="EW126" s="659">
        <v>814</v>
      </c>
      <c r="EX126" s="659">
        <v>821</v>
      </c>
      <c r="EY126" s="659">
        <v>854.2</v>
      </c>
      <c r="EZ126" s="783">
        <v>870.9</v>
      </c>
      <c r="FA126" s="659">
        <v>1007.1</v>
      </c>
      <c r="FB126" s="659">
        <v>1022.8</v>
      </c>
      <c r="FC126" s="659">
        <v>1025.8</v>
      </c>
      <c r="FD126" s="659">
        <v>1117.5999999999999</v>
      </c>
      <c r="FE126" s="659">
        <v>1103.9000000000001</v>
      </c>
      <c r="FF126" s="659">
        <v>1112.7</v>
      </c>
      <c r="FG126" s="659">
        <v>1169.5</v>
      </c>
      <c r="FH126" s="659">
        <v>1184.8</v>
      </c>
      <c r="FI126" s="659">
        <v>1228.9000000000001</v>
      </c>
      <c r="FJ126" s="659">
        <v>1245.3</v>
      </c>
      <c r="FK126" s="897">
        <v>1258.0999999999999</v>
      </c>
      <c r="FL126" s="660">
        <v>1317.4</v>
      </c>
      <c r="FM126" s="623">
        <v>1319</v>
      </c>
      <c r="FN126" s="623">
        <v>1333</v>
      </c>
      <c r="FO126" s="623">
        <v>1332.4</v>
      </c>
      <c r="FP126" s="623">
        <v>1360.9</v>
      </c>
      <c r="FQ126" s="623">
        <v>1378.2</v>
      </c>
      <c r="FR126" s="623">
        <v>1396</v>
      </c>
      <c r="FS126" s="623">
        <v>1446.6</v>
      </c>
      <c r="FT126" s="623">
        <v>1423.3</v>
      </c>
      <c r="FU126" s="897">
        <v>1461.9</v>
      </c>
      <c r="FV126" s="1167">
        <f t="shared" si="1"/>
        <v>1.027120073069627</v>
      </c>
    </row>
    <row r="127" spans="1:178" s="115" customFormat="1" ht="18.95" customHeight="1">
      <c r="A127" s="1546">
        <v>1</v>
      </c>
      <c r="B127" s="408">
        <v>102</v>
      </c>
      <c r="C127" s="621" t="s">
        <v>263</v>
      </c>
      <c r="D127" s="622" t="s">
        <v>264</v>
      </c>
      <c r="E127" s="621" t="s">
        <v>918</v>
      </c>
      <c r="F127" s="622"/>
      <c r="G127" s="621" t="s">
        <v>919</v>
      </c>
      <c r="H127" s="621" t="s">
        <v>920</v>
      </c>
      <c r="I127" s="390" t="s">
        <v>921</v>
      </c>
      <c r="J127" s="651"/>
      <c r="K127" s="669">
        <v>104.07</v>
      </c>
      <c r="L127" s="665">
        <v>114.95</v>
      </c>
      <c r="M127" s="625">
        <v>147.22999999999999</v>
      </c>
      <c r="N127" s="625">
        <v>155.47</v>
      </c>
      <c r="O127" s="625">
        <v>185.61</v>
      </c>
      <c r="P127" s="625">
        <v>200.33</v>
      </c>
      <c r="Q127" s="625">
        <v>217.6</v>
      </c>
      <c r="R127" s="625">
        <v>217.76</v>
      </c>
      <c r="S127" s="625">
        <v>214.89</v>
      </c>
      <c r="T127" s="625">
        <v>221.13</v>
      </c>
      <c r="U127" s="625">
        <v>224.97</v>
      </c>
      <c r="V127" s="625">
        <v>224.99</v>
      </c>
      <c r="W127" s="625">
        <v>224.99</v>
      </c>
      <c r="X127" s="625">
        <v>224.99</v>
      </c>
      <c r="Y127" s="625">
        <v>224.99</v>
      </c>
      <c r="Z127" s="625">
        <v>224.99</v>
      </c>
      <c r="AA127" s="625">
        <v>227.34</v>
      </c>
      <c r="AB127" s="625">
        <v>226.76</v>
      </c>
      <c r="AC127" s="625">
        <v>227.32</v>
      </c>
      <c r="AD127" s="625">
        <v>227.32</v>
      </c>
      <c r="AE127" s="625">
        <v>225.83</v>
      </c>
      <c r="AF127" s="625">
        <v>225.83</v>
      </c>
      <c r="AG127" s="625">
        <v>225.83</v>
      </c>
      <c r="AH127" s="625">
        <v>225.83</v>
      </c>
      <c r="AI127" s="764">
        <v>225.83</v>
      </c>
      <c r="AJ127" s="772">
        <v>225.83</v>
      </c>
      <c r="AK127" s="625">
        <v>227.33</v>
      </c>
      <c r="AL127" s="625">
        <v>228.48</v>
      </c>
      <c r="AM127" s="625">
        <v>229.42</v>
      </c>
      <c r="AN127" s="625">
        <v>231.38</v>
      </c>
      <c r="AO127" s="625">
        <v>234.34</v>
      </c>
      <c r="AP127" s="625">
        <v>235.23</v>
      </c>
      <c r="AQ127" s="625">
        <v>236.43</v>
      </c>
      <c r="AR127" s="625">
        <v>239.23</v>
      </c>
      <c r="AS127" s="625">
        <v>244.17</v>
      </c>
      <c r="AT127" s="625">
        <v>244.17</v>
      </c>
      <c r="AU127" s="764">
        <v>248.8</v>
      </c>
      <c r="AV127" s="752">
        <v>257.45</v>
      </c>
      <c r="AW127" s="626">
        <v>257.45</v>
      </c>
      <c r="AX127" s="626">
        <v>257.45</v>
      </c>
      <c r="AY127" s="626">
        <v>261.13</v>
      </c>
      <c r="AZ127" s="626">
        <v>269.08999999999997</v>
      </c>
      <c r="BA127" s="626">
        <v>269.08999999999997</v>
      </c>
      <c r="BB127" s="626">
        <v>279.24</v>
      </c>
      <c r="BC127" s="627">
        <v>278.95999999999998</v>
      </c>
      <c r="BD127" s="626">
        <v>279.24</v>
      </c>
      <c r="BE127" s="627">
        <v>279.24</v>
      </c>
      <c r="BF127" s="627">
        <v>279.24</v>
      </c>
      <c r="BG127" s="738">
        <v>284.79000000000002</v>
      </c>
      <c r="BH127" s="660">
        <v>286.64999999999998</v>
      </c>
      <c r="BI127" s="623">
        <v>285.16000000000003</v>
      </c>
      <c r="BJ127" s="623">
        <v>285.16000000000003</v>
      </c>
      <c r="BK127" s="623">
        <v>292.42</v>
      </c>
      <c r="BL127" s="623">
        <v>292.92</v>
      </c>
      <c r="BM127" s="623">
        <v>296.61</v>
      </c>
      <c r="BN127" s="623">
        <v>303.31</v>
      </c>
      <c r="BO127" s="623">
        <v>308.89999999999998</v>
      </c>
      <c r="BP127" s="623">
        <v>309.41000000000003</v>
      </c>
      <c r="BQ127" s="623">
        <v>311.16000000000003</v>
      </c>
      <c r="BR127" s="623">
        <v>316.10000000000002</v>
      </c>
      <c r="BS127" s="659">
        <v>319.14999999999998</v>
      </c>
      <c r="BT127" s="660">
        <v>318.60000000000002</v>
      </c>
      <c r="BU127" s="623">
        <v>320.3</v>
      </c>
      <c r="BV127" s="623">
        <v>318.19</v>
      </c>
      <c r="BW127" s="623">
        <v>324.79000000000002</v>
      </c>
      <c r="BX127" s="623">
        <v>325.33999999999997</v>
      </c>
      <c r="BY127" s="623">
        <v>331.21</v>
      </c>
      <c r="BZ127" s="623">
        <v>331.21</v>
      </c>
      <c r="CA127" s="623">
        <v>331.72</v>
      </c>
      <c r="CB127" s="623">
        <v>339.46</v>
      </c>
      <c r="CC127" s="623">
        <v>339.46</v>
      </c>
      <c r="CD127" s="623">
        <v>341.28</v>
      </c>
      <c r="CE127" s="659">
        <v>352.21</v>
      </c>
      <c r="CF127" s="660">
        <v>351.12</v>
      </c>
      <c r="CG127" s="623">
        <v>356.87</v>
      </c>
      <c r="CH127" s="623">
        <v>378.34</v>
      </c>
      <c r="CI127" s="623">
        <v>386.41</v>
      </c>
      <c r="CJ127" s="623">
        <v>394.86</v>
      </c>
      <c r="CK127" s="623">
        <v>398.17</v>
      </c>
      <c r="CL127" s="623">
        <v>398.17</v>
      </c>
      <c r="CM127" s="623">
        <v>401.76</v>
      </c>
      <c r="CN127" s="623">
        <v>415.82</v>
      </c>
      <c r="CO127" s="623">
        <v>419.1</v>
      </c>
      <c r="CP127" s="623">
        <v>435.31</v>
      </c>
      <c r="CQ127" s="659">
        <v>439.4</v>
      </c>
      <c r="CR127" s="660">
        <v>453.44</v>
      </c>
      <c r="CS127" s="623">
        <v>455.21</v>
      </c>
      <c r="CT127" s="623">
        <v>458.87</v>
      </c>
      <c r="CU127" s="623">
        <v>472.51</v>
      </c>
      <c r="CV127" s="623">
        <v>475.4</v>
      </c>
      <c r="CW127" s="623">
        <v>484.37</v>
      </c>
      <c r="CX127" s="623">
        <v>484.37</v>
      </c>
      <c r="CY127" s="623">
        <v>499.13</v>
      </c>
      <c r="CZ127" s="623">
        <v>499.13</v>
      </c>
      <c r="DA127" s="623">
        <v>511.52</v>
      </c>
      <c r="DB127" s="725">
        <v>511.52</v>
      </c>
      <c r="DC127" s="659">
        <v>519.84</v>
      </c>
      <c r="DD127" s="783">
        <v>519.61</v>
      </c>
      <c r="DE127" s="623">
        <v>527.45000000000005</v>
      </c>
      <c r="DF127" s="725">
        <v>514.52</v>
      </c>
      <c r="DG127" s="659">
        <v>529.91999999999996</v>
      </c>
      <c r="DH127" s="623">
        <v>529.91</v>
      </c>
      <c r="DI127" s="623">
        <v>532.15</v>
      </c>
      <c r="DJ127" s="623">
        <v>539.32000000000005</v>
      </c>
      <c r="DK127" s="659">
        <v>543.80999999999995</v>
      </c>
      <c r="DL127" s="623">
        <v>559.86</v>
      </c>
      <c r="DM127" s="659">
        <v>571.21</v>
      </c>
      <c r="DN127" s="659">
        <v>578.6</v>
      </c>
      <c r="DO127" s="897">
        <v>593.57000000000005</v>
      </c>
      <c r="DP127" s="783">
        <v>598.07000000000005</v>
      </c>
      <c r="DQ127" s="659">
        <v>603.55999999999995</v>
      </c>
      <c r="DR127" s="659">
        <v>608.37</v>
      </c>
      <c r="DS127" s="659">
        <v>622.4</v>
      </c>
      <c r="DT127" s="623">
        <v>622.4</v>
      </c>
      <c r="DU127" s="659">
        <v>630.14</v>
      </c>
      <c r="DV127" s="659">
        <v>659.21</v>
      </c>
      <c r="DW127" s="659">
        <v>659.21</v>
      </c>
      <c r="DX127" s="659">
        <v>660.08</v>
      </c>
      <c r="DY127" s="659">
        <v>673.75</v>
      </c>
      <c r="DZ127" s="659">
        <v>679.31</v>
      </c>
      <c r="EA127" s="897">
        <v>686.22</v>
      </c>
      <c r="EB127" s="659">
        <v>701.58</v>
      </c>
      <c r="EC127" s="659">
        <v>710.2</v>
      </c>
      <c r="ED127" s="659">
        <v>717.76</v>
      </c>
      <c r="EE127" s="659">
        <v>737.16</v>
      </c>
      <c r="EF127" s="659">
        <v>750.35</v>
      </c>
      <c r="EG127" s="659">
        <v>753.59</v>
      </c>
      <c r="EH127" s="659">
        <v>760.23</v>
      </c>
      <c r="EI127" s="659">
        <v>772.1</v>
      </c>
      <c r="EJ127" s="659">
        <v>779.65</v>
      </c>
      <c r="EK127" s="623">
        <v>779.65</v>
      </c>
      <c r="EL127" s="725">
        <v>784.01</v>
      </c>
      <c r="EM127" s="659">
        <v>784.01</v>
      </c>
      <c r="EN127" s="783">
        <v>784.01</v>
      </c>
      <c r="EO127" s="659">
        <v>789.78</v>
      </c>
      <c r="EP127" s="659">
        <v>795.08</v>
      </c>
      <c r="EQ127" s="659">
        <v>795.08</v>
      </c>
      <c r="ER127" s="659">
        <v>801.04</v>
      </c>
      <c r="ES127" s="659">
        <v>816.92</v>
      </c>
      <c r="ET127" s="659">
        <v>832.55</v>
      </c>
      <c r="EU127" s="659">
        <v>832.55</v>
      </c>
      <c r="EV127" s="659">
        <v>840.24</v>
      </c>
      <c r="EW127" s="659">
        <v>840.24</v>
      </c>
      <c r="EX127" s="659">
        <v>865.09</v>
      </c>
      <c r="EY127" s="659">
        <v>891.59</v>
      </c>
      <c r="EZ127" s="783">
        <v>967.55</v>
      </c>
      <c r="FA127" s="659">
        <v>1046.28</v>
      </c>
      <c r="FB127" s="659">
        <v>1061.69</v>
      </c>
      <c r="FC127" s="659">
        <v>1061.69</v>
      </c>
      <c r="FD127" s="659">
        <v>1096.57</v>
      </c>
      <c r="FE127" s="659">
        <v>1074.56</v>
      </c>
      <c r="FF127" s="659">
        <v>1074.56</v>
      </c>
      <c r="FG127" s="659">
        <v>1079.0899999999999</v>
      </c>
      <c r="FH127" s="659">
        <v>1119.0899999999999</v>
      </c>
      <c r="FI127" s="659">
        <v>1147.99</v>
      </c>
      <c r="FJ127" s="659">
        <v>1188.8800000000001</v>
      </c>
      <c r="FK127" s="897">
        <v>1206.83</v>
      </c>
      <c r="FL127" s="660">
        <v>1206.83</v>
      </c>
      <c r="FM127" s="623">
        <v>1225.58</v>
      </c>
      <c r="FN127" s="623">
        <v>1265.8900000000001</v>
      </c>
      <c r="FO127" s="623">
        <v>1271.3</v>
      </c>
      <c r="FP127" s="623">
        <v>1271.3</v>
      </c>
      <c r="FQ127" s="623">
        <v>1271.3</v>
      </c>
      <c r="FR127" s="623">
        <v>1320.69</v>
      </c>
      <c r="FS127" s="623">
        <v>1331.73</v>
      </c>
      <c r="FT127" s="623">
        <v>1339.18</v>
      </c>
      <c r="FU127" s="897">
        <v>1391.49</v>
      </c>
      <c r="FV127" s="1167">
        <f t="shared" si="1"/>
        <v>1.0390612165653608</v>
      </c>
    </row>
    <row r="128" spans="1:178" s="115" customFormat="1" ht="18.95" customHeight="1">
      <c r="A128" s="1546">
        <v>1</v>
      </c>
      <c r="B128" s="408">
        <v>103</v>
      </c>
      <c r="C128" s="621" t="s">
        <v>265</v>
      </c>
      <c r="D128" s="622" t="s">
        <v>266</v>
      </c>
      <c r="E128" s="621" t="s">
        <v>918</v>
      </c>
      <c r="F128" s="622"/>
      <c r="G128" s="621" t="s">
        <v>929</v>
      </c>
      <c r="H128" s="621" t="s">
        <v>930</v>
      </c>
      <c r="I128" s="390" t="s">
        <v>921</v>
      </c>
      <c r="J128" s="651"/>
      <c r="K128" s="669">
        <v>96.5</v>
      </c>
      <c r="L128" s="665">
        <v>100.4</v>
      </c>
      <c r="M128" s="625">
        <v>101.2</v>
      </c>
      <c r="N128" s="625">
        <v>106.5</v>
      </c>
      <c r="O128" s="625">
        <v>116.3</v>
      </c>
      <c r="P128" s="625">
        <v>118</v>
      </c>
      <c r="Q128" s="625">
        <v>120.3</v>
      </c>
      <c r="R128" s="625">
        <v>122.7</v>
      </c>
      <c r="S128" s="625">
        <v>126.5</v>
      </c>
      <c r="T128" s="625">
        <v>127.3</v>
      </c>
      <c r="U128" s="625">
        <v>126.4</v>
      </c>
      <c r="V128" s="625">
        <v>130.19999999999999</v>
      </c>
      <c r="W128" s="625">
        <v>132.9</v>
      </c>
      <c r="X128" s="625">
        <v>130.19999999999999</v>
      </c>
      <c r="Y128" s="625">
        <v>133.69999999999999</v>
      </c>
      <c r="Z128" s="625">
        <v>133.69999999999999</v>
      </c>
      <c r="AA128" s="625">
        <v>132.19999999999999</v>
      </c>
      <c r="AB128" s="625">
        <v>134.19999999999999</v>
      </c>
      <c r="AC128" s="625">
        <v>133.6</v>
      </c>
      <c r="AD128" s="625">
        <v>133.30000000000001</v>
      </c>
      <c r="AE128" s="625">
        <v>140.4</v>
      </c>
      <c r="AF128" s="625">
        <v>146.19999999999999</v>
      </c>
      <c r="AG128" s="625">
        <v>146.19999999999999</v>
      </c>
      <c r="AH128" s="625">
        <v>146.19999999999999</v>
      </c>
      <c r="AI128" s="764">
        <v>147.9</v>
      </c>
      <c r="AJ128" s="772">
        <v>146.1</v>
      </c>
      <c r="AK128" s="625">
        <v>147.69999999999999</v>
      </c>
      <c r="AL128" s="625">
        <v>151.30000000000001</v>
      </c>
      <c r="AM128" s="625">
        <v>154.6</v>
      </c>
      <c r="AN128" s="625">
        <v>154.69999999999999</v>
      </c>
      <c r="AO128" s="625">
        <v>154.69999999999999</v>
      </c>
      <c r="AP128" s="625">
        <v>154.69999999999999</v>
      </c>
      <c r="AQ128" s="625">
        <v>163.69999999999999</v>
      </c>
      <c r="AR128" s="625">
        <v>166.9</v>
      </c>
      <c r="AS128" s="625">
        <v>168.9</v>
      </c>
      <c r="AT128" s="625">
        <v>171.3</v>
      </c>
      <c r="AU128" s="764">
        <v>170.9</v>
      </c>
      <c r="AV128" s="752">
        <v>174</v>
      </c>
      <c r="AW128" s="626">
        <v>179.6</v>
      </c>
      <c r="AX128" s="626">
        <v>182.4</v>
      </c>
      <c r="AY128" s="626">
        <v>188.3</v>
      </c>
      <c r="AZ128" s="626">
        <v>196.2</v>
      </c>
      <c r="BA128" s="626">
        <v>199.2</v>
      </c>
      <c r="BB128" s="626">
        <v>197.5</v>
      </c>
      <c r="BC128" s="627">
        <v>199.2</v>
      </c>
      <c r="BD128" s="626">
        <v>202.6</v>
      </c>
      <c r="BE128" s="627">
        <v>200.4</v>
      </c>
      <c r="BF128" s="627">
        <v>260.7</v>
      </c>
      <c r="BG128" s="738">
        <v>205.9</v>
      </c>
      <c r="BH128" s="660">
        <v>210.4</v>
      </c>
      <c r="BI128" s="623">
        <v>213.4</v>
      </c>
      <c r="BJ128" s="623">
        <v>211</v>
      </c>
      <c r="BK128" s="623">
        <v>210.1</v>
      </c>
      <c r="BL128" s="623">
        <v>220.1</v>
      </c>
      <c r="BM128" s="623">
        <v>222.4</v>
      </c>
      <c r="BN128" s="623">
        <v>225.6</v>
      </c>
      <c r="BO128" s="623">
        <v>223.3</v>
      </c>
      <c r="BP128" s="623">
        <v>220.1</v>
      </c>
      <c r="BQ128" s="623">
        <v>224.2</v>
      </c>
      <c r="BR128" s="623">
        <v>230.6</v>
      </c>
      <c r="BS128" s="659">
        <v>230.6</v>
      </c>
      <c r="BT128" s="660">
        <v>233.8</v>
      </c>
      <c r="BU128" s="623">
        <v>234.3</v>
      </c>
      <c r="BV128" s="623">
        <v>232.2</v>
      </c>
      <c r="BW128" s="623">
        <v>234.7</v>
      </c>
      <c r="BX128" s="623">
        <v>234.7</v>
      </c>
      <c r="BY128" s="623">
        <v>240.2</v>
      </c>
      <c r="BZ128" s="623">
        <v>247.6</v>
      </c>
      <c r="CA128" s="623">
        <v>247.6</v>
      </c>
      <c r="CB128" s="623">
        <v>254.9</v>
      </c>
      <c r="CC128" s="623">
        <v>257.2</v>
      </c>
      <c r="CD128" s="623">
        <v>263.3</v>
      </c>
      <c r="CE128" s="659">
        <v>265.10000000000002</v>
      </c>
      <c r="CF128" s="660">
        <v>265</v>
      </c>
      <c r="CG128" s="623">
        <v>265.3</v>
      </c>
      <c r="CH128" s="623">
        <v>265.8</v>
      </c>
      <c r="CI128" s="623">
        <v>271.5</v>
      </c>
      <c r="CJ128" s="623">
        <v>271.3</v>
      </c>
      <c r="CK128" s="623">
        <v>273</v>
      </c>
      <c r="CL128" s="623">
        <v>288.8</v>
      </c>
      <c r="CM128" s="623">
        <v>288.8</v>
      </c>
      <c r="CN128" s="623">
        <v>288.8</v>
      </c>
      <c r="CO128" s="623">
        <v>288.8</v>
      </c>
      <c r="CP128" s="623">
        <v>290.3</v>
      </c>
      <c r="CQ128" s="659">
        <v>288.8</v>
      </c>
      <c r="CR128" s="660">
        <v>287.89999999999998</v>
      </c>
      <c r="CS128" s="623">
        <v>289.3</v>
      </c>
      <c r="CT128" s="623">
        <v>307.3</v>
      </c>
      <c r="CU128" s="623">
        <v>302.5</v>
      </c>
      <c r="CV128" s="623">
        <v>302.5</v>
      </c>
      <c r="CW128" s="623">
        <v>308.5</v>
      </c>
      <c r="CX128" s="623">
        <v>308.5</v>
      </c>
      <c r="CY128" s="623">
        <v>308.5</v>
      </c>
      <c r="CZ128" s="623">
        <v>310.60000000000002</v>
      </c>
      <c r="DA128" s="623">
        <v>310.60000000000002</v>
      </c>
      <c r="DB128" s="725">
        <v>314.7</v>
      </c>
      <c r="DC128" s="659">
        <v>314.7</v>
      </c>
      <c r="DD128" s="783">
        <v>314.7</v>
      </c>
      <c r="DE128" s="623">
        <v>314.7</v>
      </c>
      <c r="DF128" s="725">
        <v>331.7</v>
      </c>
      <c r="DG128" s="659">
        <v>331.7</v>
      </c>
      <c r="DH128" s="623">
        <v>331.7</v>
      </c>
      <c r="DI128" s="623">
        <v>331.7</v>
      </c>
      <c r="DJ128" s="623">
        <v>331.7</v>
      </c>
      <c r="DK128" s="659">
        <v>331.7</v>
      </c>
      <c r="DL128" s="623">
        <v>331.7</v>
      </c>
      <c r="DM128" s="659">
        <v>331.7</v>
      </c>
      <c r="DN128" s="659">
        <v>331.7</v>
      </c>
      <c r="DO128" s="897">
        <v>331.7</v>
      </c>
      <c r="DP128" s="783">
        <v>331.7</v>
      </c>
      <c r="DQ128" s="659">
        <v>331.7</v>
      </c>
      <c r="DR128" s="659">
        <v>331.7</v>
      </c>
      <c r="DS128" s="659">
        <v>331.7</v>
      </c>
      <c r="DT128" s="623">
        <v>335.1</v>
      </c>
      <c r="DU128" s="659">
        <v>335.7</v>
      </c>
      <c r="DV128" s="659">
        <v>335.7</v>
      </c>
      <c r="DW128" s="659">
        <v>335.7</v>
      </c>
      <c r="DX128" s="659">
        <v>337.1</v>
      </c>
      <c r="DY128" s="659">
        <v>338.1</v>
      </c>
      <c r="DZ128" s="659">
        <v>340.8</v>
      </c>
      <c r="EA128" s="897">
        <v>352.4</v>
      </c>
      <c r="EB128" s="659">
        <v>352.4</v>
      </c>
      <c r="EC128" s="659">
        <v>371.6</v>
      </c>
      <c r="ED128" s="659">
        <v>374.2</v>
      </c>
      <c r="EE128" s="659">
        <v>374.2</v>
      </c>
      <c r="EF128" s="659">
        <v>374.2</v>
      </c>
      <c r="EG128" s="659">
        <v>378.8</v>
      </c>
      <c r="EH128" s="659">
        <v>378.8</v>
      </c>
      <c r="EI128" s="659">
        <v>378.8</v>
      </c>
      <c r="EJ128" s="659">
        <v>378.8</v>
      </c>
      <c r="EK128" s="623">
        <v>378.8</v>
      </c>
      <c r="EL128" s="725">
        <v>378.8</v>
      </c>
      <c r="EM128" s="659">
        <v>399.8</v>
      </c>
      <c r="EN128" s="783">
        <v>406.2</v>
      </c>
      <c r="EO128" s="659">
        <v>406.2</v>
      </c>
      <c r="EP128" s="659">
        <v>427.2</v>
      </c>
      <c r="EQ128" s="659">
        <v>431.3</v>
      </c>
      <c r="ER128" s="659">
        <v>431.4</v>
      </c>
      <c r="ES128" s="659">
        <v>431.4</v>
      </c>
      <c r="ET128" s="659">
        <v>438.8</v>
      </c>
      <c r="EU128" s="659">
        <v>438.8</v>
      </c>
      <c r="EV128" s="659">
        <v>438.8</v>
      </c>
      <c r="EW128" s="659">
        <v>438.8</v>
      </c>
      <c r="EX128" s="659">
        <v>438.8</v>
      </c>
      <c r="EY128" s="659">
        <v>449.8</v>
      </c>
      <c r="EZ128" s="783">
        <v>449.8</v>
      </c>
      <c r="FA128" s="659">
        <v>521</v>
      </c>
      <c r="FB128" s="659">
        <v>561.4</v>
      </c>
      <c r="FC128" s="659">
        <v>561.4</v>
      </c>
      <c r="FD128" s="659">
        <v>571.20000000000005</v>
      </c>
      <c r="FE128" s="659">
        <v>579.20000000000005</v>
      </c>
      <c r="FF128" s="659">
        <v>581.5</v>
      </c>
      <c r="FG128" s="659">
        <v>581.5</v>
      </c>
      <c r="FH128" s="659">
        <v>587.79999999999995</v>
      </c>
      <c r="FI128" s="659">
        <v>592.4</v>
      </c>
      <c r="FJ128" s="659">
        <v>590.1</v>
      </c>
      <c r="FK128" s="897">
        <v>596.4</v>
      </c>
      <c r="FL128" s="660">
        <v>606.79999999999995</v>
      </c>
      <c r="FM128" s="623">
        <v>618.20000000000005</v>
      </c>
      <c r="FN128" s="623">
        <v>622.6</v>
      </c>
      <c r="FO128" s="623">
        <v>643.79999999999995</v>
      </c>
      <c r="FP128" s="623">
        <v>643.79999999999995</v>
      </c>
      <c r="FQ128" s="623">
        <v>651</v>
      </c>
      <c r="FR128" s="623">
        <v>685.4</v>
      </c>
      <c r="FS128" s="623">
        <v>689.4</v>
      </c>
      <c r="FT128" s="623">
        <v>717.5</v>
      </c>
      <c r="FU128" s="897">
        <v>728.4</v>
      </c>
      <c r="FV128" s="1167">
        <f t="shared" si="1"/>
        <v>1.015191637630662</v>
      </c>
    </row>
    <row r="129" spans="1:178" s="115" customFormat="1" ht="18.95" customHeight="1">
      <c r="A129" s="1546">
        <v>1</v>
      </c>
      <c r="B129" s="408">
        <v>104</v>
      </c>
      <c r="C129" s="621" t="s">
        <v>267</v>
      </c>
      <c r="D129" s="622" t="s">
        <v>268</v>
      </c>
      <c r="E129" s="621" t="s">
        <v>918</v>
      </c>
      <c r="F129" s="622"/>
      <c r="G129" s="621" t="s">
        <v>929</v>
      </c>
      <c r="H129" s="621" t="s">
        <v>930</v>
      </c>
      <c r="I129" s="390" t="s">
        <v>78</v>
      </c>
      <c r="J129" s="651"/>
      <c r="K129" s="669">
        <v>124.9</v>
      </c>
      <c r="L129" s="665">
        <v>128.1</v>
      </c>
      <c r="M129" s="625">
        <v>147.1</v>
      </c>
      <c r="N129" s="625">
        <v>195.5</v>
      </c>
      <c r="O129" s="625">
        <v>254.4</v>
      </c>
      <c r="P129" s="625">
        <v>232.9</v>
      </c>
      <c r="Q129" s="625">
        <v>245.2</v>
      </c>
      <c r="R129" s="625">
        <v>245.2</v>
      </c>
      <c r="S129" s="625">
        <v>245.2</v>
      </c>
      <c r="T129" s="625">
        <v>248.5</v>
      </c>
      <c r="U129" s="625">
        <v>259.10000000000002</v>
      </c>
      <c r="V129" s="625">
        <v>258.60000000000002</v>
      </c>
      <c r="W129" s="625">
        <v>258.39999999999998</v>
      </c>
      <c r="X129" s="625">
        <v>252.1</v>
      </c>
      <c r="Y129" s="625">
        <v>246.4</v>
      </c>
      <c r="Z129" s="625">
        <v>242.3</v>
      </c>
      <c r="AA129" s="625">
        <v>234</v>
      </c>
      <c r="AB129" s="625">
        <v>232.2</v>
      </c>
      <c r="AC129" s="625">
        <v>231.4</v>
      </c>
      <c r="AD129" s="625">
        <v>231.4</v>
      </c>
      <c r="AE129" s="625">
        <v>232.6</v>
      </c>
      <c r="AF129" s="625">
        <v>236.1</v>
      </c>
      <c r="AG129" s="625">
        <v>234.9</v>
      </c>
      <c r="AH129" s="625">
        <v>235.1</v>
      </c>
      <c r="AI129" s="764">
        <v>235.7</v>
      </c>
      <c r="AJ129" s="772">
        <v>236.2</v>
      </c>
      <c r="AK129" s="625">
        <v>239.9</v>
      </c>
      <c r="AL129" s="625">
        <v>239.9</v>
      </c>
      <c r="AM129" s="625">
        <v>240.3</v>
      </c>
      <c r="AN129" s="625">
        <v>252.5</v>
      </c>
      <c r="AO129" s="625">
        <v>262.7</v>
      </c>
      <c r="AP129" s="625">
        <v>263.89999999999998</v>
      </c>
      <c r="AQ129" s="625">
        <v>272.7</v>
      </c>
      <c r="AR129" s="625">
        <v>290.8</v>
      </c>
      <c r="AS129" s="625">
        <v>303.89999999999998</v>
      </c>
      <c r="AT129" s="625">
        <v>322.8</v>
      </c>
      <c r="AU129" s="764">
        <v>322.8</v>
      </c>
      <c r="AV129" s="752">
        <v>325.7</v>
      </c>
      <c r="AW129" s="626">
        <v>325.7</v>
      </c>
      <c r="AX129" s="626">
        <v>325.7</v>
      </c>
      <c r="AY129" s="626">
        <v>321.8</v>
      </c>
      <c r="AZ129" s="626">
        <v>326.39999999999998</v>
      </c>
      <c r="BA129" s="626">
        <v>326.39999999999998</v>
      </c>
      <c r="BB129" s="626">
        <v>323.60000000000002</v>
      </c>
      <c r="BC129" s="627">
        <v>323.60000000000002</v>
      </c>
      <c r="BD129" s="626">
        <v>323.60000000000002</v>
      </c>
      <c r="BE129" s="627">
        <v>328.1</v>
      </c>
      <c r="BF129" s="627">
        <v>333.6</v>
      </c>
      <c r="BG129" s="738">
        <v>336.5</v>
      </c>
      <c r="BH129" s="660">
        <v>336.5</v>
      </c>
      <c r="BI129" s="623">
        <v>336.5</v>
      </c>
      <c r="BJ129" s="623">
        <v>338.1</v>
      </c>
      <c r="BK129" s="623">
        <v>338.1</v>
      </c>
      <c r="BL129" s="623">
        <v>338.1</v>
      </c>
      <c r="BM129" s="623">
        <v>350.7</v>
      </c>
      <c r="BN129" s="623">
        <v>360.5</v>
      </c>
      <c r="BO129" s="623">
        <v>360.5</v>
      </c>
      <c r="BP129" s="623">
        <v>359.9</v>
      </c>
      <c r="BQ129" s="623">
        <v>370.2</v>
      </c>
      <c r="BR129" s="623">
        <v>382.1</v>
      </c>
      <c r="BS129" s="659">
        <v>382.1</v>
      </c>
      <c r="BT129" s="660">
        <v>378.7</v>
      </c>
      <c r="BU129" s="623">
        <v>375</v>
      </c>
      <c r="BV129" s="623">
        <v>375.1</v>
      </c>
      <c r="BW129" s="623">
        <v>384.8</v>
      </c>
      <c r="BX129" s="623">
        <v>391.6</v>
      </c>
      <c r="BY129" s="623">
        <v>391.6</v>
      </c>
      <c r="BZ129" s="623">
        <v>395.8</v>
      </c>
      <c r="CA129" s="623">
        <v>412.9</v>
      </c>
      <c r="CB129" s="623">
        <v>412.1</v>
      </c>
      <c r="CC129" s="623">
        <v>412.1</v>
      </c>
      <c r="CD129" s="623">
        <v>412.1</v>
      </c>
      <c r="CE129" s="659">
        <v>410.5</v>
      </c>
      <c r="CF129" s="660">
        <v>413.6</v>
      </c>
      <c r="CG129" s="623">
        <v>436.2</v>
      </c>
      <c r="CH129" s="623">
        <v>443.8</v>
      </c>
      <c r="CI129" s="623">
        <v>457</v>
      </c>
      <c r="CJ129" s="623">
        <v>460.8</v>
      </c>
      <c r="CK129" s="623">
        <v>457.5</v>
      </c>
      <c r="CL129" s="623">
        <v>465.2</v>
      </c>
      <c r="CM129" s="623">
        <v>465.2</v>
      </c>
      <c r="CN129" s="623">
        <v>465.2</v>
      </c>
      <c r="CO129" s="623">
        <v>465.4</v>
      </c>
      <c r="CP129" s="623">
        <v>480</v>
      </c>
      <c r="CQ129" s="659">
        <v>480</v>
      </c>
      <c r="CR129" s="660">
        <v>477.5</v>
      </c>
      <c r="CS129" s="623">
        <v>460.8</v>
      </c>
      <c r="CT129" s="623">
        <v>458.2</v>
      </c>
      <c r="CU129" s="623">
        <v>458.2</v>
      </c>
      <c r="CV129" s="623">
        <v>465.4</v>
      </c>
      <c r="CW129" s="623">
        <v>477.8</v>
      </c>
      <c r="CX129" s="623">
        <v>478.2</v>
      </c>
      <c r="CY129" s="623">
        <v>476.8</v>
      </c>
      <c r="CZ129" s="623">
        <v>488.2</v>
      </c>
      <c r="DA129" s="623">
        <v>488.2</v>
      </c>
      <c r="DB129" s="725">
        <v>488.2</v>
      </c>
      <c r="DC129" s="659">
        <v>496.3</v>
      </c>
      <c r="DD129" s="783">
        <v>496.3</v>
      </c>
      <c r="DE129" s="623">
        <v>518.20000000000005</v>
      </c>
      <c r="DF129" s="725">
        <v>553.4</v>
      </c>
      <c r="DG129" s="659">
        <v>547.70000000000005</v>
      </c>
      <c r="DH129" s="623">
        <v>547.70000000000005</v>
      </c>
      <c r="DI129" s="623">
        <v>556.29999999999995</v>
      </c>
      <c r="DJ129" s="623">
        <v>563.29999999999995</v>
      </c>
      <c r="DK129" s="659">
        <v>563.29999999999995</v>
      </c>
      <c r="DL129" s="623">
        <v>563.29999999999995</v>
      </c>
      <c r="DM129" s="659">
        <v>563.29999999999995</v>
      </c>
      <c r="DN129" s="659">
        <v>571.20000000000005</v>
      </c>
      <c r="DO129" s="897">
        <v>581.1</v>
      </c>
      <c r="DP129" s="783">
        <v>581.1</v>
      </c>
      <c r="DQ129" s="659">
        <v>604.4</v>
      </c>
      <c r="DR129" s="659">
        <v>604.4</v>
      </c>
      <c r="DS129" s="659">
        <v>622.70000000000005</v>
      </c>
      <c r="DT129" s="623">
        <v>622.70000000000005</v>
      </c>
      <c r="DU129" s="659">
        <v>622.70000000000005</v>
      </c>
      <c r="DV129" s="659">
        <v>622.70000000000005</v>
      </c>
      <c r="DW129" s="659">
        <v>622.70000000000005</v>
      </c>
      <c r="DX129" s="659">
        <v>671</v>
      </c>
      <c r="DY129" s="659">
        <v>671</v>
      </c>
      <c r="DZ129" s="659">
        <v>671</v>
      </c>
      <c r="EA129" s="897">
        <v>692.7</v>
      </c>
      <c r="EB129" s="659">
        <v>681.3</v>
      </c>
      <c r="EC129" s="659">
        <v>711.4</v>
      </c>
      <c r="ED129" s="659">
        <v>733.6</v>
      </c>
      <c r="EE129" s="659">
        <v>749.8</v>
      </c>
      <c r="EF129" s="659">
        <v>749.8</v>
      </c>
      <c r="EG129" s="659">
        <v>782.9</v>
      </c>
      <c r="EH129" s="659">
        <v>810.9</v>
      </c>
      <c r="EI129" s="659">
        <v>824.1</v>
      </c>
      <c r="EJ129" s="659">
        <v>857</v>
      </c>
      <c r="EK129" s="623">
        <v>857</v>
      </c>
      <c r="EL129" s="725">
        <v>881.2</v>
      </c>
      <c r="EM129" s="659">
        <v>915.3</v>
      </c>
      <c r="EN129" s="783">
        <v>923.3</v>
      </c>
      <c r="EO129" s="659">
        <v>965.4</v>
      </c>
      <c r="EP129" s="659">
        <v>975.9</v>
      </c>
      <c r="EQ129" s="659">
        <v>976.4</v>
      </c>
      <c r="ER129" s="659">
        <v>977.2</v>
      </c>
      <c r="ES129" s="659">
        <v>971.4</v>
      </c>
      <c r="ET129" s="659">
        <v>1025.4000000000001</v>
      </c>
      <c r="EU129" s="659">
        <v>1048.5999999999999</v>
      </c>
      <c r="EV129" s="659">
        <v>1058</v>
      </c>
      <c r="EW129" s="659">
        <v>1090</v>
      </c>
      <c r="EX129" s="659">
        <v>1165.7</v>
      </c>
      <c r="EY129" s="659">
        <v>1217.3</v>
      </c>
      <c r="EZ129" s="783">
        <v>1343.6</v>
      </c>
      <c r="FA129" s="659">
        <v>1563.4</v>
      </c>
      <c r="FB129" s="659">
        <v>1563.4</v>
      </c>
      <c r="FC129" s="659">
        <v>1601.9</v>
      </c>
      <c r="FD129" s="659">
        <v>1601.9</v>
      </c>
      <c r="FE129" s="659">
        <v>1609.3</v>
      </c>
      <c r="FF129" s="659">
        <v>1637.7</v>
      </c>
      <c r="FG129" s="659">
        <v>1649.6</v>
      </c>
      <c r="FH129" s="659">
        <v>1714.4</v>
      </c>
      <c r="FI129" s="659">
        <v>1740.3</v>
      </c>
      <c r="FJ129" s="659">
        <v>1740.3</v>
      </c>
      <c r="FK129" s="897">
        <v>1740.3</v>
      </c>
      <c r="FL129" s="660">
        <v>1740.3</v>
      </c>
      <c r="FM129" s="623">
        <v>1773.2</v>
      </c>
      <c r="FN129" s="623">
        <v>1765.4</v>
      </c>
      <c r="FO129" s="623">
        <v>1813.9</v>
      </c>
      <c r="FP129" s="623">
        <v>1816</v>
      </c>
      <c r="FQ129" s="623">
        <v>1851.6</v>
      </c>
      <c r="FR129" s="623">
        <v>1862.3</v>
      </c>
      <c r="FS129" s="623">
        <v>1912</v>
      </c>
      <c r="FT129" s="623">
        <v>1964.3</v>
      </c>
      <c r="FU129" s="897">
        <v>2005.4</v>
      </c>
      <c r="FV129" s="1167">
        <f t="shared" si="1"/>
        <v>1.0209234841928423</v>
      </c>
    </row>
    <row r="130" spans="1:178" s="115" customFormat="1" ht="18.95" customHeight="1">
      <c r="A130" s="1546">
        <v>1</v>
      </c>
      <c r="B130" s="408">
        <v>105</v>
      </c>
      <c r="C130" s="621" t="s">
        <v>269</v>
      </c>
      <c r="D130" s="622" t="s">
        <v>270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101</v>
      </c>
      <c r="L130" s="665">
        <v>111.7</v>
      </c>
      <c r="M130" s="625">
        <v>118.5</v>
      </c>
      <c r="N130" s="625">
        <v>127.6</v>
      </c>
      <c r="O130" s="625">
        <v>134.9</v>
      </c>
      <c r="P130" s="625">
        <v>158</v>
      </c>
      <c r="Q130" s="625">
        <v>158</v>
      </c>
      <c r="R130" s="625">
        <v>158</v>
      </c>
      <c r="S130" s="625">
        <v>158</v>
      </c>
      <c r="T130" s="625">
        <v>159.4</v>
      </c>
      <c r="U130" s="625">
        <v>159.4</v>
      </c>
      <c r="V130" s="625">
        <v>157.1</v>
      </c>
      <c r="W130" s="625">
        <v>157.6</v>
      </c>
      <c r="X130" s="625">
        <v>156.5</v>
      </c>
      <c r="Y130" s="625">
        <v>157.1</v>
      </c>
      <c r="Z130" s="625">
        <v>159.1</v>
      </c>
      <c r="AA130" s="625">
        <v>157.19999999999999</v>
      </c>
      <c r="AB130" s="625">
        <v>157.1</v>
      </c>
      <c r="AC130" s="625">
        <v>157.1</v>
      </c>
      <c r="AD130" s="625">
        <v>157.1</v>
      </c>
      <c r="AE130" s="625">
        <v>157.1</v>
      </c>
      <c r="AF130" s="625">
        <v>157.1</v>
      </c>
      <c r="AG130" s="625">
        <v>157.1</v>
      </c>
      <c r="AH130" s="625">
        <v>157.1</v>
      </c>
      <c r="AI130" s="764">
        <v>157.1</v>
      </c>
      <c r="AJ130" s="772">
        <v>133.6</v>
      </c>
      <c r="AK130" s="625">
        <v>133.6</v>
      </c>
      <c r="AL130" s="625">
        <v>136.30000000000001</v>
      </c>
      <c r="AM130" s="625">
        <v>136.30000000000001</v>
      </c>
      <c r="AN130" s="625">
        <v>136.30000000000001</v>
      </c>
      <c r="AO130" s="625">
        <v>136.30000000000001</v>
      </c>
      <c r="AP130" s="625">
        <v>136.30000000000001</v>
      </c>
      <c r="AQ130" s="625">
        <v>136.30000000000001</v>
      </c>
      <c r="AR130" s="625">
        <v>137.1</v>
      </c>
      <c r="AS130" s="625">
        <v>137.1</v>
      </c>
      <c r="AT130" s="625">
        <v>137.1</v>
      </c>
      <c r="AU130" s="764">
        <v>140.30000000000001</v>
      </c>
      <c r="AV130" s="752">
        <v>141.80000000000001</v>
      </c>
      <c r="AW130" s="626">
        <v>141.80000000000001</v>
      </c>
      <c r="AX130" s="626">
        <v>141.80000000000001</v>
      </c>
      <c r="AY130" s="626">
        <v>142.5</v>
      </c>
      <c r="AZ130" s="626">
        <v>142.5</v>
      </c>
      <c r="BA130" s="626">
        <v>142.5</v>
      </c>
      <c r="BB130" s="626">
        <v>142.5</v>
      </c>
      <c r="BC130" s="627">
        <v>144.19999999999999</v>
      </c>
      <c r="BD130" s="626">
        <v>144.19999999999999</v>
      </c>
      <c r="BE130" s="627">
        <v>144.19999999999999</v>
      </c>
      <c r="BF130" s="627">
        <v>149.1</v>
      </c>
      <c r="BG130" s="738">
        <v>149.1</v>
      </c>
      <c r="BH130" s="660">
        <v>150.1</v>
      </c>
      <c r="BI130" s="623">
        <v>150.1</v>
      </c>
      <c r="BJ130" s="623">
        <v>150.1</v>
      </c>
      <c r="BK130" s="623">
        <v>151.1</v>
      </c>
      <c r="BL130" s="623">
        <v>157</v>
      </c>
      <c r="BM130" s="623">
        <v>158.30000000000001</v>
      </c>
      <c r="BN130" s="623">
        <v>158.30000000000001</v>
      </c>
      <c r="BO130" s="623">
        <v>162</v>
      </c>
      <c r="BP130" s="623">
        <v>162</v>
      </c>
      <c r="BQ130" s="623">
        <v>162</v>
      </c>
      <c r="BR130" s="623">
        <v>162</v>
      </c>
      <c r="BS130" s="659">
        <v>162</v>
      </c>
      <c r="BT130" s="660">
        <v>162</v>
      </c>
      <c r="BU130" s="623">
        <v>162</v>
      </c>
      <c r="BV130" s="623">
        <v>162</v>
      </c>
      <c r="BW130" s="623">
        <v>162</v>
      </c>
      <c r="BX130" s="623">
        <v>162</v>
      </c>
      <c r="BY130" s="623">
        <v>165.2</v>
      </c>
      <c r="BZ130" s="623">
        <v>169.5</v>
      </c>
      <c r="CA130" s="623">
        <v>171</v>
      </c>
      <c r="CB130" s="623">
        <v>171</v>
      </c>
      <c r="CC130" s="623">
        <v>166.4</v>
      </c>
      <c r="CD130" s="623">
        <v>166.4</v>
      </c>
      <c r="CE130" s="659">
        <v>166.4</v>
      </c>
      <c r="CF130" s="660">
        <v>166.4</v>
      </c>
      <c r="CG130" s="623">
        <v>172.3</v>
      </c>
      <c r="CH130" s="623">
        <v>173.5</v>
      </c>
      <c r="CI130" s="623">
        <v>174.8</v>
      </c>
      <c r="CJ130" s="623">
        <v>177.3</v>
      </c>
      <c r="CK130" s="623">
        <v>179.6</v>
      </c>
      <c r="CL130" s="623">
        <v>183.5</v>
      </c>
      <c r="CM130" s="623">
        <v>183.5</v>
      </c>
      <c r="CN130" s="623">
        <v>183.5</v>
      </c>
      <c r="CO130" s="623">
        <v>183.5</v>
      </c>
      <c r="CP130" s="623">
        <v>183.5</v>
      </c>
      <c r="CQ130" s="659">
        <v>183.5</v>
      </c>
      <c r="CR130" s="660">
        <v>183.5</v>
      </c>
      <c r="CS130" s="623">
        <v>183.5</v>
      </c>
      <c r="CT130" s="623">
        <v>189</v>
      </c>
      <c r="CU130" s="623">
        <v>189</v>
      </c>
      <c r="CV130" s="623">
        <v>187.2</v>
      </c>
      <c r="CW130" s="623">
        <v>187.2</v>
      </c>
      <c r="CX130" s="623">
        <v>187.2</v>
      </c>
      <c r="CY130" s="623">
        <v>187.2</v>
      </c>
      <c r="CZ130" s="623">
        <v>187.2</v>
      </c>
      <c r="DA130" s="623">
        <v>187.2</v>
      </c>
      <c r="DB130" s="725">
        <v>192.6</v>
      </c>
      <c r="DC130" s="659">
        <v>192.6</v>
      </c>
      <c r="DD130" s="783">
        <v>192.6</v>
      </c>
      <c r="DE130" s="623">
        <v>195.6</v>
      </c>
      <c r="DF130" s="725">
        <v>195.6</v>
      </c>
      <c r="DG130" s="659">
        <v>195.6</v>
      </c>
      <c r="DH130" s="623">
        <v>195.6</v>
      </c>
      <c r="DI130" s="623">
        <v>195.6</v>
      </c>
      <c r="DJ130" s="623">
        <v>195.6</v>
      </c>
      <c r="DK130" s="659">
        <v>195.6</v>
      </c>
      <c r="DL130" s="623">
        <v>195.6</v>
      </c>
      <c r="DM130" s="659">
        <v>195.6</v>
      </c>
      <c r="DN130" s="659">
        <v>195.6</v>
      </c>
      <c r="DO130" s="897">
        <v>196.7</v>
      </c>
      <c r="DP130" s="783">
        <v>198.7</v>
      </c>
      <c r="DQ130" s="659">
        <v>198.7</v>
      </c>
      <c r="DR130" s="659">
        <v>199.6</v>
      </c>
      <c r="DS130" s="659">
        <v>200</v>
      </c>
      <c r="DT130" s="623">
        <v>201.2</v>
      </c>
      <c r="DU130" s="659">
        <v>201.3</v>
      </c>
      <c r="DV130" s="659">
        <v>203.2</v>
      </c>
      <c r="DW130" s="659">
        <v>203.7</v>
      </c>
      <c r="DX130" s="659">
        <v>204.3</v>
      </c>
      <c r="DY130" s="659">
        <v>206.1</v>
      </c>
      <c r="DZ130" s="659">
        <v>206.1</v>
      </c>
      <c r="EA130" s="897">
        <v>206.1</v>
      </c>
      <c r="EB130" s="659">
        <v>206.8</v>
      </c>
      <c r="EC130" s="659">
        <v>206.9</v>
      </c>
      <c r="ED130" s="659">
        <v>217.5</v>
      </c>
      <c r="EE130" s="659">
        <v>217.9</v>
      </c>
      <c r="EF130" s="659">
        <v>217.9</v>
      </c>
      <c r="EG130" s="659">
        <v>223.1</v>
      </c>
      <c r="EH130" s="659">
        <v>224.7</v>
      </c>
      <c r="EI130" s="659">
        <v>225.4</v>
      </c>
      <c r="EJ130" s="659">
        <v>226.4</v>
      </c>
      <c r="EK130" s="623">
        <v>226.9</v>
      </c>
      <c r="EL130" s="725">
        <v>227.8</v>
      </c>
      <c r="EM130" s="659">
        <v>228.7</v>
      </c>
      <c r="EN130" s="783">
        <v>233.1</v>
      </c>
      <c r="EO130" s="659">
        <v>238.6</v>
      </c>
      <c r="EP130" s="659">
        <v>240.9</v>
      </c>
      <c r="EQ130" s="659">
        <v>239.6</v>
      </c>
      <c r="ER130" s="659">
        <v>248.2</v>
      </c>
      <c r="ES130" s="659">
        <v>248.2</v>
      </c>
      <c r="ET130" s="659">
        <v>248.2</v>
      </c>
      <c r="EU130" s="659">
        <v>253.7</v>
      </c>
      <c r="EV130" s="659">
        <v>258</v>
      </c>
      <c r="EW130" s="659">
        <v>263.89999999999998</v>
      </c>
      <c r="EX130" s="659">
        <v>265.5</v>
      </c>
      <c r="EY130" s="659">
        <v>274.89999999999998</v>
      </c>
      <c r="EZ130" s="783">
        <v>280.5</v>
      </c>
      <c r="FA130" s="659">
        <v>306.10000000000002</v>
      </c>
      <c r="FB130" s="659">
        <v>314.3</v>
      </c>
      <c r="FC130" s="659">
        <v>315.8</v>
      </c>
      <c r="FD130" s="659">
        <v>316.39999999999998</v>
      </c>
      <c r="FE130" s="659">
        <v>317.3</v>
      </c>
      <c r="FF130" s="659">
        <v>316.60000000000002</v>
      </c>
      <c r="FG130" s="659">
        <v>321.8</v>
      </c>
      <c r="FH130" s="659">
        <v>323.89999999999998</v>
      </c>
      <c r="FI130" s="659">
        <v>327.7</v>
      </c>
      <c r="FJ130" s="659">
        <v>328.4</v>
      </c>
      <c r="FK130" s="897">
        <v>339.5</v>
      </c>
      <c r="FL130" s="660">
        <v>340.2</v>
      </c>
      <c r="FM130" s="623">
        <v>341.4</v>
      </c>
      <c r="FN130" s="623">
        <v>342.8</v>
      </c>
      <c r="FO130" s="623">
        <v>343.5</v>
      </c>
      <c r="FP130" s="623">
        <v>344.9</v>
      </c>
      <c r="FQ130" s="623">
        <v>346.6</v>
      </c>
      <c r="FR130" s="623">
        <v>347.6</v>
      </c>
      <c r="FS130" s="623">
        <v>348.7</v>
      </c>
      <c r="FT130" s="623">
        <v>351</v>
      </c>
      <c r="FU130" s="897">
        <v>352.5</v>
      </c>
      <c r="FV130" s="1167">
        <f t="shared" si="1"/>
        <v>1.0042735042735043</v>
      </c>
    </row>
    <row r="131" spans="1:178" s="115" customFormat="1" ht="18.95" customHeight="1">
      <c r="A131" s="1546">
        <v>1</v>
      </c>
      <c r="B131" s="408">
        <v>106</v>
      </c>
      <c r="C131" s="621">
        <v>23</v>
      </c>
      <c r="D131" s="622" t="s">
        <v>271</v>
      </c>
      <c r="E131" s="621" t="s">
        <v>918</v>
      </c>
      <c r="F131" s="622"/>
      <c r="G131" s="621" t="s">
        <v>223</v>
      </c>
      <c r="H131" s="621" t="s">
        <v>930</v>
      </c>
      <c r="I131" s="390" t="s">
        <v>272</v>
      </c>
      <c r="J131" s="651"/>
      <c r="K131" s="669">
        <v>120.95</v>
      </c>
      <c r="L131" s="665">
        <v>120.21</v>
      </c>
      <c r="M131" s="625">
        <v>122.66</v>
      </c>
      <c r="N131" s="625">
        <v>138</v>
      </c>
      <c r="O131" s="625">
        <v>180.99</v>
      </c>
      <c r="P131" s="625">
        <v>223.5</v>
      </c>
      <c r="Q131" s="625">
        <v>267.45999999999998</v>
      </c>
      <c r="R131" s="625">
        <v>296.68</v>
      </c>
      <c r="S131" s="625">
        <v>315.25</v>
      </c>
      <c r="T131" s="625">
        <v>334.26</v>
      </c>
      <c r="U131" s="625">
        <v>343.8</v>
      </c>
      <c r="V131" s="625">
        <v>343.24</v>
      </c>
      <c r="W131" s="625">
        <v>338.83</v>
      </c>
      <c r="X131" s="625">
        <v>355.25</v>
      </c>
      <c r="Y131" s="625">
        <v>359.09</v>
      </c>
      <c r="Z131" s="625">
        <v>362.37</v>
      </c>
      <c r="AA131" s="625">
        <v>359.13</v>
      </c>
      <c r="AB131" s="625">
        <v>360.13</v>
      </c>
      <c r="AC131" s="625">
        <v>350</v>
      </c>
      <c r="AD131" s="625">
        <v>349.33</v>
      </c>
      <c r="AE131" s="625">
        <v>349.23</v>
      </c>
      <c r="AF131" s="625">
        <v>348.66</v>
      </c>
      <c r="AG131" s="625">
        <v>350.91</v>
      </c>
      <c r="AH131" s="625">
        <v>350.18</v>
      </c>
      <c r="AI131" s="764">
        <v>350.52</v>
      </c>
      <c r="AJ131" s="772">
        <v>351.9</v>
      </c>
      <c r="AK131" s="625">
        <v>354.69</v>
      </c>
      <c r="AL131" s="625">
        <v>353.57</v>
      </c>
      <c r="AM131" s="625">
        <v>353.72</v>
      </c>
      <c r="AN131" s="625">
        <v>358.99</v>
      </c>
      <c r="AO131" s="625">
        <v>360.97</v>
      </c>
      <c r="AP131" s="625">
        <v>362.72</v>
      </c>
      <c r="AQ131" s="625">
        <v>371.44</v>
      </c>
      <c r="AR131" s="625">
        <v>372.23</v>
      </c>
      <c r="AS131" s="625">
        <v>371.07</v>
      </c>
      <c r="AT131" s="625">
        <v>371.7</v>
      </c>
      <c r="AU131" s="764">
        <v>371.72</v>
      </c>
      <c r="AV131" s="752">
        <v>372.47</v>
      </c>
      <c r="AW131" s="626">
        <v>373.22</v>
      </c>
      <c r="AX131" s="626">
        <v>377.02</v>
      </c>
      <c r="AY131" s="626">
        <v>377.33</v>
      </c>
      <c r="AZ131" s="626">
        <v>380.39</v>
      </c>
      <c r="BA131" s="627" t="s">
        <v>482</v>
      </c>
      <c r="BB131" s="627">
        <v>380.13</v>
      </c>
      <c r="BC131" s="627">
        <v>382.13</v>
      </c>
      <c r="BD131" s="626">
        <v>382.93</v>
      </c>
      <c r="BE131" s="627">
        <v>388.63</v>
      </c>
      <c r="BF131" s="627">
        <v>392.08</v>
      </c>
      <c r="BG131" s="738">
        <v>389.83</v>
      </c>
      <c r="BH131" s="660">
        <v>391</v>
      </c>
      <c r="BI131" s="623">
        <v>391.66</v>
      </c>
      <c r="BJ131" s="623">
        <v>398.16</v>
      </c>
      <c r="BK131" s="623">
        <v>394.6</v>
      </c>
      <c r="BL131" s="623">
        <v>397.73</v>
      </c>
      <c r="BM131" s="623">
        <v>397.49</v>
      </c>
      <c r="BN131" s="623">
        <v>399.93</v>
      </c>
      <c r="BO131" s="623">
        <v>401.29</v>
      </c>
      <c r="BP131" s="623">
        <v>405.43</v>
      </c>
      <c r="BQ131" s="623">
        <v>406.87</v>
      </c>
      <c r="BR131" s="623">
        <v>405.04</v>
      </c>
      <c r="BS131" s="659">
        <v>404.56</v>
      </c>
      <c r="BT131" s="660">
        <v>403.94</v>
      </c>
      <c r="BU131" s="623">
        <v>403.3</v>
      </c>
      <c r="BV131" s="623">
        <v>403.03</v>
      </c>
      <c r="BW131" s="623">
        <v>406.22</v>
      </c>
      <c r="BX131" s="623">
        <v>410.88</v>
      </c>
      <c r="BY131" s="623">
        <v>417.26</v>
      </c>
      <c r="BZ131" s="623">
        <v>436.88</v>
      </c>
      <c r="CA131" s="623">
        <v>437.48</v>
      </c>
      <c r="CB131" s="623">
        <v>432.41</v>
      </c>
      <c r="CC131" s="623">
        <v>429.68</v>
      </c>
      <c r="CD131" s="623">
        <v>434.55</v>
      </c>
      <c r="CE131" s="659">
        <v>442.91</v>
      </c>
      <c r="CF131" s="660">
        <v>438.98</v>
      </c>
      <c r="CG131" s="623">
        <v>422.32</v>
      </c>
      <c r="CH131" s="623">
        <v>419.27</v>
      </c>
      <c r="CI131" s="623">
        <v>432.29</v>
      </c>
      <c r="CJ131" s="623">
        <v>449.92</v>
      </c>
      <c r="CK131" s="623">
        <v>461.76</v>
      </c>
      <c r="CL131" s="623">
        <v>467.34</v>
      </c>
      <c r="CM131" s="623">
        <v>466.03</v>
      </c>
      <c r="CN131" s="623">
        <v>470.14</v>
      </c>
      <c r="CO131" s="623">
        <v>475.03</v>
      </c>
      <c r="CP131" s="623">
        <v>479.57</v>
      </c>
      <c r="CQ131" s="659">
        <v>484.62</v>
      </c>
      <c r="CR131" s="660">
        <v>487.27</v>
      </c>
      <c r="CS131" s="623">
        <v>494.07</v>
      </c>
      <c r="CT131" s="623">
        <v>499.58</v>
      </c>
      <c r="CU131" s="623">
        <v>517.97</v>
      </c>
      <c r="CV131" s="623">
        <v>534.30999999999995</v>
      </c>
      <c r="CW131" s="623">
        <v>551.24</v>
      </c>
      <c r="CX131" s="623">
        <v>568.07000000000005</v>
      </c>
      <c r="CY131" s="623">
        <v>569.07000000000005</v>
      </c>
      <c r="CZ131" s="623">
        <v>571.26</v>
      </c>
      <c r="DA131" s="623">
        <v>585.61</v>
      </c>
      <c r="DB131" s="725">
        <v>589.37</v>
      </c>
      <c r="DC131" s="659">
        <v>594.92999999999995</v>
      </c>
      <c r="DD131" s="783">
        <v>593.14</v>
      </c>
      <c r="DE131" s="623">
        <v>593.13</v>
      </c>
      <c r="DF131" s="725">
        <v>595.91999999999996</v>
      </c>
      <c r="DG131" s="659">
        <v>621.74</v>
      </c>
      <c r="DH131" s="623">
        <v>643.32000000000005</v>
      </c>
      <c r="DI131" s="623">
        <v>663.13</v>
      </c>
      <c r="DJ131" s="623">
        <v>686.18</v>
      </c>
      <c r="DK131" s="659">
        <v>698.8</v>
      </c>
      <c r="DL131" s="623">
        <v>705.11</v>
      </c>
      <c r="DM131" s="659">
        <v>706.53</v>
      </c>
      <c r="DN131" s="659">
        <v>707.65</v>
      </c>
      <c r="DO131" s="897">
        <v>722.21</v>
      </c>
      <c r="DP131" s="783">
        <v>753.56</v>
      </c>
      <c r="DQ131" s="659">
        <v>758.48</v>
      </c>
      <c r="DR131" s="659">
        <v>763.49</v>
      </c>
      <c r="DS131" s="659">
        <v>798.27</v>
      </c>
      <c r="DT131" s="623">
        <v>812.42</v>
      </c>
      <c r="DU131" s="659">
        <v>821.38</v>
      </c>
      <c r="DV131" s="659">
        <v>837.97</v>
      </c>
      <c r="DW131" s="659">
        <v>854.9</v>
      </c>
      <c r="DX131" s="659">
        <v>861.85</v>
      </c>
      <c r="DY131" s="659">
        <v>867.95</v>
      </c>
      <c r="DZ131" s="659">
        <v>865.79</v>
      </c>
      <c r="EA131" s="897">
        <v>872.59</v>
      </c>
      <c r="EB131" s="659">
        <v>894.2</v>
      </c>
      <c r="EC131" s="659">
        <v>896.78</v>
      </c>
      <c r="ED131" s="659">
        <v>905.65</v>
      </c>
      <c r="EE131" s="659">
        <v>923.28</v>
      </c>
      <c r="EF131" s="659">
        <v>942.85</v>
      </c>
      <c r="EG131" s="659">
        <v>944.45</v>
      </c>
      <c r="EH131" s="659">
        <v>958.86</v>
      </c>
      <c r="EI131" s="659">
        <v>961.74</v>
      </c>
      <c r="EJ131" s="659">
        <v>959.66</v>
      </c>
      <c r="EK131" s="623">
        <v>961.73</v>
      </c>
      <c r="EL131" s="725">
        <v>974.78</v>
      </c>
      <c r="EM131" s="659">
        <v>974.88</v>
      </c>
      <c r="EN131" s="783">
        <v>980.71</v>
      </c>
      <c r="EO131" s="659">
        <v>987.36</v>
      </c>
      <c r="EP131" s="659">
        <v>1002.04</v>
      </c>
      <c r="EQ131" s="659">
        <v>1020.85</v>
      </c>
      <c r="ER131" s="659">
        <v>1046.71</v>
      </c>
      <c r="ES131" s="659">
        <v>1055.5899999999999</v>
      </c>
      <c r="ET131" s="659">
        <v>1070.83</v>
      </c>
      <c r="EU131" s="659">
        <v>1081.77</v>
      </c>
      <c r="EV131" s="659">
        <v>1087.6300000000001</v>
      </c>
      <c r="EW131" s="659">
        <v>1091.3900000000001</v>
      </c>
      <c r="EX131" s="659">
        <v>1095.04</v>
      </c>
      <c r="EY131" s="659">
        <v>1106.02</v>
      </c>
      <c r="EZ131" s="783">
        <v>1161.67</v>
      </c>
      <c r="FA131" s="659">
        <v>1204.6500000000001</v>
      </c>
      <c r="FB131" s="659">
        <v>1252.57</v>
      </c>
      <c r="FC131" s="659">
        <v>1321.03</v>
      </c>
      <c r="FD131" s="659">
        <v>1354.13</v>
      </c>
      <c r="FE131" s="659">
        <v>1362.29</v>
      </c>
      <c r="FF131" s="659">
        <v>1414.28</v>
      </c>
      <c r="FG131" s="659">
        <v>1421.27</v>
      </c>
      <c r="FH131" s="659">
        <v>1451.45</v>
      </c>
      <c r="FI131" s="659">
        <v>1459.54</v>
      </c>
      <c r="FJ131" s="659">
        <v>1463.38</v>
      </c>
      <c r="FK131" s="897">
        <v>1466.24</v>
      </c>
      <c r="FL131" s="660">
        <v>1414.14</v>
      </c>
      <c r="FM131" s="623">
        <v>1419.21</v>
      </c>
      <c r="FN131" s="623">
        <v>1429.36</v>
      </c>
      <c r="FO131" s="623">
        <v>1432.47</v>
      </c>
      <c r="FP131" s="623">
        <v>1447.16</v>
      </c>
      <c r="FQ131" s="623">
        <v>1470.19</v>
      </c>
      <c r="FR131" s="623">
        <v>1491.27</v>
      </c>
      <c r="FS131" s="623">
        <v>1512.11</v>
      </c>
      <c r="FT131" s="623">
        <v>1517.54</v>
      </c>
      <c r="FU131" s="897">
        <v>1516.36</v>
      </c>
      <c r="FV131" s="1167">
        <f t="shared" si="1"/>
        <v>0.99922242576801923</v>
      </c>
    </row>
    <row r="132" spans="1:178" s="115" customFormat="1" ht="18.95" customHeight="1">
      <c r="A132" s="1546">
        <v>1</v>
      </c>
      <c r="B132" s="408">
        <v>107</v>
      </c>
      <c r="C132" s="621" t="s">
        <v>273</v>
      </c>
      <c r="D132" s="622" t="s">
        <v>746</v>
      </c>
      <c r="E132" s="621" t="s">
        <v>918</v>
      </c>
      <c r="F132" s="622"/>
      <c r="G132" s="621" t="s">
        <v>929</v>
      </c>
      <c r="H132" s="621" t="s">
        <v>930</v>
      </c>
      <c r="I132" s="390" t="s">
        <v>47</v>
      </c>
      <c r="J132" s="651"/>
      <c r="K132" s="669">
        <v>105.4</v>
      </c>
      <c r="L132" s="665">
        <v>113.2</v>
      </c>
      <c r="M132" s="625">
        <v>133.9</v>
      </c>
      <c r="N132" s="625">
        <v>140.80000000000001</v>
      </c>
      <c r="O132" s="625">
        <v>153.69999999999999</v>
      </c>
      <c r="P132" s="625">
        <v>160</v>
      </c>
      <c r="Q132" s="625">
        <v>165.5</v>
      </c>
      <c r="R132" s="625">
        <v>165.5</v>
      </c>
      <c r="S132" s="625">
        <v>158.69999999999999</v>
      </c>
      <c r="T132" s="625">
        <v>166.1</v>
      </c>
      <c r="U132" s="625">
        <v>170.4</v>
      </c>
      <c r="V132" s="625">
        <v>178.5</v>
      </c>
      <c r="W132" s="625">
        <v>178.5</v>
      </c>
      <c r="X132" s="625">
        <v>178.5</v>
      </c>
      <c r="Y132" s="625">
        <v>178.5</v>
      </c>
      <c r="Z132" s="625">
        <v>178.5</v>
      </c>
      <c r="AA132" s="625">
        <v>178.5</v>
      </c>
      <c r="AB132" s="625">
        <v>177.7</v>
      </c>
      <c r="AC132" s="625">
        <v>177.7</v>
      </c>
      <c r="AD132" s="625">
        <v>177.7</v>
      </c>
      <c r="AE132" s="625">
        <v>178.9</v>
      </c>
      <c r="AF132" s="625">
        <v>181.6</v>
      </c>
      <c r="AG132" s="625">
        <v>181.6</v>
      </c>
      <c r="AH132" s="625">
        <v>184.9</v>
      </c>
      <c r="AI132" s="764">
        <v>186.3</v>
      </c>
      <c r="AJ132" s="772">
        <v>188.4</v>
      </c>
      <c r="AK132" s="625">
        <v>188.4</v>
      </c>
      <c r="AL132" s="625">
        <v>192.7</v>
      </c>
      <c r="AM132" s="625">
        <v>197.4</v>
      </c>
      <c r="AN132" s="625">
        <v>197.4</v>
      </c>
      <c r="AO132" s="625">
        <v>197.4</v>
      </c>
      <c r="AP132" s="625">
        <v>207.3</v>
      </c>
      <c r="AQ132" s="625">
        <v>209.3</v>
      </c>
      <c r="AR132" s="625">
        <v>209.3</v>
      </c>
      <c r="AS132" s="625">
        <v>213.8</v>
      </c>
      <c r="AT132" s="625">
        <v>215.4</v>
      </c>
      <c r="AU132" s="764">
        <v>215.4</v>
      </c>
      <c r="AV132" s="752">
        <v>219</v>
      </c>
      <c r="AW132" s="626">
        <v>219</v>
      </c>
      <c r="AX132" s="626">
        <v>219</v>
      </c>
      <c r="AY132" s="626">
        <v>219</v>
      </c>
      <c r="AZ132" s="626">
        <v>223.5</v>
      </c>
      <c r="BA132" s="626">
        <v>223.5</v>
      </c>
      <c r="BB132" s="626">
        <v>223.5</v>
      </c>
      <c r="BC132" s="627">
        <v>223.5</v>
      </c>
      <c r="BD132" s="626">
        <v>223.5</v>
      </c>
      <c r="BE132" s="627">
        <v>223.5</v>
      </c>
      <c r="BF132" s="627">
        <v>221.5</v>
      </c>
      <c r="BG132" s="738">
        <v>226.3</v>
      </c>
      <c r="BH132" s="660">
        <v>226.3</v>
      </c>
      <c r="BI132" s="623">
        <v>226.3</v>
      </c>
      <c r="BJ132" s="623">
        <v>237.2</v>
      </c>
      <c r="BK132" s="623">
        <v>237.2</v>
      </c>
      <c r="BL132" s="623">
        <v>237.2</v>
      </c>
      <c r="BM132" s="623">
        <v>237.2</v>
      </c>
      <c r="BN132" s="623">
        <v>244.6</v>
      </c>
      <c r="BO132" s="623">
        <v>244.6</v>
      </c>
      <c r="BP132" s="623">
        <v>244.6</v>
      </c>
      <c r="BQ132" s="623">
        <v>261.60000000000002</v>
      </c>
      <c r="BR132" s="623">
        <v>261.60000000000002</v>
      </c>
      <c r="BS132" s="659">
        <v>270.7</v>
      </c>
      <c r="BT132" s="660">
        <v>279</v>
      </c>
      <c r="BU132" s="623">
        <v>279</v>
      </c>
      <c r="BV132" s="623">
        <v>279</v>
      </c>
      <c r="BW132" s="623">
        <v>281.2</v>
      </c>
      <c r="BX132" s="623">
        <v>281.2</v>
      </c>
      <c r="BY132" s="623">
        <v>281.2</v>
      </c>
      <c r="BZ132" s="623">
        <v>295.60000000000002</v>
      </c>
      <c r="CA132" s="623">
        <v>295.60000000000002</v>
      </c>
      <c r="CB132" s="623">
        <v>312.2</v>
      </c>
      <c r="CC132" s="623">
        <v>315.10000000000002</v>
      </c>
      <c r="CD132" s="623">
        <v>319</v>
      </c>
      <c r="CE132" s="659">
        <v>322</v>
      </c>
      <c r="CF132" s="660">
        <v>326.3</v>
      </c>
      <c r="CG132" s="623">
        <v>331.1</v>
      </c>
      <c r="CH132" s="623">
        <v>346.1</v>
      </c>
      <c r="CI132" s="623">
        <v>348.1</v>
      </c>
      <c r="CJ132" s="623">
        <v>359.7</v>
      </c>
      <c r="CK132" s="623">
        <v>359.7</v>
      </c>
      <c r="CL132" s="623">
        <v>376.6</v>
      </c>
      <c r="CM132" s="623">
        <v>376.6</v>
      </c>
      <c r="CN132" s="623">
        <v>382.2</v>
      </c>
      <c r="CO132" s="623">
        <v>382.2</v>
      </c>
      <c r="CP132" s="623">
        <v>386</v>
      </c>
      <c r="CQ132" s="659">
        <v>386</v>
      </c>
      <c r="CR132" s="660">
        <v>386</v>
      </c>
      <c r="CS132" s="623">
        <v>386</v>
      </c>
      <c r="CT132" s="623">
        <v>386</v>
      </c>
      <c r="CU132" s="623">
        <v>383.3</v>
      </c>
      <c r="CV132" s="623">
        <v>404.4</v>
      </c>
      <c r="CW132" s="623">
        <v>404.4</v>
      </c>
      <c r="CX132" s="623">
        <v>404.4</v>
      </c>
      <c r="CY132" s="623">
        <v>411.7</v>
      </c>
      <c r="CZ132" s="623">
        <v>416.5</v>
      </c>
      <c r="DA132" s="623">
        <v>416.5</v>
      </c>
      <c r="DB132" s="725">
        <v>416.5</v>
      </c>
      <c r="DC132" s="659">
        <v>416.5</v>
      </c>
      <c r="DD132" s="783">
        <v>416.5</v>
      </c>
      <c r="DE132" s="623">
        <v>419.4</v>
      </c>
      <c r="DF132" s="725">
        <v>423.8</v>
      </c>
      <c r="DG132" s="659">
        <v>432.3</v>
      </c>
      <c r="DH132" s="623">
        <v>436.9</v>
      </c>
      <c r="DI132" s="623">
        <v>442.2</v>
      </c>
      <c r="DJ132" s="623">
        <v>442.2</v>
      </c>
      <c r="DK132" s="659">
        <v>445.3</v>
      </c>
      <c r="DL132" s="623">
        <v>453.3</v>
      </c>
      <c r="DM132" s="659">
        <v>453.3</v>
      </c>
      <c r="DN132" s="659">
        <v>453.3</v>
      </c>
      <c r="DO132" s="897">
        <v>453.3</v>
      </c>
      <c r="DP132" s="783">
        <v>456.8</v>
      </c>
      <c r="DQ132" s="659">
        <v>460.1</v>
      </c>
      <c r="DR132" s="659">
        <v>465</v>
      </c>
      <c r="DS132" s="659">
        <v>465</v>
      </c>
      <c r="DT132" s="623">
        <v>465</v>
      </c>
      <c r="DU132" s="659">
        <v>465</v>
      </c>
      <c r="DV132" s="659">
        <v>481</v>
      </c>
      <c r="DW132" s="659">
        <v>474.1</v>
      </c>
      <c r="DX132" s="659">
        <v>488.2</v>
      </c>
      <c r="DY132" s="659">
        <v>506.3</v>
      </c>
      <c r="DZ132" s="659">
        <v>506.3</v>
      </c>
      <c r="EA132" s="897">
        <v>511.1</v>
      </c>
      <c r="EB132" s="659">
        <v>525.1</v>
      </c>
      <c r="EC132" s="659">
        <v>525.1</v>
      </c>
      <c r="ED132" s="659">
        <v>525.1</v>
      </c>
      <c r="EE132" s="659">
        <v>530.70000000000005</v>
      </c>
      <c r="EF132" s="659">
        <v>537.5</v>
      </c>
      <c r="EG132" s="659">
        <v>554.20000000000005</v>
      </c>
      <c r="EH132" s="659">
        <v>568.6</v>
      </c>
      <c r="EI132" s="659">
        <v>571.6</v>
      </c>
      <c r="EJ132" s="659">
        <v>576.79999999999995</v>
      </c>
      <c r="EK132" s="623">
        <v>586.70000000000005</v>
      </c>
      <c r="EL132" s="725">
        <v>586.70000000000005</v>
      </c>
      <c r="EM132" s="659">
        <v>593.6</v>
      </c>
      <c r="EN132" s="783">
        <v>593.6</v>
      </c>
      <c r="EO132" s="659">
        <v>593.6</v>
      </c>
      <c r="EP132" s="659">
        <v>598.9</v>
      </c>
      <c r="EQ132" s="659">
        <v>596.4</v>
      </c>
      <c r="ER132" s="659">
        <v>604.29999999999995</v>
      </c>
      <c r="ES132" s="659">
        <v>617</v>
      </c>
      <c r="ET132" s="659">
        <v>638.4</v>
      </c>
      <c r="EU132" s="659">
        <v>640.20000000000005</v>
      </c>
      <c r="EV132" s="659">
        <v>652.5</v>
      </c>
      <c r="EW132" s="659">
        <v>658.3</v>
      </c>
      <c r="EX132" s="659">
        <v>674.4</v>
      </c>
      <c r="EY132" s="659">
        <v>689.6</v>
      </c>
      <c r="EZ132" s="783">
        <v>713.5</v>
      </c>
      <c r="FA132" s="659">
        <v>804.7</v>
      </c>
      <c r="FB132" s="659">
        <v>853.3</v>
      </c>
      <c r="FC132" s="659">
        <v>867</v>
      </c>
      <c r="FD132" s="659">
        <v>903.3</v>
      </c>
      <c r="FE132" s="659">
        <v>903.3</v>
      </c>
      <c r="FF132" s="659">
        <v>915.3</v>
      </c>
      <c r="FG132" s="659">
        <v>915.3</v>
      </c>
      <c r="FH132" s="659">
        <v>921.4</v>
      </c>
      <c r="FI132" s="659">
        <v>939.8</v>
      </c>
      <c r="FJ132" s="659">
        <v>951.2</v>
      </c>
      <c r="FK132" s="897">
        <v>951.2</v>
      </c>
      <c r="FL132" s="660">
        <v>980.6</v>
      </c>
      <c r="FM132" s="623">
        <v>992</v>
      </c>
      <c r="FN132" s="623">
        <v>992.3</v>
      </c>
      <c r="FO132" s="623">
        <v>1000.1</v>
      </c>
      <c r="FP132" s="623">
        <v>1024.8</v>
      </c>
      <c r="FQ132" s="623">
        <v>1031.3</v>
      </c>
      <c r="FR132" s="623">
        <v>1047.5999999999999</v>
      </c>
      <c r="FS132" s="623">
        <v>1087.3</v>
      </c>
      <c r="FT132" s="623">
        <v>1099.0999999999999</v>
      </c>
      <c r="FU132" s="897">
        <v>1114.8</v>
      </c>
      <c r="FV132" s="1167">
        <f t="shared" si="1"/>
        <v>1.0142844145209717</v>
      </c>
    </row>
    <row r="133" spans="1:178" s="115" customFormat="1" ht="24.75" customHeight="1">
      <c r="A133" s="1546">
        <v>1</v>
      </c>
      <c r="B133" s="644">
        <v>108</v>
      </c>
      <c r="C133" s="645" t="s">
        <v>274</v>
      </c>
      <c r="D133" s="646" t="s">
        <v>275</v>
      </c>
      <c r="E133" s="645" t="s">
        <v>918</v>
      </c>
      <c r="F133" s="646"/>
      <c r="G133" s="645" t="s">
        <v>929</v>
      </c>
      <c r="H133" s="645" t="s">
        <v>930</v>
      </c>
      <c r="I133" s="876" t="s">
        <v>421</v>
      </c>
      <c r="J133" s="869"/>
      <c r="K133" s="877">
        <v>97.7</v>
      </c>
      <c r="L133" s="878">
        <v>104.5</v>
      </c>
      <c r="M133" s="879">
        <v>115.8</v>
      </c>
      <c r="N133" s="879">
        <v>137</v>
      </c>
      <c r="O133" s="879">
        <v>147.30000000000001</v>
      </c>
      <c r="P133" s="879">
        <v>156.4</v>
      </c>
      <c r="Q133" s="879">
        <v>159.30000000000001</v>
      </c>
      <c r="R133" s="879">
        <v>159.30000000000001</v>
      </c>
      <c r="S133" s="879">
        <v>157</v>
      </c>
      <c r="T133" s="879">
        <v>163</v>
      </c>
      <c r="U133" s="879">
        <v>167.4</v>
      </c>
      <c r="V133" s="879">
        <v>170</v>
      </c>
      <c r="W133" s="879">
        <v>170</v>
      </c>
      <c r="X133" s="879">
        <v>170</v>
      </c>
      <c r="Y133" s="879">
        <v>170</v>
      </c>
      <c r="Z133" s="879">
        <v>171</v>
      </c>
      <c r="AA133" s="879">
        <v>171</v>
      </c>
      <c r="AB133" s="879">
        <v>171.4</v>
      </c>
      <c r="AC133" s="879">
        <v>171.4</v>
      </c>
      <c r="AD133" s="879">
        <v>171.4</v>
      </c>
      <c r="AE133" s="879">
        <v>172.8</v>
      </c>
      <c r="AF133" s="879">
        <v>171.9</v>
      </c>
      <c r="AG133" s="879">
        <v>171.9</v>
      </c>
      <c r="AH133" s="879">
        <v>174.6</v>
      </c>
      <c r="AI133" s="880">
        <v>179.5</v>
      </c>
      <c r="AJ133" s="881">
        <v>181.2</v>
      </c>
      <c r="AK133" s="879">
        <v>186.3</v>
      </c>
      <c r="AL133" s="879">
        <v>196.3</v>
      </c>
      <c r="AM133" s="879">
        <v>197.6</v>
      </c>
      <c r="AN133" s="879">
        <v>201</v>
      </c>
      <c r="AO133" s="879">
        <v>204.7</v>
      </c>
      <c r="AP133" s="879">
        <v>204.7</v>
      </c>
      <c r="AQ133" s="879">
        <v>209.7</v>
      </c>
      <c r="AR133" s="879">
        <v>209.4</v>
      </c>
      <c r="AS133" s="879">
        <v>211.1</v>
      </c>
      <c r="AT133" s="879">
        <v>216.3</v>
      </c>
      <c r="AU133" s="880">
        <v>215.4</v>
      </c>
      <c r="AV133" s="882">
        <v>224.6</v>
      </c>
      <c r="AW133" s="883">
        <v>224.6</v>
      </c>
      <c r="AX133" s="883">
        <v>224.6</v>
      </c>
      <c r="AY133" s="883">
        <v>229.7</v>
      </c>
      <c r="AZ133" s="883">
        <v>229.7</v>
      </c>
      <c r="BA133" s="883">
        <v>229.7</v>
      </c>
      <c r="BB133" s="883">
        <v>229.7</v>
      </c>
      <c r="BC133" s="884">
        <v>229.7</v>
      </c>
      <c r="BD133" s="883">
        <v>231.8</v>
      </c>
      <c r="BE133" s="884">
        <v>231.8</v>
      </c>
      <c r="BF133" s="884">
        <v>240.1</v>
      </c>
      <c r="BG133" s="885">
        <v>242.5</v>
      </c>
      <c r="BH133" s="886">
        <v>242.5</v>
      </c>
      <c r="BI133" s="887">
        <v>244.5</v>
      </c>
      <c r="BJ133" s="887">
        <v>250.9</v>
      </c>
      <c r="BK133" s="887">
        <v>250.9</v>
      </c>
      <c r="BL133" s="887">
        <v>250.9</v>
      </c>
      <c r="BM133" s="887">
        <v>250.9</v>
      </c>
      <c r="BN133" s="887">
        <v>255</v>
      </c>
      <c r="BO133" s="887">
        <v>255</v>
      </c>
      <c r="BP133" s="887">
        <v>255</v>
      </c>
      <c r="BQ133" s="887">
        <v>260.10000000000002</v>
      </c>
      <c r="BR133" s="887">
        <v>260.10000000000002</v>
      </c>
      <c r="BS133" s="888">
        <v>259.8</v>
      </c>
      <c r="BT133" s="886">
        <v>266.3</v>
      </c>
      <c r="BU133" s="887">
        <v>266.3</v>
      </c>
      <c r="BV133" s="887">
        <v>266.3</v>
      </c>
      <c r="BW133" s="887">
        <v>278.10000000000002</v>
      </c>
      <c r="BX133" s="887">
        <v>284.8</v>
      </c>
      <c r="BY133" s="887">
        <v>284.8</v>
      </c>
      <c r="BZ133" s="887">
        <v>287</v>
      </c>
      <c r="CA133" s="887">
        <v>289.39999999999998</v>
      </c>
      <c r="CB133" s="887">
        <v>297</v>
      </c>
      <c r="CC133" s="887">
        <v>302.10000000000002</v>
      </c>
      <c r="CD133" s="887">
        <v>305.39999999999998</v>
      </c>
      <c r="CE133" s="888">
        <v>314.8</v>
      </c>
      <c r="CF133" s="886">
        <v>320</v>
      </c>
      <c r="CG133" s="887">
        <v>323.8</v>
      </c>
      <c r="CH133" s="887">
        <v>340.1</v>
      </c>
      <c r="CI133" s="887">
        <v>341.9</v>
      </c>
      <c r="CJ133" s="887">
        <v>355.6</v>
      </c>
      <c r="CK133" s="887">
        <v>355.6</v>
      </c>
      <c r="CL133" s="887">
        <v>365.7</v>
      </c>
      <c r="CM133" s="887">
        <v>379.1</v>
      </c>
      <c r="CN133" s="887">
        <v>379.1</v>
      </c>
      <c r="CO133" s="887">
        <v>379.1</v>
      </c>
      <c r="CP133" s="887">
        <v>387.5</v>
      </c>
      <c r="CQ133" s="888">
        <v>387.5</v>
      </c>
      <c r="CR133" s="886">
        <v>387.5</v>
      </c>
      <c r="CS133" s="887">
        <v>387.5</v>
      </c>
      <c r="CT133" s="887">
        <v>387.5</v>
      </c>
      <c r="CU133" s="887">
        <v>384.9</v>
      </c>
      <c r="CV133" s="887">
        <v>381.2</v>
      </c>
      <c r="CW133" s="887">
        <v>381.2</v>
      </c>
      <c r="CX133" s="887">
        <v>381.2</v>
      </c>
      <c r="CY133" s="887">
        <v>382.6</v>
      </c>
      <c r="CZ133" s="887">
        <v>388.9</v>
      </c>
      <c r="DA133" s="887">
        <v>397.1</v>
      </c>
      <c r="DB133" s="889">
        <v>399.7</v>
      </c>
      <c r="DC133" s="888">
        <v>401.9</v>
      </c>
      <c r="DD133" s="890">
        <v>406</v>
      </c>
      <c r="DE133" s="887">
        <v>415.2</v>
      </c>
      <c r="DF133" s="889">
        <v>426.2</v>
      </c>
      <c r="DG133" s="888">
        <v>435.7</v>
      </c>
      <c r="DH133" s="887">
        <v>435.7</v>
      </c>
      <c r="DI133" s="887">
        <v>450</v>
      </c>
      <c r="DJ133" s="887">
        <v>458.5</v>
      </c>
      <c r="DK133" s="888">
        <v>466.1</v>
      </c>
      <c r="DL133" s="887">
        <v>464.7</v>
      </c>
      <c r="DM133" s="888">
        <v>467</v>
      </c>
      <c r="DN133" s="659">
        <v>473.4</v>
      </c>
      <c r="DO133" s="897">
        <v>483.3</v>
      </c>
      <c r="DP133" s="783">
        <v>493.8</v>
      </c>
      <c r="DQ133" s="659">
        <v>497.5</v>
      </c>
      <c r="DR133" s="659">
        <v>505.6</v>
      </c>
      <c r="DS133" s="659">
        <v>512.70000000000005</v>
      </c>
      <c r="DT133" s="623">
        <v>512.70000000000005</v>
      </c>
      <c r="DU133" s="659">
        <v>530.9</v>
      </c>
      <c r="DV133" s="659">
        <v>538.4</v>
      </c>
      <c r="DW133" s="659">
        <v>543.5</v>
      </c>
      <c r="DX133" s="659">
        <v>545</v>
      </c>
      <c r="DY133" s="659">
        <v>551</v>
      </c>
      <c r="DZ133" s="659">
        <v>561.9</v>
      </c>
      <c r="EA133" s="897">
        <v>561.9</v>
      </c>
      <c r="EB133" s="659">
        <v>570.9</v>
      </c>
      <c r="EC133" s="659">
        <v>570.9</v>
      </c>
      <c r="ED133" s="659">
        <v>581.70000000000005</v>
      </c>
      <c r="EE133" s="659">
        <v>596.29999999999995</v>
      </c>
      <c r="EF133" s="659">
        <v>596.29999999999995</v>
      </c>
      <c r="EG133" s="659">
        <v>623.20000000000005</v>
      </c>
      <c r="EH133" s="659">
        <v>628.29999999999995</v>
      </c>
      <c r="EI133" s="659">
        <v>645</v>
      </c>
      <c r="EJ133" s="659">
        <v>645</v>
      </c>
      <c r="EK133" s="623">
        <v>657.1</v>
      </c>
      <c r="EL133" s="725">
        <v>659.5</v>
      </c>
      <c r="EM133" s="659">
        <v>668.2</v>
      </c>
      <c r="EN133" s="783">
        <v>682.5</v>
      </c>
      <c r="EO133" s="659">
        <v>695</v>
      </c>
      <c r="EP133" s="659">
        <v>704.7</v>
      </c>
      <c r="EQ133" s="659">
        <v>705.4</v>
      </c>
      <c r="ER133" s="659">
        <v>713.4</v>
      </c>
      <c r="ES133" s="659">
        <v>732.2</v>
      </c>
      <c r="ET133" s="659">
        <v>746.5</v>
      </c>
      <c r="EU133" s="659">
        <v>768.6</v>
      </c>
      <c r="EV133" s="659">
        <v>768.6</v>
      </c>
      <c r="EW133" s="659">
        <v>778.6</v>
      </c>
      <c r="EX133" s="659">
        <v>787.5</v>
      </c>
      <c r="EY133" s="659">
        <v>814.3</v>
      </c>
      <c r="EZ133" s="783">
        <v>849</v>
      </c>
      <c r="FA133" s="659">
        <v>892.9</v>
      </c>
      <c r="FB133" s="659">
        <v>942.5</v>
      </c>
      <c r="FC133" s="659">
        <v>951.3</v>
      </c>
      <c r="FD133" s="659">
        <v>993.3</v>
      </c>
      <c r="FE133" s="659">
        <v>1008.2</v>
      </c>
      <c r="FF133" s="659">
        <v>1034.8</v>
      </c>
      <c r="FG133" s="659">
        <v>1053.5999999999999</v>
      </c>
      <c r="FH133" s="659">
        <v>1063.3</v>
      </c>
      <c r="FI133" s="659">
        <v>1090.8</v>
      </c>
      <c r="FJ133" s="659">
        <v>1094.2</v>
      </c>
      <c r="FK133" s="897">
        <v>1095.2</v>
      </c>
      <c r="FL133" s="660">
        <v>1108.4000000000001</v>
      </c>
      <c r="FM133" s="623">
        <v>1122</v>
      </c>
      <c r="FN133" s="623">
        <v>1163</v>
      </c>
      <c r="FO133" s="623">
        <v>1168.7</v>
      </c>
      <c r="FP133" s="623">
        <v>1198.4000000000001</v>
      </c>
      <c r="FQ133" s="623">
        <v>1236.9000000000001</v>
      </c>
      <c r="FR133" s="623">
        <v>1259.3</v>
      </c>
      <c r="FS133" s="623">
        <v>1272.0999999999999</v>
      </c>
      <c r="FT133" s="623">
        <v>1338.2</v>
      </c>
      <c r="FU133" s="897">
        <v>1350.2</v>
      </c>
      <c r="FV133" s="1167">
        <f t="shared" si="1"/>
        <v>1.0089672694664475</v>
      </c>
    </row>
    <row r="134" spans="1:178" s="115" customFormat="1" ht="33.75" customHeight="1">
      <c r="A134" s="1546">
        <v>1</v>
      </c>
      <c r="B134" s="408">
        <v>109</v>
      </c>
      <c r="C134" s="621" t="s">
        <v>276</v>
      </c>
      <c r="D134" s="622" t="s">
        <v>277</v>
      </c>
      <c r="E134" s="621" t="s">
        <v>918</v>
      </c>
      <c r="F134" s="622"/>
      <c r="G134" s="621" t="s">
        <v>929</v>
      </c>
      <c r="H134" s="621" t="s">
        <v>930</v>
      </c>
      <c r="I134" s="390" t="s">
        <v>414</v>
      </c>
      <c r="J134" s="651"/>
      <c r="K134" s="669">
        <v>125.8</v>
      </c>
      <c r="L134" s="665">
        <v>144.80000000000001</v>
      </c>
      <c r="M134" s="625">
        <v>186.8</v>
      </c>
      <c r="N134" s="625">
        <v>220.2</v>
      </c>
      <c r="O134" s="625">
        <v>268.7</v>
      </c>
      <c r="P134" s="625">
        <v>295</v>
      </c>
      <c r="Q134" s="625">
        <v>334.5</v>
      </c>
      <c r="R134" s="625">
        <v>336.7</v>
      </c>
      <c r="S134" s="625">
        <v>337.2</v>
      </c>
      <c r="T134" s="625">
        <v>318.39999999999998</v>
      </c>
      <c r="U134" s="625">
        <v>318.10000000000002</v>
      </c>
      <c r="V134" s="625">
        <v>316.60000000000002</v>
      </c>
      <c r="W134" s="625">
        <v>314.8</v>
      </c>
      <c r="X134" s="625">
        <v>314.8</v>
      </c>
      <c r="Y134" s="625">
        <v>316.39999999999998</v>
      </c>
      <c r="Z134" s="625">
        <v>326.5</v>
      </c>
      <c r="AA134" s="625">
        <v>328.5</v>
      </c>
      <c r="AB134" s="625">
        <v>328.3</v>
      </c>
      <c r="AC134" s="625">
        <v>323.60000000000002</v>
      </c>
      <c r="AD134" s="625">
        <v>318.3</v>
      </c>
      <c r="AE134" s="625">
        <v>316</v>
      </c>
      <c r="AF134" s="625">
        <v>300.39999999999998</v>
      </c>
      <c r="AG134" s="625">
        <v>305.10000000000002</v>
      </c>
      <c r="AH134" s="625">
        <v>305.5</v>
      </c>
      <c r="AI134" s="764">
        <v>305.5</v>
      </c>
      <c r="AJ134" s="772">
        <v>302</v>
      </c>
      <c r="AK134" s="625">
        <v>303.8</v>
      </c>
      <c r="AL134" s="625">
        <v>310.5</v>
      </c>
      <c r="AM134" s="625">
        <v>312.5</v>
      </c>
      <c r="AN134" s="625">
        <v>308.89999999999998</v>
      </c>
      <c r="AO134" s="625">
        <v>308.89999999999998</v>
      </c>
      <c r="AP134" s="625">
        <v>308.89999999999998</v>
      </c>
      <c r="AQ134" s="625">
        <v>313.2</v>
      </c>
      <c r="AR134" s="625">
        <v>322.89999999999998</v>
      </c>
      <c r="AS134" s="625">
        <v>328.5</v>
      </c>
      <c r="AT134" s="625">
        <v>322.2</v>
      </c>
      <c r="AU134" s="764">
        <v>324.10000000000002</v>
      </c>
      <c r="AV134" s="752">
        <v>329</v>
      </c>
      <c r="AW134" s="626">
        <v>341.5</v>
      </c>
      <c r="AX134" s="626">
        <v>348.7</v>
      </c>
      <c r="AY134" s="626">
        <v>348.7</v>
      </c>
      <c r="AZ134" s="626">
        <v>349.3</v>
      </c>
      <c r="BA134" s="626">
        <v>349.3</v>
      </c>
      <c r="BB134" s="626">
        <v>353.6</v>
      </c>
      <c r="BC134" s="627">
        <v>353.6</v>
      </c>
      <c r="BD134" s="626">
        <v>351.7</v>
      </c>
      <c r="BE134" s="627">
        <v>358.2</v>
      </c>
      <c r="BF134" s="627">
        <v>410.1</v>
      </c>
      <c r="BG134" s="738">
        <v>411</v>
      </c>
      <c r="BH134" s="660">
        <v>409.2</v>
      </c>
      <c r="BI134" s="623">
        <v>409.2</v>
      </c>
      <c r="BJ134" s="623">
        <v>405.9</v>
      </c>
      <c r="BK134" s="623">
        <v>402.4</v>
      </c>
      <c r="BL134" s="623">
        <v>405</v>
      </c>
      <c r="BM134" s="623">
        <v>409.1</v>
      </c>
      <c r="BN134" s="623">
        <v>417.5</v>
      </c>
      <c r="BO134" s="623">
        <v>423.2</v>
      </c>
      <c r="BP134" s="623">
        <v>425.2</v>
      </c>
      <c r="BQ134" s="623">
        <v>420.1</v>
      </c>
      <c r="BR134" s="623">
        <v>415.3</v>
      </c>
      <c r="BS134" s="659">
        <v>415.3</v>
      </c>
      <c r="BT134" s="660">
        <v>415.3</v>
      </c>
      <c r="BU134" s="623">
        <v>410.1</v>
      </c>
      <c r="BV134" s="623">
        <v>405.8</v>
      </c>
      <c r="BW134" s="623">
        <v>405.1</v>
      </c>
      <c r="BX134" s="623">
        <v>409.9</v>
      </c>
      <c r="BY134" s="623">
        <v>411.9</v>
      </c>
      <c r="BZ134" s="623">
        <v>413.7</v>
      </c>
      <c r="CA134" s="623">
        <v>436.1</v>
      </c>
      <c r="CB134" s="623">
        <v>436.1</v>
      </c>
      <c r="CC134" s="623">
        <v>438.9</v>
      </c>
      <c r="CD134" s="623">
        <v>438.6</v>
      </c>
      <c r="CE134" s="659">
        <v>438.6</v>
      </c>
      <c r="CF134" s="660">
        <v>448.9</v>
      </c>
      <c r="CG134" s="623">
        <v>448.9</v>
      </c>
      <c r="CH134" s="623">
        <v>454.7</v>
      </c>
      <c r="CI134" s="623">
        <v>454.8</v>
      </c>
      <c r="CJ134" s="623">
        <v>460.8</v>
      </c>
      <c r="CK134" s="623">
        <v>457.8</v>
      </c>
      <c r="CL134" s="623">
        <v>467.8</v>
      </c>
      <c r="CM134" s="623">
        <v>488.2</v>
      </c>
      <c r="CN134" s="623">
        <v>488.2</v>
      </c>
      <c r="CO134" s="623">
        <v>487.8</v>
      </c>
      <c r="CP134" s="623">
        <v>487.8</v>
      </c>
      <c r="CQ134" s="659">
        <v>485.1</v>
      </c>
      <c r="CR134" s="660">
        <v>485.1</v>
      </c>
      <c r="CS134" s="623">
        <v>482.5</v>
      </c>
      <c r="CT134" s="623">
        <v>466.4</v>
      </c>
      <c r="CU134" s="623">
        <v>504.8</v>
      </c>
      <c r="CV134" s="623">
        <v>504.8</v>
      </c>
      <c r="CW134" s="623">
        <v>504.5</v>
      </c>
      <c r="CX134" s="623">
        <v>508.9</v>
      </c>
      <c r="CY134" s="623">
        <v>517.6</v>
      </c>
      <c r="CZ134" s="623">
        <v>532</v>
      </c>
      <c r="DA134" s="623">
        <v>532</v>
      </c>
      <c r="DB134" s="725">
        <v>544</v>
      </c>
      <c r="DC134" s="659">
        <v>544</v>
      </c>
      <c r="DD134" s="783">
        <v>550.20000000000005</v>
      </c>
      <c r="DE134" s="623">
        <v>557.20000000000005</v>
      </c>
      <c r="DF134" s="659">
        <v>562.70000000000005</v>
      </c>
      <c r="DG134" s="659">
        <v>562.70000000000005</v>
      </c>
      <c r="DH134" s="623">
        <v>562.70000000000005</v>
      </c>
      <c r="DI134" s="623">
        <v>577.29999999999995</v>
      </c>
      <c r="DJ134" s="623">
        <v>600.70000000000005</v>
      </c>
      <c r="DK134" s="659">
        <v>617.70000000000005</v>
      </c>
      <c r="DL134" s="623">
        <v>617.70000000000005</v>
      </c>
      <c r="DM134" s="659">
        <v>617.70000000000005</v>
      </c>
      <c r="DN134" s="659">
        <v>625</v>
      </c>
      <c r="DO134" s="897">
        <v>625</v>
      </c>
      <c r="DP134" s="783">
        <v>663.9</v>
      </c>
      <c r="DQ134" s="659">
        <v>665</v>
      </c>
      <c r="DR134" s="659">
        <v>674.1</v>
      </c>
      <c r="DS134" s="659">
        <v>686.7</v>
      </c>
      <c r="DT134" s="623">
        <v>705.1</v>
      </c>
      <c r="DU134" s="659">
        <v>709.4</v>
      </c>
      <c r="DV134" s="659">
        <v>722</v>
      </c>
      <c r="DW134" s="659">
        <v>722</v>
      </c>
      <c r="DX134" s="659">
        <v>727</v>
      </c>
      <c r="DY134" s="659">
        <v>731.8</v>
      </c>
      <c r="DZ134" s="659">
        <v>781.9</v>
      </c>
      <c r="EA134" s="897">
        <v>787.6</v>
      </c>
      <c r="EB134" s="659">
        <v>794.4</v>
      </c>
      <c r="EC134" s="659">
        <v>813.2</v>
      </c>
      <c r="ED134" s="659">
        <v>819.1</v>
      </c>
      <c r="EE134" s="659">
        <v>827.4</v>
      </c>
      <c r="EF134" s="659">
        <v>827.4</v>
      </c>
      <c r="EG134" s="659">
        <v>829.2</v>
      </c>
      <c r="EH134" s="659">
        <v>835.9</v>
      </c>
      <c r="EI134" s="659">
        <v>833.7</v>
      </c>
      <c r="EJ134" s="659">
        <v>824.6</v>
      </c>
      <c r="EK134" s="623">
        <v>840.3</v>
      </c>
      <c r="EL134" s="725">
        <v>853.3</v>
      </c>
      <c r="EM134" s="659">
        <v>854.9</v>
      </c>
      <c r="EN134" s="783">
        <v>854.9</v>
      </c>
      <c r="EO134" s="659">
        <v>858.5</v>
      </c>
      <c r="EP134" s="659">
        <v>867.5</v>
      </c>
      <c r="EQ134" s="659">
        <v>899.3</v>
      </c>
      <c r="ER134" s="659">
        <v>891.3</v>
      </c>
      <c r="ES134" s="659">
        <v>910.5</v>
      </c>
      <c r="ET134" s="659">
        <v>911.8</v>
      </c>
      <c r="EU134" s="659">
        <v>922.9</v>
      </c>
      <c r="EV134" s="659">
        <v>920.7</v>
      </c>
      <c r="EW134" s="659">
        <v>926.7</v>
      </c>
      <c r="EX134" s="659">
        <v>940.6</v>
      </c>
      <c r="EY134" s="659">
        <v>955.6</v>
      </c>
      <c r="EZ134" s="783">
        <v>993.8</v>
      </c>
      <c r="FA134" s="659">
        <v>1076.4000000000001</v>
      </c>
      <c r="FB134" s="659">
        <v>1147.2</v>
      </c>
      <c r="FC134" s="659">
        <v>1229.2</v>
      </c>
      <c r="FD134" s="659">
        <v>1237.0999999999999</v>
      </c>
      <c r="FE134" s="659">
        <v>1257.7</v>
      </c>
      <c r="FF134" s="659">
        <v>1265.5999999999999</v>
      </c>
      <c r="FG134" s="659">
        <v>1331.2</v>
      </c>
      <c r="FH134" s="659">
        <v>1364.7</v>
      </c>
      <c r="FI134" s="659">
        <v>1372</v>
      </c>
      <c r="FJ134" s="659">
        <v>1413.3</v>
      </c>
      <c r="FK134" s="897">
        <v>1432.8</v>
      </c>
      <c r="FL134" s="660">
        <v>1432.8</v>
      </c>
      <c r="FM134" s="623">
        <v>1436.1</v>
      </c>
      <c r="FN134" s="623">
        <v>1447.9</v>
      </c>
      <c r="FO134" s="623">
        <v>1452.9</v>
      </c>
      <c r="FP134" s="623">
        <v>1458.4</v>
      </c>
      <c r="FQ134" s="623">
        <v>1458.4</v>
      </c>
      <c r="FR134" s="623">
        <v>1535.5</v>
      </c>
      <c r="FS134" s="623">
        <v>1541.6</v>
      </c>
      <c r="FT134" s="623">
        <v>1562.2</v>
      </c>
      <c r="FU134" s="897">
        <v>1581.9</v>
      </c>
      <c r="FV134" s="1167">
        <f t="shared" si="1"/>
        <v>1.0126104212008706</v>
      </c>
    </row>
    <row r="135" spans="1:178" s="115" customFormat="1" ht="18.95" customHeight="1">
      <c r="A135" s="1546">
        <v>1</v>
      </c>
      <c r="B135" s="408">
        <v>110</v>
      </c>
      <c r="C135" s="621" t="s">
        <v>279</v>
      </c>
      <c r="D135" s="622" t="s">
        <v>280</v>
      </c>
      <c r="E135" s="621" t="s">
        <v>918</v>
      </c>
      <c r="F135" s="622"/>
      <c r="G135" s="621" t="s">
        <v>929</v>
      </c>
      <c r="H135" s="621" t="s">
        <v>930</v>
      </c>
      <c r="I135" s="390" t="s">
        <v>921</v>
      </c>
      <c r="J135" s="651"/>
      <c r="K135" s="669">
        <v>70.2</v>
      </c>
      <c r="L135" s="665">
        <v>77.900000000000006</v>
      </c>
      <c r="M135" s="625">
        <v>85.4</v>
      </c>
      <c r="N135" s="625">
        <v>86.7</v>
      </c>
      <c r="O135" s="625">
        <v>95.3</v>
      </c>
      <c r="P135" s="625">
        <v>82.2</v>
      </c>
      <c r="Q135" s="625">
        <v>95.5</v>
      </c>
      <c r="R135" s="625">
        <v>101.1</v>
      </c>
      <c r="S135" s="625">
        <v>101.1</v>
      </c>
      <c r="T135" s="625">
        <v>101.1</v>
      </c>
      <c r="U135" s="625">
        <v>102.2</v>
      </c>
      <c r="V135" s="625">
        <v>100.2</v>
      </c>
      <c r="W135" s="625">
        <v>104.2</v>
      </c>
      <c r="X135" s="625">
        <v>100.5</v>
      </c>
      <c r="Y135" s="625">
        <v>100.5</v>
      </c>
      <c r="Z135" s="625">
        <v>100.5</v>
      </c>
      <c r="AA135" s="625">
        <v>100.5</v>
      </c>
      <c r="AB135" s="625">
        <v>100.5</v>
      </c>
      <c r="AC135" s="625">
        <v>100.1</v>
      </c>
      <c r="AD135" s="625">
        <v>101.6</v>
      </c>
      <c r="AE135" s="625">
        <v>101.3</v>
      </c>
      <c r="AF135" s="625">
        <v>97.8</v>
      </c>
      <c r="AG135" s="625">
        <v>97.8</v>
      </c>
      <c r="AH135" s="625">
        <v>95.7</v>
      </c>
      <c r="AI135" s="764">
        <v>95.7</v>
      </c>
      <c r="AJ135" s="772">
        <v>93.1</v>
      </c>
      <c r="AK135" s="625">
        <v>93.1</v>
      </c>
      <c r="AL135" s="625">
        <v>93.1</v>
      </c>
      <c r="AM135" s="625">
        <v>102.8</v>
      </c>
      <c r="AN135" s="625">
        <v>102.8</v>
      </c>
      <c r="AO135" s="625">
        <v>102.8</v>
      </c>
      <c r="AP135" s="625">
        <v>102.8</v>
      </c>
      <c r="AQ135" s="625">
        <v>102.8</v>
      </c>
      <c r="AR135" s="625">
        <v>102.8</v>
      </c>
      <c r="AS135" s="625">
        <v>102.8</v>
      </c>
      <c r="AT135" s="625">
        <v>102.8</v>
      </c>
      <c r="AU135" s="764">
        <v>102.8</v>
      </c>
      <c r="AV135" s="752">
        <v>102.8</v>
      </c>
      <c r="AW135" s="626">
        <v>102.8</v>
      </c>
      <c r="AX135" s="626">
        <v>102.8</v>
      </c>
      <c r="AY135" s="626">
        <v>102.8</v>
      </c>
      <c r="AZ135" s="626">
        <v>104.3</v>
      </c>
      <c r="BA135" s="626">
        <v>102.8</v>
      </c>
      <c r="BB135" s="626">
        <v>105.2</v>
      </c>
      <c r="BC135" s="627">
        <v>106.7</v>
      </c>
      <c r="BD135" s="626">
        <v>108.6</v>
      </c>
      <c r="BE135" s="627">
        <v>108.6</v>
      </c>
      <c r="BF135" s="627">
        <v>108.6</v>
      </c>
      <c r="BG135" s="738">
        <v>109.8</v>
      </c>
      <c r="BH135" s="660">
        <v>109.8</v>
      </c>
      <c r="BI135" s="623">
        <v>111.2</v>
      </c>
      <c r="BJ135" s="623">
        <v>111.2</v>
      </c>
      <c r="BK135" s="623">
        <v>111.2</v>
      </c>
      <c r="BL135" s="623">
        <v>118.5</v>
      </c>
      <c r="BM135" s="623">
        <v>129.1</v>
      </c>
      <c r="BN135" s="623">
        <v>130.5</v>
      </c>
      <c r="BO135" s="623">
        <v>130.5</v>
      </c>
      <c r="BP135" s="623">
        <v>130.5</v>
      </c>
      <c r="BQ135" s="623">
        <v>130.5</v>
      </c>
      <c r="BR135" s="623">
        <v>132.9</v>
      </c>
      <c r="BS135" s="659">
        <v>130.5</v>
      </c>
      <c r="BT135" s="660">
        <v>130.5</v>
      </c>
      <c r="BU135" s="623">
        <v>133.4</v>
      </c>
      <c r="BV135" s="623">
        <v>134.1</v>
      </c>
      <c r="BW135" s="623">
        <v>134.1</v>
      </c>
      <c r="BX135" s="623">
        <v>131.69999999999999</v>
      </c>
      <c r="BY135" s="623">
        <v>131.9</v>
      </c>
      <c r="BZ135" s="623">
        <v>134.1</v>
      </c>
      <c r="CA135" s="623">
        <v>135.9</v>
      </c>
      <c r="CB135" s="623">
        <v>135.9</v>
      </c>
      <c r="CC135" s="623">
        <v>135.9</v>
      </c>
      <c r="CD135" s="623">
        <v>135.9</v>
      </c>
      <c r="CE135" s="659">
        <v>137.4</v>
      </c>
      <c r="CF135" s="660">
        <v>139.1</v>
      </c>
      <c r="CG135" s="623">
        <v>139.1</v>
      </c>
      <c r="CH135" s="623">
        <v>152.1</v>
      </c>
      <c r="CI135" s="623">
        <v>146.80000000000001</v>
      </c>
      <c r="CJ135" s="623">
        <v>146.80000000000001</v>
      </c>
      <c r="CK135" s="623">
        <v>148.19999999999999</v>
      </c>
      <c r="CL135" s="623">
        <v>150.6</v>
      </c>
      <c r="CM135" s="623">
        <v>156</v>
      </c>
      <c r="CN135" s="623">
        <v>156</v>
      </c>
      <c r="CO135" s="623">
        <v>156</v>
      </c>
      <c r="CP135" s="623">
        <v>158.1</v>
      </c>
      <c r="CQ135" s="659">
        <v>158</v>
      </c>
      <c r="CR135" s="660">
        <v>158</v>
      </c>
      <c r="CS135" s="623">
        <v>156.69999999999999</v>
      </c>
      <c r="CT135" s="623">
        <v>156.69999999999999</v>
      </c>
      <c r="CU135" s="623">
        <v>156.69999999999999</v>
      </c>
      <c r="CV135" s="623">
        <v>156.69999999999999</v>
      </c>
      <c r="CW135" s="623">
        <v>156.69999999999999</v>
      </c>
      <c r="CX135" s="623">
        <v>156.69999999999999</v>
      </c>
      <c r="CY135" s="623">
        <v>158.5</v>
      </c>
      <c r="CZ135" s="623">
        <v>158.5</v>
      </c>
      <c r="DA135" s="623">
        <v>170.5</v>
      </c>
      <c r="DB135" s="725">
        <v>170.5</v>
      </c>
      <c r="DC135" s="659">
        <v>174.2</v>
      </c>
      <c r="DD135" s="783">
        <v>174.2</v>
      </c>
      <c r="DE135" s="623">
        <v>174.2</v>
      </c>
      <c r="DF135" s="725">
        <v>174.2</v>
      </c>
      <c r="DG135" s="659">
        <v>174.2</v>
      </c>
      <c r="DH135" s="623">
        <v>174.2</v>
      </c>
      <c r="DI135" s="623">
        <v>174.2</v>
      </c>
      <c r="DJ135" s="623">
        <v>174.2</v>
      </c>
      <c r="DK135" s="659">
        <v>186.5</v>
      </c>
      <c r="DL135" s="623">
        <v>189.4</v>
      </c>
      <c r="DM135" s="659">
        <v>189.4</v>
      </c>
      <c r="DN135" s="659">
        <v>196.5</v>
      </c>
      <c r="DO135" s="897">
        <v>196.4</v>
      </c>
      <c r="DP135" s="783">
        <v>196.5</v>
      </c>
      <c r="DQ135" s="659">
        <v>196.4</v>
      </c>
      <c r="DR135" s="659">
        <v>196.5</v>
      </c>
      <c r="DS135" s="659">
        <v>196.5</v>
      </c>
      <c r="DT135" s="623">
        <v>196.5</v>
      </c>
      <c r="DU135" s="659">
        <v>201.4</v>
      </c>
      <c r="DV135" s="659">
        <v>213.6</v>
      </c>
      <c r="DW135" s="659">
        <v>213.6</v>
      </c>
      <c r="DX135" s="659">
        <v>213.6</v>
      </c>
      <c r="DY135" s="659">
        <v>214.9</v>
      </c>
      <c r="DZ135" s="659">
        <v>215.1</v>
      </c>
      <c r="EA135" s="897">
        <v>215.1</v>
      </c>
      <c r="EB135" s="659">
        <v>215.1</v>
      </c>
      <c r="EC135" s="659">
        <v>215.1</v>
      </c>
      <c r="ED135" s="659">
        <v>218.1</v>
      </c>
      <c r="EE135" s="659">
        <v>218</v>
      </c>
      <c r="EF135" s="659">
        <v>225.3</v>
      </c>
      <c r="EG135" s="659">
        <v>225.4</v>
      </c>
      <c r="EH135" s="659">
        <v>237.5</v>
      </c>
      <c r="EI135" s="659">
        <v>248.6</v>
      </c>
      <c r="EJ135" s="659">
        <v>254.8</v>
      </c>
      <c r="EK135" s="623">
        <v>249.5</v>
      </c>
      <c r="EL135" s="725">
        <v>256.5</v>
      </c>
      <c r="EM135" s="659">
        <v>250.2</v>
      </c>
      <c r="EN135" s="783">
        <v>250.2</v>
      </c>
      <c r="EO135" s="659">
        <v>250.2</v>
      </c>
      <c r="EP135" s="659">
        <v>255.4</v>
      </c>
      <c r="EQ135" s="659">
        <v>255.4</v>
      </c>
      <c r="ER135" s="659">
        <v>258.8</v>
      </c>
      <c r="ES135" s="659">
        <v>258.8</v>
      </c>
      <c r="ET135" s="659">
        <v>260.60000000000002</v>
      </c>
      <c r="EU135" s="659">
        <v>270.2</v>
      </c>
      <c r="EV135" s="659">
        <v>270.2</v>
      </c>
      <c r="EW135" s="659">
        <v>270.8</v>
      </c>
      <c r="EX135" s="659">
        <v>271</v>
      </c>
      <c r="EY135" s="659">
        <v>271</v>
      </c>
      <c r="EZ135" s="783">
        <v>286.10000000000002</v>
      </c>
      <c r="FA135" s="659">
        <v>304.89999999999998</v>
      </c>
      <c r="FB135" s="659">
        <v>327.3</v>
      </c>
      <c r="FC135" s="659">
        <v>350.5</v>
      </c>
      <c r="FD135" s="659">
        <v>362.8</v>
      </c>
      <c r="FE135" s="659">
        <v>387.8</v>
      </c>
      <c r="FF135" s="659">
        <v>381.9</v>
      </c>
      <c r="FG135" s="659">
        <v>395.1</v>
      </c>
      <c r="FH135" s="659">
        <v>420.2</v>
      </c>
      <c r="FI135" s="659">
        <v>420.2</v>
      </c>
      <c r="FJ135" s="659">
        <v>432.7</v>
      </c>
      <c r="FK135" s="897">
        <v>443.5</v>
      </c>
      <c r="FL135" s="660">
        <v>457.6</v>
      </c>
      <c r="FM135" s="623">
        <v>457.6</v>
      </c>
      <c r="FN135" s="623">
        <v>457.6</v>
      </c>
      <c r="FO135" s="623">
        <v>457.6</v>
      </c>
      <c r="FP135" s="623">
        <v>502.5</v>
      </c>
      <c r="FQ135" s="623">
        <v>512.1</v>
      </c>
      <c r="FR135" s="623">
        <v>512.20000000000005</v>
      </c>
      <c r="FS135" s="623">
        <v>512.1</v>
      </c>
      <c r="FT135" s="623">
        <v>512.1</v>
      </c>
      <c r="FU135" s="897">
        <v>551.1</v>
      </c>
      <c r="FV135" s="1167">
        <f t="shared" si="1"/>
        <v>1.076157000585823</v>
      </c>
    </row>
    <row r="136" spans="1:178" s="1075" customFormat="1" ht="34.5" hidden="1" customHeight="1">
      <c r="A136" s="1547">
        <v>1</v>
      </c>
      <c r="B136" s="1059">
        <v>111</v>
      </c>
      <c r="C136" s="1068" t="s">
        <v>281</v>
      </c>
      <c r="D136" s="1058" t="s">
        <v>282</v>
      </c>
      <c r="E136" s="1039" t="s">
        <v>918</v>
      </c>
      <c r="F136" s="1058"/>
      <c r="G136" s="1039" t="s">
        <v>515</v>
      </c>
      <c r="H136" s="1039"/>
      <c r="I136" s="1057" t="s">
        <v>83</v>
      </c>
      <c r="J136" s="1069" t="s">
        <v>773</v>
      </c>
      <c r="K136" s="1041">
        <v>100</v>
      </c>
      <c r="L136" s="1042">
        <v>134</v>
      </c>
      <c r="M136" s="1043">
        <v>168</v>
      </c>
      <c r="N136" s="1043">
        <v>214</v>
      </c>
      <c r="O136" s="1043">
        <v>234</v>
      </c>
      <c r="P136" s="1043">
        <v>255</v>
      </c>
      <c r="Q136" s="1043">
        <v>272</v>
      </c>
      <c r="R136" s="1043">
        <v>276</v>
      </c>
      <c r="S136" s="1043">
        <v>272</v>
      </c>
      <c r="T136" s="1043">
        <v>277</v>
      </c>
      <c r="U136" s="1043">
        <v>270</v>
      </c>
      <c r="V136" s="1043">
        <v>269</v>
      </c>
      <c r="W136" s="1043">
        <v>260</v>
      </c>
      <c r="X136" s="1043">
        <v>256</v>
      </c>
      <c r="Y136" s="1043">
        <v>255</v>
      </c>
      <c r="Z136" s="1043">
        <v>240</v>
      </c>
      <c r="AA136" s="1043">
        <v>236</v>
      </c>
      <c r="AB136" s="1043">
        <v>233</v>
      </c>
      <c r="AC136" s="1043">
        <v>229</v>
      </c>
      <c r="AD136" s="1043">
        <v>234</v>
      </c>
      <c r="AE136" s="1043">
        <v>240</v>
      </c>
      <c r="AF136" s="1043">
        <v>241</v>
      </c>
      <c r="AG136" s="1043">
        <v>241</v>
      </c>
      <c r="AH136" s="1043">
        <v>243</v>
      </c>
      <c r="AI136" s="1044">
        <v>244</v>
      </c>
      <c r="AJ136" s="1045">
        <v>260</v>
      </c>
      <c r="AK136" s="1043">
        <v>263</v>
      </c>
      <c r="AL136" s="1043">
        <v>265.60000000000002</v>
      </c>
      <c r="AM136" s="1043">
        <v>270.2</v>
      </c>
      <c r="AN136" s="1043">
        <v>277</v>
      </c>
      <c r="AO136" s="1043">
        <v>278.39999999999998</v>
      </c>
      <c r="AP136" s="1043">
        <v>279.8</v>
      </c>
      <c r="AQ136" s="1043">
        <v>279.8</v>
      </c>
      <c r="AR136" s="1043">
        <v>295.8</v>
      </c>
      <c r="AS136" s="1043">
        <v>295.8</v>
      </c>
      <c r="AT136" s="1043">
        <v>292.2</v>
      </c>
      <c r="AU136" s="1044">
        <v>298.60000000000002</v>
      </c>
      <c r="AV136" s="1046">
        <v>278.39999999999998</v>
      </c>
      <c r="AW136" s="1047">
        <v>278.39999999999998</v>
      </c>
      <c r="AX136" s="1047">
        <v>278.39999999999998</v>
      </c>
      <c r="AY136" s="1047">
        <v>278.39999999999998</v>
      </c>
      <c r="AZ136" s="1047">
        <v>278.39999999999998</v>
      </c>
      <c r="BA136" s="1047">
        <v>278.39999999999998</v>
      </c>
      <c r="BB136" s="1047">
        <v>278.39999999999998</v>
      </c>
      <c r="BC136" s="1048">
        <v>325.8</v>
      </c>
      <c r="BD136" s="1047">
        <v>335.8</v>
      </c>
      <c r="BE136" s="1048">
        <v>335.8</v>
      </c>
      <c r="BF136" s="1048">
        <v>336.4</v>
      </c>
      <c r="BG136" s="1060">
        <v>336.4</v>
      </c>
      <c r="BH136" s="1050">
        <v>391.5</v>
      </c>
      <c r="BI136" s="1051">
        <v>391.5</v>
      </c>
      <c r="BJ136" s="1051">
        <v>416.2</v>
      </c>
      <c r="BK136" s="1051">
        <v>421.8</v>
      </c>
      <c r="BL136" s="1051">
        <v>450.8</v>
      </c>
      <c r="BM136" s="1051">
        <v>458.4</v>
      </c>
      <c r="BN136" s="1051">
        <v>458.4</v>
      </c>
      <c r="BO136" s="1051">
        <v>467</v>
      </c>
      <c r="BP136" s="1051">
        <v>468</v>
      </c>
      <c r="BQ136" s="1051">
        <v>468</v>
      </c>
      <c r="BR136" s="1051">
        <v>468</v>
      </c>
      <c r="BS136" s="1052">
        <v>468</v>
      </c>
      <c r="BT136" s="1050">
        <v>468</v>
      </c>
      <c r="BU136" s="1051">
        <v>468</v>
      </c>
      <c r="BV136" s="1051">
        <v>468</v>
      </c>
      <c r="BW136" s="1051">
        <v>466.64299999999997</v>
      </c>
      <c r="BX136" s="1051">
        <v>471.83800000000002</v>
      </c>
      <c r="BY136" s="1051">
        <v>492.33600000000001</v>
      </c>
      <c r="BZ136" s="1051">
        <v>495.846</v>
      </c>
      <c r="CA136" s="1051">
        <v>512.17899999999997</v>
      </c>
      <c r="CB136" s="1051">
        <v>519.24599999999998</v>
      </c>
      <c r="CC136" s="1051">
        <v>528.13800000000003</v>
      </c>
      <c r="CD136" s="1051">
        <v>528.13800000000003</v>
      </c>
      <c r="CE136" s="1052">
        <f>+'ANEXO I CADIEEL'!CE20</f>
        <v>538.52759999999989</v>
      </c>
      <c r="CF136" s="1050">
        <f>'ANEXO I CADIEEL'!CF20</f>
        <v>555.51600000000008</v>
      </c>
      <c r="CG136" s="1051">
        <f>'ANEXO I CADIEEL'!CG20</f>
        <v>560.85120000000006</v>
      </c>
      <c r="CH136" s="1051">
        <f>'ANEXO I CADIEEL'!CH20</f>
        <v>566.37360000000001</v>
      </c>
      <c r="CI136" s="1051">
        <f>'ANEXO I CADIEEL'!CI20</f>
        <v>584.25119999999993</v>
      </c>
      <c r="CJ136" s="1051">
        <f>'ANEXO I CADIEEL'!CJ20</f>
        <v>590.24160000000006</v>
      </c>
      <c r="CK136" s="1051">
        <f>'ANEXO I CADIEEL'!CK20</f>
        <v>599.27400000000011</v>
      </c>
      <c r="CL136" s="1051">
        <f>'ANEXO I CADIEEL'!CL20</f>
        <v>599.97599999999989</v>
      </c>
      <c r="CM136" s="1051">
        <f>'ANEXO I CADIEEL'!CM20</f>
        <v>613.17359999999996</v>
      </c>
      <c r="CN136" s="1051">
        <f>'ANEXO I CADIEEL'!CN20</f>
        <v>613.6884</v>
      </c>
      <c r="CO136" s="1051">
        <f>'ANEXO I CADIEEL'!CO20</f>
        <v>613.6884</v>
      </c>
      <c r="CP136" s="1051">
        <f>+CO136</f>
        <v>613.6884</v>
      </c>
      <c r="CQ136" s="1052">
        <f>'ANEXO I CADIEEL'!CQ20</f>
        <v>632.64240000000007</v>
      </c>
      <c r="CR136" s="1050">
        <f>'ANEXO I CADIEEL'!CR20</f>
        <v>632.64240000000007</v>
      </c>
      <c r="CS136" s="1051">
        <f>'ANEXO I CADIEEL'!CS20</f>
        <v>631.14480000000015</v>
      </c>
      <c r="CT136" s="1070" t="s">
        <v>524</v>
      </c>
      <c r="CU136" s="1070" t="s">
        <v>524</v>
      </c>
      <c r="CV136" s="1070" t="s">
        <v>524</v>
      </c>
      <c r="CW136" s="1070" t="s">
        <v>524</v>
      </c>
      <c r="CX136" s="1070" t="s">
        <v>524</v>
      </c>
      <c r="CY136" s="1070" t="s">
        <v>524</v>
      </c>
      <c r="CZ136" s="1070" t="s">
        <v>524</v>
      </c>
      <c r="DA136" s="1070" t="s">
        <v>524</v>
      </c>
      <c r="DB136" s="1070" t="s">
        <v>524</v>
      </c>
      <c r="DC136" s="1071" t="s">
        <v>524</v>
      </c>
      <c r="DD136" s="1072" t="s">
        <v>524</v>
      </c>
      <c r="DE136" s="1070" t="s">
        <v>524</v>
      </c>
      <c r="DF136" s="1073" t="s">
        <v>524</v>
      </c>
      <c r="DG136" s="1071" t="s">
        <v>524</v>
      </c>
      <c r="DH136" s="1070" t="s">
        <v>524</v>
      </c>
      <c r="DI136" s="1070" t="s">
        <v>524</v>
      </c>
      <c r="DJ136" s="1070" t="s">
        <v>524</v>
      </c>
      <c r="DK136" s="1071" t="s">
        <v>524</v>
      </c>
      <c r="DL136" s="1070" t="s">
        <v>524</v>
      </c>
      <c r="DM136" s="1071" t="s">
        <v>524</v>
      </c>
      <c r="DN136" s="1071" t="s">
        <v>524</v>
      </c>
      <c r="DO136" s="1074" t="s">
        <v>524</v>
      </c>
      <c r="DP136" s="1072" t="s">
        <v>524</v>
      </c>
      <c r="DQ136" s="1071" t="s">
        <v>524</v>
      </c>
      <c r="DR136" s="1071" t="s">
        <v>524</v>
      </c>
      <c r="DS136" s="1071" t="s">
        <v>524</v>
      </c>
      <c r="DT136" s="1070" t="s">
        <v>524</v>
      </c>
      <c r="DU136" s="1070" t="s">
        <v>524</v>
      </c>
      <c r="DV136" s="1071" t="s">
        <v>524</v>
      </c>
      <c r="DW136" s="1071" t="s">
        <v>524</v>
      </c>
      <c r="DX136" s="1071" t="s">
        <v>524</v>
      </c>
      <c r="DY136" s="1071" t="s">
        <v>524</v>
      </c>
      <c r="DZ136" s="1071" t="s">
        <v>524</v>
      </c>
      <c r="EA136" s="1074" t="s">
        <v>524</v>
      </c>
      <c r="EB136" s="1071" t="s">
        <v>524</v>
      </c>
      <c r="EC136" s="1071" t="s">
        <v>524</v>
      </c>
      <c r="ED136" s="1071" t="s">
        <v>524</v>
      </c>
      <c r="EE136" s="1071" t="s">
        <v>524</v>
      </c>
      <c r="EF136" s="1071" t="s">
        <v>524</v>
      </c>
      <c r="EG136" s="1071" t="s">
        <v>524</v>
      </c>
      <c r="EH136" s="1071"/>
      <c r="EI136" s="1071" t="s">
        <v>524</v>
      </c>
      <c r="EJ136" s="1071" t="s">
        <v>524</v>
      </c>
      <c r="EK136" s="1070" t="s">
        <v>524</v>
      </c>
      <c r="EL136" s="1070" t="s">
        <v>524</v>
      </c>
      <c r="EM136" s="1071" t="s">
        <v>524</v>
      </c>
      <c r="EN136" s="1072" t="s">
        <v>524</v>
      </c>
      <c r="EO136" s="1071" t="s">
        <v>524</v>
      </c>
      <c r="EP136" s="1071" t="s">
        <v>524</v>
      </c>
      <c r="EQ136" s="1071" t="s">
        <v>524</v>
      </c>
      <c r="ER136" s="1071" t="s">
        <v>524</v>
      </c>
      <c r="ES136" s="1071" t="s">
        <v>524</v>
      </c>
      <c r="ET136" s="1071" t="s">
        <v>524</v>
      </c>
      <c r="EU136" s="1071" t="s">
        <v>524</v>
      </c>
      <c r="EV136" s="1071" t="s">
        <v>524</v>
      </c>
      <c r="EW136" s="1071" t="s">
        <v>524</v>
      </c>
      <c r="EX136" s="1071" t="s">
        <v>524</v>
      </c>
      <c r="EY136" s="1071" t="s">
        <v>524</v>
      </c>
      <c r="EZ136" s="1072" t="s">
        <v>524</v>
      </c>
      <c r="FA136" s="1071" t="s">
        <v>524</v>
      </c>
      <c r="FB136" s="1071" t="s">
        <v>524</v>
      </c>
      <c r="FC136" s="1071" t="s">
        <v>524</v>
      </c>
      <c r="FD136" s="1071" t="s">
        <v>524</v>
      </c>
      <c r="FE136" s="1071" t="s">
        <v>524</v>
      </c>
      <c r="FF136" s="1071" t="s">
        <v>524</v>
      </c>
      <c r="FG136" s="1071" t="s">
        <v>524</v>
      </c>
      <c r="FH136" s="1071" t="s">
        <v>524</v>
      </c>
      <c r="FI136" s="1071" t="s">
        <v>524</v>
      </c>
      <c r="FJ136" s="1071" t="s">
        <v>524</v>
      </c>
      <c r="FK136" s="1074" t="s">
        <v>524</v>
      </c>
      <c r="FL136" s="1564"/>
      <c r="FM136" s="1070"/>
      <c r="FN136" s="1070"/>
      <c r="FO136" s="1070"/>
      <c r="FP136" s="1070"/>
      <c r="FQ136" s="1070"/>
      <c r="FR136" s="1070"/>
      <c r="FS136" s="1070"/>
      <c r="FT136" s="1070"/>
      <c r="FU136" s="1074"/>
      <c r="FV136" s="1167" t="e">
        <f t="shared" si="1"/>
        <v>#DIV/0!</v>
      </c>
    </row>
    <row r="137" spans="1:178" s="115" customFormat="1" ht="21.75" customHeight="1">
      <c r="A137" s="1546">
        <v>1</v>
      </c>
      <c r="B137" s="613">
        <v>112</v>
      </c>
      <c r="C137" s="614">
        <v>24</v>
      </c>
      <c r="D137" s="615" t="s">
        <v>283</v>
      </c>
      <c r="E137" s="614" t="s">
        <v>918</v>
      </c>
      <c r="F137" s="615"/>
      <c r="G137" s="614" t="s">
        <v>223</v>
      </c>
      <c r="H137" s="614" t="s">
        <v>930</v>
      </c>
      <c r="I137" s="647" t="s">
        <v>284</v>
      </c>
      <c r="J137" s="652"/>
      <c r="K137" s="671">
        <v>111.25</v>
      </c>
      <c r="L137" s="667">
        <v>115.22</v>
      </c>
      <c r="M137" s="618">
        <v>135.13</v>
      </c>
      <c r="N137" s="618">
        <v>146.26</v>
      </c>
      <c r="O137" s="618">
        <v>180.65</v>
      </c>
      <c r="P137" s="618">
        <v>199.32</v>
      </c>
      <c r="Q137" s="618">
        <v>216.25</v>
      </c>
      <c r="R137" s="618">
        <v>221.83</v>
      </c>
      <c r="S137" s="618">
        <v>229.92</v>
      </c>
      <c r="T137" s="618">
        <v>228.74</v>
      </c>
      <c r="U137" s="618">
        <v>231.16</v>
      </c>
      <c r="V137" s="618">
        <v>234.56</v>
      </c>
      <c r="W137" s="618">
        <v>232.22</v>
      </c>
      <c r="X137" s="618">
        <v>231.46</v>
      </c>
      <c r="Y137" s="618">
        <v>233.25</v>
      </c>
      <c r="Z137" s="618">
        <v>235.72</v>
      </c>
      <c r="AA137" s="618">
        <v>233.95</v>
      </c>
      <c r="AB137" s="618">
        <v>232.31</v>
      </c>
      <c r="AC137" s="618">
        <v>229.26</v>
      </c>
      <c r="AD137" s="618">
        <v>228.38</v>
      </c>
      <c r="AE137" s="618">
        <v>228.89</v>
      </c>
      <c r="AF137" s="618">
        <v>230.34</v>
      </c>
      <c r="AG137" s="618">
        <v>229.07</v>
      </c>
      <c r="AH137" s="618">
        <v>230.01</v>
      </c>
      <c r="AI137" s="766">
        <v>231.13</v>
      </c>
      <c r="AJ137" s="774">
        <v>232.37</v>
      </c>
      <c r="AK137" s="618">
        <v>235.06</v>
      </c>
      <c r="AL137" s="618">
        <v>235.26</v>
      </c>
      <c r="AM137" s="618">
        <v>235.83</v>
      </c>
      <c r="AN137" s="618">
        <v>238.16</v>
      </c>
      <c r="AO137" s="618">
        <v>240.37</v>
      </c>
      <c r="AP137" s="618">
        <v>242.22</v>
      </c>
      <c r="AQ137" s="618">
        <v>245.8</v>
      </c>
      <c r="AR137" s="618">
        <v>253.62</v>
      </c>
      <c r="AS137" s="618">
        <v>254.66</v>
      </c>
      <c r="AT137" s="618">
        <v>257.19</v>
      </c>
      <c r="AU137" s="766">
        <v>260.35000000000002</v>
      </c>
      <c r="AV137" s="769">
        <v>262.27999999999997</v>
      </c>
      <c r="AW137" s="619">
        <v>263.94</v>
      </c>
      <c r="AX137" s="619">
        <v>263.33999999999997</v>
      </c>
      <c r="AY137" s="619">
        <v>265.91000000000003</v>
      </c>
      <c r="AZ137" s="619">
        <v>264.95</v>
      </c>
      <c r="BA137" s="619">
        <v>264.92</v>
      </c>
      <c r="BB137" s="619">
        <v>263.94</v>
      </c>
      <c r="BC137" s="620">
        <v>264.39</v>
      </c>
      <c r="BD137" s="619">
        <v>266.86</v>
      </c>
      <c r="BE137" s="620">
        <v>272.70999999999998</v>
      </c>
      <c r="BF137" s="620">
        <v>277.91000000000003</v>
      </c>
      <c r="BG137" s="750">
        <v>279.98</v>
      </c>
      <c r="BH137" s="662">
        <v>280.69</v>
      </c>
      <c r="BI137" s="617">
        <v>280.79000000000002</v>
      </c>
      <c r="BJ137" s="617">
        <v>281.89</v>
      </c>
      <c r="BK137" s="617">
        <v>283.25</v>
      </c>
      <c r="BL137" s="617">
        <v>284.74</v>
      </c>
      <c r="BM137" s="617">
        <v>287.66000000000003</v>
      </c>
      <c r="BN137" s="617">
        <v>289.72000000000003</v>
      </c>
      <c r="BO137" s="617">
        <v>292</v>
      </c>
      <c r="BP137" s="617">
        <v>293.66000000000003</v>
      </c>
      <c r="BQ137" s="617">
        <v>294.68</v>
      </c>
      <c r="BR137" s="617">
        <v>294.52</v>
      </c>
      <c r="BS137" s="737">
        <v>293.93</v>
      </c>
      <c r="BT137" s="662">
        <v>294.7</v>
      </c>
      <c r="BU137" s="617">
        <v>295.04000000000002</v>
      </c>
      <c r="BV137" s="617">
        <v>295.37</v>
      </c>
      <c r="BW137" s="617">
        <v>299.14999999999998</v>
      </c>
      <c r="BX137" s="617">
        <v>300.52999999999997</v>
      </c>
      <c r="BY137" s="617">
        <v>304.08</v>
      </c>
      <c r="BZ137" s="617">
        <v>308.13</v>
      </c>
      <c r="CA137" s="617">
        <v>315.29000000000002</v>
      </c>
      <c r="CB137" s="617">
        <v>319.24</v>
      </c>
      <c r="CC137" s="617">
        <v>323.48</v>
      </c>
      <c r="CD137" s="617">
        <v>329.22</v>
      </c>
      <c r="CE137" s="737">
        <v>334.98</v>
      </c>
      <c r="CF137" s="662">
        <v>340.09</v>
      </c>
      <c r="CG137" s="617">
        <v>343.47</v>
      </c>
      <c r="CH137" s="617">
        <v>348.68</v>
      </c>
      <c r="CI137" s="617">
        <v>355.34</v>
      </c>
      <c r="CJ137" s="617">
        <v>358.49</v>
      </c>
      <c r="CK137" s="617">
        <v>361.82</v>
      </c>
      <c r="CL137" s="617">
        <v>371.19</v>
      </c>
      <c r="CM137" s="617">
        <v>378.03</v>
      </c>
      <c r="CN137" s="617">
        <v>383.47</v>
      </c>
      <c r="CO137" s="617">
        <v>388.51</v>
      </c>
      <c r="CP137" s="617">
        <v>387.95</v>
      </c>
      <c r="CQ137" s="737">
        <v>381.33</v>
      </c>
      <c r="CR137" s="662">
        <v>373.13</v>
      </c>
      <c r="CS137" s="617">
        <v>367.99</v>
      </c>
      <c r="CT137" s="617">
        <v>370.78</v>
      </c>
      <c r="CU137" s="617">
        <v>372.87</v>
      </c>
      <c r="CV137" s="623">
        <v>374.91</v>
      </c>
      <c r="CW137" s="623">
        <v>378.82</v>
      </c>
      <c r="CX137" s="623">
        <v>383.26</v>
      </c>
      <c r="CY137" s="623">
        <v>390.71</v>
      </c>
      <c r="CZ137" s="623">
        <v>391.96</v>
      </c>
      <c r="DA137" s="623">
        <v>398.91</v>
      </c>
      <c r="DB137" s="725">
        <v>406.11</v>
      </c>
      <c r="DC137" s="659">
        <v>412.14</v>
      </c>
      <c r="DD137" s="783">
        <v>414.14</v>
      </c>
      <c r="DE137" s="623">
        <v>420.9</v>
      </c>
      <c r="DF137" s="725">
        <v>426.79</v>
      </c>
      <c r="DG137" s="659">
        <v>433.21</v>
      </c>
      <c r="DH137" s="623">
        <v>436.53</v>
      </c>
      <c r="DI137" s="623">
        <v>435.56</v>
      </c>
      <c r="DJ137" s="623">
        <v>436.41</v>
      </c>
      <c r="DK137" s="659">
        <v>440.47</v>
      </c>
      <c r="DL137" s="623">
        <v>443.96</v>
      </c>
      <c r="DM137" s="659">
        <v>448.44</v>
      </c>
      <c r="DN137" s="659">
        <v>457.08</v>
      </c>
      <c r="DO137" s="897">
        <v>463.37</v>
      </c>
      <c r="DP137" s="783">
        <v>466.87</v>
      </c>
      <c r="DQ137" s="659">
        <v>469.23</v>
      </c>
      <c r="DR137" s="659">
        <v>472.75</v>
      </c>
      <c r="DS137" s="659">
        <v>476.6</v>
      </c>
      <c r="DT137" s="623">
        <v>484.12</v>
      </c>
      <c r="DU137" s="659">
        <v>487.78</v>
      </c>
      <c r="DV137" s="659">
        <v>491.35</v>
      </c>
      <c r="DW137" s="659">
        <v>499.1</v>
      </c>
      <c r="DX137" s="659">
        <v>503.85</v>
      </c>
      <c r="DY137" s="659">
        <v>504.03</v>
      </c>
      <c r="DZ137" s="659">
        <v>505.85</v>
      </c>
      <c r="EA137" s="897">
        <v>511.97</v>
      </c>
      <c r="EB137" s="659">
        <v>516.37</v>
      </c>
      <c r="EC137" s="659">
        <v>523.21</v>
      </c>
      <c r="ED137" s="659">
        <v>526.20000000000005</v>
      </c>
      <c r="EE137" s="659">
        <v>537.23</v>
      </c>
      <c r="EF137" s="659">
        <v>542.58000000000004</v>
      </c>
      <c r="EG137" s="659">
        <v>544.85</v>
      </c>
      <c r="EH137" s="659">
        <v>544.51</v>
      </c>
      <c r="EI137" s="659">
        <v>554.47</v>
      </c>
      <c r="EJ137" s="659">
        <v>560.98</v>
      </c>
      <c r="EK137" s="623">
        <v>566.63</v>
      </c>
      <c r="EL137" s="725">
        <v>570.44000000000005</v>
      </c>
      <c r="EM137" s="659">
        <v>577.84</v>
      </c>
      <c r="EN137" s="783">
        <v>584.49</v>
      </c>
      <c r="EO137" s="659">
        <v>588.23</v>
      </c>
      <c r="EP137" s="659">
        <v>592.61</v>
      </c>
      <c r="EQ137" s="659">
        <v>596.86</v>
      </c>
      <c r="ER137" s="659">
        <v>606.91</v>
      </c>
      <c r="ES137" s="659">
        <v>612.66</v>
      </c>
      <c r="ET137" s="659">
        <v>617.86</v>
      </c>
      <c r="EU137" s="659">
        <v>623.41</v>
      </c>
      <c r="EV137" s="659">
        <v>632.32000000000005</v>
      </c>
      <c r="EW137" s="659">
        <v>638.02</v>
      </c>
      <c r="EX137" s="659">
        <v>644.27</v>
      </c>
      <c r="EY137" s="659">
        <v>659.38</v>
      </c>
      <c r="EZ137" s="783">
        <v>706.71</v>
      </c>
      <c r="FA137" s="659">
        <v>738.53</v>
      </c>
      <c r="FB137" s="659">
        <v>754.65</v>
      </c>
      <c r="FC137" s="659">
        <v>765.43</v>
      </c>
      <c r="FD137" s="659">
        <v>772.2</v>
      </c>
      <c r="FE137" s="659">
        <v>783.97</v>
      </c>
      <c r="FF137" s="659">
        <v>789.47</v>
      </c>
      <c r="FG137" s="659">
        <v>798.91</v>
      </c>
      <c r="FH137" s="659">
        <v>812.01</v>
      </c>
      <c r="FI137" s="659">
        <v>821.4</v>
      </c>
      <c r="FJ137" s="659">
        <v>825.9</v>
      </c>
      <c r="FK137" s="897">
        <v>830</v>
      </c>
      <c r="FL137" s="660">
        <v>823.06</v>
      </c>
      <c r="FM137" s="623">
        <v>824.19</v>
      </c>
      <c r="FN137" s="623">
        <v>825.55</v>
      </c>
      <c r="FO137" s="623">
        <v>837.99</v>
      </c>
      <c r="FP137" s="623">
        <v>849.01</v>
      </c>
      <c r="FQ137" s="623">
        <v>856.82</v>
      </c>
      <c r="FR137" s="623">
        <v>873.86</v>
      </c>
      <c r="FS137" s="623">
        <v>884.28</v>
      </c>
      <c r="FT137" s="623">
        <v>894.35</v>
      </c>
      <c r="FU137" s="897">
        <v>902.26</v>
      </c>
      <c r="FV137" s="1167">
        <f t="shared" si="1"/>
        <v>1.008844412142897</v>
      </c>
    </row>
    <row r="138" spans="1:178" s="115" customFormat="1" ht="51.75" customHeight="1">
      <c r="A138" s="1546">
        <v>1</v>
      </c>
      <c r="B138" s="408">
        <v>113</v>
      </c>
      <c r="C138" s="405" t="s">
        <v>76</v>
      </c>
      <c r="D138" s="622" t="s">
        <v>285</v>
      </c>
      <c r="E138" s="621" t="s">
        <v>233</v>
      </c>
      <c r="F138" s="621" t="s">
        <v>234</v>
      </c>
      <c r="G138" s="621" t="s">
        <v>737</v>
      </c>
      <c r="H138" s="621" t="s">
        <v>930</v>
      </c>
      <c r="I138" s="390" t="s">
        <v>360</v>
      </c>
      <c r="J138" s="1128" t="s">
        <v>850</v>
      </c>
      <c r="K138" s="669">
        <v>12.29</v>
      </c>
      <c r="L138" s="665">
        <v>12.29</v>
      </c>
      <c r="M138" s="625">
        <v>12.29</v>
      </c>
      <c r="N138" s="625">
        <v>12.29</v>
      </c>
      <c r="O138" s="625">
        <v>13.72</v>
      </c>
      <c r="P138" s="625">
        <v>13.72</v>
      </c>
      <c r="Q138" s="625">
        <v>13.72</v>
      </c>
      <c r="R138" s="625">
        <v>19.62</v>
      </c>
      <c r="S138" s="625">
        <v>19.62</v>
      </c>
      <c r="T138" s="625">
        <v>19.62</v>
      </c>
      <c r="U138" s="625">
        <v>19.62</v>
      </c>
      <c r="V138" s="625">
        <v>19.09</v>
      </c>
      <c r="W138" s="625">
        <v>20.02</v>
      </c>
      <c r="X138" s="625">
        <v>20.02</v>
      </c>
      <c r="Y138" s="625">
        <v>20.37</v>
      </c>
      <c r="Z138" s="625">
        <v>20.37</v>
      </c>
      <c r="AA138" s="625">
        <v>20.37</v>
      </c>
      <c r="AB138" s="625">
        <v>23.96</v>
      </c>
      <c r="AC138" s="625">
        <v>23.96</v>
      </c>
      <c r="AD138" s="625">
        <v>23.96</v>
      </c>
      <c r="AE138" s="625">
        <v>23.96</v>
      </c>
      <c r="AF138" s="625">
        <v>23.96</v>
      </c>
      <c r="AG138" s="625">
        <v>22.33</v>
      </c>
      <c r="AH138" s="625">
        <v>22.33</v>
      </c>
      <c r="AI138" s="764">
        <v>22.33</v>
      </c>
      <c r="AJ138" s="772">
        <v>23.7</v>
      </c>
      <c r="AK138" s="625">
        <v>23.7</v>
      </c>
      <c r="AL138" s="625">
        <v>23.7</v>
      </c>
      <c r="AM138" s="625">
        <v>23.7</v>
      </c>
      <c r="AN138" s="625">
        <v>23.7</v>
      </c>
      <c r="AO138" s="625">
        <v>23.7</v>
      </c>
      <c r="AP138" s="625">
        <v>23.7</v>
      </c>
      <c r="AQ138" s="625">
        <v>23.7</v>
      </c>
      <c r="AR138" s="625">
        <v>23.7</v>
      </c>
      <c r="AS138" s="625">
        <v>23.7</v>
      </c>
      <c r="AT138" s="625">
        <v>23.7</v>
      </c>
      <c r="AU138" s="764">
        <v>23.7</v>
      </c>
      <c r="AV138" s="752">
        <v>23.7</v>
      </c>
      <c r="AW138" s="626">
        <v>23.11</v>
      </c>
      <c r="AX138" s="626">
        <v>23.11</v>
      </c>
      <c r="AY138" s="626">
        <v>23.11</v>
      </c>
      <c r="AZ138" s="626">
        <v>23.93</v>
      </c>
      <c r="BA138" s="626">
        <v>23.93</v>
      </c>
      <c r="BB138" s="626">
        <v>23.93</v>
      </c>
      <c r="BC138" s="627">
        <v>23.93</v>
      </c>
      <c r="BD138" s="626">
        <v>23.93</v>
      </c>
      <c r="BE138" s="627">
        <v>23.93</v>
      </c>
      <c r="BF138" s="627">
        <v>23.93</v>
      </c>
      <c r="BG138" s="738">
        <v>23.93</v>
      </c>
      <c r="BH138" s="660">
        <v>23.93</v>
      </c>
      <c r="BI138" s="623">
        <v>23.93</v>
      </c>
      <c r="BJ138" s="623">
        <v>23.93</v>
      </c>
      <c r="BK138" s="623">
        <v>23.93</v>
      </c>
      <c r="BL138" s="623">
        <v>23.93</v>
      </c>
      <c r="BM138" s="623">
        <f>+BL138</f>
        <v>23.93</v>
      </c>
      <c r="BN138" s="623">
        <f>+BM138</f>
        <v>23.93</v>
      </c>
      <c r="BO138" s="623">
        <v>23.93</v>
      </c>
      <c r="BP138" s="623">
        <v>23.93</v>
      </c>
      <c r="BQ138" s="623">
        <v>23.93</v>
      </c>
      <c r="BR138" s="623">
        <v>23.93</v>
      </c>
      <c r="BS138" s="659">
        <v>23.93</v>
      </c>
      <c r="BT138" s="660">
        <v>23.93</v>
      </c>
      <c r="BU138" s="623">
        <v>23.93</v>
      </c>
      <c r="BV138" s="623">
        <v>28.3</v>
      </c>
      <c r="BW138" s="623">
        <v>28.3</v>
      </c>
      <c r="BX138" s="623">
        <v>28.3</v>
      </c>
      <c r="BY138" s="623">
        <v>28.3</v>
      </c>
      <c r="BZ138" s="623">
        <v>28.3</v>
      </c>
      <c r="CA138" s="623">
        <v>28.3</v>
      </c>
      <c r="CB138" s="623">
        <v>28.3</v>
      </c>
      <c r="CC138" s="623">
        <v>28.3</v>
      </c>
      <c r="CD138" s="623">
        <v>28.3</v>
      </c>
      <c r="CE138" s="659">
        <v>32.4</v>
      </c>
      <c r="CF138" s="660">
        <v>32.4</v>
      </c>
      <c r="CG138" s="623">
        <v>41.23</v>
      </c>
      <c r="CH138" s="623">
        <v>41.23</v>
      </c>
      <c r="CI138" s="623">
        <v>41.23</v>
      </c>
      <c r="CJ138" s="623">
        <v>41.23</v>
      </c>
      <c r="CK138" s="623">
        <v>41.23</v>
      </c>
      <c r="CL138" s="623">
        <f>34.11+10.72</f>
        <v>44.83</v>
      </c>
      <c r="CM138" s="623">
        <f>34.11+10.72</f>
        <v>44.83</v>
      </c>
      <c r="CN138" s="623">
        <f>34.11+11.9</f>
        <v>46.01</v>
      </c>
      <c r="CO138" s="623">
        <f>34.11+11.9</f>
        <v>46.01</v>
      </c>
      <c r="CP138" s="623">
        <f>34.11+11.9</f>
        <v>46.01</v>
      </c>
      <c r="CQ138" s="659">
        <f>36.5+11.9</f>
        <v>48.4</v>
      </c>
      <c r="CR138" s="660">
        <f>36.5+11.9</f>
        <v>48.4</v>
      </c>
      <c r="CS138" s="623">
        <f>36.5+12.61</f>
        <v>49.11</v>
      </c>
      <c r="CT138" s="623">
        <f>36.5+12.61</f>
        <v>49.11</v>
      </c>
      <c r="CU138" s="623">
        <f>36.5+12.61</f>
        <v>49.11</v>
      </c>
      <c r="CV138" s="623">
        <f>36.5+12.61</f>
        <v>49.11</v>
      </c>
      <c r="CW138" s="623">
        <f>38.27+12.61</f>
        <v>50.88</v>
      </c>
      <c r="CX138" s="623">
        <f>38.27+12.61</f>
        <v>50.88</v>
      </c>
      <c r="CY138" s="623">
        <f>38.27+12.86</f>
        <v>51.13</v>
      </c>
      <c r="CZ138" s="623">
        <f>38.27+12.86</f>
        <v>51.13</v>
      </c>
      <c r="DA138" s="623">
        <f>38.27+12.86</f>
        <v>51.13</v>
      </c>
      <c r="DB138" s="725">
        <f>38.27+12.86</f>
        <v>51.13</v>
      </c>
      <c r="DC138" s="659">
        <f>42.59+13.63</f>
        <v>56.220000000000006</v>
      </c>
      <c r="DD138" s="783">
        <f>42.59+13.63</f>
        <v>56.220000000000006</v>
      </c>
      <c r="DE138" s="623">
        <f>42.59+14.45</f>
        <v>57.040000000000006</v>
      </c>
      <c r="DF138" s="725">
        <f>42.59+14.45</f>
        <v>57.040000000000006</v>
      </c>
      <c r="DG138" s="659">
        <f>42.59+14.45</f>
        <v>57.040000000000006</v>
      </c>
      <c r="DH138" s="623">
        <f>42.59+14.45</f>
        <v>57.040000000000006</v>
      </c>
      <c r="DI138" s="623">
        <f>42.59+15.9</f>
        <v>58.49</v>
      </c>
      <c r="DJ138" s="623">
        <f>42.59+15.9</f>
        <v>58.49</v>
      </c>
      <c r="DK138" s="659">
        <f>48+15.9</f>
        <v>63.9</v>
      </c>
      <c r="DL138" s="623">
        <f>48+15.9</f>
        <v>63.9</v>
      </c>
      <c r="DM138" s="659">
        <f>50+16.85</f>
        <v>66.849999999999994</v>
      </c>
      <c r="DN138" s="659">
        <f>50+16.85</f>
        <v>66.849999999999994</v>
      </c>
      <c r="DO138" s="897">
        <f>51.5+16.85</f>
        <v>68.349999999999994</v>
      </c>
      <c r="DP138" s="783">
        <f>51.5+12.61</f>
        <v>64.11</v>
      </c>
      <c r="DQ138" s="659">
        <f>51.5+12.61</f>
        <v>64.11</v>
      </c>
      <c r="DR138" s="659">
        <f>52.68+12.61</f>
        <v>65.289999999999992</v>
      </c>
      <c r="DS138" s="659">
        <f>52.68+12.61</f>
        <v>65.289999999999992</v>
      </c>
      <c r="DT138" s="623">
        <f>56.77+12.61</f>
        <v>69.38</v>
      </c>
      <c r="DU138" s="659">
        <v>76.06</v>
      </c>
      <c r="DV138" s="659">
        <f>59.46+19.29</f>
        <v>78.75</v>
      </c>
      <c r="DW138" s="659">
        <f>59.46+20.83</f>
        <v>80.289999999999992</v>
      </c>
      <c r="DX138" s="659">
        <f>59.46+20.83</f>
        <v>80.289999999999992</v>
      </c>
      <c r="DY138" s="659">
        <f>59.46+20.83</f>
        <v>80.289999999999992</v>
      </c>
      <c r="DZ138" s="659">
        <f>64.78+20.83</f>
        <v>85.61</v>
      </c>
      <c r="EA138" s="897">
        <f>64.78+20.83</f>
        <v>85.61</v>
      </c>
      <c r="EB138" s="659">
        <f>64.78+20.83</f>
        <v>85.61</v>
      </c>
      <c r="EC138" s="659">
        <f>64.78+22.29</f>
        <v>87.07</v>
      </c>
      <c r="ED138" s="659">
        <f t="shared" ref="ED138:EI138" si="2">68.75+22.29</f>
        <v>91.039999999999992</v>
      </c>
      <c r="EE138" s="659">
        <f t="shared" si="2"/>
        <v>91.039999999999992</v>
      </c>
      <c r="EF138" s="659">
        <f t="shared" si="2"/>
        <v>91.039999999999992</v>
      </c>
      <c r="EG138" s="659">
        <f t="shared" si="2"/>
        <v>91.039999999999992</v>
      </c>
      <c r="EH138" s="659">
        <f t="shared" si="2"/>
        <v>91.039999999999992</v>
      </c>
      <c r="EI138" s="659">
        <f t="shared" si="2"/>
        <v>91.039999999999992</v>
      </c>
      <c r="EJ138" s="659">
        <f>72.89+22.29</f>
        <v>95.18</v>
      </c>
      <c r="EK138" s="1130" t="s">
        <v>853</v>
      </c>
      <c r="EL138" s="1136" t="s">
        <v>853</v>
      </c>
      <c r="EM138" s="1149" t="s">
        <v>853</v>
      </c>
      <c r="EN138" s="1176" t="s">
        <v>853</v>
      </c>
      <c r="EO138" s="1149" t="s">
        <v>853</v>
      </c>
      <c r="EP138" s="1149" t="s">
        <v>853</v>
      </c>
      <c r="EQ138" s="1149" t="s">
        <v>853</v>
      </c>
      <c r="ER138" s="1149" t="s">
        <v>853</v>
      </c>
      <c r="ES138" s="1149" t="s">
        <v>853</v>
      </c>
      <c r="ET138" s="1149" t="s">
        <v>853</v>
      </c>
      <c r="EU138" s="1149" t="s">
        <v>853</v>
      </c>
      <c r="EV138" s="1149" t="s">
        <v>853</v>
      </c>
      <c r="EW138" s="1149" t="s">
        <v>853</v>
      </c>
      <c r="EX138" s="1149" t="s">
        <v>853</v>
      </c>
      <c r="EY138" s="1149" t="s">
        <v>853</v>
      </c>
      <c r="EZ138" s="1176" t="s">
        <v>853</v>
      </c>
      <c r="FA138" s="1149" t="s">
        <v>853</v>
      </c>
      <c r="FB138" s="1149" t="s">
        <v>853</v>
      </c>
      <c r="FC138" s="1149" t="s">
        <v>853</v>
      </c>
      <c r="FD138" s="1149" t="s">
        <v>853</v>
      </c>
      <c r="FE138" s="1149" t="s">
        <v>853</v>
      </c>
      <c r="FF138" s="1149" t="s">
        <v>853</v>
      </c>
      <c r="FG138" s="1149" t="s">
        <v>853</v>
      </c>
      <c r="FH138" s="1149" t="s">
        <v>853</v>
      </c>
      <c r="FI138" s="1149" t="s">
        <v>853</v>
      </c>
      <c r="FJ138" s="1149" t="s">
        <v>853</v>
      </c>
      <c r="FK138" s="1502" t="s">
        <v>853</v>
      </c>
      <c r="FL138" s="1565" t="s">
        <v>853</v>
      </c>
      <c r="FM138" s="1130" t="s">
        <v>853</v>
      </c>
      <c r="FN138" s="1130" t="s">
        <v>853</v>
      </c>
      <c r="FO138" s="1130" t="s">
        <v>853</v>
      </c>
      <c r="FP138" s="1130" t="s">
        <v>853</v>
      </c>
      <c r="FQ138" s="1130" t="s">
        <v>853</v>
      </c>
      <c r="FR138" s="1130" t="s">
        <v>853</v>
      </c>
      <c r="FS138" s="1130" t="s">
        <v>853</v>
      </c>
      <c r="FT138" s="1130" t="s">
        <v>853</v>
      </c>
      <c r="FU138" s="1502" t="s">
        <v>853</v>
      </c>
      <c r="FV138" s="1167"/>
    </row>
    <row r="139" spans="1:178" s="1075" customFormat="1" ht="32.25" hidden="1" customHeight="1">
      <c r="A139" s="1547">
        <v>1</v>
      </c>
      <c r="B139" s="1076">
        <v>114</v>
      </c>
      <c r="C139" s="1077" t="s">
        <v>286</v>
      </c>
      <c r="D139" s="1078" t="s">
        <v>287</v>
      </c>
      <c r="E139" s="1079" t="s">
        <v>918</v>
      </c>
      <c r="F139" s="1078"/>
      <c r="G139" s="1079" t="s">
        <v>515</v>
      </c>
      <c r="H139" s="1079"/>
      <c r="I139" s="1080" t="s">
        <v>83</v>
      </c>
      <c r="J139" s="1069" t="s">
        <v>774</v>
      </c>
      <c r="K139" s="1081">
        <v>100</v>
      </c>
      <c r="L139" s="1082">
        <v>130</v>
      </c>
      <c r="M139" s="1083">
        <v>161</v>
      </c>
      <c r="N139" s="1083">
        <v>199</v>
      </c>
      <c r="O139" s="1083">
        <v>219</v>
      </c>
      <c r="P139" s="1083">
        <v>251</v>
      </c>
      <c r="Q139" s="1083">
        <v>262</v>
      </c>
      <c r="R139" s="1083">
        <v>262</v>
      </c>
      <c r="S139" s="1083">
        <v>260</v>
      </c>
      <c r="T139" s="1083">
        <v>262</v>
      </c>
      <c r="U139" s="1083">
        <v>259</v>
      </c>
      <c r="V139" s="1083">
        <v>258</v>
      </c>
      <c r="W139" s="1083">
        <v>253</v>
      </c>
      <c r="X139" s="1083">
        <v>245</v>
      </c>
      <c r="Y139" s="1083">
        <v>240</v>
      </c>
      <c r="Z139" s="1083">
        <v>235</v>
      </c>
      <c r="AA139" s="1083">
        <v>230</v>
      </c>
      <c r="AB139" s="1083">
        <v>226</v>
      </c>
      <c r="AC139" s="1083">
        <v>224</v>
      </c>
      <c r="AD139" s="1083">
        <v>227</v>
      </c>
      <c r="AE139" s="1083">
        <v>232</v>
      </c>
      <c r="AF139" s="1083">
        <v>239</v>
      </c>
      <c r="AG139" s="1083">
        <v>237</v>
      </c>
      <c r="AH139" s="1083">
        <v>239</v>
      </c>
      <c r="AI139" s="1084">
        <v>236</v>
      </c>
      <c r="AJ139" s="1085">
        <v>268</v>
      </c>
      <c r="AK139" s="1083">
        <v>271</v>
      </c>
      <c r="AL139" s="1083">
        <v>257</v>
      </c>
      <c r="AM139" s="1083">
        <v>259.39999999999998</v>
      </c>
      <c r="AN139" s="1083">
        <v>259.60000000000002</v>
      </c>
      <c r="AO139" s="1083">
        <v>260.39999999999998</v>
      </c>
      <c r="AP139" s="1083">
        <v>262.89999999999998</v>
      </c>
      <c r="AQ139" s="1083">
        <v>265.10000000000002</v>
      </c>
      <c r="AR139" s="1083">
        <v>279.10000000000002</v>
      </c>
      <c r="AS139" s="1083">
        <v>279.10000000000002</v>
      </c>
      <c r="AT139" s="1083">
        <v>280.3</v>
      </c>
      <c r="AU139" s="1084">
        <v>292.60000000000002</v>
      </c>
      <c r="AV139" s="1086">
        <v>283.39999999999998</v>
      </c>
      <c r="AW139" s="1087">
        <v>292.5</v>
      </c>
      <c r="AX139" s="1087">
        <v>285.10000000000002</v>
      </c>
      <c r="AY139" s="1087">
        <v>284.10000000000002</v>
      </c>
      <c r="AZ139" s="1087">
        <v>284.89999999999998</v>
      </c>
      <c r="BA139" s="1087">
        <v>295</v>
      </c>
      <c r="BB139" s="1087">
        <v>301.3</v>
      </c>
      <c r="BC139" s="1088">
        <v>324</v>
      </c>
      <c r="BD139" s="1087">
        <v>333</v>
      </c>
      <c r="BE139" s="1088">
        <v>314.3</v>
      </c>
      <c r="BF139" s="1088">
        <v>333.5</v>
      </c>
      <c r="BG139" s="1089">
        <v>333.5</v>
      </c>
      <c r="BH139" s="1090">
        <v>381.8</v>
      </c>
      <c r="BI139" s="1091">
        <v>346</v>
      </c>
      <c r="BJ139" s="1091">
        <v>346</v>
      </c>
      <c r="BK139" s="1091">
        <v>413</v>
      </c>
      <c r="BL139" s="1091">
        <v>435.2</v>
      </c>
      <c r="BM139" s="1091">
        <v>442</v>
      </c>
      <c r="BN139" s="1091">
        <v>442</v>
      </c>
      <c r="BO139" s="1091">
        <v>449.4</v>
      </c>
      <c r="BP139" s="1091">
        <v>450.2</v>
      </c>
      <c r="BQ139" s="1091">
        <v>458.9</v>
      </c>
      <c r="BR139" s="1091">
        <v>458.9</v>
      </c>
      <c r="BS139" s="1092">
        <v>458.9</v>
      </c>
      <c r="BT139" s="1090">
        <v>458.9</v>
      </c>
      <c r="BU139" s="1091">
        <v>458.9</v>
      </c>
      <c r="BV139" s="1091">
        <v>458.9</v>
      </c>
      <c r="BW139" s="1091">
        <v>458.07400000000001</v>
      </c>
      <c r="BX139" s="1091">
        <v>463.58100000000002</v>
      </c>
      <c r="BY139" s="1091">
        <v>483.95600000000002</v>
      </c>
      <c r="BZ139" s="1091">
        <v>488.40699999999998</v>
      </c>
      <c r="CA139" s="1091">
        <v>504.83600000000001</v>
      </c>
      <c r="CB139" s="1091">
        <v>513.50900000000001</v>
      </c>
      <c r="CC139" s="1091">
        <v>523.42100000000005</v>
      </c>
      <c r="CD139" s="1091">
        <v>523.42100000000005</v>
      </c>
      <c r="CE139" s="1092">
        <f>+'ANEXO I CADIEEL'!CE22</f>
        <v>535.44452000000001</v>
      </c>
      <c r="CF139" s="1090">
        <f>+'ANEXO I CADIEEL'!CF22</f>
        <v>554.81010000000003</v>
      </c>
      <c r="CG139" s="1091">
        <f>+'ANEXO I CADIEEL'!CG22</f>
        <v>562.88673999999992</v>
      </c>
      <c r="CH139" s="1091">
        <f>'ANEXO I CADIEEL'!CH22</f>
        <v>568.48531999999989</v>
      </c>
      <c r="CI139" s="1091">
        <f>'ANEXO I CADIEEL'!CI22</f>
        <v>586.33653000000004</v>
      </c>
      <c r="CJ139" s="1091">
        <f>'ANEXO I CADIEEL'!CJ22</f>
        <v>593.31180999999992</v>
      </c>
      <c r="CK139" s="1091">
        <f>'ANEXO I CADIEEL'!CK22</f>
        <v>603.68295000000001</v>
      </c>
      <c r="CL139" s="1091">
        <f>'ANEXO I CADIEEL'!CL22</f>
        <v>606.34456999999998</v>
      </c>
      <c r="CM139" s="1091">
        <f>'ANEXO I CADIEEL'!CM22</f>
        <v>619.19377000000009</v>
      </c>
      <c r="CN139" s="1091">
        <f>'ANEXO I CADIEEL'!CN22</f>
        <v>621.12114999999994</v>
      </c>
      <c r="CO139" s="1091">
        <f>'ANEXO I CADIEEL'!CO22</f>
        <v>621.12114999999994</v>
      </c>
      <c r="CP139" s="1091">
        <f>+CO139</f>
        <v>621.12114999999994</v>
      </c>
      <c r="CQ139" s="1092">
        <f>'ANEXO I CADIEEL'!CQ22</f>
        <v>641.54219999999998</v>
      </c>
      <c r="CR139" s="1090">
        <f>'ANEXO I CADIEEL'!CR22</f>
        <v>641.54219999999998</v>
      </c>
      <c r="CS139" s="1091">
        <f>'ANEXO I CADIEEL'!CS22</f>
        <v>639.79837999999995</v>
      </c>
      <c r="CT139" s="1070" t="s">
        <v>524</v>
      </c>
      <c r="CU139" s="1070" t="s">
        <v>524</v>
      </c>
      <c r="CV139" s="1070" t="s">
        <v>524</v>
      </c>
      <c r="CW139" s="1070" t="s">
        <v>524</v>
      </c>
      <c r="CX139" s="1070" t="s">
        <v>524</v>
      </c>
      <c r="CY139" s="1070" t="s">
        <v>524</v>
      </c>
      <c r="CZ139" s="1070" t="s">
        <v>524</v>
      </c>
      <c r="DA139" s="1070" t="s">
        <v>524</v>
      </c>
      <c r="DB139" s="1070" t="s">
        <v>524</v>
      </c>
      <c r="DC139" s="1071" t="s">
        <v>524</v>
      </c>
      <c r="DD139" s="1072" t="s">
        <v>524</v>
      </c>
      <c r="DE139" s="1070" t="s">
        <v>524</v>
      </c>
      <c r="DF139" s="1073" t="s">
        <v>524</v>
      </c>
      <c r="DG139" s="1071" t="s">
        <v>524</v>
      </c>
      <c r="DH139" s="1070" t="s">
        <v>524</v>
      </c>
      <c r="DI139" s="1070" t="s">
        <v>524</v>
      </c>
      <c r="DJ139" s="1070" t="s">
        <v>524</v>
      </c>
      <c r="DK139" s="1071" t="s">
        <v>524</v>
      </c>
      <c r="DL139" s="1070" t="s">
        <v>524</v>
      </c>
      <c r="DM139" s="1071" t="s">
        <v>524</v>
      </c>
      <c r="DN139" s="1071" t="s">
        <v>524</v>
      </c>
      <c r="DO139" s="1074" t="s">
        <v>524</v>
      </c>
      <c r="DP139" s="1072" t="s">
        <v>524</v>
      </c>
      <c r="DQ139" s="1071" t="s">
        <v>524</v>
      </c>
      <c r="DR139" s="1071" t="s">
        <v>524</v>
      </c>
      <c r="DS139" s="1071" t="s">
        <v>524</v>
      </c>
      <c r="DT139" s="1070" t="s">
        <v>524</v>
      </c>
      <c r="DU139" s="1070" t="s">
        <v>524</v>
      </c>
      <c r="DV139" s="1071" t="s">
        <v>524</v>
      </c>
      <c r="DW139" s="1071" t="s">
        <v>524</v>
      </c>
      <c r="DX139" s="1071" t="s">
        <v>524</v>
      </c>
      <c r="DY139" s="1071" t="s">
        <v>524</v>
      </c>
      <c r="DZ139" s="1071" t="s">
        <v>524</v>
      </c>
      <c r="EA139" s="1074" t="s">
        <v>524</v>
      </c>
      <c r="EB139" s="1071" t="s">
        <v>524</v>
      </c>
      <c r="EC139" s="1071" t="s">
        <v>524</v>
      </c>
      <c r="ED139" s="1071" t="s">
        <v>524</v>
      </c>
      <c r="EE139" s="1071" t="s">
        <v>524</v>
      </c>
      <c r="EF139" s="1071" t="s">
        <v>524</v>
      </c>
      <c r="EG139" s="1071" t="s">
        <v>524</v>
      </c>
      <c r="EH139" s="1071" t="s">
        <v>524</v>
      </c>
      <c r="EI139" s="1071" t="s">
        <v>524</v>
      </c>
      <c r="EJ139" s="1071" t="s">
        <v>524</v>
      </c>
      <c r="EK139" s="1070" t="s">
        <v>524</v>
      </c>
      <c r="EL139" s="1070" t="s">
        <v>524</v>
      </c>
      <c r="EM139" s="1071" t="s">
        <v>524</v>
      </c>
      <c r="EN139" s="1072" t="s">
        <v>524</v>
      </c>
      <c r="EO139" s="1071" t="s">
        <v>524</v>
      </c>
      <c r="EP139" s="1071" t="s">
        <v>524</v>
      </c>
      <c r="EQ139" s="1071" t="s">
        <v>524</v>
      </c>
      <c r="ER139" s="1071" t="s">
        <v>524</v>
      </c>
      <c r="ES139" s="1071" t="s">
        <v>524</v>
      </c>
      <c r="ET139" s="1071" t="s">
        <v>524</v>
      </c>
      <c r="EU139" s="1071" t="s">
        <v>524</v>
      </c>
      <c r="EV139" s="1071" t="s">
        <v>524</v>
      </c>
      <c r="EW139" s="1071" t="s">
        <v>524</v>
      </c>
      <c r="EX139" s="1071" t="s">
        <v>524</v>
      </c>
      <c r="EY139" s="1071" t="s">
        <v>524</v>
      </c>
      <c r="EZ139" s="1072" t="s">
        <v>524</v>
      </c>
      <c r="FA139" s="1071" t="s">
        <v>524</v>
      </c>
      <c r="FB139" s="1071" t="s">
        <v>524</v>
      </c>
      <c r="FC139" s="1071" t="s">
        <v>524</v>
      </c>
      <c r="FD139" s="1071" t="s">
        <v>524</v>
      </c>
      <c r="FE139" s="1071" t="s">
        <v>524</v>
      </c>
      <c r="FF139" s="1071" t="s">
        <v>524</v>
      </c>
      <c r="FG139" s="1071" t="s">
        <v>524</v>
      </c>
      <c r="FH139" s="1071" t="s">
        <v>524</v>
      </c>
      <c r="FI139" s="1071" t="s">
        <v>524</v>
      </c>
      <c r="FJ139" s="1071" t="s">
        <v>524</v>
      </c>
      <c r="FK139" s="1074" t="s">
        <v>524</v>
      </c>
      <c r="FL139" s="1564"/>
      <c r="FM139" s="1070"/>
      <c r="FN139" s="1070"/>
      <c r="FO139" s="1070"/>
      <c r="FP139" s="1070"/>
      <c r="FQ139" s="1070"/>
      <c r="FR139" s="1070"/>
      <c r="FS139" s="1070"/>
      <c r="FT139" s="1070"/>
      <c r="FU139" s="1074"/>
      <c r="FV139" s="1167" t="e">
        <f t="shared" si="1"/>
        <v>#DIV/0!</v>
      </c>
    </row>
    <row r="140" spans="1:178" s="115" customFormat="1" ht="21.75" customHeight="1">
      <c r="A140" s="1546">
        <v>1</v>
      </c>
      <c r="B140" s="408">
        <v>115</v>
      </c>
      <c r="C140" s="621" t="s">
        <v>288</v>
      </c>
      <c r="D140" s="622" t="s">
        <v>484</v>
      </c>
      <c r="E140" s="621" t="s">
        <v>918</v>
      </c>
      <c r="F140" s="622"/>
      <c r="G140" s="621" t="s">
        <v>929</v>
      </c>
      <c r="H140" s="621" t="s">
        <v>930</v>
      </c>
      <c r="I140" s="390" t="s">
        <v>441</v>
      </c>
      <c r="J140" s="651"/>
      <c r="K140" s="669">
        <v>124.2</v>
      </c>
      <c r="L140" s="665">
        <v>136.9</v>
      </c>
      <c r="M140" s="625">
        <v>150.5</v>
      </c>
      <c r="N140" s="625">
        <v>152.9</v>
      </c>
      <c r="O140" s="625">
        <v>171.6</v>
      </c>
      <c r="P140" s="625">
        <v>162.9</v>
      </c>
      <c r="Q140" s="625">
        <v>169.4</v>
      </c>
      <c r="R140" s="625">
        <v>168.6</v>
      </c>
      <c r="S140" s="625">
        <v>175.8</v>
      </c>
      <c r="T140" s="625">
        <v>175.8</v>
      </c>
      <c r="U140" s="625">
        <v>169.8</v>
      </c>
      <c r="V140" s="625">
        <v>183.5</v>
      </c>
      <c r="W140" s="625">
        <v>182.5</v>
      </c>
      <c r="X140" s="625">
        <v>182.5</v>
      </c>
      <c r="Y140" s="625">
        <v>189.6</v>
      </c>
      <c r="Z140" s="625">
        <v>189</v>
      </c>
      <c r="AA140" s="625">
        <v>192.8</v>
      </c>
      <c r="AB140" s="625">
        <v>191.5</v>
      </c>
      <c r="AC140" s="625">
        <v>191.5</v>
      </c>
      <c r="AD140" s="625">
        <v>187.5</v>
      </c>
      <c r="AE140" s="625">
        <v>188.9</v>
      </c>
      <c r="AF140" s="625">
        <v>184</v>
      </c>
      <c r="AG140" s="625">
        <v>184.6</v>
      </c>
      <c r="AH140" s="625">
        <v>184.6</v>
      </c>
      <c r="AI140" s="764">
        <v>184.6</v>
      </c>
      <c r="AJ140" s="772">
        <v>190.4</v>
      </c>
      <c r="AK140" s="625">
        <v>196.2</v>
      </c>
      <c r="AL140" s="625">
        <v>194.6</v>
      </c>
      <c r="AM140" s="625">
        <v>195.8</v>
      </c>
      <c r="AN140" s="625">
        <v>197.1</v>
      </c>
      <c r="AO140" s="625">
        <v>201.8</v>
      </c>
      <c r="AP140" s="625">
        <v>203.3</v>
      </c>
      <c r="AQ140" s="625">
        <v>207.1</v>
      </c>
      <c r="AR140" s="625">
        <v>203.4</v>
      </c>
      <c r="AS140" s="625">
        <v>206.2</v>
      </c>
      <c r="AT140" s="625">
        <v>207.8</v>
      </c>
      <c r="AU140" s="764">
        <v>212.6</v>
      </c>
      <c r="AV140" s="752">
        <v>214.2</v>
      </c>
      <c r="AW140" s="626">
        <v>220.9</v>
      </c>
      <c r="AX140" s="626">
        <v>220.9</v>
      </c>
      <c r="AY140" s="626">
        <v>220</v>
      </c>
      <c r="AZ140" s="626">
        <v>218.2</v>
      </c>
      <c r="BA140" s="626">
        <v>219</v>
      </c>
      <c r="BB140" s="626">
        <v>218.8</v>
      </c>
      <c r="BC140" s="627">
        <v>219</v>
      </c>
      <c r="BD140" s="626">
        <v>220.5</v>
      </c>
      <c r="BE140" s="627">
        <v>223.4</v>
      </c>
      <c r="BF140" s="627">
        <v>225.8</v>
      </c>
      <c r="BG140" s="738">
        <v>226.6</v>
      </c>
      <c r="BH140" s="660">
        <v>226.2</v>
      </c>
      <c r="BI140" s="623">
        <v>230.8</v>
      </c>
      <c r="BJ140" s="623">
        <v>230.2</v>
      </c>
      <c r="BK140" s="623">
        <v>230.2</v>
      </c>
      <c r="BL140" s="623">
        <v>231.7</v>
      </c>
      <c r="BM140" s="623">
        <v>234.2</v>
      </c>
      <c r="BN140" s="623">
        <v>234.2</v>
      </c>
      <c r="BO140" s="623">
        <v>234.2</v>
      </c>
      <c r="BP140" s="623">
        <v>238.9</v>
      </c>
      <c r="BQ140" s="623">
        <v>243.1</v>
      </c>
      <c r="BR140" s="623">
        <v>244.4</v>
      </c>
      <c r="BS140" s="659">
        <v>249.3</v>
      </c>
      <c r="BT140" s="660">
        <v>249.3</v>
      </c>
      <c r="BU140" s="623">
        <v>249.3</v>
      </c>
      <c r="BV140" s="623">
        <v>256</v>
      </c>
      <c r="BW140" s="623">
        <v>254.3</v>
      </c>
      <c r="BX140" s="623">
        <v>260.10000000000002</v>
      </c>
      <c r="BY140" s="623">
        <v>273.3</v>
      </c>
      <c r="BZ140" s="623">
        <v>281.8</v>
      </c>
      <c r="CA140" s="623">
        <v>291.3</v>
      </c>
      <c r="CB140" s="623">
        <v>298.89999999999998</v>
      </c>
      <c r="CC140" s="623">
        <v>314.3</v>
      </c>
      <c r="CD140" s="623">
        <v>320.39999999999998</v>
      </c>
      <c r="CE140" s="659">
        <v>321.89999999999998</v>
      </c>
      <c r="CF140" s="660">
        <v>330.4</v>
      </c>
      <c r="CG140" s="623">
        <v>320.89999999999998</v>
      </c>
      <c r="CH140" s="623">
        <v>336.8</v>
      </c>
      <c r="CI140" s="623">
        <v>345.2</v>
      </c>
      <c r="CJ140" s="623">
        <v>354.1</v>
      </c>
      <c r="CK140" s="623">
        <v>359.9</v>
      </c>
      <c r="CL140" s="623">
        <v>363.1</v>
      </c>
      <c r="CM140" s="623">
        <v>380.8</v>
      </c>
      <c r="CN140" s="623">
        <v>386.1</v>
      </c>
      <c r="CO140" s="623">
        <v>386.1</v>
      </c>
      <c r="CP140" s="623">
        <v>398</v>
      </c>
      <c r="CQ140" s="659">
        <v>397.9</v>
      </c>
      <c r="CR140" s="660">
        <v>397.9</v>
      </c>
      <c r="CS140" s="623">
        <v>395.5</v>
      </c>
      <c r="CT140" s="623">
        <v>397.9</v>
      </c>
      <c r="CU140" s="623">
        <v>386.1</v>
      </c>
      <c r="CV140" s="623">
        <v>386.1</v>
      </c>
      <c r="CW140" s="623">
        <v>380.1</v>
      </c>
      <c r="CX140" s="623">
        <v>383.1</v>
      </c>
      <c r="CY140" s="623">
        <v>383.1</v>
      </c>
      <c r="CZ140" s="623">
        <v>391.8</v>
      </c>
      <c r="DA140" s="623">
        <v>397.2</v>
      </c>
      <c r="DB140" s="725">
        <v>397.2</v>
      </c>
      <c r="DC140" s="659">
        <v>394.8</v>
      </c>
      <c r="DD140" s="783">
        <v>392.1</v>
      </c>
      <c r="DE140" s="623">
        <v>399.1</v>
      </c>
      <c r="DF140" s="725">
        <v>408.1</v>
      </c>
      <c r="DG140" s="659">
        <v>418.4</v>
      </c>
      <c r="DH140" s="623">
        <v>421.6</v>
      </c>
      <c r="DI140" s="623">
        <v>423.7</v>
      </c>
      <c r="DJ140" s="623">
        <v>424.4</v>
      </c>
      <c r="DK140" s="659">
        <v>441</v>
      </c>
      <c r="DL140" s="623">
        <v>442.1</v>
      </c>
      <c r="DM140" s="659">
        <v>442.1</v>
      </c>
      <c r="DN140" s="659">
        <v>445.9</v>
      </c>
      <c r="DO140" s="897">
        <v>446.4</v>
      </c>
      <c r="DP140" s="783">
        <v>453.3</v>
      </c>
      <c r="DQ140" s="659">
        <v>459.2</v>
      </c>
      <c r="DR140" s="659">
        <v>470.6</v>
      </c>
      <c r="DS140" s="659">
        <v>477.3</v>
      </c>
      <c r="DT140" s="623">
        <v>504.6</v>
      </c>
      <c r="DU140" s="659">
        <v>509.2</v>
      </c>
      <c r="DV140" s="659">
        <v>513.1</v>
      </c>
      <c r="DW140" s="659">
        <v>518.29999999999995</v>
      </c>
      <c r="DX140" s="659">
        <v>531.9</v>
      </c>
      <c r="DY140" s="659">
        <v>547.5</v>
      </c>
      <c r="DZ140" s="659">
        <v>557.29999999999995</v>
      </c>
      <c r="EA140" s="897">
        <v>560.6</v>
      </c>
      <c r="EB140" s="659">
        <v>571.4</v>
      </c>
      <c r="EC140" s="659">
        <v>580.4</v>
      </c>
      <c r="ED140" s="659">
        <v>594.29999999999995</v>
      </c>
      <c r="EE140" s="659">
        <v>602.5</v>
      </c>
      <c r="EF140" s="659">
        <v>606.1</v>
      </c>
      <c r="EG140" s="659">
        <v>607</v>
      </c>
      <c r="EH140" s="659">
        <v>611.79999999999995</v>
      </c>
      <c r="EI140" s="659">
        <v>619.20000000000005</v>
      </c>
      <c r="EJ140" s="659">
        <v>627.4</v>
      </c>
      <c r="EK140" s="623">
        <v>640.20000000000005</v>
      </c>
      <c r="EL140" s="725">
        <v>643</v>
      </c>
      <c r="EM140" s="659">
        <v>655.5</v>
      </c>
      <c r="EN140" s="783">
        <v>660.6</v>
      </c>
      <c r="EO140" s="659">
        <v>664.3</v>
      </c>
      <c r="EP140" s="659">
        <v>687.4</v>
      </c>
      <c r="EQ140" s="659">
        <v>690.4</v>
      </c>
      <c r="ER140" s="659">
        <v>701.9</v>
      </c>
      <c r="ES140" s="659">
        <v>725</v>
      </c>
      <c r="ET140" s="659">
        <v>733.9</v>
      </c>
      <c r="EU140" s="659">
        <v>744.5</v>
      </c>
      <c r="EV140" s="659">
        <v>762.1</v>
      </c>
      <c r="EW140" s="659">
        <v>771.2</v>
      </c>
      <c r="EX140" s="659">
        <v>793.1</v>
      </c>
      <c r="EY140" s="659">
        <v>810.1</v>
      </c>
      <c r="EZ140" s="783">
        <v>827.1</v>
      </c>
      <c r="FA140" s="659">
        <v>954.7</v>
      </c>
      <c r="FB140" s="659">
        <v>1011.7</v>
      </c>
      <c r="FC140" s="659">
        <v>993.7</v>
      </c>
      <c r="FD140" s="659">
        <v>1017.3</v>
      </c>
      <c r="FE140" s="659">
        <v>1006.1</v>
      </c>
      <c r="FF140" s="659">
        <v>1021.1</v>
      </c>
      <c r="FG140" s="659">
        <v>1028.5999999999999</v>
      </c>
      <c r="FH140" s="659">
        <v>1030.5999999999999</v>
      </c>
      <c r="FI140" s="659">
        <v>1032.2</v>
      </c>
      <c r="FJ140" s="659">
        <v>1054.2</v>
      </c>
      <c r="FK140" s="897">
        <v>1066.8</v>
      </c>
      <c r="FL140" s="660">
        <v>1072.7</v>
      </c>
      <c r="FM140" s="623">
        <v>1075.7</v>
      </c>
      <c r="FN140" s="623">
        <v>1124.9000000000001</v>
      </c>
      <c r="FO140" s="623">
        <v>1131.5999999999999</v>
      </c>
      <c r="FP140" s="623">
        <v>1165.7</v>
      </c>
      <c r="FQ140" s="623">
        <v>1167.7</v>
      </c>
      <c r="FR140" s="623">
        <v>1187</v>
      </c>
      <c r="FS140" s="623">
        <v>1199.9000000000001</v>
      </c>
      <c r="FT140" s="623">
        <v>1216</v>
      </c>
      <c r="FU140" s="897">
        <v>1253</v>
      </c>
      <c r="FV140" s="1167">
        <f t="shared" si="1"/>
        <v>1.0304276315789473</v>
      </c>
    </row>
    <row r="141" spans="1:178" s="1075" customFormat="1" ht="22.5" hidden="1" customHeight="1">
      <c r="A141" s="1547">
        <v>1</v>
      </c>
      <c r="B141" s="1059">
        <v>116</v>
      </c>
      <c r="C141" s="1039" t="s">
        <v>290</v>
      </c>
      <c r="D141" s="1058" t="s">
        <v>291</v>
      </c>
      <c r="E141" s="1039" t="s">
        <v>233</v>
      </c>
      <c r="F141" s="1039" t="s">
        <v>619</v>
      </c>
      <c r="G141" s="1039" t="s">
        <v>737</v>
      </c>
      <c r="H141" s="1039" t="s">
        <v>930</v>
      </c>
      <c r="I141" s="1057" t="s">
        <v>289</v>
      </c>
      <c r="J141" s="1069" t="s">
        <v>763</v>
      </c>
      <c r="K141" s="1041">
        <v>44.56</v>
      </c>
      <c r="L141" s="1093">
        <v>44.56</v>
      </c>
      <c r="M141" s="1094">
        <v>44.56</v>
      </c>
      <c r="N141" s="1094">
        <v>44.56</v>
      </c>
      <c r="O141" s="1094">
        <v>44.56</v>
      </c>
      <c r="P141" s="1094">
        <v>77.349999999999994</v>
      </c>
      <c r="Q141" s="1094">
        <v>77.349999999999994</v>
      </c>
      <c r="R141" s="1094">
        <v>77.349999999999994</v>
      </c>
      <c r="S141" s="1094">
        <v>77.349999999999994</v>
      </c>
      <c r="T141" s="1094">
        <v>77.349999999999994</v>
      </c>
      <c r="U141" s="1094">
        <v>86.32</v>
      </c>
      <c r="V141" s="1094">
        <v>95.29</v>
      </c>
      <c r="W141" s="1094">
        <v>95.29</v>
      </c>
      <c r="X141" s="1094">
        <v>95.29</v>
      </c>
      <c r="Y141" s="1094">
        <v>95.29</v>
      </c>
      <c r="Z141" s="1094">
        <v>95.29</v>
      </c>
      <c r="AA141" s="1094">
        <v>95.29</v>
      </c>
      <c r="AB141" s="1094">
        <v>95.29</v>
      </c>
      <c r="AC141" s="1094">
        <v>95.29</v>
      </c>
      <c r="AD141" s="1094">
        <v>95.29</v>
      </c>
      <c r="AE141" s="1094">
        <v>95.29</v>
      </c>
      <c r="AF141" s="1094">
        <v>95.29</v>
      </c>
      <c r="AG141" s="1094">
        <v>95.29</v>
      </c>
      <c r="AH141" s="1094">
        <v>95.29</v>
      </c>
      <c r="AI141" s="1095">
        <v>95.29</v>
      </c>
      <c r="AJ141" s="1096">
        <v>95.29</v>
      </c>
      <c r="AK141" s="1094">
        <v>95.29</v>
      </c>
      <c r="AL141" s="1094">
        <v>95.29</v>
      </c>
      <c r="AM141" s="1094">
        <v>95.29</v>
      </c>
      <c r="AN141" s="1094">
        <v>95.29</v>
      </c>
      <c r="AO141" s="1094">
        <v>95.29</v>
      </c>
      <c r="AP141" s="1094">
        <v>95.29</v>
      </c>
      <c r="AQ141" s="1094">
        <v>95.29</v>
      </c>
      <c r="AR141" s="1094">
        <v>95.29</v>
      </c>
      <c r="AS141" s="1094">
        <v>95.29</v>
      </c>
      <c r="AT141" s="1094">
        <v>95.29</v>
      </c>
      <c r="AU141" s="1095">
        <v>95.29</v>
      </c>
      <c r="AV141" s="1097">
        <v>95.29</v>
      </c>
      <c r="AW141" s="1098">
        <v>95.29</v>
      </c>
      <c r="AX141" s="1098">
        <v>95.29</v>
      </c>
      <c r="AY141" s="1098">
        <v>95.29</v>
      </c>
      <c r="AZ141" s="1098">
        <v>78.59</v>
      </c>
      <c r="BA141" s="1098">
        <v>78.59</v>
      </c>
      <c r="BB141" s="1098">
        <v>78.59</v>
      </c>
      <c r="BC141" s="1099">
        <v>78.59</v>
      </c>
      <c r="BD141" s="1098">
        <v>78.59</v>
      </c>
      <c r="BE141" s="1099">
        <v>78.59</v>
      </c>
      <c r="BF141" s="1099">
        <v>78.59</v>
      </c>
      <c r="BG141" s="1100">
        <v>78.59</v>
      </c>
      <c r="BH141" s="1101">
        <v>78.59</v>
      </c>
      <c r="BI141" s="1102">
        <v>110.31</v>
      </c>
      <c r="BJ141" s="1102">
        <v>110.31</v>
      </c>
      <c r="BK141" s="1102">
        <v>110.31</v>
      </c>
      <c r="BL141" s="1102">
        <v>110.31</v>
      </c>
      <c r="BM141" s="1102">
        <f>+BL141</f>
        <v>110.31</v>
      </c>
      <c r="BN141" s="1102">
        <v>110.31</v>
      </c>
      <c r="BO141" s="1102">
        <v>110.31</v>
      </c>
      <c r="BP141" s="1102">
        <v>110.31</v>
      </c>
      <c r="BQ141" s="1102">
        <v>110.31</v>
      </c>
      <c r="BR141" s="1102">
        <v>110.31</v>
      </c>
      <c r="BS141" s="1103">
        <v>110.31</v>
      </c>
      <c r="BT141" s="1101">
        <v>110.31</v>
      </c>
      <c r="BU141" s="1102">
        <v>110.31</v>
      </c>
      <c r="BV141" s="1102">
        <v>127</v>
      </c>
      <c r="BW141" s="1102">
        <v>127</v>
      </c>
      <c r="BX141" s="1102">
        <v>127</v>
      </c>
      <c r="BY141" s="1102">
        <v>127</v>
      </c>
      <c r="BZ141" s="1102">
        <v>127</v>
      </c>
      <c r="CA141" s="1102">
        <v>134.08000000000001</v>
      </c>
      <c r="CB141" s="1102">
        <v>134.08000000000001</v>
      </c>
      <c r="CC141" s="1102">
        <v>134.08000000000001</v>
      </c>
      <c r="CD141" s="1102">
        <v>134.08000000000001</v>
      </c>
      <c r="CE141" s="1103">
        <v>134.08000000000001</v>
      </c>
      <c r="CF141" s="1101">
        <v>155.22</v>
      </c>
      <c r="CG141" s="1102">
        <v>155.22</v>
      </c>
      <c r="CH141" s="1102">
        <v>155.22</v>
      </c>
      <c r="CI141" s="1102">
        <v>155.22</v>
      </c>
      <c r="CJ141" s="1102">
        <v>179.69</v>
      </c>
      <c r="CK141" s="1102">
        <v>179.69</v>
      </c>
      <c r="CL141" s="1102">
        <v>179.69</v>
      </c>
      <c r="CM141" s="1102">
        <v>179.69</v>
      </c>
      <c r="CN141" s="1051">
        <v>179.69</v>
      </c>
      <c r="CO141" s="1102">
        <v>179.69</v>
      </c>
      <c r="CP141" s="1102">
        <v>179.69</v>
      </c>
      <c r="CQ141" s="1052">
        <v>179.69</v>
      </c>
      <c r="CR141" s="1050">
        <v>179.69</v>
      </c>
      <c r="CS141" s="1051">
        <v>179.69</v>
      </c>
      <c r="CT141" s="1051">
        <v>179.69</v>
      </c>
      <c r="CU141" s="1051">
        <v>179.69</v>
      </c>
      <c r="CV141" s="1051">
        <v>179.69</v>
      </c>
      <c r="CW141" s="1051">
        <v>179.69</v>
      </c>
      <c r="CX141" s="1051">
        <v>179.69</v>
      </c>
      <c r="CY141" s="1051">
        <v>179.69</v>
      </c>
      <c r="CZ141" s="1051">
        <v>179.69</v>
      </c>
      <c r="DA141" s="1051">
        <v>179.69</v>
      </c>
      <c r="DB141" s="1051">
        <v>179.69</v>
      </c>
      <c r="DC141" s="1052">
        <v>179.69</v>
      </c>
      <c r="DD141" s="1054">
        <v>179.69</v>
      </c>
      <c r="DE141" s="1051">
        <v>179.69</v>
      </c>
      <c r="DF141" s="1053">
        <v>179.69</v>
      </c>
      <c r="DG141" s="1052">
        <v>179.69</v>
      </c>
      <c r="DH141" s="1051">
        <v>179.69</v>
      </c>
      <c r="DI141" s="1070" t="s">
        <v>524</v>
      </c>
      <c r="DJ141" s="1070" t="s">
        <v>524</v>
      </c>
      <c r="DK141" s="1071" t="s">
        <v>524</v>
      </c>
      <c r="DL141" s="1070" t="s">
        <v>524</v>
      </c>
      <c r="DM141" s="1071">
        <v>1</v>
      </c>
      <c r="DN141" s="1071" t="s">
        <v>524</v>
      </c>
      <c r="DO141" s="1074" t="s">
        <v>524</v>
      </c>
      <c r="DP141" s="1072" t="s">
        <v>524</v>
      </c>
      <c r="DQ141" s="1071" t="s">
        <v>524</v>
      </c>
      <c r="DR141" s="1071" t="s">
        <v>524</v>
      </c>
      <c r="DS141" s="1071" t="s">
        <v>524</v>
      </c>
      <c r="DT141" s="1070" t="s">
        <v>524</v>
      </c>
      <c r="DU141" s="1070" t="s">
        <v>524</v>
      </c>
      <c r="DV141" s="1071" t="s">
        <v>524</v>
      </c>
      <c r="DW141" s="1071" t="s">
        <v>524</v>
      </c>
      <c r="DX141" s="1071" t="s">
        <v>524</v>
      </c>
      <c r="DY141" s="1071" t="s">
        <v>524</v>
      </c>
      <c r="DZ141" s="1071" t="s">
        <v>524</v>
      </c>
      <c r="EA141" s="1074" t="s">
        <v>524</v>
      </c>
      <c r="EB141" s="1071" t="s">
        <v>524</v>
      </c>
      <c r="EC141" s="1071" t="s">
        <v>524</v>
      </c>
      <c r="ED141" s="1071" t="s">
        <v>524</v>
      </c>
      <c r="EE141" s="1071" t="s">
        <v>524</v>
      </c>
      <c r="EF141" s="1071" t="s">
        <v>524</v>
      </c>
      <c r="EG141" s="1071" t="s">
        <v>524</v>
      </c>
      <c r="EH141" s="1071"/>
      <c r="EI141" s="1071" t="s">
        <v>524</v>
      </c>
      <c r="EJ141" s="1071" t="s">
        <v>524</v>
      </c>
      <c r="EK141" s="1070" t="s">
        <v>524</v>
      </c>
      <c r="EL141" s="1070" t="s">
        <v>524</v>
      </c>
      <c r="EM141" s="1071" t="s">
        <v>524</v>
      </c>
      <c r="EN141" s="1072" t="s">
        <v>524</v>
      </c>
      <c r="EO141" s="1071" t="s">
        <v>524</v>
      </c>
      <c r="EP141" s="1071" t="s">
        <v>524</v>
      </c>
      <c r="EQ141" s="1071" t="s">
        <v>524</v>
      </c>
      <c r="ER141" s="1071" t="s">
        <v>524</v>
      </c>
      <c r="ES141" s="1071" t="s">
        <v>524</v>
      </c>
      <c r="ET141" s="1071" t="s">
        <v>524</v>
      </c>
      <c r="EU141" s="1071" t="s">
        <v>524</v>
      </c>
      <c r="EV141" s="1071" t="s">
        <v>524</v>
      </c>
      <c r="EW141" s="1071" t="s">
        <v>524</v>
      </c>
      <c r="EX141" s="1071" t="s">
        <v>524</v>
      </c>
      <c r="EY141" s="1071" t="s">
        <v>524</v>
      </c>
      <c r="EZ141" s="1072" t="s">
        <v>524</v>
      </c>
      <c r="FA141" s="1071" t="s">
        <v>524</v>
      </c>
      <c r="FB141" s="1071" t="s">
        <v>524</v>
      </c>
      <c r="FC141" s="1071" t="s">
        <v>524</v>
      </c>
      <c r="FD141" s="1071" t="s">
        <v>524</v>
      </c>
      <c r="FE141" s="1071" t="s">
        <v>524</v>
      </c>
      <c r="FF141" s="1071" t="s">
        <v>524</v>
      </c>
      <c r="FG141" s="1071" t="s">
        <v>524</v>
      </c>
      <c r="FH141" s="1071" t="s">
        <v>524</v>
      </c>
      <c r="FI141" s="1071" t="s">
        <v>524</v>
      </c>
      <c r="FJ141" s="1071" t="s">
        <v>524</v>
      </c>
      <c r="FK141" s="1074" t="s">
        <v>524</v>
      </c>
      <c r="FL141" s="1564"/>
      <c r="FM141" s="1070"/>
      <c r="FN141" s="1070"/>
      <c r="FO141" s="1070"/>
      <c r="FP141" s="1070"/>
      <c r="FQ141" s="1070"/>
      <c r="FR141" s="1070"/>
      <c r="FS141" s="1070"/>
      <c r="FT141" s="1070"/>
      <c r="FU141" s="1074"/>
      <c r="FV141" s="1167" t="e">
        <f t="shared" si="1"/>
        <v>#DIV/0!</v>
      </c>
    </row>
    <row r="142" spans="1:178" s="115" customFormat="1" ht="15.75" customHeight="1">
      <c r="A142" s="1546">
        <v>1</v>
      </c>
      <c r="B142" s="408">
        <v>117</v>
      </c>
      <c r="C142" s="621" t="s">
        <v>292</v>
      </c>
      <c r="D142" s="622" t="s">
        <v>293</v>
      </c>
      <c r="E142" s="621" t="s">
        <v>918</v>
      </c>
      <c r="F142" s="622"/>
      <c r="G142" s="621" t="s">
        <v>919</v>
      </c>
      <c r="H142" s="621" t="s">
        <v>920</v>
      </c>
      <c r="I142" s="390" t="s">
        <v>294</v>
      </c>
      <c r="J142" s="651"/>
      <c r="K142" s="669">
        <v>106.96</v>
      </c>
      <c r="L142" s="665">
        <v>113.47</v>
      </c>
      <c r="M142" s="625">
        <v>120.35</v>
      </c>
      <c r="N142" s="625">
        <v>123.04</v>
      </c>
      <c r="O142" s="625">
        <v>143.91999999999999</v>
      </c>
      <c r="P142" s="625">
        <v>173.18</v>
      </c>
      <c r="Q142" s="625">
        <v>175.86</v>
      </c>
      <c r="R142" s="625">
        <v>183.95</v>
      </c>
      <c r="S142" s="625">
        <v>188.91</v>
      </c>
      <c r="T142" s="625">
        <v>197.1</v>
      </c>
      <c r="U142" s="625">
        <v>193.25</v>
      </c>
      <c r="V142" s="625">
        <v>193.25</v>
      </c>
      <c r="W142" s="625">
        <v>198.15</v>
      </c>
      <c r="X142" s="625">
        <v>196.7</v>
      </c>
      <c r="Y142" s="625">
        <v>198.15</v>
      </c>
      <c r="Z142" s="625">
        <v>198.15</v>
      </c>
      <c r="AA142" s="625">
        <v>198.53</v>
      </c>
      <c r="AB142" s="625">
        <v>201.75</v>
      </c>
      <c r="AC142" s="625">
        <v>201.75</v>
      </c>
      <c r="AD142" s="625">
        <v>201.75</v>
      </c>
      <c r="AE142" s="625">
        <v>201.75</v>
      </c>
      <c r="AF142" s="625">
        <v>201.75</v>
      </c>
      <c r="AG142" s="625">
        <v>205.41</v>
      </c>
      <c r="AH142" s="625">
        <v>205.26</v>
      </c>
      <c r="AI142" s="764">
        <v>205.23</v>
      </c>
      <c r="AJ142" s="772">
        <v>205.23</v>
      </c>
      <c r="AK142" s="625">
        <v>220.15</v>
      </c>
      <c r="AL142" s="625">
        <v>220.72</v>
      </c>
      <c r="AM142" s="625">
        <v>232.93</v>
      </c>
      <c r="AN142" s="625">
        <v>232.93</v>
      </c>
      <c r="AO142" s="625">
        <v>247.92</v>
      </c>
      <c r="AP142" s="625">
        <v>240.66</v>
      </c>
      <c r="AQ142" s="625">
        <v>248.59</v>
      </c>
      <c r="AR142" s="625">
        <v>248.59</v>
      </c>
      <c r="AS142" s="625">
        <v>248.59</v>
      </c>
      <c r="AT142" s="625">
        <v>258.08</v>
      </c>
      <c r="AU142" s="764">
        <v>265.24</v>
      </c>
      <c r="AV142" s="752">
        <v>265.24</v>
      </c>
      <c r="AW142" s="626">
        <v>265.24</v>
      </c>
      <c r="AX142" s="626">
        <v>265.24</v>
      </c>
      <c r="AY142" s="626">
        <v>265.24</v>
      </c>
      <c r="AZ142" s="626">
        <v>265.24</v>
      </c>
      <c r="BA142" s="626">
        <v>265.24</v>
      </c>
      <c r="BB142" s="626">
        <v>266.3</v>
      </c>
      <c r="BC142" s="627">
        <v>267.95999999999998</v>
      </c>
      <c r="BD142" s="626">
        <v>267.95999999999998</v>
      </c>
      <c r="BE142" s="627">
        <v>270.95</v>
      </c>
      <c r="BF142" s="627">
        <v>270.94</v>
      </c>
      <c r="BG142" s="738">
        <v>276.43</v>
      </c>
      <c r="BH142" s="660">
        <v>279.43</v>
      </c>
      <c r="BI142" s="623">
        <v>288.39</v>
      </c>
      <c r="BJ142" s="623">
        <v>288.39</v>
      </c>
      <c r="BK142" s="623">
        <v>305.52999999999997</v>
      </c>
      <c r="BL142" s="623">
        <v>308.26</v>
      </c>
      <c r="BM142" s="623">
        <v>325.02</v>
      </c>
      <c r="BN142" s="623">
        <v>325.02</v>
      </c>
      <c r="BO142" s="623">
        <v>345.27</v>
      </c>
      <c r="BP142" s="623">
        <v>346.62</v>
      </c>
      <c r="BQ142" s="623">
        <v>346.62</v>
      </c>
      <c r="BR142" s="623">
        <v>350.12</v>
      </c>
      <c r="BS142" s="659">
        <v>350.12</v>
      </c>
      <c r="BT142" s="660">
        <v>357.79</v>
      </c>
      <c r="BU142" s="623">
        <v>366.45</v>
      </c>
      <c r="BV142" s="623">
        <v>366.45</v>
      </c>
      <c r="BW142" s="623">
        <v>369.18</v>
      </c>
      <c r="BX142" s="623">
        <v>374.43</v>
      </c>
      <c r="BY142" s="623">
        <v>376.07</v>
      </c>
      <c r="BZ142" s="623">
        <v>390.25</v>
      </c>
      <c r="CA142" s="623">
        <v>388.61</v>
      </c>
      <c r="CB142" s="623">
        <v>390.52</v>
      </c>
      <c r="CC142" s="623">
        <v>397.71</v>
      </c>
      <c r="CD142" s="623">
        <v>410.91</v>
      </c>
      <c r="CE142" s="659">
        <v>410.94</v>
      </c>
      <c r="CF142" s="660">
        <v>421.59</v>
      </c>
      <c r="CG142" s="623">
        <v>424.41</v>
      </c>
      <c r="CH142" s="623">
        <v>425.26</v>
      </c>
      <c r="CI142" s="623">
        <v>426.99</v>
      </c>
      <c r="CJ142" s="623">
        <v>426.99</v>
      </c>
      <c r="CK142" s="623">
        <v>433.93</v>
      </c>
      <c r="CL142" s="623">
        <v>440.74</v>
      </c>
      <c r="CM142" s="623">
        <v>448.01</v>
      </c>
      <c r="CN142" s="623">
        <v>456.41</v>
      </c>
      <c r="CO142" s="623">
        <v>463.56</v>
      </c>
      <c r="CP142" s="623">
        <v>472.56</v>
      </c>
      <c r="CQ142" s="659">
        <v>475.55</v>
      </c>
      <c r="CR142" s="660">
        <v>475.55</v>
      </c>
      <c r="CS142" s="623">
        <v>475.55</v>
      </c>
      <c r="CT142" s="623">
        <v>475.55</v>
      </c>
      <c r="CU142" s="623">
        <v>478.21</v>
      </c>
      <c r="CV142" s="623">
        <v>487.3</v>
      </c>
      <c r="CW142" s="623">
        <v>495.45</v>
      </c>
      <c r="CX142" s="623">
        <v>509.43</v>
      </c>
      <c r="CY142" s="623">
        <v>512.71</v>
      </c>
      <c r="CZ142" s="623">
        <v>516.11</v>
      </c>
      <c r="DA142" s="623">
        <v>523.08000000000004</v>
      </c>
      <c r="DB142" s="725">
        <v>529.87</v>
      </c>
      <c r="DC142" s="659">
        <v>532.11</v>
      </c>
      <c r="DD142" s="783">
        <v>532.69000000000005</v>
      </c>
      <c r="DE142" s="623">
        <v>551.19000000000005</v>
      </c>
      <c r="DF142" s="725">
        <v>551.19000000000005</v>
      </c>
      <c r="DG142" s="659">
        <v>551.19000000000005</v>
      </c>
      <c r="DH142" s="623">
        <v>600.24</v>
      </c>
      <c r="DI142" s="623">
        <v>600.24</v>
      </c>
      <c r="DJ142" s="623">
        <v>611.23</v>
      </c>
      <c r="DK142" s="659">
        <v>625.37</v>
      </c>
      <c r="DL142" s="623">
        <v>635.16999999999996</v>
      </c>
      <c r="DM142" s="659">
        <v>635.16999999999996</v>
      </c>
      <c r="DN142" s="659">
        <v>648.73</v>
      </c>
      <c r="DO142" s="897">
        <v>658.94</v>
      </c>
      <c r="DP142" s="783">
        <v>658.94</v>
      </c>
      <c r="DQ142" s="659">
        <v>658.94</v>
      </c>
      <c r="DR142" s="659">
        <v>661.79</v>
      </c>
      <c r="DS142" s="659">
        <v>673.79</v>
      </c>
      <c r="DT142" s="623">
        <v>686.8</v>
      </c>
      <c r="DU142" s="659">
        <v>686.8</v>
      </c>
      <c r="DV142" s="659">
        <v>699.19</v>
      </c>
      <c r="DW142" s="659">
        <v>704.28</v>
      </c>
      <c r="DX142" s="659">
        <v>704.25</v>
      </c>
      <c r="DY142" s="659">
        <v>709.64</v>
      </c>
      <c r="DZ142" s="659">
        <v>709.64</v>
      </c>
      <c r="EA142" s="897">
        <v>722.21</v>
      </c>
      <c r="EB142" s="659">
        <v>722.21</v>
      </c>
      <c r="EC142" s="659">
        <v>722.21</v>
      </c>
      <c r="ED142" s="659">
        <v>722.21</v>
      </c>
      <c r="EE142" s="659">
        <v>722.21</v>
      </c>
      <c r="EF142" s="659">
        <v>766.95</v>
      </c>
      <c r="EG142" s="659">
        <v>768.19</v>
      </c>
      <c r="EH142" s="659">
        <v>768.19</v>
      </c>
      <c r="EI142" s="659">
        <v>768.19</v>
      </c>
      <c r="EJ142" s="659">
        <v>768.19</v>
      </c>
      <c r="EK142" s="623">
        <v>789.97</v>
      </c>
      <c r="EL142" s="725">
        <v>787.75</v>
      </c>
      <c r="EM142" s="659">
        <v>806.82</v>
      </c>
      <c r="EN142" s="783">
        <v>806.82</v>
      </c>
      <c r="EO142" s="659">
        <v>806.82</v>
      </c>
      <c r="EP142" s="659">
        <v>806.82</v>
      </c>
      <c r="EQ142" s="659">
        <v>806.82</v>
      </c>
      <c r="ER142" s="659">
        <v>806.82</v>
      </c>
      <c r="ES142" s="659">
        <v>820.91</v>
      </c>
      <c r="ET142" s="659">
        <v>841.3</v>
      </c>
      <c r="EU142" s="659">
        <v>841.3</v>
      </c>
      <c r="EV142" s="659">
        <v>841.3</v>
      </c>
      <c r="EW142" s="659">
        <v>841.3</v>
      </c>
      <c r="EX142" s="659">
        <v>856.02</v>
      </c>
      <c r="EY142" s="659">
        <v>891.82</v>
      </c>
      <c r="EZ142" s="783">
        <v>891.82</v>
      </c>
      <c r="FA142" s="659">
        <v>918.05</v>
      </c>
      <c r="FB142" s="659">
        <v>918.05</v>
      </c>
      <c r="FC142" s="659">
        <v>918.05</v>
      </c>
      <c r="FD142" s="659">
        <v>918.05</v>
      </c>
      <c r="FE142" s="659">
        <v>938.19</v>
      </c>
      <c r="FF142" s="659">
        <v>971.5</v>
      </c>
      <c r="FG142" s="659">
        <v>1005.44</v>
      </c>
      <c r="FH142" s="659">
        <v>1005.44</v>
      </c>
      <c r="FI142" s="659">
        <v>1035.81</v>
      </c>
      <c r="FJ142" s="659">
        <v>1051.1199999999999</v>
      </c>
      <c r="FK142" s="897">
        <v>1051.1199999999999</v>
      </c>
      <c r="FL142" s="660">
        <v>1069.8900000000001</v>
      </c>
      <c r="FM142" s="623">
        <v>1079.68</v>
      </c>
      <c r="FN142" s="623">
        <v>1079.68</v>
      </c>
      <c r="FO142" s="623">
        <v>1079.68</v>
      </c>
      <c r="FP142" s="623">
        <v>1079.68</v>
      </c>
      <c r="FQ142" s="623">
        <v>1113.3900000000001</v>
      </c>
      <c r="FR142" s="623">
        <v>1112.6300000000001</v>
      </c>
      <c r="FS142" s="623">
        <v>1124.93</v>
      </c>
      <c r="FT142" s="623">
        <v>1140.05</v>
      </c>
      <c r="FU142" s="897">
        <v>1153.01</v>
      </c>
      <c r="FV142" s="1167">
        <f t="shared" si="1"/>
        <v>1.0113679224595413</v>
      </c>
    </row>
    <row r="143" spans="1:178" s="115" customFormat="1" ht="36.75" customHeight="1" thickBot="1">
      <c r="A143" s="1546">
        <v>1</v>
      </c>
      <c r="B143" s="408">
        <v>118</v>
      </c>
      <c r="C143" s="621" t="s">
        <v>295</v>
      </c>
      <c r="D143" s="622" t="s">
        <v>296</v>
      </c>
      <c r="E143" s="621" t="s">
        <v>918</v>
      </c>
      <c r="F143" s="622"/>
      <c r="G143" s="621" t="s">
        <v>919</v>
      </c>
      <c r="H143" s="621" t="s">
        <v>920</v>
      </c>
      <c r="I143" s="390" t="s">
        <v>428</v>
      </c>
      <c r="J143" s="651"/>
      <c r="K143" s="669">
        <v>109.5</v>
      </c>
      <c r="L143" s="666">
        <v>113.05</v>
      </c>
      <c r="M143" s="639">
        <v>128.77000000000001</v>
      </c>
      <c r="N143" s="639">
        <v>131.41</v>
      </c>
      <c r="O143" s="639">
        <v>163.56</v>
      </c>
      <c r="P143" s="639">
        <v>176.19</v>
      </c>
      <c r="Q143" s="639">
        <v>203.93</v>
      </c>
      <c r="R143" s="639">
        <v>210.6</v>
      </c>
      <c r="S143" s="639">
        <v>245.08</v>
      </c>
      <c r="T143" s="639">
        <v>245.08</v>
      </c>
      <c r="U143" s="639">
        <v>245.08</v>
      </c>
      <c r="V143" s="639">
        <v>245.08</v>
      </c>
      <c r="W143" s="639">
        <v>245.08</v>
      </c>
      <c r="X143" s="639">
        <v>245.08</v>
      </c>
      <c r="Y143" s="639">
        <v>245.08</v>
      </c>
      <c r="Z143" s="639">
        <v>247.92</v>
      </c>
      <c r="AA143" s="639">
        <v>247.99</v>
      </c>
      <c r="AB143" s="639">
        <v>247.99</v>
      </c>
      <c r="AC143" s="639">
        <v>247.99</v>
      </c>
      <c r="AD143" s="639">
        <v>247.99</v>
      </c>
      <c r="AE143" s="639">
        <v>247.99</v>
      </c>
      <c r="AF143" s="639">
        <v>247.99</v>
      </c>
      <c r="AG143" s="639">
        <v>247.99</v>
      </c>
      <c r="AH143" s="639">
        <v>251.4</v>
      </c>
      <c r="AI143" s="765">
        <v>251.06</v>
      </c>
      <c r="AJ143" s="773">
        <v>251.06</v>
      </c>
      <c r="AK143" s="639">
        <v>264.77999999999997</v>
      </c>
      <c r="AL143" s="639">
        <v>276.06</v>
      </c>
      <c r="AM143" s="639">
        <v>280.27999999999997</v>
      </c>
      <c r="AN143" s="639">
        <v>323.83</v>
      </c>
      <c r="AO143" s="639">
        <v>335.98</v>
      </c>
      <c r="AP143" s="639">
        <v>335.89</v>
      </c>
      <c r="AQ143" s="639">
        <v>335.89</v>
      </c>
      <c r="AR143" s="639">
        <v>335.89</v>
      </c>
      <c r="AS143" s="639">
        <v>335.89</v>
      </c>
      <c r="AT143" s="639">
        <v>369.92</v>
      </c>
      <c r="AU143" s="765">
        <v>369.92</v>
      </c>
      <c r="AV143" s="768">
        <v>369.92</v>
      </c>
      <c r="AW143" s="640">
        <v>369.92</v>
      </c>
      <c r="AX143" s="640">
        <v>369.92</v>
      </c>
      <c r="AY143" s="640">
        <v>382.99</v>
      </c>
      <c r="AZ143" s="640">
        <v>382.99</v>
      </c>
      <c r="BA143" s="640">
        <v>382.99</v>
      </c>
      <c r="BB143" s="640">
        <v>387.31</v>
      </c>
      <c r="BC143" s="641">
        <v>387.31</v>
      </c>
      <c r="BD143" s="640">
        <v>387.31</v>
      </c>
      <c r="BE143" s="641">
        <v>387.31</v>
      </c>
      <c r="BF143" s="641">
        <v>387.31</v>
      </c>
      <c r="BG143" s="751">
        <v>387.31</v>
      </c>
      <c r="BH143" s="661">
        <v>387.31</v>
      </c>
      <c r="BI143" s="642">
        <v>387.31</v>
      </c>
      <c r="BJ143" s="642">
        <v>398.74</v>
      </c>
      <c r="BK143" s="642">
        <v>398.74</v>
      </c>
      <c r="BL143" s="642">
        <v>398.74</v>
      </c>
      <c r="BM143" s="642">
        <v>398.74</v>
      </c>
      <c r="BN143" s="642">
        <v>398.74</v>
      </c>
      <c r="BO143" s="642">
        <v>398.74</v>
      </c>
      <c r="BP143" s="642">
        <v>398.74</v>
      </c>
      <c r="BQ143" s="642">
        <v>398.74</v>
      </c>
      <c r="BR143" s="642">
        <v>398.74</v>
      </c>
      <c r="BS143" s="736">
        <v>400.92</v>
      </c>
      <c r="BT143" s="661">
        <v>400.92</v>
      </c>
      <c r="BU143" s="642">
        <v>400.92</v>
      </c>
      <c r="BV143" s="642">
        <v>408.63</v>
      </c>
      <c r="BW143" s="642">
        <v>409.58</v>
      </c>
      <c r="BX143" s="642">
        <v>411.22</v>
      </c>
      <c r="BY143" s="642">
        <v>411.22</v>
      </c>
      <c r="BZ143" s="642">
        <v>411.22</v>
      </c>
      <c r="CA143" s="642">
        <v>411.22</v>
      </c>
      <c r="CB143" s="642">
        <v>426.09</v>
      </c>
      <c r="CC143" s="642">
        <v>426.09</v>
      </c>
      <c r="CD143" s="642">
        <v>433.44</v>
      </c>
      <c r="CE143" s="736">
        <v>434.48</v>
      </c>
      <c r="CF143" s="661">
        <v>462.37</v>
      </c>
      <c r="CG143" s="642">
        <v>468.42</v>
      </c>
      <c r="CH143" s="642">
        <v>481.11</v>
      </c>
      <c r="CI143" s="642">
        <v>484.53</v>
      </c>
      <c r="CJ143" s="642">
        <v>485.75</v>
      </c>
      <c r="CK143" s="642">
        <v>495.61</v>
      </c>
      <c r="CL143" s="642">
        <v>487.5</v>
      </c>
      <c r="CM143" s="642">
        <v>493.3</v>
      </c>
      <c r="CN143" s="642">
        <v>495.8</v>
      </c>
      <c r="CO143" s="642">
        <v>495.8</v>
      </c>
      <c r="CP143" s="642">
        <v>512.77</v>
      </c>
      <c r="CQ143" s="736">
        <v>512.77</v>
      </c>
      <c r="CR143" s="661">
        <v>512.77</v>
      </c>
      <c r="CS143" s="642">
        <v>512.77</v>
      </c>
      <c r="CT143" s="642">
        <v>512.77</v>
      </c>
      <c r="CU143" s="642">
        <v>512.77</v>
      </c>
      <c r="CV143" s="642">
        <v>534.4</v>
      </c>
      <c r="CW143" s="642">
        <v>534.4</v>
      </c>
      <c r="CX143" s="642">
        <v>512.77</v>
      </c>
      <c r="CY143" s="642">
        <v>512.77</v>
      </c>
      <c r="CZ143" s="642">
        <v>533.47</v>
      </c>
      <c r="DA143" s="642">
        <v>541.41</v>
      </c>
      <c r="DB143" s="726">
        <v>541.6</v>
      </c>
      <c r="DC143" s="736">
        <v>544.76</v>
      </c>
      <c r="DD143" s="784">
        <v>544.57000000000005</v>
      </c>
      <c r="DE143" s="642">
        <v>562.38</v>
      </c>
      <c r="DF143" s="726">
        <v>562.38</v>
      </c>
      <c r="DG143" s="736">
        <v>562.38</v>
      </c>
      <c r="DH143" s="642">
        <v>562.77</v>
      </c>
      <c r="DI143" s="642">
        <v>562.38</v>
      </c>
      <c r="DJ143" s="642">
        <v>562.38</v>
      </c>
      <c r="DK143" s="736">
        <v>556.23</v>
      </c>
      <c r="DL143" s="642">
        <v>556.62</v>
      </c>
      <c r="DM143" s="736">
        <v>556.62</v>
      </c>
      <c r="DN143" s="736">
        <v>579.16</v>
      </c>
      <c r="DO143" s="901">
        <v>579.16</v>
      </c>
      <c r="DP143" s="784">
        <v>579.16</v>
      </c>
      <c r="DQ143" s="736">
        <v>579.16</v>
      </c>
      <c r="DR143" s="736">
        <v>579.16</v>
      </c>
      <c r="DS143" s="736">
        <v>586.1</v>
      </c>
      <c r="DT143" s="642">
        <v>590.65</v>
      </c>
      <c r="DU143" s="736">
        <v>590.65</v>
      </c>
      <c r="DV143" s="736">
        <v>607.87</v>
      </c>
      <c r="DW143" s="736">
        <v>612.99</v>
      </c>
      <c r="DX143" s="736">
        <v>622.64</v>
      </c>
      <c r="DY143" s="736">
        <v>622.64</v>
      </c>
      <c r="DZ143" s="736">
        <v>629.70000000000005</v>
      </c>
      <c r="EA143" s="901">
        <v>629.70000000000005</v>
      </c>
      <c r="EB143" s="736">
        <v>629.70000000000005</v>
      </c>
      <c r="EC143" s="736">
        <v>629.70000000000005</v>
      </c>
      <c r="ED143" s="659">
        <v>629.70000000000005</v>
      </c>
      <c r="EE143" s="659">
        <v>629.70000000000005</v>
      </c>
      <c r="EF143" s="659">
        <v>640.63</v>
      </c>
      <c r="EG143" s="659">
        <v>667.72</v>
      </c>
      <c r="EH143" s="659">
        <v>609.51</v>
      </c>
      <c r="EI143" s="659">
        <v>609.51</v>
      </c>
      <c r="EJ143" s="659">
        <v>609.51</v>
      </c>
      <c r="EK143" s="623">
        <v>641.99</v>
      </c>
      <c r="EL143" s="725">
        <v>698.02</v>
      </c>
      <c r="EM143" s="659">
        <v>698.02</v>
      </c>
      <c r="EN143" s="783">
        <v>698.02</v>
      </c>
      <c r="EO143" s="659">
        <v>669.24</v>
      </c>
      <c r="EP143" s="659">
        <v>678.09</v>
      </c>
      <c r="EQ143" s="659">
        <v>698.17</v>
      </c>
      <c r="ER143" s="659">
        <v>698.17</v>
      </c>
      <c r="ES143" s="659">
        <v>716.34</v>
      </c>
      <c r="ET143" s="659">
        <v>718.08</v>
      </c>
      <c r="EU143" s="659">
        <v>718.08</v>
      </c>
      <c r="EV143" s="659">
        <v>721.32</v>
      </c>
      <c r="EW143" s="659">
        <v>731.76</v>
      </c>
      <c r="EX143" s="659">
        <v>742.79</v>
      </c>
      <c r="EY143" s="659">
        <v>787</v>
      </c>
      <c r="EZ143" s="783">
        <v>889.1</v>
      </c>
      <c r="FA143" s="659">
        <v>941.06</v>
      </c>
      <c r="FB143" s="659">
        <v>942.94</v>
      </c>
      <c r="FC143" s="659">
        <v>963.75</v>
      </c>
      <c r="FD143" s="659">
        <v>970.38</v>
      </c>
      <c r="FE143" s="659">
        <v>972.41</v>
      </c>
      <c r="FF143" s="659">
        <v>972.78</v>
      </c>
      <c r="FG143" s="659">
        <v>1022.19</v>
      </c>
      <c r="FH143" s="659">
        <v>1024.52</v>
      </c>
      <c r="FI143" s="659">
        <v>1034.95</v>
      </c>
      <c r="FJ143" s="659">
        <v>1035.58</v>
      </c>
      <c r="FK143" s="897">
        <v>1036.4100000000001</v>
      </c>
      <c r="FL143" s="660">
        <v>1037.22</v>
      </c>
      <c r="FM143" s="623">
        <v>1069.04</v>
      </c>
      <c r="FN143" s="623">
        <v>1052.3</v>
      </c>
      <c r="FO143" s="623">
        <v>1065.28</v>
      </c>
      <c r="FP143" s="623">
        <v>1072.67</v>
      </c>
      <c r="FQ143" s="623">
        <v>1074.4000000000001</v>
      </c>
      <c r="FR143" s="623">
        <v>1145.8800000000001</v>
      </c>
      <c r="FS143" s="623">
        <v>1147.8800000000001</v>
      </c>
      <c r="FT143" s="623">
        <v>1150.3</v>
      </c>
      <c r="FU143" s="897">
        <v>1152.32</v>
      </c>
      <c r="FV143" s="1167">
        <f t="shared" si="1"/>
        <v>1.0017560636355733</v>
      </c>
    </row>
    <row r="144" spans="1:178" s="1075" customFormat="1" ht="31.5" hidden="1" customHeight="1">
      <c r="A144" s="1547">
        <v>1</v>
      </c>
      <c r="B144" s="1204">
        <v>119</v>
      </c>
      <c r="C144" s="1205" t="s">
        <v>297</v>
      </c>
      <c r="D144" s="1206" t="s">
        <v>299</v>
      </c>
      <c r="E144" s="1207" t="s">
        <v>918</v>
      </c>
      <c r="F144" s="1206"/>
      <c r="G144" s="1207" t="s">
        <v>515</v>
      </c>
      <c r="H144" s="1207"/>
      <c r="I144" s="1208" t="s">
        <v>83</v>
      </c>
      <c r="J144" s="1209" t="s">
        <v>775</v>
      </c>
      <c r="K144" s="1210">
        <v>100</v>
      </c>
      <c r="L144" s="1211">
        <v>133</v>
      </c>
      <c r="M144" s="1212">
        <v>167</v>
      </c>
      <c r="N144" s="1212">
        <v>214</v>
      </c>
      <c r="O144" s="1212">
        <v>231</v>
      </c>
      <c r="P144" s="1212">
        <v>281</v>
      </c>
      <c r="Q144" s="1212">
        <v>286</v>
      </c>
      <c r="R144" s="1212">
        <v>284</v>
      </c>
      <c r="S144" s="1212">
        <v>284</v>
      </c>
      <c r="T144" s="1212">
        <v>284</v>
      </c>
      <c r="U144" s="1212">
        <v>284</v>
      </c>
      <c r="V144" s="1212">
        <v>284</v>
      </c>
      <c r="W144" s="1212">
        <v>270</v>
      </c>
      <c r="X144" s="1212">
        <v>262</v>
      </c>
      <c r="Y144" s="1212">
        <v>255</v>
      </c>
      <c r="Z144" s="1212">
        <v>251</v>
      </c>
      <c r="AA144" s="1212">
        <v>246</v>
      </c>
      <c r="AB144" s="1212">
        <v>244</v>
      </c>
      <c r="AC144" s="1212">
        <v>240</v>
      </c>
      <c r="AD144" s="1212">
        <v>246</v>
      </c>
      <c r="AE144" s="1212">
        <v>250</v>
      </c>
      <c r="AF144" s="1212">
        <v>249</v>
      </c>
      <c r="AG144" s="1212">
        <v>249</v>
      </c>
      <c r="AH144" s="1212">
        <v>253</v>
      </c>
      <c r="AI144" s="1213">
        <v>251</v>
      </c>
      <c r="AJ144" s="1214">
        <v>272</v>
      </c>
      <c r="AK144" s="1212">
        <v>288</v>
      </c>
      <c r="AL144" s="1212">
        <v>287.5</v>
      </c>
      <c r="AM144" s="1212">
        <v>287.5</v>
      </c>
      <c r="AN144" s="1212">
        <v>287.5</v>
      </c>
      <c r="AO144" s="1212">
        <v>287.5</v>
      </c>
      <c r="AP144" s="1212">
        <v>287.5</v>
      </c>
      <c r="AQ144" s="1212">
        <v>287.5</v>
      </c>
      <c r="AR144" s="1212">
        <v>313.5</v>
      </c>
      <c r="AS144" s="1212">
        <v>313.5</v>
      </c>
      <c r="AT144" s="1212">
        <v>315.89999999999998</v>
      </c>
      <c r="AU144" s="1213">
        <v>315.60000000000002</v>
      </c>
      <c r="AV144" s="1215">
        <v>318</v>
      </c>
      <c r="AW144" s="1216">
        <v>318</v>
      </c>
      <c r="AX144" s="1216">
        <v>330.9</v>
      </c>
      <c r="AY144" s="1216">
        <v>346</v>
      </c>
      <c r="AZ144" s="1216">
        <v>346</v>
      </c>
      <c r="BA144" s="1216">
        <v>346</v>
      </c>
      <c r="BB144" s="1216">
        <v>346</v>
      </c>
      <c r="BC144" s="1217">
        <v>442.5</v>
      </c>
      <c r="BD144" s="1216">
        <v>450.9</v>
      </c>
      <c r="BE144" s="1217">
        <v>450.9</v>
      </c>
      <c r="BF144" s="1217">
        <v>451.2</v>
      </c>
      <c r="BG144" s="1218">
        <v>451.2</v>
      </c>
      <c r="BH144" s="1219">
        <v>540.9</v>
      </c>
      <c r="BI144" s="1220">
        <v>540.9</v>
      </c>
      <c r="BJ144" s="1220">
        <v>621.4</v>
      </c>
      <c r="BK144" s="1220">
        <v>634.4</v>
      </c>
      <c r="BL144" s="1220">
        <v>665.1</v>
      </c>
      <c r="BM144" s="1220">
        <v>669.8</v>
      </c>
      <c r="BN144" s="1220">
        <v>669.8</v>
      </c>
      <c r="BO144" s="1220">
        <v>681.8</v>
      </c>
      <c r="BP144" s="1220">
        <v>682</v>
      </c>
      <c r="BQ144" s="1220">
        <v>682</v>
      </c>
      <c r="BR144" s="1220">
        <v>682</v>
      </c>
      <c r="BS144" s="1221">
        <v>682</v>
      </c>
      <c r="BT144" s="1219">
        <v>682</v>
      </c>
      <c r="BU144" s="1220">
        <v>682</v>
      </c>
      <c r="BV144" s="1220">
        <v>682</v>
      </c>
      <c r="BW144" s="1220">
        <v>682.40899999999999</v>
      </c>
      <c r="BX144" s="1220">
        <v>702.18700000000001</v>
      </c>
      <c r="BY144" s="1220">
        <v>718.96400000000006</v>
      </c>
      <c r="BZ144" s="1220">
        <v>724.07899999999995</v>
      </c>
      <c r="CA144" s="1220">
        <v>739.01499999999999</v>
      </c>
      <c r="CB144" s="1220">
        <v>746.79</v>
      </c>
      <c r="CC144" s="1220">
        <v>765.95399999999995</v>
      </c>
      <c r="CD144" s="1220">
        <v>756.95399999999995</v>
      </c>
      <c r="CE144" s="1221">
        <f>+'ANEXO I CADIEEL'!CE24</f>
        <v>779.52600000000007</v>
      </c>
      <c r="CF144" s="1219">
        <f>+'ANEXO I CADIEEL'!CF24</f>
        <v>806.87419999999997</v>
      </c>
      <c r="CG144" s="1220">
        <f>+'ANEXO I CADIEEL'!CG24</f>
        <v>813.69420000000002</v>
      </c>
      <c r="CH144" s="1220">
        <f>'ANEXO I CADIEEL'!CH24</f>
        <v>827.1296000000001</v>
      </c>
      <c r="CI144" s="1220">
        <f>'ANEXO I CADIEEL'!CI24</f>
        <v>863.88939999999991</v>
      </c>
      <c r="CJ144" s="1220">
        <f>'ANEXO I CADIEEL'!CJ24</f>
        <v>917.76739999999995</v>
      </c>
      <c r="CK144" s="1220">
        <f>'ANEXO I CADIEEL'!CK24</f>
        <v>921.9276000000001</v>
      </c>
      <c r="CL144" s="1220">
        <f>'ANEXO I CADIEEL'!CL24</f>
        <v>934.13539999999989</v>
      </c>
      <c r="CM144" s="1220">
        <f>'ANEXO I CADIEEL'!CM24</f>
        <v>946.47959999999989</v>
      </c>
      <c r="CN144" s="1220">
        <f>'ANEXO I CADIEEL'!CN24</f>
        <v>948.9348</v>
      </c>
      <c r="CO144" s="1220">
        <f>'ANEXO I CADIEEL'!CO24</f>
        <v>948.9348</v>
      </c>
      <c r="CP144" s="1220">
        <f>+CO144</f>
        <v>948.9348</v>
      </c>
      <c r="CQ144" s="1221">
        <f>'ANEXO I CADIEEL'!CQ24</f>
        <v>967.07600000000014</v>
      </c>
      <c r="CR144" s="1219">
        <f>'ANEXO I CADIEEL'!CR24</f>
        <v>967.07600000000014</v>
      </c>
      <c r="CS144" s="1220">
        <f>'ANEXO I CADIEEL'!CS24</f>
        <v>954.45899999999995</v>
      </c>
      <c r="CT144" s="1222" t="s">
        <v>524</v>
      </c>
      <c r="CU144" s="1222" t="s">
        <v>524</v>
      </c>
      <c r="CV144" s="1222" t="s">
        <v>524</v>
      </c>
      <c r="CW144" s="1222" t="s">
        <v>524</v>
      </c>
      <c r="CX144" s="1222" t="s">
        <v>524</v>
      </c>
      <c r="CY144" s="1222" t="s">
        <v>524</v>
      </c>
      <c r="CZ144" s="1222" t="s">
        <v>524</v>
      </c>
      <c r="DA144" s="1222" t="s">
        <v>524</v>
      </c>
      <c r="DB144" s="1222" t="s">
        <v>524</v>
      </c>
      <c r="DC144" s="1115" t="s">
        <v>524</v>
      </c>
      <c r="DD144" s="1223" t="s">
        <v>524</v>
      </c>
      <c r="DE144" s="1222" t="s">
        <v>524</v>
      </c>
      <c r="DF144" s="1170" t="s">
        <v>524</v>
      </c>
      <c r="DG144" s="1115" t="s">
        <v>524</v>
      </c>
      <c r="DH144" s="1222" t="s">
        <v>524</v>
      </c>
      <c r="DI144" s="1222" t="s">
        <v>524</v>
      </c>
      <c r="DJ144" s="1222" t="s">
        <v>524</v>
      </c>
      <c r="DK144" s="1115" t="s">
        <v>524</v>
      </c>
      <c r="DL144" s="1222" t="s">
        <v>524</v>
      </c>
      <c r="DM144" s="1115" t="s">
        <v>524</v>
      </c>
      <c r="DN144" s="1115" t="s">
        <v>524</v>
      </c>
      <c r="DO144" s="1224" t="s">
        <v>524</v>
      </c>
      <c r="DP144" s="1223" t="s">
        <v>524</v>
      </c>
      <c r="DQ144" s="1115" t="s">
        <v>524</v>
      </c>
      <c r="DR144" s="1115" t="s">
        <v>524</v>
      </c>
      <c r="DS144" s="1115" t="s">
        <v>524</v>
      </c>
      <c r="DT144" s="1222" t="s">
        <v>524</v>
      </c>
      <c r="DU144" s="1222" t="s">
        <v>524</v>
      </c>
      <c r="DV144" s="1115" t="s">
        <v>524</v>
      </c>
      <c r="DW144" s="1115" t="s">
        <v>524</v>
      </c>
      <c r="DX144" s="1115" t="s">
        <v>524</v>
      </c>
      <c r="DY144" s="1115" t="s">
        <v>524</v>
      </c>
      <c r="DZ144" s="1115" t="s">
        <v>524</v>
      </c>
      <c r="EA144" s="1224" t="s">
        <v>524</v>
      </c>
      <c r="EB144" s="1115" t="s">
        <v>524</v>
      </c>
      <c r="EC144" s="1115" t="s">
        <v>524</v>
      </c>
      <c r="ED144" s="1115" t="s">
        <v>524</v>
      </c>
      <c r="EE144" s="1115" t="s">
        <v>524</v>
      </c>
      <c r="EF144" s="1115" t="s">
        <v>524</v>
      </c>
      <c r="EG144" s="1115" t="s">
        <v>524</v>
      </c>
      <c r="EH144" s="1107"/>
      <c r="EI144" s="1107" t="s">
        <v>524</v>
      </c>
      <c r="EJ144" s="1107" t="s">
        <v>524</v>
      </c>
      <c r="EK144" s="1225" t="s">
        <v>524</v>
      </c>
      <c r="EL144" s="1225" t="s">
        <v>524</v>
      </c>
      <c r="EM144" s="1107" t="s">
        <v>524</v>
      </c>
      <c r="EN144" s="1226" t="s">
        <v>524</v>
      </c>
      <c r="EO144" s="1107" t="s">
        <v>524</v>
      </c>
      <c r="EP144" s="1107" t="s">
        <v>524</v>
      </c>
      <c r="EQ144" s="1107" t="s">
        <v>524</v>
      </c>
      <c r="ER144" s="1107" t="s">
        <v>524</v>
      </c>
      <c r="ES144" s="1071" t="s">
        <v>524</v>
      </c>
      <c r="ET144" s="1071" t="s">
        <v>524</v>
      </c>
      <c r="EU144" s="1071" t="s">
        <v>524</v>
      </c>
      <c r="EV144" s="1071" t="s">
        <v>524</v>
      </c>
      <c r="EW144" s="1071" t="s">
        <v>524</v>
      </c>
      <c r="EX144" s="1071" t="s">
        <v>524</v>
      </c>
      <c r="EY144" s="1071" t="s">
        <v>524</v>
      </c>
      <c r="EZ144" s="1072" t="s">
        <v>524</v>
      </c>
      <c r="FA144" s="1071" t="s">
        <v>524</v>
      </c>
      <c r="FB144" s="1071" t="s">
        <v>524</v>
      </c>
      <c r="FC144" s="1071" t="s">
        <v>524</v>
      </c>
      <c r="FD144" s="1071" t="s">
        <v>524</v>
      </c>
      <c r="FE144" s="1071" t="s">
        <v>524</v>
      </c>
      <c r="FF144" s="1071" t="s">
        <v>524</v>
      </c>
      <c r="FG144" s="1071" t="s">
        <v>524</v>
      </c>
      <c r="FH144" s="1071" t="s">
        <v>524</v>
      </c>
      <c r="FI144" s="1071" t="s">
        <v>524</v>
      </c>
      <c r="FJ144" s="1071" t="s">
        <v>524</v>
      </c>
      <c r="FK144" s="1074" t="s">
        <v>524</v>
      </c>
      <c r="FL144" s="1564"/>
      <c r="FM144" s="1070"/>
      <c r="FN144" s="1070"/>
      <c r="FO144" s="1070"/>
      <c r="FP144" s="1070"/>
      <c r="FQ144" s="1070"/>
      <c r="FR144" s="1070"/>
      <c r="FS144" s="1070"/>
      <c r="FT144" s="1070"/>
      <c r="FU144" s="1074"/>
      <c r="FV144" s="1167" t="e">
        <f t="shared" si="1"/>
        <v>#DIV/0!</v>
      </c>
    </row>
    <row r="145" spans="1:178" s="115" customFormat="1" ht="36.75" customHeight="1">
      <c r="A145" s="1546">
        <v>1</v>
      </c>
      <c r="B145" s="408">
        <v>120</v>
      </c>
      <c r="C145" s="633"/>
      <c r="D145" s="622" t="s">
        <v>301</v>
      </c>
      <c r="E145" s="621" t="s">
        <v>918</v>
      </c>
      <c r="F145" s="622"/>
      <c r="G145" s="633" t="s">
        <v>548</v>
      </c>
      <c r="H145" s="621" t="s">
        <v>930</v>
      </c>
      <c r="I145" s="390" t="s">
        <v>131</v>
      </c>
      <c r="J145" s="674" t="s">
        <v>303</v>
      </c>
      <c r="K145" s="669">
        <v>100.94</v>
      </c>
      <c r="L145" s="665">
        <v>104.95</v>
      </c>
      <c r="M145" s="625">
        <v>106.57</v>
      </c>
      <c r="N145" s="625">
        <v>109.78</v>
      </c>
      <c r="O145" s="625">
        <v>119.75</v>
      </c>
      <c r="P145" s="625">
        <v>124.37</v>
      </c>
      <c r="Q145" s="625">
        <v>130.9</v>
      </c>
      <c r="R145" s="625">
        <v>134.85</v>
      </c>
      <c r="S145" s="625">
        <v>137.69999999999999</v>
      </c>
      <c r="T145" s="625">
        <v>139.46</v>
      </c>
      <c r="U145" s="625">
        <v>140.07</v>
      </c>
      <c r="V145" s="625">
        <v>140.80000000000001</v>
      </c>
      <c r="W145" s="625">
        <v>140.01</v>
      </c>
      <c r="X145" s="625">
        <v>141.44999999999999</v>
      </c>
      <c r="Y145" s="625">
        <v>141.75</v>
      </c>
      <c r="Z145" s="625">
        <v>141.24</v>
      </c>
      <c r="AA145" s="625">
        <v>141.15</v>
      </c>
      <c r="AB145" s="625">
        <v>140.61000000000001</v>
      </c>
      <c r="AC145" s="625">
        <v>140.63</v>
      </c>
      <c r="AD145" s="625">
        <v>140.58000000000001</v>
      </c>
      <c r="AE145" s="625">
        <v>140.38999999999999</v>
      </c>
      <c r="AF145" s="625">
        <v>140.03</v>
      </c>
      <c r="AG145" s="625">
        <v>139.94999999999999</v>
      </c>
      <c r="AH145" s="625">
        <v>140.09</v>
      </c>
      <c r="AI145" s="764">
        <v>140.26</v>
      </c>
      <c r="AJ145" s="772">
        <v>140.37</v>
      </c>
      <c r="AK145" s="625">
        <v>140.76</v>
      </c>
      <c r="AL145" s="625">
        <v>141.28</v>
      </c>
      <c r="AM145" s="625">
        <v>142.16</v>
      </c>
      <c r="AN145" s="625">
        <v>142.86000000000001</v>
      </c>
      <c r="AO145" s="625">
        <v>143.32</v>
      </c>
      <c r="AP145" s="625">
        <v>143.44999999999999</v>
      </c>
      <c r="AQ145" s="625">
        <v>144.04</v>
      </c>
      <c r="AR145" s="625">
        <v>144.29</v>
      </c>
      <c r="AS145" s="625">
        <v>144.72999999999999</v>
      </c>
      <c r="AT145" s="625">
        <v>144.69</v>
      </c>
      <c r="AU145" s="764">
        <v>145.05000000000001</v>
      </c>
      <c r="AV145" s="752">
        <v>146.68</v>
      </c>
      <c r="AW145" s="626">
        <v>147.16999999999999</v>
      </c>
      <c r="AX145" s="626">
        <v>148.66999999999999</v>
      </c>
      <c r="AY145" s="626">
        <v>149.72</v>
      </c>
      <c r="AZ145" s="626">
        <v>150.82</v>
      </c>
      <c r="BA145" s="633">
        <v>151.69</v>
      </c>
      <c r="BB145" s="627">
        <v>153</v>
      </c>
      <c r="BC145" s="627">
        <v>154.37</v>
      </c>
      <c r="BD145" s="626">
        <v>155.03</v>
      </c>
      <c r="BE145" s="627">
        <v>155.78</v>
      </c>
      <c r="BF145" s="627">
        <v>156.41999999999999</v>
      </c>
      <c r="BG145" s="738">
        <v>158.37</v>
      </c>
      <c r="BH145" s="660">
        <v>160.11000000000001</v>
      </c>
      <c r="BI145" s="623">
        <v>160.79</v>
      </c>
      <c r="BJ145" s="623">
        <v>162.30000000000001</v>
      </c>
      <c r="BK145" s="623">
        <v>163.09</v>
      </c>
      <c r="BL145" s="623">
        <v>164.15</v>
      </c>
      <c r="BM145" s="623">
        <v>164.87</v>
      </c>
      <c r="BN145" s="623">
        <v>164.87</v>
      </c>
      <c r="BO145" s="623">
        <v>166.37</v>
      </c>
      <c r="BP145" s="623">
        <v>167.44</v>
      </c>
      <c r="BQ145" s="623">
        <v>168.32</v>
      </c>
      <c r="BR145" s="623">
        <v>169.29</v>
      </c>
      <c r="BS145" s="659">
        <v>169.84</v>
      </c>
      <c r="BT145" s="660">
        <v>171.29</v>
      </c>
      <c r="BU145" s="623">
        <v>172.09</v>
      </c>
      <c r="BV145" s="623">
        <v>173.13</v>
      </c>
      <c r="BW145" s="623">
        <v>173.94</v>
      </c>
      <c r="BX145" s="623">
        <v>175.09</v>
      </c>
      <c r="BY145" s="623">
        <v>176.06</v>
      </c>
      <c r="BZ145" s="623">
        <v>177.8</v>
      </c>
      <c r="CA145" s="623">
        <v>179.28</v>
      </c>
      <c r="CB145" s="623">
        <v>181.32</v>
      </c>
      <c r="CC145" s="623">
        <v>183.6</v>
      </c>
      <c r="CD145" s="623">
        <v>189.58</v>
      </c>
      <c r="CE145" s="659">
        <v>191.16</v>
      </c>
      <c r="CF145" s="660">
        <v>195.51</v>
      </c>
      <c r="CG145" s="623">
        <v>194.85</v>
      </c>
      <c r="CH145" s="623">
        <v>196.29</v>
      </c>
      <c r="CI145" s="623">
        <v>198.49</v>
      </c>
      <c r="CJ145" s="623">
        <f>'ANEXO TRANSP.'!M13</f>
        <v>201.36810500000001</v>
      </c>
      <c r="CK145" s="623">
        <f>'ANEXO TRANSP.'!N13</f>
        <v>200.83218200000002</v>
      </c>
      <c r="CL145" s="623">
        <f>'ANEXO TRANSP.'!O13</f>
        <v>201.64599100000001</v>
      </c>
      <c r="CM145" s="623">
        <f>+'ANEXO TRANSP.'!P13</f>
        <v>202.85678000000001</v>
      </c>
      <c r="CN145" s="623">
        <f>+'ANEXO TRANSP.'!Q13</f>
        <v>203.353005</v>
      </c>
      <c r="CO145" s="623">
        <f>+'ANEXO TRANSP.'!R13</f>
        <v>205.67533800000001</v>
      </c>
      <c r="CP145" s="623">
        <f>+'ANEXO TRANSP.'!S13</f>
        <v>205.695187</v>
      </c>
      <c r="CQ145" s="659">
        <f>+'ANEXO TRANSP.'!T13</f>
        <v>205.55624400000002</v>
      </c>
      <c r="CR145" s="660">
        <f>'ANEXO TRANSP.'!U13</f>
        <v>215.04406600000004</v>
      </c>
      <c r="CS145" s="623">
        <f>'ANEXO TRANSP.'!V13</f>
        <v>223.89671999999999</v>
      </c>
      <c r="CT145" s="623">
        <f>'ANEXO TRANSP.'!W13</f>
        <v>224.43264300000001</v>
      </c>
      <c r="CU145" s="623">
        <f>'ANEXO TRANSP.'!X13</f>
        <v>225.48463999999998</v>
      </c>
      <c r="CV145" s="623">
        <f>'ANEXO TRANSP.'!Y13</f>
        <v>225.56403600000002</v>
      </c>
      <c r="CW145" s="623">
        <f>'ANEXO TRANSP.'!Z13</f>
        <v>226.85422100000002</v>
      </c>
      <c r="CX145" s="623">
        <f>'ANEXO TRANSP.'!AA13</f>
        <v>229.55368500000003</v>
      </c>
      <c r="CY145" s="623">
        <f>'ANEXO TRANSP.'!AB13</f>
        <v>230.20870199999999</v>
      </c>
      <c r="CZ145" s="623">
        <f>'ANEXO TRANSP.'!AC13</f>
        <v>231.37979300000001</v>
      </c>
      <c r="DA145" s="623">
        <f>'ANEXO TRANSP.'!AD13</f>
        <v>232.63028</v>
      </c>
      <c r="DB145" s="659">
        <f>'ANEXO TRANSP.'!AE13</f>
        <v>233.82122000000001</v>
      </c>
      <c r="DC145" s="659">
        <f>'ANEXO TRANSP.'!AF13</f>
        <v>235.36944199999999</v>
      </c>
      <c r="DD145" s="783">
        <f>'ANEXO TRANSP.'!AG13</f>
        <v>236.61992899999998</v>
      </c>
      <c r="DE145" s="623">
        <f>'ANEXO TRANSP.'!AH13</f>
        <v>237.31464400000002</v>
      </c>
      <c r="DF145" s="725">
        <f>'ANEXO TRANSP.'!AI13</f>
        <v>238.664376</v>
      </c>
      <c r="DG145" s="659">
        <f>'ANEXO TRANSP.'!AJ13</f>
        <v>240.609578</v>
      </c>
      <c r="DH145" s="623">
        <f>'ANEXO TRANSP.'!AK13</f>
        <v>241.56233000000003</v>
      </c>
      <c r="DI145" s="623">
        <f>'ANEXO TRANSP.'!AL13</f>
        <v>243.24949500000002</v>
      </c>
      <c r="DJ145" s="623">
        <f>'ANEXO TRANSP.'!AM13</f>
        <v>244.559529</v>
      </c>
      <c r="DK145" s="659">
        <f>'ANEXO TRANSP.'!AN13</f>
        <v>244.99620700000006</v>
      </c>
      <c r="DL145" s="623">
        <f>'ANEXO TRANSP.'!AO13</f>
        <v>245.75046900000001</v>
      </c>
      <c r="DM145" s="659">
        <f>'ANEXO TRANSP.'!AP13</f>
        <v>248.27129199999999</v>
      </c>
      <c r="DN145" s="659">
        <f>'ANEXO TRANSP.'!AQ13</f>
        <v>249.91875899999999</v>
      </c>
      <c r="DO145" s="659">
        <f>'ANEXO TRANSP.'!AR13</f>
        <v>251.68532000000002</v>
      </c>
      <c r="DP145" s="783">
        <f>'ANEXO TRANSP.'!AS13</f>
        <v>253.37248500000001</v>
      </c>
      <c r="DQ145" s="659">
        <f>'ANEXO TRANSP.'!AT13</f>
        <v>254.98025400000006</v>
      </c>
      <c r="DR145" s="659">
        <f>'ANEXO TRANSP.'!AU13</f>
        <v>256.68726800000002</v>
      </c>
      <c r="DS145" s="659">
        <f>'ANEXO TRANSP.'!AV13</f>
        <v>258.47367800000001</v>
      </c>
      <c r="DT145" s="623">
        <f>'ANEXO TRANSP.'!AW13</f>
        <v>259.66461800000002</v>
      </c>
      <c r="DU145" s="623">
        <f>'ANEXO TRANSP.'!AX13</f>
        <v>262.20528999999999</v>
      </c>
      <c r="DV145" s="659">
        <f>'ANEXO TRANSP.'!AY13</f>
        <v>263.67411600000003</v>
      </c>
      <c r="DW145" s="659">
        <f>'ANEXO TRANSP.'!AZ13</f>
        <v>265.73841199999998</v>
      </c>
      <c r="DX145" s="659">
        <f>'ANEXO TRANSP.'!BA13</f>
        <v>267.56452000000002</v>
      </c>
      <c r="DY145" s="659">
        <f>'ANEXO TRANSP.'!BB13</f>
        <v>267.92180200000001</v>
      </c>
      <c r="DZ145" s="659">
        <v>268.834856</v>
      </c>
      <c r="EA145" s="897">
        <f>'ANEXO TRANSP.'!BD13</f>
        <v>271.83205500000003</v>
      </c>
      <c r="EB145" s="659">
        <f>'ANEXO TRANSP.'!BE13</f>
        <v>278.28298000000001</v>
      </c>
      <c r="EC145" s="659">
        <f>'ANEXO TRANSP.'!BF13</f>
        <v>281.816102</v>
      </c>
      <c r="ED145" s="659">
        <f>'ANEXO TRANSP.'!BG13</f>
        <v>282.72915599999999</v>
      </c>
      <c r="EE145" s="659">
        <f>'ANEXO TRANSP.'!BH13</f>
        <v>284.019341</v>
      </c>
      <c r="EF145" s="659">
        <f>'ANEXO TRANSP.'!BI13</f>
        <v>285.42862000000002</v>
      </c>
      <c r="EG145" s="659">
        <f>'ANEXO TRANSP.'!BJ13</f>
        <v>286.16303299999998</v>
      </c>
      <c r="EH145" s="659">
        <f>'ANEXO TRANSP.'!BK13</f>
        <v>287.65170799999999</v>
      </c>
      <c r="EI145" s="659">
        <f>'ANEXO TRANSP.'!BL13</f>
        <v>296.46466400000003</v>
      </c>
      <c r="EJ145" s="659">
        <f>'ANEXO TRANSP.'!BM13</f>
        <v>299.02518500000002</v>
      </c>
      <c r="EK145" s="623">
        <f>'ANEXO TRANSP.'!BN13</f>
        <v>300.73219899999998</v>
      </c>
      <c r="EL145" s="659">
        <f>'ANEXO TRANSP.'!BO13</f>
        <v>302.69725</v>
      </c>
      <c r="EM145" s="659">
        <f>'ANEXO TRANSP.'!BP13</f>
        <v>316.353362</v>
      </c>
      <c r="EN145" s="660">
        <f>'ANEXO TRANSP.'!BQ13</f>
        <v>341.16461199999998</v>
      </c>
      <c r="EO145" s="725">
        <f>'ANEXO TRANSP.'!BR13</f>
        <v>342.73268300000001</v>
      </c>
      <c r="EP145" s="659">
        <f>'ANEXO TRANSP.'!BS13</f>
        <v>343.98317000000003</v>
      </c>
      <c r="EQ145" s="659">
        <f>'ANEXO TRANSP.'!BT13</f>
        <v>348.86602399999998</v>
      </c>
      <c r="ER145" s="659">
        <f>'ANEXO TRANSP.'!BU13</f>
        <v>350.116511</v>
      </c>
      <c r="ES145" s="659">
        <f>'ANEXO TRANSP.'!BV13</f>
        <v>352.33959900000002</v>
      </c>
      <c r="ET145" s="659">
        <f>'ANEXO TRANSP.'!BW13</f>
        <v>354.50314000000003</v>
      </c>
      <c r="EU145" s="659">
        <f>'ANEXO TRANSP.'!BX13</f>
        <v>356.78577500000006</v>
      </c>
      <c r="EV145" s="659">
        <f>'ANEXO TRANSP.'!BY13</f>
        <v>358.15535600000004</v>
      </c>
      <c r="EW145" s="659">
        <f>'ANEXO TRANSP.'!BZ13</f>
        <v>359.72342699999996</v>
      </c>
      <c r="EX145" s="659">
        <f>'ANEXO TRANSP.'!CA13</f>
        <v>363.89171700000003</v>
      </c>
      <c r="EY145" s="659">
        <f>'ANEXO TRANSP.'!CB13</f>
        <v>369.72732300000001</v>
      </c>
      <c r="EZ145" s="785" t="s">
        <v>524</v>
      </c>
      <c r="FA145" s="777" t="s">
        <v>524</v>
      </c>
      <c r="FB145" s="777" t="s">
        <v>524</v>
      </c>
      <c r="FC145" s="777" t="s">
        <v>524</v>
      </c>
      <c r="FD145" s="777" t="s">
        <v>524</v>
      </c>
      <c r="FE145" s="777" t="s">
        <v>524</v>
      </c>
      <c r="FF145" s="777" t="s">
        <v>524</v>
      </c>
      <c r="FG145" s="777" t="s">
        <v>524</v>
      </c>
      <c r="FH145" s="777" t="s">
        <v>524</v>
      </c>
      <c r="FI145" s="777" t="s">
        <v>524</v>
      </c>
      <c r="FJ145" s="777" t="s">
        <v>524</v>
      </c>
      <c r="FK145" s="898" t="s">
        <v>524</v>
      </c>
      <c r="FL145" s="1561" t="s">
        <v>524</v>
      </c>
      <c r="FM145" s="740" t="s">
        <v>524</v>
      </c>
      <c r="FN145" s="740" t="s">
        <v>524</v>
      </c>
      <c r="FO145" s="740" t="s">
        <v>524</v>
      </c>
      <c r="FP145" s="740" t="s">
        <v>524</v>
      </c>
      <c r="FQ145" s="740" t="s">
        <v>524</v>
      </c>
      <c r="FR145" s="740" t="s">
        <v>524</v>
      </c>
      <c r="FS145" s="740" t="s">
        <v>524</v>
      </c>
      <c r="FT145" s="740" t="s">
        <v>524</v>
      </c>
      <c r="FU145" s="898" t="s">
        <v>524</v>
      </c>
      <c r="FV145" s="1167"/>
    </row>
    <row r="146" spans="1:178" s="1075" customFormat="1" ht="33" hidden="1" customHeight="1">
      <c r="A146" s="1547">
        <v>1</v>
      </c>
      <c r="B146" s="1059">
        <v>121</v>
      </c>
      <c r="C146" s="1068" t="s">
        <v>304</v>
      </c>
      <c r="D146" s="1058" t="s">
        <v>745</v>
      </c>
      <c r="E146" s="1039" t="s">
        <v>918</v>
      </c>
      <c r="F146" s="1058"/>
      <c r="G146" s="1039" t="s">
        <v>515</v>
      </c>
      <c r="H146" s="1039"/>
      <c r="I146" s="1057" t="s">
        <v>306</v>
      </c>
      <c r="J146" s="1069" t="s">
        <v>776</v>
      </c>
      <c r="K146" s="1041">
        <v>100</v>
      </c>
      <c r="L146" s="1042">
        <v>125</v>
      </c>
      <c r="M146" s="1043">
        <v>150</v>
      </c>
      <c r="N146" s="1043">
        <v>170</v>
      </c>
      <c r="O146" s="1043">
        <v>210</v>
      </c>
      <c r="P146" s="1043">
        <v>205</v>
      </c>
      <c r="Q146" s="1043">
        <v>238</v>
      </c>
      <c r="R146" s="1043">
        <v>238</v>
      </c>
      <c r="S146" s="1043">
        <v>236</v>
      </c>
      <c r="T146" s="1043">
        <v>237</v>
      </c>
      <c r="U146" s="1043">
        <v>236</v>
      </c>
      <c r="V146" s="1043">
        <v>236</v>
      </c>
      <c r="W146" s="1043">
        <v>236</v>
      </c>
      <c r="X146" s="1043">
        <v>225</v>
      </c>
      <c r="Y146" s="1043">
        <v>225</v>
      </c>
      <c r="Z146" s="1043">
        <v>218</v>
      </c>
      <c r="AA146" s="1043">
        <v>211</v>
      </c>
      <c r="AB146" s="1043">
        <v>205</v>
      </c>
      <c r="AC146" s="1043">
        <v>208</v>
      </c>
      <c r="AD146" s="1043">
        <v>204</v>
      </c>
      <c r="AE146" s="1043">
        <v>208</v>
      </c>
      <c r="AF146" s="1043">
        <v>208</v>
      </c>
      <c r="AG146" s="1043">
        <v>208</v>
      </c>
      <c r="AH146" s="1043">
        <v>229</v>
      </c>
      <c r="AI146" s="1044">
        <v>229</v>
      </c>
      <c r="AJ146" s="1045">
        <v>247</v>
      </c>
      <c r="AK146" s="1043">
        <v>248</v>
      </c>
      <c r="AL146" s="1043">
        <v>250.9</v>
      </c>
      <c r="AM146" s="1043">
        <v>251.3</v>
      </c>
      <c r="AN146" s="1043">
        <v>251.3</v>
      </c>
      <c r="AO146" s="1043">
        <v>251.3</v>
      </c>
      <c r="AP146" s="1043">
        <v>251.3</v>
      </c>
      <c r="AQ146" s="1043">
        <v>251.3</v>
      </c>
      <c r="AR146" s="1043">
        <v>276.7</v>
      </c>
      <c r="AS146" s="1043">
        <v>276.7</v>
      </c>
      <c r="AT146" s="1043">
        <v>285.7</v>
      </c>
      <c r="AU146" s="1044">
        <v>284.3</v>
      </c>
      <c r="AV146" s="1046">
        <v>313.7</v>
      </c>
      <c r="AW146" s="1047">
        <v>313.7</v>
      </c>
      <c r="AX146" s="1047">
        <v>315.3</v>
      </c>
      <c r="AY146" s="1047">
        <v>315.7</v>
      </c>
      <c r="AZ146" s="1047">
        <v>319</v>
      </c>
      <c r="BA146" s="1047">
        <v>326.7</v>
      </c>
      <c r="BB146" s="1047">
        <v>326.7</v>
      </c>
      <c r="BC146" s="1048">
        <v>334</v>
      </c>
      <c r="BD146" s="1047">
        <v>337.3</v>
      </c>
      <c r="BE146" s="1048">
        <v>337.3</v>
      </c>
      <c r="BF146" s="1048">
        <v>345.4</v>
      </c>
      <c r="BG146" s="1060">
        <v>345.4</v>
      </c>
      <c r="BH146" s="1050">
        <v>316.10000000000002</v>
      </c>
      <c r="BI146" s="1051">
        <v>316.10000000000002</v>
      </c>
      <c r="BJ146" s="1051">
        <v>365.5</v>
      </c>
      <c r="BK146" s="1051">
        <v>359</v>
      </c>
      <c r="BL146" s="1051">
        <v>364</v>
      </c>
      <c r="BM146" s="1051">
        <v>364</v>
      </c>
      <c r="BN146" s="1051">
        <v>375.7</v>
      </c>
      <c r="BO146" s="1051">
        <v>375.7</v>
      </c>
      <c r="BP146" s="1051">
        <v>385.7</v>
      </c>
      <c r="BQ146" s="1051">
        <v>389</v>
      </c>
      <c r="BR146" s="1051">
        <v>389</v>
      </c>
      <c r="BS146" s="1052">
        <v>389</v>
      </c>
      <c r="BT146" s="1050">
        <v>389</v>
      </c>
      <c r="BU146" s="1051">
        <v>389</v>
      </c>
      <c r="BV146" s="1051">
        <v>389</v>
      </c>
      <c r="BW146" s="1051">
        <v>393.47399999999999</v>
      </c>
      <c r="BX146" s="1051">
        <v>398.33600000000001</v>
      </c>
      <c r="BY146" s="1051">
        <v>415.452</v>
      </c>
      <c r="BZ146" s="1051">
        <v>425.76100000000002</v>
      </c>
      <c r="CA146" s="1051">
        <v>433.774</v>
      </c>
      <c r="CB146" s="1051">
        <v>446.572</v>
      </c>
      <c r="CC146" s="1051">
        <f>'ANEXO I CADIEEL'!CC26</f>
        <v>459.68129999999996</v>
      </c>
      <c r="CD146" s="1051">
        <f>'ANEXO I CADIEEL'!CD26</f>
        <v>459.68129999999996</v>
      </c>
      <c r="CE146" s="1052">
        <f>+'ANEXO I CADIEEL'!CE26</f>
        <v>477.18630000000007</v>
      </c>
      <c r="CF146" s="1050">
        <f>+'ANEXO I CADIEEL'!CF26</f>
        <v>508.65639999999996</v>
      </c>
      <c r="CG146" s="1051">
        <f>+'ANEXO I CADIEEL'!CG26</f>
        <v>515.89179999999999</v>
      </c>
      <c r="CH146" s="1051">
        <f>'ANEXO I CADIEEL'!CH26</f>
        <v>520.05409999999995</v>
      </c>
      <c r="CI146" s="1051">
        <f>'ANEXO I CADIEEL'!CI26</f>
        <v>534.44709999999998</v>
      </c>
      <c r="CJ146" s="1051">
        <f>'ANEXO I CADIEEL'!CJ26</f>
        <v>544.36659999999995</v>
      </c>
      <c r="CK146" s="1051">
        <f>'ANEXO I CADIEEL'!CK26</f>
        <v>555.18079999999998</v>
      </c>
      <c r="CL146" s="1051">
        <f>'ANEXO I CADIEEL'!CL26</f>
        <v>564.43899999999996</v>
      </c>
      <c r="CM146" s="1051">
        <f>'ANEXO I CADIEEL'!CM26</f>
        <v>575.05870000000004</v>
      </c>
      <c r="CN146" s="1051">
        <f>'ANEXO I CADIEEL'!CN26</f>
        <v>579.72669999999994</v>
      </c>
      <c r="CO146" s="1051">
        <f>'ANEXO I CADIEEL'!CO26</f>
        <v>579.72669999999994</v>
      </c>
      <c r="CP146" s="1051">
        <f>+CO146</f>
        <v>579.72669999999994</v>
      </c>
      <c r="CQ146" s="1052">
        <f>'ANEXO I CADIEEL'!CQ26</f>
        <v>607.73469999999998</v>
      </c>
      <c r="CR146" s="1050">
        <f>'ANEXO I CADIEEL'!CR26</f>
        <v>607.73469999999998</v>
      </c>
      <c r="CS146" s="1051">
        <f>'ANEXO I CADIEEL'!CS26</f>
        <v>611.35239999999999</v>
      </c>
      <c r="CT146" s="1070" t="s">
        <v>524</v>
      </c>
      <c r="CU146" s="1070" t="s">
        <v>524</v>
      </c>
      <c r="CV146" s="1070" t="s">
        <v>524</v>
      </c>
      <c r="CW146" s="1070" t="s">
        <v>524</v>
      </c>
      <c r="CX146" s="1070" t="s">
        <v>524</v>
      </c>
      <c r="CY146" s="1070" t="s">
        <v>524</v>
      </c>
      <c r="CZ146" s="1070" t="s">
        <v>524</v>
      </c>
      <c r="DA146" s="1070" t="s">
        <v>524</v>
      </c>
      <c r="DB146" s="1070" t="s">
        <v>524</v>
      </c>
      <c r="DC146" s="1071" t="s">
        <v>524</v>
      </c>
      <c r="DD146" s="1072" t="s">
        <v>524</v>
      </c>
      <c r="DE146" s="1070" t="s">
        <v>524</v>
      </c>
      <c r="DF146" s="1073" t="s">
        <v>524</v>
      </c>
      <c r="DG146" s="1071" t="s">
        <v>524</v>
      </c>
      <c r="DH146" s="1070" t="s">
        <v>524</v>
      </c>
      <c r="DI146" s="1070" t="s">
        <v>524</v>
      </c>
      <c r="DJ146" s="1070" t="s">
        <v>524</v>
      </c>
      <c r="DK146" s="1071" t="s">
        <v>524</v>
      </c>
      <c r="DL146" s="1070" t="s">
        <v>524</v>
      </c>
      <c r="DM146" s="1071" t="s">
        <v>524</v>
      </c>
      <c r="DN146" s="1104" t="s">
        <v>524</v>
      </c>
      <c r="DO146" s="1105" t="s">
        <v>524</v>
      </c>
      <c r="DP146" s="1106" t="s">
        <v>524</v>
      </c>
      <c r="DQ146" s="1104" t="s">
        <v>524</v>
      </c>
      <c r="DR146" s="1071" t="s">
        <v>524</v>
      </c>
      <c r="DS146" s="1071" t="s">
        <v>524</v>
      </c>
      <c r="DT146" s="1070" t="s">
        <v>524</v>
      </c>
      <c r="DU146" s="1070" t="s">
        <v>524</v>
      </c>
      <c r="DV146" s="1071" t="s">
        <v>524</v>
      </c>
      <c r="DW146" s="1071" t="s">
        <v>524</v>
      </c>
      <c r="DX146" s="1107" t="s">
        <v>524</v>
      </c>
      <c r="DY146" s="1107" t="s">
        <v>524</v>
      </c>
      <c r="DZ146" s="1107" t="s">
        <v>524</v>
      </c>
      <c r="EA146" s="1108" t="s">
        <v>524</v>
      </c>
      <c r="EB146" s="1107" t="s">
        <v>524</v>
      </c>
      <c r="EC146" s="1107" t="s">
        <v>524</v>
      </c>
      <c r="ED146" s="1071" t="s">
        <v>524</v>
      </c>
      <c r="EE146" s="1071" t="s">
        <v>524</v>
      </c>
      <c r="EF146" s="1071" t="s">
        <v>524</v>
      </c>
      <c r="EG146" s="1071" t="s">
        <v>524</v>
      </c>
      <c r="EH146" s="1071"/>
      <c r="EI146" s="1071" t="s">
        <v>524</v>
      </c>
      <c r="EJ146" s="1071" t="s">
        <v>524</v>
      </c>
      <c r="EK146" s="1070" t="s">
        <v>524</v>
      </c>
      <c r="EL146" s="1070" t="s">
        <v>524</v>
      </c>
      <c r="EM146" s="1071" t="s">
        <v>524</v>
      </c>
      <c r="EN146" s="1072" t="s">
        <v>524</v>
      </c>
      <c r="EO146" s="1071" t="s">
        <v>524</v>
      </c>
      <c r="EP146" s="1071" t="s">
        <v>524</v>
      </c>
      <c r="EQ146" s="1071" t="s">
        <v>524</v>
      </c>
      <c r="ER146" s="1071" t="s">
        <v>524</v>
      </c>
      <c r="ES146" s="1071" t="s">
        <v>524</v>
      </c>
      <c r="ET146" s="1071" t="s">
        <v>524</v>
      </c>
      <c r="EU146" s="1071" t="s">
        <v>524</v>
      </c>
      <c r="EV146" s="1071" t="s">
        <v>524</v>
      </c>
      <c r="EW146" s="1071" t="s">
        <v>524</v>
      </c>
      <c r="EX146" s="1071" t="s">
        <v>524</v>
      </c>
      <c r="EY146" s="1071" t="s">
        <v>524</v>
      </c>
      <c r="EZ146" s="1072" t="s">
        <v>524</v>
      </c>
      <c r="FA146" s="1071" t="s">
        <v>524</v>
      </c>
      <c r="FB146" s="1071" t="s">
        <v>524</v>
      </c>
      <c r="FC146" s="1071" t="s">
        <v>524</v>
      </c>
      <c r="FD146" s="1071" t="s">
        <v>524</v>
      </c>
      <c r="FE146" s="1071" t="s">
        <v>524</v>
      </c>
      <c r="FF146" s="1071" t="s">
        <v>524</v>
      </c>
      <c r="FG146" s="1071" t="s">
        <v>524</v>
      </c>
      <c r="FH146" s="1071" t="s">
        <v>524</v>
      </c>
      <c r="FI146" s="1071" t="s">
        <v>524</v>
      </c>
      <c r="FJ146" s="1071" t="s">
        <v>524</v>
      </c>
      <c r="FK146" s="1074" t="s">
        <v>524</v>
      </c>
      <c r="FL146" s="1564"/>
      <c r="FM146" s="1070"/>
      <c r="FN146" s="1070"/>
      <c r="FO146" s="1070"/>
      <c r="FP146" s="1070"/>
      <c r="FQ146" s="1070"/>
      <c r="FR146" s="1070"/>
      <c r="FS146" s="1070"/>
      <c r="FT146" s="1070"/>
      <c r="FU146" s="1074"/>
      <c r="FV146" s="1167" t="e">
        <f t="shared" si="1"/>
        <v>#DIV/0!</v>
      </c>
    </row>
    <row r="147" spans="1:178" s="115" customFormat="1" ht="18.95" customHeight="1">
      <c r="A147" s="1546">
        <v>1</v>
      </c>
      <c r="B147" s="408">
        <v>122</v>
      </c>
      <c r="C147" s="621" t="s">
        <v>307</v>
      </c>
      <c r="D147" s="622" t="s">
        <v>308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98.4</v>
      </c>
      <c r="L147" s="665">
        <v>106</v>
      </c>
      <c r="M147" s="625">
        <v>122.3</v>
      </c>
      <c r="N147" s="625">
        <v>129.9</v>
      </c>
      <c r="O147" s="625">
        <v>148.5</v>
      </c>
      <c r="P147" s="625">
        <v>159.19999999999999</v>
      </c>
      <c r="Q147" s="625">
        <v>167.4</v>
      </c>
      <c r="R147" s="625">
        <v>168.4</v>
      </c>
      <c r="S147" s="625">
        <v>176.5</v>
      </c>
      <c r="T147" s="625">
        <v>177.5</v>
      </c>
      <c r="U147" s="625">
        <v>185.3</v>
      </c>
      <c r="V147" s="625">
        <v>185.3</v>
      </c>
      <c r="W147" s="625">
        <v>185.3</v>
      </c>
      <c r="X147" s="625">
        <v>185.3</v>
      </c>
      <c r="Y147" s="625">
        <v>185.3</v>
      </c>
      <c r="Z147" s="625">
        <v>185.3</v>
      </c>
      <c r="AA147" s="625">
        <v>185.3</v>
      </c>
      <c r="AB147" s="625">
        <v>185.3</v>
      </c>
      <c r="AC147" s="625">
        <v>185.3</v>
      </c>
      <c r="AD147" s="625">
        <v>185.3</v>
      </c>
      <c r="AE147" s="625">
        <v>186.4</v>
      </c>
      <c r="AF147" s="625">
        <v>188.6</v>
      </c>
      <c r="AG147" s="625">
        <v>190</v>
      </c>
      <c r="AH147" s="625">
        <v>190.9</v>
      </c>
      <c r="AI147" s="764">
        <v>192.1</v>
      </c>
      <c r="AJ147" s="772">
        <v>191.9</v>
      </c>
      <c r="AK147" s="625">
        <v>191.9</v>
      </c>
      <c r="AL147" s="625">
        <v>196.1</v>
      </c>
      <c r="AM147" s="625">
        <v>200.8</v>
      </c>
      <c r="AN147" s="625">
        <v>200.8</v>
      </c>
      <c r="AO147" s="625">
        <v>202.2</v>
      </c>
      <c r="AP147" s="625">
        <v>203.2</v>
      </c>
      <c r="AQ147" s="625">
        <v>208</v>
      </c>
      <c r="AR147" s="625">
        <v>199.3</v>
      </c>
      <c r="AS147" s="625">
        <v>202.5</v>
      </c>
      <c r="AT147" s="625">
        <v>206.2</v>
      </c>
      <c r="AU147" s="764">
        <v>206.6</v>
      </c>
      <c r="AV147" s="752">
        <v>209</v>
      </c>
      <c r="AW147" s="626">
        <v>209</v>
      </c>
      <c r="AX147" s="626">
        <v>209</v>
      </c>
      <c r="AY147" s="626">
        <v>209.6</v>
      </c>
      <c r="AZ147" s="626">
        <v>213.3</v>
      </c>
      <c r="BA147" s="626">
        <v>213.3</v>
      </c>
      <c r="BB147" s="626">
        <v>215.5</v>
      </c>
      <c r="BC147" s="627">
        <v>215.5</v>
      </c>
      <c r="BD147" s="626">
        <v>217.4</v>
      </c>
      <c r="BE147" s="627">
        <v>218.3</v>
      </c>
      <c r="BF147" s="627">
        <v>225.9</v>
      </c>
      <c r="BG147" s="738">
        <v>227.1</v>
      </c>
      <c r="BH147" s="660">
        <v>227.1</v>
      </c>
      <c r="BI147" s="623">
        <v>228.9</v>
      </c>
      <c r="BJ147" s="623">
        <v>244.3</v>
      </c>
      <c r="BK147" s="623">
        <v>244.3</v>
      </c>
      <c r="BL147" s="623">
        <v>251.8</v>
      </c>
      <c r="BM147" s="623">
        <v>251.8</v>
      </c>
      <c r="BN147" s="623">
        <v>262.5</v>
      </c>
      <c r="BO147" s="623">
        <v>264.2</v>
      </c>
      <c r="BP147" s="623">
        <v>268</v>
      </c>
      <c r="BQ147" s="623">
        <v>289</v>
      </c>
      <c r="BR147" s="623">
        <v>289</v>
      </c>
      <c r="BS147" s="659">
        <v>286.8</v>
      </c>
      <c r="BT147" s="660">
        <v>299.7</v>
      </c>
      <c r="BU147" s="623">
        <v>301.3</v>
      </c>
      <c r="BV147" s="623">
        <v>301.3</v>
      </c>
      <c r="BW147" s="623">
        <v>314.2</v>
      </c>
      <c r="BX147" s="623">
        <v>314.2</v>
      </c>
      <c r="BY147" s="623">
        <v>314.60000000000002</v>
      </c>
      <c r="BZ147" s="623">
        <v>319.39999999999998</v>
      </c>
      <c r="CA147" s="623">
        <v>327.2</v>
      </c>
      <c r="CB147" s="623">
        <v>336.6</v>
      </c>
      <c r="CC147" s="623">
        <v>365.2</v>
      </c>
      <c r="CD147" s="623">
        <v>365.2</v>
      </c>
      <c r="CE147" s="659">
        <v>370.5</v>
      </c>
      <c r="CF147" s="660">
        <v>370.5</v>
      </c>
      <c r="CG147" s="623">
        <v>378.7</v>
      </c>
      <c r="CH147" s="623">
        <v>391</v>
      </c>
      <c r="CI147" s="623">
        <v>409.3</v>
      </c>
      <c r="CJ147" s="623">
        <v>428.7</v>
      </c>
      <c r="CK147" s="623">
        <v>433.1</v>
      </c>
      <c r="CL147" s="623">
        <v>433.1</v>
      </c>
      <c r="CM147" s="623">
        <v>433.1</v>
      </c>
      <c r="CN147" s="623">
        <v>437.7</v>
      </c>
      <c r="CO147" s="623">
        <v>451.4</v>
      </c>
      <c r="CP147" s="623">
        <v>458.7</v>
      </c>
      <c r="CQ147" s="659">
        <v>458.7</v>
      </c>
      <c r="CR147" s="660">
        <v>458.7</v>
      </c>
      <c r="CS147" s="623">
        <v>458.7</v>
      </c>
      <c r="CT147" s="623">
        <v>458.7</v>
      </c>
      <c r="CU147" s="623">
        <v>458.7</v>
      </c>
      <c r="CV147" s="623">
        <v>472.4</v>
      </c>
      <c r="CW147" s="623">
        <v>472.4</v>
      </c>
      <c r="CX147" s="623">
        <v>472.4</v>
      </c>
      <c r="CY147" s="623">
        <v>478.7</v>
      </c>
      <c r="CZ147" s="623">
        <v>485.4</v>
      </c>
      <c r="DA147" s="623">
        <v>485.4</v>
      </c>
      <c r="DB147" s="725">
        <v>485.4</v>
      </c>
      <c r="DC147" s="659">
        <v>485.4</v>
      </c>
      <c r="DD147" s="783">
        <v>494.1</v>
      </c>
      <c r="DE147" s="623">
        <v>484</v>
      </c>
      <c r="DF147" s="725">
        <v>484</v>
      </c>
      <c r="DG147" s="659">
        <v>484</v>
      </c>
      <c r="DH147" s="623">
        <v>505.1</v>
      </c>
      <c r="DI147" s="623">
        <v>509.6</v>
      </c>
      <c r="DJ147" s="623">
        <v>510.9</v>
      </c>
      <c r="DK147" s="659">
        <v>521.4</v>
      </c>
      <c r="DL147" s="623">
        <v>521.4</v>
      </c>
      <c r="DM147" s="659">
        <v>524.29999999999995</v>
      </c>
      <c r="DN147" s="659">
        <v>527.70000000000005</v>
      </c>
      <c r="DO147" s="897">
        <v>537.4</v>
      </c>
      <c r="DP147" s="783">
        <v>541.1</v>
      </c>
      <c r="DQ147" s="659">
        <v>543.4</v>
      </c>
      <c r="DR147" s="659">
        <v>560</v>
      </c>
      <c r="DS147" s="659">
        <v>571.20000000000005</v>
      </c>
      <c r="DT147" s="623">
        <v>571.20000000000005</v>
      </c>
      <c r="DU147" s="659">
        <v>579</v>
      </c>
      <c r="DV147" s="659">
        <v>593.4</v>
      </c>
      <c r="DW147" s="659">
        <v>597.4</v>
      </c>
      <c r="DX147" s="623">
        <v>609.5</v>
      </c>
      <c r="DY147" s="659">
        <v>609.5</v>
      </c>
      <c r="DZ147" s="659">
        <v>630.20000000000005</v>
      </c>
      <c r="EA147" s="897">
        <v>630.20000000000005</v>
      </c>
      <c r="EB147" s="659">
        <v>630.20000000000005</v>
      </c>
      <c r="EC147" s="659">
        <v>630.20000000000005</v>
      </c>
      <c r="ED147" s="659">
        <v>639.4</v>
      </c>
      <c r="EE147" s="659">
        <v>644.5</v>
      </c>
      <c r="EF147" s="659">
        <v>644.5</v>
      </c>
      <c r="EG147" s="659">
        <v>607</v>
      </c>
      <c r="EH147" s="659">
        <v>682.4</v>
      </c>
      <c r="EI147" s="659">
        <v>723.8</v>
      </c>
      <c r="EJ147" s="659">
        <v>730.2</v>
      </c>
      <c r="EK147" s="623">
        <v>737</v>
      </c>
      <c r="EL147" s="725">
        <v>743.3</v>
      </c>
      <c r="EM147" s="659">
        <v>747.7</v>
      </c>
      <c r="EN147" s="783">
        <v>747.7</v>
      </c>
      <c r="EO147" s="659">
        <v>759</v>
      </c>
      <c r="EP147" s="659">
        <v>762.8</v>
      </c>
      <c r="EQ147" s="659">
        <v>762.9</v>
      </c>
      <c r="ER147" s="659">
        <v>793.4</v>
      </c>
      <c r="ES147" s="659">
        <v>804.7</v>
      </c>
      <c r="ET147" s="659">
        <v>848.3</v>
      </c>
      <c r="EU147" s="659">
        <v>854.5</v>
      </c>
      <c r="EV147" s="659">
        <v>854.5</v>
      </c>
      <c r="EW147" s="659">
        <v>862.2</v>
      </c>
      <c r="EX147" s="659">
        <v>878.7</v>
      </c>
      <c r="EY147" s="659">
        <v>932.5</v>
      </c>
      <c r="EZ147" s="783">
        <v>937.6</v>
      </c>
      <c r="FA147" s="659">
        <v>1066.8</v>
      </c>
      <c r="FB147" s="659">
        <v>1128.4000000000001</v>
      </c>
      <c r="FC147" s="659">
        <v>1157</v>
      </c>
      <c r="FD147" s="659">
        <v>1209.0999999999999</v>
      </c>
      <c r="FE147" s="659">
        <v>1215.9000000000001</v>
      </c>
      <c r="FF147" s="659">
        <v>1220</v>
      </c>
      <c r="FG147" s="659">
        <v>1198.0999999999999</v>
      </c>
      <c r="FH147" s="659">
        <v>1251</v>
      </c>
      <c r="FI147" s="659">
        <v>1288</v>
      </c>
      <c r="FJ147" s="659">
        <v>1288</v>
      </c>
      <c r="FK147" s="897">
        <v>1288</v>
      </c>
      <c r="FL147" s="660">
        <v>1383.2</v>
      </c>
      <c r="FM147" s="623">
        <v>1387.3</v>
      </c>
      <c r="FN147" s="623">
        <v>1394.6</v>
      </c>
      <c r="FO147" s="623">
        <v>1412</v>
      </c>
      <c r="FP147" s="623">
        <v>1431.6</v>
      </c>
      <c r="FQ147" s="623">
        <v>1440.2</v>
      </c>
      <c r="FR147" s="623">
        <v>1448.9</v>
      </c>
      <c r="FS147" s="623">
        <v>1463.3</v>
      </c>
      <c r="FT147" s="623">
        <v>1496.5</v>
      </c>
      <c r="FU147" s="897">
        <v>1496.5</v>
      </c>
      <c r="FV147" s="1167">
        <f t="shared" si="1"/>
        <v>1</v>
      </c>
    </row>
    <row r="148" spans="1:178" s="115" customFormat="1" ht="18.95" customHeight="1">
      <c r="A148" s="1546">
        <v>1</v>
      </c>
      <c r="B148" s="408">
        <v>123</v>
      </c>
      <c r="C148" s="621" t="s">
        <v>309</v>
      </c>
      <c r="D148" s="622" t="s">
        <v>310</v>
      </c>
      <c r="E148" s="621" t="s">
        <v>918</v>
      </c>
      <c r="F148" s="622"/>
      <c r="G148" s="633" t="s">
        <v>919</v>
      </c>
      <c r="H148" s="621" t="s">
        <v>920</v>
      </c>
      <c r="I148" s="647" t="s">
        <v>311</v>
      </c>
      <c r="J148" s="652"/>
      <c r="K148" s="671">
        <v>83.3</v>
      </c>
      <c r="L148" s="667">
        <v>91.78</v>
      </c>
      <c r="M148" s="618">
        <v>105.25</v>
      </c>
      <c r="N148" s="618">
        <v>105.25</v>
      </c>
      <c r="O148" s="618">
        <v>131.77000000000001</v>
      </c>
      <c r="P148" s="618">
        <v>144.78</v>
      </c>
      <c r="Q148" s="618">
        <v>176.83</v>
      </c>
      <c r="R148" s="618">
        <v>176.83</v>
      </c>
      <c r="S148" s="618">
        <v>184.11</v>
      </c>
      <c r="T148" s="618">
        <v>184.11</v>
      </c>
      <c r="U148" s="618">
        <v>190.93</v>
      </c>
      <c r="V148" s="618">
        <v>190.93</v>
      </c>
      <c r="W148" s="618">
        <v>190.93</v>
      </c>
      <c r="X148" s="618">
        <v>197.58</v>
      </c>
      <c r="Y148" s="618">
        <v>197.58</v>
      </c>
      <c r="Z148" s="618">
        <v>197.58</v>
      </c>
      <c r="AA148" s="618">
        <v>197.58</v>
      </c>
      <c r="AB148" s="618">
        <v>197.58</v>
      </c>
      <c r="AC148" s="618">
        <v>197.58</v>
      </c>
      <c r="AD148" s="618">
        <v>197.58</v>
      </c>
      <c r="AE148" s="618">
        <v>197.58</v>
      </c>
      <c r="AF148" s="618">
        <v>197.58</v>
      </c>
      <c r="AG148" s="618">
        <v>197.58</v>
      </c>
      <c r="AH148" s="618">
        <v>197.58</v>
      </c>
      <c r="AI148" s="766">
        <v>197.58</v>
      </c>
      <c r="AJ148" s="774">
        <v>197.58</v>
      </c>
      <c r="AK148" s="618">
        <v>197.58</v>
      </c>
      <c r="AL148" s="618">
        <v>197.58</v>
      </c>
      <c r="AM148" s="618">
        <v>197.58</v>
      </c>
      <c r="AN148" s="618">
        <v>197.58</v>
      </c>
      <c r="AO148" s="618">
        <v>197.58</v>
      </c>
      <c r="AP148" s="618">
        <v>187.58</v>
      </c>
      <c r="AQ148" s="618">
        <v>204.6</v>
      </c>
      <c r="AR148" s="618">
        <v>204.6</v>
      </c>
      <c r="AS148" s="618">
        <v>204.6</v>
      </c>
      <c r="AT148" s="618">
        <v>204.6</v>
      </c>
      <c r="AU148" s="766">
        <v>204.6</v>
      </c>
      <c r="AV148" s="769">
        <v>204.6</v>
      </c>
      <c r="AW148" s="619">
        <v>204.6</v>
      </c>
      <c r="AX148" s="619">
        <v>204.6</v>
      </c>
      <c r="AY148" s="619">
        <v>204.6</v>
      </c>
      <c r="AZ148" s="619">
        <v>204.6</v>
      </c>
      <c r="BA148" s="620">
        <v>204.57</v>
      </c>
      <c r="BB148" s="620">
        <v>204.57</v>
      </c>
      <c r="BC148" s="620">
        <v>204.57</v>
      </c>
      <c r="BD148" s="619">
        <v>204.57</v>
      </c>
      <c r="BE148" s="620">
        <v>204.57</v>
      </c>
      <c r="BF148" s="620">
        <v>204.57</v>
      </c>
      <c r="BG148" s="750">
        <v>204.57</v>
      </c>
      <c r="BH148" s="1031">
        <v>204.57</v>
      </c>
      <c r="BI148" s="620">
        <v>204.57</v>
      </c>
      <c r="BJ148" s="620">
        <v>204.57</v>
      </c>
      <c r="BK148" s="620">
        <v>204.57</v>
      </c>
      <c r="BL148" s="620">
        <v>204.57</v>
      </c>
      <c r="BM148" s="620">
        <v>204.57</v>
      </c>
      <c r="BN148" s="620">
        <v>204.57</v>
      </c>
      <c r="BO148" s="620">
        <v>205.34</v>
      </c>
      <c r="BP148" s="620">
        <v>205.34</v>
      </c>
      <c r="BQ148" s="620">
        <v>205.34</v>
      </c>
      <c r="BR148" s="620">
        <v>205.34</v>
      </c>
      <c r="BS148" s="750">
        <v>205.34</v>
      </c>
      <c r="BT148" s="1031">
        <v>205.34</v>
      </c>
      <c r="BU148" s="620">
        <v>211.49</v>
      </c>
      <c r="BV148" s="620">
        <v>211.49</v>
      </c>
      <c r="BW148" s="620">
        <v>211.49</v>
      </c>
      <c r="BX148" s="620">
        <v>211.49</v>
      </c>
      <c r="BY148" s="620">
        <v>218.93</v>
      </c>
      <c r="BZ148" s="620">
        <v>218.93</v>
      </c>
      <c r="CA148" s="620">
        <v>218.93</v>
      </c>
      <c r="CB148" s="620">
        <v>218.93</v>
      </c>
      <c r="CC148" s="620">
        <v>223.54</v>
      </c>
      <c r="CD148" s="620">
        <v>223.27</v>
      </c>
      <c r="CE148" s="750">
        <v>227.76</v>
      </c>
      <c r="CF148" s="1031">
        <v>227.76</v>
      </c>
      <c r="CG148" s="620">
        <v>227.76</v>
      </c>
      <c r="CH148" s="617">
        <v>227.76</v>
      </c>
      <c r="CI148" s="617">
        <v>234.64</v>
      </c>
      <c r="CJ148" s="617">
        <v>234.64</v>
      </c>
      <c r="CK148" s="617">
        <v>239</v>
      </c>
      <c r="CL148" s="617">
        <v>239</v>
      </c>
      <c r="CM148" s="617">
        <v>239</v>
      </c>
      <c r="CN148" s="617">
        <v>239</v>
      </c>
      <c r="CO148" s="617">
        <v>244.4</v>
      </c>
      <c r="CP148" s="617">
        <v>244.4</v>
      </c>
      <c r="CQ148" s="737">
        <v>244.4</v>
      </c>
      <c r="CR148" s="662">
        <v>244.4</v>
      </c>
      <c r="CS148" s="617">
        <v>244.4</v>
      </c>
      <c r="CT148" s="617">
        <v>244.4</v>
      </c>
      <c r="CU148" s="617">
        <v>244.4</v>
      </c>
      <c r="CV148" s="617">
        <v>244.4</v>
      </c>
      <c r="CW148" s="617">
        <v>244.4</v>
      </c>
      <c r="CX148" s="617">
        <v>251.74</v>
      </c>
      <c r="CY148" s="617">
        <v>251.74</v>
      </c>
      <c r="CZ148" s="617">
        <v>251.74</v>
      </c>
      <c r="DA148" s="617">
        <v>251.74</v>
      </c>
      <c r="DB148" s="798">
        <v>261.74</v>
      </c>
      <c r="DC148" s="737">
        <v>261.74</v>
      </c>
      <c r="DD148" s="786">
        <v>261.74</v>
      </c>
      <c r="DE148" s="617">
        <v>274.87</v>
      </c>
      <c r="DF148" s="798">
        <v>274.87</v>
      </c>
      <c r="DG148" s="737">
        <v>274.87</v>
      </c>
      <c r="DH148" s="617">
        <v>274.87</v>
      </c>
      <c r="DI148" s="617">
        <v>274.87</v>
      </c>
      <c r="DJ148" s="617">
        <v>274.87</v>
      </c>
      <c r="DK148" s="737">
        <v>274.87</v>
      </c>
      <c r="DL148" s="617">
        <v>276.77</v>
      </c>
      <c r="DM148" s="737">
        <v>283.20999999999998</v>
      </c>
      <c r="DN148" s="737">
        <v>287.52</v>
      </c>
      <c r="DO148" s="897">
        <v>287.52</v>
      </c>
      <c r="DP148" s="786">
        <v>287.52</v>
      </c>
      <c r="DQ148" s="737">
        <v>287.41000000000003</v>
      </c>
      <c r="DR148" s="737">
        <v>292.95</v>
      </c>
      <c r="DS148" s="737">
        <v>292.95</v>
      </c>
      <c r="DT148" s="617">
        <v>292.95</v>
      </c>
      <c r="DU148" s="737">
        <v>292.95</v>
      </c>
      <c r="DV148" s="737">
        <v>292.95</v>
      </c>
      <c r="DW148" s="737">
        <v>308.55</v>
      </c>
      <c r="DX148" s="659">
        <v>308.55</v>
      </c>
      <c r="DY148" s="659">
        <v>308.55</v>
      </c>
      <c r="DZ148" s="659">
        <v>308.55</v>
      </c>
      <c r="EA148" s="897">
        <v>308.55</v>
      </c>
      <c r="EB148" s="659">
        <v>308.55</v>
      </c>
      <c r="EC148" s="659">
        <v>308.55</v>
      </c>
      <c r="ED148" s="659">
        <v>325.61</v>
      </c>
      <c r="EE148" s="659">
        <v>325.61</v>
      </c>
      <c r="EF148" s="659">
        <v>325.61</v>
      </c>
      <c r="EG148" s="659">
        <v>325.61</v>
      </c>
      <c r="EH148" s="659">
        <v>323.17</v>
      </c>
      <c r="EI148" s="659">
        <v>342.22</v>
      </c>
      <c r="EJ148" s="659">
        <v>342.22</v>
      </c>
      <c r="EK148" s="623">
        <v>342.22</v>
      </c>
      <c r="EL148" s="725">
        <v>342.22</v>
      </c>
      <c r="EM148" s="659">
        <v>342.22</v>
      </c>
      <c r="EN148" s="783">
        <v>342.22</v>
      </c>
      <c r="EO148" s="659">
        <v>342.22</v>
      </c>
      <c r="EP148" s="659">
        <v>361.41</v>
      </c>
      <c r="EQ148" s="659">
        <v>361.41</v>
      </c>
      <c r="ER148" s="659">
        <v>361.41</v>
      </c>
      <c r="ES148" s="659">
        <v>361.41</v>
      </c>
      <c r="ET148" s="659">
        <v>363.24</v>
      </c>
      <c r="EU148" s="659">
        <v>361.41</v>
      </c>
      <c r="EV148" s="659">
        <v>361.41</v>
      </c>
      <c r="EW148" s="659">
        <v>361.41</v>
      </c>
      <c r="EX148" s="659">
        <v>361.41</v>
      </c>
      <c r="EY148" s="659">
        <v>380.24</v>
      </c>
      <c r="EZ148" s="783">
        <v>399.54</v>
      </c>
      <c r="FA148" s="659">
        <v>439.47</v>
      </c>
      <c r="FB148" s="659">
        <v>439.56</v>
      </c>
      <c r="FC148" s="659">
        <v>439.47</v>
      </c>
      <c r="FD148" s="659">
        <v>467.84</v>
      </c>
      <c r="FE148" s="659">
        <v>467.84</v>
      </c>
      <c r="FF148" s="659">
        <v>467.84</v>
      </c>
      <c r="FG148" s="659">
        <v>502.66</v>
      </c>
      <c r="FH148" s="659">
        <v>502.66</v>
      </c>
      <c r="FI148" s="659">
        <v>555.19000000000005</v>
      </c>
      <c r="FJ148" s="659">
        <v>555.30999999999995</v>
      </c>
      <c r="FK148" s="897">
        <v>555.19000000000005</v>
      </c>
      <c r="FL148" s="660">
        <v>555.19000000000005</v>
      </c>
      <c r="FM148" s="623">
        <v>589.28</v>
      </c>
      <c r="FN148" s="623">
        <v>589.28</v>
      </c>
      <c r="FO148" s="623">
        <v>589.28</v>
      </c>
      <c r="FP148" s="623">
        <v>589.28</v>
      </c>
      <c r="FQ148" s="623">
        <v>618.32000000000005</v>
      </c>
      <c r="FR148" s="623">
        <v>618.32000000000005</v>
      </c>
      <c r="FS148" s="623">
        <v>618.32000000000005</v>
      </c>
      <c r="FT148" s="623">
        <v>661.48</v>
      </c>
      <c r="FU148" s="897">
        <v>661.48</v>
      </c>
      <c r="FV148" s="1167">
        <f t="shared" si="1"/>
        <v>1</v>
      </c>
    </row>
    <row r="149" spans="1:178" s="115" customFormat="1" ht="18.95" customHeight="1">
      <c r="A149" s="1546">
        <v>1</v>
      </c>
      <c r="B149" s="408">
        <v>124</v>
      </c>
      <c r="C149" s="621" t="s">
        <v>312</v>
      </c>
      <c r="D149" s="622" t="s">
        <v>313</v>
      </c>
      <c r="E149" s="621" t="s">
        <v>918</v>
      </c>
      <c r="F149" s="622"/>
      <c r="G149" s="621" t="s">
        <v>929</v>
      </c>
      <c r="H149" s="621" t="s">
        <v>930</v>
      </c>
      <c r="I149" s="390" t="s">
        <v>314</v>
      </c>
      <c r="J149" s="651"/>
      <c r="K149" s="669">
        <v>93.8</v>
      </c>
      <c r="L149" s="665">
        <v>95.6</v>
      </c>
      <c r="M149" s="625">
        <v>98</v>
      </c>
      <c r="N149" s="625">
        <v>105.4</v>
      </c>
      <c r="O149" s="625">
        <v>114.6</v>
      </c>
      <c r="P149" s="625">
        <v>114</v>
      </c>
      <c r="Q149" s="625">
        <v>121.7</v>
      </c>
      <c r="R149" s="625">
        <v>137</v>
      </c>
      <c r="S149" s="625">
        <v>145.5</v>
      </c>
      <c r="T149" s="625">
        <v>151.30000000000001</v>
      </c>
      <c r="U149" s="625">
        <v>159.30000000000001</v>
      </c>
      <c r="V149" s="625">
        <v>166.7</v>
      </c>
      <c r="W149" s="625">
        <v>164.6</v>
      </c>
      <c r="X149" s="625">
        <v>164.7</v>
      </c>
      <c r="Y149" s="625">
        <v>162.1</v>
      </c>
      <c r="Z149" s="625">
        <v>158.69999999999999</v>
      </c>
      <c r="AA149" s="625">
        <v>160.19999999999999</v>
      </c>
      <c r="AB149" s="625">
        <v>164</v>
      </c>
      <c r="AC149" s="625">
        <v>168.5</v>
      </c>
      <c r="AD149" s="625">
        <v>166.6</v>
      </c>
      <c r="AE149" s="625">
        <v>167</v>
      </c>
      <c r="AF149" s="625">
        <v>168</v>
      </c>
      <c r="AG149" s="625">
        <v>167.3</v>
      </c>
      <c r="AH149" s="625">
        <v>166.6</v>
      </c>
      <c r="AI149" s="764">
        <v>170.2</v>
      </c>
      <c r="AJ149" s="772">
        <v>169</v>
      </c>
      <c r="AK149" s="625">
        <v>172.6</v>
      </c>
      <c r="AL149" s="625">
        <v>179.1</v>
      </c>
      <c r="AM149" s="625">
        <v>179.1</v>
      </c>
      <c r="AN149" s="625">
        <v>182.6</v>
      </c>
      <c r="AO149" s="625">
        <v>181.9</v>
      </c>
      <c r="AP149" s="625">
        <v>182.3</v>
      </c>
      <c r="AQ149" s="625">
        <v>185.1</v>
      </c>
      <c r="AR149" s="625">
        <v>187.3</v>
      </c>
      <c r="AS149" s="625">
        <v>185.8</v>
      </c>
      <c r="AT149" s="625">
        <v>191.3</v>
      </c>
      <c r="AU149" s="764">
        <v>195.8</v>
      </c>
      <c r="AV149" s="752">
        <v>199.7</v>
      </c>
      <c r="AW149" s="626">
        <v>205.2</v>
      </c>
      <c r="AX149" s="626">
        <v>205.2</v>
      </c>
      <c r="AY149" s="626">
        <v>202.3</v>
      </c>
      <c r="AZ149" s="626">
        <v>204.3</v>
      </c>
      <c r="BA149" s="626">
        <v>211.9</v>
      </c>
      <c r="BB149" s="626">
        <v>212.9</v>
      </c>
      <c r="BC149" s="627">
        <v>212.9</v>
      </c>
      <c r="BD149" s="626">
        <v>214.9</v>
      </c>
      <c r="BE149" s="627">
        <v>216.8</v>
      </c>
      <c r="BF149" s="627">
        <v>217.5</v>
      </c>
      <c r="BG149" s="738">
        <v>220.4</v>
      </c>
      <c r="BH149" s="660">
        <v>221.2</v>
      </c>
      <c r="BI149" s="623">
        <v>223</v>
      </c>
      <c r="BJ149" s="623">
        <v>218.3</v>
      </c>
      <c r="BK149" s="623">
        <v>225.9</v>
      </c>
      <c r="BL149" s="623">
        <v>231.9</v>
      </c>
      <c r="BM149" s="623">
        <v>234.1</v>
      </c>
      <c r="BN149" s="623">
        <v>238.7</v>
      </c>
      <c r="BO149" s="623">
        <v>240.4</v>
      </c>
      <c r="BP149" s="623">
        <v>240.4</v>
      </c>
      <c r="BQ149" s="623">
        <v>240.4</v>
      </c>
      <c r="BR149" s="623">
        <v>247.3</v>
      </c>
      <c r="BS149" s="659">
        <v>249.2</v>
      </c>
      <c r="BT149" s="660">
        <v>262.60000000000002</v>
      </c>
      <c r="BU149" s="623">
        <v>264.39999999999998</v>
      </c>
      <c r="BV149" s="623">
        <v>277.89999999999998</v>
      </c>
      <c r="BW149" s="623">
        <v>280.5</v>
      </c>
      <c r="BX149" s="623">
        <v>280.7</v>
      </c>
      <c r="BY149" s="623">
        <v>285.7</v>
      </c>
      <c r="BZ149" s="623">
        <v>296</v>
      </c>
      <c r="CA149" s="623">
        <v>297.7</v>
      </c>
      <c r="CB149" s="623">
        <v>297.7</v>
      </c>
      <c r="CC149" s="623">
        <v>301.60000000000002</v>
      </c>
      <c r="CD149" s="623">
        <v>310.2</v>
      </c>
      <c r="CE149" s="659">
        <v>309.3</v>
      </c>
      <c r="CF149" s="660">
        <v>315.3</v>
      </c>
      <c r="CG149" s="623">
        <v>316.39999999999998</v>
      </c>
      <c r="CH149" s="623">
        <v>317</v>
      </c>
      <c r="CI149" s="623">
        <v>335.9</v>
      </c>
      <c r="CJ149" s="623">
        <v>339.2</v>
      </c>
      <c r="CK149" s="623">
        <v>346.3</v>
      </c>
      <c r="CL149" s="623">
        <v>359.9</v>
      </c>
      <c r="CM149" s="623">
        <v>366.1</v>
      </c>
      <c r="CN149" s="623">
        <v>366.1</v>
      </c>
      <c r="CO149" s="623">
        <v>366.1</v>
      </c>
      <c r="CP149" s="623">
        <v>367.8</v>
      </c>
      <c r="CQ149" s="659">
        <v>367.8</v>
      </c>
      <c r="CR149" s="660">
        <v>367.8</v>
      </c>
      <c r="CS149" s="623">
        <v>367.9</v>
      </c>
      <c r="CT149" s="623">
        <v>367.8</v>
      </c>
      <c r="CU149" s="623">
        <v>367.8</v>
      </c>
      <c r="CV149" s="623">
        <v>367.9</v>
      </c>
      <c r="CW149" s="623">
        <v>370.1</v>
      </c>
      <c r="CX149" s="623">
        <v>370.1</v>
      </c>
      <c r="CY149" s="623">
        <v>377.5</v>
      </c>
      <c r="CZ149" s="623">
        <v>379.6</v>
      </c>
      <c r="DA149" s="623">
        <v>379.6</v>
      </c>
      <c r="DB149" s="725">
        <v>379.6</v>
      </c>
      <c r="DC149" s="659">
        <v>380</v>
      </c>
      <c r="DD149" s="783">
        <v>381.8</v>
      </c>
      <c r="DE149" s="623">
        <v>386.7</v>
      </c>
      <c r="DF149" s="725">
        <v>393.7</v>
      </c>
      <c r="DG149" s="659">
        <v>396</v>
      </c>
      <c r="DH149" s="623">
        <v>400.9</v>
      </c>
      <c r="DI149" s="623">
        <v>400.9</v>
      </c>
      <c r="DJ149" s="623">
        <v>400.8</v>
      </c>
      <c r="DK149" s="659">
        <v>407</v>
      </c>
      <c r="DL149" s="623">
        <v>423.2</v>
      </c>
      <c r="DM149" s="659">
        <v>423.2</v>
      </c>
      <c r="DN149" s="659">
        <v>430.2</v>
      </c>
      <c r="DO149" s="897">
        <v>436.3</v>
      </c>
      <c r="DP149" s="783">
        <v>441.8</v>
      </c>
      <c r="DQ149" s="659">
        <v>447.8</v>
      </c>
      <c r="DR149" s="659">
        <v>457.5</v>
      </c>
      <c r="DS149" s="659">
        <v>465.8</v>
      </c>
      <c r="DT149" s="623">
        <v>469.2</v>
      </c>
      <c r="DU149" s="659">
        <v>477.6</v>
      </c>
      <c r="DV149" s="659">
        <v>476.5</v>
      </c>
      <c r="DW149" s="659">
        <v>489.2</v>
      </c>
      <c r="DX149" s="659">
        <v>498.4</v>
      </c>
      <c r="DY149" s="659">
        <v>501</v>
      </c>
      <c r="DZ149" s="659">
        <v>509.2</v>
      </c>
      <c r="EA149" s="897">
        <v>523.79999999999995</v>
      </c>
      <c r="EB149" s="659">
        <v>523.79999999999995</v>
      </c>
      <c r="EC149" s="659">
        <v>536</v>
      </c>
      <c r="ED149" s="659">
        <v>542.20000000000005</v>
      </c>
      <c r="EE149" s="659">
        <v>542.9</v>
      </c>
      <c r="EF149" s="659">
        <v>542.9</v>
      </c>
      <c r="EG149" s="659">
        <v>557.79999999999995</v>
      </c>
      <c r="EH149" s="659">
        <v>588.1</v>
      </c>
      <c r="EI149" s="659">
        <v>609.9</v>
      </c>
      <c r="EJ149" s="659">
        <v>612</v>
      </c>
      <c r="EK149" s="623">
        <v>626.5</v>
      </c>
      <c r="EL149" s="725">
        <v>653.5</v>
      </c>
      <c r="EM149" s="659">
        <v>653.1</v>
      </c>
      <c r="EN149" s="783">
        <v>652.29999999999995</v>
      </c>
      <c r="EO149" s="659">
        <v>666.2</v>
      </c>
      <c r="EP149" s="659">
        <v>673.8</v>
      </c>
      <c r="EQ149" s="659">
        <v>695.4</v>
      </c>
      <c r="ER149" s="659">
        <v>714.2</v>
      </c>
      <c r="ES149" s="659">
        <v>745.4</v>
      </c>
      <c r="ET149" s="659">
        <v>757.1</v>
      </c>
      <c r="EU149" s="659">
        <v>777.6</v>
      </c>
      <c r="EV149" s="659">
        <v>787.7</v>
      </c>
      <c r="EW149" s="659">
        <v>796.5</v>
      </c>
      <c r="EX149" s="659">
        <v>798.6</v>
      </c>
      <c r="EY149" s="659">
        <v>819.6</v>
      </c>
      <c r="EZ149" s="783">
        <v>851.7</v>
      </c>
      <c r="FA149" s="659">
        <v>914.8</v>
      </c>
      <c r="FB149" s="659">
        <v>906.4</v>
      </c>
      <c r="FC149" s="659">
        <v>941.3</v>
      </c>
      <c r="FD149" s="659">
        <v>962.1</v>
      </c>
      <c r="FE149" s="659">
        <v>977</v>
      </c>
      <c r="FF149" s="659">
        <v>986.9</v>
      </c>
      <c r="FG149" s="659">
        <v>1007</v>
      </c>
      <c r="FH149" s="659">
        <v>1049.9000000000001</v>
      </c>
      <c r="FI149" s="659">
        <v>1077.3</v>
      </c>
      <c r="FJ149" s="659">
        <v>1102.9000000000001</v>
      </c>
      <c r="FK149" s="897">
        <v>1111.2</v>
      </c>
      <c r="FL149" s="660">
        <v>1123.7</v>
      </c>
      <c r="FM149" s="623">
        <v>1123.7</v>
      </c>
      <c r="FN149" s="623">
        <v>1159.8</v>
      </c>
      <c r="FO149" s="623">
        <v>1172.3</v>
      </c>
      <c r="FP149" s="623">
        <v>1175.7</v>
      </c>
      <c r="FQ149" s="623">
        <v>1208.5999999999999</v>
      </c>
      <c r="FR149" s="623">
        <v>1286.8</v>
      </c>
      <c r="FS149" s="623">
        <v>1259.3</v>
      </c>
      <c r="FT149" s="623">
        <v>1299.2</v>
      </c>
      <c r="FU149" s="897">
        <v>1308.0999999999999</v>
      </c>
      <c r="FV149" s="1167">
        <f t="shared" si="1"/>
        <v>1.0068503694581279</v>
      </c>
    </row>
    <row r="150" spans="1:178" s="115" customFormat="1" ht="15.75" customHeight="1">
      <c r="A150" s="1546">
        <v>1</v>
      </c>
      <c r="B150" s="613">
        <v>125</v>
      </c>
      <c r="C150" s="614" t="s">
        <v>315</v>
      </c>
      <c r="D150" s="615" t="s">
        <v>316</v>
      </c>
      <c r="E150" s="614" t="s">
        <v>918</v>
      </c>
      <c r="F150" s="615"/>
      <c r="G150" s="614" t="s">
        <v>929</v>
      </c>
      <c r="H150" s="614" t="s">
        <v>930</v>
      </c>
      <c r="I150" s="647" t="s">
        <v>921</v>
      </c>
      <c r="J150" s="652"/>
      <c r="K150" s="671">
        <v>99.7</v>
      </c>
      <c r="L150" s="667">
        <v>104.7</v>
      </c>
      <c r="M150" s="618">
        <v>109.4</v>
      </c>
      <c r="N150" s="618">
        <v>107.5</v>
      </c>
      <c r="O150" s="618">
        <v>116.8</v>
      </c>
      <c r="P150" s="618">
        <v>118.9</v>
      </c>
      <c r="Q150" s="618">
        <v>120.6</v>
      </c>
      <c r="R150" s="618">
        <v>121.9</v>
      </c>
      <c r="S150" s="618">
        <v>123.2</v>
      </c>
      <c r="T150" s="618">
        <v>130.4</v>
      </c>
      <c r="U150" s="618">
        <v>133.1</v>
      </c>
      <c r="V150" s="618">
        <v>140.9</v>
      </c>
      <c r="W150" s="618">
        <v>145.1</v>
      </c>
      <c r="X150" s="618">
        <v>144.5</v>
      </c>
      <c r="Y150" s="618">
        <v>147.1</v>
      </c>
      <c r="Z150" s="618">
        <v>151.30000000000001</v>
      </c>
      <c r="AA150" s="618">
        <v>155</v>
      </c>
      <c r="AB150" s="618">
        <v>154.19999999999999</v>
      </c>
      <c r="AC150" s="618">
        <v>154.1</v>
      </c>
      <c r="AD150" s="618">
        <v>157.1</v>
      </c>
      <c r="AE150" s="618">
        <v>160.9</v>
      </c>
      <c r="AF150" s="618">
        <v>164.9</v>
      </c>
      <c r="AG150" s="618">
        <v>169.4</v>
      </c>
      <c r="AH150" s="618">
        <v>171.3</v>
      </c>
      <c r="AI150" s="766">
        <v>172.8</v>
      </c>
      <c r="AJ150" s="774">
        <v>174.8</v>
      </c>
      <c r="AK150" s="618">
        <v>186.2</v>
      </c>
      <c r="AL150" s="618">
        <v>192.5</v>
      </c>
      <c r="AM150" s="618">
        <v>203.6</v>
      </c>
      <c r="AN150" s="618">
        <v>206.7</v>
      </c>
      <c r="AO150" s="618">
        <v>211.4</v>
      </c>
      <c r="AP150" s="618">
        <v>214.3</v>
      </c>
      <c r="AQ150" s="618">
        <v>219.2</v>
      </c>
      <c r="AR150" s="618">
        <v>219.9</v>
      </c>
      <c r="AS150" s="618">
        <v>221.8</v>
      </c>
      <c r="AT150" s="618">
        <v>223.9</v>
      </c>
      <c r="AU150" s="766">
        <v>227.5</v>
      </c>
      <c r="AV150" s="769">
        <v>229.4</v>
      </c>
      <c r="AW150" s="619">
        <v>234.7</v>
      </c>
      <c r="AX150" s="619">
        <v>243.2</v>
      </c>
      <c r="AY150" s="619">
        <v>244.2</v>
      </c>
      <c r="AZ150" s="619">
        <v>248</v>
      </c>
      <c r="BA150" s="619">
        <v>250.2</v>
      </c>
      <c r="BB150" s="619">
        <v>250.9</v>
      </c>
      <c r="BC150" s="620">
        <v>251.3</v>
      </c>
      <c r="BD150" s="619">
        <v>252.6</v>
      </c>
      <c r="BE150" s="620">
        <v>253.4</v>
      </c>
      <c r="BF150" s="620">
        <v>257.8</v>
      </c>
      <c r="BG150" s="750">
        <v>258.89999999999998</v>
      </c>
      <c r="BH150" s="662">
        <v>263.89999999999998</v>
      </c>
      <c r="BI150" s="617">
        <v>267.2</v>
      </c>
      <c r="BJ150" s="617">
        <v>271.7</v>
      </c>
      <c r="BK150" s="617">
        <v>274.5</v>
      </c>
      <c r="BL150" s="617">
        <v>279.60000000000002</v>
      </c>
      <c r="BM150" s="617">
        <v>280.8</v>
      </c>
      <c r="BN150" s="617">
        <v>281.39999999999998</v>
      </c>
      <c r="BO150" s="617">
        <v>281</v>
      </c>
      <c r="BP150" s="617">
        <v>282.89999999999998</v>
      </c>
      <c r="BQ150" s="617">
        <v>281.3</v>
      </c>
      <c r="BR150" s="617">
        <v>284.89999999999998</v>
      </c>
      <c r="BS150" s="737">
        <v>285.60000000000002</v>
      </c>
      <c r="BT150" s="662">
        <v>295.2</v>
      </c>
      <c r="BU150" s="617">
        <v>300.10000000000002</v>
      </c>
      <c r="BV150" s="617">
        <v>305.8</v>
      </c>
      <c r="BW150" s="617">
        <v>313.3</v>
      </c>
      <c r="BX150" s="617">
        <v>317.39999999999998</v>
      </c>
      <c r="BY150" s="617">
        <v>325.8</v>
      </c>
      <c r="BZ150" s="617">
        <v>335</v>
      </c>
      <c r="CA150" s="617">
        <v>337.7</v>
      </c>
      <c r="CB150" s="617">
        <v>338.9</v>
      </c>
      <c r="CC150" s="617">
        <v>344.7</v>
      </c>
      <c r="CD150" s="617">
        <v>349.3</v>
      </c>
      <c r="CE150" s="737">
        <v>357.2</v>
      </c>
      <c r="CF150" s="662">
        <v>358.2</v>
      </c>
      <c r="CG150" s="617">
        <v>358.2</v>
      </c>
      <c r="CH150" s="617">
        <v>361.1</v>
      </c>
      <c r="CI150" s="617">
        <v>368.5</v>
      </c>
      <c r="CJ150" s="617">
        <v>370.1</v>
      </c>
      <c r="CK150" s="617">
        <v>376.3</v>
      </c>
      <c r="CL150" s="617">
        <v>386.4</v>
      </c>
      <c r="CM150" s="617">
        <v>391.4</v>
      </c>
      <c r="CN150" s="617">
        <v>398.5</v>
      </c>
      <c r="CO150" s="617">
        <v>400</v>
      </c>
      <c r="CP150" s="617">
        <v>407.4</v>
      </c>
      <c r="CQ150" s="737">
        <v>406.9</v>
      </c>
      <c r="CR150" s="662">
        <v>409.3</v>
      </c>
      <c r="CS150" s="617">
        <v>420.4</v>
      </c>
      <c r="CT150" s="617">
        <v>417.1</v>
      </c>
      <c r="CU150" s="617">
        <v>424.4</v>
      </c>
      <c r="CV150" s="617">
        <v>426.1</v>
      </c>
      <c r="CW150" s="617">
        <v>426.7</v>
      </c>
      <c r="CX150" s="617">
        <v>428.6</v>
      </c>
      <c r="CY150" s="617">
        <v>437.3</v>
      </c>
      <c r="CZ150" s="617">
        <v>438.4</v>
      </c>
      <c r="DA150" s="617">
        <v>438.4</v>
      </c>
      <c r="DB150" s="798">
        <v>443.9</v>
      </c>
      <c r="DC150" s="737">
        <v>451.6</v>
      </c>
      <c r="DD150" s="786">
        <v>457.3</v>
      </c>
      <c r="DE150" s="617">
        <v>462.2</v>
      </c>
      <c r="DF150" s="798">
        <v>465.6</v>
      </c>
      <c r="DG150" s="737">
        <v>466.1</v>
      </c>
      <c r="DH150" s="617">
        <v>466.1</v>
      </c>
      <c r="DI150" s="617">
        <v>474.4</v>
      </c>
      <c r="DJ150" s="617">
        <v>481.3</v>
      </c>
      <c r="DK150" s="737">
        <v>482.4</v>
      </c>
      <c r="DL150" s="617">
        <v>487.2</v>
      </c>
      <c r="DM150" s="737">
        <v>490.1</v>
      </c>
      <c r="DN150" s="737">
        <v>497.7</v>
      </c>
      <c r="DO150" s="916">
        <v>505.5</v>
      </c>
      <c r="DP150" s="786">
        <v>506.6</v>
      </c>
      <c r="DQ150" s="737">
        <v>509.7</v>
      </c>
      <c r="DR150" s="737">
        <v>511.8</v>
      </c>
      <c r="DS150" s="737">
        <v>515.70000000000005</v>
      </c>
      <c r="DT150" s="617">
        <v>521.1</v>
      </c>
      <c r="DU150" s="737">
        <v>528.29999999999995</v>
      </c>
      <c r="DV150" s="737">
        <v>528.29999999999995</v>
      </c>
      <c r="DW150" s="737">
        <v>538.1</v>
      </c>
      <c r="DX150" s="659">
        <v>543.6</v>
      </c>
      <c r="DY150" s="659">
        <v>555.9</v>
      </c>
      <c r="DZ150" s="659">
        <v>567.79999999999995</v>
      </c>
      <c r="EA150" s="897">
        <v>567.79999999999995</v>
      </c>
      <c r="EB150" s="659">
        <v>576.20000000000005</v>
      </c>
      <c r="EC150" s="659">
        <v>577.79999999999995</v>
      </c>
      <c r="ED150" s="659">
        <v>581.6</v>
      </c>
      <c r="EE150" s="659">
        <v>590.5</v>
      </c>
      <c r="EF150" s="659">
        <v>600.9</v>
      </c>
      <c r="EG150" s="659">
        <v>602.79999999999995</v>
      </c>
      <c r="EH150" s="659">
        <v>612.6</v>
      </c>
      <c r="EI150" s="659">
        <v>612.6</v>
      </c>
      <c r="EJ150" s="659">
        <v>611.6</v>
      </c>
      <c r="EK150" s="623">
        <v>621.70000000000005</v>
      </c>
      <c r="EL150" s="725">
        <v>631.4</v>
      </c>
      <c r="EM150" s="659">
        <v>641.9</v>
      </c>
      <c r="EN150" s="783">
        <v>650.20000000000005</v>
      </c>
      <c r="EO150" s="659">
        <v>664.7</v>
      </c>
      <c r="EP150" s="659">
        <v>667.6</v>
      </c>
      <c r="EQ150" s="659">
        <v>674.6</v>
      </c>
      <c r="ER150" s="659">
        <v>683</v>
      </c>
      <c r="ES150" s="659">
        <v>683</v>
      </c>
      <c r="ET150" s="659">
        <v>687.1</v>
      </c>
      <c r="EU150" s="659">
        <v>709.8</v>
      </c>
      <c r="EV150" s="659">
        <v>709.8</v>
      </c>
      <c r="EW150" s="659">
        <v>711.3</v>
      </c>
      <c r="EX150" s="659">
        <v>724.4</v>
      </c>
      <c r="EY150" s="659">
        <v>727.8</v>
      </c>
      <c r="EZ150" s="783">
        <v>752.2</v>
      </c>
      <c r="FA150" s="659">
        <v>773.6</v>
      </c>
      <c r="FB150" s="659">
        <v>792.5</v>
      </c>
      <c r="FC150" s="659">
        <v>799.5</v>
      </c>
      <c r="FD150" s="659">
        <v>828.9</v>
      </c>
      <c r="FE150" s="659">
        <v>848.4</v>
      </c>
      <c r="FF150" s="659">
        <v>872.8</v>
      </c>
      <c r="FG150" s="659">
        <v>900.2</v>
      </c>
      <c r="FH150" s="659">
        <v>937.6</v>
      </c>
      <c r="FI150" s="659">
        <v>972.4</v>
      </c>
      <c r="FJ150" s="659">
        <v>989.2</v>
      </c>
      <c r="FK150" s="897">
        <v>1016.8</v>
      </c>
      <c r="FL150" s="660">
        <v>1020.1</v>
      </c>
      <c r="FM150" s="623">
        <v>1078.0999999999999</v>
      </c>
      <c r="FN150" s="623">
        <v>1084.5</v>
      </c>
      <c r="FO150" s="623">
        <v>1115.2</v>
      </c>
      <c r="FP150" s="623">
        <v>1124.9000000000001</v>
      </c>
      <c r="FQ150" s="623">
        <v>1159.0999999999999</v>
      </c>
      <c r="FR150" s="623">
        <v>1176.5</v>
      </c>
      <c r="FS150" s="623">
        <v>1213</v>
      </c>
      <c r="FT150" s="623">
        <v>1254.3</v>
      </c>
      <c r="FU150" s="897">
        <v>1266.8</v>
      </c>
      <c r="FV150" s="1167">
        <f t="shared" si="1"/>
        <v>1.0099657179303196</v>
      </c>
    </row>
    <row r="151" spans="1:178" s="115" customFormat="1" ht="18.95" customHeight="1">
      <c r="A151" s="1546">
        <v>1</v>
      </c>
      <c r="B151" s="408">
        <v>126</v>
      </c>
      <c r="C151" s="621" t="s">
        <v>317</v>
      </c>
      <c r="D151" s="622" t="s">
        <v>318</v>
      </c>
      <c r="E151" s="621" t="s">
        <v>918</v>
      </c>
      <c r="F151" s="622"/>
      <c r="G151" s="621" t="s">
        <v>929</v>
      </c>
      <c r="H151" s="621" t="s">
        <v>930</v>
      </c>
      <c r="I151" s="390" t="s">
        <v>921</v>
      </c>
      <c r="J151" s="651"/>
      <c r="K151" s="669">
        <v>100.3</v>
      </c>
      <c r="L151" s="665">
        <v>111.4</v>
      </c>
      <c r="M151" s="625">
        <v>149</v>
      </c>
      <c r="N151" s="625">
        <v>186.9</v>
      </c>
      <c r="O151" s="625">
        <v>229.7</v>
      </c>
      <c r="P151" s="625">
        <v>240.2</v>
      </c>
      <c r="Q151" s="625">
        <v>279.8</v>
      </c>
      <c r="R151" s="625">
        <v>258.89999999999998</v>
      </c>
      <c r="S151" s="625">
        <v>252.5</v>
      </c>
      <c r="T151" s="625">
        <v>286.89999999999998</v>
      </c>
      <c r="U151" s="625">
        <v>297.8</v>
      </c>
      <c r="V151" s="625">
        <v>287.60000000000002</v>
      </c>
      <c r="W151" s="625">
        <v>295.8</v>
      </c>
      <c r="X151" s="625">
        <v>277.5</v>
      </c>
      <c r="Y151" s="625">
        <v>278.8</v>
      </c>
      <c r="Z151" s="625">
        <v>271.89999999999998</v>
      </c>
      <c r="AA151" s="625">
        <v>261.89999999999998</v>
      </c>
      <c r="AB151" s="625">
        <v>272.60000000000002</v>
      </c>
      <c r="AC151" s="625">
        <v>277.39999999999998</v>
      </c>
      <c r="AD151" s="625">
        <v>269.8</v>
      </c>
      <c r="AE151" s="625">
        <v>270.60000000000002</v>
      </c>
      <c r="AF151" s="625">
        <v>286.60000000000002</v>
      </c>
      <c r="AG151" s="625">
        <v>286</v>
      </c>
      <c r="AH151" s="625">
        <v>286</v>
      </c>
      <c r="AI151" s="764">
        <v>292</v>
      </c>
      <c r="AJ151" s="772">
        <v>291.5</v>
      </c>
      <c r="AK151" s="625">
        <v>289.8</v>
      </c>
      <c r="AL151" s="625">
        <v>289.8</v>
      </c>
      <c r="AM151" s="625">
        <v>286.39999999999998</v>
      </c>
      <c r="AN151" s="625">
        <v>289.10000000000002</v>
      </c>
      <c r="AO151" s="625">
        <v>289.10000000000002</v>
      </c>
      <c r="AP151" s="625">
        <v>289.10000000000002</v>
      </c>
      <c r="AQ151" s="625">
        <v>295.8</v>
      </c>
      <c r="AR151" s="625">
        <v>295.8</v>
      </c>
      <c r="AS151" s="625">
        <v>295.8</v>
      </c>
      <c r="AT151" s="625">
        <v>304.8</v>
      </c>
      <c r="AU151" s="764">
        <v>304.8</v>
      </c>
      <c r="AV151" s="752">
        <v>312.3</v>
      </c>
      <c r="AW151" s="626">
        <v>319.7</v>
      </c>
      <c r="AX151" s="626">
        <v>318.2</v>
      </c>
      <c r="AY151" s="626">
        <v>322.89999999999998</v>
      </c>
      <c r="AZ151" s="626">
        <v>326.60000000000002</v>
      </c>
      <c r="BA151" s="626">
        <v>324.39999999999998</v>
      </c>
      <c r="BB151" s="626">
        <v>316.2</v>
      </c>
      <c r="BC151" s="627">
        <v>318.7</v>
      </c>
      <c r="BD151" s="626">
        <v>318.7</v>
      </c>
      <c r="BE151" s="627">
        <v>327</v>
      </c>
      <c r="BF151" s="627">
        <v>336.4</v>
      </c>
      <c r="BG151" s="738">
        <v>325.5</v>
      </c>
      <c r="BH151" s="660">
        <v>336.4</v>
      </c>
      <c r="BI151" s="623">
        <v>331</v>
      </c>
      <c r="BJ151" s="623">
        <v>334.2</v>
      </c>
      <c r="BK151" s="623">
        <v>344</v>
      </c>
      <c r="BL151" s="623">
        <v>344</v>
      </c>
      <c r="BM151" s="623">
        <v>344</v>
      </c>
      <c r="BN151" s="623">
        <v>344</v>
      </c>
      <c r="BO151" s="623">
        <v>344</v>
      </c>
      <c r="BP151" s="623">
        <v>344</v>
      </c>
      <c r="BQ151" s="623">
        <v>344</v>
      </c>
      <c r="BR151" s="623">
        <v>344</v>
      </c>
      <c r="BS151" s="659">
        <v>375.7</v>
      </c>
      <c r="BT151" s="660">
        <v>357.7</v>
      </c>
      <c r="BU151" s="623">
        <v>357.7</v>
      </c>
      <c r="BV151" s="623">
        <v>357.7</v>
      </c>
      <c r="BW151" s="623">
        <v>375.9</v>
      </c>
      <c r="BX151" s="623">
        <v>380</v>
      </c>
      <c r="BY151" s="623">
        <v>402.9</v>
      </c>
      <c r="BZ151" s="623">
        <v>389.9</v>
      </c>
      <c r="CA151" s="623">
        <v>389.9</v>
      </c>
      <c r="CB151" s="623">
        <v>389.9</v>
      </c>
      <c r="CC151" s="623">
        <v>408.1</v>
      </c>
      <c r="CD151" s="623">
        <v>408.1</v>
      </c>
      <c r="CE151" s="659">
        <v>416.2</v>
      </c>
      <c r="CF151" s="660">
        <v>425.3</v>
      </c>
      <c r="CG151" s="623">
        <v>434.5</v>
      </c>
      <c r="CH151" s="623">
        <v>425.3</v>
      </c>
      <c r="CI151" s="623">
        <v>434.5</v>
      </c>
      <c r="CJ151" s="623">
        <v>411.3</v>
      </c>
      <c r="CK151" s="623">
        <v>418.4</v>
      </c>
      <c r="CL151" s="623">
        <v>418.4</v>
      </c>
      <c r="CM151" s="623">
        <v>418.4</v>
      </c>
      <c r="CN151" s="623">
        <v>418.4</v>
      </c>
      <c r="CO151" s="623">
        <v>408.4</v>
      </c>
      <c r="CP151" s="623">
        <v>408.4</v>
      </c>
      <c r="CQ151" s="659">
        <v>408.3</v>
      </c>
      <c r="CR151" s="660">
        <v>408.3</v>
      </c>
      <c r="CS151" s="623">
        <v>408.3</v>
      </c>
      <c r="CT151" s="623">
        <v>408.3</v>
      </c>
      <c r="CU151" s="623">
        <v>428</v>
      </c>
      <c r="CV151" s="623">
        <v>408.3</v>
      </c>
      <c r="CW151" s="623">
        <v>416.3</v>
      </c>
      <c r="CX151" s="623">
        <v>415.4</v>
      </c>
      <c r="CY151" s="623">
        <v>408.3</v>
      </c>
      <c r="CZ151" s="623">
        <v>413.5</v>
      </c>
      <c r="DA151" s="623">
        <v>416.6</v>
      </c>
      <c r="DB151" s="725">
        <v>413.5</v>
      </c>
      <c r="DC151" s="659">
        <v>413.5</v>
      </c>
      <c r="DD151" s="783">
        <v>413.5</v>
      </c>
      <c r="DE151" s="623">
        <v>423.7</v>
      </c>
      <c r="DF151" s="725">
        <v>423.7</v>
      </c>
      <c r="DG151" s="659">
        <v>434.9</v>
      </c>
      <c r="DH151" s="623">
        <v>434.9</v>
      </c>
      <c r="DI151" s="623">
        <v>444.4</v>
      </c>
      <c r="DJ151" s="623">
        <v>444.4</v>
      </c>
      <c r="DK151" s="659">
        <v>444.4</v>
      </c>
      <c r="DL151" s="623">
        <v>448.4</v>
      </c>
      <c r="DM151" s="659">
        <v>458.6</v>
      </c>
      <c r="DN151" s="659">
        <v>465.7</v>
      </c>
      <c r="DO151" s="897">
        <v>467.8</v>
      </c>
      <c r="DP151" s="783">
        <v>477.1</v>
      </c>
      <c r="DQ151" s="659">
        <v>493.3</v>
      </c>
      <c r="DR151" s="659">
        <v>493.3</v>
      </c>
      <c r="DS151" s="659">
        <v>501.5</v>
      </c>
      <c r="DT151" s="623">
        <v>501.5</v>
      </c>
      <c r="DU151" s="659">
        <v>505.8</v>
      </c>
      <c r="DV151" s="659">
        <v>512.9</v>
      </c>
      <c r="DW151" s="659">
        <v>520</v>
      </c>
      <c r="DX151" s="659">
        <v>527.1</v>
      </c>
      <c r="DY151" s="659">
        <v>535.79999999999995</v>
      </c>
      <c r="DZ151" s="659">
        <v>535.79999999999995</v>
      </c>
      <c r="EA151" s="897">
        <v>550</v>
      </c>
      <c r="EB151" s="659">
        <v>550</v>
      </c>
      <c r="EC151" s="659">
        <v>550</v>
      </c>
      <c r="ED151" s="659">
        <v>565.20000000000005</v>
      </c>
      <c r="EE151" s="659">
        <v>577.6</v>
      </c>
      <c r="EF151" s="659">
        <v>577.6</v>
      </c>
      <c r="EG151" s="659">
        <v>609.6</v>
      </c>
      <c r="EH151" s="659">
        <v>609.6</v>
      </c>
      <c r="EI151" s="659">
        <v>628.9</v>
      </c>
      <c r="EJ151" s="659">
        <v>631.79999999999995</v>
      </c>
      <c r="EK151" s="623">
        <v>632.70000000000005</v>
      </c>
      <c r="EL151" s="725">
        <v>644.29999999999995</v>
      </c>
      <c r="EM151" s="659">
        <v>671.7</v>
      </c>
      <c r="EN151" s="783">
        <v>680.8</v>
      </c>
      <c r="EO151" s="659">
        <v>671.7</v>
      </c>
      <c r="EP151" s="659">
        <v>684.1</v>
      </c>
      <c r="EQ151" s="659">
        <v>687.2</v>
      </c>
      <c r="ER151" s="659">
        <v>704.5</v>
      </c>
      <c r="ES151" s="659">
        <v>704.5</v>
      </c>
      <c r="ET151" s="659">
        <v>711.5</v>
      </c>
      <c r="EU151" s="659">
        <v>716.9</v>
      </c>
      <c r="EV151" s="659">
        <v>716.9</v>
      </c>
      <c r="EW151" s="659">
        <v>739.3</v>
      </c>
      <c r="EX151" s="659">
        <v>751.9</v>
      </c>
      <c r="EY151" s="659">
        <v>767</v>
      </c>
      <c r="EZ151" s="783">
        <v>771.9</v>
      </c>
      <c r="FA151" s="659">
        <v>865.3</v>
      </c>
      <c r="FB151" s="659">
        <v>931.6</v>
      </c>
      <c r="FC151" s="659">
        <v>936.3</v>
      </c>
      <c r="FD151" s="659">
        <v>948.9</v>
      </c>
      <c r="FE151" s="659">
        <v>952.5</v>
      </c>
      <c r="FF151" s="659">
        <v>972.2</v>
      </c>
      <c r="FG151" s="659">
        <v>976</v>
      </c>
      <c r="FH151" s="659">
        <v>1032.4000000000001</v>
      </c>
      <c r="FI151" s="659">
        <v>1058.8</v>
      </c>
      <c r="FJ151" s="659">
        <v>1093.5</v>
      </c>
      <c r="FK151" s="897">
        <v>1098.8</v>
      </c>
      <c r="FL151" s="660">
        <v>1114.7</v>
      </c>
      <c r="FM151" s="623">
        <v>1122.5999999999999</v>
      </c>
      <c r="FN151" s="623">
        <v>1139.2</v>
      </c>
      <c r="FO151" s="623">
        <v>1214.5</v>
      </c>
      <c r="FP151" s="623">
        <v>1219.7</v>
      </c>
      <c r="FQ151" s="623">
        <v>1230</v>
      </c>
      <c r="FR151" s="623">
        <v>1264.5999999999999</v>
      </c>
      <c r="FS151" s="623">
        <v>1288.3</v>
      </c>
      <c r="FT151" s="623">
        <v>1317.3</v>
      </c>
      <c r="FU151" s="897">
        <v>1323.2</v>
      </c>
      <c r="FV151" s="1167">
        <f t="shared" si="1"/>
        <v>1.0044788582707054</v>
      </c>
    </row>
    <row r="152" spans="1:178" s="115" customFormat="1" ht="18.95" customHeight="1">
      <c r="A152" s="1546">
        <v>1</v>
      </c>
      <c r="B152" s="408">
        <v>127</v>
      </c>
      <c r="C152" s="621" t="s">
        <v>319</v>
      </c>
      <c r="D152" s="622" t="s">
        <v>320</v>
      </c>
      <c r="E152" s="621" t="s">
        <v>918</v>
      </c>
      <c r="F152" s="622"/>
      <c r="G152" s="621" t="s">
        <v>929</v>
      </c>
      <c r="H152" s="621" t="s">
        <v>930</v>
      </c>
      <c r="I152" s="390" t="s">
        <v>921</v>
      </c>
      <c r="J152" s="651"/>
      <c r="K152" s="669">
        <v>100.9</v>
      </c>
      <c r="L152" s="665">
        <v>100.9</v>
      </c>
      <c r="M152" s="625">
        <v>102.8</v>
      </c>
      <c r="N152" s="625">
        <v>102.1</v>
      </c>
      <c r="O152" s="625">
        <v>107.2</v>
      </c>
      <c r="P152" s="625">
        <v>111.9</v>
      </c>
      <c r="Q152" s="625">
        <v>114.2</v>
      </c>
      <c r="R152" s="625">
        <v>115.5</v>
      </c>
      <c r="S152" s="625">
        <v>118.2</v>
      </c>
      <c r="T152" s="625">
        <v>120</v>
      </c>
      <c r="U152" s="625">
        <v>119.9</v>
      </c>
      <c r="V152" s="625">
        <v>119.9</v>
      </c>
      <c r="W152" s="625">
        <v>122.9</v>
      </c>
      <c r="X152" s="625">
        <v>122.8</v>
      </c>
      <c r="Y152" s="625">
        <v>122.9</v>
      </c>
      <c r="Z152" s="625">
        <v>125.5</v>
      </c>
      <c r="AA152" s="625">
        <v>125.5</v>
      </c>
      <c r="AB152" s="625">
        <v>125.5</v>
      </c>
      <c r="AC152" s="625">
        <v>125.5</v>
      </c>
      <c r="AD152" s="625">
        <v>125.5</v>
      </c>
      <c r="AE152" s="625">
        <v>125.5</v>
      </c>
      <c r="AF152" s="625">
        <v>125.5</v>
      </c>
      <c r="AG152" s="625">
        <v>125.5</v>
      </c>
      <c r="AH152" s="625">
        <v>125.5</v>
      </c>
      <c r="AI152" s="764">
        <v>125.5</v>
      </c>
      <c r="AJ152" s="772">
        <v>125.5</v>
      </c>
      <c r="AK152" s="625">
        <v>125.9</v>
      </c>
      <c r="AL152" s="625">
        <v>129.4</v>
      </c>
      <c r="AM152" s="625">
        <v>129.4</v>
      </c>
      <c r="AN152" s="625">
        <v>134.5</v>
      </c>
      <c r="AO152" s="625">
        <v>134.5</v>
      </c>
      <c r="AP152" s="625">
        <v>134.5</v>
      </c>
      <c r="AQ152" s="625">
        <v>134.5</v>
      </c>
      <c r="AR152" s="625">
        <v>134.5</v>
      </c>
      <c r="AS152" s="625">
        <v>134.5</v>
      </c>
      <c r="AT152" s="625">
        <v>137.19999999999999</v>
      </c>
      <c r="AU152" s="764">
        <v>143.5</v>
      </c>
      <c r="AV152" s="752">
        <v>143.5</v>
      </c>
      <c r="AW152" s="626">
        <v>148.6</v>
      </c>
      <c r="AX152" s="626">
        <v>148.6</v>
      </c>
      <c r="AY152" s="626">
        <v>151.6</v>
      </c>
      <c r="AZ152" s="626">
        <v>151.6</v>
      </c>
      <c r="BA152" s="626">
        <v>152.80000000000001</v>
      </c>
      <c r="BB152" s="626">
        <v>152.80000000000001</v>
      </c>
      <c r="BC152" s="627">
        <v>161.69999999999999</v>
      </c>
      <c r="BD152" s="626">
        <v>163.6</v>
      </c>
      <c r="BE152" s="627">
        <v>165</v>
      </c>
      <c r="BF152" s="627">
        <v>169.9</v>
      </c>
      <c r="BG152" s="738">
        <v>169.3</v>
      </c>
      <c r="BH152" s="660">
        <v>170.2</v>
      </c>
      <c r="BI152" s="623">
        <v>172</v>
      </c>
      <c r="BJ152" s="623">
        <v>172</v>
      </c>
      <c r="BK152" s="623">
        <v>172</v>
      </c>
      <c r="BL152" s="623">
        <v>174.8</v>
      </c>
      <c r="BM152" s="623">
        <v>174.8</v>
      </c>
      <c r="BN152" s="623">
        <v>177</v>
      </c>
      <c r="BO152" s="623">
        <v>180.2</v>
      </c>
      <c r="BP152" s="623">
        <v>180.2</v>
      </c>
      <c r="BQ152" s="623">
        <v>180.2</v>
      </c>
      <c r="BR152" s="623">
        <v>180.2</v>
      </c>
      <c r="BS152" s="659">
        <v>191.6</v>
      </c>
      <c r="BT152" s="660">
        <v>204.6</v>
      </c>
      <c r="BU152" s="623">
        <v>204.6</v>
      </c>
      <c r="BV152" s="623">
        <v>211.9</v>
      </c>
      <c r="BW152" s="623">
        <v>220.3</v>
      </c>
      <c r="BX152" s="623">
        <v>223</v>
      </c>
      <c r="BY152" s="623">
        <v>232</v>
      </c>
      <c r="BZ152" s="623">
        <v>232</v>
      </c>
      <c r="CA152" s="623">
        <v>236.2</v>
      </c>
      <c r="CB152" s="623">
        <v>238.7</v>
      </c>
      <c r="CC152" s="623">
        <v>238.7</v>
      </c>
      <c r="CD152" s="623">
        <v>245.7</v>
      </c>
      <c r="CE152" s="659">
        <v>246.8</v>
      </c>
      <c r="CF152" s="660">
        <v>253.3</v>
      </c>
      <c r="CG152" s="623">
        <v>258.5</v>
      </c>
      <c r="CH152" s="623">
        <v>261.60000000000002</v>
      </c>
      <c r="CI152" s="623">
        <v>261.60000000000002</v>
      </c>
      <c r="CJ152" s="623">
        <v>266.2</v>
      </c>
      <c r="CK152" s="623">
        <v>275.7</v>
      </c>
      <c r="CL152" s="623">
        <v>275.7</v>
      </c>
      <c r="CM152" s="623">
        <v>275.7</v>
      </c>
      <c r="CN152" s="623">
        <v>275.7</v>
      </c>
      <c r="CO152" s="623">
        <v>275.7</v>
      </c>
      <c r="CP152" s="623">
        <v>279.7</v>
      </c>
      <c r="CQ152" s="659">
        <v>283.39999999999998</v>
      </c>
      <c r="CR152" s="660">
        <v>291.3</v>
      </c>
      <c r="CS152" s="623">
        <v>287.3</v>
      </c>
      <c r="CT152" s="623">
        <v>287.3</v>
      </c>
      <c r="CU152" s="623">
        <v>287.3</v>
      </c>
      <c r="CV152" s="623">
        <v>287.3</v>
      </c>
      <c r="CW152" s="623">
        <v>287.3</v>
      </c>
      <c r="CX152" s="623">
        <v>287.3</v>
      </c>
      <c r="CY152" s="623">
        <v>294.5</v>
      </c>
      <c r="CZ152" s="623">
        <v>294.5</v>
      </c>
      <c r="DA152" s="623">
        <v>294.5</v>
      </c>
      <c r="DB152" s="725">
        <v>297.60000000000002</v>
      </c>
      <c r="DC152" s="659">
        <v>297.60000000000002</v>
      </c>
      <c r="DD152" s="783">
        <v>305.2</v>
      </c>
      <c r="DE152" s="623">
        <v>305.2</v>
      </c>
      <c r="DF152" s="725">
        <v>314.39999999999998</v>
      </c>
      <c r="DG152" s="659">
        <v>314.39999999999998</v>
      </c>
      <c r="DH152" s="623">
        <v>327.2</v>
      </c>
      <c r="DI152" s="623">
        <v>318.39999999999998</v>
      </c>
      <c r="DJ152" s="623">
        <v>325.8</v>
      </c>
      <c r="DK152" s="659">
        <v>325.8</v>
      </c>
      <c r="DL152" s="623">
        <v>331.7</v>
      </c>
      <c r="DM152" s="659">
        <v>334.8</v>
      </c>
      <c r="DN152" s="659">
        <v>340.7</v>
      </c>
      <c r="DO152" s="897">
        <v>344.2</v>
      </c>
      <c r="DP152" s="783">
        <v>344.2</v>
      </c>
      <c r="DQ152" s="659">
        <v>367</v>
      </c>
      <c r="DR152" s="659">
        <v>373.9</v>
      </c>
      <c r="DS152" s="659">
        <v>385.4</v>
      </c>
      <c r="DT152" s="623">
        <v>400.5</v>
      </c>
      <c r="DU152" s="659">
        <v>419</v>
      </c>
      <c r="DV152" s="659">
        <v>419</v>
      </c>
      <c r="DW152" s="659">
        <v>424.3</v>
      </c>
      <c r="DX152" s="659">
        <v>427.8</v>
      </c>
      <c r="DY152" s="659">
        <v>432.4</v>
      </c>
      <c r="DZ152" s="659">
        <v>441.5</v>
      </c>
      <c r="EA152" s="897">
        <v>445</v>
      </c>
      <c r="EB152" s="659">
        <v>462.5</v>
      </c>
      <c r="EC152" s="659">
        <v>466</v>
      </c>
      <c r="ED152" s="659">
        <v>466.1</v>
      </c>
      <c r="EE152" s="659">
        <v>483.6</v>
      </c>
      <c r="EF152" s="659">
        <v>506.5</v>
      </c>
      <c r="EG152" s="659">
        <v>506.5</v>
      </c>
      <c r="EH152" s="659">
        <v>515.20000000000005</v>
      </c>
      <c r="EI152" s="659">
        <v>519.29999999999995</v>
      </c>
      <c r="EJ152" s="659">
        <v>519.29999999999995</v>
      </c>
      <c r="EK152" s="623">
        <v>527.5</v>
      </c>
      <c r="EL152" s="725">
        <v>527.5</v>
      </c>
      <c r="EM152" s="659">
        <v>527.5</v>
      </c>
      <c r="EN152" s="783">
        <v>527.5</v>
      </c>
      <c r="EO152" s="659">
        <v>532.9</v>
      </c>
      <c r="EP152" s="659">
        <v>548.4</v>
      </c>
      <c r="EQ152" s="659">
        <v>554.70000000000005</v>
      </c>
      <c r="ER152" s="659">
        <v>554.70000000000005</v>
      </c>
      <c r="ES152" s="659">
        <v>565.6</v>
      </c>
      <c r="ET152" s="659">
        <v>568</v>
      </c>
      <c r="EU152" s="659">
        <v>580.5</v>
      </c>
      <c r="EV152" s="659">
        <v>580.5</v>
      </c>
      <c r="EW152" s="659">
        <v>592.5</v>
      </c>
      <c r="EX152" s="659">
        <v>601.9</v>
      </c>
      <c r="EY152" s="659">
        <v>623.70000000000005</v>
      </c>
      <c r="EZ152" s="783">
        <v>631.9</v>
      </c>
      <c r="FA152" s="659">
        <v>695.3</v>
      </c>
      <c r="FB152" s="659">
        <v>695.3</v>
      </c>
      <c r="FC152" s="659">
        <v>707.1</v>
      </c>
      <c r="FD152" s="659">
        <v>717.1</v>
      </c>
      <c r="FE152" s="659">
        <v>744.4</v>
      </c>
      <c r="FF152" s="659">
        <v>751.9</v>
      </c>
      <c r="FG152" s="659">
        <v>772</v>
      </c>
      <c r="FH152" s="659">
        <v>799.9</v>
      </c>
      <c r="FI152" s="659">
        <v>809.7</v>
      </c>
      <c r="FJ152" s="659">
        <v>836.2</v>
      </c>
      <c r="FK152" s="897">
        <v>836.2</v>
      </c>
      <c r="FL152" s="660">
        <v>841.3</v>
      </c>
      <c r="FM152" s="623">
        <v>863.6</v>
      </c>
      <c r="FN152" s="623">
        <v>894.4</v>
      </c>
      <c r="FO152" s="623">
        <v>908.5</v>
      </c>
      <c r="FP152" s="623">
        <v>929.2</v>
      </c>
      <c r="FQ152" s="623">
        <v>960.2</v>
      </c>
      <c r="FR152" s="623">
        <v>912.5</v>
      </c>
      <c r="FS152" s="623">
        <v>1011.6</v>
      </c>
      <c r="FT152" s="623">
        <v>1048.5</v>
      </c>
      <c r="FU152" s="897">
        <v>1063.5999999999999</v>
      </c>
      <c r="FV152" s="1167">
        <f t="shared" si="1"/>
        <v>1.0144015259895087</v>
      </c>
    </row>
    <row r="153" spans="1:178" s="115" customFormat="1" ht="33.75" customHeight="1">
      <c r="A153" s="1546">
        <v>1</v>
      </c>
      <c r="B153" s="408">
        <v>128</v>
      </c>
      <c r="C153" s="621">
        <v>31</v>
      </c>
      <c r="D153" s="622" t="s">
        <v>227</v>
      </c>
      <c r="E153" s="621"/>
      <c r="F153" s="622"/>
      <c r="G153" s="633" t="s">
        <v>405</v>
      </c>
      <c r="H153" s="621" t="s">
        <v>229</v>
      </c>
      <c r="I153" s="390" t="s">
        <v>777</v>
      </c>
      <c r="J153" s="651" t="s">
        <v>321</v>
      </c>
      <c r="K153" s="669"/>
      <c r="L153" s="665"/>
      <c r="M153" s="625"/>
      <c r="N153" s="625"/>
      <c r="O153" s="625"/>
      <c r="P153" s="625"/>
      <c r="Q153" s="625"/>
      <c r="R153" s="625"/>
      <c r="S153" s="625"/>
      <c r="T153" s="625"/>
      <c r="U153" s="625"/>
      <c r="V153" s="625"/>
      <c r="W153" s="625"/>
      <c r="X153" s="625">
        <v>281</v>
      </c>
      <c r="Y153" s="625">
        <v>298.8</v>
      </c>
      <c r="Z153" s="625">
        <v>292.36</v>
      </c>
      <c r="AA153" s="625">
        <v>277.93</v>
      </c>
      <c r="AB153" s="625">
        <v>268.61</v>
      </c>
      <c r="AC153" s="625">
        <v>271.61</v>
      </c>
      <c r="AD153" s="625">
        <v>268.2</v>
      </c>
      <c r="AE153" s="625">
        <v>278.31</v>
      </c>
      <c r="AF153" s="625">
        <v>277.72000000000003</v>
      </c>
      <c r="AG153" s="625">
        <v>273.72000000000003</v>
      </c>
      <c r="AH153" s="625">
        <v>277.72000000000003</v>
      </c>
      <c r="AI153" s="764">
        <v>281.13</v>
      </c>
      <c r="AJ153" s="772">
        <v>276.54000000000002</v>
      </c>
      <c r="AK153" s="625">
        <v>279.49</v>
      </c>
      <c r="AL153" s="625">
        <v>278.31</v>
      </c>
      <c r="AM153" s="625">
        <v>272.54000000000002</v>
      </c>
      <c r="AN153" s="625">
        <v>278.89999999999998</v>
      </c>
      <c r="AO153" s="625">
        <v>281.70999999999998</v>
      </c>
      <c r="AP153" s="625">
        <v>281.01</v>
      </c>
      <c r="AQ153" s="625">
        <v>285.60000000000002</v>
      </c>
      <c r="AR153" s="625">
        <v>284.42</v>
      </c>
      <c r="AS153" s="625">
        <v>283.23</v>
      </c>
      <c r="AT153" s="625">
        <v>247.45</v>
      </c>
      <c r="AU153" s="764">
        <v>282.64999999999998</v>
      </c>
      <c r="AV153" s="752">
        <v>281.47000000000003</v>
      </c>
      <c r="AW153" s="626">
        <v>279.24</v>
      </c>
      <c r="AX153" s="626">
        <v>279.24</v>
      </c>
      <c r="AY153" s="626">
        <v>278.06</v>
      </c>
      <c r="AZ153" s="626">
        <v>278.06</v>
      </c>
      <c r="BA153" s="628">
        <v>276.24</v>
      </c>
      <c r="BB153" s="628">
        <v>274.58</v>
      </c>
      <c r="BC153" s="627">
        <v>275.18</v>
      </c>
      <c r="BD153" s="626">
        <v>278.02999999999997</v>
      </c>
      <c r="BE153" s="627">
        <v>282.77</v>
      </c>
      <c r="BF153" s="627">
        <v>282.18</v>
      </c>
      <c r="BG153" s="738">
        <v>283.83</v>
      </c>
      <c r="BH153" s="660">
        <v>287.95</v>
      </c>
      <c r="BI153" s="623">
        <v>290.83</v>
      </c>
      <c r="BJ153" s="623">
        <v>278.58</v>
      </c>
      <c r="BK153" s="623">
        <v>278.58</v>
      </c>
      <c r="BL153" s="623">
        <v>276.35000000000002</v>
      </c>
      <c r="BM153" s="623">
        <v>279.18</v>
      </c>
      <c r="BN153" s="623">
        <v>279.18</v>
      </c>
      <c r="BO153" s="623">
        <v>278.58</v>
      </c>
      <c r="BP153" s="623">
        <v>280.35000000000002</v>
      </c>
      <c r="BQ153" s="623">
        <v>280.97000000000003</v>
      </c>
      <c r="BR153" s="623">
        <v>279.79000000000002</v>
      </c>
      <c r="BS153" s="659">
        <v>278.14</v>
      </c>
      <c r="BT153" s="660">
        <v>279.79000000000002</v>
      </c>
      <c r="BU153" s="623">
        <v>280.38</v>
      </c>
      <c r="BV153" s="623">
        <v>280.97000000000003</v>
      </c>
      <c r="BW153" s="623">
        <v>280.38</v>
      </c>
      <c r="BX153" s="623">
        <v>279.79000000000002</v>
      </c>
      <c r="BY153" s="623">
        <v>279.2</v>
      </c>
      <c r="BZ153" s="623">
        <v>281.58999999999997</v>
      </c>
      <c r="CA153" s="623">
        <v>285</v>
      </c>
      <c r="CB153" s="623">
        <v>285</v>
      </c>
      <c r="CC153" s="623">
        <v>305.94</v>
      </c>
      <c r="CD153" s="623">
        <v>303.72000000000003</v>
      </c>
      <c r="CE153" s="659">
        <v>304.77</v>
      </c>
      <c r="CF153" s="660">
        <v>303.72000000000003</v>
      </c>
      <c r="CG153" s="623">
        <v>285</v>
      </c>
      <c r="CH153" s="623">
        <v>285</v>
      </c>
      <c r="CI153" s="623">
        <v>285</v>
      </c>
      <c r="CJ153" s="623">
        <v>285.38</v>
      </c>
      <c r="CK153" s="623">
        <v>276.5</v>
      </c>
      <c r="CL153" s="623">
        <v>280.23</v>
      </c>
      <c r="CM153" s="623">
        <v>280.23</v>
      </c>
      <c r="CN153" s="623">
        <v>283.31</v>
      </c>
      <c r="CO153" s="623">
        <v>291.48</v>
      </c>
      <c r="CP153" s="623">
        <v>300.83</v>
      </c>
      <c r="CQ153" s="659">
        <v>309.24</v>
      </c>
      <c r="CR153" s="660">
        <v>311.79000000000002</v>
      </c>
      <c r="CS153" s="623">
        <v>315.57</v>
      </c>
      <c r="CT153" s="623">
        <v>327.07</v>
      </c>
      <c r="CU153" s="623">
        <v>330.23</v>
      </c>
      <c r="CV153" s="623">
        <v>333.4</v>
      </c>
      <c r="CW153" s="623">
        <v>336.55</v>
      </c>
      <c r="CX153" s="623">
        <v>339.11</v>
      </c>
      <c r="CY153" s="623">
        <v>342.03</v>
      </c>
      <c r="CZ153" s="623">
        <v>342.57</v>
      </c>
      <c r="DA153" s="623">
        <v>341.1</v>
      </c>
      <c r="DB153" s="725">
        <v>340.67</v>
      </c>
      <c r="DC153" s="659">
        <v>340.03</v>
      </c>
      <c r="DD153" s="783">
        <v>340.03</v>
      </c>
      <c r="DE153" s="623">
        <v>343.11</v>
      </c>
      <c r="DF153" s="725">
        <v>343.65</v>
      </c>
      <c r="DG153" s="659">
        <v>344.58</v>
      </c>
      <c r="DH153" s="623">
        <v>345.65</v>
      </c>
      <c r="DI153" s="623">
        <v>348.59</v>
      </c>
      <c r="DJ153" s="623">
        <v>341.38</v>
      </c>
      <c r="DK153" s="659">
        <v>341.38</v>
      </c>
      <c r="DL153" s="623">
        <v>350.6</v>
      </c>
      <c r="DM153" s="659">
        <v>350.91</v>
      </c>
      <c r="DN153" s="659">
        <v>351.44</v>
      </c>
      <c r="DO153" s="897">
        <v>352.92</v>
      </c>
      <c r="DP153" s="783">
        <v>352.92</v>
      </c>
      <c r="DQ153" s="659">
        <v>355.47</v>
      </c>
      <c r="DR153" s="659">
        <v>356.93</v>
      </c>
      <c r="DS153" s="659">
        <v>358.94</v>
      </c>
      <c r="DT153" s="623">
        <v>361.15</v>
      </c>
      <c r="DU153" s="659">
        <v>364.18</v>
      </c>
      <c r="DV153" s="659">
        <v>365.25</v>
      </c>
      <c r="DW153" s="659">
        <v>367.73</v>
      </c>
      <c r="DX153" s="659">
        <v>372.83</v>
      </c>
      <c r="DY153" s="659">
        <v>372.83</v>
      </c>
      <c r="DZ153" s="659">
        <v>376.52</v>
      </c>
      <c r="EA153" s="897">
        <v>377.46</v>
      </c>
      <c r="EB153" s="659">
        <v>380.09</v>
      </c>
      <c r="EC153" s="659">
        <v>382.01</v>
      </c>
      <c r="ED153" s="659">
        <v>400.44</v>
      </c>
      <c r="EE153" s="659">
        <v>403.02</v>
      </c>
      <c r="EF153" s="659">
        <v>408.35</v>
      </c>
      <c r="EG153" s="659">
        <v>412.27</v>
      </c>
      <c r="EH153" s="659">
        <v>415.91</v>
      </c>
      <c r="EI153" s="659">
        <v>423.89</v>
      </c>
      <c r="EJ153" s="659">
        <v>428.44</v>
      </c>
      <c r="EK153" s="623">
        <v>433.08</v>
      </c>
      <c r="EL153" s="725">
        <v>437.94</v>
      </c>
      <c r="EM153" s="659">
        <v>444.23</v>
      </c>
      <c r="EN153" s="783">
        <v>449.54</v>
      </c>
      <c r="EO153" s="659">
        <v>463.43</v>
      </c>
      <c r="EP153" s="659">
        <v>470.13</v>
      </c>
      <c r="EQ153" s="659">
        <v>475.29</v>
      </c>
      <c r="ER153" s="659">
        <v>481.59</v>
      </c>
      <c r="ES153" s="659">
        <v>489.63</v>
      </c>
      <c r="ET153" s="659">
        <v>497.69</v>
      </c>
      <c r="EU153" s="659">
        <v>509.31</v>
      </c>
      <c r="EV153" s="659">
        <v>522.46</v>
      </c>
      <c r="EW153" s="659">
        <v>531.29</v>
      </c>
      <c r="EX153" s="659">
        <v>543.41</v>
      </c>
      <c r="EY153" s="659">
        <v>563.83000000000004</v>
      </c>
      <c r="EZ153" s="783">
        <v>604.17999999999995</v>
      </c>
      <c r="FA153" s="659">
        <v>677.67</v>
      </c>
      <c r="FB153" s="659">
        <v>697.78</v>
      </c>
      <c r="FC153" s="659">
        <v>707.22</v>
      </c>
      <c r="FD153" s="659">
        <v>709</v>
      </c>
      <c r="FE153" s="659">
        <v>717.43</v>
      </c>
      <c r="FF153" s="659">
        <v>717.68</v>
      </c>
      <c r="FG153" s="659">
        <v>728.81</v>
      </c>
      <c r="FH153" s="659">
        <v>738.27</v>
      </c>
      <c r="FI153" s="659">
        <v>745.12</v>
      </c>
      <c r="FJ153" s="659">
        <v>748.49</v>
      </c>
      <c r="FK153" s="897">
        <v>752.37</v>
      </c>
      <c r="FL153" s="660">
        <v>756.97</v>
      </c>
      <c r="FM153" s="623">
        <v>763.77</v>
      </c>
      <c r="FN153" s="623">
        <v>762.29</v>
      </c>
      <c r="FO153" s="623">
        <v>767.57</v>
      </c>
      <c r="FP153" s="623">
        <v>776.29</v>
      </c>
      <c r="FQ153" s="623">
        <v>785.16</v>
      </c>
      <c r="FR153" s="623">
        <v>794.87</v>
      </c>
      <c r="FS153" s="623">
        <v>805.69</v>
      </c>
      <c r="FT153" s="623">
        <v>816.5</v>
      </c>
      <c r="FU153" s="897">
        <v>827.8</v>
      </c>
      <c r="FV153" s="1167">
        <f t="shared" si="1"/>
        <v>1.0138395590936926</v>
      </c>
    </row>
    <row r="154" spans="1:178" s="115" customFormat="1" ht="32.25" customHeight="1">
      <c r="A154" s="1546">
        <v>1</v>
      </c>
      <c r="B154" s="408">
        <v>129</v>
      </c>
      <c r="C154" s="621">
        <v>3311</v>
      </c>
      <c r="D154" s="622" t="s">
        <v>322</v>
      </c>
      <c r="E154" s="621"/>
      <c r="F154" s="622"/>
      <c r="G154" s="633" t="s">
        <v>403</v>
      </c>
      <c r="H154" s="621"/>
      <c r="I154" s="390" t="s">
        <v>323</v>
      </c>
      <c r="J154" s="651" t="s">
        <v>324</v>
      </c>
      <c r="K154" s="669"/>
      <c r="L154" s="665"/>
      <c r="M154" s="625"/>
      <c r="N154" s="625"/>
      <c r="O154" s="625"/>
      <c r="P154" s="625"/>
      <c r="Q154" s="625"/>
      <c r="R154" s="625"/>
      <c r="S154" s="625"/>
      <c r="T154" s="625"/>
      <c r="U154" s="625"/>
      <c r="V154" s="625"/>
      <c r="W154" s="625"/>
      <c r="X154" s="625">
        <v>172.74</v>
      </c>
      <c r="Y154" s="625">
        <v>174.67</v>
      </c>
      <c r="Z154" s="625">
        <v>174.03</v>
      </c>
      <c r="AA154" s="625">
        <v>173.12</v>
      </c>
      <c r="AB154" s="625">
        <v>172.63</v>
      </c>
      <c r="AC154" s="625">
        <v>172.22</v>
      </c>
      <c r="AD154" s="625">
        <v>171.04</v>
      </c>
      <c r="AE154" s="625">
        <v>172.07</v>
      </c>
      <c r="AF154" s="625">
        <v>171.9</v>
      </c>
      <c r="AG154" s="625">
        <v>171.92</v>
      </c>
      <c r="AH154" s="625">
        <v>172.02</v>
      </c>
      <c r="AI154" s="764">
        <v>172.36</v>
      </c>
      <c r="AJ154" s="772">
        <v>172.43</v>
      </c>
      <c r="AK154" s="625">
        <v>174.48</v>
      </c>
      <c r="AL154" s="625">
        <v>175.49</v>
      </c>
      <c r="AM154" s="625">
        <v>177.04</v>
      </c>
      <c r="AN154" s="625">
        <v>177.37</v>
      </c>
      <c r="AO154" s="625">
        <v>177.32</v>
      </c>
      <c r="AP154" s="625">
        <v>177.79</v>
      </c>
      <c r="AQ154" s="625">
        <v>178.85</v>
      </c>
      <c r="AR154" s="625">
        <v>177.1</v>
      </c>
      <c r="AS154" s="625">
        <v>177.21</v>
      </c>
      <c r="AT154" s="625">
        <v>177.42</v>
      </c>
      <c r="AU154" s="764">
        <v>177.46</v>
      </c>
      <c r="AV154" s="752">
        <v>179.64</v>
      </c>
      <c r="AW154" s="626">
        <v>179.61</v>
      </c>
      <c r="AX154" s="626">
        <v>180.21</v>
      </c>
      <c r="AY154" s="626">
        <v>180.28</v>
      </c>
      <c r="AZ154" s="626">
        <v>180.91</v>
      </c>
      <c r="BA154" s="626">
        <v>180.89</v>
      </c>
      <c r="BB154" s="626">
        <v>187.11</v>
      </c>
      <c r="BC154" s="627">
        <v>187.87</v>
      </c>
      <c r="BD154" s="626">
        <v>188.56</v>
      </c>
      <c r="BE154" s="627">
        <v>189.23</v>
      </c>
      <c r="BF154" s="627">
        <v>188.69</v>
      </c>
      <c r="BG154" s="738">
        <v>190.14</v>
      </c>
      <c r="BH154" s="660">
        <v>189.9</v>
      </c>
      <c r="BI154" s="623">
        <v>190.82</v>
      </c>
      <c r="BJ154" s="623">
        <v>190.85</v>
      </c>
      <c r="BK154" s="623">
        <v>191.97</v>
      </c>
      <c r="BL154" s="623">
        <v>197.61</v>
      </c>
      <c r="BM154" s="623">
        <v>197.89</v>
      </c>
      <c r="BN154" s="623">
        <v>201.4</v>
      </c>
      <c r="BO154" s="623">
        <v>201.63</v>
      </c>
      <c r="BP154" s="623">
        <v>201.66</v>
      </c>
      <c r="BQ154" s="623">
        <v>202.39</v>
      </c>
      <c r="BR154" s="623">
        <v>203.01</v>
      </c>
      <c r="BS154" s="659">
        <v>202.46</v>
      </c>
      <c r="BT154" s="660">
        <v>202.43</v>
      </c>
      <c r="BU154" s="623">
        <v>202.65</v>
      </c>
      <c r="BV154" s="623">
        <v>203.67</v>
      </c>
      <c r="BW154" s="623">
        <v>207.55</v>
      </c>
      <c r="BX154" s="623">
        <v>213.82</v>
      </c>
      <c r="BY154" s="623">
        <v>215.35</v>
      </c>
      <c r="BZ154" s="623">
        <v>216.21</v>
      </c>
      <c r="CA154" s="623">
        <v>222.28</v>
      </c>
      <c r="CB154" s="623">
        <v>222.86</v>
      </c>
      <c r="CC154" s="623">
        <v>224.29</v>
      </c>
      <c r="CD154" s="623">
        <v>224.98</v>
      </c>
      <c r="CE154" s="659">
        <v>226.22</v>
      </c>
      <c r="CF154" s="660">
        <v>226.28</v>
      </c>
      <c r="CG154" s="623">
        <v>230.01</v>
      </c>
      <c r="CH154" s="623">
        <v>230.46</v>
      </c>
      <c r="CI154" s="623">
        <v>235.66</v>
      </c>
      <c r="CJ154" s="623">
        <v>236.94</v>
      </c>
      <c r="CK154" s="623">
        <v>243.88</v>
      </c>
      <c r="CL154" s="623">
        <v>258.69</v>
      </c>
      <c r="CM154" s="623">
        <v>264.14</v>
      </c>
      <c r="CN154" s="623">
        <v>264.69</v>
      </c>
      <c r="CO154" s="623">
        <v>265.37</v>
      </c>
      <c r="CP154" s="623">
        <v>265.57</v>
      </c>
      <c r="CQ154" s="659">
        <v>266.89999999999998</v>
      </c>
      <c r="CR154" s="660">
        <v>267.55</v>
      </c>
      <c r="CS154" s="623">
        <v>267.97000000000003</v>
      </c>
      <c r="CT154" s="623">
        <v>269.63</v>
      </c>
      <c r="CU154" s="623">
        <v>270.49</v>
      </c>
      <c r="CV154" s="623">
        <v>270.8</v>
      </c>
      <c r="CW154" s="623">
        <v>273.39999999999998</v>
      </c>
      <c r="CX154" s="623">
        <v>273.39</v>
      </c>
      <c r="CY154" s="623">
        <v>276.66000000000003</v>
      </c>
      <c r="CZ154" s="623">
        <v>277.75</v>
      </c>
      <c r="DA154" s="623">
        <v>284.45999999999998</v>
      </c>
      <c r="DB154" s="725">
        <v>287.85000000000002</v>
      </c>
      <c r="DC154" s="659">
        <v>287.87</v>
      </c>
      <c r="DD154" s="783">
        <v>295.19</v>
      </c>
      <c r="DE154" s="623">
        <v>290.3</v>
      </c>
      <c r="DF154" s="725">
        <v>294.32</v>
      </c>
      <c r="DG154" s="659">
        <v>294.36</v>
      </c>
      <c r="DH154" s="623">
        <v>303.23</v>
      </c>
      <c r="DI154" s="623">
        <v>303.26</v>
      </c>
      <c r="DJ154" s="623">
        <v>304.22000000000003</v>
      </c>
      <c r="DK154" s="659">
        <v>307.42</v>
      </c>
      <c r="DL154" s="623">
        <v>314.29000000000002</v>
      </c>
      <c r="DM154" s="659">
        <v>316.73</v>
      </c>
      <c r="DN154" s="659">
        <v>319.36</v>
      </c>
      <c r="DO154" s="897">
        <v>325.99</v>
      </c>
      <c r="DP154" s="783">
        <v>333.21</v>
      </c>
      <c r="DQ154" s="659">
        <v>331.85</v>
      </c>
      <c r="DR154" s="659">
        <v>335.12</v>
      </c>
      <c r="DS154" s="659">
        <v>339.49</v>
      </c>
      <c r="DT154" s="623">
        <v>346.08</v>
      </c>
      <c r="DU154" s="659">
        <v>348.39</v>
      </c>
      <c r="DV154" s="659">
        <v>348.62</v>
      </c>
      <c r="DW154" s="659">
        <v>344.2</v>
      </c>
      <c r="DX154" s="659">
        <v>347.72</v>
      </c>
      <c r="DY154" s="659">
        <v>349.81</v>
      </c>
      <c r="DZ154" s="659">
        <v>364.41</v>
      </c>
      <c r="EA154" s="897">
        <v>362.32</v>
      </c>
      <c r="EB154" s="659">
        <v>368.96</v>
      </c>
      <c r="EC154" s="659">
        <v>368.72</v>
      </c>
      <c r="ED154" s="659">
        <v>379.09</v>
      </c>
      <c r="EE154" s="659">
        <v>380.95</v>
      </c>
      <c r="EF154" s="659">
        <v>390.31</v>
      </c>
      <c r="EG154" s="659">
        <v>393.46</v>
      </c>
      <c r="EH154" s="659">
        <v>403.69</v>
      </c>
      <c r="EI154" s="659">
        <v>398.38</v>
      </c>
      <c r="EJ154" s="659">
        <v>398.67</v>
      </c>
      <c r="EK154" s="623">
        <v>404.47</v>
      </c>
      <c r="EL154" s="725">
        <v>409.38</v>
      </c>
      <c r="EM154" s="659">
        <v>409.96</v>
      </c>
      <c r="EN154" s="783">
        <v>414.87</v>
      </c>
      <c r="EO154" s="659">
        <v>415.45</v>
      </c>
      <c r="EP154" s="659">
        <v>432.45</v>
      </c>
      <c r="EQ154" s="659">
        <v>438.69</v>
      </c>
      <c r="ER154" s="659">
        <v>451.08</v>
      </c>
      <c r="ES154" s="659">
        <v>451.15</v>
      </c>
      <c r="ET154" s="659">
        <v>456.73</v>
      </c>
      <c r="EU154" s="659">
        <v>458.2</v>
      </c>
      <c r="EV154" s="659">
        <v>462.75</v>
      </c>
      <c r="EW154" s="659">
        <v>469.42</v>
      </c>
      <c r="EX154" s="659">
        <v>475.87</v>
      </c>
      <c r="EY154" s="659">
        <v>481.01</v>
      </c>
      <c r="EZ154" s="783">
        <v>492.54</v>
      </c>
      <c r="FA154" s="659">
        <v>524.64</v>
      </c>
      <c r="FB154" s="659">
        <v>549.65</v>
      </c>
      <c r="FC154" s="659">
        <v>551.96</v>
      </c>
      <c r="FD154" s="659">
        <v>553.6</v>
      </c>
      <c r="FE154" s="659">
        <v>564.16</v>
      </c>
      <c r="FF154" s="659">
        <v>568.17999999999995</v>
      </c>
      <c r="FG154" s="659">
        <v>580.9</v>
      </c>
      <c r="FH154" s="659">
        <v>589.08000000000004</v>
      </c>
      <c r="FI154" s="659">
        <v>618.53</v>
      </c>
      <c r="FJ154" s="659">
        <v>617.07000000000005</v>
      </c>
      <c r="FK154" s="897">
        <v>617.91</v>
      </c>
      <c r="FL154" s="660">
        <v>619.57000000000005</v>
      </c>
      <c r="FM154" s="623">
        <v>627.64</v>
      </c>
      <c r="FN154" s="623">
        <v>628.80999999999995</v>
      </c>
      <c r="FO154" s="623">
        <v>643.34</v>
      </c>
      <c r="FP154" s="623">
        <v>657.36</v>
      </c>
      <c r="FQ154" s="623">
        <v>661.48</v>
      </c>
      <c r="FR154" s="623">
        <v>663.74</v>
      </c>
      <c r="FS154" s="623">
        <v>676.14</v>
      </c>
      <c r="FT154" s="623">
        <v>678.83</v>
      </c>
      <c r="FU154" s="897">
        <v>693.07</v>
      </c>
      <c r="FV154" s="1167">
        <f t="shared" si="1"/>
        <v>1.0209772697140669</v>
      </c>
    </row>
    <row r="155" spans="1:178" s="115" customFormat="1" ht="30.75" customHeight="1">
      <c r="A155" s="1546">
        <v>1</v>
      </c>
      <c r="B155" s="644">
        <v>130</v>
      </c>
      <c r="C155" s="645">
        <v>33</v>
      </c>
      <c r="D155" s="646" t="s">
        <v>325</v>
      </c>
      <c r="E155" s="645"/>
      <c r="F155" s="646"/>
      <c r="G155" s="1367" t="s">
        <v>404</v>
      </c>
      <c r="H155" s="645"/>
      <c r="I155" s="876" t="s">
        <v>326</v>
      </c>
      <c r="J155" s="869" t="s">
        <v>327</v>
      </c>
      <c r="K155" s="877"/>
      <c r="L155" s="878"/>
      <c r="M155" s="879"/>
      <c r="N155" s="879"/>
      <c r="O155" s="879"/>
      <c r="P155" s="879"/>
      <c r="Q155" s="879"/>
      <c r="R155" s="879"/>
      <c r="S155" s="879"/>
      <c r="T155" s="879"/>
      <c r="U155" s="879"/>
      <c r="V155" s="879"/>
      <c r="W155" s="879"/>
      <c r="X155" s="879">
        <v>150.91999999999999</v>
      </c>
      <c r="Y155" s="879">
        <v>151.65</v>
      </c>
      <c r="Z155" s="879">
        <v>151.31</v>
      </c>
      <c r="AA155" s="879">
        <v>150.82</v>
      </c>
      <c r="AB155" s="879">
        <v>150.56</v>
      </c>
      <c r="AC155" s="879">
        <v>150.34</v>
      </c>
      <c r="AD155" s="879">
        <v>149.69999999999999</v>
      </c>
      <c r="AE155" s="879">
        <v>151.1</v>
      </c>
      <c r="AF155" s="879">
        <v>151</v>
      </c>
      <c r="AG155" s="879">
        <v>151.02000000000001</v>
      </c>
      <c r="AH155" s="879">
        <v>151.07</v>
      </c>
      <c r="AI155" s="880">
        <v>151.25</v>
      </c>
      <c r="AJ155" s="881">
        <v>151.29</v>
      </c>
      <c r="AK155" s="879">
        <v>152.38999999999999</v>
      </c>
      <c r="AL155" s="879">
        <v>152.93</v>
      </c>
      <c r="AM155" s="879">
        <v>153.76</v>
      </c>
      <c r="AN155" s="879">
        <v>153.94</v>
      </c>
      <c r="AO155" s="879">
        <v>153.91</v>
      </c>
      <c r="AP155" s="879">
        <v>154.16999999999999</v>
      </c>
      <c r="AQ155" s="879">
        <v>154.72999999999999</v>
      </c>
      <c r="AR155" s="879">
        <v>152.79</v>
      </c>
      <c r="AS155" s="879">
        <v>152.21</v>
      </c>
      <c r="AT155" s="879">
        <v>152.96</v>
      </c>
      <c r="AU155" s="880">
        <v>152.99</v>
      </c>
      <c r="AV155" s="882">
        <v>154.15</v>
      </c>
      <c r="AW155" s="883">
        <v>154.13999999999999</v>
      </c>
      <c r="AX155" s="883">
        <v>154.47</v>
      </c>
      <c r="AY155" s="883">
        <v>154.5</v>
      </c>
      <c r="AZ155" s="883">
        <v>155.05000000000001</v>
      </c>
      <c r="BA155" s="883">
        <v>155.24</v>
      </c>
      <c r="BB155" s="883">
        <v>158.37</v>
      </c>
      <c r="BC155" s="884">
        <v>158.57</v>
      </c>
      <c r="BD155" s="883">
        <v>158.94</v>
      </c>
      <c r="BE155" s="884">
        <v>159.22999999999999</v>
      </c>
      <c r="BF155" s="884">
        <v>159.16</v>
      </c>
      <c r="BG155" s="885">
        <v>159.63999999999999</v>
      </c>
      <c r="BH155" s="886">
        <v>159.96</v>
      </c>
      <c r="BI155" s="887">
        <v>160.49</v>
      </c>
      <c r="BJ155" s="887">
        <v>162.32</v>
      </c>
      <c r="BK155" s="887">
        <v>163.29</v>
      </c>
      <c r="BL155" s="887">
        <v>166.17</v>
      </c>
      <c r="BM155" s="887">
        <v>166.71</v>
      </c>
      <c r="BN155" s="887">
        <v>166.8</v>
      </c>
      <c r="BO155" s="887">
        <v>167</v>
      </c>
      <c r="BP155" s="887">
        <v>166.88</v>
      </c>
      <c r="BQ155" s="887">
        <v>167.44</v>
      </c>
      <c r="BR155" s="887">
        <v>167.56</v>
      </c>
      <c r="BS155" s="888">
        <v>167.26</v>
      </c>
      <c r="BT155" s="886">
        <v>167.92</v>
      </c>
      <c r="BU155" s="887">
        <v>167.22</v>
      </c>
      <c r="BV155" s="887">
        <v>168.46</v>
      </c>
      <c r="BW155" s="887">
        <v>173.26</v>
      </c>
      <c r="BX155" s="887">
        <v>177.77</v>
      </c>
      <c r="BY155" s="887">
        <v>178.55</v>
      </c>
      <c r="BZ155" s="887">
        <v>179</v>
      </c>
      <c r="CA155" s="887">
        <v>184.9</v>
      </c>
      <c r="CB155" s="887">
        <v>187.38</v>
      </c>
      <c r="CC155" s="887">
        <v>189.45</v>
      </c>
      <c r="CD155" s="887">
        <v>189.61</v>
      </c>
      <c r="CE155" s="888">
        <v>190.6</v>
      </c>
      <c r="CF155" s="886">
        <v>191.63</v>
      </c>
      <c r="CG155" s="887">
        <v>193.03</v>
      </c>
      <c r="CH155" s="887">
        <v>196.94</v>
      </c>
      <c r="CI155" s="887">
        <v>199.73</v>
      </c>
      <c r="CJ155" s="887">
        <v>200.9</v>
      </c>
      <c r="CK155" s="887">
        <v>204.83</v>
      </c>
      <c r="CL155" s="887">
        <v>212.32</v>
      </c>
      <c r="CM155" s="887">
        <v>215.18</v>
      </c>
      <c r="CN155" s="887">
        <v>217.95</v>
      </c>
      <c r="CO155" s="887">
        <v>219.35</v>
      </c>
      <c r="CP155" s="887">
        <v>219.89</v>
      </c>
      <c r="CQ155" s="888">
        <v>224.11</v>
      </c>
      <c r="CR155" s="886">
        <v>224.45</v>
      </c>
      <c r="CS155" s="887">
        <v>226.92</v>
      </c>
      <c r="CT155" s="887">
        <v>228.06</v>
      </c>
      <c r="CU155" s="887">
        <v>230.07</v>
      </c>
      <c r="CV155" s="887">
        <v>230.45</v>
      </c>
      <c r="CW155" s="887">
        <v>232.42</v>
      </c>
      <c r="CX155" s="887">
        <v>232.19</v>
      </c>
      <c r="CY155" s="887">
        <v>234.5</v>
      </c>
      <c r="CZ155" s="887">
        <v>236.21</v>
      </c>
      <c r="DA155" s="887">
        <v>239.89</v>
      </c>
      <c r="DB155" s="889">
        <v>242.01</v>
      </c>
      <c r="DC155" s="888">
        <v>242.56</v>
      </c>
      <c r="DD155" s="890">
        <v>247.55</v>
      </c>
      <c r="DE155" s="887">
        <v>245.08</v>
      </c>
      <c r="DF155" s="889">
        <v>249.13</v>
      </c>
      <c r="DG155" s="888">
        <v>249.2</v>
      </c>
      <c r="DH155" s="887">
        <v>253.4</v>
      </c>
      <c r="DI155" s="887">
        <v>253.45</v>
      </c>
      <c r="DJ155" s="887">
        <v>254.51</v>
      </c>
      <c r="DK155" s="888">
        <v>256.37</v>
      </c>
      <c r="DL155" s="887">
        <v>259.33</v>
      </c>
      <c r="DM155" s="888">
        <v>262.27</v>
      </c>
      <c r="DN155" s="888">
        <v>264.25</v>
      </c>
      <c r="DO155" s="968">
        <v>267.58999999999997</v>
      </c>
      <c r="DP155" s="890">
        <v>271.33999999999997</v>
      </c>
      <c r="DQ155" s="888">
        <v>270.51</v>
      </c>
      <c r="DR155" s="888">
        <v>272.5</v>
      </c>
      <c r="DS155" s="888">
        <v>274.31</v>
      </c>
      <c r="DT155" s="887">
        <v>279.11</v>
      </c>
      <c r="DU155" s="888">
        <v>283.10000000000002</v>
      </c>
      <c r="DV155" s="888">
        <v>285.75</v>
      </c>
      <c r="DW155" s="888">
        <v>284.11</v>
      </c>
      <c r="DX155" s="888">
        <v>286.16000000000003</v>
      </c>
      <c r="DY155" s="888">
        <v>287.73</v>
      </c>
      <c r="DZ155" s="888">
        <v>295.58999999999997</v>
      </c>
      <c r="EA155" s="968">
        <v>294.66000000000003</v>
      </c>
      <c r="EB155" s="888">
        <v>298.74</v>
      </c>
      <c r="EC155" s="888">
        <v>299.88</v>
      </c>
      <c r="ED155" s="888">
        <v>305.2</v>
      </c>
      <c r="EE155" s="888">
        <v>306.64999999999998</v>
      </c>
      <c r="EF155" s="888">
        <v>322.68</v>
      </c>
      <c r="EG155" s="888">
        <v>325.26</v>
      </c>
      <c r="EH155" s="888">
        <v>333.06</v>
      </c>
      <c r="EI155" s="888">
        <v>330.33</v>
      </c>
      <c r="EJ155" s="888">
        <v>330.31</v>
      </c>
      <c r="EK155" s="887">
        <v>336.83</v>
      </c>
      <c r="EL155" s="888">
        <v>339.14</v>
      </c>
      <c r="EM155" s="888">
        <v>343.75</v>
      </c>
      <c r="EN155" s="890">
        <v>346.63</v>
      </c>
      <c r="EO155" s="888">
        <v>347.15</v>
      </c>
      <c r="EP155" s="888">
        <v>355.92</v>
      </c>
      <c r="EQ155" s="888">
        <v>359.7</v>
      </c>
      <c r="ER155" s="888">
        <v>368.48</v>
      </c>
      <c r="ES155" s="888">
        <v>368.74</v>
      </c>
      <c r="ET155" s="888">
        <v>373.89</v>
      </c>
      <c r="EU155" s="659">
        <v>378.24</v>
      </c>
      <c r="EV155" s="659">
        <v>380.04</v>
      </c>
      <c r="EW155" s="659">
        <v>385.87</v>
      </c>
      <c r="EX155" s="659">
        <v>386.3</v>
      </c>
      <c r="EY155" s="659">
        <v>391.99</v>
      </c>
      <c r="EZ155" s="783">
        <v>398.17</v>
      </c>
      <c r="FA155" s="659">
        <v>419.76</v>
      </c>
      <c r="FB155" s="659">
        <v>436.63</v>
      </c>
      <c r="FC155" s="659">
        <v>438.48</v>
      </c>
      <c r="FD155" s="659">
        <v>439.36</v>
      </c>
      <c r="FE155" s="659">
        <v>447.49</v>
      </c>
      <c r="FF155" s="659">
        <v>463.71</v>
      </c>
      <c r="FG155" s="659">
        <v>471.12</v>
      </c>
      <c r="FH155" s="659">
        <v>475.92</v>
      </c>
      <c r="FI155" s="659">
        <v>492.04</v>
      </c>
      <c r="FJ155" s="659">
        <v>491.14</v>
      </c>
      <c r="FK155" s="897">
        <v>492.09</v>
      </c>
      <c r="FL155" s="660">
        <v>494.89</v>
      </c>
      <c r="FM155" s="623">
        <v>505.27</v>
      </c>
      <c r="FN155" s="623">
        <v>506.24</v>
      </c>
      <c r="FO155" s="623">
        <v>512.88</v>
      </c>
      <c r="FP155" s="623">
        <v>521.58000000000004</v>
      </c>
      <c r="FQ155" s="623">
        <v>525.65</v>
      </c>
      <c r="FR155" s="623">
        <v>528.45000000000005</v>
      </c>
      <c r="FS155" s="623">
        <v>535.49</v>
      </c>
      <c r="FT155" s="623">
        <v>542.04999999999995</v>
      </c>
      <c r="FU155" s="897">
        <v>553.07000000000005</v>
      </c>
      <c r="FV155" s="1167">
        <f t="shared" si="1"/>
        <v>1.0203302278387605</v>
      </c>
    </row>
    <row r="156" spans="1:178" s="115" customFormat="1" ht="13.5" customHeight="1">
      <c r="A156" s="1546">
        <v>1</v>
      </c>
      <c r="B156" s="408"/>
      <c r="C156" s="621"/>
      <c r="D156" s="622"/>
      <c r="E156" s="621"/>
      <c r="F156" s="622"/>
      <c r="G156" s="621"/>
      <c r="H156" s="621"/>
      <c r="I156" s="390"/>
      <c r="J156" s="651"/>
      <c r="K156" s="669"/>
      <c r="L156" s="665"/>
      <c r="M156" s="625"/>
      <c r="N156" s="625"/>
      <c r="O156" s="625"/>
      <c r="P156" s="625"/>
      <c r="Q156" s="625"/>
      <c r="R156" s="625"/>
      <c r="S156" s="625"/>
      <c r="T156" s="625"/>
      <c r="U156" s="625"/>
      <c r="V156" s="625"/>
      <c r="W156" s="625"/>
      <c r="X156" s="625"/>
      <c r="Y156" s="625"/>
      <c r="Z156" s="625"/>
      <c r="AA156" s="625"/>
      <c r="AB156" s="625"/>
      <c r="AC156" s="625"/>
      <c r="AD156" s="625"/>
      <c r="AE156" s="625"/>
      <c r="AF156" s="625"/>
      <c r="AG156" s="625"/>
      <c r="AH156" s="625"/>
      <c r="AI156" s="764"/>
      <c r="AJ156" s="772"/>
      <c r="AK156" s="625"/>
      <c r="AL156" s="625"/>
      <c r="AM156" s="625"/>
      <c r="AN156" s="625"/>
      <c r="AO156" s="625"/>
      <c r="AP156" s="625"/>
      <c r="AQ156" s="625"/>
      <c r="AR156" s="625"/>
      <c r="AS156" s="625"/>
      <c r="AT156" s="625"/>
      <c r="AU156" s="764"/>
      <c r="AV156" s="752"/>
      <c r="AW156" s="626"/>
      <c r="AX156" s="626"/>
      <c r="AY156" s="626"/>
      <c r="AZ156" s="626"/>
      <c r="BA156" s="628"/>
      <c r="BB156" s="628"/>
      <c r="BC156" s="627"/>
      <c r="BD156" s="626"/>
      <c r="BE156" s="627"/>
      <c r="BF156" s="627"/>
      <c r="BG156" s="738"/>
      <c r="BH156" s="660"/>
      <c r="BI156" s="623"/>
      <c r="BJ156" s="623"/>
      <c r="BK156" s="623"/>
      <c r="BL156" s="623"/>
      <c r="BM156" s="623"/>
      <c r="BN156" s="623"/>
      <c r="BO156" s="623"/>
      <c r="BP156" s="623"/>
      <c r="BQ156" s="623"/>
      <c r="BR156" s="623"/>
      <c r="BS156" s="659"/>
      <c r="BT156" s="660"/>
      <c r="BU156" s="623"/>
      <c r="BV156" s="623"/>
      <c r="BW156" s="623"/>
      <c r="BX156" s="623"/>
      <c r="BY156" s="623"/>
      <c r="BZ156" s="623"/>
      <c r="CA156" s="623"/>
      <c r="CB156" s="623"/>
      <c r="CC156" s="623"/>
      <c r="CD156" s="623"/>
      <c r="CE156" s="659"/>
      <c r="CF156" s="660"/>
      <c r="CG156" s="623"/>
      <c r="CH156" s="623"/>
      <c r="CI156" s="623"/>
      <c r="CJ156" s="623"/>
      <c r="CK156" s="623"/>
      <c r="CL156" s="623"/>
      <c r="CM156" s="623"/>
      <c r="CN156" s="623"/>
      <c r="CO156" s="623"/>
      <c r="CP156" s="623"/>
      <c r="CQ156" s="659"/>
      <c r="CR156" s="660"/>
      <c r="CS156" s="623"/>
      <c r="CT156" s="623"/>
      <c r="CU156" s="623"/>
      <c r="CV156" s="623"/>
      <c r="CW156" s="623"/>
      <c r="CX156" s="623"/>
      <c r="CY156" s="623"/>
      <c r="CZ156" s="623"/>
      <c r="DA156" s="623"/>
      <c r="DB156" s="725"/>
      <c r="DC156" s="659"/>
      <c r="DD156" s="783"/>
      <c r="DE156" s="623"/>
      <c r="DF156" s="725"/>
      <c r="DG156" s="659"/>
      <c r="DH156" s="623"/>
      <c r="DI156" s="623"/>
      <c r="DJ156" s="623"/>
      <c r="DK156" s="659"/>
      <c r="DL156" s="623"/>
      <c r="DM156" s="659"/>
      <c r="DN156" s="659"/>
      <c r="DO156" s="897"/>
      <c r="DP156" s="783"/>
      <c r="DQ156" s="659"/>
      <c r="DR156" s="659"/>
      <c r="DS156" s="659"/>
      <c r="DT156" s="623"/>
      <c r="DU156" s="659"/>
      <c r="DV156" s="659"/>
      <c r="DW156" s="659"/>
      <c r="DX156" s="659"/>
      <c r="DY156" s="659"/>
      <c r="DZ156" s="659"/>
      <c r="EA156" s="897"/>
      <c r="EB156" s="659"/>
      <c r="EC156" s="659"/>
      <c r="ED156" s="659"/>
      <c r="EE156" s="659"/>
      <c r="EF156" s="659"/>
      <c r="EG156" s="659"/>
      <c r="EH156" s="659"/>
      <c r="EI156" s="659"/>
      <c r="EJ156" s="659"/>
      <c r="EK156" s="623"/>
      <c r="EL156" s="659"/>
      <c r="EM156" s="659"/>
      <c r="EN156" s="783"/>
      <c r="EO156" s="659"/>
      <c r="EP156" s="659"/>
      <c r="EQ156" s="659"/>
      <c r="ER156" s="659"/>
      <c r="ES156" s="659"/>
      <c r="ET156" s="659"/>
      <c r="EU156" s="659"/>
      <c r="EV156" s="659"/>
      <c r="EW156" s="659"/>
      <c r="EX156" s="659"/>
      <c r="EY156" s="659"/>
      <c r="EZ156" s="783"/>
      <c r="FA156" s="659"/>
      <c r="FB156" s="659"/>
      <c r="FC156" s="659"/>
      <c r="FD156" s="659"/>
      <c r="FE156" s="659"/>
      <c r="FF156" s="659"/>
      <c r="FG156" s="659"/>
      <c r="FH156" s="659"/>
      <c r="FI156" s="659"/>
      <c r="FJ156" s="659"/>
      <c r="FK156" s="897"/>
      <c r="FL156" s="660"/>
      <c r="FM156" s="623"/>
      <c r="FN156" s="623"/>
      <c r="FO156" s="623"/>
      <c r="FP156" s="623"/>
      <c r="FQ156" s="623"/>
      <c r="FR156" s="623"/>
      <c r="FS156" s="623"/>
      <c r="FT156" s="623"/>
      <c r="FU156" s="897"/>
      <c r="FV156" s="1167"/>
    </row>
    <row r="157" spans="1:178" s="115" customFormat="1" ht="18.75" customHeight="1">
      <c r="A157" s="1546">
        <v>1</v>
      </c>
      <c r="B157" s="408">
        <v>131</v>
      </c>
      <c r="C157" s="621"/>
      <c r="D157" s="622" t="s">
        <v>328</v>
      </c>
      <c r="E157" s="621"/>
      <c r="F157" s="622"/>
      <c r="G157" s="621" t="s">
        <v>900</v>
      </c>
      <c r="H157" s="621"/>
      <c r="I157" s="390" t="s">
        <v>430</v>
      </c>
      <c r="J157" s="2921" t="s">
        <v>635</v>
      </c>
      <c r="K157" s="669">
        <v>100</v>
      </c>
      <c r="L157" s="665">
        <v>104.37057546329473</v>
      </c>
      <c r="M157" s="625">
        <v>106.62529245673582</v>
      </c>
      <c r="N157" s="625">
        <v>110.80928041801189</v>
      </c>
      <c r="O157" s="625">
        <v>148.52108926290339</v>
      </c>
      <c r="P157" s="625">
        <v>176.74287182652893</v>
      </c>
      <c r="Q157" s="625">
        <v>203.76250318085769</v>
      </c>
      <c r="R157" s="625">
        <v>214.86549871576145</v>
      </c>
      <c r="S157" s="625">
        <v>219.03486108947766</v>
      </c>
      <c r="T157" s="625">
        <v>225.58399917142199</v>
      </c>
      <c r="U157" s="625">
        <v>230.22145055504089</v>
      </c>
      <c r="V157" s="625">
        <v>231.02317013100028</v>
      </c>
      <c r="W157" s="625">
        <v>231.43180172947612</v>
      </c>
      <c r="X157" s="625">
        <v>233.96</v>
      </c>
      <c r="Y157" s="625">
        <v>233.41</v>
      </c>
      <c r="Z157" s="625">
        <v>233.69</v>
      </c>
      <c r="AA157" s="625">
        <v>232.84</v>
      </c>
      <c r="AB157" s="625">
        <v>232.63</v>
      </c>
      <c r="AC157" s="625">
        <v>232.7</v>
      </c>
      <c r="AD157" s="625">
        <v>234.84</v>
      </c>
      <c r="AE157" s="625">
        <v>236.86</v>
      </c>
      <c r="AF157" s="625">
        <v>235.85</v>
      </c>
      <c r="AG157" s="625">
        <v>236.42</v>
      </c>
      <c r="AH157" s="625">
        <v>237.29</v>
      </c>
      <c r="AI157" s="764">
        <v>240.36</v>
      </c>
      <c r="AJ157" s="772">
        <v>243.02</v>
      </c>
      <c r="AK157" s="625">
        <v>246.28</v>
      </c>
      <c r="AL157" s="625">
        <v>249.48</v>
      </c>
      <c r="AM157" s="625">
        <v>251.02</v>
      </c>
      <c r="AN157" s="625">
        <v>255.4</v>
      </c>
      <c r="AO157" s="625">
        <v>257.58999999999997</v>
      </c>
      <c r="AP157" s="625">
        <v>258.29000000000002</v>
      </c>
      <c r="AQ157" s="625">
        <v>263.47000000000003</v>
      </c>
      <c r="AR157" s="625">
        <f>+'ANEXO D'!AD30</f>
        <v>264.89999999999998</v>
      </c>
      <c r="AS157" s="625">
        <f>+'ANEXO D'!AE30</f>
        <v>265.3</v>
      </c>
      <c r="AT157" s="625">
        <f>+'ANEXO D'!AF30</f>
        <v>265.38</v>
      </c>
      <c r="AU157" s="764">
        <f>+'ANEXO D'!AG30</f>
        <v>266.81</v>
      </c>
      <c r="AV157" s="752">
        <f>+'ANEXO D'!AH30</f>
        <v>255.51</v>
      </c>
      <c r="AW157" s="626">
        <f>+'ANEXO D'!AI30</f>
        <v>274.48</v>
      </c>
      <c r="AX157" s="626">
        <f>+'ANEXO D'!AJ30</f>
        <v>285.08</v>
      </c>
      <c r="AY157" s="626">
        <f>+'ANEXO D'!AK30</f>
        <v>286.47000000000003</v>
      </c>
      <c r="AZ157" s="626">
        <f>+'ANEXO D'!AL30</f>
        <v>286.82</v>
      </c>
      <c r="BA157" s="626">
        <f>+'ANEXO D'!AM30</f>
        <v>286.17</v>
      </c>
      <c r="BB157" s="626">
        <f>+'ANEXO D'!AN30</f>
        <v>286.63</v>
      </c>
      <c r="BC157" s="626">
        <f>+'ANEXO D'!AO30</f>
        <v>287.73</v>
      </c>
      <c r="BD157" s="626">
        <f>+'ANEXO D'!AP30</f>
        <v>290.23</v>
      </c>
      <c r="BE157" s="626">
        <f>+'ANEXO D'!AQ30</f>
        <v>291.54000000000002</v>
      </c>
      <c r="BF157" s="626">
        <f>+'ANEXO D'!AR30</f>
        <v>299.19</v>
      </c>
      <c r="BG157" s="749">
        <f>+'ANEXO D'!AS30</f>
        <v>301.79000000000002</v>
      </c>
      <c r="BH157" s="660">
        <f>+'ANEXO D'!AT30</f>
        <v>305.11</v>
      </c>
      <c r="BI157" s="623">
        <f>+'ANEXO D'!AU30</f>
        <v>306.18</v>
      </c>
      <c r="BJ157" s="623">
        <f>+'ANEXO D'!AV30</f>
        <v>309.91000000000003</v>
      </c>
      <c r="BK157" s="623">
        <f>+'ANEXO D'!AW30</f>
        <v>309.91000000000003</v>
      </c>
      <c r="BL157" s="623">
        <f>+'ANEXO D'!AX30</f>
        <v>314.08999999999997</v>
      </c>
      <c r="BM157" s="623">
        <f>+'ANEXO D'!AY30</f>
        <v>316.25</v>
      </c>
      <c r="BN157" s="623">
        <f>+'ANEXO D'!AZ30</f>
        <v>320.33999999999997</v>
      </c>
      <c r="BO157" s="623">
        <f>+'ANEXO D'!BA30</f>
        <v>322.19</v>
      </c>
      <c r="BP157" s="623">
        <f>+'ANEXO D'!BB30</f>
        <v>313</v>
      </c>
      <c r="BQ157" s="623">
        <f>+'ANEXO D'!BC30</f>
        <v>329.04</v>
      </c>
      <c r="BR157" s="623">
        <f>+'ANEXO D'!BD30</f>
        <v>328.71</v>
      </c>
      <c r="BS157" s="659">
        <f>+'ANEXO D'!BE30</f>
        <v>329.53</v>
      </c>
      <c r="BT157" s="660">
        <f>+'ANEXO D'!BF30</f>
        <v>333.82</v>
      </c>
      <c r="BU157" s="623">
        <f>+'ANEXO D'!BG30</f>
        <v>335.28</v>
      </c>
      <c r="BV157" s="623">
        <f>+'ANEXO D'!BH30</f>
        <v>335.83</v>
      </c>
      <c r="BW157" s="623">
        <f>+'ANEXO D'!BI30</f>
        <v>337.63</v>
      </c>
      <c r="BX157" s="623">
        <f>+'ANEXO D'!BJ30</f>
        <v>346.66</v>
      </c>
      <c r="BY157" s="623">
        <f>+'ANEXO D'!BK30</f>
        <v>348.41</v>
      </c>
      <c r="BZ157" s="623">
        <f>+'ANEXO D'!BL30</f>
        <v>355.64</v>
      </c>
      <c r="CA157" s="623">
        <f>+'ANEXO D'!BM30</f>
        <v>359.37</v>
      </c>
      <c r="CB157" s="623">
        <f>+'ANEXO D'!BN30</f>
        <v>361.83</v>
      </c>
      <c r="CC157" s="623">
        <v>364.72</v>
      </c>
      <c r="CD157" s="623">
        <f>+'ANEXO D'!BP30</f>
        <v>368.02</v>
      </c>
      <c r="CE157" s="659">
        <f>+'ANEXO D'!BQ30</f>
        <v>380.08</v>
      </c>
      <c r="CF157" s="660">
        <f>+'ANEXO D'!BR30</f>
        <v>376.75</v>
      </c>
      <c r="CG157" s="623">
        <f>+'ANEXO D'!BS30</f>
        <v>371.39</v>
      </c>
      <c r="CH157" s="623">
        <f>+'ANEXO D'!BT30</f>
        <v>375.08</v>
      </c>
      <c r="CI157" s="623">
        <f>+'ANEXO D'!BU30</f>
        <v>385.93</v>
      </c>
      <c r="CJ157" s="623">
        <f>+'ANEXO D'!BV30</f>
        <v>392.9</v>
      </c>
      <c r="CK157" s="623">
        <f>+'ANEXO D'!BW30</f>
        <v>397.75</v>
      </c>
      <c r="CL157" s="623">
        <f>+'ANEXO D'!BX30</f>
        <v>407.69</v>
      </c>
      <c r="CM157" s="623">
        <f>+'ANEXO D'!BY30</f>
        <v>409.17</v>
      </c>
      <c r="CN157" s="623">
        <f>+'ANEXO D'!BZ30</f>
        <v>414.6</v>
      </c>
      <c r="CO157" s="623">
        <f>+'ANEXO D'!CA30</f>
        <v>418.7</v>
      </c>
      <c r="CP157" s="623">
        <f>+'ANEXO D'!CB30</f>
        <v>422.74</v>
      </c>
      <c r="CQ157" s="659">
        <f>+'ANEXO D'!CC30</f>
        <v>425.11</v>
      </c>
      <c r="CR157" s="660">
        <f>'ANEXO D'!CD30</f>
        <v>428.89</v>
      </c>
      <c r="CS157" s="623">
        <f>'ANEXO D'!CE30</f>
        <v>432.17</v>
      </c>
      <c r="CT157" s="623">
        <f>'ANEXO D'!CF30</f>
        <v>437.04</v>
      </c>
      <c r="CU157" s="623">
        <f>'ANEXO D'!CG30</f>
        <v>443.7</v>
      </c>
      <c r="CV157" s="623">
        <f>'ANEXO D'!CH30</f>
        <v>452.42</v>
      </c>
      <c r="CW157" s="623">
        <f>'ANEXO D'!CI30</f>
        <v>461.64</v>
      </c>
      <c r="CX157" s="623">
        <f>'ANEXO D'!CJ30</f>
        <v>469.59</v>
      </c>
      <c r="CY157" s="623">
        <f>'ANEXO D'!CK30</f>
        <v>474.19</v>
      </c>
      <c r="CZ157" s="623">
        <f>'ANEXO D'!CL30</f>
        <v>476.98</v>
      </c>
      <c r="DA157" s="623">
        <f>'ANEXO D'!CM30</f>
        <v>487.52</v>
      </c>
      <c r="DB157" s="659">
        <f>'ANEXO D'!CN30</f>
        <v>489.46</v>
      </c>
      <c r="DC157" s="659">
        <f>'ANEXO D'!CO30</f>
        <v>490.87</v>
      </c>
      <c r="DD157" s="783">
        <f>'ANEXO D'!CP30</f>
        <v>491.52</v>
      </c>
      <c r="DE157" s="623">
        <f>'ANEXO D'!CQ30</f>
        <v>496.5</v>
      </c>
      <c r="DF157" s="725">
        <f>'ANEXO D'!CR30</f>
        <v>507.87</v>
      </c>
      <c r="DG157" s="659">
        <f>'ANEXO D'!CS30</f>
        <v>517.70000000000005</v>
      </c>
      <c r="DH157" s="623">
        <f>'ANEXO D'!CT30</f>
        <v>532.33000000000004</v>
      </c>
      <c r="DI157" s="623">
        <f>'ANEXO D'!CU30</f>
        <v>541.04</v>
      </c>
      <c r="DJ157" s="623">
        <f>'ANEXO D'!CV30</f>
        <v>548.22</v>
      </c>
      <c r="DK157" s="659">
        <f>'ANEXO D'!CW30</f>
        <v>561.04</v>
      </c>
      <c r="DL157" s="623">
        <f>'ANEXO D'!CX30</f>
        <v>566.73</v>
      </c>
      <c r="DM157" s="659">
        <f>'ANEXO D'!CY30</f>
        <v>571.92999999999995</v>
      </c>
      <c r="DN157" s="659">
        <f>'ANEXO D'!CZ30</f>
        <v>579.13</v>
      </c>
      <c r="DO157" s="897">
        <f>'ANEXO D'!DA30</f>
        <v>597.75</v>
      </c>
      <c r="DP157" s="783">
        <f>'ANEXO D'!DB30</f>
        <v>606.65</v>
      </c>
      <c r="DQ157" s="659">
        <f>'ANEXO D'!DC30</f>
        <v>609.39</v>
      </c>
      <c r="DR157" s="659">
        <f>'ANEXO D'!DD30</f>
        <v>616.48</v>
      </c>
      <c r="DS157" s="659">
        <f>'ANEXO D'!DE30</f>
        <v>646.78</v>
      </c>
      <c r="DT157" s="623">
        <f>'ANEXO D'!DF30</f>
        <v>652.73</v>
      </c>
      <c r="DU157" s="659">
        <f>'ANEXO D'!DG30</f>
        <v>661.79</v>
      </c>
      <c r="DV157" s="659">
        <f>'ANEXO D'!DH30</f>
        <v>677.73</v>
      </c>
      <c r="DW157" s="659">
        <f>'ANEXO D'!DI30</f>
        <v>690.28</v>
      </c>
      <c r="DX157" s="659">
        <f>'ANEXO D'!DJ30</f>
        <v>698.17</v>
      </c>
      <c r="DY157" s="659">
        <f>'ANEXO D'!DK30</f>
        <v>706.24</v>
      </c>
      <c r="DZ157" s="659">
        <v>720.02</v>
      </c>
      <c r="EA157" s="897">
        <f>'ANEXO D'!DM30</f>
        <v>725.4</v>
      </c>
      <c r="EB157" s="659">
        <f>'ANEXO D'!DN30</f>
        <v>734.22</v>
      </c>
      <c r="EC157" s="659">
        <f>'ANEXO D'!DO30</f>
        <v>741.88</v>
      </c>
      <c r="ED157" s="659">
        <f>'ANEXO D'!DP30</f>
        <v>751.24</v>
      </c>
      <c r="EE157" s="659">
        <f>'ANEXO D'!DQ30</f>
        <v>756.46</v>
      </c>
      <c r="EF157" s="659">
        <f>'ANEXO D'!DR30</f>
        <v>764.51</v>
      </c>
      <c r="EG157" s="659">
        <f>'ANEXO D'!DS30</f>
        <v>808.98</v>
      </c>
      <c r="EH157" s="659">
        <f>'ANEXO D'!DT30</f>
        <v>820.93</v>
      </c>
      <c r="EI157" s="659">
        <f>'ANEXO D'!DU30</f>
        <v>826.36</v>
      </c>
      <c r="EJ157" s="659">
        <f>'ANEXO D'!DV30</f>
        <v>834.96</v>
      </c>
      <c r="EK157" s="623">
        <f>'ANEXO D'!DW30</f>
        <v>838.57</v>
      </c>
      <c r="EL157" s="659">
        <f>'ANEXO D'!DX30</f>
        <v>847.92</v>
      </c>
      <c r="EM157" s="659">
        <f>'ANEXO D'!DY30</f>
        <v>851.9</v>
      </c>
      <c r="EN157" s="783">
        <f>'ANEXO D'!DZ30</f>
        <v>861.13</v>
      </c>
      <c r="EO157" s="659">
        <f>'ANEXO D'!EA30</f>
        <v>868.45</v>
      </c>
      <c r="EP157" s="659">
        <f>'ANEXO D'!EB30</f>
        <v>878.76</v>
      </c>
      <c r="EQ157" s="659">
        <f>'ANEXO D'!EC30</f>
        <v>891.18</v>
      </c>
      <c r="ER157" s="659">
        <f>'ANEXO D'!ED30</f>
        <v>901.46</v>
      </c>
      <c r="ES157" s="659">
        <f>'ANEXO D'!EE30</f>
        <v>949.34</v>
      </c>
      <c r="ET157" s="659">
        <f>'ANEXO D'!EF30</f>
        <v>961.34</v>
      </c>
      <c r="EU157" s="659">
        <f>'ANEXO D'!EG30</f>
        <v>968.81</v>
      </c>
      <c r="EV157" s="659">
        <f>'ANEXO D'!EH30</f>
        <v>991.03</v>
      </c>
      <c r="EW157" s="659">
        <f>'ANEXO D'!EI30</f>
        <v>996.08</v>
      </c>
      <c r="EX157" s="659">
        <f>'ANEXO D'!EJ30</f>
        <v>1004.53</v>
      </c>
      <c r="EY157" s="659">
        <f>'ANEXO D'!EK30</f>
        <v>1014.77</v>
      </c>
      <c r="EZ157" s="783">
        <f>'ANEXO D'!EL30</f>
        <v>1048.8599999999999</v>
      </c>
      <c r="FA157" s="659">
        <f>'ANEXO D'!EM30</f>
        <v>1090.79</v>
      </c>
      <c r="FB157" s="659">
        <f>'ANEXO D'!EN30</f>
        <v>1127.49</v>
      </c>
      <c r="FC157" s="659">
        <f>'ANEXO D'!EO30</f>
        <v>1205.92</v>
      </c>
      <c r="FD157" s="659">
        <f>'ANEXO D'!EP30</f>
        <v>1219.4100000000001</v>
      </c>
      <c r="FE157" s="659">
        <f>'ANEXO D'!EQ30</f>
        <v>1231.94</v>
      </c>
      <c r="FF157" s="659">
        <f>'ANEXO D'!ER30</f>
        <v>1287.67</v>
      </c>
      <c r="FG157" s="659">
        <f>'ANEXO D'!ES30</f>
        <v>1294.77</v>
      </c>
      <c r="FH157" s="659">
        <f>'ANEXO D'!ET30</f>
        <v>1306.8499999999999</v>
      </c>
      <c r="FI157" s="659">
        <f>'ANEXO D'!EU30</f>
        <v>1319.26</v>
      </c>
      <c r="FJ157" s="659">
        <f>'ANEXO D'!EV30</f>
        <v>1326.01</v>
      </c>
      <c r="FK157" s="897">
        <f>'ANEXO D'!EW30</f>
        <v>1337.03</v>
      </c>
      <c r="FL157" s="660">
        <f>'ANEXO D'!EX30</f>
        <v>1329.31</v>
      </c>
      <c r="FM157" s="623">
        <f>'ANEXO D'!EY30</f>
        <v>1334.91</v>
      </c>
      <c r="FN157" s="623">
        <f>'ANEXO D'!EZ30</f>
        <v>1354.66</v>
      </c>
      <c r="FO157" s="623">
        <f>'ANEXO D'!FA30</f>
        <v>1415.87</v>
      </c>
      <c r="FP157" s="623">
        <f>'ANEXO D'!FB30</f>
        <v>1424.63</v>
      </c>
      <c r="FQ157" s="623">
        <f>'ANEXO D'!FC30</f>
        <v>1439.62</v>
      </c>
      <c r="FR157" s="623">
        <f>'ANEXO D'!FD30</f>
        <v>1454.48</v>
      </c>
      <c r="FS157" s="623">
        <f>'ANEXO D'!FE30</f>
        <v>1507.57</v>
      </c>
      <c r="FT157" s="623">
        <f>'ANEXO D'!FF30</f>
        <v>1517.08</v>
      </c>
      <c r="FU157" s="897">
        <f>'ANEXO D'!FG30</f>
        <v>1528.66</v>
      </c>
      <c r="FV157" s="1167">
        <f t="shared" si="1"/>
        <v>1.0076330846099086</v>
      </c>
    </row>
    <row r="158" spans="1:178" s="115" customFormat="1" ht="18.75" customHeight="1">
      <c r="A158" s="1546">
        <v>1</v>
      </c>
      <c r="B158" s="408">
        <v>132</v>
      </c>
      <c r="C158" s="621"/>
      <c r="D158" s="622" t="s">
        <v>329</v>
      </c>
      <c r="E158" s="621"/>
      <c r="F158" s="622"/>
      <c r="G158" s="621" t="s">
        <v>900</v>
      </c>
      <c r="H158" s="621"/>
      <c r="I158" s="390" t="s">
        <v>429</v>
      </c>
      <c r="J158" s="2921"/>
      <c r="K158" s="669">
        <v>100</v>
      </c>
      <c r="L158" s="665">
        <v>103.7934543201402</v>
      </c>
      <c r="M158" s="625">
        <v>106.87457893866952</v>
      </c>
      <c r="N158" s="625">
        <v>112.60697926410184</v>
      </c>
      <c r="O158" s="625">
        <v>150.95807763445018</v>
      </c>
      <c r="P158" s="625">
        <v>182.26659300128304</v>
      </c>
      <c r="Q158" s="625">
        <v>212.45694019125477</v>
      </c>
      <c r="R158" s="625">
        <v>225.07458964888869</v>
      </c>
      <c r="S158" s="625">
        <v>230.91151752008113</v>
      </c>
      <c r="T158" s="625">
        <v>240.53172543539068</v>
      </c>
      <c r="U158" s="625">
        <v>245.87571233649248</v>
      </c>
      <c r="V158" s="625">
        <v>246.99320770677079</v>
      </c>
      <c r="W158" s="625">
        <v>247.22168600781256</v>
      </c>
      <c r="X158" s="625">
        <v>252.63</v>
      </c>
      <c r="Y158" s="625">
        <v>252.47</v>
      </c>
      <c r="Z158" s="625">
        <v>253</v>
      </c>
      <c r="AA158" s="625">
        <v>252.4</v>
      </c>
      <c r="AB158" s="625">
        <v>252.16</v>
      </c>
      <c r="AC158" s="625">
        <v>251.88</v>
      </c>
      <c r="AD158" s="625">
        <v>253.28</v>
      </c>
      <c r="AE158" s="625">
        <v>254.14</v>
      </c>
      <c r="AF158" s="625">
        <v>254.05</v>
      </c>
      <c r="AG158" s="625">
        <v>254.45</v>
      </c>
      <c r="AH158" s="625">
        <v>255.04</v>
      </c>
      <c r="AI158" s="764">
        <v>257.42</v>
      </c>
      <c r="AJ158" s="772">
        <v>259.52</v>
      </c>
      <c r="AK158" s="625">
        <v>262.14</v>
      </c>
      <c r="AL158" s="625">
        <v>264.74</v>
      </c>
      <c r="AM158" s="625">
        <v>266.5</v>
      </c>
      <c r="AN158" s="625">
        <v>270.61</v>
      </c>
      <c r="AO158" s="625">
        <v>272.95</v>
      </c>
      <c r="AP158" s="625">
        <v>273.8</v>
      </c>
      <c r="AQ158" s="625">
        <v>280.14</v>
      </c>
      <c r="AR158" s="625">
        <v>282.02</v>
      </c>
      <c r="AS158" s="625">
        <f>+'ANEXO D'!AE55</f>
        <v>282.33</v>
      </c>
      <c r="AT158" s="625">
        <f>+'ANEXO D'!AF55</f>
        <v>282.41000000000003</v>
      </c>
      <c r="AU158" s="764">
        <f>+'ANEXO D'!AG55</f>
        <v>283.58999999999997</v>
      </c>
      <c r="AV158" s="752">
        <f>+'ANEXO D'!AH55</f>
        <v>274.52999999999997</v>
      </c>
      <c r="AW158" s="626">
        <f>+'ANEXO D'!AI55</f>
        <v>289.41000000000003</v>
      </c>
      <c r="AX158" s="626">
        <f>+'ANEXO D'!AJ55</f>
        <v>297.60000000000002</v>
      </c>
      <c r="AY158" s="626">
        <f>+'ANEXO D'!AK55</f>
        <v>298.52999999999997</v>
      </c>
      <c r="AZ158" s="626">
        <f>+'ANEXO D'!AL55</f>
        <v>298.66000000000003</v>
      </c>
      <c r="BA158" s="626">
        <f>+'ANEXO D'!AM55</f>
        <v>297.56</v>
      </c>
      <c r="BB158" s="626">
        <f>+'ANEXO D'!AN55</f>
        <v>297.58999999999997</v>
      </c>
      <c r="BC158" s="626">
        <f>+'ANEXO D'!AO55</f>
        <v>298.42</v>
      </c>
      <c r="BD158" s="626">
        <f>+'ANEXO D'!AP55</f>
        <v>300.43</v>
      </c>
      <c r="BE158" s="626">
        <f>+'ANEXO D'!AQ55</f>
        <v>301.58</v>
      </c>
      <c r="BF158" s="626">
        <f>+'ANEXO D'!AR55</f>
        <v>307.43</v>
      </c>
      <c r="BG158" s="749">
        <f>+'ANEXO D'!AS55</f>
        <v>309.67</v>
      </c>
      <c r="BH158" s="660">
        <f>+'ANEXO D'!AT55</f>
        <v>312.11</v>
      </c>
      <c r="BI158" s="623">
        <f>+'ANEXO D'!AU55</f>
        <v>312.97000000000003</v>
      </c>
      <c r="BJ158" s="623">
        <f>+'ANEXO D'!AV55</f>
        <v>317.39999999999998</v>
      </c>
      <c r="BK158" s="623">
        <f>+'ANEXO D'!AW55</f>
        <v>315.7</v>
      </c>
      <c r="BL158" s="623">
        <f>+'ANEXO D'!AX55</f>
        <v>318.86</v>
      </c>
      <c r="BM158" s="623">
        <f>+'ANEXO D'!AY55</f>
        <v>320.68</v>
      </c>
      <c r="BN158" s="623">
        <f>+'ANEXO D'!AZ55</f>
        <v>323.76</v>
      </c>
      <c r="BO158" s="623">
        <f>+'ANEXO D'!BA55</f>
        <v>325.2</v>
      </c>
      <c r="BP158" s="623">
        <f>+'ANEXO D'!BB55</f>
        <v>319.02</v>
      </c>
      <c r="BQ158" s="623">
        <f>+'ANEXO D'!BC55</f>
        <v>330.18</v>
      </c>
      <c r="BR158" s="623">
        <f>+'ANEXO D'!BD55</f>
        <v>330</v>
      </c>
      <c r="BS158" s="659">
        <f>+'ANEXO D'!BE55</f>
        <v>330.71</v>
      </c>
      <c r="BT158" s="660">
        <f>+'ANEXO D'!BF55</f>
        <v>333.96</v>
      </c>
      <c r="BU158" s="623">
        <f>+'ANEXO D'!BG55</f>
        <v>335.15</v>
      </c>
      <c r="BV158" s="623">
        <f>+'ANEXO D'!BH55</f>
        <v>335.61</v>
      </c>
      <c r="BW158" s="623">
        <f>+'ANEXO D'!BI55</f>
        <v>337</v>
      </c>
      <c r="BX158" s="623">
        <f>+'ANEXO D'!BJ55</f>
        <v>344.55</v>
      </c>
      <c r="BY158" s="623">
        <f>+'ANEXO D'!BK55</f>
        <v>346.3</v>
      </c>
      <c r="BZ158" s="623">
        <f>+'ANEXO D'!BL55</f>
        <v>352.67</v>
      </c>
      <c r="CA158" s="623">
        <f>+'ANEXO D'!BM55</f>
        <v>355.28</v>
      </c>
      <c r="CB158" s="623">
        <f>+'ANEXO D'!BN55</f>
        <v>357.85</v>
      </c>
      <c r="CC158" s="623">
        <v>360.5</v>
      </c>
      <c r="CD158" s="623">
        <f>+'ANEXO D'!BP55</f>
        <v>363.83</v>
      </c>
      <c r="CE158" s="659">
        <f>+'ANEXO D'!BQ55</f>
        <v>374.17</v>
      </c>
      <c r="CF158" s="660">
        <f>+'ANEXO D'!BR55</f>
        <v>371.24</v>
      </c>
      <c r="CG158" s="623">
        <f>+'ANEXO D'!BS55</f>
        <v>363.27</v>
      </c>
      <c r="CH158" s="623">
        <f>+'ANEXO D'!BT55</f>
        <v>366.39</v>
      </c>
      <c r="CI158" s="623">
        <f>+'ANEXO D'!BU55</f>
        <v>375.54</v>
      </c>
      <c r="CJ158" s="623">
        <f>+'ANEXO D'!BV55</f>
        <v>383.43</v>
      </c>
      <c r="CK158" s="623">
        <f>+'ANEXO D'!BW55</f>
        <v>389.57</v>
      </c>
      <c r="CL158" s="623">
        <f>+'ANEXO D'!BX55</f>
        <v>398.65</v>
      </c>
      <c r="CM158" s="623">
        <f>+'ANEXO D'!BY55</f>
        <v>399.95</v>
      </c>
      <c r="CN158" s="623">
        <f>+'ANEXO D'!BZ55</f>
        <v>404.52</v>
      </c>
      <c r="CO158" s="623">
        <f>+'ANEXO D'!CA55</f>
        <v>407.99</v>
      </c>
      <c r="CP158" s="623">
        <f>+'ANEXO D'!CB55</f>
        <v>411.81</v>
      </c>
      <c r="CQ158" s="659">
        <f>+'ANEXO D'!CC55</f>
        <v>414.31</v>
      </c>
      <c r="CR158" s="660">
        <f>'ANEXO D'!CD55</f>
        <v>418.66</v>
      </c>
      <c r="CS158" s="623">
        <f>'ANEXO D'!CE55</f>
        <v>422.92</v>
      </c>
      <c r="CT158" s="623">
        <f>'ANEXO D'!CF55</f>
        <v>428.88</v>
      </c>
      <c r="CU158" s="623">
        <f>'ANEXO D'!CG55</f>
        <v>437.65</v>
      </c>
      <c r="CV158" s="623">
        <f>'ANEXO D'!CH55</f>
        <v>446.67</v>
      </c>
      <c r="CW158" s="623">
        <f>'ANEXO D'!CI55</f>
        <v>456.51</v>
      </c>
      <c r="CX158" s="623">
        <f>'ANEXO D'!CJ55</f>
        <v>466.98</v>
      </c>
      <c r="CY158" s="623">
        <f>'ANEXO D'!CK55</f>
        <v>471.14</v>
      </c>
      <c r="CZ158" s="623">
        <f>'ANEXO D'!CL55</f>
        <v>473.86</v>
      </c>
      <c r="DA158" s="623">
        <f>'ANEXO D'!CM55</f>
        <v>484.62</v>
      </c>
      <c r="DB158" s="659">
        <f>'ANEXO D'!CN55</f>
        <v>486.64</v>
      </c>
      <c r="DC158" s="659">
        <f>'ANEXO D'!CO55</f>
        <v>488.27</v>
      </c>
      <c r="DD158" s="783">
        <f>'ANEXO D'!CP55</f>
        <v>488.93</v>
      </c>
      <c r="DE158" s="623">
        <f>'ANEXO D'!CQ55</f>
        <v>493.43</v>
      </c>
      <c r="DF158" s="725">
        <f>'ANEXO D'!CR55</f>
        <v>503.29</v>
      </c>
      <c r="DG158" s="659">
        <f>'ANEXO D'!CS55</f>
        <v>514.30999999999995</v>
      </c>
      <c r="DH158" s="623">
        <f>'ANEXO D'!CT55</f>
        <v>528.45000000000005</v>
      </c>
      <c r="DI158" s="623">
        <f>'ANEXO D'!CU55</f>
        <v>539.11</v>
      </c>
      <c r="DJ158" s="623">
        <f>'ANEXO D'!CV55</f>
        <v>547.04</v>
      </c>
      <c r="DK158" s="659">
        <f>'ANEXO D'!CW55</f>
        <v>559.29</v>
      </c>
      <c r="DL158" s="623">
        <f>'ANEXO D'!CX55</f>
        <v>565.58000000000004</v>
      </c>
      <c r="DM158" s="659">
        <f>'ANEXO D'!CY55</f>
        <v>571.22</v>
      </c>
      <c r="DN158" s="659">
        <f>'ANEXO D'!CZ55</f>
        <v>578.04</v>
      </c>
      <c r="DO158" s="897">
        <f>'ANEXO D'!DA55</f>
        <v>595.89</v>
      </c>
      <c r="DP158" s="783">
        <f>'ANEXO D'!DB55</f>
        <v>607.46</v>
      </c>
      <c r="DQ158" s="659">
        <f>'ANEXO D'!DC55</f>
        <v>610.01</v>
      </c>
      <c r="DR158" s="659">
        <f>'ANEXO D'!DD55</f>
        <v>616.82000000000005</v>
      </c>
      <c r="DS158" s="659">
        <f>'ANEXO D'!DE55</f>
        <v>645.44000000000005</v>
      </c>
      <c r="DT158" s="623">
        <f>'ANEXO D'!DF55</f>
        <v>652.25</v>
      </c>
      <c r="DU158" s="659">
        <f>'ANEXO D'!DG55</f>
        <v>660.54</v>
      </c>
      <c r="DV158" s="659">
        <f>'ANEXO D'!DH55</f>
        <v>676.28</v>
      </c>
      <c r="DW158" s="659">
        <f>'ANEXO D'!DI55</f>
        <v>687.2</v>
      </c>
      <c r="DX158" s="659">
        <f>'ANEXO D'!DJ55</f>
        <v>695.23</v>
      </c>
      <c r="DY158" s="659">
        <f>'ANEXO D'!DK55</f>
        <v>702.78</v>
      </c>
      <c r="DZ158" s="659">
        <v>713.65</v>
      </c>
      <c r="EA158" s="897">
        <f>'ANEXO D'!DM55</f>
        <v>719.13</v>
      </c>
      <c r="EB158" s="659">
        <f>'ANEXO D'!DN55</f>
        <v>731.6</v>
      </c>
      <c r="EC158" s="659">
        <f>'ANEXO D'!DO55</f>
        <v>738.45</v>
      </c>
      <c r="ED158" s="659">
        <f>'ANEXO D'!DP55</f>
        <v>747.73</v>
      </c>
      <c r="EE158" s="659">
        <f>'ANEXO D'!DQ55</f>
        <v>753.54</v>
      </c>
      <c r="EF158" s="659">
        <f>'ANEXO D'!DR55</f>
        <v>763.17</v>
      </c>
      <c r="EG158" s="659">
        <f>'ANEXO D'!DS55</f>
        <v>794.67</v>
      </c>
      <c r="EH158" s="659">
        <f>'ANEXO D'!DT55</f>
        <v>808.13</v>
      </c>
      <c r="EI158" s="659">
        <f>'ANEXO D'!DU55</f>
        <v>813.51</v>
      </c>
      <c r="EJ158" s="659">
        <f>'ANEXO D'!DV55</f>
        <v>820.75</v>
      </c>
      <c r="EK158" s="623">
        <f>'ANEXO D'!DW55</f>
        <v>823.9</v>
      </c>
      <c r="EL158" s="659">
        <f>'ANEXO D'!DX55</f>
        <v>833.05</v>
      </c>
      <c r="EM158" s="659">
        <f>'ANEXO D'!DY55</f>
        <v>836.36</v>
      </c>
      <c r="EN158" s="783">
        <f>'ANEXO D'!DZ55</f>
        <v>845.45</v>
      </c>
      <c r="EO158" s="659">
        <f>'ANEXO D'!EA55</f>
        <v>852.54</v>
      </c>
      <c r="EP158" s="659">
        <f>'ANEXO D'!EB55</f>
        <v>864.19</v>
      </c>
      <c r="EQ158" s="659">
        <f>'ANEXO D'!EC55</f>
        <v>877.46</v>
      </c>
      <c r="ER158" s="659">
        <f>'ANEXO D'!ED55</f>
        <v>888.06</v>
      </c>
      <c r="ES158" s="659">
        <f>'ANEXO D'!EE55</f>
        <v>925.55</v>
      </c>
      <c r="ET158" s="659">
        <f>'ANEXO D'!EF55</f>
        <v>937.19</v>
      </c>
      <c r="EU158" s="659">
        <f>'ANEXO D'!EG55</f>
        <v>944.42</v>
      </c>
      <c r="EV158" s="659">
        <f>'ANEXO D'!EH55</f>
        <v>961.54</v>
      </c>
      <c r="EW158" s="659">
        <f>'ANEXO D'!EI55</f>
        <v>965.59</v>
      </c>
      <c r="EX158" s="659">
        <f>'ANEXO D'!EJ55</f>
        <v>972.53</v>
      </c>
      <c r="EY158" s="659">
        <f>'ANEXO D'!EK55</f>
        <v>983.15</v>
      </c>
      <c r="EZ158" s="783">
        <f>'ANEXO D'!EL55</f>
        <v>1017.47</v>
      </c>
      <c r="FA158" s="659">
        <f>'ANEXO D'!EM55</f>
        <v>1056.5999999999999</v>
      </c>
      <c r="FB158" s="659">
        <f>'ANEXO D'!EN55</f>
        <v>1095.83</v>
      </c>
      <c r="FC158" s="659">
        <f>'ANEXO D'!EO55</f>
        <v>1169.44</v>
      </c>
      <c r="FD158" s="659">
        <f>'ANEXO D'!EP55</f>
        <v>1182.1300000000001</v>
      </c>
      <c r="FE158" s="659">
        <f>'ANEXO D'!EQ55</f>
        <v>1193.6099999999999</v>
      </c>
      <c r="FF158" s="659">
        <f>'ANEXO D'!ER55</f>
        <v>1246.46</v>
      </c>
      <c r="FG158" s="659">
        <f>'ANEXO D'!ES55</f>
        <v>1253.44</v>
      </c>
      <c r="FH158" s="659">
        <f>'ANEXO D'!ET55</f>
        <v>1267.6099999999999</v>
      </c>
      <c r="FI158" s="659">
        <f>'ANEXO D'!EU55</f>
        <v>1279.4100000000001</v>
      </c>
      <c r="FJ158" s="659">
        <f>'ANEXO D'!EV55</f>
        <v>1285.8900000000001</v>
      </c>
      <c r="FK158" s="897">
        <f>'ANEXO D'!EW55</f>
        <v>1295.17</v>
      </c>
      <c r="FL158" s="660">
        <f>'ANEXO D'!EX55</f>
        <v>1278.8699999999999</v>
      </c>
      <c r="FM158" s="623">
        <f>'ANEXO D'!EY55</f>
        <v>1286.6300000000001</v>
      </c>
      <c r="FN158" s="623">
        <f>'ANEXO D'!EZ55</f>
        <v>1305.07</v>
      </c>
      <c r="FO158" s="623">
        <f>'ANEXO D'!FA55</f>
        <v>1349.16</v>
      </c>
      <c r="FP158" s="623">
        <f>'ANEXO D'!FB55</f>
        <v>1359.89</v>
      </c>
      <c r="FQ158" s="623">
        <f>'ANEXO D'!FC55</f>
        <v>1376.45</v>
      </c>
      <c r="FR158" s="623">
        <f>'ANEXO D'!FD55</f>
        <v>1391.61</v>
      </c>
      <c r="FS158" s="623">
        <f>'ANEXO D'!FE55</f>
        <v>1434.5</v>
      </c>
      <c r="FT158" s="623">
        <f>'ANEXO D'!FF55</f>
        <v>1443.02</v>
      </c>
      <c r="FU158" s="897">
        <f>'ANEXO D'!FG55</f>
        <v>1452.47</v>
      </c>
      <c r="FV158" s="1167">
        <f t="shared" si="1"/>
        <v>1.006548765782872</v>
      </c>
    </row>
    <row r="159" spans="1:178" s="115" customFormat="1" ht="18.75" customHeight="1">
      <c r="A159" s="1546">
        <v>1</v>
      </c>
      <c r="B159" s="408">
        <v>133</v>
      </c>
      <c r="C159" s="621"/>
      <c r="D159" s="622" t="s">
        <v>750</v>
      </c>
      <c r="E159" s="621"/>
      <c r="F159" s="622"/>
      <c r="G159" s="621" t="s">
        <v>900</v>
      </c>
      <c r="H159" s="621"/>
      <c r="I159" s="390" t="s">
        <v>353</v>
      </c>
      <c r="J159" s="2921"/>
      <c r="K159" s="669">
        <v>100</v>
      </c>
      <c r="L159" s="665">
        <v>106.76745057688221</v>
      </c>
      <c r="M159" s="625">
        <v>125.96171214809937</v>
      </c>
      <c r="N159" s="625">
        <v>145.55408379314167</v>
      </c>
      <c r="O159" s="625">
        <v>177.43446161807776</v>
      </c>
      <c r="P159" s="625">
        <v>225.62009710889765</v>
      </c>
      <c r="Q159" s="625">
        <v>252.18389523141474</v>
      </c>
      <c r="R159" s="625">
        <v>263.37354795093842</v>
      </c>
      <c r="S159" s="625">
        <v>278.13928333934348</v>
      </c>
      <c r="T159" s="625">
        <v>284.00878190010491</v>
      </c>
      <c r="U159" s="625">
        <v>287.57535718044227</v>
      </c>
      <c r="V159" s="625">
        <v>276.87501132936205</v>
      </c>
      <c r="W159" s="625">
        <v>275.06840960501353</v>
      </c>
      <c r="X159" s="625">
        <v>275.49</v>
      </c>
      <c r="Y159" s="625">
        <v>274.63</v>
      </c>
      <c r="Z159" s="625">
        <v>268.68</v>
      </c>
      <c r="AA159" s="625">
        <v>263.27999999999997</v>
      </c>
      <c r="AB159" s="625">
        <v>260.02999999999997</v>
      </c>
      <c r="AC159" s="625">
        <v>258.91000000000003</v>
      </c>
      <c r="AD159" s="625">
        <v>257.7</v>
      </c>
      <c r="AE159" s="625">
        <v>260.16000000000003</v>
      </c>
      <c r="AF159" s="625">
        <v>261.08999999999997</v>
      </c>
      <c r="AG159" s="625">
        <v>260</v>
      </c>
      <c r="AH159" s="625">
        <v>261.02</v>
      </c>
      <c r="AI159" s="764">
        <v>264.16000000000003</v>
      </c>
      <c r="AJ159" s="772">
        <v>265.13</v>
      </c>
      <c r="AK159" s="625">
        <v>266.5</v>
      </c>
      <c r="AL159" s="625">
        <v>266.17</v>
      </c>
      <c r="AM159" s="625">
        <v>265.67</v>
      </c>
      <c r="AN159" s="625">
        <v>268.89999999999998</v>
      </c>
      <c r="AO159" s="625">
        <v>271.39999999999998</v>
      </c>
      <c r="AP159" s="625">
        <v>271.89</v>
      </c>
      <c r="AQ159" s="625">
        <v>276.85000000000002</v>
      </c>
      <c r="AR159" s="625">
        <v>275.92</v>
      </c>
      <c r="AS159" s="625">
        <f>+'ANEXO D'!AE74</f>
        <v>275.66000000000003</v>
      </c>
      <c r="AT159" s="625">
        <f>+'ANEXO D'!AF74</f>
        <v>275.74</v>
      </c>
      <c r="AU159" s="764">
        <f>+'ANEXO D'!AG74</f>
        <v>276.77999999999997</v>
      </c>
      <c r="AV159" s="752">
        <f>+'ANEXO D'!AH74</f>
        <v>277.73</v>
      </c>
      <c r="AW159" s="626">
        <f>+'ANEXO D'!AI74</f>
        <v>276.69</v>
      </c>
      <c r="AX159" s="626">
        <f>+'ANEXO D'!AJ74</f>
        <v>285.75</v>
      </c>
      <c r="AY159" s="626">
        <f>+'ANEXO D'!AK74</f>
        <v>286.99</v>
      </c>
      <c r="AZ159" s="626">
        <f>+'ANEXO D'!AL74</f>
        <v>286.69</v>
      </c>
      <c r="BA159" s="626">
        <f>+'ANEXO D'!AM74</f>
        <v>284.73</v>
      </c>
      <c r="BB159" s="626">
        <f>+'ANEXO D'!AN74</f>
        <v>283.41000000000003</v>
      </c>
      <c r="BC159" s="626">
        <f>+'ANEXO D'!AO74</f>
        <v>283.87</v>
      </c>
      <c r="BD159" s="626">
        <f>+'ANEXO D'!AP74</f>
        <v>284.45</v>
      </c>
      <c r="BE159" s="626">
        <f>+'ANEXO D'!AQ74</f>
        <v>285.77</v>
      </c>
      <c r="BF159" s="626">
        <f>+'ANEXO D'!AR74</f>
        <v>292.45999999999998</v>
      </c>
      <c r="BG159" s="749">
        <f>+'ANEXO D'!AS74</f>
        <v>294.37</v>
      </c>
      <c r="BH159" s="660">
        <f>+'ANEXO D'!AT74</f>
        <v>297.16000000000003</v>
      </c>
      <c r="BI159" s="623">
        <f>+'ANEXO D'!AU74</f>
        <v>297.88</v>
      </c>
      <c r="BJ159" s="623">
        <f>+'ANEXO D'!AV74</f>
        <v>301.3</v>
      </c>
      <c r="BK159" s="623">
        <f>+'ANEXO D'!AW74</f>
        <v>297.47000000000003</v>
      </c>
      <c r="BL159" s="623">
        <f>+'ANEXO D'!AX74</f>
        <v>301.13</v>
      </c>
      <c r="BM159" s="623">
        <f>+'ANEXO D'!AY74</f>
        <v>301.64</v>
      </c>
      <c r="BN159" s="623">
        <f>+'ANEXO D'!AZ74</f>
        <v>303.61</v>
      </c>
      <c r="BO159" s="623">
        <f>+'ANEXO D'!BA74</f>
        <v>305.39</v>
      </c>
      <c r="BP159" s="623">
        <f>+'ANEXO D'!BB74</f>
        <v>297.95</v>
      </c>
      <c r="BQ159" s="623">
        <f>+'ANEXO D'!BC74</f>
        <v>308.5</v>
      </c>
      <c r="BR159" s="623">
        <f>+'ANEXO D'!BD74</f>
        <v>306.64999999999998</v>
      </c>
      <c r="BS159" s="659">
        <f>+'ANEXO D'!BE74</f>
        <v>307.02</v>
      </c>
      <c r="BT159" s="660">
        <f>+'ANEXO D'!BF74</f>
        <v>311.25</v>
      </c>
      <c r="BU159" s="623">
        <f>+'ANEXO D'!BG74</f>
        <v>312.58999999999997</v>
      </c>
      <c r="BV159" s="623">
        <f>+'ANEXO D'!BH74</f>
        <v>311.89999999999998</v>
      </c>
      <c r="BW159" s="623">
        <f>+'ANEXO D'!BI74</f>
        <v>312.18</v>
      </c>
      <c r="BX159" s="623">
        <f>+'ANEXO D'!BJ74</f>
        <v>319.77</v>
      </c>
      <c r="BY159" s="623">
        <f>+'ANEXO D'!BK74</f>
        <v>320.72000000000003</v>
      </c>
      <c r="BZ159" s="623">
        <f>+'ANEXO D'!BL74</f>
        <v>326.45999999999998</v>
      </c>
      <c r="CA159" s="623">
        <f>+'ANEXO D'!BM74</f>
        <v>327.22000000000003</v>
      </c>
      <c r="CB159" s="623">
        <f>+'ANEXO D'!BN74</f>
        <v>328.69</v>
      </c>
      <c r="CC159" s="623">
        <v>330.34</v>
      </c>
      <c r="CD159" s="623">
        <f>+'ANEXO D'!BP74</f>
        <v>331.82</v>
      </c>
      <c r="CE159" s="659">
        <f>+'ANEXO D'!BQ74</f>
        <v>341.91</v>
      </c>
      <c r="CF159" s="660">
        <f>+'ANEXO D'!BR74</f>
        <v>333.8</v>
      </c>
      <c r="CG159" s="623">
        <f>+'ANEXO D'!BS74</f>
        <v>329.11</v>
      </c>
      <c r="CH159" s="623">
        <f>+'ANEXO D'!BT74</f>
        <v>332.33</v>
      </c>
      <c r="CI159" s="623">
        <f>+'ANEXO D'!BU74</f>
        <v>342.36</v>
      </c>
      <c r="CJ159" s="623">
        <f>+'ANEXO D'!BV74</f>
        <v>348.66</v>
      </c>
      <c r="CK159" s="623">
        <f>+'ANEXO D'!BW74</f>
        <v>351.55</v>
      </c>
      <c r="CL159" s="623">
        <f>+'ANEXO D'!BX74</f>
        <v>359.26</v>
      </c>
      <c r="CM159" s="623">
        <f>+'ANEXO D'!BY74</f>
        <v>359.59</v>
      </c>
      <c r="CN159" s="623">
        <f>+'ANEXO D'!BZ74</f>
        <v>362.09</v>
      </c>
      <c r="CO159" s="623">
        <f>+'ANEXO D'!CA74</f>
        <v>366.49</v>
      </c>
      <c r="CP159" s="623">
        <f>+'ANEXO D'!CB74</f>
        <v>368.38</v>
      </c>
      <c r="CQ159" s="659">
        <f>+'ANEXO D'!CC74</f>
        <v>371.37</v>
      </c>
      <c r="CR159" s="660">
        <f>+'ANEXO D'!CD74</f>
        <v>374.55</v>
      </c>
      <c r="CS159" s="623">
        <f>+'ANEXO D'!CE74</f>
        <v>379.25</v>
      </c>
      <c r="CT159" s="623">
        <f>+'ANEXO D'!CF74</f>
        <v>385.26</v>
      </c>
      <c r="CU159" s="623">
        <f>+'ANEXO D'!CG74</f>
        <v>393.78</v>
      </c>
      <c r="CV159" s="623">
        <f>+'ANEXO D'!CH74</f>
        <v>401.7</v>
      </c>
      <c r="CW159" s="623">
        <f>+'ANEXO D'!CI74</f>
        <v>409.83</v>
      </c>
      <c r="CX159" s="623">
        <f>+'ANEXO D'!CJ74</f>
        <v>418.31</v>
      </c>
      <c r="CY159" s="623">
        <f>+'ANEXO D'!CK74</f>
        <v>421.15</v>
      </c>
      <c r="CZ159" s="623">
        <f>+'ANEXO D'!CL74</f>
        <v>423.21</v>
      </c>
      <c r="DA159" s="623">
        <f>+'ANEXO D'!CM74</f>
        <v>433.29</v>
      </c>
      <c r="DB159" s="659">
        <f>+'ANEXO D'!CN74</f>
        <v>434.2</v>
      </c>
      <c r="DC159" s="659">
        <f>+'ANEXO D'!CO74</f>
        <v>435.37</v>
      </c>
      <c r="DD159" s="783">
        <f>+'ANEXO D'!CP74</f>
        <v>436.24</v>
      </c>
      <c r="DE159" s="623">
        <f>+'ANEXO D'!CQ74</f>
        <v>439.42</v>
      </c>
      <c r="DF159" s="725">
        <f>+'ANEXO D'!CR74</f>
        <v>446.84</v>
      </c>
      <c r="DG159" s="659">
        <f>+'ANEXO D'!CS74</f>
        <v>453.59</v>
      </c>
      <c r="DH159" s="623">
        <f>+'ANEXO D'!CT74</f>
        <v>467.19</v>
      </c>
      <c r="DI159" s="623">
        <f>+'ANEXO D'!CU74</f>
        <v>474.05</v>
      </c>
      <c r="DJ159" s="623">
        <f>+'ANEXO D'!CV74</f>
        <v>479.35</v>
      </c>
      <c r="DK159" s="659">
        <f>+'ANEXO D'!CW74</f>
        <v>488.83</v>
      </c>
      <c r="DL159" s="623">
        <f>+'ANEXO D'!CX74</f>
        <v>493.07</v>
      </c>
      <c r="DM159" s="659">
        <f>+'ANEXO D'!CY74</f>
        <v>500.31</v>
      </c>
      <c r="DN159" s="659">
        <f>+'ANEXO D'!CZ74</f>
        <v>502.87</v>
      </c>
      <c r="DO159" s="897">
        <f>+'ANEXO D'!DA74</f>
        <v>517.38</v>
      </c>
      <c r="DP159" s="783">
        <f>+'ANEXO D'!DB74</f>
        <v>526.59</v>
      </c>
      <c r="DQ159" s="659">
        <f>+'ANEXO D'!DC74</f>
        <v>528.32000000000005</v>
      </c>
      <c r="DR159" s="659">
        <f>+'ANEXO D'!DD74</f>
        <v>530.58000000000004</v>
      </c>
      <c r="DS159" s="659">
        <f>+'ANEXO D'!DE74</f>
        <v>554.25</v>
      </c>
      <c r="DT159" s="623">
        <f>+'ANEXO D'!DF74</f>
        <v>558.55999999999995</v>
      </c>
      <c r="DU159" s="659">
        <f>+'ANEXO D'!DG74</f>
        <v>562.35</v>
      </c>
      <c r="DV159" s="659">
        <f>+'ANEXO D'!DH74</f>
        <v>570.86</v>
      </c>
      <c r="DW159" s="659">
        <f>+'ANEXO D'!DI74</f>
        <v>581.22</v>
      </c>
      <c r="DX159" s="659">
        <f>+'ANEXO D'!DJ74</f>
        <v>585.57000000000005</v>
      </c>
      <c r="DY159" s="659">
        <f>+'ANEXO D'!DK74</f>
        <v>588.53</v>
      </c>
      <c r="DZ159" s="659">
        <v>597.46</v>
      </c>
      <c r="EA159" s="897">
        <f>+'ANEXO D'!DM74</f>
        <v>601.61</v>
      </c>
      <c r="EB159" s="659">
        <f>+'ANEXO D'!DN74</f>
        <v>612.4</v>
      </c>
      <c r="EC159" s="659">
        <f>+'ANEXO D'!DO74</f>
        <v>614.33000000000004</v>
      </c>
      <c r="ED159" s="659">
        <f>+'ANEXO D'!DP74</f>
        <v>620.87</v>
      </c>
      <c r="EE159" s="659">
        <f>+'ANEXO D'!DQ74</f>
        <v>626.74</v>
      </c>
      <c r="EF159" s="659">
        <f>+'ANEXO D'!DR74</f>
        <v>633.71</v>
      </c>
      <c r="EG159" s="659">
        <f>+'ANEXO D'!DS74</f>
        <v>668.56</v>
      </c>
      <c r="EH159" s="659">
        <f>+'ANEXO D'!DT74</f>
        <v>678.95</v>
      </c>
      <c r="EI159" s="659">
        <f>+'ANEXO D'!DU74</f>
        <v>682.73</v>
      </c>
      <c r="EJ159" s="659">
        <f>+'ANEXO D'!DV74</f>
        <v>685.67</v>
      </c>
      <c r="EK159" s="623">
        <f>+'ANEXO D'!DW74</f>
        <v>687.49</v>
      </c>
      <c r="EL159" s="659">
        <f>+'ANEXO D'!DX74</f>
        <v>692.13</v>
      </c>
      <c r="EM159" s="659">
        <f>+'ANEXO D'!DY74</f>
        <v>693.6</v>
      </c>
      <c r="EN159" s="783">
        <f>+'ANEXO D'!DZ74</f>
        <v>699.94</v>
      </c>
      <c r="EO159" s="659">
        <f>+'ANEXO D'!EA74</f>
        <v>704.24</v>
      </c>
      <c r="EP159" s="659">
        <f>+'ANEXO D'!EB74</f>
        <v>712.3</v>
      </c>
      <c r="EQ159" s="659">
        <f>+'ANEXO D'!EC74</f>
        <v>721.18</v>
      </c>
      <c r="ER159" s="659">
        <f>+'ANEXO D'!ED74</f>
        <v>728.12</v>
      </c>
      <c r="ES159" s="659">
        <f>+'ANEXO D'!EE74</f>
        <v>762.04</v>
      </c>
      <c r="ET159" s="659">
        <f>+'ANEXO D'!EF74</f>
        <v>768.39</v>
      </c>
      <c r="EU159" s="659">
        <f>+'ANEXO D'!EG74</f>
        <v>772.88</v>
      </c>
      <c r="EV159" s="659">
        <f>+'ANEXO D'!EH74</f>
        <v>786.24</v>
      </c>
      <c r="EW159" s="659">
        <f>+'ANEXO D'!EI74</f>
        <v>787.34</v>
      </c>
      <c r="EX159" s="659">
        <f>+'ANEXO D'!EJ74</f>
        <v>790.03</v>
      </c>
      <c r="EY159" s="659">
        <f>+'ANEXO D'!EK74</f>
        <v>800.8</v>
      </c>
      <c r="EZ159" s="783">
        <f>+'ANEXO D'!EL74</f>
        <v>820.53</v>
      </c>
      <c r="FA159" s="659">
        <f>+'ANEXO D'!EM74</f>
        <v>850.62</v>
      </c>
      <c r="FB159" s="659">
        <f>+'ANEXO D'!EN74</f>
        <v>875.16</v>
      </c>
      <c r="FC159" s="659">
        <f>+'ANEXO D'!EO74</f>
        <v>938.47</v>
      </c>
      <c r="FD159" s="659">
        <f>+'ANEXO D'!EP74</f>
        <v>943.69</v>
      </c>
      <c r="FE159" s="659">
        <f>+'ANEXO D'!EQ74</f>
        <v>948.39</v>
      </c>
      <c r="FF159" s="659">
        <f>+'ANEXO D'!ER74</f>
        <v>990.9</v>
      </c>
      <c r="FG159" s="659">
        <f>+'ANEXO D'!ES74</f>
        <v>1001.65</v>
      </c>
      <c r="FH159" s="659">
        <f>+'ANEXO D'!ET74</f>
        <v>1013.26</v>
      </c>
      <c r="FI159" s="659">
        <f>+'ANEXO D'!EU74</f>
        <v>1021.07</v>
      </c>
      <c r="FJ159" s="659">
        <f>+'ANEXO D'!EV74</f>
        <v>1027.83</v>
      </c>
      <c r="FK159" s="897">
        <f>+'ANEXO D'!EW74</f>
        <v>1030.32</v>
      </c>
      <c r="FL159" s="660">
        <f>+'ANEXO D'!EX74</f>
        <v>1013.45</v>
      </c>
      <c r="FM159" s="623">
        <f>+'ANEXO D'!EY74</f>
        <v>1021.51</v>
      </c>
      <c r="FN159" s="623">
        <f>+'ANEXO D'!EZ74</f>
        <v>1032.96</v>
      </c>
      <c r="FO159" s="623">
        <f>+'ANEXO D'!FA74</f>
        <v>1084.8699999999999</v>
      </c>
      <c r="FP159" s="623">
        <f>+'ANEXO D'!FB74</f>
        <v>1097.8</v>
      </c>
      <c r="FQ159" s="623">
        <f>+'ANEXO D'!FC74</f>
        <v>1112.24</v>
      </c>
      <c r="FR159" s="623">
        <f>+'ANEXO D'!FD74</f>
        <v>1124.6300000000001</v>
      </c>
      <c r="FS159" s="623">
        <f>+'ANEXO D'!FE74</f>
        <v>1161.71</v>
      </c>
      <c r="FT159" s="623">
        <f>+'ANEXO D'!FF74</f>
        <v>1165.6199999999999</v>
      </c>
      <c r="FU159" s="897">
        <f>+'ANEXO D'!FG74</f>
        <v>1170.55</v>
      </c>
      <c r="FV159" s="1167">
        <f t="shared" si="1"/>
        <v>1.004229508759287</v>
      </c>
    </row>
    <row r="160" spans="1:178" s="115" customFormat="1" ht="18.95" customHeight="1">
      <c r="A160" s="1546">
        <v>1</v>
      </c>
      <c r="B160" s="644">
        <v>134</v>
      </c>
      <c r="C160" s="645">
        <v>30</v>
      </c>
      <c r="D160" s="646" t="s">
        <v>751</v>
      </c>
      <c r="E160" s="645" t="s">
        <v>918</v>
      </c>
      <c r="F160" s="646"/>
      <c r="G160" s="645" t="s">
        <v>223</v>
      </c>
      <c r="H160" s="645" t="s">
        <v>229</v>
      </c>
      <c r="I160" s="876" t="s">
        <v>334</v>
      </c>
      <c r="J160" s="1181"/>
      <c r="K160" s="877">
        <v>78.05</v>
      </c>
      <c r="L160" s="878">
        <v>86.74</v>
      </c>
      <c r="M160" s="879">
        <v>140.44999999999999</v>
      </c>
      <c r="N160" s="879">
        <v>157</v>
      </c>
      <c r="O160" s="879">
        <v>193.97</v>
      </c>
      <c r="P160" s="879">
        <v>225.26</v>
      </c>
      <c r="Q160" s="879">
        <v>242.12</v>
      </c>
      <c r="R160" s="879">
        <v>237.06</v>
      </c>
      <c r="S160" s="879">
        <v>239.77</v>
      </c>
      <c r="T160" s="879">
        <v>239.92</v>
      </c>
      <c r="U160" s="879">
        <v>241.07</v>
      </c>
      <c r="V160" s="879">
        <v>236.94</v>
      </c>
      <c r="W160" s="879">
        <v>237.86</v>
      </c>
      <c r="X160" s="879">
        <v>222.83</v>
      </c>
      <c r="Y160" s="879">
        <v>219.15</v>
      </c>
      <c r="Z160" s="879">
        <v>215.07</v>
      </c>
      <c r="AA160" s="879">
        <v>208.48</v>
      </c>
      <c r="AB160" s="879">
        <v>205.67</v>
      </c>
      <c r="AC160" s="879">
        <v>202.31</v>
      </c>
      <c r="AD160" s="879">
        <v>201.34</v>
      </c>
      <c r="AE160" s="879">
        <v>197.95</v>
      </c>
      <c r="AF160" s="879">
        <v>197.77</v>
      </c>
      <c r="AG160" s="879">
        <v>196.43</v>
      </c>
      <c r="AH160" s="879">
        <v>196.45</v>
      </c>
      <c r="AI160" s="880">
        <v>199.56</v>
      </c>
      <c r="AJ160" s="881">
        <v>193.39</v>
      </c>
      <c r="AK160" s="879">
        <v>194.33</v>
      </c>
      <c r="AL160" s="879">
        <v>194.33</v>
      </c>
      <c r="AM160" s="879">
        <v>191.17</v>
      </c>
      <c r="AN160" s="879">
        <v>193.7</v>
      </c>
      <c r="AO160" s="879">
        <v>195.19</v>
      </c>
      <c r="AP160" s="879">
        <v>194.81</v>
      </c>
      <c r="AQ160" s="879">
        <v>197.38</v>
      </c>
      <c r="AR160" s="879">
        <v>196.63</v>
      </c>
      <c r="AS160" s="879">
        <v>195.85</v>
      </c>
      <c r="AT160" s="879">
        <v>194.85</v>
      </c>
      <c r="AU160" s="880">
        <v>195.81</v>
      </c>
      <c r="AV160" s="882">
        <v>194.59</v>
      </c>
      <c r="AW160" s="883">
        <v>184.52</v>
      </c>
      <c r="AX160" s="883">
        <v>193.91</v>
      </c>
      <c r="AY160" s="883">
        <v>193.23</v>
      </c>
      <c r="AZ160" s="883">
        <v>192.89</v>
      </c>
      <c r="BA160" s="883">
        <v>192.21</v>
      </c>
      <c r="BB160" s="883">
        <v>192.03</v>
      </c>
      <c r="BC160" s="884">
        <v>192.45</v>
      </c>
      <c r="BD160" s="883">
        <v>192.99</v>
      </c>
      <c r="BE160" s="884">
        <v>194.66</v>
      </c>
      <c r="BF160" s="884">
        <v>194.44</v>
      </c>
      <c r="BG160" s="885">
        <v>196.03</v>
      </c>
      <c r="BH160" s="886">
        <v>194.25</v>
      </c>
      <c r="BI160" s="887">
        <v>192.09</v>
      </c>
      <c r="BJ160" s="887">
        <v>192.14</v>
      </c>
      <c r="BK160" s="887">
        <v>192.24</v>
      </c>
      <c r="BL160" s="887">
        <v>191.79</v>
      </c>
      <c r="BM160" s="887">
        <v>192.27</v>
      </c>
      <c r="BN160" s="887">
        <v>192.3</v>
      </c>
      <c r="BO160" s="887">
        <v>192.25</v>
      </c>
      <c r="BP160" s="887">
        <v>192.73</v>
      </c>
      <c r="BQ160" s="887">
        <v>192.68</v>
      </c>
      <c r="BR160" s="887">
        <v>189.53</v>
      </c>
      <c r="BS160" s="888">
        <v>189.39</v>
      </c>
      <c r="BT160" s="886">
        <v>190.15</v>
      </c>
      <c r="BU160" s="887">
        <v>192.8</v>
      </c>
      <c r="BV160" s="887">
        <v>192.8</v>
      </c>
      <c r="BW160" s="887">
        <v>192.64</v>
      </c>
      <c r="BX160" s="887">
        <v>193.04</v>
      </c>
      <c r="BY160" s="887">
        <v>192.98</v>
      </c>
      <c r="BZ160" s="887">
        <v>194.29</v>
      </c>
      <c r="CA160" s="887">
        <v>198.82</v>
      </c>
      <c r="CB160" s="887">
        <v>195.37</v>
      </c>
      <c r="CC160" s="887">
        <v>206.96</v>
      </c>
      <c r="CD160" s="887">
        <v>205.72</v>
      </c>
      <c r="CE160" s="888">
        <v>205.82</v>
      </c>
      <c r="CF160" s="886">
        <v>205.77</v>
      </c>
      <c r="CG160" s="887">
        <v>206.35</v>
      </c>
      <c r="CH160" s="887">
        <v>208.17</v>
      </c>
      <c r="CI160" s="887">
        <v>207.26</v>
      </c>
      <c r="CJ160" s="887">
        <v>207.26</v>
      </c>
      <c r="CK160" s="887">
        <v>205.51</v>
      </c>
      <c r="CL160" s="887">
        <v>205.06</v>
      </c>
      <c r="CM160" s="887">
        <v>205.06</v>
      </c>
      <c r="CN160" s="887">
        <v>211.43</v>
      </c>
      <c r="CO160" s="887">
        <v>215.13</v>
      </c>
      <c r="CP160" s="887">
        <v>221.99</v>
      </c>
      <c r="CQ160" s="888">
        <v>226.09</v>
      </c>
      <c r="CR160" s="886">
        <v>227.36</v>
      </c>
      <c r="CS160" s="887">
        <v>228.32</v>
      </c>
      <c r="CT160" s="887">
        <v>243.72</v>
      </c>
      <c r="CU160" s="887">
        <v>235.78</v>
      </c>
      <c r="CV160" s="887">
        <v>239.88</v>
      </c>
      <c r="CW160" s="887">
        <v>241.58</v>
      </c>
      <c r="CX160" s="887">
        <v>243.56</v>
      </c>
      <c r="CY160" s="887">
        <v>245.7</v>
      </c>
      <c r="CZ160" s="887">
        <v>245.14</v>
      </c>
      <c r="DA160" s="887">
        <v>245.14</v>
      </c>
      <c r="DB160" s="889">
        <v>244.23</v>
      </c>
      <c r="DC160" s="888">
        <v>244.28</v>
      </c>
      <c r="DD160" s="890">
        <v>244.33</v>
      </c>
      <c r="DE160" s="887">
        <v>246.38</v>
      </c>
      <c r="DF160" s="889">
        <v>246.58</v>
      </c>
      <c r="DG160" s="888">
        <v>248.43</v>
      </c>
      <c r="DH160" s="887">
        <v>248.15</v>
      </c>
      <c r="DI160" s="887">
        <v>249.05</v>
      </c>
      <c r="DJ160" s="887">
        <v>249.33</v>
      </c>
      <c r="DK160" s="888">
        <v>249.34</v>
      </c>
      <c r="DL160" s="887">
        <v>249.62</v>
      </c>
      <c r="DM160" s="888">
        <v>250.2</v>
      </c>
      <c r="DN160" s="888">
        <v>250.38</v>
      </c>
      <c r="DO160" s="968">
        <v>250.7</v>
      </c>
      <c r="DP160" s="890">
        <v>252.36</v>
      </c>
      <c r="DQ160" s="888">
        <v>254.51</v>
      </c>
      <c r="DR160" s="888">
        <v>255.03</v>
      </c>
      <c r="DS160" s="888">
        <v>256.83999999999997</v>
      </c>
      <c r="DT160" s="887">
        <v>258.11</v>
      </c>
      <c r="DU160" s="888">
        <v>258.7</v>
      </c>
      <c r="DV160" s="888">
        <v>261.35000000000002</v>
      </c>
      <c r="DW160" s="888">
        <v>262.93</v>
      </c>
      <c r="DX160" s="888">
        <v>265.41000000000003</v>
      </c>
      <c r="DY160" s="888">
        <v>265.92</v>
      </c>
      <c r="DZ160" s="888">
        <v>269.52</v>
      </c>
      <c r="EA160" s="968">
        <v>270.10000000000002</v>
      </c>
      <c r="EB160" s="888">
        <v>273.58</v>
      </c>
      <c r="EC160" s="888">
        <v>274.25</v>
      </c>
      <c r="ED160" s="888">
        <v>278.82</v>
      </c>
      <c r="EE160" s="888">
        <v>280.39</v>
      </c>
      <c r="EF160" s="888">
        <v>286.41000000000003</v>
      </c>
      <c r="EG160" s="888">
        <v>294.81</v>
      </c>
      <c r="EH160" s="888">
        <v>299.54000000000002</v>
      </c>
      <c r="EI160" s="888">
        <v>302.19</v>
      </c>
      <c r="EJ160" s="888">
        <v>305.06</v>
      </c>
      <c r="EK160" s="887">
        <v>308.56</v>
      </c>
      <c r="EL160" s="888">
        <v>311.18</v>
      </c>
      <c r="EM160" s="888">
        <v>316.61</v>
      </c>
      <c r="EN160" s="890">
        <v>321.41000000000003</v>
      </c>
      <c r="EO160" s="888">
        <v>326.23</v>
      </c>
      <c r="EP160" s="888">
        <v>330.44</v>
      </c>
      <c r="EQ160" s="888">
        <v>331.92</v>
      </c>
      <c r="ER160" s="888">
        <v>340.84</v>
      </c>
      <c r="ES160" s="888">
        <v>346.29</v>
      </c>
      <c r="ET160" s="888">
        <v>353.74</v>
      </c>
      <c r="EU160" s="888">
        <v>358.66</v>
      </c>
      <c r="EV160" s="888">
        <v>367.34</v>
      </c>
      <c r="EW160" s="659">
        <v>372.22</v>
      </c>
      <c r="EX160" s="659">
        <v>380.16</v>
      </c>
      <c r="EY160" s="659">
        <v>390.66</v>
      </c>
      <c r="EZ160" s="783">
        <v>413.41</v>
      </c>
      <c r="FA160" s="659">
        <v>470.18</v>
      </c>
      <c r="FB160" s="659">
        <v>469.74</v>
      </c>
      <c r="FC160" s="659">
        <v>476.56</v>
      </c>
      <c r="FD160" s="659">
        <v>477.99</v>
      </c>
      <c r="FE160" s="659">
        <v>481.83</v>
      </c>
      <c r="FF160" s="659">
        <v>482.41</v>
      </c>
      <c r="FG160" s="659">
        <v>486.33</v>
      </c>
      <c r="FH160" s="659">
        <v>499.39</v>
      </c>
      <c r="FI160" s="659">
        <v>501.06</v>
      </c>
      <c r="FJ160" s="659">
        <v>506.58</v>
      </c>
      <c r="FK160" s="897">
        <v>508.11</v>
      </c>
      <c r="FL160" s="660">
        <v>509.52</v>
      </c>
      <c r="FM160" s="623">
        <v>515.39</v>
      </c>
      <c r="FN160" s="623">
        <v>519.44000000000005</v>
      </c>
      <c r="FO160" s="623">
        <v>522.85</v>
      </c>
      <c r="FP160" s="623">
        <v>529.04999999999995</v>
      </c>
      <c r="FQ160" s="623">
        <v>531.21</v>
      </c>
      <c r="FR160" s="623">
        <v>536.05999999999995</v>
      </c>
      <c r="FS160" s="623">
        <v>544.45000000000005</v>
      </c>
      <c r="FT160" s="623">
        <v>550.54999999999995</v>
      </c>
      <c r="FU160" s="897">
        <v>558.6</v>
      </c>
      <c r="FV160" s="1167">
        <f t="shared" si="1"/>
        <v>1.0146217418944692</v>
      </c>
    </row>
    <row r="161" spans="1:178" s="115" customFormat="1" ht="18.95" customHeight="1">
      <c r="A161" s="1546">
        <v>1</v>
      </c>
      <c r="B161" s="408">
        <v>136</v>
      </c>
      <c r="C161" s="621" t="s">
        <v>471</v>
      </c>
      <c r="D161" s="628" t="s">
        <v>472</v>
      </c>
      <c r="E161" s="621" t="s">
        <v>918</v>
      </c>
      <c r="F161" s="622"/>
      <c r="G161" s="621" t="s">
        <v>929</v>
      </c>
      <c r="H161" s="621"/>
      <c r="I161" s="390" t="s">
        <v>470</v>
      </c>
      <c r="J161" s="651"/>
      <c r="K161" s="669">
        <v>92.4</v>
      </c>
      <c r="L161" s="665"/>
      <c r="M161" s="625">
        <v>93.4</v>
      </c>
      <c r="N161" s="625">
        <v>93.3</v>
      </c>
      <c r="O161" s="625">
        <v>95.6</v>
      </c>
      <c r="P161" s="625">
        <v>103.6</v>
      </c>
      <c r="Q161" s="625">
        <v>103.6</v>
      </c>
      <c r="R161" s="625">
        <v>107.2</v>
      </c>
      <c r="S161" s="625">
        <v>107.3</v>
      </c>
      <c r="T161" s="625">
        <v>106.8</v>
      </c>
      <c r="U161" s="625">
        <v>107.2</v>
      </c>
      <c r="V161" s="625">
        <v>114.7</v>
      </c>
      <c r="W161" s="625">
        <v>117.6</v>
      </c>
      <c r="X161" s="625">
        <v>120.5</v>
      </c>
      <c r="Y161" s="625">
        <v>125.8</v>
      </c>
      <c r="Z161" s="625">
        <v>123.3</v>
      </c>
      <c r="AA161" s="625">
        <v>122.2</v>
      </c>
      <c r="AB161" s="625">
        <v>123.5</v>
      </c>
      <c r="AC161" s="625">
        <v>130.30000000000001</v>
      </c>
      <c r="AD161" s="625">
        <v>135.30000000000001</v>
      </c>
      <c r="AE161" s="625">
        <v>138.80000000000001</v>
      </c>
      <c r="AF161" s="625">
        <v>140.4</v>
      </c>
      <c r="AG161" s="625">
        <v>151.80000000000001</v>
      </c>
      <c r="AH161" s="625">
        <v>162.9</v>
      </c>
      <c r="AI161" s="764">
        <v>162.9</v>
      </c>
      <c r="AJ161" s="772">
        <v>174</v>
      </c>
      <c r="AK161" s="625">
        <v>183.1</v>
      </c>
      <c r="AL161" s="625">
        <v>184.6</v>
      </c>
      <c r="AM161" s="625">
        <v>184.7</v>
      </c>
      <c r="AN161" s="625">
        <v>187.7</v>
      </c>
      <c r="AO161" s="625">
        <v>188</v>
      </c>
      <c r="AP161" s="625">
        <v>190</v>
      </c>
      <c r="AQ161" s="625">
        <v>190</v>
      </c>
      <c r="AR161" s="625">
        <v>190</v>
      </c>
      <c r="AS161" s="625">
        <v>192.9</v>
      </c>
      <c r="AT161" s="625">
        <v>192.9</v>
      </c>
      <c r="AU161" s="764">
        <v>192.6</v>
      </c>
      <c r="AV161" s="752">
        <v>195.5</v>
      </c>
      <c r="AW161" s="626">
        <v>195.5</v>
      </c>
      <c r="AX161" s="627">
        <v>195.5</v>
      </c>
      <c r="AY161" s="626">
        <v>195.5</v>
      </c>
      <c r="AZ161" s="626">
        <v>199.8</v>
      </c>
      <c r="BA161" s="626">
        <v>199.8</v>
      </c>
      <c r="BB161" s="626">
        <v>201.4</v>
      </c>
      <c r="BC161" s="627">
        <v>202.5</v>
      </c>
      <c r="BD161" s="626">
        <v>203.1</v>
      </c>
      <c r="BE161" s="627">
        <v>206.4</v>
      </c>
      <c r="BF161" s="627">
        <v>214.1</v>
      </c>
      <c r="BG161" s="738">
        <v>216.6</v>
      </c>
      <c r="BH161" s="660">
        <v>217.9</v>
      </c>
      <c r="BI161" s="623">
        <v>219</v>
      </c>
      <c r="BJ161" s="623">
        <v>219</v>
      </c>
      <c r="BK161" s="623">
        <v>226.2</v>
      </c>
      <c r="BL161" s="623">
        <v>229.2</v>
      </c>
      <c r="BM161" s="623">
        <v>236.5</v>
      </c>
      <c r="BN161" s="623">
        <v>238.5</v>
      </c>
      <c r="BO161" s="623">
        <v>238.5</v>
      </c>
      <c r="BP161" s="623">
        <v>239.7</v>
      </c>
      <c r="BQ161" s="623">
        <v>239.7</v>
      </c>
      <c r="BR161" s="623">
        <v>246.8</v>
      </c>
      <c r="BS161" s="659">
        <v>250.1</v>
      </c>
      <c r="BT161" s="660">
        <v>250.4</v>
      </c>
      <c r="BU161" s="623">
        <v>250.4</v>
      </c>
      <c r="BV161" s="623">
        <v>252.2</v>
      </c>
      <c r="BW161" s="623">
        <v>257.7</v>
      </c>
      <c r="BX161" s="623">
        <v>261.60000000000002</v>
      </c>
      <c r="BY161" s="623">
        <v>282.89999999999998</v>
      </c>
      <c r="BZ161" s="623">
        <v>285</v>
      </c>
      <c r="CA161" s="623">
        <v>287.7</v>
      </c>
      <c r="CB161" s="623">
        <v>287.7</v>
      </c>
      <c r="CC161" s="623">
        <v>287.7</v>
      </c>
      <c r="CD161" s="623">
        <v>287.7</v>
      </c>
      <c r="CE161" s="659">
        <v>296.3</v>
      </c>
      <c r="CF161" s="660">
        <v>300.7</v>
      </c>
      <c r="CG161" s="623">
        <v>300.7</v>
      </c>
      <c r="CH161" s="623">
        <v>300.7</v>
      </c>
      <c r="CI161" s="623">
        <v>300.7</v>
      </c>
      <c r="CJ161" s="623">
        <v>300.7</v>
      </c>
      <c r="CK161" s="623">
        <v>371.9</v>
      </c>
      <c r="CL161" s="623">
        <v>372.8</v>
      </c>
      <c r="CM161" s="623">
        <v>372.8</v>
      </c>
      <c r="CN161" s="623">
        <v>372.8</v>
      </c>
      <c r="CO161" s="623">
        <v>372.8</v>
      </c>
      <c r="CP161" s="623">
        <v>372.8</v>
      </c>
      <c r="CQ161" s="659">
        <v>372.8</v>
      </c>
      <c r="CR161" s="660">
        <v>372.8</v>
      </c>
      <c r="CS161" s="623">
        <v>372.8</v>
      </c>
      <c r="CT161" s="623">
        <v>372.8</v>
      </c>
      <c r="CU161" s="623">
        <v>372.8</v>
      </c>
      <c r="CV161" s="623">
        <v>372.8</v>
      </c>
      <c r="CW161" s="623">
        <v>372.8</v>
      </c>
      <c r="CX161" s="623">
        <v>372.8</v>
      </c>
      <c r="CY161" s="623">
        <v>372.8</v>
      </c>
      <c r="CZ161" s="623">
        <v>372.8</v>
      </c>
      <c r="DA161" s="623">
        <v>372.8</v>
      </c>
      <c r="DB161" s="725">
        <v>372.8</v>
      </c>
      <c r="DC161" s="659">
        <v>372.8</v>
      </c>
      <c r="DD161" s="783">
        <v>376.1</v>
      </c>
      <c r="DE161" s="623">
        <v>376.1</v>
      </c>
      <c r="DF161" s="725">
        <v>373.1</v>
      </c>
      <c r="DG161" s="659">
        <v>376.9</v>
      </c>
      <c r="DH161" s="623">
        <v>378.2</v>
      </c>
      <c r="DI161" s="623">
        <v>379</v>
      </c>
      <c r="DJ161" s="623">
        <v>379</v>
      </c>
      <c r="DK161" s="659">
        <v>383.2</v>
      </c>
      <c r="DL161" s="623">
        <v>383.2</v>
      </c>
      <c r="DM161" s="659">
        <v>384.6</v>
      </c>
      <c r="DN161" s="659">
        <v>384.6</v>
      </c>
      <c r="DO161" s="897">
        <v>391.5</v>
      </c>
      <c r="DP161" s="783">
        <v>398.5</v>
      </c>
      <c r="DQ161" s="659">
        <v>397.5</v>
      </c>
      <c r="DR161" s="659">
        <v>401.6</v>
      </c>
      <c r="DS161" s="659">
        <v>403.8</v>
      </c>
      <c r="DT161" s="623">
        <v>403.8</v>
      </c>
      <c r="DU161" s="659">
        <v>408</v>
      </c>
      <c r="DV161" s="659">
        <v>416.8</v>
      </c>
      <c r="DW161" s="659">
        <v>431.3</v>
      </c>
      <c r="DX161" s="659">
        <v>440.7</v>
      </c>
      <c r="DY161" s="659">
        <v>460.3</v>
      </c>
      <c r="DZ161" s="659">
        <v>468.3</v>
      </c>
      <c r="EA161" s="897">
        <v>485.4</v>
      </c>
      <c r="EB161" s="659">
        <v>493.9</v>
      </c>
      <c r="EC161" s="659">
        <v>497</v>
      </c>
      <c r="ED161" s="659">
        <v>507.2</v>
      </c>
      <c r="EE161" s="659">
        <v>517.6</v>
      </c>
      <c r="EF161" s="659">
        <v>523.5</v>
      </c>
      <c r="EG161" s="659">
        <v>530.29999999999995</v>
      </c>
      <c r="EH161" s="659">
        <v>534.79999999999995</v>
      </c>
      <c r="EI161" s="659">
        <v>537.9</v>
      </c>
      <c r="EJ161" s="659">
        <v>538</v>
      </c>
      <c r="EK161" s="623">
        <v>550</v>
      </c>
      <c r="EL161" s="725">
        <v>553.79999999999995</v>
      </c>
      <c r="EM161" s="659">
        <v>560.29999999999995</v>
      </c>
      <c r="EN161" s="783">
        <v>570.1</v>
      </c>
      <c r="EO161" s="659">
        <v>582.5</v>
      </c>
      <c r="EP161" s="659">
        <v>589.70000000000005</v>
      </c>
      <c r="EQ161" s="659">
        <v>606.70000000000005</v>
      </c>
      <c r="ER161" s="659">
        <v>612.70000000000005</v>
      </c>
      <c r="ES161" s="659">
        <v>617.6</v>
      </c>
      <c r="ET161" s="659">
        <v>633.1</v>
      </c>
      <c r="EU161" s="659">
        <v>636.6</v>
      </c>
      <c r="EV161" s="659">
        <v>649.5</v>
      </c>
      <c r="EW161" s="659">
        <v>653.5</v>
      </c>
      <c r="EX161" s="659">
        <v>666.6</v>
      </c>
      <c r="EY161" s="659">
        <v>677.4</v>
      </c>
      <c r="EZ161" s="783">
        <v>700.8</v>
      </c>
      <c r="FA161" s="659">
        <v>773.9</v>
      </c>
      <c r="FB161" s="888">
        <v>778.7</v>
      </c>
      <c r="FC161" s="659">
        <v>805.2</v>
      </c>
      <c r="FD161" s="659">
        <v>818.9</v>
      </c>
      <c r="FE161" s="659">
        <v>830.7</v>
      </c>
      <c r="FF161" s="659">
        <v>842.8</v>
      </c>
      <c r="FG161" s="659">
        <v>852</v>
      </c>
      <c r="FH161" s="888">
        <v>854</v>
      </c>
      <c r="FI161" s="659">
        <v>865.3</v>
      </c>
      <c r="FJ161" s="659">
        <v>878.4</v>
      </c>
      <c r="FK161" s="897">
        <v>913.9</v>
      </c>
      <c r="FL161" s="660">
        <v>927.4</v>
      </c>
      <c r="FM161" s="623">
        <v>935.6</v>
      </c>
      <c r="FN161" s="623">
        <v>952.8</v>
      </c>
      <c r="FO161" s="623">
        <v>963.3</v>
      </c>
      <c r="FP161" s="623">
        <v>979.9</v>
      </c>
      <c r="FQ161" s="623">
        <v>997.6</v>
      </c>
      <c r="FR161" s="623">
        <v>1021.9</v>
      </c>
      <c r="FS161" s="623">
        <v>1050.5</v>
      </c>
      <c r="FT161" s="623">
        <v>1054.5</v>
      </c>
      <c r="FU161" s="897">
        <v>1094.5999999999999</v>
      </c>
      <c r="FV161" s="1167">
        <f t="shared" si="1"/>
        <v>1.0380275011853959</v>
      </c>
    </row>
    <row r="162" spans="1:178" s="115" customFormat="1" ht="18.95" customHeight="1" thickBot="1">
      <c r="A162" s="1546">
        <v>1</v>
      </c>
      <c r="B162" s="407">
        <v>137</v>
      </c>
      <c r="C162" s="636">
        <v>80</v>
      </c>
      <c r="D162" s="1403" t="s">
        <v>105</v>
      </c>
      <c r="E162" s="636" t="s">
        <v>918</v>
      </c>
      <c r="F162" s="637"/>
      <c r="G162" s="636" t="s">
        <v>505</v>
      </c>
      <c r="H162" s="636"/>
      <c r="I162" s="638" t="s">
        <v>506</v>
      </c>
      <c r="J162" s="684"/>
      <c r="K162" s="670">
        <v>185</v>
      </c>
      <c r="L162" s="666">
        <v>185</v>
      </c>
      <c r="M162" s="639">
        <v>185</v>
      </c>
      <c r="N162" s="639">
        <v>205</v>
      </c>
      <c r="O162" s="639">
        <v>290</v>
      </c>
      <c r="P162" s="639">
        <v>400</v>
      </c>
      <c r="Q162" s="639">
        <v>460</v>
      </c>
      <c r="R162" s="639">
        <v>540</v>
      </c>
      <c r="S162" s="639">
        <v>540</v>
      </c>
      <c r="T162" s="639">
        <v>540</v>
      </c>
      <c r="U162" s="639">
        <v>540</v>
      </c>
      <c r="V162" s="639">
        <v>540</v>
      </c>
      <c r="W162" s="639">
        <v>540</v>
      </c>
      <c r="X162" s="639">
        <v>540</v>
      </c>
      <c r="Y162" s="639">
        <v>620</v>
      </c>
      <c r="Z162" s="639">
        <v>710</v>
      </c>
      <c r="AA162" s="639">
        <v>600</v>
      </c>
      <c r="AB162" s="639">
        <v>540</v>
      </c>
      <c r="AC162" s="639">
        <v>540</v>
      </c>
      <c r="AD162" s="639">
        <v>540</v>
      </c>
      <c r="AE162" s="639">
        <v>540</v>
      </c>
      <c r="AF162" s="639">
        <v>540</v>
      </c>
      <c r="AG162" s="639">
        <v>540</v>
      </c>
      <c r="AH162" s="639">
        <v>540</v>
      </c>
      <c r="AI162" s="765">
        <v>540</v>
      </c>
      <c r="AJ162" s="773">
        <v>700</v>
      </c>
      <c r="AK162" s="639">
        <v>700</v>
      </c>
      <c r="AL162" s="639">
        <v>700</v>
      </c>
      <c r="AM162" s="639">
        <v>700</v>
      </c>
      <c r="AN162" s="639">
        <v>700</v>
      </c>
      <c r="AO162" s="639">
        <v>750</v>
      </c>
      <c r="AP162" s="639">
        <v>600</v>
      </c>
      <c r="AQ162" s="639">
        <v>600</v>
      </c>
      <c r="AR162" s="639">
        <v>600</v>
      </c>
      <c r="AS162" s="639">
        <v>600</v>
      </c>
      <c r="AT162" s="639">
        <v>700</v>
      </c>
      <c r="AU162" s="765">
        <v>700</v>
      </c>
      <c r="AV162" s="768">
        <v>700</v>
      </c>
      <c r="AW162" s="640">
        <v>700</v>
      </c>
      <c r="AX162" s="641">
        <v>700</v>
      </c>
      <c r="AY162" s="640">
        <v>700</v>
      </c>
      <c r="AZ162" s="640">
        <v>750</v>
      </c>
      <c r="BA162" s="640">
        <v>750</v>
      </c>
      <c r="BB162" s="640">
        <v>750</v>
      </c>
      <c r="BC162" s="641">
        <v>750</v>
      </c>
      <c r="BD162" s="640">
        <v>970</v>
      </c>
      <c r="BE162" s="641">
        <v>970</v>
      </c>
      <c r="BF162" s="641">
        <v>970</v>
      </c>
      <c r="BG162" s="751">
        <v>970</v>
      </c>
      <c r="BH162" s="661">
        <v>970</v>
      </c>
      <c r="BI162" s="642">
        <v>970</v>
      </c>
      <c r="BJ162" s="642">
        <v>970</v>
      </c>
      <c r="BK162" s="642">
        <v>970</v>
      </c>
      <c r="BL162" s="642">
        <v>970</v>
      </c>
      <c r="BM162" s="642">
        <v>970</v>
      </c>
      <c r="BN162" s="642">
        <v>970</v>
      </c>
      <c r="BO162" s="642">
        <v>970</v>
      </c>
      <c r="BP162" s="642">
        <v>970</v>
      </c>
      <c r="BQ162" s="642">
        <v>970</v>
      </c>
      <c r="BR162" s="642">
        <v>970</v>
      </c>
      <c r="BS162" s="736">
        <v>970</v>
      </c>
      <c r="BT162" s="661">
        <v>970</v>
      </c>
      <c r="BU162" s="642">
        <v>970</v>
      </c>
      <c r="BV162" s="642">
        <v>970</v>
      </c>
      <c r="BW162" s="642">
        <v>970</v>
      </c>
      <c r="BX162" s="642">
        <v>970</v>
      </c>
      <c r="BY162" s="642">
        <v>970</v>
      </c>
      <c r="BZ162" s="642">
        <v>970</v>
      </c>
      <c r="CA162" s="642">
        <v>970</v>
      </c>
      <c r="CB162" s="642">
        <v>970</v>
      </c>
      <c r="CC162" s="642">
        <v>970</v>
      </c>
      <c r="CD162" s="642">
        <v>1180</v>
      </c>
      <c r="CE162" s="736">
        <v>1180</v>
      </c>
      <c r="CF162" s="661">
        <v>1180</v>
      </c>
      <c r="CG162" s="642">
        <v>1180</v>
      </c>
      <c r="CH162" s="642">
        <v>1180</v>
      </c>
      <c r="CI162" s="642">
        <v>1280</v>
      </c>
      <c r="CJ162" s="642">
        <v>1370</v>
      </c>
      <c r="CK162" s="642">
        <v>1370</v>
      </c>
      <c r="CL162" s="642">
        <v>1370</v>
      </c>
      <c r="CM162" s="642">
        <v>1370</v>
      </c>
      <c r="CN162" s="642">
        <v>1370</v>
      </c>
      <c r="CO162" s="642">
        <v>1370</v>
      </c>
      <c r="CP162" s="642">
        <v>1370</v>
      </c>
      <c r="CQ162" s="736">
        <v>1370</v>
      </c>
      <c r="CR162" s="661">
        <v>1300</v>
      </c>
      <c r="CS162" s="642">
        <v>1300</v>
      </c>
      <c r="CT162" s="642">
        <v>1300</v>
      </c>
      <c r="CU162" s="642">
        <v>1300</v>
      </c>
      <c r="CV162" s="642">
        <v>1300</v>
      </c>
      <c r="CW162" s="642">
        <v>1300</v>
      </c>
      <c r="CX162" s="642">
        <v>1300</v>
      </c>
      <c r="CY162" s="642">
        <v>1300</v>
      </c>
      <c r="CZ162" s="1404">
        <v>1520</v>
      </c>
      <c r="DA162" s="1404">
        <v>1520</v>
      </c>
      <c r="DB162" s="1405">
        <v>1520</v>
      </c>
      <c r="DC162" s="1406">
        <v>1520</v>
      </c>
      <c r="DD162" s="1407">
        <v>1520</v>
      </c>
      <c r="DE162" s="1404">
        <v>1520</v>
      </c>
      <c r="DF162" s="1405">
        <v>1520</v>
      </c>
      <c r="DG162" s="1406">
        <v>1520</v>
      </c>
      <c r="DH162" s="1404">
        <v>1520</v>
      </c>
      <c r="DI162" s="1404">
        <v>1590</v>
      </c>
      <c r="DJ162" s="1404">
        <v>1590</v>
      </c>
      <c r="DK162" s="1406">
        <v>1590</v>
      </c>
      <c r="DL162" s="1404">
        <v>1590</v>
      </c>
      <c r="DM162" s="1406">
        <v>1590</v>
      </c>
      <c r="DN162" s="1406">
        <v>1590</v>
      </c>
      <c r="DO162" s="1408">
        <v>1750</v>
      </c>
      <c r="DP162" s="1409">
        <v>1750</v>
      </c>
      <c r="DQ162" s="1406">
        <v>1750</v>
      </c>
      <c r="DR162" s="1406">
        <v>1750</v>
      </c>
      <c r="DS162" s="1406">
        <v>1750</v>
      </c>
      <c r="DT162" s="1404">
        <v>1800</v>
      </c>
      <c r="DU162" s="1406">
        <v>1800</v>
      </c>
      <c r="DV162" s="1406">
        <v>1800</v>
      </c>
      <c r="DW162" s="1406">
        <v>1890</v>
      </c>
      <c r="DX162" s="1406">
        <v>1890</v>
      </c>
      <c r="DY162" s="1406">
        <v>1890</v>
      </c>
      <c r="DZ162" s="1406">
        <v>1890</v>
      </c>
      <c r="EA162" s="1408">
        <v>1890</v>
      </c>
      <c r="EB162" s="1406">
        <v>1890</v>
      </c>
      <c r="EC162" s="1406">
        <v>1890</v>
      </c>
      <c r="ED162" s="1410">
        <v>2040</v>
      </c>
      <c r="EE162" s="1410">
        <v>2040</v>
      </c>
      <c r="EF162" s="1410">
        <v>2040</v>
      </c>
      <c r="EG162" s="1410">
        <v>2150</v>
      </c>
      <c r="EH162" s="1410">
        <v>2150</v>
      </c>
      <c r="EI162" s="1410">
        <v>2150</v>
      </c>
      <c r="EJ162" s="1410">
        <v>2260</v>
      </c>
      <c r="EK162" s="1411">
        <v>2260</v>
      </c>
      <c r="EL162" s="1412">
        <v>2370</v>
      </c>
      <c r="EM162" s="1410">
        <v>2370</v>
      </c>
      <c r="EN162" s="1407">
        <v>2370</v>
      </c>
      <c r="EO162" s="1410">
        <v>2370</v>
      </c>
      <c r="EP162" s="1410">
        <v>2480</v>
      </c>
      <c r="EQ162" s="1410">
        <v>2480</v>
      </c>
      <c r="ER162" s="1410">
        <v>2480</v>
      </c>
      <c r="ES162" s="1410">
        <v>2610</v>
      </c>
      <c r="ET162" s="1410">
        <v>2610</v>
      </c>
      <c r="EU162" s="1410">
        <v>2610</v>
      </c>
      <c r="EV162" s="1410">
        <v>2870</v>
      </c>
      <c r="EW162" s="1410">
        <v>2870</v>
      </c>
      <c r="EX162" s="1410">
        <v>2870</v>
      </c>
      <c r="EY162" s="1410">
        <v>2870</v>
      </c>
      <c r="EZ162" s="1407">
        <v>3010</v>
      </c>
      <c r="FA162" s="1410">
        <v>3310</v>
      </c>
      <c r="FB162" s="736">
        <v>3650</v>
      </c>
      <c r="FC162" s="736">
        <v>4010</v>
      </c>
      <c r="FD162" s="736">
        <v>4010</v>
      </c>
      <c r="FE162" s="736">
        <v>4010</v>
      </c>
      <c r="FF162" s="736">
        <v>4150</v>
      </c>
      <c r="FG162" s="736">
        <v>4300</v>
      </c>
      <c r="FH162" s="736">
        <v>4300</v>
      </c>
      <c r="FI162" s="736">
        <v>4830</v>
      </c>
      <c r="FJ162" s="736">
        <v>4830</v>
      </c>
      <c r="FK162" s="901">
        <v>4830</v>
      </c>
      <c r="FL162" s="661">
        <v>4830</v>
      </c>
      <c r="FM162" s="642">
        <v>4830</v>
      </c>
      <c r="FN162" s="642">
        <v>4830</v>
      </c>
      <c r="FO162" s="642">
        <v>4830</v>
      </c>
      <c r="FP162" s="642">
        <v>4830</v>
      </c>
      <c r="FQ162" s="642">
        <v>4980</v>
      </c>
      <c r="FR162" s="642">
        <v>4980</v>
      </c>
      <c r="FS162" s="642">
        <v>4980</v>
      </c>
      <c r="FT162" s="642">
        <v>4980</v>
      </c>
      <c r="FU162" s="901">
        <v>5230</v>
      </c>
      <c r="FV162" s="1167">
        <f t="shared" si="1"/>
        <v>1.0502008032128514</v>
      </c>
    </row>
    <row r="163" spans="1:178" s="115" customFormat="1" ht="18.95" customHeight="1">
      <c r="A163" s="1546">
        <v>1</v>
      </c>
      <c r="B163" s="613">
        <v>138</v>
      </c>
      <c r="C163" s="614">
        <v>81</v>
      </c>
      <c r="D163" s="648" t="s">
        <v>504</v>
      </c>
      <c r="E163" s="614" t="s">
        <v>918</v>
      </c>
      <c r="F163" s="615"/>
      <c r="G163" s="614" t="s">
        <v>505</v>
      </c>
      <c r="H163" s="614"/>
      <c r="I163" s="647" t="s">
        <v>506</v>
      </c>
      <c r="J163" s="652"/>
      <c r="K163" s="671">
        <v>235</v>
      </c>
      <c r="L163" s="667">
        <v>235</v>
      </c>
      <c r="M163" s="618">
        <v>235</v>
      </c>
      <c r="N163" s="618">
        <v>275</v>
      </c>
      <c r="O163" s="618">
        <v>350</v>
      </c>
      <c r="P163" s="618">
        <v>530</v>
      </c>
      <c r="Q163" s="618">
        <v>600</v>
      </c>
      <c r="R163" s="618">
        <v>690</v>
      </c>
      <c r="S163" s="618">
        <v>690</v>
      </c>
      <c r="T163" s="618">
        <v>690</v>
      </c>
      <c r="U163" s="618">
        <v>690</v>
      </c>
      <c r="V163" s="618">
        <v>690</v>
      </c>
      <c r="W163" s="618">
        <v>690</v>
      </c>
      <c r="X163" s="618">
        <v>690</v>
      </c>
      <c r="Y163" s="618">
        <v>790</v>
      </c>
      <c r="Z163" s="618">
        <v>900</v>
      </c>
      <c r="AA163" s="618">
        <v>780</v>
      </c>
      <c r="AB163" s="618">
        <v>700</v>
      </c>
      <c r="AC163" s="618">
        <v>700</v>
      </c>
      <c r="AD163" s="618">
        <v>700</v>
      </c>
      <c r="AE163" s="618">
        <v>700</v>
      </c>
      <c r="AF163" s="618">
        <v>700</v>
      </c>
      <c r="AG163" s="618">
        <v>700</v>
      </c>
      <c r="AH163" s="618">
        <v>700</v>
      </c>
      <c r="AI163" s="766">
        <v>700</v>
      </c>
      <c r="AJ163" s="774">
        <v>660</v>
      </c>
      <c r="AK163" s="618">
        <v>660</v>
      </c>
      <c r="AL163" s="618">
        <v>660</v>
      </c>
      <c r="AM163" s="618">
        <v>660</v>
      </c>
      <c r="AN163" s="618">
        <v>660</v>
      </c>
      <c r="AO163" s="618">
        <v>720</v>
      </c>
      <c r="AP163" s="618">
        <v>750</v>
      </c>
      <c r="AQ163" s="618">
        <v>750</v>
      </c>
      <c r="AR163" s="618">
        <v>750</v>
      </c>
      <c r="AS163" s="618">
        <v>750</v>
      </c>
      <c r="AT163" s="618">
        <v>850</v>
      </c>
      <c r="AU163" s="766">
        <v>850</v>
      </c>
      <c r="AV163" s="769">
        <v>850</v>
      </c>
      <c r="AW163" s="619">
        <v>850</v>
      </c>
      <c r="AX163" s="620">
        <v>850</v>
      </c>
      <c r="AY163" s="619">
        <v>850</v>
      </c>
      <c r="AZ163" s="619">
        <v>1000</v>
      </c>
      <c r="BA163" s="619">
        <v>1000</v>
      </c>
      <c r="BB163" s="619">
        <v>1000</v>
      </c>
      <c r="BC163" s="620">
        <v>1000</v>
      </c>
      <c r="BD163" s="619">
        <v>1320</v>
      </c>
      <c r="BE163" s="620">
        <v>1270</v>
      </c>
      <c r="BF163" s="620">
        <v>1270</v>
      </c>
      <c r="BG163" s="750">
        <v>1270</v>
      </c>
      <c r="BH163" s="662">
        <v>1270</v>
      </c>
      <c r="BI163" s="617">
        <v>1270</v>
      </c>
      <c r="BJ163" s="617">
        <v>1270</v>
      </c>
      <c r="BK163" s="617">
        <v>1270</v>
      </c>
      <c r="BL163" s="617">
        <v>1270</v>
      </c>
      <c r="BM163" s="617">
        <v>1270</v>
      </c>
      <c r="BN163" s="617">
        <v>1270</v>
      </c>
      <c r="BO163" s="617">
        <v>1270</v>
      </c>
      <c r="BP163" s="617">
        <v>1270</v>
      </c>
      <c r="BQ163" s="617">
        <v>1270</v>
      </c>
      <c r="BR163" s="617">
        <v>1270</v>
      </c>
      <c r="BS163" s="737">
        <v>1270</v>
      </c>
      <c r="BT163" s="662">
        <v>1270</v>
      </c>
      <c r="BU163" s="617">
        <v>1270</v>
      </c>
      <c r="BV163" s="617">
        <v>1270</v>
      </c>
      <c r="BW163" s="617">
        <v>1270</v>
      </c>
      <c r="BX163" s="617">
        <v>1270</v>
      </c>
      <c r="BY163" s="617">
        <v>1270</v>
      </c>
      <c r="BZ163" s="617">
        <v>1270</v>
      </c>
      <c r="CA163" s="617">
        <v>1270</v>
      </c>
      <c r="CB163" s="617">
        <v>1270</v>
      </c>
      <c r="CC163" s="617">
        <v>1270</v>
      </c>
      <c r="CD163" s="617">
        <v>1910</v>
      </c>
      <c r="CE163" s="737">
        <v>1910</v>
      </c>
      <c r="CF163" s="662">
        <v>1910</v>
      </c>
      <c r="CG163" s="617">
        <v>1910</v>
      </c>
      <c r="CH163" s="617">
        <v>1910</v>
      </c>
      <c r="CI163" s="617">
        <v>2050</v>
      </c>
      <c r="CJ163" s="617">
        <v>2240</v>
      </c>
      <c r="CK163" s="617">
        <v>2240</v>
      </c>
      <c r="CL163" s="617">
        <v>2240</v>
      </c>
      <c r="CM163" s="617">
        <v>2240</v>
      </c>
      <c r="CN163" s="617">
        <v>2240</v>
      </c>
      <c r="CO163" s="617">
        <v>2240</v>
      </c>
      <c r="CP163" s="617">
        <v>2240</v>
      </c>
      <c r="CQ163" s="737">
        <v>2240</v>
      </c>
      <c r="CR163" s="662">
        <v>2130</v>
      </c>
      <c r="CS163" s="617">
        <v>2130</v>
      </c>
      <c r="CT163" s="617">
        <v>2130</v>
      </c>
      <c r="CU163" s="617">
        <v>2130</v>
      </c>
      <c r="CV163" s="617">
        <v>2130</v>
      </c>
      <c r="CW163" s="617">
        <v>2130</v>
      </c>
      <c r="CX163" s="617">
        <v>2130</v>
      </c>
      <c r="CY163" s="617">
        <v>2130</v>
      </c>
      <c r="CZ163" s="1394">
        <v>2480</v>
      </c>
      <c r="DA163" s="1394">
        <v>2480</v>
      </c>
      <c r="DB163" s="1395">
        <v>2480</v>
      </c>
      <c r="DC163" s="1396">
        <v>2480</v>
      </c>
      <c r="DD163" s="1397">
        <v>2480</v>
      </c>
      <c r="DE163" s="1394">
        <v>2480</v>
      </c>
      <c r="DF163" s="1395">
        <v>2480</v>
      </c>
      <c r="DG163" s="1396">
        <v>2480</v>
      </c>
      <c r="DH163" s="1394">
        <v>2480</v>
      </c>
      <c r="DI163" s="1394">
        <v>2520</v>
      </c>
      <c r="DJ163" s="1394">
        <v>2520</v>
      </c>
      <c r="DK163" s="1396">
        <v>2520</v>
      </c>
      <c r="DL163" s="1394">
        <v>2520</v>
      </c>
      <c r="DM163" s="1396">
        <v>2520</v>
      </c>
      <c r="DN163" s="1396">
        <v>2520</v>
      </c>
      <c r="DO163" s="1398">
        <v>2750</v>
      </c>
      <c r="DP163" s="1399">
        <v>2750</v>
      </c>
      <c r="DQ163" s="1396">
        <v>2750</v>
      </c>
      <c r="DR163" s="1396">
        <v>2750</v>
      </c>
      <c r="DS163" s="1396">
        <v>2750</v>
      </c>
      <c r="DT163" s="1394">
        <v>2840</v>
      </c>
      <c r="DU163" s="1396">
        <v>2840</v>
      </c>
      <c r="DV163" s="1396">
        <v>2840</v>
      </c>
      <c r="DW163" s="1396">
        <v>2980</v>
      </c>
      <c r="DX163" s="1396">
        <v>2980</v>
      </c>
      <c r="DY163" s="1396">
        <v>2980</v>
      </c>
      <c r="DZ163" s="1396">
        <v>2980</v>
      </c>
      <c r="EA163" s="1398">
        <v>2980</v>
      </c>
      <c r="EB163" s="1396">
        <v>2980</v>
      </c>
      <c r="EC163" s="1396">
        <v>2980</v>
      </c>
      <c r="ED163" s="1400">
        <v>3210</v>
      </c>
      <c r="EE163" s="1400">
        <v>3210</v>
      </c>
      <c r="EF163" s="1400">
        <v>3210</v>
      </c>
      <c r="EG163" s="1400">
        <v>3388</v>
      </c>
      <c r="EH163" s="1400">
        <v>3388</v>
      </c>
      <c r="EI163" s="1400">
        <v>3388</v>
      </c>
      <c r="EJ163" s="1400">
        <v>3556</v>
      </c>
      <c r="EK163" s="1401">
        <v>3556</v>
      </c>
      <c r="EL163" s="1402">
        <v>3728.93</v>
      </c>
      <c r="EM163" s="1400">
        <v>3728.93</v>
      </c>
      <c r="EN163" s="1397">
        <v>3728.93</v>
      </c>
      <c r="EO163" s="1400">
        <v>3728.93</v>
      </c>
      <c r="EP163" s="1400">
        <v>3910.65</v>
      </c>
      <c r="EQ163" s="1400">
        <v>3910.65</v>
      </c>
      <c r="ER163" s="1400">
        <v>3910.65</v>
      </c>
      <c r="ES163" s="1400">
        <v>4202.63</v>
      </c>
      <c r="ET163" s="1400">
        <v>4202.63</v>
      </c>
      <c r="EU163" s="1400">
        <v>4202.63</v>
      </c>
      <c r="EV163" s="1400">
        <v>4590</v>
      </c>
      <c r="EW163" s="1429">
        <v>4590</v>
      </c>
      <c r="EX163" s="1429">
        <v>4590</v>
      </c>
      <c r="EY163" s="1429">
        <v>4590</v>
      </c>
      <c r="EZ163" s="1499">
        <v>4830</v>
      </c>
      <c r="FA163" s="1400">
        <v>5300</v>
      </c>
      <c r="FB163" s="906">
        <v>5840</v>
      </c>
      <c r="FC163" s="906">
        <v>6420</v>
      </c>
      <c r="FD163" s="906">
        <v>6420</v>
      </c>
      <c r="FE163" s="906">
        <v>6420</v>
      </c>
      <c r="FF163" s="906">
        <v>6570</v>
      </c>
      <c r="FG163" s="906">
        <v>6570</v>
      </c>
      <c r="FH163" s="906">
        <v>6730</v>
      </c>
      <c r="FI163" s="906">
        <v>7440</v>
      </c>
      <c r="FJ163" s="906">
        <v>7440</v>
      </c>
      <c r="FK163" s="899">
        <v>7440</v>
      </c>
      <c r="FL163" s="1025">
        <v>7440</v>
      </c>
      <c r="FM163" s="643">
        <v>7440</v>
      </c>
      <c r="FN163" s="643">
        <v>7440</v>
      </c>
      <c r="FO163" s="643">
        <v>7440</v>
      </c>
      <c r="FP163" s="643">
        <v>7440</v>
      </c>
      <c r="FQ163" s="643">
        <v>7680</v>
      </c>
      <c r="FR163" s="643">
        <v>7680</v>
      </c>
      <c r="FS163" s="643">
        <v>7680</v>
      </c>
      <c r="FT163" s="643">
        <v>7680</v>
      </c>
      <c r="FU163" s="899">
        <v>8060</v>
      </c>
      <c r="FV163" s="1167">
        <f t="shared" si="1"/>
        <v>1.0494791666666667</v>
      </c>
    </row>
    <row r="164" spans="1:178" s="115" customFormat="1" ht="18.95" customHeight="1">
      <c r="A164" s="1546">
        <v>1</v>
      </c>
      <c r="B164" s="644">
        <v>201</v>
      </c>
      <c r="C164" s="646"/>
      <c r="D164" s="646" t="s">
        <v>335</v>
      </c>
      <c r="E164" s="645" t="s">
        <v>918</v>
      </c>
      <c r="F164" s="646"/>
      <c r="G164" s="645" t="s">
        <v>336</v>
      </c>
      <c r="H164" s="645"/>
      <c r="I164" s="892" t="s">
        <v>337</v>
      </c>
      <c r="J164" s="893" t="s">
        <v>200</v>
      </c>
      <c r="K164" s="877">
        <v>100</v>
      </c>
      <c r="L164" s="878">
        <v>106.48</v>
      </c>
      <c r="M164" s="879">
        <v>118.6</v>
      </c>
      <c r="N164" s="879">
        <v>131</v>
      </c>
      <c r="O164" s="879">
        <v>142.25</v>
      </c>
      <c r="P164" s="879">
        <v>168.02</v>
      </c>
      <c r="Q164" s="879">
        <v>183.54</v>
      </c>
      <c r="R164" s="879">
        <v>188.03</v>
      </c>
      <c r="S164" s="879">
        <v>190.68</v>
      </c>
      <c r="T164" s="879">
        <v>191.63</v>
      </c>
      <c r="U164" s="879">
        <v>192.56</v>
      </c>
      <c r="V164" s="879">
        <v>193</v>
      </c>
      <c r="W164" s="879">
        <v>193.23</v>
      </c>
      <c r="X164" s="879">
        <f>+'ANEXOA-AMORTIZACION'!H55</f>
        <v>191.72</v>
      </c>
      <c r="Y164" s="879">
        <f>+'ANEXOA-AMORTIZACION'!I55</f>
        <v>190.49</v>
      </c>
      <c r="Z164" s="879">
        <f>+'ANEXOA-AMORTIZACION'!J55</f>
        <v>190.77</v>
      </c>
      <c r="AA164" s="879">
        <f>+'ANEXOA-AMORTIZACION'!K55</f>
        <v>189.3</v>
      </c>
      <c r="AB164" s="879">
        <f>+'ANEXOA-AMORTIZACION'!L55</f>
        <v>188.4</v>
      </c>
      <c r="AC164" s="879">
        <f>+'ANEXOA-AMORTIZACION'!M55</f>
        <v>188.12</v>
      </c>
      <c r="AD164" s="879">
        <f>+'ANEXOA-AMORTIZACION'!N55</f>
        <v>188.61</v>
      </c>
      <c r="AE164" s="879">
        <f>+'ANEXOA-AMORTIZACION'!O55</f>
        <v>189.51</v>
      </c>
      <c r="AF164" s="879">
        <f>+'ANEXOA-AMORTIZACION'!P55</f>
        <v>188.71</v>
      </c>
      <c r="AG164" s="879">
        <f>+'ANEXOA-AMORTIZACION'!Q55</f>
        <v>188.54</v>
      </c>
      <c r="AH164" s="879">
        <f>+'ANEXOA-AMORTIZACION'!R55</f>
        <v>189.29</v>
      </c>
      <c r="AI164" s="880">
        <f>+'ANEXOA-AMORTIZACION'!S55</f>
        <v>190.95</v>
      </c>
      <c r="AJ164" s="881">
        <f>+'ANEXOA-AMORTIZACION'!T55</f>
        <v>191.92</v>
      </c>
      <c r="AK164" s="879">
        <f>+'ANEXOA-AMORTIZACION'!U55</f>
        <v>195.63</v>
      </c>
      <c r="AL164" s="879">
        <f>+'ANEXOA-AMORTIZACION'!V55</f>
        <v>199.15</v>
      </c>
      <c r="AM164" s="879">
        <f>+'ANEXOA-AMORTIZACION'!W55</f>
        <v>201.68</v>
      </c>
      <c r="AN164" s="879">
        <f>+'ANEXOA-AMORTIZACION'!X55</f>
        <v>204.2</v>
      </c>
      <c r="AO164" s="879">
        <f>+'ANEXOA-AMORTIZACION'!Y55</f>
        <v>206.31</v>
      </c>
      <c r="AP164" s="879">
        <f>+'ANEXOA-AMORTIZACION'!Z55</f>
        <v>206.98</v>
      </c>
      <c r="AQ164" s="879">
        <f>+'ANEXOA-AMORTIZACION'!AA55</f>
        <v>209.02</v>
      </c>
      <c r="AR164" s="879">
        <f>+'ANEXOA-AMORTIZACION'!AB55</f>
        <v>210.28</v>
      </c>
      <c r="AS164" s="879">
        <f>+'ANEXOA-AMORTIZACION'!AC55</f>
        <v>211.58</v>
      </c>
      <c r="AT164" s="879">
        <f>+'ANEXOA-AMORTIZACION'!AD55</f>
        <v>212.11</v>
      </c>
      <c r="AU164" s="880">
        <f>+'ANEXOA-AMORTIZACION'!AE55</f>
        <v>214.59</v>
      </c>
      <c r="AV164" s="882">
        <f>+'ANEXOA-AMORTIZACION'!AF55</f>
        <v>208.38</v>
      </c>
      <c r="AW164" s="883">
        <f>+'ANEXOA-AMORTIZACION'!AG55</f>
        <v>220.94</v>
      </c>
      <c r="AX164" s="883">
        <f>+'ANEXOA-AMORTIZACION'!AH55</f>
        <v>223.85</v>
      </c>
      <c r="AY164" s="883">
        <f>+'ANEXOA-AMORTIZACION'!AI55</f>
        <v>225.95</v>
      </c>
      <c r="AZ164" s="883">
        <f>+'ANEXOA-AMORTIZACION'!AJ55</f>
        <v>226.98</v>
      </c>
      <c r="BA164" s="883">
        <f>+'ANEXOA-AMORTIZACION'!AK55</f>
        <v>227.97</v>
      </c>
      <c r="BB164" s="883">
        <f>+'ANEXOA-AMORTIZACION'!AL55</f>
        <v>230.76</v>
      </c>
      <c r="BC164" s="883">
        <f>+'ANEXOA-AMORTIZACION'!AM55</f>
        <v>232.49</v>
      </c>
      <c r="BD164" s="883">
        <f>+'ANEXOA-AMORTIZACION'!AN55</f>
        <v>235.98</v>
      </c>
      <c r="BE164" s="883">
        <f>+'ANEXOA-AMORTIZACION'!AO55</f>
        <v>238.92</v>
      </c>
      <c r="BF164" s="883">
        <f>+'ANEXOA-AMORTIZACION'!AP55</f>
        <v>239.37</v>
      </c>
      <c r="BG164" s="896">
        <f>+'ANEXOA-AMORTIZACION'!AQ55</f>
        <v>243.78</v>
      </c>
      <c r="BH164" s="886">
        <f>+'ANEXOA-AMORTIZACION'!AR55</f>
        <v>247.41</v>
      </c>
      <c r="BI164" s="887">
        <f>+'ANEXOA-AMORTIZACION'!AS55</f>
        <v>248.83</v>
      </c>
      <c r="BJ164" s="887">
        <f>+'ANEXOA-AMORTIZACION'!AT55</f>
        <v>251.27</v>
      </c>
      <c r="BK164" s="887">
        <f>+'ANEXOA-AMORTIZACION'!AU55</f>
        <v>253.01</v>
      </c>
      <c r="BL164" s="887">
        <f>+'ANEXOA-AMORTIZACION'!AV55</f>
        <v>255.17</v>
      </c>
      <c r="BM164" s="887">
        <f>+'ANEXOA-AMORTIZACION'!AW55</f>
        <v>258.57</v>
      </c>
      <c r="BN164" s="887">
        <f>+'ANEXOA-AMORTIZACION'!AX55</f>
        <v>261.3</v>
      </c>
      <c r="BO164" s="887">
        <f>+'ANEXOA-AMORTIZACION'!AY55</f>
        <v>264.72000000000003</v>
      </c>
      <c r="BP164" s="887">
        <f>+'ANEXOA-AMORTIZACION'!AZ55</f>
        <v>267.42</v>
      </c>
      <c r="BQ164" s="887">
        <f>+'ANEXOA-AMORTIZACION'!BA55</f>
        <v>268.43</v>
      </c>
      <c r="BR164" s="887">
        <f>+'ANEXOA-AMORTIZACION'!BB55</f>
        <v>268.52999999999997</v>
      </c>
      <c r="BS164" s="888">
        <f>+'ANEXOA-AMORTIZACION'!BC55</f>
        <v>269.64</v>
      </c>
      <c r="BT164" s="886">
        <f>+'ANEXOA-AMORTIZACION'!BD55</f>
        <v>270.35000000000002</v>
      </c>
      <c r="BU164" s="887">
        <f>+'ANEXOA-AMORTIZACION'!BE55</f>
        <v>273.06</v>
      </c>
      <c r="BV164" s="887">
        <f>+'ANEXOA-AMORTIZACION'!BF55</f>
        <v>275.76</v>
      </c>
      <c r="BW164" s="887">
        <f>+'ANEXOA-AMORTIZACION'!BG55</f>
        <v>279.29000000000002</v>
      </c>
      <c r="BX164" s="887">
        <f>+'ANEXOA-AMORTIZACION'!BH55</f>
        <v>283.44</v>
      </c>
      <c r="BY164" s="887">
        <f>+'ANEXOA-AMORTIZACION'!BI55</f>
        <v>290.08999999999997</v>
      </c>
      <c r="BZ164" s="887">
        <f>+'ANEXOA-AMORTIZACION'!BJ55</f>
        <v>292.67</v>
      </c>
      <c r="CA164" s="887">
        <f>+'ANEXOA-AMORTIZACION'!BK55</f>
        <v>299.24</v>
      </c>
      <c r="CB164" s="887">
        <f>+'ANEXOA-AMORTIZACION'!BL55</f>
        <v>301.43</v>
      </c>
      <c r="CC164" s="887">
        <v>305.10000000000002</v>
      </c>
      <c r="CD164" s="887">
        <f>+'ANEXOA-AMORTIZACION'!BN55</f>
        <v>308.81</v>
      </c>
      <c r="CE164" s="888">
        <f>+'ANEXOA-AMORTIZACION'!BO55</f>
        <v>311.77</v>
      </c>
      <c r="CF164" s="886">
        <f>+'ANEXOA-AMORTIZACION'!BP55</f>
        <v>316.19</v>
      </c>
      <c r="CG164" s="887">
        <f>+'ANEXOA-AMORTIZACION'!BQ55</f>
        <v>319.54000000000002</v>
      </c>
      <c r="CH164" s="887">
        <f>+'ANEXOA-AMORTIZACION'!BR55</f>
        <v>324.24</v>
      </c>
      <c r="CI164" s="887">
        <f>+'ANEXOA-AMORTIZACION'!BS55</f>
        <v>328.8</v>
      </c>
      <c r="CJ164" s="887">
        <f>+'ANEXOA-AMORTIZACION'!BT55</f>
        <v>330.41</v>
      </c>
      <c r="CK164" s="887">
        <f>+'ANEXOA-AMORTIZACION'!BU55</f>
        <v>336.71</v>
      </c>
      <c r="CL164" s="887">
        <f>+'ANEXOA-AMORTIZACION'!BV55</f>
        <v>341.26</v>
      </c>
      <c r="CM164" s="887">
        <f>+'ANEXOA-AMORTIZACION'!BW55</f>
        <v>344.04</v>
      </c>
      <c r="CN164" s="887">
        <f>+'ANEXOA-AMORTIZACION'!BX55</f>
        <v>346.55</v>
      </c>
      <c r="CO164" s="887">
        <f>+'ANEXOA-AMORTIZACION'!BY55</f>
        <v>348.91</v>
      </c>
      <c r="CP164" s="887">
        <f>+'ANEXOA-AMORTIZACION'!BZ55</f>
        <v>351.05</v>
      </c>
      <c r="CQ164" s="888">
        <f>+'ANEXOA-AMORTIZACION'!CA55</f>
        <v>351.82</v>
      </c>
      <c r="CR164" s="886">
        <f>+'ANEXOA-AMORTIZACION'!CB55</f>
        <v>353.4</v>
      </c>
      <c r="CS164" s="887">
        <f>+'ANEXOA-AMORTIZACION'!CC55</f>
        <v>353.5</v>
      </c>
      <c r="CT164" s="887">
        <f>+'ANEXOA-AMORTIZACION'!CD55</f>
        <v>354.66</v>
      </c>
      <c r="CU164" s="887">
        <f>+'ANEXOA-AMORTIZACION'!CE55</f>
        <v>356.57</v>
      </c>
      <c r="CV164" s="887">
        <f>+'ANEXOA-AMORTIZACION'!CF55</f>
        <v>360.45</v>
      </c>
      <c r="CW164" s="887">
        <f>+'ANEXOA-AMORTIZACION'!CG55</f>
        <v>364.13</v>
      </c>
      <c r="CX164" s="887">
        <f>+'ANEXOA-AMORTIZACION'!CH55</f>
        <v>366.46</v>
      </c>
      <c r="CY164" s="887">
        <f>+'ANEXOA-AMORTIZACION'!CI55</f>
        <v>369.12</v>
      </c>
      <c r="CZ164" s="887">
        <f>+'ANEXOA-AMORTIZACION'!CJ55</f>
        <v>371.11</v>
      </c>
      <c r="DA164" s="887">
        <f>+'ANEXOA-AMORTIZACION'!CK55</f>
        <v>377.74</v>
      </c>
      <c r="DB164" s="888">
        <f>+'ANEXOA-AMORTIZACION'!CL55</f>
        <v>382.1</v>
      </c>
      <c r="DC164" s="888">
        <f>+'ANEXOA-AMORTIZACION'!CM55</f>
        <v>383.88</v>
      </c>
      <c r="DD164" s="890">
        <f>+'ANEXOA-AMORTIZACION'!CN55</f>
        <v>386.57</v>
      </c>
      <c r="DE164" s="887">
        <f>+'ANEXOA-AMORTIZACION'!CO55</f>
        <v>393.22</v>
      </c>
      <c r="DF164" s="889">
        <f>+'ANEXOA-AMORTIZACION'!CP55</f>
        <v>400.5</v>
      </c>
      <c r="DG164" s="888">
        <f>+'ANEXOA-AMORTIZACION'!CQ55</f>
        <v>404.39</v>
      </c>
      <c r="DH164" s="887">
        <f>+'ANEXOA-AMORTIZACION'!CR55</f>
        <v>412.68</v>
      </c>
      <c r="DI164" s="887">
        <f>+'ANEXOA-AMORTIZACION'!CS55</f>
        <v>418.8</v>
      </c>
      <c r="DJ164" s="623">
        <f>+'ANEXOA-AMORTIZACION'!CT55</f>
        <v>422.56</v>
      </c>
      <c r="DK164" s="659">
        <f>+'ANEXOA-AMORTIZACION'!CU55</f>
        <v>427</v>
      </c>
      <c r="DL164" s="623">
        <f>+'ANEXOA-AMORTIZACION'!CV55</f>
        <v>431.87</v>
      </c>
      <c r="DM164" s="659">
        <f>+'ANEXOA-AMORTIZACION'!CW55</f>
        <v>437.29</v>
      </c>
      <c r="DN164" s="659">
        <f>+'ANEXOA-AMORTIZACION'!CX55</f>
        <v>441.85</v>
      </c>
      <c r="DO164" s="897">
        <f>+'ANEXOA-AMORTIZACION'!CY55</f>
        <v>447.86</v>
      </c>
      <c r="DP164" s="783">
        <f>+'ANEXOA-AMORTIZACION'!CZ55</f>
        <v>453.6</v>
      </c>
      <c r="DQ164" s="659">
        <f>+'ANEXOA-AMORTIZACION'!DA55</f>
        <v>458.94</v>
      </c>
      <c r="DR164" s="659">
        <f>+'ANEXOA-AMORTIZACION'!DB55</f>
        <v>462.92</v>
      </c>
      <c r="DS164" s="659">
        <f>+'ANEXOA-AMORTIZACION'!DC55</f>
        <v>469.13</v>
      </c>
      <c r="DT164" s="623">
        <f>+'ANEXOA-AMORTIZACION'!DD55</f>
        <v>477.91</v>
      </c>
      <c r="DU164" s="659">
        <f>+'ANEXOA-AMORTIZACION'!DE55</f>
        <v>485.14</v>
      </c>
      <c r="DV164" s="659">
        <f>+'ANEXOA-AMORTIZACION'!DF55</f>
        <v>494.14</v>
      </c>
      <c r="DW164" s="659">
        <f>+'ANEXOA-AMORTIZACION'!DG55</f>
        <v>497.81</v>
      </c>
      <c r="DX164" s="659">
        <f>+'ANEXOA-AMORTIZACION'!DH55</f>
        <v>507.88</v>
      </c>
      <c r="DY164" s="659">
        <f>+'ANEXOA-AMORTIZACION'!DI55</f>
        <v>516.12</v>
      </c>
      <c r="DZ164" s="659">
        <v>524.11</v>
      </c>
      <c r="EA164" s="897">
        <f>+'ANEXOA-AMORTIZACION'!DK55</f>
        <v>531.42999999999995</v>
      </c>
      <c r="EB164" s="659">
        <f>+'ANEXOA-AMORTIZACION'!DL55</f>
        <v>534.17999999999995</v>
      </c>
      <c r="EC164" s="659">
        <f>+'ANEXOA-AMORTIZACION'!DM55</f>
        <v>540.12</v>
      </c>
      <c r="ED164" s="659">
        <f>+'ANEXOA-AMORTIZACION'!DN55</f>
        <v>544.11</v>
      </c>
      <c r="EE164" s="659">
        <f>+'ANEXOA-AMORTIZACION'!DO55</f>
        <v>547.54999999999995</v>
      </c>
      <c r="EF164" s="659">
        <f>+'ANEXOA-AMORTIZACION'!DP55</f>
        <v>554.07000000000005</v>
      </c>
      <c r="EG164" s="659">
        <f>+'ANEXOA-AMORTIZACION'!DQ55</f>
        <v>569.35</v>
      </c>
      <c r="EH164" s="659">
        <f>+'ANEXOA-AMORTIZACION'!DR55</f>
        <v>577.94000000000005</v>
      </c>
      <c r="EI164" s="659">
        <f>+'ANEXOA-AMORTIZACION'!DS55</f>
        <v>582.95000000000005</v>
      </c>
      <c r="EJ164" s="659">
        <f>+'ANEXOA-AMORTIZACION'!DT55</f>
        <v>589.14</v>
      </c>
      <c r="EK164" s="623">
        <f>+'ANEXOA-AMORTIZACION'!DU55</f>
        <v>596.65</v>
      </c>
      <c r="EL164" s="659">
        <f>+'ANEXOA-AMORTIZACION'!DV55</f>
        <v>605.47</v>
      </c>
      <c r="EM164" s="659">
        <f>+'ANEXOA-AMORTIZACION'!DW55</f>
        <v>611.72</v>
      </c>
      <c r="EN164" s="783">
        <f>+'ANEXOA-AMORTIZACION'!DX55</f>
        <v>615.03</v>
      </c>
      <c r="EO164" s="659">
        <f>+'ANEXOA-AMORTIZACION'!DY55</f>
        <v>620.16</v>
      </c>
      <c r="EP164" s="659">
        <f>+'ANEXOA-AMORTIZACION'!DZ55</f>
        <v>625.72</v>
      </c>
      <c r="EQ164" s="659">
        <f>+'ANEXOA-AMORTIZACION'!EA55</f>
        <v>635.64</v>
      </c>
      <c r="ER164" s="659">
        <f>+'ANEXOA-AMORTIZACION'!EB55</f>
        <v>642.47</v>
      </c>
      <c r="ES164" s="659">
        <f>+'ANEXOA-AMORTIZACION'!EC55</f>
        <v>658.69</v>
      </c>
      <c r="ET164" s="659">
        <f>+'ANEXOA-AMORTIZACION'!ED55</f>
        <v>670.41</v>
      </c>
      <c r="EU164" s="659">
        <f>+'ANEXOA-AMORTIZACION'!EE55</f>
        <v>678.3</v>
      </c>
      <c r="EV164" s="659">
        <f>+'ANEXOA-AMORTIZACION'!EF55</f>
        <v>689.36</v>
      </c>
      <c r="EW164" s="659">
        <f>+'ANEXOA-AMORTIZACION'!EG55</f>
        <v>694.87</v>
      </c>
      <c r="EX164" s="659">
        <f>+'ANEXOA-AMORTIZACION'!EH55</f>
        <v>701.28</v>
      </c>
      <c r="EY164" s="659">
        <f>+'ANEXOA-AMORTIZACION'!EI55</f>
        <v>711.14</v>
      </c>
      <c r="EZ164" s="785" t="s">
        <v>872</v>
      </c>
      <c r="FA164" s="777" t="s">
        <v>872</v>
      </c>
      <c r="FB164" s="777" t="s">
        <v>872</v>
      </c>
      <c r="FC164" s="777" t="s">
        <v>872</v>
      </c>
      <c r="FD164" s="777" t="s">
        <v>872</v>
      </c>
      <c r="FE164" s="777" t="s">
        <v>872</v>
      </c>
      <c r="FF164" s="777" t="s">
        <v>872</v>
      </c>
      <c r="FG164" s="777" t="s">
        <v>872</v>
      </c>
      <c r="FH164" s="777" t="s">
        <v>872</v>
      </c>
      <c r="FI164" s="777" t="s">
        <v>872</v>
      </c>
      <c r="FJ164" s="777" t="s">
        <v>872</v>
      </c>
      <c r="FK164" s="898" t="s">
        <v>872</v>
      </c>
      <c r="FL164" s="1561" t="s">
        <v>872</v>
      </c>
      <c r="FM164" s="740" t="s">
        <v>872</v>
      </c>
      <c r="FN164" s="740" t="s">
        <v>872</v>
      </c>
      <c r="FO164" s="740" t="s">
        <v>872</v>
      </c>
      <c r="FP164" s="740" t="s">
        <v>872</v>
      </c>
      <c r="FQ164" s="740" t="s">
        <v>872</v>
      </c>
      <c r="FR164" s="740" t="s">
        <v>872</v>
      </c>
      <c r="FS164" s="740" t="s">
        <v>872</v>
      </c>
      <c r="FT164" s="740" t="s">
        <v>872</v>
      </c>
      <c r="FU164" s="898" t="s">
        <v>872</v>
      </c>
      <c r="FV164" s="1167"/>
    </row>
    <row r="165" spans="1:178" s="115" customFormat="1" ht="18.95" customHeight="1">
      <c r="A165" s="1546">
        <v>1</v>
      </c>
      <c r="B165" s="408">
        <v>202</v>
      </c>
      <c r="C165" s="622"/>
      <c r="D165" s="622" t="s">
        <v>338</v>
      </c>
      <c r="E165" s="621" t="s">
        <v>918</v>
      </c>
      <c r="F165" s="622"/>
      <c r="G165" s="621" t="s">
        <v>336</v>
      </c>
      <c r="H165" s="621"/>
      <c r="I165" s="631" t="s">
        <v>339</v>
      </c>
      <c r="J165" s="676" t="s">
        <v>201</v>
      </c>
      <c r="K165" s="669">
        <v>100</v>
      </c>
      <c r="L165" s="665">
        <v>109.79300000000001</v>
      </c>
      <c r="M165" s="625">
        <v>135.72</v>
      </c>
      <c r="N165" s="625">
        <v>162.22</v>
      </c>
      <c r="O165" s="625">
        <v>191.06800000000001</v>
      </c>
      <c r="P165" s="625">
        <v>242.53899999999996</v>
      </c>
      <c r="Q165" s="625">
        <v>260.56</v>
      </c>
      <c r="R165" s="625">
        <v>266.82299999999998</v>
      </c>
      <c r="S165" s="625">
        <v>285.76099999999997</v>
      </c>
      <c r="T165" s="625">
        <v>283.66699999999997</v>
      </c>
      <c r="U165" s="625">
        <v>284.83</v>
      </c>
      <c r="V165" s="625">
        <v>266.58699999999999</v>
      </c>
      <c r="W165" s="625">
        <v>263.81700000000001</v>
      </c>
      <c r="X165" s="625">
        <f>+'ANEXOA-AMORTIZACION'!H23</f>
        <v>254.98599999999999</v>
      </c>
      <c r="Y165" s="625">
        <f>+'ANEXOA-AMORTIZACION'!I23</f>
        <v>252.86099999999999</v>
      </c>
      <c r="Z165" s="625">
        <f>+'ANEXOA-AMORTIZACION'!J23</f>
        <v>241.81</v>
      </c>
      <c r="AA165" s="625">
        <f>+'ANEXOA-AMORTIZACION'!K23</f>
        <v>232.339</v>
      </c>
      <c r="AB165" s="625">
        <f>+'ANEXOA-AMORTIZACION'!L23</f>
        <v>226.11099999999999</v>
      </c>
      <c r="AC165" s="625">
        <f>+'ANEXOA-AMORTIZACION'!M23</f>
        <v>224.58199999999997</v>
      </c>
      <c r="AD165" s="625">
        <f>+'ANEXOA-AMORTIZACION'!N23</f>
        <v>220.75700000000001</v>
      </c>
      <c r="AE165" s="625">
        <f>+'ANEXOA-AMORTIZACION'!O23</f>
        <v>226.01899999999998</v>
      </c>
      <c r="AF165" s="625">
        <f>+'ANEXOA-AMORTIZACION'!P23</f>
        <v>226.00599999999997</v>
      </c>
      <c r="AG165" s="625">
        <f>+'ANEXOA-AMORTIZACION'!Q23</f>
        <v>223.786</v>
      </c>
      <c r="AH165" s="625">
        <f>+'ANEXOA-AMORTIZACION'!R23</f>
        <v>225.34299999999996</v>
      </c>
      <c r="AI165" s="764">
        <f>+'ANEXOA-AMORTIZACION'!S23</f>
        <v>230.2</v>
      </c>
      <c r="AJ165" s="772">
        <f>+'ANEXOA-AMORTIZACION'!T23</f>
        <v>228.77099999999999</v>
      </c>
      <c r="AK165" s="625">
        <f>+'ANEXOA-AMORTIZACION'!U23</f>
        <v>230.55899999999997</v>
      </c>
      <c r="AL165" s="625">
        <f>+'ANEXOA-AMORTIZACION'!V23</f>
        <v>230.12199999999999</v>
      </c>
      <c r="AM165" s="625">
        <f>+'ANEXOA-AMORTIZACION'!W23</f>
        <v>227.38899999999998</v>
      </c>
      <c r="AN165" s="625">
        <f>+'ANEXOA-AMORTIZACION'!X23</f>
        <v>231.12799999999999</v>
      </c>
      <c r="AO165" s="625">
        <f>+'ANEXOA-AMORTIZACION'!Y23</f>
        <v>232.83799999999997</v>
      </c>
      <c r="AP165" s="625">
        <f>+'ANEXOA-AMORTIZACION'!Z23</f>
        <v>232.46499999999997</v>
      </c>
      <c r="AQ165" s="625">
        <f>+'ANEXOA-AMORTIZACION'!AA23</f>
        <v>236.864</v>
      </c>
      <c r="AR165" s="625">
        <f>+'ANEXOA-AMORTIZACION'!AB23</f>
        <v>233.84099999999998</v>
      </c>
      <c r="AS165" s="625">
        <f>+'ANEXOA-AMORTIZACION'!AC23</f>
        <v>233.73199999999997</v>
      </c>
      <c r="AT165" s="625">
        <f>+'ANEXOA-AMORTIZACION'!AD23</f>
        <v>232.86099999999999</v>
      </c>
      <c r="AU165" s="764">
        <f>+'ANEXOA-AMORTIZACION'!AE23</f>
        <v>235.05700000000002</v>
      </c>
      <c r="AV165" s="752">
        <f>+'ANEXOA-AMORTIZACION'!AF23</f>
        <v>233.60599999999999</v>
      </c>
      <c r="AW165" s="626">
        <f>+'ANEXOA-AMORTIZACION'!AG23</f>
        <v>232.94299999999998</v>
      </c>
      <c r="AX165" s="626">
        <f>+'ANEXOA-AMORTIZACION'!AH23</f>
        <v>235.40600000000001</v>
      </c>
      <c r="AY165" s="626">
        <f>+'ANEXOA-AMORTIZACION'!AI23</f>
        <v>236.47099999999998</v>
      </c>
      <c r="AZ165" s="626">
        <f>+'ANEXOA-AMORTIZACION'!AJ23</f>
        <v>236.36700000000002</v>
      </c>
      <c r="BA165" s="626">
        <f>+'ANEXOA-AMORTIZACION'!AK23</f>
        <v>235.22699999999998</v>
      </c>
      <c r="BB165" s="626">
        <f>+'ANEXOA-AMORTIZACION'!AL23</f>
        <v>235.86099999999999</v>
      </c>
      <c r="BC165" s="626">
        <f>+'ANEXOA-AMORTIZACION'!AM23</f>
        <v>237.47999999999996</v>
      </c>
      <c r="BD165" s="626">
        <f>+'ANEXOA-AMORTIZACION'!AN23</f>
        <v>239.51799999999997</v>
      </c>
      <c r="BE165" s="626">
        <f>+'ANEXOA-AMORTIZACION'!AO23</f>
        <v>242.14599999999999</v>
      </c>
      <c r="BF165" s="626">
        <f>+'ANEXOA-AMORTIZACION'!AP23</f>
        <v>242.27699999999999</v>
      </c>
      <c r="BG165" s="758">
        <f>+'ANEXOA-AMORTIZACION'!AQ23</f>
        <v>244.85599999999999</v>
      </c>
      <c r="BH165" s="756">
        <f>+'ANEXOA-AMORTIZACION'!AR23</f>
        <v>247.416</v>
      </c>
      <c r="BI165" s="634">
        <f>+'ANEXOA-AMORTIZACION'!AS23</f>
        <v>248.50799999999998</v>
      </c>
      <c r="BJ165" s="634">
        <f>+'ANEXOA-AMORTIZACION'!AT23</f>
        <v>250.512</v>
      </c>
      <c r="BK165" s="634">
        <f>+'ANEXOA-AMORTIZACION'!AU23</f>
        <v>247.76899999999998</v>
      </c>
      <c r="BL165" s="634">
        <f>+'ANEXOA-AMORTIZACION'!AV23</f>
        <v>248.33499999999998</v>
      </c>
      <c r="BM165" s="634">
        <f>+'ANEXOA-AMORTIZACION'!AW23</f>
        <v>249.33199999999999</v>
      </c>
      <c r="BN165" s="634">
        <f>+'ANEXOA-AMORTIZACION'!AX23</f>
        <v>250.87099999999998</v>
      </c>
      <c r="BO165" s="634">
        <f>+'ANEXOA-AMORTIZACION'!AY23</f>
        <v>253.48199999999997</v>
      </c>
      <c r="BP165" s="634">
        <f>+'ANEXOA-AMORTIZACION'!AZ23</f>
        <v>255.05699999999999</v>
      </c>
      <c r="BQ165" s="634">
        <f>+'ANEXOA-AMORTIZACION'!BA23</f>
        <v>253.18699999999998</v>
      </c>
      <c r="BR165" s="634">
        <f>+'ANEXOA-AMORTIZACION'!BB23</f>
        <v>250.12799999999999</v>
      </c>
      <c r="BS165" s="754">
        <f>+'ANEXOA-AMORTIZACION'!BC23</f>
        <v>250.86199999999997</v>
      </c>
      <c r="BT165" s="756">
        <f>+'ANEXOA-AMORTIZACION'!BD23</f>
        <v>251.78099999999995</v>
      </c>
      <c r="BU165" s="634">
        <f>+'ANEXOA-AMORTIZACION'!BE23</f>
        <v>254.40799999999996</v>
      </c>
      <c r="BV165" s="634">
        <f>+'ANEXOA-AMORTIZACION'!BF23</f>
        <v>253.74299999999999</v>
      </c>
      <c r="BW165" s="623">
        <f>+'ANEXOA-AMORTIZACION'!BG23</f>
        <v>255.73399999999998</v>
      </c>
      <c r="BX165" s="623">
        <f>+'ANEXOA-AMORTIZACION'!BH23</f>
        <v>258.65899999999999</v>
      </c>
      <c r="BY165" s="623">
        <f>+'ANEXOA-AMORTIZACION'!BI23</f>
        <v>260.86599999999999</v>
      </c>
      <c r="BZ165" s="623">
        <f>+'ANEXOA-AMORTIZACION'!BJ23</f>
        <v>263.81099999999998</v>
      </c>
      <c r="CA165" s="623">
        <f>+'ANEXOA-AMORTIZACION'!BK23</f>
        <v>266.37900000000002</v>
      </c>
      <c r="CB165" s="623">
        <f>+'ANEXOA-AMORTIZACION'!BL23</f>
        <v>267.202</v>
      </c>
      <c r="CC165" s="623">
        <v>269.53800000000001</v>
      </c>
      <c r="CD165" s="623">
        <f>+'ANEXOA-AMORTIZACION'!BN23</f>
        <v>270.02699999999999</v>
      </c>
      <c r="CE165" s="659">
        <f>+'ANEXOA-AMORTIZACION'!BO23</f>
        <v>272.24299999999999</v>
      </c>
      <c r="CF165" s="660">
        <f>+'ANEXOA-AMORTIZACION'!BP23</f>
        <v>271.971</v>
      </c>
      <c r="CG165" s="623">
        <f>+'ANEXOA-AMORTIZACION'!BQ23</f>
        <v>275.77199999999999</v>
      </c>
      <c r="CH165" s="623">
        <f>+'ANEXOA-AMORTIZACION'!BR23</f>
        <v>276.86399999999998</v>
      </c>
      <c r="CI165" s="623">
        <f>+'ANEXOA-AMORTIZACION'!BS23</f>
        <v>279.64299999999997</v>
      </c>
      <c r="CJ165" s="623">
        <f>+'ANEXOA-AMORTIZACION'!BT23</f>
        <v>280.37099999999998</v>
      </c>
      <c r="CK165" s="623">
        <f>+'ANEXOA-AMORTIZACION'!BU23</f>
        <v>279.07599999999996</v>
      </c>
      <c r="CL165" s="623">
        <f>+'ANEXOA-AMORTIZACION'!BV23</f>
        <v>278.91499999999996</v>
      </c>
      <c r="CM165" s="623">
        <f>+'ANEXOA-AMORTIZACION'!BW23</f>
        <v>279.89499999999998</v>
      </c>
      <c r="CN165" s="623">
        <f>+'ANEXOA-AMORTIZACION'!BX23</f>
        <v>280.03499999999997</v>
      </c>
      <c r="CO165" s="623">
        <f>+'ANEXOA-AMORTIZACION'!BY23</f>
        <v>283.96199999999999</v>
      </c>
      <c r="CP165" s="623">
        <f>+'ANEXOA-AMORTIZACION'!BZ23</f>
        <v>284.55999999999995</v>
      </c>
      <c r="CQ165" s="659">
        <f>+'ANEXOA-AMORTIZACION'!CA23</f>
        <v>287.09399999999999</v>
      </c>
      <c r="CR165" s="660">
        <f>+'ANEXOA-AMORTIZACION'!CB23</f>
        <v>288.34199999999998</v>
      </c>
      <c r="CS165" s="623">
        <f>+'ANEXOA-AMORTIZACION'!CC23</f>
        <v>290.827</v>
      </c>
      <c r="CT165" s="623">
        <f>+'ANEXOA-AMORTIZACION'!CD23</f>
        <v>293.96300000000002</v>
      </c>
      <c r="CU165" s="623">
        <f>+'ANEXOA-AMORTIZACION'!CE23</f>
        <v>298.22399999999999</v>
      </c>
      <c r="CV165" s="623">
        <f>+'ANEXOA-AMORTIZACION'!CF23</f>
        <v>300.11199999999997</v>
      </c>
      <c r="CW165" s="623">
        <f>+'ANEXOA-AMORTIZACION'!CG23</f>
        <v>303.05799999999999</v>
      </c>
      <c r="CX165" s="623">
        <f>+'ANEXOA-AMORTIZACION'!CH23</f>
        <v>304.84699999999998</v>
      </c>
      <c r="CY165" s="623">
        <f>+'ANEXOA-AMORTIZACION'!CI23</f>
        <v>308.02600000000001</v>
      </c>
      <c r="CZ165" s="623">
        <f>+'ANEXOA-AMORTIZACION'!CJ23</f>
        <v>309.32199999999995</v>
      </c>
      <c r="DA165" s="623">
        <f>+'ANEXOA-AMORTIZACION'!CK23</f>
        <v>312.88299999999998</v>
      </c>
      <c r="DB165" s="659">
        <f>+'ANEXOA-AMORTIZACION'!CL23</f>
        <v>313.94200000000001</v>
      </c>
      <c r="DC165" s="659">
        <f>+'ANEXOA-AMORTIZACION'!CM23</f>
        <v>314.46699999999998</v>
      </c>
      <c r="DD165" s="783">
        <f>+'ANEXOA-AMORTIZACION'!CN23</f>
        <v>315.75599999999997</v>
      </c>
      <c r="DE165" s="623">
        <f>+'ANEXOA-AMORTIZACION'!CO23</f>
        <v>319.89400000000001</v>
      </c>
      <c r="DF165" s="725">
        <f>+'ANEXOA-AMORTIZACION'!CP23</f>
        <v>324.53199999999998</v>
      </c>
      <c r="DG165" s="659">
        <f>+'ANEXOA-AMORTIZACION'!CQ23</f>
        <v>322.49299999999999</v>
      </c>
      <c r="DH165" s="623">
        <f>+'ANEXOA-AMORTIZACION'!CR23</f>
        <v>330.255</v>
      </c>
      <c r="DI165" s="623">
        <f>+'ANEXOA-AMORTIZACION'!CS23</f>
        <v>331.27300000000002</v>
      </c>
      <c r="DJ165" s="623">
        <f>+'ANEXOA-AMORTIZACION'!CT23</f>
        <v>334.27299999999997</v>
      </c>
      <c r="DK165" s="659">
        <f>+'ANEXOA-AMORTIZACION'!CU23</f>
        <v>336.91199999999998</v>
      </c>
      <c r="DL165" s="623">
        <f>+'ANEXOA-AMORTIZACION'!CV23</f>
        <v>339.31799999999998</v>
      </c>
      <c r="DM165" s="659">
        <f>+'ANEXOA-AMORTIZACION'!CW23</f>
        <v>344.26799999999997</v>
      </c>
      <c r="DN165" s="659">
        <f>+'ANEXOA-AMORTIZACION'!CX23</f>
        <v>345.28399999999999</v>
      </c>
      <c r="DO165" s="897">
        <f>+'ANEXOA-AMORTIZACION'!CY23</f>
        <v>349.02499999999998</v>
      </c>
      <c r="DP165" s="783">
        <f>+'ANEXOA-AMORTIZACION'!CZ23</f>
        <v>355.59100000000001</v>
      </c>
      <c r="DQ165" s="659">
        <f>+'ANEXOA-AMORTIZACION'!DA23</f>
        <v>358.93699999999995</v>
      </c>
      <c r="DR165" s="659">
        <f>+'ANEXOA-AMORTIZACION'!DB23</f>
        <v>359.83799999999997</v>
      </c>
      <c r="DS165" s="659">
        <f>+'ANEXOA-AMORTIZACION'!DC23</f>
        <v>363.86599999999999</v>
      </c>
      <c r="DT165" s="623">
        <f>+'ANEXOA-AMORTIZACION'!DD23</f>
        <v>365.39699999999999</v>
      </c>
      <c r="DU165" s="659">
        <f>+'ANEXOA-AMORTIZACION'!DE23</f>
        <v>367.13</v>
      </c>
      <c r="DV165" s="659">
        <f>+'ANEXOA-AMORTIZACION'!DF23</f>
        <v>371.92099999999999</v>
      </c>
      <c r="DW165" s="659">
        <f>+'ANEXOA-AMORTIZACION'!DG23</f>
        <v>376.02299999999997</v>
      </c>
      <c r="DX165" s="659">
        <f>+'ANEXOA-AMORTIZACION'!DH23</f>
        <v>378.97399999999999</v>
      </c>
      <c r="DY165" s="659">
        <f>+'ANEXOA-AMORTIZACION'!DI23</f>
        <v>382.16999999999996</v>
      </c>
      <c r="DZ165" s="659">
        <v>385.23500000000001</v>
      </c>
      <c r="EA165" s="897">
        <f>+'ANEXOA-AMORTIZACION'!DK23</f>
        <v>389.76799999999997</v>
      </c>
      <c r="EB165" s="659">
        <f>+'ANEXOA-AMORTIZACION'!DL23</f>
        <v>398.08199999999999</v>
      </c>
      <c r="EC165" s="659">
        <f>+'ANEXOA-AMORTIZACION'!DM23</f>
        <v>400.09399999999994</v>
      </c>
      <c r="ED165" s="659">
        <f>+'ANEXOA-AMORTIZACION'!DN23</f>
        <v>405.95</v>
      </c>
      <c r="EE165" s="659">
        <f>+'ANEXOA-AMORTIZACION'!DO23</f>
        <v>409.87699999999995</v>
      </c>
      <c r="EF165" s="659">
        <f>+'ANEXOA-AMORTIZACION'!DP23</f>
        <v>404.71100000000001</v>
      </c>
      <c r="EG165" s="659">
        <f>+'ANEXOA-AMORTIZACION'!DQ23</f>
        <v>427.14199999999994</v>
      </c>
      <c r="EH165" s="659">
        <f>+'ANEXOA-AMORTIZACION'!DR23</f>
        <v>434.65</v>
      </c>
      <c r="EI165" s="659">
        <f>+'ANEXOA-AMORTIZACION'!DS23</f>
        <v>439.411</v>
      </c>
      <c r="EJ165" s="659">
        <f>+'ANEXOA-AMORTIZACION'!DT23</f>
        <v>442.68999999999994</v>
      </c>
      <c r="EK165" s="623">
        <f>+'ANEXOA-AMORTIZACION'!DU23</f>
        <v>444.88699999999994</v>
      </c>
      <c r="EL165" s="659">
        <f>+'ANEXOA-AMORTIZACION'!DV23</f>
        <v>450.60199999999998</v>
      </c>
      <c r="EM165" s="659">
        <f>+'ANEXOA-AMORTIZACION'!DW23</f>
        <v>452.43399999999997</v>
      </c>
      <c r="EN165" s="783">
        <f>+'ANEXOA-AMORTIZACION'!DX23</f>
        <v>456.55799999999999</v>
      </c>
      <c r="EO165" s="659">
        <f>+'ANEXOA-AMORTIZACION'!DY23</f>
        <v>460.69599999999997</v>
      </c>
      <c r="EP165" s="659">
        <f>+'ANEXOA-AMORTIZACION'!DZ23</f>
        <v>465.49099999999999</v>
      </c>
      <c r="EQ165" s="659">
        <f>+'ANEXOA-AMORTIZACION'!EA23</f>
        <v>474.75699999999995</v>
      </c>
      <c r="ER165" s="659">
        <f>+'ANEXOA-AMORTIZACION'!EB23</f>
        <v>479.12599999999998</v>
      </c>
      <c r="ES165" s="659">
        <f>+'ANEXOA-AMORTIZACION'!EC23</f>
        <v>496.21199999999999</v>
      </c>
      <c r="ET165" s="659">
        <f>+'ANEXOA-AMORTIZACION'!ED23</f>
        <v>497.92600000000004</v>
      </c>
      <c r="EU165" s="659">
        <f>+'ANEXOA-AMORTIZACION'!EE23</f>
        <v>502.59899999999993</v>
      </c>
      <c r="EV165" s="659">
        <f>+'ANEXOA-AMORTIZACION'!EF23</f>
        <v>512.89199999999994</v>
      </c>
      <c r="EW165" s="659">
        <f>+'ANEXOA-AMORTIZACION'!EG23</f>
        <v>515.452</v>
      </c>
      <c r="EX165" s="659">
        <f>+'ANEXOA-AMORTIZACION'!EH23</f>
        <v>518.7059999999999</v>
      </c>
      <c r="EY165" s="659">
        <f>+'ANEXOA-AMORTIZACION'!EI23</f>
        <v>528.37299999999993</v>
      </c>
      <c r="EZ165" s="785" t="s">
        <v>872</v>
      </c>
      <c r="FA165" s="777" t="s">
        <v>872</v>
      </c>
      <c r="FB165" s="777" t="s">
        <v>872</v>
      </c>
      <c r="FC165" s="777" t="s">
        <v>872</v>
      </c>
      <c r="FD165" s="777" t="s">
        <v>872</v>
      </c>
      <c r="FE165" s="777" t="s">
        <v>872</v>
      </c>
      <c r="FF165" s="777" t="s">
        <v>872</v>
      </c>
      <c r="FG165" s="777" t="s">
        <v>872</v>
      </c>
      <c r="FH165" s="777" t="s">
        <v>872</v>
      </c>
      <c r="FI165" s="777" t="s">
        <v>872</v>
      </c>
      <c r="FJ165" s="777" t="s">
        <v>872</v>
      </c>
      <c r="FK165" s="898" t="s">
        <v>872</v>
      </c>
      <c r="FL165" s="1561" t="s">
        <v>872</v>
      </c>
      <c r="FM165" s="740" t="s">
        <v>872</v>
      </c>
      <c r="FN165" s="740" t="s">
        <v>872</v>
      </c>
      <c r="FO165" s="740" t="s">
        <v>872</v>
      </c>
      <c r="FP165" s="740" t="s">
        <v>872</v>
      </c>
      <c r="FQ165" s="740" t="s">
        <v>872</v>
      </c>
      <c r="FR165" s="740" t="s">
        <v>872</v>
      </c>
      <c r="FS165" s="740" t="s">
        <v>872</v>
      </c>
      <c r="FT165" s="740" t="s">
        <v>872</v>
      </c>
      <c r="FU165" s="898" t="s">
        <v>872</v>
      </c>
      <c r="FV165" s="1167"/>
    </row>
    <row r="166" spans="1:178" s="115" customFormat="1" ht="18.95" customHeight="1">
      <c r="A166" s="1546">
        <v>1</v>
      </c>
      <c r="B166" s="408">
        <v>203</v>
      </c>
      <c r="C166" s="622"/>
      <c r="D166" s="622" t="s">
        <v>340</v>
      </c>
      <c r="E166" s="621" t="s">
        <v>918</v>
      </c>
      <c r="F166" s="622"/>
      <c r="G166" s="621" t="s">
        <v>336</v>
      </c>
      <c r="H166" s="621"/>
      <c r="I166" s="631" t="s">
        <v>339</v>
      </c>
      <c r="J166" s="676" t="s">
        <v>202</v>
      </c>
      <c r="K166" s="669">
        <v>100</v>
      </c>
      <c r="L166" s="665">
        <v>106.82</v>
      </c>
      <c r="M166" s="625">
        <v>125</v>
      </c>
      <c r="N166" s="625">
        <v>143.65</v>
      </c>
      <c r="O166" s="625">
        <v>164.04</v>
      </c>
      <c r="P166" s="625">
        <v>200.39</v>
      </c>
      <c r="Q166" s="625">
        <v>212.88</v>
      </c>
      <c r="R166" s="625">
        <v>218.45</v>
      </c>
      <c r="S166" s="625">
        <v>232.67</v>
      </c>
      <c r="T166" s="625">
        <v>231.85</v>
      </c>
      <c r="U166" s="625">
        <v>232.76</v>
      </c>
      <c r="V166" s="625">
        <v>220.02</v>
      </c>
      <c r="W166" s="625">
        <v>217.89</v>
      </c>
      <c r="X166" s="625">
        <f>+'ANEXOA-AMORTIZACION'!H36</f>
        <v>212</v>
      </c>
      <c r="Y166" s="625">
        <f>+'ANEXOA-AMORTIZACION'!I36</f>
        <v>210.96</v>
      </c>
      <c r="Z166" s="625">
        <f>+'ANEXOA-AMORTIZACION'!J36</f>
        <v>203.58</v>
      </c>
      <c r="AA166" s="625">
        <f>+'ANEXOA-AMORTIZACION'!K36</f>
        <v>196.56</v>
      </c>
      <c r="AB166" s="625">
        <f>+'ANEXOA-AMORTIZACION'!L36</f>
        <v>193.27</v>
      </c>
      <c r="AC166" s="625">
        <f>+'ANEXOA-AMORTIZACION'!M36</f>
        <v>192.2</v>
      </c>
      <c r="AD166" s="625">
        <f>+'ANEXOA-AMORTIZACION'!N36</f>
        <v>190.19</v>
      </c>
      <c r="AE166" s="625">
        <f>+'ANEXOA-AMORTIZACION'!O36</f>
        <v>194.97</v>
      </c>
      <c r="AF166" s="625">
        <f>+'ANEXOA-AMORTIZACION'!P36</f>
        <v>195.61</v>
      </c>
      <c r="AG166" s="625">
        <f>+'ANEXOA-AMORTIZACION'!Q36</f>
        <v>194.95</v>
      </c>
      <c r="AH166" s="625">
        <f>+'ANEXOA-AMORTIZACION'!R36</f>
        <v>196.53</v>
      </c>
      <c r="AI166" s="764">
        <f>+'ANEXOA-AMORTIZACION'!S36</f>
        <v>200.48</v>
      </c>
      <c r="AJ166" s="772">
        <f>+'ANEXOA-AMORTIZACION'!T36</f>
        <v>201.15</v>
      </c>
      <c r="AK166" s="625">
        <f>+'ANEXOA-AMORTIZACION'!U36</f>
        <v>203.3</v>
      </c>
      <c r="AL166" s="625">
        <f>+'ANEXOA-AMORTIZACION'!V36</f>
        <v>203.09</v>
      </c>
      <c r="AM166" s="625">
        <f>+'ANEXOA-AMORTIZACION'!W36</f>
        <v>201.27</v>
      </c>
      <c r="AN166" s="625">
        <f>+'ANEXOA-AMORTIZACION'!X36</f>
        <v>203.8</v>
      </c>
      <c r="AO166" s="625">
        <f>+'ANEXOA-AMORTIZACION'!Y36</f>
        <v>204.83</v>
      </c>
      <c r="AP166" s="625">
        <f>+'ANEXOA-AMORTIZACION'!Z36</f>
        <v>205.7</v>
      </c>
      <c r="AQ166" s="625">
        <f>+'ANEXOA-AMORTIZACION'!AA36</f>
        <v>208.42</v>
      </c>
      <c r="AR166" s="625">
        <f>+'ANEXOA-AMORTIZACION'!AB36</f>
        <v>206.18</v>
      </c>
      <c r="AS166" s="625">
        <f>+'ANEXOA-AMORTIZACION'!AC36</f>
        <v>206.42</v>
      </c>
      <c r="AT166" s="625">
        <f>+'ANEXOA-AMORTIZACION'!AD36</f>
        <v>205.75</v>
      </c>
      <c r="AU166" s="764">
        <f>+'ANEXOA-AMORTIZACION'!AE36</f>
        <v>207.35</v>
      </c>
      <c r="AV166" s="752">
        <f>+'ANEXOA-AMORTIZACION'!AF36</f>
        <v>208.69</v>
      </c>
      <c r="AW166" s="626">
        <f>+'ANEXOA-AMORTIZACION'!AG36</f>
        <v>208.32</v>
      </c>
      <c r="AX166" s="626">
        <f>+'ANEXOA-AMORTIZACION'!AH36</f>
        <v>210.23</v>
      </c>
      <c r="AY166" s="626">
        <f>+'ANEXOA-AMORTIZACION'!AI36</f>
        <v>214.65</v>
      </c>
      <c r="AZ166" s="626">
        <f>+'ANEXOA-AMORTIZACION'!AJ36</f>
        <v>215.28</v>
      </c>
      <c r="BA166" s="626">
        <f>+'ANEXOA-AMORTIZACION'!AK36</f>
        <v>214.91</v>
      </c>
      <c r="BB166" s="626">
        <f>+'ANEXOA-AMORTIZACION'!AL36</f>
        <v>215.61</v>
      </c>
      <c r="BC166" s="626">
        <f>+'ANEXOA-AMORTIZACION'!AM36</f>
        <v>217.19</v>
      </c>
      <c r="BD166" s="626">
        <f>+'ANEXOA-AMORTIZACION'!AN36</f>
        <v>218.81</v>
      </c>
      <c r="BE166" s="626">
        <f>+'ANEXOA-AMORTIZACION'!AO36</f>
        <v>221.59</v>
      </c>
      <c r="BF166" s="626">
        <f>+'ANEXOA-AMORTIZACION'!AP36</f>
        <v>224.51</v>
      </c>
      <c r="BG166" s="749">
        <f>+'ANEXOA-AMORTIZACION'!AQ36</f>
        <v>226.67</v>
      </c>
      <c r="BH166" s="663">
        <f>+'ANEXOA-AMORTIZACION'!AR36</f>
        <v>230.39</v>
      </c>
      <c r="BI166" s="627">
        <f>+'ANEXOA-AMORTIZACION'!AS36</f>
        <v>233.21</v>
      </c>
      <c r="BJ166" s="627">
        <f>+'ANEXOA-AMORTIZACION'!AT36</f>
        <v>235.07</v>
      </c>
      <c r="BK166" s="627">
        <f>+'ANEXOA-AMORTIZACION'!AU36</f>
        <v>234.53</v>
      </c>
      <c r="BL166" s="627">
        <f>+'ANEXOA-AMORTIZACION'!AV36</f>
        <v>235.51</v>
      </c>
      <c r="BM166" s="627">
        <f>+'ANEXOA-AMORTIZACION'!AW36</f>
        <v>240.36</v>
      </c>
      <c r="BN166" s="627">
        <f>+'ANEXOA-AMORTIZACION'!AX36</f>
        <v>242.01</v>
      </c>
      <c r="BO166" s="627">
        <f>+'ANEXOA-AMORTIZACION'!AY36</f>
        <v>244.1</v>
      </c>
      <c r="BP166" s="627">
        <f>+'ANEXOA-AMORTIZACION'!AZ36</f>
        <v>248.23</v>
      </c>
      <c r="BQ166" s="627">
        <f>+'ANEXOA-AMORTIZACION'!BA36</f>
        <v>247.85</v>
      </c>
      <c r="BR166" s="627">
        <f>+'ANEXOA-AMORTIZACION'!BB36</f>
        <v>246.16</v>
      </c>
      <c r="BS166" s="738">
        <f>+'ANEXOA-AMORTIZACION'!BC36</f>
        <v>247.58</v>
      </c>
      <c r="BT166" s="663">
        <f>+'ANEXOA-AMORTIZACION'!BD36</f>
        <v>251.08</v>
      </c>
      <c r="BU166" s="627">
        <f>+'ANEXOA-AMORTIZACION'!BE36</f>
        <v>253.12</v>
      </c>
      <c r="BV166" s="627">
        <f>+'ANEXOA-AMORTIZACION'!BF36</f>
        <v>252.52</v>
      </c>
      <c r="BW166" s="623">
        <f>+'ANEXOA-AMORTIZACION'!BG36</f>
        <v>255.08</v>
      </c>
      <c r="BX166" s="623">
        <f>+'ANEXOA-AMORTIZACION'!BH36</f>
        <v>261.12</v>
      </c>
      <c r="BY166" s="623">
        <f>+'ANEXOA-AMORTIZACION'!BI36</f>
        <v>263.69</v>
      </c>
      <c r="BZ166" s="623">
        <f>+'ANEXOA-AMORTIZACION'!BJ36</f>
        <v>269</v>
      </c>
      <c r="CA166" s="623">
        <f>+'ANEXOA-AMORTIZACION'!BK36</f>
        <v>271.22000000000003</v>
      </c>
      <c r="CB166" s="623">
        <f>+'ANEXOA-AMORTIZACION'!BL36</f>
        <v>272.54000000000002</v>
      </c>
      <c r="CC166" s="623">
        <v>278.06</v>
      </c>
      <c r="CD166" s="623">
        <f>+'ANEXOA-AMORTIZACION'!BN36</f>
        <v>276.77</v>
      </c>
      <c r="CE166" s="659">
        <f>+'ANEXOA-AMORTIZACION'!BO36</f>
        <v>279.08999999999997</v>
      </c>
      <c r="CF166" s="660">
        <f>+'ANEXOA-AMORTIZACION'!BP36</f>
        <v>278.89999999999998</v>
      </c>
      <c r="CG166" s="623">
        <f>+'ANEXOA-AMORTIZACION'!BQ36</f>
        <v>281.85000000000002</v>
      </c>
      <c r="CH166" s="623">
        <f>+'ANEXOA-AMORTIZACION'!BR36</f>
        <v>282.83999999999997</v>
      </c>
      <c r="CI166" s="623">
        <f>+'ANEXOA-AMORTIZACION'!BS36</f>
        <v>285.08</v>
      </c>
      <c r="CJ166" s="623">
        <f>+'ANEXOA-AMORTIZACION'!BT36</f>
        <v>293.57</v>
      </c>
      <c r="CK166" s="623">
        <f>+'ANEXOA-AMORTIZACION'!BU36</f>
        <v>291.08</v>
      </c>
      <c r="CL166" s="623">
        <f>+'ANEXOA-AMORTIZACION'!BV36</f>
        <v>295.8</v>
      </c>
      <c r="CM166" s="623">
        <f>+'ANEXOA-AMORTIZACION'!BW36</f>
        <v>295.83999999999997</v>
      </c>
      <c r="CN166" s="623">
        <f>+'ANEXOA-AMORTIZACION'!BX36</f>
        <v>298.61</v>
      </c>
      <c r="CO166" s="623">
        <f>+'ANEXOA-AMORTIZACION'!BY36</f>
        <v>301.68</v>
      </c>
      <c r="CP166" s="623">
        <f>+'ANEXOA-AMORTIZACION'!BZ36</f>
        <v>302.23</v>
      </c>
      <c r="CQ166" s="659">
        <f>+'ANEXOA-AMORTIZACION'!CA36</f>
        <v>304.02999999999997</v>
      </c>
      <c r="CR166" s="660">
        <f>+'ANEXOA-AMORTIZACION'!CB36</f>
        <v>305.64999999999998</v>
      </c>
      <c r="CS166" s="623">
        <f>+'ANEXOA-AMORTIZACION'!CC36</f>
        <v>308</v>
      </c>
      <c r="CT166" s="623">
        <f>+'ANEXOA-AMORTIZACION'!CD36</f>
        <v>310.13</v>
      </c>
      <c r="CU166" s="623">
        <f>+'ANEXOA-AMORTIZACION'!CE36</f>
        <v>314.08</v>
      </c>
      <c r="CV166" s="623">
        <f>+'ANEXOA-AMORTIZACION'!CF36</f>
        <v>316.27</v>
      </c>
      <c r="CW166" s="623">
        <f>+'ANEXOA-AMORTIZACION'!CG36</f>
        <v>323.93</v>
      </c>
      <c r="CX166" s="623">
        <f>+'ANEXOA-AMORTIZACION'!CH36</f>
        <v>326.44</v>
      </c>
      <c r="CY166" s="623">
        <f>+'ANEXOA-AMORTIZACION'!CI36</f>
        <v>328.92</v>
      </c>
      <c r="CZ166" s="623">
        <f>+'ANEXOA-AMORTIZACION'!CJ36</f>
        <v>329.57</v>
      </c>
      <c r="DA166" s="623">
        <f>+'ANEXOA-AMORTIZACION'!CK36</f>
        <v>337.31</v>
      </c>
      <c r="DB166" s="659">
        <f>+'ANEXOA-AMORTIZACION'!CL36</f>
        <v>339.89</v>
      </c>
      <c r="DC166" s="659">
        <f>+'ANEXOA-AMORTIZACION'!CM36</f>
        <v>340.71</v>
      </c>
      <c r="DD166" s="783">
        <f>+'ANEXOA-AMORTIZACION'!CN36</f>
        <v>341.8</v>
      </c>
      <c r="DE166" s="623">
        <f>+'ANEXOA-AMORTIZACION'!CO36</f>
        <v>348.04</v>
      </c>
      <c r="DF166" s="725">
        <f>+'ANEXOA-AMORTIZACION'!CP36</f>
        <v>358.47</v>
      </c>
      <c r="DG166" s="659">
        <f>+'ANEXOA-AMORTIZACION'!CQ36</f>
        <v>349.45</v>
      </c>
      <c r="DH166" s="623">
        <f>+'ANEXOA-AMORTIZACION'!CR36</f>
        <v>365.21</v>
      </c>
      <c r="DI166" s="623">
        <f>+'ANEXOA-AMORTIZACION'!CS36</f>
        <v>367.15</v>
      </c>
      <c r="DJ166" s="623">
        <f>+'ANEXOA-AMORTIZACION'!CT36</f>
        <v>371.89</v>
      </c>
      <c r="DK166" s="659">
        <f>+'ANEXOA-AMORTIZACION'!CU36</f>
        <v>377.63</v>
      </c>
      <c r="DL166" s="623">
        <f>+'ANEXOA-AMORTIZACION'!CV36</f>
        <v>380.89</v>
      </c>
      <c r="DM166" s="659">
        <f>+'ANEXOA-AMORTIZACION'!CW36</f>
        <v>386.03</v>
      </c>
      <c r="DN166" s="659">
        <f>+'ANEXOA-AMORTIZACION'!CX36</f>
        <v>387.55</v>
      </c>
      <c r="DO166" s="897">
        <f>+'ANEXOA-AMORTIZACION'!CY36</f>
        <v>396.41</v>
      </c>
      <c r="DP166" s="783">
        <f>+'ANEXOA-AMORTIZACION'!CZ36</f>
        <v>410.86</v>
      </c>
      <c r="DQ166" s="659">
        <f>+'ANEXOA-AMORTIZACION'!DA36</f>
        <v>416.35</v>
      </c>
      <c r="DR166" s="659">
        <f>+'ANEXOA-AMORTIZACION'!DB36</f>
        <v>418.82</v>
      </c>
      <c r="DS166" s="659">
        <f>+'ANEXOA-AMORTIZACION'!DC36</f>
        <v>424.15</v>
      </c>
      <c r="DT166" s="623">
        <f>+'ANEXOA-AMORTIZACION'!DD36</f>
        <v>425.8</v>
      </c>
      <c r="DU166" s="659">
        <f>+'ANEXOA-AMORTIZACION'!DE36</f>
        <v>424.95</v>
      </c>
      <c r="DV166" s="659">
        <f>+'ANEXOA-AMORTIZACION'!DF36</f>
        <v>431.69</v>
      </c>
      <c r="DW166" s="659">
        <f>+'ANEXOA-AMORTIZACION'!DG36</f>
        <v>439.39</v>
      </c>
      <c r="DX166" s="659">
        <f>+'ANEXOA-AMORTIZACION'!DH36</f>
        <v>444.03</v>
      </c>
      <c r="DY166" s="659">
        <f>+'ANEXOA-AMORTIZACION'!DI36</f>
        <v>450.16</v>
      </c>
      <c r="DZ166" s="659">
        <v>458.06</v>
      </c>
      <c r="EA166" s="897">
        <f>+'ANEXOA-AMORTIZACION'!DK36</f>
        <v>462.62</v>
      </c>
      <c r="EB166" s="659">
        <f>+'ANEXOA-AMORTIZACION'!DL36</f>
        <v>481.77</v>
      </c>
      <c r="EC166" s="659">
        <f>+'ANEXOA-AMORTIZACION'!DM36</f>
        <v>484.59</v>
      </c>
      <c r="ED166" s="659">
        <f>+'ANEXOA-AMORTIZACION'!DN36</f>
        <v>490.14</v>
      </c>
      <c r="EE166" s="659">
        <f>+'ANEXOA-AMORTIZACION'!DO36</f>
        <v>493.95</v>
      </c>
      <c r="EF166" s="659">
        <f>+'ANEXOA-AMORTIZACION'!DP36</f>
        <v>474.82</v>
      </c>
      <c r="EG166" s="659">
        <f>+'ANEXOA-AMORTIZACION'!DQ36</f>
        <v>490.52</v>
      </c>
      <c r="EH166" s="659">
        <f>+'ANEXOA-AMORTIZACION'!DR36</f>
        <v>545.16</v>
      </c>
      <c r="EI166" s="659">
        <f>+'ANEXOA-AMORTIZACION'!DS36</f>
        <v>552.13</v>
      </c>
      <c r="EJ166" s="659">
        <f>+'ANEXOA-AMORTIZACION'!DT36</f>
        <v>554.61</v>
      </c>
      <c r="EK166" s="623">
        <f>+'ANEXOA-AMORTIZACION'!DU36</f>
        <v>556.12</v>
      </c>
      <c r="EL166" s="659">
        <f>+'ANEXOA-AMORTIZACION'!DV36</f>
        <v>567.27</v>
      </c>
      <c r="EM166" s="659">
        <f>+'ANEXOA-AMORTIZACION'!DW36</f>
        <v>567.61</v>
      </c>
      <c r="EN166" s="783">
        <f>+'ANEXOA-AMORTIZACION'!DX36</f>
        <v>570.79</v>
      </c>
      <c r="EO166" s="659">
        <f>+'ANEXOA-AMORTIZACION'!DY36</f>
        <v>574.21</v>
      </c>
      <c r="EP166" s="659">
        <f>+'ANEXOA-AMORTIZACION'!DZ36</f>
        <v>581.16</v>
      </c>
      <c r="EQ166" s="659">
        <f>+'ANEXOA-AMORTIZACION'!EA36</f>
        <v>597.08000000000004</v>
      </c>
      <c r="ER166" s="659">
        <f>+'ANEXOA-AMORTIZACION'!EB36</f>
        <v>599.4</v>
      </c>
      <c r="ES166" s="659">
        <f>+'ANEXOA-AMORTIZACION'!EC36</f>
        <v>641.78</v>
      </c>
      <c r="ET166" s="659">
        <f>+'ANEXOA-AMORTIZACION'!ED36</f>
        <v>641.37</v>
      </c>
      <c r="EU166" s="659">
        <f>+'ANEXOA-AMORTIZACION'!EE36</f>
        <v>646.35</v>
      </c>
      <c r="EV166" s="659">
        <f>+'ANEXOA-AMORTIZACION'!EF36</f>
        <v>668.04</v>
      </c>
      <c r="EW166" s="659">
        <f>+'ANEXOA-AMORTIZACION'!EG36</f>
        <v>670.22</v>
      </c>
      <c r="EX166" s="659">
        <f>+'ANEXOA-AMORTIZACION'!EH36</f>
        <v>672.4</v>
      </c>
      <c r="EY166" s="659">
        <f>+'ANEXOA-AMORTIZACION'!EI36</f>
        <v>680.06</v>
      </c>
      <c r="EZ166" s="785" t="s">
        <v>872</v>
      </c>
      <c r="FA166" s="777" t="s">
        <v>872</v>
      </c>
      <c r="FB166" s="777" t="s">
        <v>872</v>
      </c>
      <c r="FC166" s="777" t="s">
        <v>872</v>
      </c>
      <c r="FD166" s="777" t="s">
        <v>872</v>
      </c>
      <c r="FE166" s="777" t="s">
        <v>872</v>
      </c>
      <c r="FF166" s="777" t="s">
        <v>872</v>
      </c>
      <c r="FG166" s="777" t="s">
        <v>872</v>
      </c>
      <c r="FH166" s="777" t="s">
        <v>872</v>
      </c>
      <c r="FI166" s="777" t="s">
        <v>872</v>
      </c>
      <c r="FJ166" s="777" t="s">
        <v>872</v>
      </c>
      <c r="FK166" s="898" t="s">
        <v>872</v>
      </c>
      <c r="FL166" s="1561" t="s">
        <v>872</v>
      </c>
      <c r="FM166" s="740" t="s">
        <v>872</v>
      </c>
      <c r="FN166" s="740" t="s">
        <v>872</v>
      </c>
      <c r="FO166" s="740" t="s">
        <v>872</v>
      </c>
      <c r="FP166" s="740" t="s">
        <v>872</v>
      </c>
      <c r="FQ166" s="740" t="s">
        <v>872</v>
      </c>
      <c r="FR166" s="740" t="s">
        <v>872</v>
      </c>
      <c r="FS166" s="740" t="s">
        <v>872</v>
      </c>
      <c r="FT166" s="740" t="s">
        <v>872</v>
      </c>
      <c r="FU166" s="898" t="s">
        <v>872</v>
      </c>
      <c r="FV166" s="1167"/>
    </row>
    <row r="167" spans="1:178" s="115" customFormat="1" ht="30.75" customHeight="1">
      <c r="A167" s="1546">
        <v>1</v>
      </c>
      <c r="B167" s="408">
        <v>204</v>
      </c>
      <c r="C167" s="621" t="s">
        <v>341</v>
      </c>
      <c r="D167" s="622" t="s">
        <v>342</v>
      </c>
      <c r="E167" s="621" t="s">
        <v>918</v>
      </c>
      <c r="F167" s="622"/>
      <c r="G167" s="621" t="s">
        <v>919</v>
      </c>
      <c r="H167" s="621" t="s">
        <v>920</v>
      </c>
      <c r="I167" s="390" t="s">
        <v>125</v>
      </c>
      <c r="J167" s="651"/>
      <c r="K167" s="669">
        <v>103.78</v>
      </c>
      <c r="L167" s="665">
        <v>103.78</v>
      </c>
      <c r="M167" s="625">
        <v>103.78</v>
      </c>
      <c r="N167" s="625">
        <v>111.62</v>
      </c>
      <c r="O167" s="625">
        <v>151.4</v>
      </c>
      <c r="P167" s="625">
        <v>159.16999999999999</v>
      </c>
      <c r="Q167" s="625">
        <v>192.07</v>
      </c>
      <c r="R167" s="625">
        <v>197.91</v>
      </c>
      <c r="S167" s="625">
        <v>197.91</v>
      </c>
      <c r="T167" s="625">
        <v>197.91</v>
      </c>
      <c r="U167" s="625">
        <v>197.91</v>
      </c>
      <c r="V167" s="625">
        <v>196</v>
      </c>
      <c r="W167" s="625">
        <v>196</v>
      </c>
      <c r="X167" s="625">
        <v>196.76</v>
      </c>
      <c r="Y167" s="625">
        <v>208.47</v>
      </c>
      <c r="Z167" s="625">
        <v>208.47</v>
      </c>
      <c r="AA167" s="625">
        <v>203.49</v>
      </c>
      <c r="AB167" s="625">
        <v>206.36</v>
      </c>
      <c r="AC167" s="625">
        <v>206.36</v>
      </c>
      <c r="AD167" s="625">
        <v>206.36</v>
      </c>
      <c r="AE167" s="625">
        <v>206.36</v>
      </c>
      <c r="AF167" s="625">
        <v>206.36</v>
      </c>
      <c r="AG167" s="625">
        <v>206.36</v>
      </c>
      <c r="AH167" s="625">
        <v>206.36</v>
      </c>
      <c r="AI167" s="764">
        <v>206.36</v>
      </c>
      <c r="AJ167" s="772">
        <v>206.24</v>
      </c>
      <c r="AK167" s="625">
        <v>211.52</v>
      </c>
      <c r="AL167" s="625">
        <v>211.52</v>
      </c>
      <c r="AM167" s="625">
        <v>211.52</v>
      </c>
      <c r="AN167" s="625">
        <v>211.52</v>
      </c>
      <c r="AO167" s="625">
        <v>218.67</v>
      </c>
      <c r="AP167" s="625">
        <v>226.17</v>
      </c>
      <c r="AQ167" s="625">
        <v>226.17</v>
      </c>
      <c r="AR167" s="625">
        <v>226.17</v>
      </c>
      <c r="AS167" s="625">
        <v>226.17</v>
      </c>
      <c r="AT167" s="625">
        <v>231.67</v>
      </c>
      <c r="AU167" s="764">
        <v>231.67</v>
      </c>
      <c r="AV167" s="752">
        <v>231.67</v>
      </c>
      <c r="AW167" s="626">
        <v>231.67</v>
      </c>
      <c r="AX167" s="626">
        <v>244.87</v>
      </c>
      <c r="AY167" s="626">
        <v>244.87</v>
      </c>
      <c r="AZ167" s="626">
        <v>244.87</v>
      </c>
      <c r="BA167" s="626">
        <v>244.87</v>
      </c>
      <c r="BB167" s="626">
        <v>251.01</v>
      </c>
      <c r="BC167" s="627">
        <v>251.01</v>
      </c>
      <c r="BD167" s="626">
        <v>251.01</v>
      </c>
      <c r="BE167" s="627">
        <v>251.01</v>
      </c>
      <c r="BF167" s="627">
        <v>251.01</v>
      </c>
      <c r="BG167" s="759">
        <v>251.01</v>
      </c>
      <c r="BH167" s="660">
        <v>259.14999999999998</v>
      </c>
      <c r="BI167" s="623">
        <v>259.14999999999998</v>
      </c>
      <c r="BJ167" s="623">
        <v>259.14999999999998</v>
      </c>
      <c r="BK167" s="623">
        <v>259.14999999999998</v>
      </c>
      <c r="BL167" s="623">
        <v>259.14999999999998</v>
      </c>
      <c r="BM167" s="623">
        <v>260.7</v>
      </c>
      <c r="BN167" s="623">
        <v>269.64999999999998</v>
      </c>
      <c r="BO167" s="623">
        <v>269.64999999999998</v>
      </c>
      <c r="BP167" s="623">
        <v>269.64999999999998</v>
      </c>
      <c r="BQ167" s="623">
        <v>269.64999999999998</v>
      </c>
      <c r="BR167" s="623">
        <v>276.24</v>
      </c>
      <c r="BS167" s="659">
        <v>276.24</v>
      </c>
      <c r="BT167" s="660">
        <v>276.24</v>
      </c>
      <c r="BU167" s="623">
        <v>276.24</v>
      </c>
      <c r="BV167" s="623">
        <v>289.23</v>
      </c>
      <c r="BW167" s="623">
        <v>289.23</v>
      </c>
      <c r="BX167" s="623">
        <v>289.23</v>
      </c>
      <c r="BY167" s="623">
        <v>295.64999999999998</v>
      </c>
      <c r="BZ167" s="623">
        <v>296.24</v>
      </c>
      <c r="CA167" s="623">
        <v>295.64999999999998</v>
      </c>
      <c r="CB167" s="623">
        <v>295.64999999999998</v>
      </c>
      <c r="CC167" s="623">
        <v>296.63</v>
      </c>
      <c r="CD167" s="623">
        <v>296.63</v>
      </c>
      <c r="CE167" s="659">
        <v>296.63</v>
      </c>
      <c r="CF167" s="660">
        <v>296.63</v>
      </c>
      <c r="CG167" s="623">
        <v>309.93</v>
      </c>
      <c r="CH167" s="623">
        <v>309.93</v>
      </c>
      <c r="CI167" s="623">
        <v>309.93</v>
      </c>
      <c r="CJ167" s="623">
        <v>309.93</v>
      </c>
      <c r="CK167" s="623">
        <v>312.08999999999997</v>
      </c>
      <c r="CL167" s="623">
        <v>312.07</v>
      </c>
      <c r="CM167" s="623">
        <v>342.37</v>
      </c>
      <c r="CN167" s="623">
        <v>361.54</v>
      </c>
      <c r="CO167" s="623">
        <v>361.54</v>
      </c>
      <c r="CP167" s="623">
        <v>361.53</v>
      </c>
      <c r="CQ167" s="659">
        <v>361.53</v>
      </c>
      <c r="CR167" s="660">
        <v>361.53</v>
      </c>
      <c r="CS167" s="623">
        <v>361.53</v>
      </c>
      <c r="CT167" s="623">
        <v>361.53</v>
      </c>
      <c r="CU167" s="623">
        <v>377.89</v>
      </c>
      <c r="CV167" s="623">
        <v>377.89</v>
      </c>
      <c r="CW167" s="623">
        <v>377.89</v>
      </c>
      <c r="CX167" s="623">
        <v>377.89</v>
      </c>
      <c r="CY167" s="623">
        <v>383.99</v>
      </c>
      <c r="CZ167" s="623">
        <v>383.99</v>
      </c>
      <c r="DA167" s="623">
        <v>399.44</v>
      </c>
      <c r="DB167" s="659">
        <v>417.28</v>
      </c>
      <c r="DC167" s="659">
        <v>417.28</v>
      </c>
      <c r="DD167" s="783">
        <v>436.06</v>
      </c>
      <c r="DE167" s="623">
        <v>451.8</v>
      </c>
      <c r="DF167" s="725">
        <v>446.87</v>
      </c>
      <c r="DG167" s="659">
        <v>451.8</v>
      </c>
      <c r="DH167" s="623">
        <v>451.8</v>
      </c>
      <c r="DI167" s="623">
        <v>442.39</v>
      </c>
      <c r="DJ167" s="623">
        <v>442.39</v>
      </c>
      <c r="DK167" s="659">
        <v>442.39</v>
      </c>
      <c r="DL167" s="623">
        <v>442.39</v>
      </c>
      <c r="DM167" s="659">
        <v>492.72</v>
      </c>
      <c r="DN167" s="659">
        <v>492.72</v>
      </c>
      <c r="DO167" s="897">
        <v>500.37</v>
      </c>
      <c r="DP167" s="783">
        <v>500.37</v>
      </c>
      <c r="DQ167" s="659">
        <v>500.37</v>
      </c>
      <c r="DR167" s="659">
        <v>500.37</v>
      </c>
      <c r="DS167" s="659">
        <v>504.15</v>
      </c>
      <c r="DT167" s="623">
        <v>519.42999999999995</v>
      </c>
      <c r="DU167" s="659">
        <v>531.44000000000005</v>
      </c>
      <c r="DV167" s="659">
        <v>551.41</v>
      </c>
      <c r="DW167" s="659">
        <v>551.41</v>
      </c>
      <c r="DX167" s="659">
        <v>548.72</v>
      </c>
      <c r="DY167" s="659">
        <v>560.74</v>
      </c>
      <c r="DZ167" s="659">
        <v>560.74</v>
      </c>
      <c r="EA167" s="897">
        <v>560.74</v>
      </c>
      <c r="EB167" s="659">
        <v>523.57000000000005</v>
      </c>
      <c r="EC167" s="659">
        <v>523.57000000000005</v>
      </c>
      <c r="ED167" s="659">
        <v>523.57000000000005</v>
      </c>
      <c r="EE167" s="659">
        <v>531.54</v>
      </c>
      <c r="EF167" s="659">
        <v>545.79</v>
      </c>
      <c r="EG167" s="659">
        <v>568.65</v>
      </c>
      <c r="EH167" s="659">
        <v>568.65</v>
      </c>
      <c r="EI167" s="659">
        <v>568.65</v>
      </c>
      <c r="EJ167" s="659">
        <v>568.65</v>
      </c>
      <c r="EK167" s="623">
        <v>581.08000000000004</v>
      </c>
      <c r="EL167" s="659">
        <v>581.08000000000004</v>
      </c>
      <c r="EM167" s="659">
        <v>589.45000000000005</v>
      </c>
      <c r="EN167" s="783">
        <v>589.45000000000005</v>
      </c>
      <c r="EO167" s="659">
        <v>589.45000000000005</v>
      </c>
      <c r="EP167" s="659">
        <v>611.24</v>
      </c>
      <c r="EQ167" s="659">
        <v>611.24</v>
      </c>
      <c r="ER167" s="659">
        <v>611.24</v>
      </c>
      <c r="ES167" s="659">
        <v>611.24</v>
      </c>
      <c r="ET167" s="659">
        <v>645.34</v>
      </c>
      <c r="EU167" s="659">
        <v>645.34</v>
      </c>
      <c r="EV167" s="659">
        <v>652.22</v>
      </c>
      <c r="EW167" s="659">
        <v>652.22</v>
      </c>
      <c r="EX167" s="659">
        <v>688.77</v>
      </c>
      <c r="EY167" s="659">
        <v>679.46</v>
      </c>
      <c r="EZ167" s="783">
        <v>688.25</v>
      </c>
      <c r="FA167" s="659">
        <v>712.34</v>
      </c>
      <c r="FB167" s="659">
        <v>712.34</v>
      </c>
      <c r="FC167" s="659">
        <v>804.13</v>
      </c>
      <c r="FD167" s="659">
        <v>804.13</v>
      </c>
      <c r="FE167" s="659">
        <v>789.07</v>
      </c>
      <c r="FF167" s="659">
        <v>838.28</v>
      </c>
      <c r="FG167" s="659">
        <v>831.79</v>
      </c>
      <c r="FH167" s="659">
        <v>846.17</v>
      </c>
      <c r="FI167" s="659">
        <v>863.76</v>
      </c>
      <c r="FJ167" s="659">
        <v>934.64</v>
      </c>
      <c r="FK167" s="897">
        <v>934.64</v>
      </c>
      <c r="FL167" s="660">
        <v>934.64</v>
      </c>
      <c r="FM167" s="623">
        <v>977.26</v>
      </c>
      <c r="FN167" s="623">
        <v>993.8</v>
      </c>
      <c r="FO167" s="623">
        <v>993.8</v>
      </c>
      <c r="FP167" s="623">
        <v>993.8</v>
      </c>
      <c r="FQ167" s="623">
        <v>1057.02</v>
      </c>
      <c r="FR167" s="623">
        <v>1057.02</v>
      </c>
      <c r="FS167" s="623">
        <v>1057.02</v>
      </c>
      <c r="FT167" s="623">
        <v>1057.02</v>
      </c>
      <c r="FU167" s="897">
        <v>1075.6199999999999</v>
      </c>
      <c r="FV167" s="1167">
        <f t="shared" ref="FV167:FV218" si="3">+FU167/FT167</f>
        <v>1.017596639609468</v>
      </c>
    </row>
    <row r="168" spans="1:178" s="115" customFormat="1" ht="33.75" customHeight="1">
      <c r="A168" s="1546">
        <v>1</v>
      </c>
      <c r="B168" s="408">
        <v>205</v>
      </c>
      <c r="C168" s="621" t="s">
        <v>343</v>
      </c>
      <c r="D168" s="622" t="s">
        <v>344</v>
      </c>
      <c r="E168" s="621" t="s">
        <v>918</v>
      </c>
      <c r="F168" s="622"/>
      <c r="G168" s="621" t="s">
        <v>919</v>
      </c>
      <c r="H168" s="621"/>
      <c r="I168" s="390" t="s">
        <v>116</v>
      </c>
      <c r="J168" s="676" t="s">
        <v>345</v>
      </c>
      <c r="K168" s="669">
        <v>100</v>
      </c>
      <c r="L168" s="665">
        <v>100</v>
      </c>
      <c r="M168" s="625">
        <v>100</v>
      </c>
      <c r="N168" s="625">
        <v>104.75</v>
      </c>
      <c r="O168" s="625">
        <v>154.56</v>
      </c>
      <c r="P168" s="625">
        <v>158.52000000000001</v>
      </c>
      <c r="Q168" s="625">
        <v>180.28</v>
      </c>
      <c r="R168" s="625">
        <v>183.33</v>
      </c>
      <c r="S168" s="625">
        <v>183.33</v>
      </c>
      <c r="T168" s="625">
        <v>198.23</v>
      </c>
      <c r="U168" s="625">
        <v>286.47000000000003</v>
      </c>
      <c r="V168" s="625">
        <v>300.83999999999997</v>
      </c>
      <c r="W168" s="625">
        <v>300.83999999999997</v>
      </c>
      <c r="X168" s="625">
        <v>282.47000000000003</v>
      </c>
      <c r="Y168" s="625">
        <v>276.35000000000002</v>
      </c>
      <c r="Z168" s="625">
        <v>262.36</v>
      </c>
      <c r="AA168" s="625">
        <v>257.98</v>
      </c>
      <c r="AB168" s="625">
        <v>237.98</v>
      </c>
      <c r="AC168" s="625">
        <v>238.75</v>
      </c>
      <c r="AD168" s="625">
        <v>238.68</v>
      </c>
      <c r="AE168" s="625">
        <v>249.11</v>
      </c>
      <c r="AF168" s="625">
        <v>248.97</v>
      </c>
      <c r="AG168" s="625">
        <v>245.51</v>
      </c>
      <c r="AH168" s="625">
        <v>246.54</v>
      </c>
      <c r="AI168" s="764">
        <v>254.03</v>
      </c>
      <c r="AJ168" s="772">
        <v>250.56</v>
      </c>
      <c r="AK168" s="625">
        <v>252.27</v>
      </c>
      <c r="AL168" s="625">
        <v>251.82</v>
      </c>
      <c r="AM168" s="625">
        <v>245.85</v>
      </c>
      <c r="AN168" s="625">
        <v>257.06</v>
      </c>
      <c r="AO168" s="625">
        <v>257.75</v>
      </c>
      <c r="AP168" s="625">
        <v>266.06</v>
      </c>
      <c r="AQ168" s="625">
        <v>268.13</v>
      </c>
      <c r="AR168" s="625">
        <v>267.25</v>
      </c>
      <c r="AS168" s="625">
        <v>266.22000000000003</v>
      </c>
      <c r="AT168" s="625">
        <v>266.22000000000003</v>
      </c>
      <c r="AU168" s="764">
        <v>266.73</v>
      </c>
      <c r="AV168" s="752">
        <v>264.45</v>
      </c>
      <c r="AW168" s="626">
        <v>263.24</v>
      </c>
      <c r="AX168" s="626">
        <v>263.89</v>
      </c>
      <c r="AY168" s="626">
        <v>262.58999999999997</v>
      </c>
      <c r="AZ168" s="626">
        <v>262.31</v>
      </c>
      <c r="BA168" s="626">
        <v>262.31</v>
      </c>
      <c r="BB168" s="626">
        <v>274.61</v>
      </c>
      <c r="BC168" s="627">
        <v>274.61</v>
      </c>
      <c r="BD168" s="626">
        <v>277.12</v>
      </c>
      <c r="BE168" s="627">
        <v>280.48</v>
      </c>
      <c r="BF168" s="627">
        <v>281.04000000000002</v>
      </c>
      <c r="BG168" s="759">
        <v>285.05</v>
      </c>
      <c r="BH168" s="660">
        <v>284.19</v>
      </c>
      <c r="BI168" s="623">
        <v>289.49</v>
      </c>
      <c r="BJ168" s="623">
        <v>296.64999999999998</v>
      </c>
      <c r="BK168" s="623">
        <v>298.62</v>
      </c>
      <c r="BL168" s="623">
        <v>299.47000000000003</v>
      </c>
      <c r="BM168" s="623">
        <v>300.77999999999997</v>
      </c>
      <c r="BN168" s="623">
        <v>304.18</v>
      </c>
      <c r="BO168" s="623">
        <v>303.27999999999997</v>
      </c>
      <c r="BP168" s="623">
        <v>303.27999999999997</v>
      </c>
      <c r="BQ168" s="623">
        <v>304.36</v>
      </c>
      <c r="BR168" s="623">
        <v>306.32</v>
      </c>
      <c r="BS168" s="659">
        <v>304.42</v>
      </c>
      <c r="BT168" s="660">
        <v>308.14</v>
      </c>
      <c r="BU168" s="623">
        <v>309.37</v>
      </c>
      <c r="BV168" s="623">
        <v>308.52</v>
      </c>
      <c r="BW168" s="623">
        <v>308.64999999999998</v>
      </c>
      <c r="BX168" s="623">
        <v>308.61</v>
      </c>
      <c r="BY168" s="623">
        <v>315.58999999999997</v>
      </c>
      <c r="BZ168" s="623">
        <v>316.98</v>
      </c>
      <c r="CA168" s="623">
        <v>322.99</v>
      </c>
      <c r="CB168" s="623">
        <v>323.57</v>
      </c>
      <c r="CC168" s="623">
        <v>332.39</v>
      </c>
      <c r="CD168" s="623">
        <v>339.39</v>
      </c>
      <c r="CE168" s="659">
        <v>344.38</v>
      </c>
      <c r="CF168" s="660">
        <v>354.14</v>
      </c>
      <c r="CG168" s="623">
        <v>368.14</v>
      </c>
      <c r="CH168" s="623">
        <v>361.09</v>
      </c>
      <c r="CI168" s="623">
        <v>372.15</v>
      </c>
      <c r="CJ168" s="623">
        <v>372.37</v>
      </c>
      <c r="CK168" s="623">
        <v>369.09</v>
      </c>
      <c r="CL168" s="623">
        <v>372.4</v>
      </c>
      <c r="CM168" s="623">
        <v>383.53</v>
      </c>
      <c r="CN168" s="623">
        <v>386.61</v>
      </c>
      <c r="CO168" s="623">
        <v>402.33</v>
      </c>
      <c r="CP168" s="623">
        <v>413.44</v>
      </c>
      <c r="CQ168" s="659">
        <v>419.58</v>
      </c>
      <c r="CR168" s="660">
        <v>421.56</v>
      </c>
      <c r="CS168" s="623">
        <v>429.71</v>
      </c>
      <c r="CT168" s="623">
        <v>439.51</v>
      </c>
      <c r="CU168" s="623">
        <v>444.34</v>
      </c>
      <c r="CV168" s="623">
        <v>446.52</v>
      </c>
      <c r="CW168" s="623">
        <v>448.72</v>
      </c>
      <c r="CX168" s="623">
        <v>457.84</v>
      </c>
      <c r="CY168" s="623">
        <v>460.7</v>
      </c>
      <c r="CZ168" s="623">
        <v>464.77</v>
      </c>
      <c r="DA168" s="623">
        <v>470.54</v>
      </c>
      <c r="DB168" s="659">
        <v>470.78</v>
      </c>
      <c r="DC168" s="659">
        <v>470.78</v>
      </c>
      <c r="DD168" s="783">
        <v>470.78</v>
      </c>
      <c r="DE168" s="623">
        <v>473.42</v>
      </c>
      <c r="DF168" s="725">
        <v>495.45</v>
      </c>
      <c r="DG168" s="659">
        <v>506.48</v>
      </c>
      <c r="DH168" s="623">
        <v>509.63</v>
      </c>
      <c r="DI168" s="623">
        <v>509.63</v>
      </c>
      <c r="DJ168" s="623">
        <v>511.82</v>
      </c>
      <c r="DK168" s="659">
        <v>523.80999999999995</v>
      </c>
      <c r="DL168" s="623">
        <v>523.80999999999995</v>
      </c>
      <c r="DM168" s="659">
        <v>524.29999999999995</v>
      </c>
      <c r="DN168" s="659">
        <v>528.1</v>
      </c>
      <c r="DO168" s="897">
        <v>528.1</v>
      </c>
      <c r="DP168" s="783">
        <v>531.84</v>
      </c>
      <c r="DQ168" s="659">
        <v>531.84</v>
      </c>
      <c r="DR168" s="659">
        <v>531.84</v>
      </c>
      <c r="DS168" s="659">
        <v>531.84</v>
      </c>
      <c r="DT168" s="623">
        <v>558.98</v>
      </c>
      <c r="DU168" s="659">
        <v>559.76</v>
      </c>
      <c r="DV168" s="659">
        <v>564.94000000000005</v>
      </c>
      <c r="DW168" s="659">
        <v>572.53</v>
      </c>
      <c r="DX168" s="659">
        <v>576.67999999999995</v>
      </c>
      <c r="DY168" s="659">
        <v>577.73</v>
      </c>
      <c r="DZ168" s="659">
        <v>584.38</v>
      </c>
      <c r="EA168" s="897">
        <v>587.29</v>
      </c>
      <c r="EB168" s="659">
        <v>591.39</v>
      </c>
      <c r="EC168" s="659">
        <v>595.22</v>
      </c>
      <c r="ED168" s="659">
        <v>595.22</v>
      </c>
      <c r="EE168" s="659">
        <v>596.83000000000004</v>
      </c>
      <c r="EF168" s="659">
        <v>622.51</v>
      </c>
      <c r="EG168" s="659">
        <v>605.15</v>
      </c>
      <c r="EH168" s="659">
        <v>609.03</v>
      </c>
      <c r="EI168" s="659">
        <v>619.48</v>
      </c>
      <c r="EJ168" s="659">
        <v>622.47</v>
      </c>
      <c r="EK168" s="623">
        <v>624.6</v>
      </c>
      <c r="EL168" s="659">
        <v>633.95000000000005</v>
      </c>
      <c r="EM168" s="659">
        <v>637.79999999999995</v>
      </c>
      <c r="EN168" s="783">
        <v>650.64</v>
      </c>
      <c r="EO168" s="659">
        <v>653.21</v>
      </c>
      <c r="EP168" s="659">
        <v>675.14</v>
      </c>
      <c r="EQ168" s="659">
        <v>679.12</v>
      </c>
      <c r="ER168" s="659">
        <v>691.89</v>
      </c>
      <c r="ES168" s="659">
        <v>694.97</v>
      </c>
      <c r="ET168" s="659">
        <v>717.91</v>
      </c>
      <c r="EU168" s="659">
        <v>736.43</v>
      </c>
      <c r="EV168" s="659">
        <v>757.6</v>
      </c>
      <c r="EW168" s="659">
        <v>772.6</v>
      </c>
      <c r="EX168" s="659">
        <v>779.63</v>
      </c>
      <c r="EY168" s="659">
        <v>793.69</v>
      </c>
      <c r="EZ168" s="785" t="s">
        <v>872</v>
      </c>
      <c r="FA168" s="777" t="s">
        <v>872</v>
      </c>
      <c r="FB168" s="777" t="s">
        <v>872</v>
      </c>
      <c r="FC168" s="777" t="s">
        <v>872</v>
      </c>
      <c r="FD168" s="777" t="s">
        <v>872</v>
      </c>
      <c r="FE168" s="777" t="s">
        <v>872</v>
      </c>
      <c r="FF168" s="777" t="s">
        <v>872</v>
      </c>
      <c r="FG168" s="777" t="s">
        <v>872</v>
      </c>
      <c r="FH168" s="777" t="s">
        <v>872</v>
      </c>
      <c r="FI168" s="777" t="s">
        <v>872</v>
      </c>
      <c r="FJ168" s="777" t="s">
        <v>872</v>
      </c>
      <c r="FK168" s="898" t="s">
        <v>872</v>
      </c>
      <c r="FL168" s="1561" t="s">
        <v>872</v>
      </c>
      <c r="FM168" s="740" t="s">
        <v>872</v>
      </c>
      <c r="FN168" s="740" t="s">
        <v>872</v>
      </c>
      <c r="FO168" s="740" t="s">
        <v>872</v>
      </c>
      <c r="FP168" s="740" t="s">
        <v>872</v>
      </c>
      <c r="FQ168" s="740" t="s">
        <v>872</v>
      </c>
      <c r="FR168" s="740" t="s">
        <v>872</v>
      </c>
      <c r="FS168" s="740" t="s">
        <v>872</v>
      </c>
      <c r="FT168" s="740" t="s">
        <v>872</v>
      </c>
      <c r="FU168" s="898" t="s">
        <v>872</v>
      </c>
      <c r="FV168" s="1167"/>
    </row>
    <row r="169" spans="1:178" s="115" customFormat="1" ht="31.5" customHeight="1">
      <c r="A169" s="1546">
        <v>1</v>
      </c>
      <c r="B169" s="408">
        <v>206</v>
      </c>
      <c r="C169" s="621" t="s">
        <v>346</v>
      </c>
      <c r="D169" s="622" t="s">
        <v>347</v>
      </c>
      <c r="E169" s="621" t="s">
        <v>918</v>
      </c>
      <c r="F169" s="622"/>
      <c r="G169" s="621" t="s">
        <v>919</v>
      </c>
      <c r="H169" s="621"/>
      <c r="I169" s="390" t="s">
        <v>132</v>
      </c>
      <c r="J169" s="676" t="s">
        <v>345</v>
      </c>
      <c r="K169" s="669">
        <v>89.1</v>
      </c>
      <c r="L169" s="665">
        <v>89.1</v>
      </c>
      <c r="M169" s="625">
        <v>89.1</v>
      </c>
      <c r="N169" s="625">
        <v>90.84</v>
      </c>
      <c r="O169" s="625">
        <v>144.85</v>
      </c>
      <c r="P169" s="625">
        <v>144.85</v>
      </c>
      <c r="Q169" s="625">
        <v>154.69999999999999</v>
      </c>
      <c r="R169" s="625">
        <v>155.21</v>
      </c>
      <c r="S169" s="625">
        <v>155.21</v>
      </c>
      <c r="T169" s="625">
        <v>176.92</v>
      </c>
      <c r="U169" s="625">
        <v>176.92</v>
      </c>
      <c r="V169" s="625">
        <v>176.92</v>
      </c>
      <c r="W169" s="625">
        <v>176.92</v>
      </c>
      <c r="X169" s="625">
        <v>176.92</v>
      </c>
      <c r="Y169" s="625">
        <v>176.92</v>
      </c>
      <c r="Z169" s="625">
        <v>191.03</v>
      </c>
      <c r="AA169" s="625">
        <v>191.03</v>
      </c>
      <c r="AB169" s="625">
        <v>191.03</v>
      </c>
      <c r="AC169" s="625">
        <v>191.03</v>
      </c>
      <c r="AD169" s="625">
        <v>176.02</v>
      </c>
      <c r="AE169" s="625">
        <v>176.02</v>
      </c>
      <c r="AF169" s="625">
        <v>176.02</v>
      </c>
      <c r="AG169" s="625">
        <v>176.02</v>
      </c>
      <c r="AH169" s="625">
        <v>176.02</v>
      </c>
      <c r="AI169" s="764">
        <v>176.02</v>
      </c>
      <c r="AJ169" s="772">
        <v>176.02</v>
      </c>
      <c r="AK169" s="625">
        <v>176.02</v>
      </c>
      <c r="AL169" s="625">
        <v>176.02</v>
      </c>
      <c r="AM169" s="625">
        <v>176.02</v>
      </c>
      <c r="AN169" s="625">
        <v>176.02</v>
      </c>
      <c r="AO169" s="625">
        <v>176.02</v>
      </c>
      <c r="AP169" s="625">
        <v>176.02</v>
      </c>
      <c r="AQ169" s="625">
        <v>176.02</v>
      </c>
      <c r="AR169" s="625">
        <v>184.48</v>
      </c>
      <c r="AS169" s="625">
        <v>184.48</v>
      </c>
      <c r="AT169" s="625">
        <v>184.48</v>
      </c>
      <c r="AU169" s="764">
        <v>184.48</v>
      </c>
      <c r="AV169" s="752">
        <v>184.48</v>
      </c>
      <c r="AW169" s="626">
        <v>184.48</v>
      </c>
      <c r="AX169" s="626">
        <v>184.48</v>
      </c>
      <c r="AY169" s="626">
        <v>184.48</v>
      </c>
      <c r="AZ169" s="626">
        <v>184.48</v>
      </c>
      <c r="BA169" s="626">
        <v>184.48</v>
      </c>
      <c r="BB169" s="626">
        <v>184.48</v>
      </c>
      <c r="BC169" s="627">
        <v>184.48</v>
      </c>
      <c r="BD169" s="626">
        <v>184.48</v>
      </c>
      <c r="BE169" s="627">
        <v>188.45</v>
      </c>
      <c r="BF169" s="627">
        <v>188.45</v>
      </c>
      <c r="BG169" s="759">
        <v>188.45</v>
      </c>
      <c r="BH169" s="660">
        <v>188.45</v>
      </c>
      <c r="BI169" s="623">
        <v>188.45</v>
      </c>
      <c r="BJ169" s="623">
        <v>192.17</v>
      </c>
      <c r="BK169" s="623">
        <v>192.17</v>
      </c>
      <c r="BL169" s="623">
        <v>192.17</v>
      </c>
      <c r="BM169" s="623">
        <v>192.17</v>
      </c>
      <c r="BN169" s="623">
        <v>199.49</v>
      </c>
      <c r="BO169" s="623">
        <v>199.49</v>
      </c>
      <c r="BP169" s="623">
        <v>199.49</v>
      </c>
      <c r="BQ169" s="623">
        <v>199.49</v>
      </c>
      <c r="BR169" s="623">
        <v>199.49</v>
      </c>
      <c r="BS169" s="659">
        <v>199.49</v>
      </c>
      <c r="BT169" s="660">
        <v>199.49</v>
      </c>
      <c r="BU169" s="623">
        <v>199.49</v>
      </c>
      <c r="BV169" s="623">
        <v>199.49</v>
      </c>
      <c r="BW169" s="623">
        <v>199.49</v>
      </c>
      <c r="BX169" s="623">
        <v>199.49</v>
      </c>
      <c r="BY169" s="623">
        <v>211.44</v>
      </c>
      <c r="BZ169" s="623">
        <v>211.44</v>
      </c>
      <c r="CA169" s="623">
        <v>227.75</v>
      </c>
      <c r="CB169" s="623">
        <v>227.74</v>
      </c>
      <c r="CC169" s="623">
        <v>227.73</v>
      </c>
      <c r="CD169" s="623">
        <v>227.73</v>
      </c>
      <c r="CE169" s="659">
        <v>227.73</v>
      </c>
      <c r="CF169" s="660">
        <v>227.73</v>
      </c>
      <c r="CG169" s="623">
        <v>231.94</v>
      </c>
      <c r="CH169" s="623">
        <v>231.94</v>
      </c>
      <c r="CI169" s="623">
        <v>231.94</v>
      </c>
      <c r="CJ169" s="623">
        <v>240.36</v>
      </c>
      <c r="CK169" s="623">
        <v>240.36</v>
      </c>
      <c r="CL169" s="623">
        <v>240.36</v>
      </c>
      <c r="CM169" s="623">
        <v>247.34</v>
      </c>
      <c r="CN169" s="623">
        <v>252.12</v>
      </c>
      <c r="CO169" s="623">
        <v>252.12</v>
      </c>
      <c r="CP169" s="623">
        <v>264.25</v>
      </c>
      <c r="CQ169" s="659">
        <v>264.25</v>
      </c>
      <c r="CR169" s="660">
        <v>265.04000000000002</v>
      </c>
      <c r="CS169" s="623">
        <v>265.95999999999998</v>
      </c>
      <c r="CT169" s="623">
        <v>265.95999999999998</v>
      </c>
      <c r="CU169" s="623">
        <v>266.52</v>
      </c>
      <c r="CV169" s="623">
        <v>266.52</v>
      </c>
      <c r="CW169" s="623">
        <v>266.52</v>
      </c>
      <c r="CX169" s="623">
        <v>266.89</v>
      </c>
      <c r="CY169" s="623">
        <v>266.89</v>
      </c>
      <c r="CZ169" s="623">
        <v>267.74</v>
      </c>
      <c r="DA169" s="623">
        <v>268.57</v>
      </c>
      <c r="DB169" s="659">
        <v>268.57</v>
      </c>
      <c r="DC169" s="659">
        <v>275.8</v>
      </c>
      <c r="DD169" s="783">
        <v>275.8</v>
      </c>
      <c r="DE169" s="623">
        <v>275.8</v>
      </c>
      <c r="DF169" s="725">
        <v>275.8</v>
      </c>
      <c r="DG169" s="659">
        <v>275.8</v>
      </c>
      <c r="DH169" s="623">
        <v>275.8</v>
      </c>
      <c r="DI169" s="623">
        <v>287.26</v>
      </c>
      <c r="DJ169" s="623">
        <v>287.26</v>
      </c>
      <c r="DK169" s="659">
        <v>296.77999999999997</v>
      </c>
      <c r="DL169" s="623">
        <v>296.77999999999997</v>
      </c>
      <c r="DM169" s="659">
        <v>349.74</v>
      </c>
      <c r="DN169" s="659">
        <v>357.12</v>
      </c>
      <c r="DO169" s="897">
        <v>357.12</v>
      </c>
      <c r="DP169" s="783">
        <v>357.16</v>
      </c>
      <c r="DQ169" s="659">
        <v>368.42</v>
      </c>
      <c r="DR169" s="659">
        <v>368.42</v>
      </c>
      <c r="DS169" s="659">
        <v>368.42</v>
      </c>
      <c r="DT169" s="623">
        <v>368.42</v>
      </c>
      <c r="DU169" s="659">
        <v>368.42</v>
      </c>
      <c r="DV169" s="659">
        <v>368.42</v>
      </c>
      <c r="DW169" s="659">
        <v>383.2</v>
      </c>
      <c r="DX169" s="659">
        <v>383.2</v>
      </c>
      <c r="DY169" s="659">
        <v>394.17</v>
      </c>
      <c r="DZ169" s="659">
        <v>427.87</v>
      </c>
      <c r="EA169" s="897">
        <v>427.87</v>
      </c>
      <c r="EB169" s="659">
        <v>429.95</v>
      </c>
      <c r="EC169" s="659">
        <v>429.95</v>
      </c>
      <c r="ED169" s="659">
        <v>448.45</v>
      </c>
      <c r="EE169" s="659">
        <v>448.45</v>
      </c>
      <c r="EF169" s="659">
        <v>459.29</v>
      </c>
      <c r="EG169" s="659">
        <v>460.97</v>
      </c>
      <c r="EH169" s="659">
        <v>478.62</v>
      </c>
      <c r="EI169" s="659">
        <v>489.57</v>
      </c>
      <c r="EJ169" s="659">
        <v>489.57</v>
      </c>
      <c r="EK169" s="623">
        <v>495.04</v>
      </c>
      <c r="EL169" s="659">
        <v>496.88</v>
      </c>
      <c r="EM169" s="659">
        <v>496.88</v>
      </c>
      <c r="EN169" s="783">
        <v>536.64</v>
      </c>
      <c r="EO169" s="659">
        <v>553.73</v>
      </c>
      <c r="EP169" s="659">
        <v>553.73</v>
      </c>
      <c r="EQ169" s="659">
        <v>560.53</v>
      </c>
      <c r="ER169" s="659">
        <v>560.53</v>
      </c>
      <c r="ES169" s="659">
        <v>565.48</v>
      </c>
      <c r="ET169" s="659">
        <v>565.87</v>
      </c>
      <c r="EU169" s="659">
        <v>584.94000000000005</v>
      </c>
      <c r="EV169" s="659">
        <v>566.99</v>
      </c>
      <c r="EW169" s="659">
        <v>597.41</v>
      </c>
      <c r="EX169" s="659">
        <v>599.07000000000005</v>
      </c>
      <c r="EY169" s="659">
        <v>602.41999999999996</v>
      </c>
      <c r="EZ169" s="785" t="s">
        <v>872</v>
      </c>
      <c r="FA169" s="777" t="s">
        <v>872</v>
      </c>
      <c r="FB169" s="777" t="s">
        <v>872</v>
      </c>
      <c r="FC169" s="777" t="s">
        <v>872</v>
      </c>
      <c r="FD169" s="777" t="s">
        <v>872</v>
      </c>
      <c r="FE169" s="777" t="s">
        <v>872</v>
      </c>
      <c r="FF169" s="777" t="s">
        <v>872</v>
      </c>
      <c r="FG169" s="777" t="s">
        <v>872</v>
      </c>
      <c r="FH169" s="777" t="s">
        <v>872</v>
      </c>
      <c r="FI169" s="777" t="s">
        <v>872</v>
      </c>
      <c r="FJ169" s="777" t="s">
        <v>872</v>
      </c>
      <c r="FK169" s="898" t="s">
        <v>872</v>
      </c>
      <c r="FL169" s="1561" t="s">
        <v>872</v>
      </c>
      <c r="FM169" s="740" t="s">
        <v>872</v>
      </c>
      <c r="FN169" s="740" t="s">
        <v>872</v>
      </c>
      <c r="FO169" s="740" t="s">
        <v>872</v>
      </c>
      <c r="FP169" s="740" t="s">
        <v>872</v>
      </c>
      <c r="FQ169" s="740" t="s">
        <v>872</v>
      </c>
      <c r="FR169" s="740" t="s">
        <v>872</v>
      </c>
      <c r="FS169" s="740" t="s">
        <v>872</v>
      </c>
      <c r="FT169" s="740" t="s">
        <v>872</v>
      </c>
      <c r="FU169" s="898" t="s">
        <v>872</v>
      </c>
      <c r="FV169" s="1167"/>
    </row>
    <row r="170" spans="1:178" s="115" customFormat="1" ht="37.5" customHeight="1">
      <c r="A170" s="1546">
        <v>1</v>
      </c>
      <c r="B170" s="408">
        <v>207</v>
      </c>
      <c r="C170" s="621" t="s">
        <v>348</v>
      </c>
      <c r="D170" s="622" t="s">
        <v>349</v>
      </c>
      <c r="E170" s="621" t="s">
        <v>918</v>
      </c>
      <c r="F170" s="622"/>
      <c r="G170" s="621" t="s">
        <v>738</v>
      </c>
      <c r="H170" s="621"/>
      <c r="I170" s="631"/>
      <c r="J170" s="676" t="s">
        <v>203</v>
      </c>
      <c r="K170" s="669">
        <v>73.599999999999994</v>
      </c>
      <c r="L170" s="665">
        <v>73.599999999999994</v>
      </c>
      <c r="M170" s="625">
        <v>73.599999999999994</v>
      </c>
      <c r="N170" s="625">
        <v>73.599999999999994</v>
      </c>
      <c r="O170" s="625">
        <v>92.9</v>
      </c>
      <c r="P170" s="625">
        <v>97.8</v>
      </c>
      <c r="Q170" s="625">
        <v>97.8</v>
      </c>
      <c r="R170" s="625">
        <v>104.5</v>
      </c>
      <c r="S170" s="625">
        <v>104.5</v>
      </c>
      <c r="T170" s="625">
        <v>109.4</v>
      </c>
      <c r="U170" s="625">
        <v>109.4</v>
      </c>
      <c r="V170" s="625">
        <v>109.4</v>
      </c>
      <c r="W170" s="625">
        <v>109.4</v>
      </c>
      <c r="X170" s="625">
        <v>109.4</v>
      </c>
      <c r="Y170" s="625">
        <v>123.9</v>
      </c>
      <c r="Z170" s="625">
        <v>123.9</v>
      </c>
      <c r="AA170" s="625">
        <v>125.8</v>
      </c>
      <c r="AB170" s="625">
        <v>130.69999999999999</v>
      </c>
      <c r="AC170" s="625">
        <v>130.69999999999999</v>
      </c>
      <c r="AD170" s="625">
        <v>130.69999999999999</v>
      </c>
      <c r="AE170" s="625">
        <v>135.5</v>
      </c>
      <c r="AF170" s="625">
        <v>135.5</v>
      </c>
      <c r="AG170" s="625">
        <v>135.5</v>
      </c>
      <c r="AH170" s="625">
        <v>135.5</v>
      </c>
      <c r="AI170" s="764">
        <v>135.5</v>
      </c>
      <c r="AJ170" s="772">
        <v>135.5</v>
      </c>
      <c r="AK170" s="625">
        <v>135.5</v>
      </c>
      <c r="AL170" s="625">
        <v>135.5</v>
      </c>
      <c r="AM170" s="625">
        <v>140.30000000000001</v>
      </c>
      <c r="AN170" s="625">
        <v>142.30000000000001</v>
      </c>
      <c r="AO170" s="625">
        <v>142.30000000000001</v>
      </c>
      <c r="AP170" s="625">
        <v>142.30000000000001</v>
      </c>
      <c r="AQ170" s="625">
        <v>142.30000000000001</v>
      </c>
      <c r="AR170" s="625">
        <v>142.30000000000001</v>
      </c>
      <c r="AS170" s="625">
        <v>142.30000000000001</v>
      </c>
      <c r="AT170" s="625">
        <v>142.30000000000001</v>
      </c>
      <c r="AU170" s="764">
        <v>142.30000000000001</v>
      </c>
      <c r="AV170" s="752">
        <v>142.30000000000001</v>
      </c>
      <c r="AW170" s="626">
        <v>142.30000000000001</v>
      </c>
      <c r="AX170" s="626">
        <v>151</v>
      </c>
      <c r="AY170" s="626">
        <v>151</v>
      </c>
      <c r="AZ170" s="626">
        <v>156.80000000000001</v>
      </c>
      <c r="BA170" s="626">
        <v>156.80000000000001</v>
      </c>
      <c r="BB170" s="626">
        <v>156.80000000000001</v>
      </c>
      <c r="BC170" s="627">
        <v>166.5</v>
      </c>
      <c r="BD170" s="626">
        <v>166.5</v>
      </c>
      <c r="BE170" s="627">
        <v>172.3</v>
      </c>
      <c r="BF170" s="627">
        <v>172.3</v>
      </c>
      <c r="BG170" s="759">
        <v>172.3</v>
      </c>
      <c r="BH170" s="660">
        <v>180</v>
      </c>
      <c r="BI170" s="623">
        <v>180</v>
      </c>
      <c r="BJ170" s="623">
        <v>180</v>
      </c>
      <c r="BK170" s="623">
        <v>180</v>
      </c>
      <c r="BL170" s="623">
        <v>180</v>
      </c>
      <c r="BM170" s="623">
        <v>180</v>
      </c>
      <c r="BN170" s="623">
        <v>180</v>
      </c>
      <c r="BO170" s="623">
        <v>180</v>
      </c>
      <c r="BP170" s="623">
        <v>180</v>
      </c>
      <c r="BQ170" s="623">
        <v>180</v>
      </c>
      <c r="BR170" s="623">
        <v>180</v>
      </c>
      <c r="BS170" s="659">
        <v>185</v>
      </c>
      <c r="BT170" s="660">
        <v>185</v>
      </c>
      <c r="BU170" s="623">
        <v>185</v>
      </c>
      <c r="BV170" s="623">
        <v>191.1</v>
      </c>
      <c r="BW170" s="623">
        <v>191.1</v>
      </c>
      <c r="BX170" s="623">
        <v>191.1</v>
      </c>
      <c r="BY170" s="623">
        <v>228.1</v>
      </c>
      <c r="BZ170" s="623">
        <v>228.1</v>
      </c>
      <c r="CA170" s="623">
        <v>228.1</v>
      </c>
      <c r="CB170" s="623">
        <v>228.1</v>
      </c>
      <c r="CC170" s="623">
        <v>228.1</v>
      </c>
      <c r="CD170" s="623">
        <v>241.7</v>
      </c>
      <c r="CE170" s="659">
        <v>241.7</v>
      </c>
      <c r="CF170" s="660">
        <v>265.10000000000002</v>
      </c>
      <c r="CG170" s="623">
        <v>265.10000000000002</v>
      </c>
      <c r="CH170" s="623">
        <v>265.10000000000002</v>
      </c>
      <c r="CI170" s="623">
        <v>282.39999999999998</v>
      </c>
      <c r="CJ170" s="623">
        <v>282.39999999999998</v>
      </c>
      <c r="CK170" s="623">
        <v>282.39999999999998</v>
      </c>
      <c r="CL170" s="623">
        <v>302.10000000000002</v>
      </c>
      <c r="CM170" s="623">
        <v>302.10000000000002</v>
      </c>
      <c r="CN170" s="623">
        <v>305.8</v>
      </c>
      <c r="CO170" s="623">
        <v>318.10000000000002</v>
      </c>
      <c r="CP170" s="623">
        <v>328.9</v>
      </c>
      <c r="CQ170" s="659">
        <v>328.9</v>
      </c>
      <c r="CR170" s="660">
        <v>344</v>
      </c>
      <c r="CS170" s="623">
        <v>344</v>
      </c>
      <c r="CT170" s="623">
        <v>356.3</v>
      </c>
      <c r="CU170" s="623">
        <v>373.6</v>
      </c>
      <c r="CV170" s="623">
        <v>373.6</v>
      </c>
      <c r="CW170" s="623">
        <v>373.6</v>
      </c>
      <c r="CX170" s="623">
        <v>393.3</v>
      </c>
      <c r="CY170" s="623">
        <v>430.3</v>
      </c>
      <c r="CZ170" s="623">
        <v>442.7</v>
      </c>
      <c r="DA170" s="623">
        <v>442.7</v>
      </c>
      <c r="DB170" s="659">
        <v>465.6</v>
      </c>
      <c r="DC170" s="659">
        <v>465.6</v>
      </c>
      <c r="DD170" s="783">
        <v>465.6</v>
      </c>
      <c r="DE170" s="623">
        <v>484.6</v>
      </c>
      <c r="DF170" s="725">
        <v>484.6</v>
      </c>
      <c r="DG170" s="659">
        <v>484.6</v>
      </c>
      <c r="DH170" s="623">
        <v>484.6</v>
      </c>
      <c r="DI170" s="623">
        <v>508</v>
      </c>
      <c r="DJ170" s="623">
        <v>508</v>
      </c>
      <c r="DK170" s="659">
        <v>532.70000000000005</v>
      </c>
      <c r="DL170" s="623">
        <v>532.70000000000005</v>
      </c>
      <c r="DM170" s="659">
        <v>553.6</v>
      </c>
      <c r="DN170" s="659">
        <v>553.6</v>
      </c>
      <c r="DO170" s="897">
        <v>553.6</v>
      </c>
      <c r="DP170" s="783">
        <v>556.5</v>
      </c>
      <c r="DQ170" s="659">
        <v>615.29999999999995</v>
      </c>
      <c r="DR170" s="659">
        <v>615.29999999999995</v>
      </c>
      <c r="DS170" s="659">
        <v>685.6</v>
      </c>
      <c r="DT170" s="623">
        <v>685.6</v>
      </c>
      <c r="DU170" s="659">
        <v>685.6</v>
      </c>
      <c r="DV170" s="659">
        <v>716.4</v>
      </c>
      <c r="DW170" s="659">
        <v>716.4</v>
      </c>
      <c r="DX170" s="659">
        <v>781.7</v>
      </c>
      <c r="DY170" s="659">
        <v>781.7</v>
      </c>
      <c r="DZ170" s="659">
        <v>781.7</v>
      </c>
      <c r="EA170" s="897">
        <v>881.6</v>
      </c>
      <c r="EB170" s="659">
        <v>881.6</v>
      </c>
      <c r="EC170" s="659">
        <f>944.5</f>
        <v>944.5</v>
      </c>
      <c r="ED170" s="659">
        <v>944.5</v>
      </c>
      <c r="EE170" s="659">
        <v>1016</v>
      </c>
      <c r="EF170" s="659">
        <v>1016</v>
      </c>
      <c r="EG170" s="659">
        <v>1028.3</v>
      </c>
      <c r="EH170" s="659">
        <v>1028.3</v>
      </c>
      <c r="EI170" s="659">
        <v>1083.8</v>
      </c>
      <c r="EJ170" s="659">
        <v>1103.5999999999999</v>
      </c>
      <c r="EK170" s="623">
        <v>1103.5999999999999</v>
      </c>
      <c r="EL170" s="659">
        <v>1103.5999999999999</v>
      </c>
      <c r="EM170" s="659">
        <v>1103.5999999999999</v>
      </c>
      <c r="EN170" s="783">
        <v>1103.5999999999999</v>
      </c>
      <c r="EO170" s="659">
        <v>1193.5999999999999</v>
      </c>
      <c r="EP170" s="659">
        <v>1205.9000000000001</v>
      </c>
      <c r="EQ170" s="659">
        <v>1205.9000000000001</v>
      </c>
      <c r="ER170" s="659">
        <v>1292.2</v>
      </c>
      <c r="ES170" s="659">
        <v>1292.2</v>
      </c>
      <c r="ET170" s="659">
        <v>1292.2</v>
      </c>
      <c r="EU170" s="659">
        <v>1292.2</v>
      </c>
      <c r="EV170" s="659">
        <v>1379.8</v>
      </c>
      <c r="EW170" s="659">
        <v>1379.8</v>
      </c>
      <c r="EX170" s="659">
        <v>1379.8</v>
      </c>
      <c r="EY170" s="659">
        <v>1392.1</v>
      </c>
      <c r="EZ170" s="785" t="s">
        <v>872</v>
      </c>
      <c r="FA170" s="777" t="s">
        <v>872</v>
      </c>
      <c r="FB170" s="777" t="s">
        <v>872</v>
      </c>
      <c r="FC170" s="777" t="s">
        <v>872</v>
      </c>
      <c r="FD170" s="777" t="s">
        <v>872</v>
      </c>
      <c r="FE170" s="777" t="s">
        <v>872</v>
      </c>
      <c r="FF170" s="777" t="s">
        <v>872</v>
      </c>
      <c r="FG170" s="777" t="s">
        <v>872</v>
      </c>
      <c r="FH170" s="777" t="s">
        <v>872</v>
      </c>
      <c r="FI170" s="777" t="s">
        <v>872</v>
      </c>
      <c r="FJ170" s="777" t="s">
        <v>872</v>
      </c>
      <c r="FK170" s="898" t="s">
        <v>872</v>
      </c>
      <c r="FL170" s="1561" t="s">
        <v>872</v>
      </c>
      <c r="FM170" s="740" t="s">
        <v>872</v>
      </c>
      <c r="FN170" s="740" t="s">
        <v>872</v>
      </c>
      <c r="FO170" s="740" t="s">
        <v>872</v>
      </c>
      <c r="FP170" s="740" t="s">
        <v>872</v>
      </c>
      <c r="FQ170" s="740" t="s">
        <v>872</v>
      </c>
      <c r="FR170" s="740" t="s">
        <v>872</v>
      </c>
      <c r="FS170" s="740" t="s">
        <v>872</v>
      </c>
      <c r="FT170" s="740" t="s">
        <v>872</v>
      </c>
      <c r="FU170" s="898" t="s">
        <v>872</v>
      </c>
      <c r="FV170" s="1167"/>
    </row>
    <row r="171" spans="1:178" s="115" customFormat="1" ht="33" customHeight="1">
      <c r="A171" s="1546">
        <v>1</v>
      </c>
      <c r="B171" s="408">
        <v>208</v>
      </c>
      <c r="C171" s="621" t="s">
        <v>350</v>
      </c>
      <c r="D171" s="622" t="s">
        <v>298</v>
      </c>
      <c r="E171" s="621" t="s">
        <v>918</v>
      </c>
      <c r="F171" s="622"/>
      <c r="G171" s="621" t="s">
        <v>738</v>
      </c>
      <c r="H171" s="621"/>
      <c r="I171" s="631" t="s">
        <v>355</v>
      </c>
      <c r="J171" s="676" t="s">
        <v>204</v>
      </c>
      <c r="K171" s="669">
        <v>84</v>
      </c>
      <c r="L171" s="665">
        <v>84</v>
      </c>
      <c r="M171" s="625">
        <v>82.8</v>
      </c>
      <c r="N171" s="625">
        <v>85.3</v>
      </c>
      <c r="O171" s="625">
        <v>86.6</v>
      </c>
      <c r="P171" s="625">
        <v>91.7</v>
      </c>
      <c r="Q171" s="625">
        <v>94.2</v>
      </c>
      <c r="R171" s="625">
        <v>96.8</v>
      </c>
      <c r="S171" s="625">
        <v>96.8</v>
      </c>
      <c r="T171" s="625">
        <v>96.8</v>
      </c>
      <c r="U171" s="625">
        <v>96.8</v>
      </c>
      <c r="V171" s="625">
        <v>96.8</v>
      </c>
      <c r="W171" s="625">
        <v>96.8</v>
      </c>
      <c r="X171" s="625">
        <v>96.8</v>
      </c>
      <c r="Y171" s="625">
        <v>96.8</v>
      </c>
      <c r="Z171" s="625">
        <v>96.8</v>
      </c>
      <c r="AA171" s="625">
        <v>96.8</v>
      </c>
      <c r="AB171" s="625">
        <v>96.8</v>
      </c>
      <c r="AC171" s="625">
        <v>100.6</v>
      </c>
      <c r="AD171" s="625">
        <v>100.6</v>
      </c>
      <c r="AE171" s="625">
        <v>100.6</v>
      </c>
      <c r="AF171" s="625">
        <v>100.6</v>
      </c>
      <c r="AG171" s="625">
        <v>100.6</v>
      </c>
      <c r="AH171" s="625">
        <v>100.6</v>
      </c>
      <c r="AI171" s="764">
        <v>100.6</v>
      </c>
      <c r="AJ171" s="772">
        <v>100.6</v>
      </c>
      <c r="AK171" s="625">
        <v>100.6</v>
      </c>
      <c r="AL171" s="625">
        <v>100.6</v>
      </c>
      <c r="AM171" s="625">
        <v>104.4</v>
      </c>
      <c r="AN171" s="625">
        <v>104.4</v>
      </c>
      <c r="AO171" s="625">
        <v>108.2</v>
      </c>
      <c r="AP171" s="625">
        <v>108.2</v>
      </c>
      <c r="AQ171" s="625">
        <v>108.2</v>
      </c>
      <c r="AR171" s="625">
        <v>108.2</v>
      </c>
      <c r="AS171" s="625">
        <v>108.2</v>
      </c>
      <c r="AT171" s="625">
        <v>110.8</v>
      </c>
      <c r="AU171" s="764">
        <v>113.3</v>
      </c>
      <c r="AV171" s="752">
        <v>113.3</v>
      </c>
      <c r="AW171" s="626">
        <v>113.3</v>
      </c>
      <c r="AX171" s="626">
        <v>117.2</v>
      </c>
      <c r="AY171" s="626">
        <v>118.4</v>
      </c>
      <c r="AZ171" s="626">
        <v>119.7</v>
      </c>
      <c r="BA171" s="626">
        <v>119.7</v>
      </c>
      <c r="BB171" s="626">
        <v>119.7</v>
      </c>
      <c r="BC171" s="627">
        <v>121</v>
      </c>
      <c r="BD171" s="626">
        <v>121</v>
      </c>
      <c r="BE171" s="627">
        <v>123.5</v>
      </c>
      <c r="BF171" s="627">
        <v>127.3</v>
      </c>
      <c r="BG171" s="759">
        <v>129.9</v>
      </c>
      <c r="BH171" s="660">
        <v>129.9</v>
      </c>
      <c r="BI171" s="623">
        <v>132.4</v>
      </c>
      <c r="BJ171" s="623">
        <v>135</v>
      </c>
      <c r="BK171" s="623">
        <v>135</v>
      </c>
      <c r="BL171" s="623">
        <v>135</v>
      </c>
      <c r="BM171" s="623">
        <v>135</v>
      </c>
      <c r="BN171" s="623">
        <v>135</v>
      </c>
      <c r="BO171" s="623">
        <v>135</v>
      </c>
      <c r="BP171" s="623">
        <v>135</v>
      </c>
      <c r="BQ171" s="623">
        <v>142.6</v>
      </c>
      <c r="BR171" s="623">
        <v>142.6</v>
      </c>
      <c r="BS171" s="659">
        <v>149</v>
      </c>
      <c r="BT171" s="660">
        <v>151.5</v>
      </c>
      <c r="BU171" s="623">
        <v>151.5</v>
      </c>
      <c r="BV171" s="623">
        <v>151.5</v>
      </c>
      <c r="BW171" s="623">
        <v>155.4</v>
      </c>
      <c r="BX171" s="623">
        <v>157.9</v>
      </c>
      <c r="BY171" s="623">
        <v>165.5</v>
      </c>
      <c r="BZ171" s="623">
        <v>165.5</v>
      </c>
      <c r="CA171" s="623">
        <v>168.1</v>
      </c>
      <c r="CB171" s="623">
        <v>174.5</v>
      </c>
      <c r="CC171" s="623">
        <v>187.2</v>
      </c>
      <c r="CD171" s="623">
        <v>192.3</v>
      </c>
      <c r="CE171" s="659">
        <v>201.2</v>
      </c>
      <c r="CF171" s="660">
        <v>217.8</v>
      </c>
      <c r="CG171" s="623">
        <v>217.8</v>
      </c>
      <c r="CH171" s="623">
        <v>230.5</v>
      </c>
      <c r="CI171" s="623">
        <v>234.3</v>
      </c>
      <c r="CJ171" s="623">
        <v>240.7</v>
      </c>
      <c r="CK171" s="623">
        <v>240.7</v>
      </c>
      <c r="CL171" s="623">
        <v>243.2</v>
      </c>
      <c r="CM171" s="623">
        <v>252.1</v>
      </c>
      <c r="CN171" s="623">
        <v>258.5</v>
      </c>
      <c r="CO171" s="623">
        <v>271.2</v>
      </c>
      <c r="CP171" s="623">
        <v>277.3</v>
      </c>
      <c r="CQ171" s="659">
        <v>277.3</v>
      </c>
      <c r="CR171" s="660">
        <v>287.3</v>
      </c>
      <c r="CS171" s="623">
        <v>287.7</v>
      </c>
      <c r="CT171" s="623">
        <v>287.7</v>
      </c>
      <c r="CU171" s="623">
        <v>300.7</v>
      </c>
      <c r="CV171" s="623">
        <v>309.39999999999998</v>
      </c>
      <c r="CW171" s="623">
        <v>309.39999999999998</v>
      </c>
      <c r="CX171" s="623">
        <v>329.4</v>
      </c>
      <c r="CY171" s="623">
        <v>329.4</v>
      </c>
      <c r="CZ171" s="623">
        <v>333.9</v>
      </c>
      <c r="DA171" s="623">
        <v>338.4</v>
      </c>
      <c r="DB171" s="659">
        <v>357</v>
      </c>
      <c r="DC171" s="659">
        <v>361.5</v>
      </c>
      <c r="DD171" s="783">
        <v>368.2</v>
      </c>
      <c r="DE171" s="623">
        <v>392.3</v>
      </c>
      <c r="DF171" s="725">
        <v>399</v>
      </c>
      <c r="DG171" s="659">
        <v>410.3</v>
      </c>
      <c r="DH171" s="623">
        <v>421.6</v>
      </c>
      <c r="DI171" s="623">
        <v>446.4</v>
      </c>
      <c r="DJ171" s="623">
        <v>446.4</v>
      </c>
      <c r="DK171" s="659">
        <v>446.4</v>
      </c>
      <c r="DL171" s="623">
        <v>446.4</v>
      </c>
      <c r="DM171" s="659">
        <v>468.9</v>
      </c>
      <c r="DN171" s="659">
        <v>480.2</v>
      </c>
      <c r="DO171" s="897">
        <v>491.5</v>
      </c>
      <c r="DP171" s="783">
        <v>529.79999999999995</v>
      </c>
      <c r="DQ171" s="659">
        <v>552.29999999999995</v>
      </c>
      <c r="DR171" s="659">
        <v>563.6</v>
      </c>
      <c r="DS171" s="659">
        <v>597.4</v>
      </c>
      <c r="DT171" s="623">
        <v>597.4</v>
      </c>
      <c r="DU171" s="659">
        <v>597.4</v>
      </c>
      <c r="DV171" s="659">
        <v>662.8</v>
      </c>
      <c r="DW171" s="659">
        <v>662.8</v>
      </c>
      <c r="DX171" s="659">
        <v>703.4</v>
      </c>
      <c r="DY171" s="659">
        <v>703.4</v>
      </c>
      <c r="DZ171" s="659">
        <v>714.7</v>
      </c>
      <c r="EA171" s="897">
        <v>753</v>
      </c>
      <c r="EB171" s="659">
        <v>786.8</v>
      </c>
      <c r="EC171" s="659">
        <f>902.2</f>
        <v>902.2</v>
      </c>
      <c r="ED171" s="659">
        <v>902.2</v>
      </c>
      <c r="EE171" s="659">
        <v>966</v>
      </c>
      <c r="EF171" s="888">
        <v>966</v>
      </c>
      <c r="EG171" s="659">
        <v>977.8</v>
      </c>
      <c r="EH171" s="659">
        <v>977.8</v>
      </c>
      <c r="EI171" s="659">
        <v>1036.9000000000001</v>
      </c>
      <c r="EJ171" s="659">
        <v>1036.9000000000001</v>
      </c>
      <c r="EK171" s="623">
        <v>1048.7</v>
      </c>
      <c r="EL171" s="659">
        <v>1048.7</v>
      </c>
      <c r="EM171" s="659">
        <v>1072.3</v>
      </c>
      <c r="EN171" s="783">
        <v>1072.3</v>
      </c>
      <c r="EO171" s="659">
        <v>1150.2</v>
      </c>
      <c r="EP171" s="659">
        <v>1173.9000000000001</v>
      </c>
      <c r="EQ171" s="659">
        <v>1197.5</v>
      </c>
      <c r="ER171" s="659">
        <v>1256.5</v>
      </c>
      <c r="ES171" s="659">
        <v>1256.5</v>
      </c>
      <c r="ET171" s="659">
        <v>1256.5</v>
      </c>
      <c r="EU171" s="659">
        <v>1315.6</v>
      </c>
      <c r="EV171" s="659">
        <v>1419.5</v>
      </c>
      <c r="EW171" s="659">
        <v>1419.5</v>
      </c>
      <c r="EX171" s="659">
        <v>1419.5</v>
      </c>
      <c r="EY171" s="659">
        <v>1419.5</v>
      </c>
      <c r="EZ171" s="785" t="s">
        <v>872</v>
      </c>
      <c r="FA171" s="777" t="s">
        <v>872</v>
      </c>
      <c r="FB171" s="777" t="s">
        <v>872</v>
      </c>
      <c r="FC171" s="777" t="s">
        <v>872</v>
      </c>
      <c r="FD171" s="777" t="s">
        <v>872</v>
      </c>
      <c r="FE171" s="777" t="s">
        <v>872</v>
      </c>
      <c r="FF171" s="777" t="s">
        <v>872</v>
      </c>
      <c r="FG171" s="777" t="s">
        <v>872</v>
      </c>
      <c r="FH171" s="777" t="s">
        <v>872</v>
      </c>
      <c r="FI171" s="777" t="s">
        <v>872</v>
      </c>
      <c r="FJ171" s="777" t="s">
        <v>872</v>
      </c>
      <c r="FK171" s="898" t="s">
        <v>872</v>
      </c>
      <c r="FL171" s="1561" t="s">
        <v>872</v>
      </c>
      <c r="FM171" s="740" t="s">
        <v>872</v>
      </c>
      <c r="FN171" s="740" t="s">
        <v>872</v>
      </c>
      <c r="FO171" s="740" t="s">
        <v>872</v>
      </c>
      <c r="FP171" s="740" t="s">
        <v>872</v>
      </c>
      <c r="FQ171" s="740" t="s">
        <v>872</v>
      </c>
      <c r="FR171" s="740" t="s">
        <v>872</v>
      </c>
      <c r="FS171" s="740" t="s">
        <v>872</v>
      </c>
      <c r="FT171" s="740" t="s">
        <v>872</v>
      </c>
      <c r="FU171" s="898" t="s">
        <v>872</v>
      </c>
      <c r="FV171" s="1167"/>
    </row>
    <row r="172" spans="1:178" s="115" customFormat="1" ht="26.25" customHeight="1">
      <c r="A172" s="1546">
        <v>1</v>
      </c>
      <c r="B172" s="644">
        <v>209</v>
      </c>
      <c r="C172" s="645" t="s">
        <v>357</v>
      </c>
      <c r="D172" s="646" t="s">
        <v>358</v>
      </c>
      <c r="E172" s="645" t="s">
        <v>918</v>
      </c>
      <c r="F172" s="646"/>
      <c r="G172" s="645" t="s">
        <v>919</v>
      </c>
      <c r="H172" s="645"/>
      <c r="I172" s="892" t="s">
        <v>431</v>
      </c>
      <c r="J172" s="893"/>
      <c r="K172" s="877">
        <v>79.19</v>
      </c>
      <c r="L172" s="878">
        <v>79.19</v>
      </c>
      <c r="M172" s="879">
        <v>86.36</v>
      </c>
      <c r="N172" s="879">
        <v>96.83</v>
      </c>
      <c r="O172" s="879">
        <v>108.06</v>
      </c>
      <c r="P172" s="879">
        <v>116.17</v>
      </c>
      <c r="Q172" s="879">
        <v>123.32</v>
      </c>
      <c r="R172" s="879">
        <v>127.11</v>
      </c>
      <c r="S172" s="879">
        <v>125.13</v>
      </c>
      <c r="T172" s="879">
        <v>130.59</v>
      </c>
      <c r="U172" s="879">
        <v>130.59</v>
      </c>
      <c r="V172" s="879">
        <v>130.59</v>
      </c>
      <c r="W172" s="879">
        <v>130.59</v>
      </c>
      <c r="X172" s="879">
        <v>130.59</v>
      </c>
      <c r="Y172" s="879">
        <v>129.09</v>
      </c>
      <c r="Z172" s="879">
        <v>134.30000000000001</v>
      </c>
      <c r="AA172" s="879">
        <v>134.30000000000001</v>
      </c>
      <c r="AB172" s="879">
        <v>134.30000000000001</v>
      </c>
      <c r="AC172" s="879">
        <v>134.30000000000001</v>
      </c>
      <c r="AD172" s="879">
        <v>134.30000000000001</v>
      </c>
      <c r="AE172" s="879">
        <v>134.30000000000001</v>
      </c>
      <c r="AF172" s="879">
        <v>134.30000000000001</v>
      </c>
      <c r="AG172" s="879">
        <v>134.30000000000001</v>
      </c>
      <c r="AH172" s="879">
        <v>134.30000000000001</v>
      </c>
      <c r="AI172" s="880">
        <v>134.30000000000001</v>
      </c>
      <c r="AJ172" s="881">
        <v>136.22999999999999</v>
      </c>
      <c r="AK172" s="879">
        <v>139.13999999999999</v>
      </c>
      <c r="AL172" s="879">
        <v>139.13999999999999</v>
      </c>
      <c r="AM172" s="879">
        <v>148.38</v>
      </c>
      <c r="AN172" s="879">
        <v>148.38</v>
      </c>
      <c r="AO172" s="879">
        <v>152.79</v>
      </c>
      <c r="AP172" s="879">
        <v>157.22</v>
      </c>
      <c r="AQ172" s="879">
        <v>155.32</v>
      </c>
      <c r="AR172" s="879">
        <v>158.15</v>
      </c>
      <c r="AS172" s="879">
        <v>158.15</v>
      </c>
      <c r="AT172" s="879">
        <v>158.15</v>
      </c>
      <c r="AU172" s="880">
        <v>158.15</v>
      </c>
      <c r="AV172" s="882">
        <v>163.25</v>
      </c>
      <c r="AW172" s="883">
        <v>166.82</v>
      </c>
      <c r="AX172" s="883">
        <v>166.82</v>
      </c>
      <c r="AY172" s="883">
        <v>170.79</v>
      </c>
      <c r="AZ172" s="883">
        <v>171.48</v>
      </c>
      <c r="BA172" s="883">
        <v>171.48</v>
      </c>
      <c r="BB172" s="883">
        <v>171.48</v>
      </c>
      <c r="BC172" s="884">
        <v>173.44</v>
      </c>
      <c r="BD172" s="883">
        <v>173.44</v>
      </c>
      <c r="BE172" s="884">
        <v>178.02</v>
      </c>
      <c r="BF172" s="884">
        <v>182.22</v>
      </c>
      <c r="BG172" s="961">
        <v>182.22</v>
      </c>
      <c r="BH172" s="886">
        <v>189.27</v>
      </c>
      <c r="BI172" s="887">
        <v>189.27</v>
      </c>
      <c r="BJ172" s="887">
        <v>193.76</v>
      </c>
      <c r="BK172" s="887">
        <v>193.76</v>
      </c>
      <c r="BL172" s="887">
        <v>193.76</v>
      </c>
      <c r="BM172" s="887">
        <v>193.76</v>
      </c>
      <c r="BN172" s="887">
        <v>200.08</v>
      </c>
      <c r="BO172" s="887">
        <v>202.16</v>
      </c>
      <c r="BP172" s="887">
        <v>204.45</v>
      </c>
      <c r="BQ172" s="887">
        <v>204.45</v>
      </c>
      <c r="BR172" s="887">
        <v>204.45</v>
      </c>
      <c r="BS172" s="888">
        <v>204.45</v>
      </c>
      <c r="BT172" s="886">
        <v>210.04</v>
      </c>
      <c r="BU172" s="887">
        <v>210.04</v>
      </c>
      <c r="BV172" s="887">
        <v>211.7</v>
      </c>
      <c r="BW172" s="887">
        <v>211.39</v>
      </c>
      <c r="BX172" s="887">
        <v>216.62</v>
      </c>
      <c r="BY172" s="887">
        <v>216.62</v>
      </c>
      <c r="BZ172" s="887">
        <v>231.48</v>
      </c>
      <c r="CA172" s="887">
        <v>231.48</v>
      </c>
      <c r="CB172" s="887">
        <v>232.93</v>
      </c>
      <c r="CC172" s="887">
        <v>233.85</v>
      </c>
      <c r="CD172" s="887">
        <v>238.11</v>
      </c>
      <c r="CE172" s="888">
        <v>244.67</v>
      </c>
      <c r="CF172" s="886">
        <v>263.70999999999998</v>
      </c>
      <c r="CG172" s="887">
        <v>263.70999999999998</v>
      </c>
      <c r="CH172" s="887">
        <v>265.42</v>
      </c>
      <c r="CI172" s="887">
        <v>268.27999999999997</v>
      </c>
      <c r="CJ172" s="887">
        <v>269.70999999999998</v>
      </c>
      <c r="CK172" s="887">
        <v>279.39999999999998</v>
      </c>
      <c r="CL172" s="887">
        <v>286.8</v>
      </c>
      <c r="CM172" s="887">
        <v>289.92</v>
      </c>
      <c r="CN172" s="887">
        <v>291.45</v>
      </c>
      <c r="CO172" s="887">
        <v>291.45</v>
      </c>
      <c r="CP172" s="887">
        <v>294.33</v>
      </c>
      <c r="CQ172" s="888">
        <v>294.33</v>
      </c>
      <c r="CR172" s="886">
        <v>294.33</v>
      </c>
      <c r="CS172" s="887">
        <v>294.33</v>
      </c>
      <c r="CT172" s="887">
        <v>300.77999999999997</v>
      </c>
      <c r="CU172" s="887">
        <v>301.83</v>
      </c>
      <c r="CV172" s="887">
        <v>301.83</v>
      </c>
      <c r="CW172" s="887">
        <v>301.83</v>
      </c>
      <c r="CX172" s="887">
        <v>314.93</v>
      </c>
      <c r="CY172" s="887">
        <v>317.88</v>
      </c>
      <c r="CZ172" s="887">
        <v>317.88</v>
      </c>
      <c r="DA172" s="887">
        <v>320.95999999999998</v>
      </c>
      <c r="DB172" s="887">
        <v>307.20999999999998</v>
      </c>
      <c r="DC172" s="888">
        <v>307.20999999999998</v>
      </c>
      <c r="DD172" s="890">
        <v>307.77</v>
      </c>
      <c r="DE172" s="887">
        <v>307.77</v>
      </c>
      <c r="DF172" s="889">
        <v>309.66000000000003</v>
      </c>
      <c r="DG172" s="888">
        <v>317.17</v>
      </c>
      <c r="DH172" s="887">
        <v>331.7</v>
      </c>
      <c r="DI172" s="887">
        <v>331.7</v>
      </c>
      <c r="DJ172" s="887">
        <v>334.58</v>
      </c>
      <c r="DK172" s="888">
        <v>334.58</v>
      </c>
      <c r="DL172" s="887">
        <v>337.3</v>
      </c>
      <c r="DM172" s="888">
        <v>358.48</v>
      </c>
      <c r="DN172" s="659">
        <v>361.33</v>
      </c>
      <c r="DO172" s="897">
        <v>368.93</v>
      </c>
      <c r="DP172" s="783">
        <v>368.93</v>
      </c>
      <c r="DQ172" s="659">
        <v>381.37</v>
      </c>
      <c r="DR172" s="659">
        <v>381.75</v>
      </c>
      <c r="DS172" s="659">
        <v>382.78</v>
      </c>
      <c r="DT172" s="623">
        <v>389.51</v>
      </c>
      <c r="DU172" s="659">
        <v>392.91</v>
      </c>
      <c r="DV172" s="659">
        <v>420.11</v>
      </c>
      <c r="DW172" s="659">
        <v>420.11</v>
      </c>
      <c r="DX172" s="659">
        <v>422.77</v>
      </c>
      <c r="DY172" s="659">
        <v>422.77</v>
      </c>
      <c r="DZ172" s="659">
        <v>432.34</v>
      </c>
      <c r="EA172" s="897">
        <v>435.52</v>
      </c>
      <c r="EB172" s="659">
        <v>438.67</v>
      </c>
      <c r="EC172" s="659">
        <v>467.54</v>
      </c>
      <c r="ED172" s="659">
        <v>444.53</v>
      </c>
      <c r="EE172" s="659">
        <v>454.36</v>
      </c>
      <c r="EF172" s="659">
        <v>457.28</v>
      </c>
      <c r="EG172" s="659">
        <v>484.27</v>
      </c>
      <c r="EH172" s="659">
        <v>484.27</v>
      </c>
      <c r="EI172" s="737">
        <v>489.4</v>
      </c>
      <c r="EJ172" s="659">
        <v>491.73</v>
      </c>
      <c r="EK172" s="623">
        <v>491.73</v>
      </c>
      <c r="EL172" s="737">
        <v>502.84</v>
      </c>
      <c r="EM172" s="659">
        <v>516.54999999999995</v>
      </c>
      <c r="EN172" s="783">
        <v>522.12</v>
      </c>
      <c r="EO172" s="659">
        <v>530.07000000000005</v>
      </c>
      <c r="EP172" s="659">
        <v>531.16</v>
      </c>
      <c r="EQ172" s="659">
        <v>535</v>
      </c>
      <c r="ER172" s="659">
        <v>536.80999999999995</v>
      </c>
      <c r="ES172" s="659">
        <v>540.07000000000005</v>
      </c>
      <c r="ET172" s="659">
        <v>540.07000000000005</v>
      </c>
      <c r="EU172" s="659">
        <v>542.11</v>
      </c>
      <c r="EV172" s="659">
        <v>544.49</v>
      </c>
      <c r="EW172" s="659">
        <v>544.49</v>
      </c>
      <c r="EX172" s="659">
        <v>556.04999999999995</v>
      </c>
      <c r="EY172" s="659">
        <v>560.4</v>
      </c>
      <c r="EZ172" s="783">
        <v>561.89</v>
      </c>
      <c r="FA172" s="659">
        <v>613.33000000000004</v>
      </c>
      <c r="FB172" s="659">
        <v>618.67999999999995</v>
      </c>
      <c r="FC172" s="659">
        <v>620.4</v>
      </c>
      <c r="FD172" s="659">
        <v>626.86</v>
      </c>
      <c r="FE172" s="659">
        <v>655.81</v>
      </c>
      <c r="FF172" s="659">
        <v>663.84</v>
      </c>
      <c r="FG172" s="659">
        <v>670.85</v>
      </c>
      <c r="FH172" s="659">
        <v>677.06</v>
      </c>
      <c r="FI172" s="659">
        <v>677.06</v>
      </c>
      <c r="FJ172" s="659">
        <v>687.97</v>
      </c>
      <c r="FK172" s="897">
        <v>687.97</v>
      </c>
      <c r="FL172" s="660">
        <v>752.32</v>
      </c>
      <c r="FM172" s="623">
        <v>759.22</v>
      </c>
      <c r="FN172" s="623">
        <v>765.79</v>
      </c>
      <c r="FO172" s="623">
        <v>773.39</v>
      </c>
      <c r="FP172" s="623">
        <v>823.11</v>
      </c>
      <c r="FQ172" s="623">
        <v>840.17</v>
      </c>
      <c r="FR172" s="623">
        <v>852.88</v>
      </c>
      <c r="FS172" s="623">
        <v>857.55</v>
      </c>
      <c r="FT172" s="623">
        <v>885.04</v>
      </c>
      <c r="FU172" s="897">
        <v>908.07</v>
      </c>
      <c r="FV172" s="1167">
        <f t="shared" si="3"/>
        <v>1.0260214227605533</v>
      </c>
    </row>
    <row r="173" spans="1:178" s="115" customFormat="1" ht="18.95" customHeight="1">
      <c r="A173" s="1546">
        <v>1</v>
      </c>
      <c r="B173" s="408">
        <v>210</v>
      </c>
      <c r="C173" s="621"/>
      <c r="D173" s="622" t="s">
        <v>359</v>
      </c>
      <c r="E173" s="645" t="s">
        <v>918</v>
      </c>
      <c r="F173" s="622"/>
      <c r="G173" s="621" t="s">
        <v>336</v>
      </c>
      <c r="H173" s="621"/>
      <c r="I173" s="631" t="s">
        <v>337</v>
      </c>
      <c r="J173" s="676" t="s">
        <v>205</v>
      </c>
      <c r="K173" s="669">
        <v>100</v>
      </c>
      <c r="L173" s="665">
        <v>104.52</v>
      </c>
      <c r="M173" s="625">
        <v>112.91</v>
      </c>
      <c r="N173" s="625">
        <v>121.36</v>
      </c>
      <c r="O173" s="625">
        <v>127.51</v>
      </c>
      <c r="P173" s="625">
        <v>146.6</v>
      </c>
      <c r="Q173" s="625">
        <v>158.15</v>
      </c>
      <c r="R173" s="625">
        <v>161.47999999999999</v>
      </c>
      <c r="S173" s="625">
        <v>163.51</v>
      </c>
      <c r="T173" s="625">
        <v>163.81</v>
      </c>
      <c r="U173" s="625">
        <v>164.21</v>
      </c>
      <c r="V173" s="625">
        <v>164.58</v>
      </c>
      <c r="W173" s="625">
        <v>164.91</v>
      </c>
      <c r="X173" s="625">
        <f>+'ANEXOA-AMORTIZACION'!H71</f>
        <v>164.36</v>
      </c>
      <c r="Y173" s="625">
        <f>+'ANEXOA-AMORTIZACION'!I71</f>
        <v>163.69</v>
      </c>
      <c r="Z173" s="625">
        <f>+'ANEXOA-AMORTIZACION'!J71</f>
        <v>164.47</v>
      </c>
      <c r="AA173" s="625">
        <f>+'ANEXOA-AMORTIZACION'!K71</f>
        <v>163.36000000000001</v>
      </c>
      <c r="AB173" s="625">
        <f>+'ANEXOA-AMORTIZACION'!L71</f>
        <v>163.85</v>
      </c>
      <c r="AC173" s="625">
        <f>+'ANEXOA-AMORTIZACION'!M71</f>
        <v>163.65</v>
      </c>
      <c r="AD173" s="625">
        <f>+'ANEXOA-AMORTIZACION'!N71</f>
        <v>164.74</v>
      </c>
      <c r="AE173" s="625">
        <f>+'ANEXOA-AMORTIZACION'!O71</f>
        <v>166.22</v>
      </c>
      <c r="AF173" s="625">
        <f>+'ANEXOA-AMORTIZACION'!P71</f>
        <v>166.25</v>
      </c>
      <c r="AG173" s="625">
        <f>+'ANEXOA-AMORTIZACION'!Q71</f>
        <v>166.87</v>
      </c>
      <c r="AH173" s="625">
        <f>+'ANEXOA-AMORTIZACION'!R71</f>
        <v>167.69</v>
      </c>
      <c r="AI173" s="764">
        <f>+'ANEXOA-AMORTIZACION'!S71</f>
        <v>169.14</v>
      </c>
      <c r="AJ173" s="772">
        <f>+'ANEXOA-AMORTIZACION'!T71</f>
        <v>171.7</v>
      </c>
      <c r="AK173" s="625">
        <f>+'ANEXOA-AMORTIZACION'!U71</f>
        <v>175.27</v>
      </c>
      <c r="AL173" s="625">
        <f>+'ANEXOA-AMORTIZACION'!V71</f>
        <v>178.15</v>
      </c>
      <c r="AM173" s="625">
        <f>+'ANEXOA-AMORTIZACION'!W71</f>
        <v>180.11</v>
      </c>
      <c r="AN173" s="625">
        <f>+'ANEXOA-AMORTIZACION'!X71</f>
        <v>181.73</v>
      </c>
      <c r="AO173" s="625">
        <f>+'ANEXOA-AMORTIZACION'!Y71</f>
        <v>183.24</v>
      </c>
      <c r="AP173" s="625">
        <f>+'ANEXOA-AMORTIZACION'!Z71</f>
        <v>184.65</v>
      </c>
      <c r="AQ173" s="625">
        <f>+'ANEXOA-AMORTIZACION'!AA71</f>
        <v>185.27</v>
      </c>
      <c r="AR173" s="625">
        <f>+'ANEXOA-AMORTIZACION'!AB71</f>
        <v>186.11</v>
      </c>
      <c r="AS173" s="625">
        <f>+'ANEXOA-AMORTIZACION'!AC71</f>
        <v>187.33</v>
      </c>
      <c r="AT173" s="625">
        <f>+'ANEXOA-AMORTIZACION'!AD71</f>
        <v>188.1</v>
      </c>
      <c r="AU173" s="764">
        <f>+'ANEXOA-AMORTIZACION'!AE71</f>
        <v>189.91</v>
      </c>
      <c r="AV173" s="752">
        <f>+'ANEXOA-AMORTIZACION'!AF71</f>
        <v>187.49</v>
      </c>
      <c r="AW173" s="626">
        <f>+'ANEXOA-AMORTIZACION'!AG71</f>
        <v>197.58</v>
      </c>
      <c r="AX173" s="626">
        <f>+'ANEXOA-AMORTIZACION'!AH71</f>
        <v>199.53</v>
      </c>
      <c r="AY173" s="626">
        <f>+'ANEXOA-AMORTIZACION'!AI71</f>
        <v>204.52</v>
      </c>
      <c r="AZ173" s="626">
        <f>+'ANEXOA-AMORTIZACION'!AJ71</f>
        <v>206.09</v>
      </c>
      <c r="BA173" s="626">
        <f>+'ANEXOA-AMORTIZACION'!AK71</f>
        <v>207.32</v>
      </c>
      <c r="BB173" s="626">
        <f>+'ANEXOA-AMORTIZACION'!AL71</f>
        <v>209.44</v>
      </c>
      <c r="BC173" s="626">
        <f>+'ANEXOA-AMORTIZACION'!AM71</f>
        <v>210.93</v>
      </c>
      <c r="BD173" s="626">
        <f>+'ANEXOA-AMORTIZACION'!AN71</f>
        <v>213.45</v>
      </c>
      <c r="BE173" s="626">
        <f>+'ANEXOA-AMORTIZACION'!AO71</f>
        <v>216.4</v>
      </c>
      <c r="BF173" s="626">
        <f>+'ANEXOA-AMORTIZACION'!AP71</f>
        <v>219.56</v>
      </c>
      <c r="BG173" s="749">
        <f>+'ANEXOA-AMORTIZACION'!AQ71</f>
        <v>223.24</v>
      </c>
      <c r="BH173" s="660">
        <f>+'ANEXOA-AMORTIZACION'!AR71</f>
        <v>227.77</v>
      </c>
      <c r="BI173" s="623">
        <f>+'ANEXOA-AMORTIZACION'!AS71</f>
        <v>231</v>
      </c>
      <c r="BJ173" s="623">
        <f>+'ANEXOA-AMORTIZACION'!AT71</f>
        <v>233.09</v>
      </c>
      <c r="BK173" s="623">
        <f>+'ANEXOA-AMORTIZACION'!AU71</f>
        <v>235.42</v>
      </c>
      <c r="BL173" s="623">
        <f>+'ANEXOA-AMORTIZACION'!AV71</f>
        <v>237.69</v>
      </c>
      <c r="BM173" s="623">
        <f>+'ANEXOA-AMORTIZACION'!AW71</f>
        <v>244.35</v>
      </c>
      <c r="BN173" s="623">
        <f>+'ANEXOA-AMORTIZACION'!AX71</f>
        <v>246.94</v>
      </c>
      <c r="BO173" s="623">
        <f>+'ANEXOA-AMORTIZACION'!AY71</f>
        <v>250.01</v>
      </c>
      <c r="BP173" s="623">
        <f>+'ANEXOA-AMORTIZACION'!AZ71</f>
        <v>255.06</v>
      </c>
      <c r="BQ173" s="623">
        <f>+'ANEXOA-AMORTIZACION'!BA71</f>
        <v>256.81</v>
      </c>
      <c r="BR173" s="623">
        <f>+'ANEXOA-AMORTIZACION'!BB71</f>
        <v>257.33999999999997</v>
      </c>
      <c r="BS173" s="659">
        <f>+'ANEXOA-AMORTIZACION'!BC71</f>
        <v>258.94</v>
      </c>
      <c r="BT173" s="660">
        <f>+'ANEXOA-AMORTIZACION'!BD71</f>
        <v>262.26</v>
      </c>
      <c r="BU173" s="623">
        <f>+'ANEXOA-AMORTIZACION'!BE71</f>
        <v>264.41000000000003</v>
      </c>
      <c r="BV173" s="623">
        <f>+'ANEXOA-AMORTIZACION'!BF71</f>
        <v>266.3</v>
      </c>
      <c r="BW173" s="623">
        <f>+'ANEXOA-AMORTIZACION'!BG71</f>
        <v>269.72000000000003</v>
      </c>
      <c r="BX173" s="623">
        <f>+'ANEXOA-AMORTIZACION'!BH71</f>
        <v>276.58999999999997</v>
      </c>
      <c r="BY173" s="623">
        <f>+'ANEXOA-AMORTIZACION'!BI71</f>
        <v>282.36</v>
      </c>
      <c r="BZ173" s="623">
        <f>+'ANEXOA-AMORTIZACION'!BJ71</f>
        <v>286.93</v>
      </c>
      <c r="CA173" s="623">
        <f>+'ANEXOA-AMORTIZACION'!BK71</f>
        <v>292.44</v>
      </c>
      <c r="CB173" s="623">
        <f>+'ANEXOA-AMORTIZACION'!BL71</f>
        <v>294.60000000000002</v>
      </c>
      <c r="CC173" s="623">
        <v>301.08999999999997</v>
      </c>
      <c r="CD173" s="623">
        <f>+'ANEXOA-AMORTIZACION'!BN71</f>
        <v>302.14</v>
      </c>
      <c r="CE173" s="659">
        <f>+'ANEXOA-AMORTIZACION'!BO71</f>
        <v>305.08999999999997</v>
      </c>
      <c r="CF173" s="660">
        <f>+'ANEXOA-AMORTIZACION'!BP71</f>
        <v>308.39999999999998</v>
      </c>
      <c r="CG173" s="623">
        <f>+'ANEXOA-AMORTIZACION'!BQ71</f>
        <v>311.45</v>
      </c>
      <c r="CH173" s="623">
        <f>+'ANEXOA-AMORTIZACION'!BR71</f>
        <v>315.54000000000002</v>
      </c>
      <c r="CI173" s="623">
        <f>+'ANEXOA-AMORTIZACION'!BS71</f>
        <v>319.58999999999997</v>
      </c>
      <c r="CJ173" s="623">
        <f>+'ANEXOA-AMORTIZACION'!BT71</f>
        <v>328.9</v>
      </c>
      <c r="CK173" s="623">
        <f>+'ANEXOA-AMORTIZACION'!BU71</f>
        <v>332.51</v>
      </c>
      <c r="CL173" s="623">
        <f>+'ANEXOA-AMORTIZACION'!BV71</f>
        <v>341.08</v>
      </c>
      <c r="CM173" s="623">
        <f>+'ANEXOA-AMORTIZACION'!BW71</f>
        <v>342.73</v>
      </c>
      <c r="CN173" s="623">
        <f>+'ANEXOA-AMORTIZACION'!BX71</f>
        <v>347.47</v>
      </c>
      <c r="CO173" s="623">
        <f>+'ANEXOA-AMORTIZACION'!BY71</f>
        <v>349.74</v>
      </c>
      <c r="CP173" s="623">
        <f>+'ANEXOA-AMORTIZACION'!BZ71</f>
        <v>351.83</v>
      </c>
      <c r="CQ173" s="659">
        <f>+'ANEXOA-AMORTIZACION'!CA71</f>
        <v>352.5</v>
      </c>
      <c r="CR173" s="660">
        <f>+'ANEXOA-AMORTIZACION'!CB71</f>
        <v>354.35</v>
      </c>
      <c r="CS173" s="623">
        <f>+'ANEXOA-AMORTIZACION'!CC71</f>
        <v>355.05</v>
      </c>
      <c r="CT173" s="623">
        <f>+'ANEXOA-AMORTIZACION'!CD71</f>
        <v>355.94</v>
      </c>
      <c r="CU173" s="623">
        <f>+'ANEXOA-AMORTIZACION'!CE71</f>
        <v>357.99</v>
      </c>
      <c r="CV173" s="623">
        <f>+'ANEXOA-AMORTIZACION'!CF71</f>
        <v>361.82</v>
      </c>
      <c r="CW173" s="623">
        <f>+'ANEXOA-AMORTIZACION'!CG71</f>
        <v>369.34</v>
      </c>
      <c r="CX173" s="623">
        <f>+'ANEXOA-AMORTIZACION'!CH71</f>
        <v>372.17</v>
      </c>
      <c r="CY173" s="623">
        <f>+'ANEXOA-AMORTIZACION'!CI71</f>
        <v>374.33</v>
      </c>
      <c r="CZ173" s="623">
        <f>+'ANEXOA-AMORTIZACION'!CJ71</f>
        <v>375.57</v>
      </c>
      <c r="DA173" s="623">
        <f>+'ANEXOA-AMORTIZACION'!CK71</f>
        <v>385.13</v>
      </c>
      <c r="DB173" s="659">
        <f>+'ANEXOA-AMORTIZACION'!CL71</f>
        <v>390.06</v>
      </c>
      <c r="DC173" s="659">
        <f>+'ANEXOA-AMORTIZACION'!CM71</f>
        <v>391.8</v>
      </c>
      <c r="DD173" s="783">
        <f>+'ANEXOA-AMORTIZACION'!CN71</f>
        <v>393.99</v>
      </c>
      <c r="DE173" s="623">
        <f>+'ANEXOA-AMORTIZACION'!CO71</f>
        <v>401.95</v>
      </c>
      <c r="DF173" s="725">
        <f>+'ANEXOA-AMORTIZACION'!CP71</f>
        <v>413.53</v>
      </c>
      <c r="DG173" s="623">
        <f>+'ANEXOA-AMORTIZACION'!CQ71</f>
        <v>410.31</v>
      </c>
      <c r="DH173" s="623">
        <f>+'ANEXOA-AMORTIZACION'!CR71</f>
        <v>425.29</v>
      </c>
      <c r="DI173" s="623">
        <f>+'ANEXOA-AMORTIZACION'!CS71</f>
        <v>431.06</v>
      </c>
      <c r="DJ173" s="623">
        <f>+'ANEXOA-AMORTIZACION'!CT71</f>
        <v>436.13</v>
      </c>
      <c r="DK173" s="659">
        <f>+'ANEXOA-AMORTIZACION'!CU71</f>
        <v>442.76</v>
      </c>
      <c r="DL173" s="623">
        <f>+'ANEXOA-AMORTIZACION'!CV71</f>
        <v>447.86</v>
      </c>
      <c r="DM173" s="659">
        <f>+'ANEXOA-AMORTIZACION'!CW71</f>
        <v>453.37</v>
      </c>
      <c r="DN173" s="659">
        <f>+'ANEXOA-AMORTIZACION'!CX71</f>
        <v>457.56</v>
      </c>
      <c r="DO173" s="897">
        <f>+'ANEXOA-AMORTIZACION'!CY71</f>
        <v>467.36</v>
      </c>
      <c r="DP173" s="783">
        <f>+'ANEXOA-AMORTIZACION'!CZ71</f>
        <v>479.8</v>
      </c>
      <c r="DQ173" s="659">
        <f>+'ANEXOA-AMORTIZACION'!DA71</f>
        <v>486.54</v>
      </c>
      <c r="DR173" s="659">
        <f>+'ANEXOA-AMORTIZACION'!DB71</f>
        <v>491.08</v>
      </c>
      <c r="DS173" s="659">
        <f>+'ANEXOA-AMORTIZACION'!DC71</f>
        <v>497.97</v>
      </c>
      <c r="DT173" s="623">
        <f>+'ANEXOA-AMORTIZACION'!DD71</f>
        <v>505.39</v>
      </c>
      <c r="DU173" s="659">
        <f>+'ANEXOA-AMORTIZACION'!DE71</f>
        <v>509.41</v>
      </c>
      <c r="DV173" s="659">
        <f>+'ANEXOA-AMORTIZACION'!DF71</f>
        <v>519.24</v>
      </c>
      <c r="DW173" s="659">
        <f>+'ANEXOA-AMORTIZACION'!DG71</f>
        <v>525.92999999999995</v>
      </c>
      <c r="DX173" s="659">
        <f>+'ANEXOA-AMORTIZACION'!DH71</f>
        <v>535.96</v>
      </c>
      <c r="DY173" s="659">
        <f>+'ANEXOA-AMORTIZACION'!DI71</f>
        <v>545.63</v>
      </c>
      <c r="DZ173" s="659">
        <v>556.69000000000005</v>
      </c>
      <c r="EA173" s="897">
        <f>+'ANEXOA-AMORTIZACION'!DK71</f>
        <v>563.33000000000004</v>
      </c>
      <c r="EB173" s="659">
        <f>+'ANEXOA-AMORTIZACION'!DL71</f>
        <v>575.95000000000005</v>
      </c>
      <c r="EC173" s="659">
        <f>+'ANEXOA-AMORTIZACION'!DM71</f>
        <v>581.64</v>
      </c>
      <c r="ED173" s="659">
        <f>+'ANEXOA-AMORTIZACION'!DN71</f>
        <v>585.77</v>
      </c>
      <c r="EE173" s="659">
        <f>+'ANEXOA-AMORTIZACION'!DO71</f>
        <v>589</v>
      </c>
      <c r="EF173" s="659">
        <f>+'ANEXOA-AMORTIZACION'!DP71</f>
        <v>581.49</v>
      </c>
      <c r="EG173" s="659">
        <f>+'ANEXOA-AMORTIZACION'!DQ71</f>
        <v>585.5</v>
      </c>
      <c r="EH173" s="659">
        <f>+'ANEXOA-AMORTIZACION'!DR71</f>
        <v>640.61</v>
      </c>
      <c r="EI173" s="659">
        <f>+'ANEXOA-AMORTIZACION'!DS71</f>
        <v>647.26</v>
      </c>
      <c r="EJ173" s="659">
        <f>+'ANEXOA-AMORTIZACION'!DT71</f>
        <v>652.14</v>
      </c>
      <c r="EK173" s="623">
        <f>+'ANEXOA-AMORTIZACION'!DU71</f>
        <v>657.94</v>
      </c>
      <c r="EL173" s="659">
        <f>+'ANEXOA-AMORTIZACION'!DV71</f>
        <v>670.72</v>
      </c>
      <c r="EM173" s="659">
        <f>+'ANEXOA-AMORTIZACION'!DW71</f>
        <v>674.78</v>
      </c>
      <c r="EN173" s="783">
        <f>+'ANEXOA-AMORTIZACION'!DX71</f>
        <v>677.42</v>
      </c>
      <c r="EO173" s="659">
        <f>+'ANEXOA-AMORTIZACION'!DY71</f>
        <v>681.53</v>
      </c>
      <c r="EP173" s="659">
        <f>+'ANEXOA-AMORTIZACION'!DZ71</f>
        <v>688.64</v>
      </c>
      <c r="EQ173" s="659">
        <f>+'ANEXOA-AMORTIZACION'!EA71</f>
        <v>703.93</v>
      </c>
      <c r="ER173" s="659">
        <f>+'ANEXOA-AMORTIZACION'!EB71</f>
        <v>708.37</v>
      </c>
      <c r="ES173" s="659">
        <f>+'ANEXOA-AMORTIZACION'!EC71</f>
        <v>746</v>
      </c>
      <c r="ET173" s="659">
        <f>+'ANEXOA-AMORTIZACION'!ED71</f>
        <v>754.09</v>
      </c>
      <c r="EU173" s="659">
        <f>+'ANEXOA-AMORTIZACION'!EE71</f>
        <v>761.42</v>
      </c>
      <c r="EV173" s="659">
        <f>+'ANEXOA-AMORTIZACION'!EF71</f>
        <v>781.91</v>
      </c>
      <c r="EW173" s="659">
        <f>+'ANEXOA-AMORTIZACION'!EG71</f>
        <v>786.27</v>
      </c>
      <c r="EX173" s="659">
        <f>+'ANEXOA-AMORTIZACION'!EH71</f>
        <v>790.92</v>
      </c>
      <c r="EY173" s="659">
        <f>+'ANEXOA-AMORTIZACION'!EI71</f>
        <v>798.7</v>
      </c>
      <c r="EZ173" s="785" t="s">
        <v>872</v>
      </c>
      <c r="FA173" s="777" t="s">
        <v>872</v>
      </c>
      <c r="FB173" s="777" t="s">
        <v>872</v>
      </c>
      <c r="FC173" s="777" t="s">
        <v>872</v>
      </c>
      <c r="FD173" s="777" t="s">
        <v>872</v>
      </c>
      <c r="FE173" s="777" t="s">
        <v>872</v>
      </c>
      <c r="FF173" s="777" t="s">
        <v>872</v>
      </c>
      <c r="FG173" s="777" t="s">
        <v>872</v>
      </c>
      <c r="FH173" s="777" t="s">
        <v>872</v>
      </c>
      <c r="FI173" s="777" t="s">
        <v>872</v>
      </c>
      <c r="FJ173" s="777" t="s">
        <v>872</v>
      </c>
      <c r="FK173" s="898" t="s">
        <v>872</v>
      </c>
      <c r="FL173" s="1561" t="s">
        <v>872</v>
      </c>
      <c r="FM173" s="740" t="s">
        <v>872</v>
      </c>
      <c r="FN173" s="740" t="s">
        <v>872</v>
      </c>
      <c r="FO173" s="740" t="s">
        <v>872</v>
      </c>
      <c r="FP173" s="740" t="s">
        <v>872</v>
      </c>
      <c r="FQ173" s="740" t="s">
        <v>872</v>
      </c>
      <c r="FR173" s="740" t="s">
        <v>872</v>
      </c>
      <c r="FS173" s="740" t="s">
        <v>872</v>
      </c>
      <c r="FT173" s="740" t="s">
        <v>872</v>
      </c>
      <c r="FU173" s="898" t="s">
        <v>872</v>
      </c>
      <c r="FV173" s="1167"/>
    </row>
    <row r="174" spans="1:178" s="115" customFormat="1" ht="21" customHeight="1">
      <c r="A174" s="1546">
        <v>1</v>
      </c>
      <c r="B174" s="644">
        <v>211</v>
      </c>
      <c r="C174" s="645" t="s">
        <v>759</v>
      </c>
      <c r="D174" s="646" t="s">
        <v>760</v>
      </c>
      <c r="E174" s="645" t="s">
        <v>918</v>
      </c>
      <c r="F174" s="646"/>
      <c r="G174" s="645" t="s">
        <v>919</v>
      </c>
      <c r="H174" s="645"/>
      <c r="I174" s="892" t="s">
        <v>687</v>
      </c>
      <c r="J174" s="893"/>
      <c r="K174" s="877"/>
      <c r="L174" s="878"/>
      <c r="M174" s="879"/>
      <c r="N174" s="879"/>
      <c r="O174" s="879"/>
      <c r="P174" s="879"/>
      <c r="Q174" s="879"/>
      <c r="R174" s="879"/>
      <c r="S174" s="879"/>
      <c r="T174" s="879"/>
      <c r="U174" s="879"/>
      <c r="V174" s="879"/>
      <c r="W174" s="879"/>
      <c r="X174" s="879"/>
      <c r="Y174" s="879"/>
      <c r="Z174" s="879"/>
      <c r="AA174" s="879"/>
      <c r="AB174" s="879"/>
      <c r="AC174" s="879"/>
      <c r="AD174" s="879"/>
      <c r="AE174" s="879"/>
      <c r="AF174" s="879"/>
      <c r="AG174" s="879"/>
      <c r="AH174" s="879"/>
      <c r="AI174" s="880"/>
      <c r="AJ174" s="881"/>
      <c r="AK174" s="879"/>
      <c r="AL174" s="879"/>
      <c r="AM174" s="879"/>
      <c r="AN174" s="879"/>
      <c r="AO174" s="879"/>
      <c r="AP174" s="879"/>
      <c r="AQ174" s="879"/>
      <c r="AR174" s="879"/>
      <c r="AS174" s="879"/>
      <c r="AT174" s="879"/>
      <c r="AU174" s="880"/>
      <c r="AV174" s="882"/>
      <c r="AW174" s="883"/>
      <c r="AX174" s="883"/>
      <c r="AY174" s="883"/>
      <c r="AZ174" s="883"/>
      <c r="BA174" s="894"/>
      <c r="BB174" s="894"/>
      <c r="BC174" s="884"/>
      <c r="BD174" s="883"/>
      <c r="BE174" s="884"/>
      <c r="BF174" s="884"/>
      <c r="BG174" s="885"/>
      <c r="BH174" s="886"/>
      <c r="BI174" s="887"/>
      <c r="BJ174" s="887"/>
      <c r="BK174" s="887"/>
      <c r="BL174" s="887"/>
      <c r="BM174" s="887"/>
      <c r="BN174" s="887"/>
      <c r="BO174" s="887"/>
      <c r="BP174" s="887"/>
      <c r="BQ174" s="887"/>
      <c r="BR174" s="887"/>
      <c r="BS174" s="888"/>
      <c r="BT174" s="886"/>
      <c r="BU174" s="887"/>
      <c r="BV174" s="887"/>
      <c r="BW174" s="887"/>
      <c r="BX174" s="887"/>
      <c r="BY174" s="887"/>
      <c r="BZ174" s="887"/>
      <c r="CA174" s="887"/>
      <c r="CB174" s="887"/>
      <c r="CC174" s="887"/>
      <c r="CD174" s="887"/>
      <c r="CE174" s="888"/>
      <c r="CF174" s="886">
        <v>292.89999999999998</v>
      </c>
      <c r="CG174" s="887">
        <v>292.94</v>
      </c>
      <c r="CH174" s="887">
        <v>294.37</v>
      </c>
      <c r="CI174" s="887">
        <v>295.27</v>
      </c>
      <c r="CJ174" s="887">
        <v>294.26</v>
      </c>
      <c r="CK174" s="887">
        <v>292.99</v>
      </c>
      <c r="CL174" s="887">
        <v>293.77999999999997</v>
      </c>
      <c r="CM174" s="887">
        <v>301.74</v>
      </c>
      <c r="CN174" s="887">
        <v>303.58999999999997</v>
      </c>
      <c r="CO174" s="887">
        <v>311.73</v>
      </c>
      <c r="CP174" s="887">
        <v>307.27</v>
      </c>
      <c r="CQ174" s="888">
        <v>308.02999999999997</v>
      </c>
      <c r="CR174" s="886">
        <v>295.29000000000002</v>
      </c>
      <c r="CS174" s="887">
        <v>268.10000000000002</v>
      </c>
      <c r="CT174" s="887">
        <v>270.92</v>
      </c>
      <c r="CU174" s="887">
        <v>271.91000000000003</v>
      </c>
      <c r="CV174" s="887">
        <v>272.70999999999998</v>
      </c>
      <c r="CW174" s="887">
        <v>276.54000000000002</v>
      </c>
      <c r="CX174" s="887">
        <v>279.42</v>
      </c>
      <c r="CY174" s="887">
        <v>281.92</v>
      </c>
      <c r="CZ174" s="887">
        <v>282.45</v>
      </c>
      <c r="DA174" s="887">
        <v>281.87</v>
      </c>
      <c r="DB174" s="889">
        <v>281.64</v>
      </c>
      <c r="DC174" s="888">
        <v>281.52999999999997</v>
      </c>
      <c r="DD174" s="890">
        <v>282.7</v>
      </c>
      <c r="DE174" s="887">
        <v>295.43</v>
      </c>
      <c r="DF174" s="889">
        <v>284.10000000000002</v>
      </c>
      <c r="DG174" s="888">
        <v>286.88</v>
      </c>
      <c r="DH174" s="887">
        <v>287.61</v>
      </c>
      <c r="DI174" s="887">
        <v>288.45</v>
      </c>
      <c r="DJ174" s="887">
        <v>289.02999999999997</v>
      </c>
      <c r="DK174" s="888">
        <v>302.35000000000002</v>
      </c>
      <c r="DL174" s="887">
        <v>319.02</v>
      </c>
      <c r="DM174" s="888">
        <v>320.29000000000002</v>
      </c>
      <c r="DN174" s="888">
        <v>323.69</v>
      </c>
      <c r="DO174" s="968">
        <v>329.01</v>
      </c>
      <c r="DP174" s="890">
        <v>332.48</v>
      </c>
      <c r="DQ174" s="888">
        <v>332.48</v>
      </c>
      <c r="DR174" s="888">
        <v>336.07</v>
      </c>
      <c r="DS174" s="888">
        <v>338.12</v>
      </c>
      <c r="DT174" s="887">
        <v>340.67</v>
      </c>
      <c r="DU174" s="888">
        <v>344.02</v>
      </c>
      <c r="DV174" s="888">
        <v>340.09</v>
      </c>
      <c r="DW174" s="888">
        <v>343.03</v>
      </c>
      <c r="DX174" s="888">
        <v>345.25</v>
      </c>
      <c r="DY174" s="888">
        <v>347.07</v>
      </c>
      <c r="DZ174" s="888">
        <v>348.9</v>
      </c>
      <c r="EA174" s="968">
        <v>349.19</v>
      </c>
      <c r="EB174" s="888">
        <v>350.51</v>
      </c>
      <c r="EC174" s="888">
        <v>351.08</v>
      </c>
      <c r="ED174" s="888">
        <v>352.25</v>
      </c>
      <c r="EE174" s="888">
        <v>353.03</v>
      </c>
      <c r="EF174" s="888">
        <v>355.87</v>
      </c>
      <c r="EG174" s="888">
        <v>376.14</v>
      </c>
      <c r="EH174" s="888">
        <v>433.39</v>
      </c>
      <c r="EI174" s="888">
        <v>435.94</v>
      </c>
      <c r="EJ174" s="888">
        <v>438.37</v>
      </c>
      <c r="EK174" s="887">
        <v>440.73</v>
      </c>
      <c r="EL174" s="888">
        <v>453.1</v>
      </c>
      <c r="EM174" s="888">
        <v>456.9</v>
      </c>
      <c r="EN174" s="890">
        <v>478.88</v>
      </c>
      <c r="EO174" s="888">
        <v>488.01</v>
      </c>
      <c r="EP174" s="888">
        <v>491.71</v>
      </c>
      <c r="EQ174" s="888">
        <v>494.2</v>
      </c>
      <c r="ER174" s="888">
        <v>495.97</v>
      </c>
      <c r="ES174" s="659">
        <v>501.75</v>
      </c>
      <c r="ET174" s="659">
        <v>503.76</v>
      </c>
      <c r="EU174" s="659">
        <v>518.15</v>
      </c>
      <c r="EV174" s="659">
        <v>521.28</v>
      </c>
      <c r="EW174" s="659">
        <v>523.42999999999995</v>
      </c>
      <c r="EX174" s="659">
        <v>529.82000000000005</v>
      </c>
      <c r="EY174" s="659">
        <v>559.94000000000005</v>
      </c>
      <c r="EZ174" s="783">
        <v>587</v>
      </c>
      <c r="FA174" s="659">
        <v>598</v>
      </c>
      <c r="FB174" s="659">
        <v>621.73</v>
      </c>
      <c r="FC174" s="659">
        <v>667.33</v>
      </c>
      <c r="FD174" s="659">
        <v>707.41</v>
      </c>
      <c r="FE174" s="659">
        <v>708.1</v>
      </c>
      <c r="FF174" s="659">
        <v>708.1</v>
      </c>
      <c r="FG174" s="659">
        <v>708.55</v>
      </c>
      <c r="FH174" s="659">
        <v>734.1</v>
      </c>
      <c r="FI174" s="659">
        <v>735.21</v>
      </c>
      <c r="FJ174" s="659">
        <v>724.4</v>
      </c>
      <c r="FK174" s="897">
        <v>726.51</v>
      </c>
      <c r="FL174" s="660">
        <v>727.27</v>
      </c>
      <c r="FM174" s="623">
        <v>729.01</v>
      </c>
      <c r="FN174" s="623">
        <v>732.83</v>
      </c>
      <c r="FO174" s="623">
        <v>736.59</v>
      </c>
      <c r="FP174" s="623">
        <v>740.41</v>
      </c>
      <c r="FQ174" s="623">
        <v>744.97</v>
      </c>
      <c r="FR174" s="623">
        <v>753.47</v>
      </c>
      <c r="FS174" s="623">
        <v>759.63</v>
      </c>
      <c r="FT174" s="623">
        <v>763.51</v>
      </c>
      <c r="FU174" s="897">
        <v>773.44</v>
      </c>
      <c r="FV174" s="1167">
        <f t="shared" si="3"/>
        <v>1.0130057235661616</v>
      </c>
    </row>
    <row r="175" spans="1:178" s="1129" customFormat="1" ht="43.5" customHeight="1">
      <c r="A175" s="1548">
        <v>1</v>
      </c>
      <c r="B175" s="408">
        <v>212</v>
      </c>
      <c r="C175" s="621" t="s">
        <v>126</v>
      </c>
      <c r="D175" s="622" t="s">
        <v>127</v>
      </c>
      <c r="E175" s="621" t="s">
        <v>233</v>
      </c>
      <c r="F175" s="621" t="s">
        <v>234</v>
      </c>
      <c r="G175" s="621" t="s">
        <v>737</v>
      </c>
      <c r="H175" s="621" t="s">
        <v>930</v>
      </c>
      <c r="I175" s="390" t="s">
        <v>117</v>
      </c>
      <c r="J175" s="676" t="s">
        <v>851</v>
      </c>
      <c r="K175" s="669"/>
      <c r="L175" s="665"/>
      <c r="M175" s="625"/>
      <c r="N175" s="625"/>
      <c r="O175" s="625"/>
      <c r="P175" s="625"/>
      <c r="Q175" s="625"/>
      <c r="R175" s="625"/>
      <c r="S175" s="625"/>
      <c r="T175" s="625"/>
      <c r="U175" s="625"/>
      <c r="V175" s="625"/>
      <c r="W175" s="625"/>
      <c r="X175" s="625"/>
      <c r="Y175" s="625"/>
      <c r="Z175" s="625"/>
      <c r="AA175" s="625"/>
      <c r="AB175" s="625"/>
      <c r="AC175" s="625"/>
      <c r="AD175" s="625"/>
      <c r="AE175" s="625"/>
      <c r="AF175" s="625"/>
      <c r="AG175" s="625"/>
      <c r="AH175" s="625"/>
      <c r="AI175" s="764"/>
      <c r="AJ175" s="772"/>
      <c r="AK175" s="625"/>
      <c r="AL175" s="625"/>
      <c r="AM175" s="625"/>
      <c r="AN175" s="625"/>
      <c r="AO175" s="625"/>
      <c r="AP175" s="625"/>
      <c r="AQ175" s="625"/>
      <c r="AR175" s="625"/>
      <c r="AS175" s="625"/>
      <c r="AT175" s="625"/>
      <c r="AU175" s="764"/>
      <c r="AV175" s="752"/>
      <c r="AW175" s="626"/>
      <c r="AX175" s="626"/>
      <c r="AY175" s="626"/>
      <c r="AZ175" s="626"/>
      <c r="BA175" s="628"/>
      <c r="BB175" s="628"/>
      <c r="BC175" s="627"/>
      <c r="BD175" s="626"/>
      <c r="BE175" s="627"/>
      <c r="BF175" s="627"/>
      <c r="BG175" s="738"/>
      <c r="BH175" s="660"/>
      <c r="BI175" s="623"/>
      <c r="BJ175" s="623"/>
      <c r="BK175" s="623"/>
      <c r="BL175" s="623"/>
      <c r="BM175" s="623"/>
      <c r="BN175" s="623"/>
      <c r="BO175" s="623"/>
      <c r="BP175" s="623"/>
      <c r="BQ175" s="623"/>
      <c r="BR175" s="623"/>
      <c r="BS175" s="659"/>
      <c r="BT175" s="660"/>
      <c r="BU175" s="623"/>
      <c r="BV175" s="623"/>
      <c r="BW175" s="623"/>
      <c r="BX175" s="623"/>
      <c r="BY175" s="623"/>
      <c r="BZ175" s="623"/>
      <c r="CA175" s="623"/>
      <c r="CB175" s="623"/>
      <c r="CC175" s="623"/>
      <c r="CD175" s="623"/>
      <c r="CE175" s="659"/>
      <c r="CF175" s="660"/>
      <c r="CG175" s="623"/>
      <c r="CH175" s="623"/>
      <c r="CI175" s="623"/>
      <c r="CJ175" s="623"/>
      <c r="CK175" s="623"/>
      <c r="CL175" s="623">
        <v>34.11</v>
      </c>
      <c r="CM175" s="623">
        <v>34.11</v>
      </c>
      <c r="CN175" s="623">
        <v>34.11</v>
      </c>
      <c r="CO175" s="623">
        <f>34.11</f>
        <v>34.11</v>
      </c>
      <c r="CP175" s="623">
        <f>34.11</f>
        <v>34.11</v>
      </c>
      <c r="CQ175" s="659">
        <f t="shared" ref="CQ175:CV175" si="4">36.5</f>
        <v>36.5</v>
      </c>
      <c r="CR175" s="660">
        <f t="shared" si="4"/>
        <v>36.5</v>
      </c>
      <c r="CS175" s="623">
        <f t="shared" si="4"/>
        <v>36.5</v>
      </c>
      <c r="CT175" s="623">
        <f t="shared" si="4"/>
        <v>36.5</v>
      </c>
      <c r="CU175" s="623">
        <f t="shared" si="4"/>
        <v>36.5</v>
      </c>
      <c r="CV175" s="623">
        <f t="shared" si="4"/>
        <v>36.5</v>
      </c>
      <c r="CW175" s="623">
        <f t="shared" ref="CW175:DB175" si="5">38.27</f>
        <v>38.270000000000003</v>
      </c>
      <c r="CX175" s="623">
        <f t="shared" si="5"/>
        <v>38.270000000000003</v>
      </c>
      <c r="CY175" s="623">
        <f t="shared" si="5"/>
        <v>38.270000000000003</v>
      </c>
      <c r="CZ175" s="623">
        <f t="shared" si="5"/>
        <v>38.270000000000003</v>
      </c>
      <c r="DA175" s="623">
        <f t="shared" si="5"/>
        <v>38.270000000000003</v>
      </c>
      <c r="DB175" s="725">
        <f t="shared" si="5"/>
        <v>38.270000000000003</v>
      </c>
      <c r="DC175" s="659">
        <f t="shared" ref="DC175:DJ175" si="6">42.59</f>
        <v>42.59</v>
      </c>
      <c r="DD175" s="783">
        <f t="shared" si="6"/>
        <v>42.59</v>
      </c>
      <c r="DE175" s="623">
        <f t="shared" si="6"/>
        <v>42.59</v>
      </c>
      <c r="DF175" s="725">
        <f t="shared" si="6"/>
        <v>42.59</v>
      </c>
      <c r="DG175" s="659">
        <f t="shared" si="6"/>
        <v>42.59</v>
      </c>
      <c r="DH175" s="623">
        <f t="shared" si="6"/>
        <v>42.59</v>
      </c>
      <c r="DI175" s="623">
        <f t="shared" si="6"/>
        <v>42.59</v>
      </c>
      <c r="DJ175" s="623">
        <f t="shared" si="6"/>
        <v>42.59</v>
      </c>
      <c r="DK175" s="659">
        <f>48</f>
        <v>48</v>
      </c>
      <c r="DL175" s="623">
        <f>48</f>
        <v>48</v>
      </c>
      <c r="DM175" s="659">
        <f>50</f>
        <v>50</v>
      </c>
      <c r="DN175" s="659">
        <f>50</f>
        <v>50</v>
      </c>
      <c r="DO175" s="897">
        <f>51.5</f>
        <v>51.5</v>
      </c>
      <c r="DP175" s="783">
        <f>51.5</f>
        <v>51.5</v>
      </c>
      <c r="DQ175" s="659">
        <f>51.5</f>
        <v>51.5</v>
      </c>
      <c r="DR175" s="659">
        <f>52.68</f>
        <v>52.68</v>
      </c>
      <c r="DS175" s="659">
        <f>52.68</f>
        <v>52.68</v>
      </c>
      <c r="DT175" s="623">
        <f>56.77</f>
        <v>56.77</v>
      </c>
      <c r="DU175" s="659">
        <v>56.77</v>
      </c>
      <c r="DV175" s="659">
        <f>59.46</f>
        <v>59.46</v>
      </c>
      <c r="DW175" s="659">
        <f>59.46</f>
        <v>59.46</v>
      </c>
      <c r="DX175" s="659">
        <f>59.46</f>
        <v>59.46</v>
      </c>
      <c r="DY175" s="659">
        <f>59.46</f>
        <v>59.46</v>
      </c>
      <c r="DZ175" s="659">
        <f>64.78</f>
        <v>64.78</v>
      </c>
      <c r="EA175" s="897">
        <f>64.78</f>
        <v>64.78</v>
      </c>
      <c r="EB175" s="659">
        <v>64.78</v>
      </c>
      <c r="EC175" s="659">
        <v>64.78</v>
      </c>
      <c r="ED175" s="659">
        <v>68.75</v>
      </c>
      <c r="EE175" s="659">
        <v>68.75</v>
      </c>
      <c r="EF175" s="659">
        <v>68.75</v>
      </c>
      <c r="EG175" s="659">
        <v>68.75</v>
      </c>
      <c r="EH175" s="659">
        <v>68.75</v>
      </c>
      <c r="EI175" s="659">
        <v>68.75</v>
      </c>
      <c r="EJ175" s="659">
        <v>72.89</v>
      </c>
      <c r="EK175" s="623">
        <v>73.87</v>
      </c>
      <c r="EL175" s="659">
        <v>73.87</v>
      </c>
      <c r="EM175" s="659">
        <v>73.87</v>
      </c>
      <c r="EN175" s="783">
        <v>73.87</v>
      </c>
      <c r="EO175" s="659">
        <v>77.34</v>
      </c>
      <c r="EP175" s="659">
        <v>77.34</v>
      </c>
      <c r="EQ175" s="659">
        <v>77.34</v>
      </c>
      <c r="ER175" s="659">
        <v>77.34</v>
      </c>
      <c r="ES175" s="659">
        <v>80.099999999999994</v>
      </c>
      <c r="ET175" s="659">
        <v>80.099999999999994</v>
      </c>
      <c r="EU175" s="659">
        <v>80.099999999999994</v>
      </c>
      <c r="EV175" s="659">
        <v>80.099999999999994</v>
      </c>
      <c r="EW175" s="659">
        <v>80.099999999999994</v>
      </c>
      <c r="EX175" s="659">
        <v>80.099999999999994</v>
      </c>
      <c r="EY175" s="659">
        <v>102.98</v>
      </c>
      <c r="EZ175" s="783">
        <v>102.98</v>
      </c>
      <c r="FA175" s="659">
        <v>102.98</v>
      </c>
      <c r="FB175" s="659">
        <v>124.68</v>
      </c>
      <c r="FC175" s="659">
        <v>124.68</v>
      </c>
      <c r="FD175" s="1526">
        <v>124.58</v>
      </c>
      <c r="FE175" s="1526">
        <v>125.81</v>
      </c>
      <c r="FF175" s="1526">
        <v>125.61</v>
      </c>
      <c r="FG175" s="659">
        <v>141.5</v>
      </c>
      <c r="FH175" s="659">
        <v>145.74</v>
      </c>
      <c r="FI175" s="659">
        <v>145.74</v>
      </c>
      <c r="FJ175" s="659">
        <v>145.74</v>
      </c>
      <c r="FK175" s="897">
        <v>145.74</v>
      </c>
      <c r="FL175" s="660">
        <v>145.74</v>
      </c>
      <c r="FM175" s="623">
        <v>145.74</v>
      </c>
      <c r="FN175" s="623">
        <v>145.74</v>
      </c>
      <c r="FO175" s="623">
        <v>152.25</v>
      </c>
      <c r="FP175" s="623">
        <v>152.25</v>
      </c>
      <c r="FQ175" s="623">
        <v>152.25</v>
      </c>
      <c r="FR175" s="623">
        <v>152.25</v>
      </c>
      <c r="FS175" s="623">
        <v>158.34</v>
      </c>
      <c r="FT175" s="623">
        <v>166.26</v>
      </c>
      <c r="FU175" s="897">
        <v>166.26</v>
      </c>
      <c r="FV175" s="1167">
        <f t="shared" si="3"/>
        <v>1</v>
      </c>
    </row>
    <row r="176" spans="1:178" s="115" customFormat="1" ht="34.5" customHeight="1">
      <c r="A176" s="1546">
        <v>1</v>
      </c>
      <c r="B176" s="408">
        <v>221</v>
      </c>
      <c r="C176" s="621"/>
      <c r="D176" s="622" t="s">
        <v>873</v>
      </c>
      <c r="E176" s="621" t="s">
        <v>918</v>
      </c>
      <c r="F176" s="622"/>
      <c r="G176" s="621" t="s">
        <v>336</v>
      </c>
      <c r="H176" s="621"/>
      <c r="I176" s="631" t="s">
        <v>432</v>
      </c>
      <c r="J176" s="676" t="s">
        <v>434</v>
      </c>
      <c r="K176" s="669">
        <v>100</v>
      </c>
      <c r="L176" s="665">
        <f>+'ANEXOA-MODIFICADO'!D371</f>
        <v>106.95</v>
      </c>
      <c r="M176" s="625">
        <f>+'ANEXOA-MODIFICADO'!E371</f>
        <v>107.7</v>
      </c>
      <c r="N176" s="625">
        <f>+'ANEXOA-MODIFICADO'!F371</f>
        <v>108.45</v>
      </c>
      <c r="O176" s="625">
        <f>+'ANEXOA-MODIFICADO'!G371</f>
        <v>152.11000000000001</v>
      </c>
      <c r="P176" s="625">
        <f>+'ANEXOA-MODIFICADO'!H371</f>
        <v>177.42</v>
      </c>
      <c r="Q176" s="625">
        <f>+'ANEXOA-MODIFICADO'!I371</f>
        <v>201.2</v>
      </c>
      <c r="R176" s="625">
        <f>+'ANEXOA-MODIFICADO'!J371</f>
        <v>206.56</v>
      </c>
      <c r="S176" s="625">
        <f>+'ANEXOA-MODIFICADO'!K371</f>
        <v>206.81</v>
      </c>
      <c r="T176" s="625">
        <f>+'ANEXOA-MODIFICADO'!L371</f>
        <v>206.23</v>
      </c>
      <c r="U176" s="625">
        <f>+'ANEXOA-MODIFICADO'!M371</f>
        <v>209.81</v>
      </c>
      <c r="V176" s="625">
        <f>+'ANEXOA-MODIFICADO'!N371</f>
        <v>209.93</v>
      </c>
      <c r="W176" s="625">
        <f>+'ANEXOA-MODIFICADO'!O371</f>
        <v>210.93</v>
      </c>
      <c r="X176" s="625">
        <f>+'ANEXOA-MODIFICADO'!D377</f>
        <v>204.96</v>
      </c>
      <c r="Y176" s="625">
        <f>+'ANEXOA-MODIFICADO'!E377</f>
        <v>203.25</v>
      </c>
      <c r="Z176" s="625">
        <f>+'ANEXOA-MODIFICADO'!F377</f>
        <v>202.15</v>
      </c>
      <c r="AA176" s="625">
        <f>+'ANEXOA-MODIFICADO'!G377</f>
        <v>200.5</v>
      </c>
      <c r="AB176" s="625">
        <f>+'ANEXOA-MODIFICADO'!H377</f>
        <v>198.52</v>
      </c>
      <c r="AC176" s="625">
        <f>+'ANEXOA-MODIFICADO'!I377</f>
        <v>199.59</v>
      </c>
      <c r="AD176" s="625">
        <f>+'ANEXOA-MODIFICADO'!J377</f>
        <v>200.97</v>
      </c>
      <c r="AE176" s="625">
        <f>+'ANEXOA-MODIFICADO'!K377</f>
        <v>203.74</v>
      </c>
      <c r="AF176" s="625">
        <f>+'ANEXOA-MODIFICADO'!L377</f>
        <v>202.12</v>
      </c>
      <c r="AG176" s="625">
        <f>+'ANEXOA-MODIFICADO'!M377</f>
        <v>201.73</v>
      </c>
      <c r="AH176" s="625">
        <f>+'ANEXOA-MODIFICADO'!N377</f>
        <v>202.19</v>
      </c>
      <c r="AI176" s="764">
        <f>+'ANEXOA-MODIFICADO'!O377</f>
        <v>206.43</v>
      </c>
      <c r="AJ176" s="772">
        <f>+'ANEXOA-MODIFICADO'!D383</f>
        <v>207.76</v>
      </c>
      <c r="AK176" s="625">
        <f>+'ANEXOA-MODIFICADO'!E383</f>
        <v>212.22</v>
      </c>
      <c r="AL176" s="625">
        <f>+'ANEXOA-MODIFICADO'!F383</f>
        <v>217.73</v>
      </c>
      <c r="AM176" s="625">
        <f>+'ANEXOA-MODIFICADO'!G383</f>
        <v>218.98</v>
      </c>
      <c r="AN176" s="625">
        <f>+'ANEXOA-MODIFICADO'!H383</f>
        <v>224.86</v>
      </c>
      <c r="AO176" s="625">
        <f>+'ANEXOA-MODIFICADO'!I383</f>
        <v>227.2</v>
      </c>
      <c r="AP176" s="625">
        <f>+'ANEXOA-MODIFICADO'!J383</f>
        <v>227.69</v>
      </c>
      <c r="AQ176" s="625">
        <f>+'ANEXOA-MODIFICADO'!K383</f>
        <v>230.61</v>
      </c>
      <c r="AR176" s="625">
        <f>+'ANEXOA-MODIFICADO'!L383</f>
        <v>231.13</v>
      </c>
      <c r="AS176" s="625">
        <f>+'ANEXOA-MODIFICADO'!M383</f>
        <v>231.66</v>
      </c>
      <c r="AT176" s="625">
        <f>+'ANEXOA-MODIFICADO'!N383</f>
        <v>231.77</v>
      </c>
      <c r="AU176" s="764">
        <f>+'ANEXOA-MODIFICADO'!O383</f>
        <v>234.27</v>
      </c>
      <c r="AV176" s="752">
        <f>+'ANEXOA-MODIFICADO'!D389</f>
        <v>210.88</v>
      </c>
      <c r="AW176" s="626">
        <f>+'ANEXOA-MODIFICADO'!E389</f>
        <v>244.75</v>
      </c>
      <c r="AX176" s="626">
        <f>+'ANEXOA-MODIFICADO'!F389</f>
        <v>245.85</v>
      </c>
      <c r="AY176" s="626">
        <f>+'ANEXOA-MODIFICADO'!G389</f>
        <v>245.73</v>
      </c>
      <c r="AZ176" s="626">
        <f>+'ANEXOA-MODIFICADO'!H389</f>
        <v>246.67</v>
      </c>
      <c r="BA176" s="626">
        <f>+'ANEXOA-MODIFICADO'!I389</f>
        <v>247.2</v>
      </c>
      <c r="BB176" s="626">
        <f>+'ANEXOA-MODIFICADO'!J389</f>
        <v>248.76</v>
      </c>
      <c r="BC176" s="626">
        <f>+'ANEXOA-MODIFICADO'!K389</f>
        <v>250.77</v>
      </c>
      <c r="BD176" s="626">
        <f>+'ANEXOA-MODIFICADO'!L389</f>
        <v>255.07</v>
      </c>
      <c r="BE176" s="626">
        <f>+'ANEXOA-MODIFICADO'!M389</f>
        <v>257.17</v>
      </c>
      <c r="BF176" s="635">
        <f>+'ANEXOA-MODIFICADO'!N389</f>
        <v>257.77</v>
      </c>
      <c r="BG176" s="759">
        <f>+'ANEXOA-MODIFICADO'!O389</f>
        <v>261.87</v>
      </c>
      <c r="BH176" s="660">
        <f>+'ANEXOA-MODIFICADO'!D395</f>
        <v>264.17</v>
      </c>
      <c r="BI176" s="623">
        <f>+'ANEXOA-MODIFICADO'!E395</f>
        <v>266.12</v>
      </c>
      <c r="BJ176" s="623">
        <f>+'ANEXOA-MODIFICADO'!F395</f>
        <v>268.56</v>
      </c>
      <c r="BK176" s="623">
        <f>+'ANEXOA-MODIFICADO'!G395</f>
        <v>269.23</v>
      </c>
      <c r="BL176" s="623">
        <f>+'ANEXOA-MODIFICADO'!H395</f>
        <v>269.91000000000003</v>
      </c>
      <c r="BM176" s="623">
        <f>+'ANEXOA-MODIFICADO'!I395</f>
        <v>273.51</v>
      </c>
      <c r="BN176" s="623">
        <f>+'ANEXOA-MODIFICADO'!J395</f>
        <v>277.93</v>
      </c>
      <c r="BO176" s="623">
        <f>+'ANEXOA-MODIFICADO'!K395</f>
        <v>281.19</v>
      </c>
      <c r="BP176" s="623">
        <f>+'ANEXOA-MODIFICADO'!L395</f>
        <v>283.33999999999997</v>
      </c>
      <c r="BQ176" s="623">
        <f>+'ANEXOA-MODIFICADO'!M395</f>
        <v>285.17</v>
      </c>
      <c r="BR176" s="623">
        <f>+'ANEXOA-MODIFICADO'!N395</f>
        <v>284.43</v>
      </c>
      <c r="BS176" s="659">
        <f>+'ANEXOA-MODIFICADO'!O395</f>
        <v>285.69</v>
      </c>
      <c r="BT176" s="660">
        <f>+'ANEXOA-MODIFICADO'!D401</f>
        <v>285.86</v>
      </c>
      <c r="BU176" s="623">
        <f>+'ANEXOA-MODIFICADO'!E401</f>
        <v>288.51</v>
      </c>
      <c r="BV176" s="623">
        <f>+'ANEXOA-MODIFICADO'!F401</f>
        <v>289.39</v>
      </c>
      <c r="BW176" s="623">
        <f>+'ANEXOA-MODIFICADO'!G401</f>
        <v>292.55</v>
      </c>
      <c r="BX176" s="623">
        <f>+'ANEXOA-MODIFICADO'!H401</f>
        <v>296.19</v>
      </c>
      <c r="BY176" s="623">
        <f>+'ANEXOA-MODIFICADO'!I401</f>
        <v>298.33</v>
      </c>
      <c r="BZ176" s="623">
        <f>+'ANEXOA-MODIFICADO'!J401</f>
        <v>301.55</v>
      </c>
      <c r="CA176" s="623">
        <f>+'ANEXOA-MODIFICADO'!K401</f>
        <v>309.32</v>
      </c>
      <c r="CB176" s="623">
        <f>+'ANEXOA-MODIFICADO'!L401</f>
        <v>312.04000000000002</v>
      </c>
      <c r="CC176" s="623">
        <v>316.22000000000003</v>
      </c>
      <c r="CD176" s="623">
        <f>+'ANEXOA-MODIFICADO'!N401</f>
        <v>320.13</v>
      </c>
      <c r="CE176" s="659">
        <f>+'ANEXOA-MODIFICADO'!O401</f>
        <v>324.36</v>
      </c>
      <c r="CF176" s="660">
        <f>+'ANEXOA-MODIFICADO'!D407</f>
        <v>334.34</v>
      </c>
      <c r="CG176" s="623">
        <f>+'ANEXOA-MODIFICADO'!E407</f>
        <v>335.32</v>
      </c>
      <c r="CH176" s="623">
        <f>+'ANEXOA-MODIFICADO'!F407</f>
        <v>341.37</v>
      </c>
      <c r="CI176" s="623">
        <f>+'ANEXOA-MODIFICADO'!G407</f>
        <v>345.57</v>
      </c>
      <c r="CJ176" s="623">
        <f>+'ANEXOA-MODIFICADO'!H407</f>
        <v>348.69</v>
      </c>
      <c r="CK176" s="623">
        <f>+'ANEXOA-MODIFICADO'!I407</f>
        <v>353.86</v>
      </c>
      <c r="CL176" s="623">
        <f>+'ANEXOA-MODIFICADO'!J407</f>
        <v>358.99</v>
      </c>
      <c r="CM176" s="623">
        <f>+'ANEXOA-MODIFICADO'!K407</f>
        <v>364.2</v>
      </c>
      <c r="CN176" s="623">
        <f>+'ANEXOA-MODIFICADO'!L407</f>
        <v>369.4</v>
      </c>
      <c r="CO176" s="623">
        <f>+'ANEXOA-MODIFICADO'!M407</f>
        <v>373.73</v>
      </c>
      <c r="CP176" s="623">
        <f>+'ANEXOA-MODIFICADO'!N407</f>
        <v>379.24</v>
      </c>
      <c r="CQ176" s="659">
        <f>+'ANEXOA-MODIFICADO'!O407</f>
        <v>381.48</v>
      </c>
      <c r="CR176" s="660">
        <f>'ANEXOA-MODIFICADO'!D413</f>
        <v>384.48</v>
      </c>
      <c r="CS176" s="623">
        <f>'ANEXOA-MODIFICADO'!E413</f>
        <v>385.84</v>
      </c>
      <c r="CT176" s="623">
        <f>'ANEXOA-MODIFICADO'!F413</f>
        <v>388.64</v>
      </c>
      <c r="CU176" s="623">
        <f>'ANEXOA-MODIFICADO'!G413</f>
        <v>390.67</v>
      </c>
      <c r="CV176" s="623">
        <f>'ANEXOA-MODIFICADO'!H413</f>
        <v>393.57</v>
      </c>
      <c r="CW176" s="623">
        <f>'ANEXOA-MODIFICADO'!I413</f>
        <v>395.24</v>
      </c>
      <c r="CX176" s="623">
        <f>'ANEXOA-MODIFICADO'!J413</f>
        <v>397.65</v>
      </c>
      <c r="CY176" s="623">
        <f>'ANEXOA-MODIFICADO'!K413</f>
        <v>404.51</v>
      </c>
      <c r="CZ176" s="623">
        <f>'ANEXOA-MODIFICADO'!L413</f>
        <v>408.01</v>
      </c>
      <c r="DA176" s="623">
        <f>'ANEXOA-MODIFICADO'!M413</f>
        <v>409.55</v>
      </c>
      <c r="DB176" s="659">
        <f>'ANEXOA-MODIFICADO'!N413</f>
        <v>411.82</v>
      </c>
      <c r="DC176" s="659">
        <f>'ANEXOA-MODIFICADO'!O413</f>
        <v>412.89</v>
      </c>
      <c r="DD176" s="783">
        <f>+'ANEXOA-MODIFICADO'!D419</f>
        <v>413.74</v>
      </c>
      <c r="DE176" s="623">
        <f>+'ANEXOA-MODIFICADO'!E419</f>
        <v>420.98</v>
      </c>
      <c r="DF176" s="725">
        <f>+'ANEXOA-MODIFICADO'!F419</f>
        <v>429.56</v>
      </c>
      <c r="DG176" s="659">
        <f>+'ANEXOA-MODIFICADO'!G419</f>
        <v>438.05</v>
      </c>
      <c r="DH176" s="623">
        <f>+'ANEXOA-MODIFICADO'!H419</f>
        <v>442.28</v>
      </c>
      <c r="DI176" s="623">
        <f>+'ANEXOA-MODIFICADO'!I419</f>
        <v>447.41</v>
      </c>
      <c r="DJ176" s="623">
        <f>+'ANEXOA-MODIFICADO'!J419</f>
        <v>453.88</v>
      </c>
      <c r="DK176" s="659">
        <f>+'ANEXOA-MODIFICADO'!K419</f>
        <v>460.09</v>
      </c>
      <c r="DL176" s="623">
        <f>+'ANEXOA-MODIFICADO'!L419</f>
        <v>465.16</v>
      </c>
      <c r="DM176" s="659">
        <f>+'ANEXOA-MODIFICADO'!M419</f>
        <v>470.56</v>
      </c>
      <c r="DN176" s="659">
        <f>+'ANEXOA-MODIFICADO'!N419</f>
        <v>480.42</v>
      </c>
      <c r="DO176" s="897">
        <f>+'ANEXOA-MODIFICADO'!O419</f>
        <v>489.71</v>
      </c>
      <c r="DP176" s="783">
        <f>+'ANEXOA-MODIFICADO'!D425</f>
        <v>492.89</v>
      </c>
      <c r="DQ176" s="659">
        <f>+'ANEXOA-MODIFICADO'!E425</f>
        <v>496.8</v>
      </c>
      <c r="DR176" s="659">
        <f>+'ANEXOA-MODIFICADO'!F425</f>
        <v>506</v>
      </c>
      <c r="DS176" s="659">
        <f>+'ANEXOA-MODIFICADO'!G425</f>
        <v>518.59</v>
      </c>
      <c r="DT176" s="623">
        <f>+'ANEXOA-MODIFICADO'!H425</f>
        <v>523.44000000000005</v>
      </c>
      <c r="DU176" s="659">
        <f>+'ANEXOA-MODIFICADO'!I425</f>
        <v>536.30999999999995</v>
      </c>
      <c r="DV176" s="659">
        <f>+'ANEXOA-MODIFICADO'!J425</f>
        <v>556.1</v>
      </c>
      <c r="DW176" s="659">
        <f>+'ANEXOA-MODIFICADO'!K425</f>
        <v>559.92999999999995</v>
      </c>
      <c r="DX176" s="659">
        <f>+'ANEXOA-MODIFICADO'!L425</f>
        <v>569.12</v>
      </c>
      <c r="DY176" s="659">
        <f>+'ANEXOA-MODIFICADO'!M425</f>
        <v>580.1</v>
      </c>
      <c r="DZ176" s="659">
        <v>588.07000000000005</v>
      </c>
      <c r="EA176" s="897">
        <f>+'ANEXOA-MODIFICADO'!O425</f>
        <v>594.29999999999995</v>
      </c>
      <c r="EB176" s="659">
        <f>+'ANEXOA-MODIFICADO'!D431</f>
        <v>594.77</v>
      </c>
      <c r="EC176" s="659">
        <f>+'ANEXOA-MODIFICADO'!E431</f>
        <v>606.20000000000005</v>
      </c>
      <c r="ED176" s="659">
        <f>+'ANEXOA-MODIFICADO'!F431</f>
        <v>617.58000000000004</v>
      </c>
      <c r="EE176" s="659">
        <f>+'ANEXOA-MODIFICADO'!G431</f>
        <v>622.51</v>
      </c>
      <c r="EF176" s="659">
        <f>+'ANEXOA-MODIFICADO'!H431</f>
        <v>627.69000000000005</v>
      </c>
      <c r="EG176" s="659">
        <f>+'ANEXOA-MODIFICADO'!I431</f>
        <v>632.13</v>
      </c>
      <c r="EH176" s="659">
        <f>+'ANEXOA-MODIFICADO'!J431</f>
        <v>642.23</v>
      </c>
      <c r="EI176" s="659">
        <f>+'ANEXOA-MODIFICADO'!K431</f>
        <v>649.03</v>
      </c>
      <c r="EJ176" s="659">
        <f>+'ANEXOA-MODIFICADO'!L431</f>
        <v>663.14</v>
      </c>
      <c r="EK176" s="623">
        <f>+'ANEXOA-MODIFICADO'!M431</f>
        <v>668.84</v>
      </c>
      <c r="EL176" s="659">
        <f>+'ANEXOA-MODIFICADO'!N431</f>
        <v>680.38</v>
      </c>
      <c r="EM176" s="659">
        <f>+'ANEXOA-MODIFICADO'!O431</f>
        <v>686.96</v>
      </c>
      <c r="EN176" s="783">
        <f>+'ANEXOA-MODIFICADO'!D437</f>
        <v>698.58</v>
      </c>
      <c r="EO176" s="659">
        <f>+'ANEXOA-MODIFICADO'!E437</f>
        <v>707.98</v>
      </c>
      <c r="EP176" s="659">
        <f>+'ANEXOA-MODIFICADO'!F437</f>
        <v>716.6</v>
      </c>
      <c r="EQ176" s="659">
        <f>+'ANEXOA-MODIFICADO'!G437</f>
        <v>729.18</v>
      </c>
      <c r="ER176" s="659">
        <f>+'ANEXOA-MODIFICADO'!H437</f>
        <v>740.55</v>
      </c>
      <c r="ES176" s="659">
        <f>+'ANEXOA-MODIFICADO'!I437</f>
        <v>758.12</v>
      </c>
      <c r="ET176" s="659">
        <f>+'ANEXOA-MODIFICADO'!J437</f>
        <v>773.5</v>
      </c>
      <c r="EU176" s="659">
        <f>+'ANEXOA-MODIFICADO'!K437</f>
        <v>783.05</v>
      </c>
      <c r="EV176" s="659">
        <f>+'ANEXOA-MODIFICADO'!L437</f>
        <v>798.42</v>
      </c>
      <c r="EW176" s="659">
        <f>+'ANEXOA-MODIFICADO'!M437</f>
        <v>807.2</v>
      </c>
      <c r="EX176" s="659">
        <f>+'ANEXOA-MODIFICADO'!N437</f>
        <v>820.04</v>
      </c>
      <c r="EY176" s="659">
        <f>+'ANEXOA-MODIFICADO'!O437</f>
        <v>831.39</v>
      </c>
      <c r="EZ176" s="783">
        <f>+'ANEXOA-MODIFICADO'!D443</f>
        <v>871.59</v>
      </c>
      <c r="FA176" s="659">
        <f>+'ANEXOA-MODIFICADO'!E443</f>
        <v>929.95</v>
      </c>
      <c r="FB176" s="659">
        <f>+'ANEXOA-MODIFICADO'!F443</f>
        <v>967.2</v>
      </c>
      <c r="FC176" s="659">
        <f>+'ANEXOA-MODIFICADO'!G443</f>
        <v>990.09</v>
      </c>
      <c r="FD176" s="659">
        <f>+'ANEXOA-MODIFICADO'!H443</f>
        <v>1008.38</v>
      </c>
      <c r="FE176" s="659">
        <f>+'ANEXOA-MODIFICADO'!I443</f>
        <v>1026.3900000000001</v>
      </c>
      <c r="FF176" s="659">
        <f>+'ANEXOA-MODIFICADO'!J443</f>
        <v>1044.92</v>
      </c>
      <c r="FG176" s="659">
        <f>+'ANEXOA-MODIFICADO'!K443</f>
        <v>1053.82</v>
      </c>
      <c r="FH176" s="659">
        <f>+'ANEXOA-MODIFICADO'!L443</f>
        <v>1062.6199999999999</v>
      </c>
      <c r="FI176" s="659">
        <f>+'ANEXOA-MODIFICADO'!M443</f>
        <v>1079.26</v>
      </c>
      <c r="FJ176" s="659">
        <f>+'ANEXOA-MODIFICADO'!N443</f>
        <v>1088.3499999999999</v>
      </c>
      <c r="FK176" s="897">
        <f>+'ANEXOA-MODIFICADO'!O443</f>
        <v>1106.46</v>
      </c>
      <c r="FL176" s="660">
        <f>+'ANEXOA-MODIFICADO'!D449</f>
        <v>1121.1400000000001</v>
      </c>
      <c r="FM176" s="623">
        <f>+'ANEXOA-MODIFICADO'!E449</f>
        <v>1121.8800000000001</v>
      </c>
      <c r="FN176" s="623">
        <f>+'ANEXOA-MODIFICADO'!F449</f>
        <v>1149.19</v>
      </c>
      <c r="FO176" s="623">
        <f>+'ANEXOA-MODIFICADO'!G449</f>
        <v>1162.3499999999999</v>
      </c>
      <c r="FP176" s="623">
        <f>+'ANEXOA-MODIFICADO'!H449</f>
        <v>1167.45</v>
      </c>
      <c r="FQ176" s="623">
        <f>+'ANEXOA-MODIFICADO'!I449</f>
        <v>1181.23</v>
      </c>
      <c r="FR176" s="623">
        <f>+'ANEXOA-MODIFICADO'!J449</f>
        <v>1198.26</v>
      </c>
      <c r="FS176" s="623">
        <f>+'ANEXOA-MODIFICADO'!K449</f>
        <v>1228.3399999999999</v>
      </c>
      <c r="FT176" s="623">
        <f>+'ANEXOA-MODIFICADO'!L449</f>
        <v>1242.52</v>
      </c>
      <c r="FU176" s="897">
        <f>+'ANEXOA-MODIFICADO'!M449</f>
        <v>1262.28</v>
      </c>
      <c r="FV176" s="1167">
        <f t="shared" si="3"/>
        <v>1.015903164536587</v>
      </c>
    </row>
    <row r="177" spans="1:178" s="115" customFormat="1" ht="36" customHeight="1">
      <c r="A177" s="1546">
        <v>1</v>
      </c>
      <c r="B177" s="613">
        <v>222</v>
      </c>
      <c r="C177" s="614"/>
      <c r="D177" s="615" t="s">
        <v>874</v>
      </c>
      <c r="E177" s="614" t="s">
        <v>918</v>
      </c>
      <c r="F177" s="615"/>
      <c r="G177" s="621" t="s">
        <v>336</v>
      </c>
      <c r="H177" s="614" t="s">
        <v>229</v>
      </c>
      <c r="I177" s="647" t="s">
        <v>433</v>
      </c>
      <c r="J177" s="679" t="s">
        <v>435</v>
      </c>
      <c r="K177" s="671">
        <v>100</v>
      </c>
      <c r="L177" s="667">
        <f>+'ANEXOA-MODIFICADO'!D15</f>
        <v>111.26</v>
      </c>
      <c r="M177" s="618">
        <f>+'ANEXOA-MODIFICADO'!E15</f>
        <v>142.68</v>
      </c>
      <c r="N177" s="618">
        <f>+'ANEXOA-MODIFICADO'!F15</f>
        <v>174.1</v>
      </c>
      <c r="O177" s="618">
        <f>+'ANEXOA-MODIFICADO'!G15</f>
        <v>203.83</v>
      </c>
      <c r="P177" s="618">
        <f>+'ANEXOA-MODIFICADO'!H15</f>
        <v>268.83999999999997</v>
      </c>
      <c r="Q177" s="618">
        <f>+'ANEXOA-MODIFICADO'!I15</f>
        <v>287.95</v>
      </c>
      <c r="R177" s="618">
        <f>+'ANEXOA-MODIFICADO'!J15</f>
        <v>292.98</v>
      </c>
      <c r="S177" s="618">
        <f>+'ANEXOA-MODIFICADO'!K15</f>
        <v>315.58999999999997</v>
      </c>
      <c r="T177" s="618">
        <f>+'ANEXOA-MODIFICADO'!L15</f>
        <v>310.33999999999997</v>
      </c>
      <c r="U177" s="618">
        <f>+'ANEXOA-MODIFICADO'!M15</f>
        <v>311.52999999999997</v>
      </c>
      <c r="V177" s="618">
        <f>+'ANEXOA-MODIFICADO'!N15</f>
        <v>287.05</v>
      </c>
      <c r="W177" s="618">
        <f>+'ANEXOA-MODIFICADO'!O15</f>
        <v>283.47000000000003</v>
      </c>
      <c r="X177" s="618">
        <f>+'ANEXOA-MODIFICADO'!D23</f>
        <v>270.45999999999998</v>
      </c>
      <c r="Y177" s="618">
        <f>+'ANEXOA-MODIFICADO'!E23</f>
        <v>267.06</v>
      </c>
      <c r="Z177" s="618">
        <f>+'ANEXOA-MODIFICADO'!F23</f>
        <v>251.92</v>
      </c>
      <c r="AA177" s="618">
        <f>+'ANEXOA-MODIFICADO'!G23</f>
        <v>240.1</v>
      </c>
      <c r="AB177" s="618">
        <f>+'ANEXOA-MODIFICADO'!H23</f>
        <v>231.79</v>
      </c>
      <c r="AC177" s="618">
        <f>+'ANEXOA-MODIFICADO'!I23</f>
        <v>229.73</v>
      </c>
      <c r="AD177" s="618">
        <f>+'ANEXOA-MODIFICADO'!J23</f>
        <v>224.3</v>
      </c>
      <c r="AE177" s="618">
        <f>+'ANEXOA-MODIFICADO'!K23</f>
        <v>230.57</v>
      </c>
      <c r="AF177" s="618">
        <f>+'ANEXOA-MODIFICADO'!L23</f>
        <v>230.71</v>
      </c>
      <c r="AG177" s="618">
        <f>+'ANEXOA-MODIFICADO'!M23</f>
        <v>227.05</v>
      </c>
      <c r="AH177" s="618">
        <f>+'ANEXOA-MODIFICADO'!N23</f>
        <v>228.31</v>
      </c>
      <c r="AI177" s="766">
        <f>+'ANEXOA-MODIFICADO'!O23</f>
        <v>233.62</v>
      </c>
      <c r="AJ177" s="774">
        <f>+'ANEXOA-MODIFICADO'!D31</f>
        <v>231.9</v>
      </c>
      <c r="AK177" s="618">
        <f>+'ANEXOA-MODIFICADO'!E31</f>
        <v>233.13</v>
      </c>
      <c r="AL177" s="618">
        <f>+'ANEXOA-MODIFICADO'!F31</f>
        <v>232.09</v>
      </c>
      <c r="AM177" s="618">
        <f>+'ANEXOA-MODIFICADO'!G31</f>
        <v>227.41</v>
      </c>
      <c r="AN177" s="618">
        <f>+'ANEXOA-MODIFICADO'!H31</f>
        <v>231.5</v>
      </c>
      <c r="AO177" s="618">
        <f>+'ANEXOA-MODIFICADO'!I31</f>
        <v>233.72</v>
      </c>
      <c r="AP177" s="618">
        <f>+'ANEXOA-MODIFICADO'!J31</f>
        <v>232.24</v>
      </c>
      <c r="AQ177" s="618">
        <f>+'ANEXOA-MODIFICADO'!K31</f>
        <v>236.09</v>
      </c>
      <c r="AR177" s="618">
        <f>+'ANEXOA-MODIFICADO'!L31</f>
        <v>231.54</v>
      </c>
      <c r="AS177" s="618">
        <f>+'ANEXOA-MODIFICADO'!M31</f>
        <v>230.78</v>
      </c>
      <c r="AT177" s="618">
        <f>+'ANEXOA-MODIFICADO'!N31</f>
        <v>230.89</v>
      </c>
      <c r="AU177" s="766">
        <f>+'ANEXOA-MODIFICADO'!O31</f>
        <v>233.02</v>
      </c>
      <c r="AV177" s="769">
        <f>+'ANEXOA-MODIFICADO'!D39</f>
        <v>232.13</v>
      </c>
      <c r="AW177" s="619">
        <f>+'ANEXOA-MODIFICADO'!E39</f>
        <v>229.97</v>
      </c>
      <c r="AX177" s="619">
        <f>+'ANEXOA-MODIFICADO'!F39</f>
        <v>231.29</v>
      </c>
      <c r="AY177" s="619">
        <f>+'ANEXOA-MODIFICADO'!G39</f>
        <v>231.38</v>
      </c>
      <c r="AZ177" s="619">
        <f>+'ANEXOA-MODIFICADO'!H39</f>
        <v>231.27</v>
      </c>
      <c r="BA177" s="619">
        <f>+'ANEXOA-MODIFICADO'!I39</f>
        <v>229.65</v>
      </c>
      <c r="BB177" s="619">
        <f>+'ANEXOA-MODIFICADO'!J39</f>
        <v>229.03</v>
      </c>
      <c r="BC177" s="619">
        <f>+'ANEXOA-MODIFICADO'!K39</f>
        <v>230.01</v>
      </c>
      <c r="BD177" s="619">
        <f>+'ANEXOA-MODIFICADO'!L39</f>
        <v>231.04</v>
      </c>
      <c r="BE177" s="619">
        <f>+'ANEXOA-MODIFICADO'!M39</f>
        <v>233.38</v>
      </c>
      <c r="BF177" s="683">
        <f>+'ANEXOA-MODIFICADO'!N39</f>
        <v>233.4</v>
      </c>
      <c r="BG177" s="761">
        <f>+'ANEXOA-MODIFICADO'!O39</f>
        <v>236.03</v>
      </c>
      <c r="BH177" s="662">
        <f>+'ANEXOA-MODIFICADO'!D47</f>
        <v>238.35</v>
      </c>
      <c r="BI177" s="617">
        <f>+'ANEXOA-MODIFICADO'!E47</f>
        <v>239.91</v>
      </c>
      <c r="BJ177" s="617">
        <f>+'ANEXOA-MODIFICADO'!F47</f>
        <v>241.5</v>
      </c>
      <c r="BK177" s="617">
        <f>+'ANEXOA-MODIFICADO'!G47</f>
        <v>235.88</v>
      </c>
      <c r="BL177" s="617">
        <f>+'ANEXOA-MODIFICADO'!H47</f>
        <v>236.38</v>
      </c>
      <c r="BM177" s="617">
        <f>+'ANEXOA-MODIFICADO'!I47</f>
        <v>236.81</v>
      </c>
      <c r="BN177" s="617">
        <f>+'ANEXOA-MODIFICADO'!J47</f>
        <v>238.16</v>
      </c>
      <c r="BO177" s="617">
        <f>+'ANEXOA-MODIFICADO'!K47</f>
        <v>241.89</v>
      </c>
      <c r="BP177" s="617">
        <f>+'ANEXOA-MODIFICADO'!L47</f>
        <v>243.45</v>
      </c>
      <c r="BQ177" s="617">
        <f>+'ANEXOA-MODIFICADO'!M47</f>
        <v>240.71</v>
      </c>
      <c r="BR177" s="617">
        <f>+'ANEXOA-MODIFICADO'!N47</f>
        <v>236.34</v>
      </c>
      <c r="BS177" s="737">
        <f>+'ANEXOA-MODIFICADO'!O47</f>
        <v>236.63</v>
      </c>
      <c r="BT177" s="662">
        <f>+'ANEXOA-MODIFICADO'!D55</f>
        <v>237.51</v>
      </c>
      <c r="BU177" s="617">
        <f>+'ANEXOA-MODIFICADO'!E55</f>
        <v>240.29</v>
      </c>
      <c r="BV177" s="617">
        <f>+'ANEXOA-MODIFICADO'!F55</f>
        <v>238.62</v>
      </c>
      <c r="BW177" s="617">
        <f>+'ANEXOA-MODIFICADO'!G55</f>
        <v>239.24</v>
      </c>
      <c r="BX177" s="617">
        <f>+'ANEXOA-MODIFICADO'!H55</f>
        <v>241.52</v>
      </c>
      <c r="BY177" s="617">
        <f>+'ANEXOA-MODIFICADO'!I55</f>
        <v>242.14</v>
      </c>
      <c r="BZ177" s="617">
        <f>+'ANEXOA-MODIFICADO'!J55</f>
        <v>243.54</v>
      </c>
      <c r="CA177" s="617">
        <f>+'ANEXOA-MODIFICADO'!K55</f>
        <v>246.09</v>
      </c>
      <c r="CB177" s="617">
        <f>+'ANEXOA-MODIFICADO'!L55</f>
        <v>245.95</v>
      </c>
      <c r="CC177" s="617">
        <v>247.8</v>
      </c>
      <c r="CD177" s="617">
        <f>+'ANEXOA-MODIFICADO'!N55</f>
        <v>247.26</v>
      </c>
      <c r="CE177" s="737">
        <f>+'ANEXOA-MODIFICADO'!O55</f>
        <v>249.53</v>
      </c>
      <c r="CF177" s="662">
        <f>+'ANEXOA-MODIFICADO'!D64</f>
        <v>247.98</v>
      </c>
      <c r="CG177" s="617">
        <f>+'ANEXOA-MODIFICADO'!E64</f>
        <v>250.75</v>
      </c>
      <c r="CH177" s="617">
        <f>+'ANEXOA-MODIFICADO'!F64</f>
        <v>254.97</v>
      </c>
      <c r="CI177" s="617">
        <f>+'ANEXOA-MODIFICADO'!G64</f>
        <v>258.94</v>
      </c>
      <c r="CJ177" s="617">
        <f>+'ANEXOA-MODIFICADO'!H64</f>
        <v>259.98</v>
      </c>
      <c r="CK177" s="617">
        <f>+'ANEXOA-MODIFICADO'!I64</f>
        <v>258.13</v>
      </c>
      <c r="CL177" s="617">
        <f>+'ANEXOA-MODIFICADO'!J64</f>
        <v>257.89999999999998</v>
      </c>
      <c r="CM177" s="617">
        <f>+'ANEXOA-MODIFICADO'!K64</f>
        <v>259.3</v>
      </c>
      <c r="CN177" s="617">
        <f>+'ANEXOA-MODIFICADO'!L64</f>
        <v>259.5</v>
      </c>
      <c r="CO177" s="617">
        <f>+'ANEXOA-MODIFICADO'!M64</f>
        <v>265.11</v>
      </c>
      <c r="CP177" s="617">
        <f>+'ANEXOA-MODIFICADO'!N64</f>
        <v>266.68</v>
      </c>
      <c r="CQ177" s="737">
        <f>+'ANEXOA-MODIFICADO'!O64</f>
        <v>270.3</v>
      </c>
      <c r="CR177" s="662">
        <f>'ANEXOA-MODIFICADO'!D71</f>
        <v>271.44</v>
      </c>
      <c r="CS177" s="617">
        <f>'ANEXOA-MODIFICADO'!E71</f>
        <v>274.99</v>
      </c>
      <c r="CT177" s="617">
        <f>'ANEXOA-MODIFICADO'!F71</f>
        <v>279.47000000000003</v>
      </c>
      <c r="CU177" s="617">
        <f>'ANEXOA-MODIFICADO'!G71</f>
        <v>283.89</v>
      </c>
      <c r="CV177" s="623">
        <f>'ANEXOA-MODIFICADO'!H71</f>
        <v>285.73</v>
      </c>
      <c r="CW177" s="623">
        <f>'ANEXOA-MODIFICADO'!I71</f>
        <v>286.08999999999997</v>
      </c>
      <c r="CX177" s="623">
        <f>'ANEXOA-MODIFICADO'!J71</f>
        <v>287.45</v>
      </c>
      <c r="CY177" s="623">
        <f>'ANEXOA-MODIFICADO'!K71</f>
        <v>291.01</v>
      </c>
      <c r="CZ177" s="623">
        <f>'ANEXOA-MODIFICADO'!L71</f>
        <v>292.39</v>
      </c>
      <c r="DA177" s="623">
        <f>'ANEXOA-MODIFICADO'!M71</f>
        <v>293.5</v>
      </c>
      <c r="DB177" s="659">
        <f>'ANEXOA-MODIFICADO'!N71</f>
        <v>293.26</v>
      </c>
      <c r="DC177" s="659">
        <f>'ANEXOA-MODIFICADO'!O71</f>
        <v>293.41000000000003</v>
      </c>
      <c r="DD177" s="783">
        <f>+'ANEXOA-MODIFICADO'!D78</f>
        <v>294.48</v>
      </c>
      <c r="DE177" s="623">
        <f>+'ANEXOA-MODIFICADO'!E78</f>
        <v>297.39999999999998</v>
      </c>
      <c r="DF177" s="725">
        <f>+'ANEXOA-MODIFICADO'!F78</f>
        <v>298.51</v>
      </c>
      <c r="DG177" s="659">
        <f>+'ANEXOA-MODIFICADO'!G78</f>
        <v>299.66000000000003</v>
      </c>
      <c r="DH177" s="623">
        <f>+'ANEXOA-MODIFICADO'!H78</f>
        <v>303.18</v>
      </c>
      <c r="DI177" s="623">
        <f>+'ANEXOA-MODIFICADO'!I78</f>
        <v>302.92</v>
      </c>
      <c r="DJ177" s="623">
        <f>+'ANEXOA-MODIFICADO'!J78</f>
        <v>304.89999999999998</v>
      </c>
      <c r="DK177" s="659">
        <f>+'ANEXOA-MODIFICADO'!K78</f>
        <v>305.45999999999998</v>
      </c>
      <c r="DL177" s="623">
        <f>+'ANEXOA-MODIFICADO'!L78</f>
        <v>307.23</v>
      </c>
      <c r="DM177" s="659">
        <f>+'ANEXOA-MODIFICADO'!M78</f>
        <v>312.12</v>
      </c>
      <c r="DN177" s="659">
        <f>+'ANEXOA-MODIFICADO'!N78</f>
        <v>312.29000000000002</v>
      </c>
      <c r="DO177" s="897">
        <f>+'ANEXOA-MODIFICADO'!O78</f>
        <v>312.8</v>
      </c>
      <c r="DP177" s="783">
        <f>+'ANEXOA-MODIFICADO'!D85</f>
        <v>314.74</v>
      </c>
      <c r="DQ177" s="659">
        <f>+'ANEXOA-MODIFICADO'!E85</f>
        <v>316.7</v>
      </c>
      <c r="DR177" s="659">
        <f>+'ANEXOA-MODIFICADO'!F85</f>
        <v>316.02</v>
      </c>
      <c r="DS177" s="659">
        <f>+'ANEXOA-MODIFICADO'!G85</f>
        <v>319.25</v>
      </c>
      <c r="DT177" s="623">
        <f>+'ANEXOA-MODIFICADO'!H85</f>
        <v>320.07</v>
      </c>
      <c r="DU177" s="659">
        <f>+'ANEXOA-MODIFICADO'!I85</f>
        <v>322.97000000000003</v>
      </c>
      <c r="DV177" s="659">
        <f>+'ANEXOA-MODIFICADO'!J85</f>
        <v>326.48</v>
      </c>
      <c r="DW177" s="659">
        <f>+'ANEXOA-MODIFICADO'!K85</f>
        <v>328.32</v>
      </c>
      <c r="DX177" s="659">
        <f>+'ANEXOA-MODIFICADO'!L85</f>
        <v>329.63</v>
      </c>
      <c r="DY177" s="659">
        <f>+'ANEXOA-MODIFICADO'!M85</f>
        <v>330.69</v>
      </c>
      <c r="DZ177" s="659">
        <v>330.62</v>
      </c>
      <c r="EA177" s="897">
        <f>+'ANEXOA-MODIFICADO'!O85</f>
        <v>334.4</v>
      </c>
      <c r="EB177" s="659">
        <f>+'ANEXOA-MODIFICADO'!D92</f>
        <v>335.97</v>
      </c>
      <c r="EC177" s="659">
        <f>+'ANEXOA-MODIFICADO'!E92</f>
        <v>336.71</v>
      </c>
      <c r="ED177" s="659">
        <f>+'ANEXOA-MODIFICADO'!F92</f>
        <v>342.98</v>
      </c>
      <c r="EE177" s="659">
        <f>+'ANEXOA-MODIFICADO'!G92</f>
        <v>346.28</v>
      </c>
      <c r="EF177" s="659">
        <f>+'ANEXOA-MODIFICADO'!H92</f>
        <v>348.05</v>
      </c>
      <c r="EG177" s="659">
        <f>+'ANEXOA-MODIFICADO'!I92</f>
        <v>350.33</v>
      </c>
      <c r="EH177" s="659">
        <f>+'ANEXOA-MODIFICADO'!J92</f>
        <v>356.44</v>
      </c>
      <c r="EI177" s="659">
        <f>+'ANEXOA-MODIFICADO'!K92</f>
        <v>359.35</v>
      </c>
      <c r="EJ177" s="659">
        <f>+'ANEXOA-MODIFICADO'!L92</f>
        <v>362.62</v>
      </c>
      <c r="EK177" s="623">
        <f>+'ANEXOA-MODIFICADO'!M92</f>
        <v>364.52</v>
      </c>
      <c r="EL177" s="659">
        <f>+'ANEXOA-MODIFICADO'!N92</f>
        <v>367.04</v>
      </c>
      <c r="EM177" s="659">
        <f>+'ANEXOA-MODIFICADO'!O92</f>
        <v>369.1</v>
      </c>
      <c r="EN177" s="783">
        <f>+'ANEXOA-MODIFICADO'!D99</f>
        <v>373.71</v>
      </c>
      <c r="EO177" s="659">
        <f>+'ANEXOA-MODIFICADO'!E99</f>
        <v>377.44</v>
      </c>
      <c r="EP177" s="659">
        <f>+'ANEXOA-MODIFICADO'!F99</f>
        <v>380.57</v>
      </c>
      <c r="EQ177" s="659">
        <f>+'ANEXOA-MODIFICADO'!G99</f>
        <v>385.81</v>
      </c>
      <c r="ER177" s="659">
        <f>+'ANEXOA-MODIFICADO'!H99</f>
        <v>390.47</v>
      </c>
      <c r="ES177" s="659">
        <f>+'ANEXOA-MODIFICADO'!I99</f>
        <v>393.54</v>
      </c>
      <c r="ET177" s="659">
        <f>+'ANEXOA-MODIFICADO'!J99</f>
        <v>396.16</v>
      </c>
      <c r="EU177" s="659">
        <f>+'ANEXOA-MODIFICADO'!K99</f>
        <v>399.84</v>
      </c>
      <c r="EV177" s="659">
        <f>+'ANEXOA-MODIFICADO'!L99</f>
        <v>403.77</v>
      </c>
      <c r="EW177" s="659">
        <f>+'ANEXOA-MODIFICADO'!M99</f>
        <v>405.46</v>
      </c>
      <c r="EX177" s="659">
        <f>+'ANEXOA-MODIFICADO'!N99</f>
        <v>408.27</v>
      </c>
      <c r="EY177" s="659">
        <f>+'ANEXOA-MODIFICADO'!O99</f>
        <v>417.76</v>
      </c>
      <c r="EZ177" s="783">
        <f>'ANEXOA-MODIFICADO'!D106</f>
        <v>429.35</v>
      </c>
      <c r="FA177" s="659">
        <f>'ANEXOA-MODIFICADO'!E106</f>
        <v>462.13</v>
      </c>
      <c r="FB177" s="659">
        <f>'ANEXOA-MODIFICADO'!F106</f>
        <v>471.88</v>
      </c>
      <c r="FC177" s="659">
        <f>'ANEXOA-MODIFICADO'!G106</f>
        <v>475.42</v>
      </c>
      <c r="FD177" s="659">
        <f>'ANEXOA-MODIFICADO'!H106</f>
        <v>478.02</v>
      </c>
      <c r="FE177" s="659">
        <f>'ANEXOA-MODIFICADO'!I106</f>
        <v>481.5</v>
      </c>
      <c r="FF177" s="659">
        <f>'ANEXOA-MODIFICADO'!J106</f>
        <v>480.13</v>
      </c>
      <c r="FG177" s="659">
        <f>'ANEXOA-MODIFICADO'!K106</f>
        <v>497.03</v>
      </c>
      <c r="FH177" s="659">
        <f>'ANEXOA-MODIFICADO'!L106</f>
        <v>502.59</v>
      </c>
      <c r="FI177" s="659">
        <f>'ANEXOA-MODIFICADO'!M106</f>
        <v>507.98</v>
      </c>
      <c r="FJ177" s="659">
        <f>'ANEXOA-MODIFICADO'!N106</f>
        <v>514.42999999999995</v>
      </c>
      <c r="FK177" s="897">
        <f>'ANEXOA-MODIFICADO'!O106</f>
        <v>515.37</v>
      </c>
      <c r="FL177" s="660">
        <f>'ANEXOA-MODIFICADO'!D113</f>
        <v>518.89</v>
      </c>
      <c r="FM177" s="623">
        <f>'ANEXOA-MODIFICADO'!E113</f>
        <v>520.91999999999996</v>
      </c>
      <c r="FN177" s="623">
        <f>'ANEXOA-MODIFICADO'!F113</f>
        <v>533.51</v>
      </c>
      <c r="FO177" s="623">
        <f>'ANEXOA-MODIFICADO'!G113</f>
        <v>550.91999999999996</v>
      </c>
      <c r="FP177" s="623">
        <f>'ANEXOA-MODIFICADO'!H113</f>
        <v>562.13</v>
      </c>
      <c r="FQ177" s="623">
        <f>'ANEXOA-MODIFICADO'!I113</f>
        <v>574.11</v>
      </c>
      <c r="FR177" s="623">
        <f>'ANEXOA-MODIFICADO'!J113</f>
        <v>584.46</v>
      </c>
      <c r="FS177" s="623">
        <f>'ANEXOA-MODIFICADO'!K113</f>
        <v>595.29999999999995</v>
      </c>
      <c r="FT177" s="623">
        <f>'ANEXOA-MODIFICADO'!L113</f>
        <v>597.77</v>
      </c>
      <c r="FU177" s="897">
        <f>'ANEXOA-MODIFICADO'!M113</f>
        <v>605.84</v>
      </c>
      <c r="FV177" s="1167">
        <f t="shared" si="3"/>
        <v>1.0135001756528432</v>
      </c>
    </row>
    <row r="178" spans="1:178" s="115" customFormat="1" ht="27" customHeight="1">
      <c r="A178" s="1546">
        <v>1</v>
      </c>
      <c r="B178" s="408">
        <v>223</v>
      </c>
      <c r="C178" s="621"/>
      <c r="D178" s="622" t="s">
        <v>340</v>
      </c>
      <c r="E178" s="621" t="s">
        <v>918</v>
      </c>
      <c r="F178" s="622"/>
      <c r="G178" s="622" t="s">
        <v>336</v>
      </c>
      <c r="H178" s="621" t="s">
        <v>229</v>
      </c>
      <c r="I178" s="631" t="s">
        <v>339</v>
      </c>
      <c r="J178" s="674" t="s">
        <v>436</v>
      </c>
      <c r="K178" s="669">
        <v>100</v>
      </c>
      <c r="L178" s="665">
        <f>+'ANEXOA-MODIFICADO'!D184</f>
        <v>107.85</v>
      </c>
      <c r="M178" s="625">
        <f>+'ANEXOA-MODIFICADO'!E184</f>
        <v>129.88</v>
      </c>
      <c r="N178" s="625">
        <f>+'ANEXOA-MODIFICADO'!F184</f>
        <v>151.97</v>
      </c>
      <c r="O178" s="625">
        <f>+'ANEXOA-MODIFICADO'!G184</f>
        <v>172.97</v>
      </c>
      <c r="P178" s="625">
        <f>+'ANEXOA-MODIFICADO'!H184</f>
        <v>218.8</v>
      </c>
      <c r="Q178" s="625">
        <f>+'ANEXOA-MODIFICADO'!I184</f>
        <v>232.85</v>
      </c>
      <c r="R178" s="625">
        <f>+'ANEXOA-MODIFICADO'!J184</f>
        <v>237.15</v>
      </c>
      <c r="S178" s="625">
        <f>+'ANEXOA-MODIFICADO'!K184</f>
        <v>254.1</v>
      </c>
      <c r="T178" s="625">
        <f>+'ANEXOA-MODIFICADO'!L184</f>
        <v>250.59</v>
      </c>
      <c r="U178" s="625">
        <f>+'ANEXOA-MODIFICADO'!M184</f>
        <v>251.19</v>
      </c>
      <c r="V178" s="625">
        <f>+'ANEXOA-MODIFICADO'!N184</f>
        <v>233.61</v>
      </c>
      <c r="W178" s="625">
        <f>+'ANEXOA-MODIFICADO'!O184</f>
        <v>231.13</v>
      </c>
      <c r="X178" s="625">
        <f>+'ANEXOA-MODIFICADO'!D191</f>
        <v>222.83</v>
      </c>
      <c r="Y178" s="625">
        <f>+'ANEXOA-MODIFICADO'!E191</f>
        <v>220.9</v>
      </c>
      <c r="Z178" s="625">
        <f>+'ANEXOA-MODIFICADO'!F191</f>
        <v>210.66</v>
      </c>
      <c r="AA178" s="625">
        <f>+'ANEXOA-MODIFICADO'!G191</f>
        <v>202</v>
      </c>
      <c r="AB178" s="625">
        <f>+'ANEXOA-MODIFICADO'!H191</f>
        <v>197.24</v>
      </c>
      <c r="AC178" s="625">
        <f>+'ANEXOA-MODIFICADO'!I191</f>
        <v>195.8</v>
      </c>
      <c r="AD178" s="625">
        <f>+'ANEXOA-MODIFICADO'!J191</f>
        <v>192.67</v>
      </c>
      <c r="AE178" s="625">
        <f>+'ANEXOA-MODIFICADO'!K191</f>
        <v>198.16</v>
      </c>
      <c r="AF178" s="625">
        <f>+'ANEXOA-MODIFICADO'!L191</f>
        <v>198.9</v>
      </c>
      <c r="AG178" s="625">
        <f>+'ANEXOA-MODIFICADO'!M191</f>
        <v>197.24</v>
      </c>
      <c r="AH178" s="625">
        <f>+'ANEXOA-MODIFICADO'!N191</f>
        <v>198.6</v>
      </c>
      <c r="AI178" s="764">
        <f>+'ANEXOA-MODIFICADO'!O191</f>
        <v>202.87</v>
      </c>
      <c r="AJ178" s="772">
        <f>+'ANEXOA-MODIFICADO'!D199</f>
        <v>203.34</v>
      </c>
      <c r="AK178" s="625">
        <f>+'ANEXOA-MODIFICADO'!E199</f>
        <v>205.13</v>
      </c>
      <c r="AL178" s="625">
        <f>+'ANEXOA-MODIFICADO'!F199</f>
        <v>204.47</v>
      </c>
      <c r="AM178" s="625">
        <f>+'ANEXOA-MODIFICADO'!G199</f>
        <v>201.29</v>
      </c>
      <c r="AN178" s="625">
        <f>+'ANEXOA-MODIFICADO'!H199</f>
        <v>204.06</v>
      </c>
      <c r="AO178" s="625">
        <f>+'ANEXOA-MODIFICADO'!I199</f>
        <v>205.45</v>
      </c>
      <c r="AP178" s="625">
        <f>+'ANEXOA-MODIFICADO'!J199</f>
        <v>205.54</v>
      </c>
      <c r="AQ178" s="625">
        <f>+'ANEXOA-MODIFICADO'!K199</f>
        <v>207.88</v>
      </c>
      <c r="AR178" s="625">
        <f>+'ANEXOA-MODIFICADO'!L199</f>
        <v>204.57</v>
      </c>
      <c r="AS178" s="625">
        <f>+'ANEXOA-MODIFICADO'!M199</f>
        <v>204.36</v>
      </c>
      <c r="AT178" s="625">
        <f>+'ANEXOA-MODIFICADO'!N199</f>
        <v>204.37</v>
      </c>
      <c r="AU178" s="764">
        <f>+'ANEXOA-MODIFICADO'!O199</f>
        <v>205.92</v>
      </c>
      <c r="AV178" s="752">
        <f>+'ANEXOA-MODIFICADO'!D207</f>
        <v>207.65</v>
      </c>
      <c r="AW178" s="626">
        <f>+'ANEXOA-MODIFICADO'!E207</f>
        <v>206.24</v>
      </c>
      <c r="AX178" s="626">
        <f>+'ANEXOA-MODIFICADO'!F207</f>
        <v>207.35</v>
      </c>
      <c r="AY178" s="626">
        <f>+'ANEXOA-MODIFICADO'!G207</f>
        <v>211.09</v>
      </c>
      <c r="AZ178" s="626">
        <f>+'ANEXOA-MODIFICADO'!H207</f>
        <v>211.72</v>
      </c>
      <c r="BA178" s="626">
        <f>+'ANEXOA-MODIFICADO'!I207</f>
        <v>211</v>
      </c>
      <c r="BB178" s="626">
        <f>+'ANEXOA-MODIFICADO'!J207</f>
        <v>210.83</v>
      </c>
      <c r="BC178" s="626">
        <f>+'ANEXOA-MODIFICADO'!K207</f>
        <v>211.96</v>
      </c>
      <c r="BD178" s="626">
        <f>+'ANEXOA-MODIFICADO'!L207</f>
        <v>212.88</v>
      </c>
      <c r="BE178" s="626">
        <f>+'ANEXOA-MODIFICADO'!M207</f>
        <v>215.45</v>
      </c>
      <c r="BF178" s="626">
        <f>+'ANEXOA-MODIFICADO'!N207</f>
        <v>218.3</v>
      </c>
      <c r="BG178" s="749">
        <f>+'ANEXOA-MODIFICADO'!O207</f>
        <v>220.49</v>
      </c>
      <c r="BH178" s="660">
        <f>+'ANEXOA-MODIFICADO'!D215</f>
        <v>224.05</v>
      </c>
      <c r="BI178" s="623">
        <f>+'ANEXOA-MODIFICADO'!E215</f>
        <v>227.2</v>
      </c>
      <c r="BJ178" s="623">
        <f>+'ANEXOA-MODIFICADO'!F215</f>
        <v>228.76</v>
      </c>
      <c r="BK178" s="623">
        <f>+'ANEXOA-MODIFICADO'!G215</f>
        <v>226.21</v>
      </c>
      <c r="BL178" s="623">
        <f>+'ANEXOA-MODIFICADO'!H215</f>
        <v>227.14</v>
      </c>
      <c r="BM178" s="623">
        <f>+'ANEXOA-MODIFICADO'!I215</f>
        <v>231.59</v>
      </c>
      <c r="BN178" s="623">
        <f>+'ANEXOA-MODIFICADO'!J215</f>
        <v>233.12</v>
      </c>
      <c r="BO178" s="623">
        <f>+'ANEXOA-MODIFICADO'!K215</f>
        <v>235.99</v>
      </c>
      <c r="BP178" s="623">
        <f>+'ANEXOA-MODIFICADO'!L215</f>
        <v>240.11</v>
      </c>
      <c r="BQ178" s="623">
        <f>+'ANEXOA-MODIFICADO'!M215</f>
        <v>239.12</v>
      </c>
      <c r="BR178" s="623">
        <f>+'ANEXOA-MODIFICADO'!N215</f>
        <v>236.51</v>
      </c>
      <c r="BS178" s="659">
        <f>+'ANEXOA-MODIFICADO'!O215</f>
        <v>237.61</v>
      </c>
      <c r="BT178" s="660">
        <f>+'ANEXOA-MODIFICADO'!D223</f>
        <v>241.1</v>
      </c>
      <c r="BU178" s="623">
        <f>+'ANEXOA-MODIFICADO'!E223</f>
        <v>243.24</v>
      </c>
      <c r="BV178" s="623">
        <f>+'ANEXOA-MODIFICADO'!F223</f>
        <v>241.94</v>
      </c>
      <c r="BW178" s="623">
        <f>+'ANEXOA-MODIFICADO'!G223</f>
        <v>243.53</v>
      </c>
      <c r="BX178" s="623">
        <f>+'ANEXOA-MODIFICADO'!H223</f>
        <v>249.12</v>
      </c>
      <c r="BY178" s="623">
        <f>+'ANEXOA-MODIFICADO'!I223</f>
        <v>250.58</v>
      </c>
      <c r="BZ178" s="623">
        <f>+'ANEXOA-MODIFICADO'!J223</f>
        <v>254.81</v>
      </c>
      <c r="CA178" s="623">
        <f>+'ANEXOA-MODIFICADO'!K223</f>
        <v>257.02</v>
      </c>
      <c r="CB178" s="623">
        <f>+'ANEXOA-MODIFICADO'!L223</f>
        <v>257.66000000000003</v>
      </c>
      <c r="CC178" s="623">
        <v>262.85000000000002</v>
      </c>
      <c r="CD178" s="623">
        <f>+'ANEXOA-MODIFICADO'!N223</f>
        <v>260.83</v>
      </c>
      <c r="CE178" s="659">
        <f>+'ANEXOA-MODIFICADO'!O223</f>
        <v>263.19</v>
      </c>
      <c r="CF178" s="660">
        <f>+'ANEXOA-MODIFICADO'!D231</f>
        <v>262.10000000000002</v>
      </c>
      <c r="CG178" s="623">
        <f>+'ANEXOA-MODIFICADO'!E231</f>
        <v>264.33</v>
      </c>
      <c r="CH178" s="623">
        <f>+'ANEXOA-MODIFICADO'!F231</f>
        <v>267.51</v>
      </c>
      <c r="CI178" s="623">
        <f>+'ANEXOA-MODIFICADO'!G231</f>
        <v>270.58</v>
      </c>
      <c r="CJ178" s="623">
        <f>+'ANEXOA-MODIFICADO'!H231</f>
        <v>279.29000000000002</v>
      </c>
      <c r="CK178" s="623">
        <f>+'ANEXOA-MODIFICADO'!I231</f>
        <v>276.42</v>
      </c>
      <c r="CL178" s="623">
        <f>+'ANEXOA-MODIFICADO'!J231</f>
        <v>281.08999999999997</v>
      </c>
      <c r="CM178" s="623">
        <f>+'ANEXOA-MODIFICADO'!K231</f>
        <v>281.43</v>
      </c>
      <c r="CN178" s="623">
        <f>+'ANEXOA-MODIFICADO'!L231</f>
        <v>284.24</v>
      </c>
      <c r="CO178" s="623">
        <f>+'ANEXOA-MODIFICADO'!M231</f>
        <v>288.49</v>
      </c>
      <c r="CP178" s="623">
        <f>+'ANEXOA-MODIFICADO'!N231</f>
        <v>289.70999999999998</v>
      </c>
      <c r="CQ178" s="659">
        <f>+'ANEXOA-MODIFICADO'!O231</f>
        <v>292.27999999999997</v>
      </c>
      <c r="CR178" s="660">
        <f>'ANEXOA-MODIFICADO'!D239</f>
        <v>293.82</v>
      </c>
      <c r="CS178" s="623">
        <f>'ANEXOA-MODIFICADO'!E239</f>
        <v>296.91000000000003</v>
      </c>
      <c r="CT178" s="623">
        <f>'ANEXOA-MODIFICADO'!F239</f>
        <v>299.98</v>
      </c>
      <c r="CU178" s="623">
        <f>'ANEXOA-MODIFICADO'!G239</f>
        <v>304.04000000000002</v>
      </c>
      <c r="CV178" s="623">
        <f>'ANEXOA-MODIFICADO'!H239</f>
        <v>306.2</v>
      </c>
      <c r="CW178" s="623">
        <f>'ANEXOA-MODIFICADO'!I239</f>
        <v>312.06</v>
      </c>
      <c r="CX178" s="623">
        <f>'ANEXOA-MODIFICADO'!J239</f>
        <v>314.26</v>
      </c>
      <c r="CY178" s="623">
        <f>'ANEXOA-MODIFICADO'!K239</f>
        <v>317.01</v>
      </c>
      <c r="CZ178" s="623">
        <f>'ANEXOA-MODIFICADO'!L239</f>
        <v>317.72000000000003</v>
      </c>
      <c r="DA178" s="623">
        <f>'ANEXOA-MODIFICADO'!M239</f>
        <v>323.74</v>
      </c>
      <c r="DB178" s="659">
        <f>'ANEXOA-MODIFICADO'!N239</f>
        <v>325.41000000000003</v>
      </c>
      <c r="DC178" s="659">
        <f>'ANEXOA-MODIFICADO'!O239</f>
        <v>325.97000000000003</v>
      </c>
      <c r="DD178" s="783">
        <f>+'ANEXOA-MODIFICADO'!D247</f>
        <v>326.91000000000003</v>
      </c>
      <c r="DE178" s="623">
        <f>+'ANEXOA-MODIFICADO'!E247</f>
        <v>332.3</v>
      </c>
      <c r="DF178" s="725">
        <f>+'ANEXOA-MODIFICADO'!F247</f>
        <v>340.26</v>
      </c>
      <c r="DG178" s="659">
        <f>+'ANEXOA-MODIFICADO'!G247</f>
        <v>333.46</v>
      </c>
      <c r="DH178" s="623">
        <f>+'ANEXOA-MODIFICADO'!H247</f>
        <v>346.26</v>
      </c>
      <c r="DI178" s="623">
        <f>+'ANEXOA-MODIFICADO'!I247</f>
        <v>347.3</v>
      </c>
      <c r="DJ178" s="623">
        <f>+'ANEXOA-MODIFICADO'!J247</f>
        <v>351.33</v>
      </c>
      <c r="DK178" s="659">
        <f>+'ANEXOA-MODIFICADO'!K247</f>
        <v>355.61</v>
      </c>
      <c r="DL178" s="623">
        <f>+'ANEXOA-MODIFICADO'!L247</f>
        <v>358.43</v>
      </c>
      <c r="DM178" s="659">
        <f>+'ANEXOA-MODIFICADO'!M247</f>
        <v>363.53</v>
      </c>
      <c r="DN178" s="659">
        <f>+'ANEXOA-MODIFICADO'!N247</f>
        <v>364.45</v>
      </c>
      <c r="DO178" s="897">
        <f>+'ANEXOA-MODIFICADO'!O247</f>
        <v>371.05</v>
      </c>
      <c r="DP178" s="783">
        <f>+'ANEXOA-MODIFICADO'!D254</f>
        <v>382.26</v>
      </c>
      <c r="DQ178" s="659">
        <f>+'ANEXOA-MODIFICADO'!E254</f>
        <v>386.79</v>
      </c>
      <c r="DR178" s="659">
        <f>+'ANEXOA-MODIFICADO'!F254</f>
        <v>388.15</v>
      </c>
      <c r="DS178" s="659">
        <f>+'ANEXOA-MODIFICADO'!G254</f>
        <v>392.92</v>
      </c>
      <c r="DT178" s="623">
        <f>+'ANEXOA-MODIFICADO'!H254</f>
        <v>394.07</v>
      </c>
      <c r="DU178" s="659">
        <f>+'ANEXOA-MODIFICADO'!I254</f>
        <v>394.04</v>
      </c>
      <c r="DV178" s="659">
        <f>+'ANEXOA-MODIFICADO'!J254</f>
        <v>399.88</v>
      </c>
      <c r="DW178" s="659">
        <f>+'ANEXOA-MODIFICADO'!K254</f>
        <v>405.99</v>
      </c>
      <c r="DX178" s="659">
        <f>+'ANEXOA-MODIFICADO'!L254</f>
        <v>409.49</v>
      </c>
      <c r="DY178" s="659">
        <f>+'ANEXOA-MODIFICADO'!M254</f>
        <v>414.12</v>
      </c>
      <c r="DZ178" s="659">
        <v>419.83</v>
      </c>
      <c r="EA178" s="897">
        <f>+'ANEXOA-MODIFICADO'!O254</f>
        <v>423.87</v>
      </c>
      <c r="EB178" s="659">
        <f>+'ANEXOA-MODIFICADO'!D262</f>
        <v>438.29</v>
      </c>
      <c r="EC178" s="659">
        <f>+'ANEXOA-MODIFICADO'!E262</f>
        <v>440.23</v>
      </c>
      <c r="ED178" s="659">
        <f>+'ANEXOA-MODIFICADO'!F262</f>
        <v>446.06</v>
      </c>
      <c r="EE178" s="659">
        <f>+'ANEXOA-MODIFICADO'!G262</f>
        <v>449.44</v>
      </c>
      <c r="EF178" s="659">
        <f>+'ANEXOA-MODIFICADO'!H262</f>
        <v>435.16</v>
      </c>
      <c r="EG178" s="659">
        <f>+'ANEXOA-MODIFICADO'!I262</f>
        <v>436.75</v>
      </c>
      <c r="EH178" s="659">
        <f>+'ANEXOA-MODIFICADO'!J262</f>
        <v>490.41</v>
      </c>
      <c r="EI178" s="659">
        <f>+'ANEXOA-MODIFICADO'!K262</f>
        <v>496.08</v>
      </c>
      <c r="EJ178" s="659">
        <f>+'ANEXOA-MODIFICADO'!L262</f>
        <v>498.57</v>
      </c>
      <c r="EK178" s="623">
        <f>+'ANEXOA-MODIFICADO'!M262</f>
        <v>499.87</v>
      </c>
      <c r="EL178" s="659">
        <f>+'ANEXOA-MODIFICADO'!N262</f>
        <v>508.77</v>
      </c>
      <c r="EM178" s="659">
        <f>+'ANEXOA-MODIFICADO'!O262</f>
        <v>509.28</v>
      </c>
      <c r="EN178" s="783">
        <f>+'ANEXOA-MODIFICADO'!D270</f>
        <v>512.79999999999995</v>
      </c>
      <c r="EO178" s="659">
        <f>+'ANEXOA-MODIFICADO'!E270</f>
        <v>515.92999999999995</v>
      </c>
      <c r="EP178" s="659">
        <f>+'ANEXOA-MODIFICADO'!F270</f>
        <v>521.72</v>
      </c>
      <c r="EQ178" s="659">
        <f>+'ANEXOA-MODIFICADO'!G270</f>
        <v>534.82000000000005</v>
      </c>
      <c r="ER178" s="659">
        <f>+'ANEXOA-MODIFICADO'!H270</f>
        <v>537.34</v>
      </c>
      <c r="ES178" s="659">
        <f>+'ANEXOA-MODIFICADO'!I270</f>
        <v>569.91</v>
      </c>
      <c r="ET178" s="659">
        <f>+'ANEXOA-MODIFICADO'!J270</f>
        <v>570.13</v>
      </c>
      <c r="EU178" s="659">
        <f>+'ANEXOA-MODIFICADO'!K270</f>
        <v>574.41999999999996</v>
      </c>
      <c r="EV178" s="659">
        <f>+'ANEXOA-MODIFICADO'!L270</f>
        <v>591.65</v>
      </c>
      <c r="EW178" s="659">
        <f>+'ANEXOA-MODIFICADO'!M270</f>
        <v>593.22</v>
      </c>
      <c r="EX178" s="659">
        <f>+'ANEXOA-MODIFICADO'!N270</f>
        <v>595.09</v>
      </c>
      <c r="EY178" s="659">
        <f>+'ANEXOA-MODIFICADO'!O270</f>
        <v>602.64</v>
      </c>
      <c r="EZ178" s="783">
        <f>'ANEXOA-MODIFICADO'!D278</f>
        <v>611.33000000000004</v>
      </c>
      <c r="FA178" s="659">
        <f>'ANEXOA-MODIFICADO'!E278</f>
        <v>635.76</v>
      </c>
      <c r="FB178" s="659">
        <f>'ANEXOA-MODIFICADO'!F278</f>
        <v>642.74</v>
      </c>
      <c r="FC178" s="659">
        <f>'ANEXOA-MODIFICADO'!G278</f>
        <v>681.95</v>
      </c>
      <c r="FD178" s="659">
        <f>'ANEXOA-MODIFICADO'!H278</f>
        <v>692.62</v>
      </c>
      <c r="FE178" s="659">
        <f>'ANEXOA-MODIFICADO'!I278</f>
        <v>694.93</v>
      </c>
      <c r="FF178" s="659">
        <f>'ANEXOA-MODIFICADO'!J278</f>
        <v>719.91</v>
      </c>
      <c r="FG178" s="659">
        <f>'ANEXOA-MODIFICADO'!K278</f>
        <v>742.17</v>
      </c>
      <c r="FH178" s="659">
        <f>'ANEXOA-MODIFICADO'!L278</f>
        <v>748.35</v>
      </c>
      <c r="FI178" s="659">
        <f>'ANEXOA-MODIFICADO'!M278</f>
        <v>754.21</v>
      </c>
      <c r="FJ178" s="659">
        <f>'ANEXOA-MODIFICADO'!N278</f>
        <v>758.31</v>
      </c>
      <c r="FK178" s="897">
        <f>'ANEXOA-MODIFICADO'!O278</f>
        <v>763.83</v>
      </c>
      <c r="FL178" s="660">
        <f>'ANEXOA-MODIFICADO'!D286</f>
        <v>767.42</v>
      </c>
      <c r="FM178" s="623">
        <f>'ANEXOA-MODIFICADO'!E286</f>
        <v>769.29</v>
      </c>
      <c r="FN178" s="623">
        <f>'ANEXOA-MODIFICADO'!F286</f>
        <v>781.48</v>
      </c>
      <c r="FO178" s="623">
        <f>'ANEXOA-MODIFICADO'!G286</f>
        <v>794.73</v>
      </c>
      <c r="FP178" s="623">
        <f>'ANEXOA-MODIFICADO'!H286</f>
        <v>847.39</v>
      </c>
      <c r="FQ178" s="623">
        <f>'ANEXOA-MODIFICADO'!I286</f>
        <v>861.37</v>
      </c>
      <c r="FR178" s="623">
        <f>'ANEXOA-MODIFICADO'!J286</f>
        <v>875.22</v>
      </c>
      <c r="FS178" s="623">
        <f>'ANEXOA-MODIFICADO'!K286</f>
        <v>913.16</v>
      </c>
      <c r="FT178" s="623">
        <f>'ANEXOA-MODIFICADO'!L286</f>
        <v>926.77</v>
      </c>
      <c r="FU178" s="897">
        <f>'ANEXOA-MODIFICADO'!M286</f>
        <v>933.54</v>
      </c>
      <c r="FV178" s="1167">
        <f t="shared" si="3"/>
        <v>1.0073049408159522</v>
      </c>
    </row>
    <row r="179" spans="1:178" s="115" customFormat="1" ht="21" customHeight="1">
      <c r="A179" s="1546">
        <v>1</v>
      </c>
      <c r="B179" s="644">
        <v>224</v>
      </c>
      <c r="C179" s="645"/>
      <c r="D179" s="646" t="s">
        <v>359</v>
      </c>
      <c r="E179" s="645" t="s">
        <v>918</v>
      </c>
      <c r="F179" s="646"/>
      <c r="G179" s="645" t="s">
        <v>336</v>
      </c>
      <c r="H179" s="645" t="s">
        <v>930</v>
      </c>
      <c r="I179" s="892" t="s">
        <v>337</v>
      </c>
      <c r="J179" s="893" t="s">
        <v>221</v>
      </c>
      <c r="K179" s="877">
        <v>100</v>
      </c>
      <c r="L179" s="878">
        <f>+'ANEXOA-MODIFICADO'!E512</f>
        <v>104.83</v>
      </c>
      <c r="M179" s="879">
        <f>+'ANEXOA-MODIFICADO'!F512</f>
        <v>105.39</v>
      </c>
      <c r="N179" s="879">
        <f>+'ANEXOA-MODIFICADO'!G512</f>
        <v>106.01</v>
      </c>
      <c r="O179" s="879">
        <f>+'ANEXOA-MODIFICADO'!H512</f>
        <v>136.77000000000001</v>
      </c>
      <c r="P179" s="879">
        <f>+'ANEXOA-MODIFICADO'!I512</f>
        <v>154.81</v>
      </c>
      <c r="Q179" s="879">
        <f>+'ANEXOA-MODIFICADO'!J512</f>
        <v>172.13</v>
      </c>
      <c r="R179" s="879">
        <f>+'ANEXOA-MODIFICADO'!K512</f>
        <v>176.65</v>
      </c>
      <c r="S179" s="879">
        <f>+'ANEXOA-MODIFICADO'!L512</f>
        <v>177.95</v>
      </c>
      <c r="T179" s="879">
        <f>+'ANEXOA-MODIFICADO'!M512</f>
        <v>177.71</v>
      </c>
      <c r="U179" s="879">
        <f>+'ANEXOA-MODIFICADO'!N512</f>
        <v>179.99</v>
      </c>
      <c r="V179" s="879">
        <f>+'ANEXOA-MODIFICADO'!O512</f>
        <v>179.62</v>
      </c>
      <c r="W179" s="879">
        <f>+'ANEXOA-MODIFICADO'!P512</f>
        <v>180.35</v>
      </c>
      <c r="X179" s="879">
        <f>+'ANEXOA-MODIFICADO'!D520</f>
        <v>176.98</v>
      </c>
      <c r="Y179" s="879">
        <f>+'ANEXOA-MODIFICADO'!E520</f>
        <v>176.24</v>
      </c>
      <c r="Z179" s="879">
        <f>+'ANEXOA-MODIFICADO'!F520</f>
        <v>175.82</v>
      </c>
      <c r="AA179" s="879">
        <f>+'ANEXOA-MODIFICADO'!G520</f>
        <v>174.28</v>
      </c>
      <c r="AB179" s="879">
        <f>+'ANEXOA-MODIFICADO'!H520</f>
        <v>173.95</v>
      </c>
      <c r="AC179" s="879">
        <f>+'ANEXOA-MODIFICADO'!I520</f>
        <v>174.7</v>
      </c>
      <c r="AD179" s="879">
        <f>+'ANEXOA-MODIFICADO'!J520</f>
        <v>176.34</v>
      </c>
      <c r="AE179" s="879">
        <f>+'ANEXOA-MODIFICADO'!K520</f>
        <v>179.38</v>
      </c>
      <c r="AF179" s="879">
        <f>+'ANEXOA-MODIFICADO'!L520</f>
        <v>178.89</v>
      </c>
      <c r="AG179" s="879">
        <f>+'ANEXOA-MODIFICADO'!M520</f>
        <v>179.52</v>
      </c>
      <c r="AH179" s="879">
        <f>+'ANEXOA-MODIFICADO'!N520</f>
        <v>180.32</v>
      </c>
      <c r="AI179" s="880">
        <f>+'ANEXOA-MODIFICADO'!O520</f>
        <v>183.84</v>
      </c>
      <c r="AJ179" s="881">
        <f>+'ANEXOA-MODIFICADO'!D528</f>
        <v>186.44</v>
      </c>
      <c r="AK179" s="879">
        <f>+'ANEXOA-MODIFICADO'!E528</f>
        <v>190.5</v>
      </c>
      <c r="AL179" s="879">
        <f>+'ANEXOA-MODIFICADO'!F528</f>
        <v>194.45</v>
      </c>
      <c r="AM179" s="879">
        <f>+'ANEXOA-MODIFICADO'!G528</f>
        <v>195.39</v>
      </c>
      <c r="AN179" s="879">
        <f>+'ANEXOA-MODIFICADO'!H528</f>
        <v>199.41</v>
      </c>
      <c r="AO179" s="879">
        <f>+'ANEXOA-MODIFICADO'!I528</f>
        <v>200.88</v>
      </c>
      <c r="AP179" s="879">
        <f>+'ANEXOA-MODIFICADO'!J528</f>
        <v>202.36</v>
      </c>
      <c r="AQ179" s="879">
        <f>+'ANEXOA-MODIFICADO'!K528</f>
        <v>204.05</v>
      </c>
      <c r="AR179" s="879">
        <f>+'ANEXOA-MODIFICADO'!L528</f>
        <v>204.28</v>
      </c>
      <c r="AS179" s="879">
        <f>+'ANEXOA-MODIFICADO'!M528</f>
        <v>204.97</v>
      </c>
      <c r="AT179" s="879">
        <f>+'ANEXOA-MODIFICADO'!N528</f>
        <v>204.99</v>
      </c>
      <c r="AU179" s="880">
        <f>+'ANEXOA-MODIFICADO'!O528</f>
        <v>206.8</v>
      </c>
      <c r="AV179" s="882">
        <f>+'ANEXOA-MODIFICADO'!E533</f>
        <v>192.78</v>
      </c>
      <c r="AW179" s="883">
        <f>+'ANEXOA-MODIFICADO'!F533</f>
        <v>216.58</v>
      </c>
      <c r="AX179" s="883">
        <f>+'ANEXOA-MODIFICADO'!G533</f>
        <v>217.55</v>
      </c>
      <c r="AY179" s="883">
        <f>+'ANEXOA-MODIFICADO'!H533</f>
        <v>221.13</v>
      </c>
      <c r="AZ179" s="883">
        <f>+'ANEXOA-MODIFICADO'!I533</f>
        <v>222.5</v>
      </c>
      <c r="BA179" s="883">
        <f>+'ANEXOA-MODIFICADO'!J533</f>
        <v>223.29</v>
      </c>
      <c r="BB179" s="883">
        <f>+'ANEXOA-MODIFICADO'!K533</f>
        <v>224.64</v>
      </c>
      <c r="BC179" s="883">
        <f>+'ANEXOA-MODIFICADO'!L533</f>
        <v>226.49</v>
      </c>
      <c r="BD179" s="883">
        <f>+'ANEXOA-MODIFICADO'!M533</f>
        <v>229.7</v>
      </c>
      <c r="BE179" s="883">
        <f>+'ANEXOA-MODIFICADO'!N533</f>
        <v>232.1</v>
      </c>
      <c r="BF179" s="883">
        <f>+'ANEXOA-MODIFICADO'!O533</f>
        <v>235.35</v>
      </c>
      <c r="BG179" s="896">
        <f>+'ANEXOA-MODIFICADO'!P533</f>
        <v>238.58</v>
      </c>
      <c r="BH179" s="886">
        <f>+'ANEXOA-MODIFICADO'!E539</f>
        <v>242.12</v>
      </c>
      <c r="BI179" s="887">
        <f>+'ANEXOA-MODIFICADO'!F539</f>
        <v>245.54</v>
      </c>
      <c r="BJ179" s="887">
        <f>+'ANEXOA-MODIFICADO'!G539</f>
        <v>247.7</v>
      </c>
      <c r="BK179" s="887">
        <f>+'ANEXOA-MODIFICADO'!H539</f>
        <v>249.56</v>
      </c>
      <c r="BL179" s="887">
        <f>+'ANEXOA-MODIFICADO'!I539</f>
        <v>250.61</v>
      </c>
      <c r="BM179" s="887">
        <f>+'ANEXOA-MODIFICADO'!J539</f>
        <v>257.27999999999997</v>
      </c>
      <c r="BN179" s="887">
        <f>+'ANEXOA-MODIFICADO'!K539</f>
        <v>260.95999999999998</v>
      </c>
      <c r="BO179" s="887">
        <f>+'ANEXOA-MODIFICADO'!L539</f>
        <v>263.5</v>
      </c>
      <c r="BP179" s="887">
        <f>+'ANEXOA-MODIFICADO'!M539</f>
        <v>268.02999999999997</v>
      </c>
      <c r="BQ179" s="887">
        <f>+'ANEXOA-MODIFICADO'!N539</f>
        <v>270.24</v>
      </c>
      <c r="BR179" s="887">
        <f>+'ANEXOA-MODIFICADO'!O539</f>
        <v>270.17</v>
      </c>
      <c r="BS179" s="888">
        <f>+'ANEXOA-MODIFICADO'!P539</f>
        <v>271.95999999999998</v>
      </c>
      <c r="BT179" s="886">
        <f>+'ANEXOA-MODIFICADO'!E545</f>
        <v>274.94</v>
      </c>
      <c r="BU179" s="887">
        <f>+'ANEXOA-MODIFICADO'!F545</f>
        <v>276.99</v>
      </c>
      <c r="BV179" s="887">
        <f>+'ANEXOA-MODIFICADO'!G545</f>
        <v>277.48</v>
      </c>
      <c r="BW179" s="887">
        <f>+'ANEXOA-MODIFICADO'!H545</f>
        <v>280.85000000000002</v>
      </c>
      <c r="BX179" s="887">
        <f>+'ANEXOA-MODIFICADO'!I545</f>
        <v>287.39</v>
      </c>
      <c r="BY179" s="887">
        <f>+'ANEXOA-MODIFICADO'!J545</f>
        <v>289.92</v>
      </c>
      <c r="BZ179" s="887">
        <f>+'ANEXOA-MODIFICADO'!K545</f>
        <v>295.42</v>
      </c>
      <c r="CA179" s="887">
        <f>+'ANEXOA-MODIFICADO'!L545</f>
        <v>301.27999999999997</v>
      </c>
      <c r="CB179" s="887">
        <f>+'ANEXOA-MODIFICADO'!M545</f>
        <v>303.92</v>
      </c>
      <c r="CC179" s="887">
        <v>310.74</v>
      </c>
      <c r="CD179" s="887">
        <f>+'ANEXOA-MODIFICADO'!O545</f>
        <v>311.83999999999997</v>
      </c>
      <c r="CE179" s="888">
        <f>+'ANEXOA-MODIFICADO'!P545</f>
        <v>315.57</v>
      </c>
      <c r="CF179" s="886">
        <f>+'ANEXOA-MODIFICADO'!E551</f>
        <v>322.56</v>
      </c>
      <c r="CG179" s="887">
        <f>+'ANEXOA-MODIFICADO'!F551</f>
        <v>323.52999999999997</v>
      </c>
      <c r="CH179" s="887">
        <f>+'ANEXOA-MODIFICADO'!G551</f>
        <v>327.99</v>
      </c>
      <c r="CI179" s="887">
        <f>+'ANEXOA-MODIFICADO'!H551</f>
        <v>331.22</v>
      </c>
      <c r="CJ179" s="887">
        <f>+'ANEXOA-MODIFICADO'!I551</f>
        <v>341.39</v>
      </c>
      <c r="CK179" s="887">
        <f>+'ANEXOA-MODIFICADO'!J551</f>
        <v>343.43</v>
      </c>
      <c r="CL179" s="887">
        <f>+'ANEXOA-MODIFICADO'!K551</f>
        <v>351.85</v>
      </c>
      <c r="CM179" s="887">
        <f>+'ANEXOA-MODIFICADO'!L551</f>
        <v>354.86</v>
      </c>
      <c r="CN179" s="887">
        <f>+'ANEXOA-MODIFICADO'!M551</f>
        <v>361.17</v>
      </c>
      <c r="CO179" s="887">
        <f>+'ANEXOA-MODIFICADO'!N551</f>
        <v>364.52</v>
      </c>
      <c r="CP179" s="887">
        <f>+'ANEXOA-MODIFICADO'!O551</f>
        <v>368.5</v>
      </c>
      <c r="CQ179" s="888">
        <f>+'ANEXOA-MODIFICADO'!P551</f>
        <v>370.1</v>
      </c>
      <c r="CR179" s="886">
        <f>'ANEXOA-MODIFICADO'!E557</f>
        <v>372.95</v>
      </c>
      <c r="CS179" s="887">
        <f>'ANEXOA-MODIFICADO'!F557</f>
        <v>374.51</v>
      </c>
      <c r="CT179" s="887">
        <f>'ANEXOA-MODIFICADO'!G557</f>
        <v>376.4</v>
      </c>
      <c r="CU179" s="887">
        <f>'ANEXOA-MODIFICADO'!H557</f>
        <v>378.79</v>
      </c>
      <c r="CV179" s="887">
        <f>'ANEXOA-MODIFICADO'!I557</f>
        <v>381.69</v>
      </c>
      <c r="CW179" s="887">
        <f>'ANEXOA-MODIFICADO'!J557</f>
        <v>388.46</v>
      </c>
      <c r="CX179" s="887">
        <f>'ANEXOA-MODIFICADO'!K557</f>
        <v>391.4</v>
      </c>
      <c r="CY179" s="887">
        <f>'ANEXOA-MODIFICADO'!L557</f>
        <v>396.46</v>
      </c>
      <c r="CZ179" s="887">
        <f>'ANEXOA-MODIFICADO'!M557</f>
        <v>398.65</v>
      </c>
      <c r="DA179" s="887">
        <f>'ANEXOA-MODIFICADO'!N557</f>
        <v>404.98</v>
      </c>
      <c r="DB179" s="888">
        <f>'ANEXOA-MODIFICADO'!O557</f>
        <v>408.4</v>
      </c>
      <c r="DC179" s="888">
        <f>'ANEXOA-MODIFICADO'!P557</f>
        <v>409.6</v>
      </c>
      <c r="DD179" s="890">
        <f>+'ANEXOA-MODIFICADO'!E563</f>
        <v>410.39</v>
      </c>
      <c r="DE179" s="887">
        <f>+'ANEXOA-MODIFICADO'!F563</f>
        <v>418.81</v>
      </c>
      <c r="DF179" s="889">
        <f>+'ANEXOA-MODIFICADO'!G563</f>
        <v>431.99</v>
      </c>
      <c r="DG179" s="888">
        <f>+'ANEXOA-MODIFICADO'!H563</f>
        <v>430.34</v>
      </c>
      <c r="DH179" s="887">
        <f>+'ANEXOA-MODIFICADO'!I563</f>
        <v>443.63</v>
      </c>
      <c r="DI179" s="887">
        <f>+'ANEXOA-MODIFICADO'!J563</f>
        <v>448.45</v>
      </c>
      <c r="DJ179" s="887">
        <f>+'ANEXOA-MODIFICADO'!K563</f>
        <v>455.61</v>
      </c>
      <c r="DK179" s="888">
        <f>+'ANEXOA-MODIFICADO'!L563</f>
        <v>463.86</v>
      </c>
      <c r="DL179" s="887">
        <f>+'ANEXOA-MODIFICADO'!M563</f>
        <v>468.98</v>
      </c>
      <c r="DM179" s="888">
        <f>+'ANEXOA-MODIFICADO'!N563</f>
        <v>474.44</v>
      </c>
      <c r="DN179" s="888">
        <f>+'ANEXOA-MODIFICADO'!O563</f>
        <v>482.14</v>
      </c>
      <c r="DO179" s="968">
        <f>+'ANEXOA-MODIFICADO'!P563</f>
        <v>494.89</v>
      </c>
      <c r="DP179" s="890">
        <f>+'ANEXOA-MODIFICADO'!E569</f>
        <v>506.97</v>
      </c>
      <c r="DQ179" s="888">
        <f>+'ANEXOA-MODIFICADO'!F569</f>
        <v>512.86</v>
      </c>
      <c r="DR179" s="888">
        <f>+'ANEXOA-MODIFICADO'!G569</f>
        <v>521.13</v>
      </c>
      <c r="DS179" s="888">
        <f>+'ANEXOA-MODIFICADO'!H569</f>
        <v>532.46</v>
      </c>
      <c r="DT179" s="887">
        <f>+'ANEXOA-MODIFICADO'!I569</f>
        <v>536.42999999999995</v>
      </c>
      <c r="DU179" s="888">
        <f>+'ANEXOA-MODIFICADO'!J569</f>
        <v>543.38</v>
      </c>
      <c r="DV179" s="888">
        <f>+'ANEXOA-MODIFICADO'!K569</f>
        <v>560.61</v>
      </c>
      <c r="DW179" s="888">
        <f>+'ANEXOA-MODIFICADO'!L569</f>
        <v>568.12</v>
      </c>
      <c r="DX179" s="888">
        <f>+'ANEXOA-MODIFICADO'!M569</f>
        <v>577.13</v>
      </c>
      <c r="DY179" s="888">
        <f>+'ANEXOA-MODIFICADO'!N569</f>
        <v>588.71</v>
      </c>
      <c r="DZ179" s="888">
        <v>600.04999999999995</v>
      </c>
      <c r="EA179" s="968">
        <f>+'ANEXOA-MODIFICADO'!P569</f>
        <v>605.79999999999995</v>
      </c>
      <c r="EB179" s="888">
        <f>+'ANEXOA-MODIFICADO'!E575</f>
        <v>619.45000000000005</v>
      </c>
      <c r="EC179" s="888">
        <f>+'ANEXOA-MODIFICADO'!F575</f>
        <v>628.87</v>
      </c>
      <c r="ED179" s="888">
        <f>+'ANEXOA-MODIFICADO'!G575</f>
        <v>638.28</v>
      </c>
      <c r="EE179" s="888">
        <f>+'ANEXOA-MODIFICADO'!H575</f>
        <v>642.79999999999995</v>
      </c>
      <c r="EF179" s="888">
        <f>+'ANEXOA-MODIFICADO'!I575</f>
        <v>630.91</v>
      </c>
      <c r="EG179" s="888">
        <f>+'ANEXOA-MODIFICADO'!J575</f>
        <v>634.01</v>
      </c>
      <c r="EH179" s="888">
        <f>+'ANEXOA-MODIFICADO'!K575</f>
        <v>690.46</v>
      </c>
      <c r="EI179" s="888">
        <f>+'ANEXOA-MODIFICADO'!L575</f>
        <v>698.86</v>
      </c>
      <c r="EJ179" s="888">
        <f>+'ANEXOA-MODIFICADO'!M575</f>
        <v>708.93</v>
      </c>
      <c r="EK179" s="887">
        <f>+'ANEXOA-MODIFICADO'!N575</f>
        <v>712.89</v>
      </c>
      <c r="EL179" s="888">
        <f>+'ANEXOA-MODIFICADO'!O575</f>
        <v>728.11</v>
      </c>
      <c r="EM179" s="888">
        <f>+'ANEXOA-MODIFICADO'!P575</f>
        <v>731.78</v>
      </c>
      <c r="EN179" s="890">
        <f>+'ANEXOA-MODIFICADO'!E581</f>
        <v>740.21</v>
      </c>
      <c r="EO179" s="888">
        <f>+'ANEXOA-MODIFICADO'!F581</f>
        <v>747.3</v>
      </c>
      <c r="EP179" s="888">
        <f>+'ANEXOA-MODIFICADO'!G581</f>
        <v>756.94</v>
      </c>
      <c r="EQ179" s="888">
        <f>+'ANEXOA-MODIFICADO'!H581</f>
        <v>775.18</v>
      </c>
      <c r="ER179" s="888">
        <f>+'ANEXOA-MODIFICADO'!I581</f>
        <v>782.4</v>
      </c>
      <c r="ES179" s="888">
        <f>+'ANEXOA-MODIFICADO'!J581</f>
        <v>825.12</v>
      </c>
      <c r="ET179" s="888">
        <f>+'ANEXOA-MODIFICADO'!K581</f>
        <v>834.27</v>
      </c>
      <c r="EU179" s="888">
        <f>+'ANEXOA-MODIFICADO'!L581</f>
        <v>842.66</v>
      </c>
      <c r="EV179" s="888">
        <f>+'ANEXOA-MODIFICADO'!M581</f>
        <v>867.91</v>
      </c>
      <c r="EW179" s="888">
        <f>+'ANEXOA-MODIFICADO'!N581</f>
        <v>874.44</v>
      </c>
      <c r="EX179" s="888">
        <f>+'ANEXOA-MODIFICADO'!O581</f>
        <v>883.33</v>
      </c>
      <c r="EY179" s="888">
        <f>+'ANEXOA-MODIFICADO'!P581</f>
        <v>892.18</v>
      </c>
      <c r="EZ179" s="783">
        <f>'ANEXOA-MODIFICADO'!E587</f>
        <v>920.32</v>
      </c>
      <c r="FA179" s="659">
        <f>'ANEXOA-MODIFICADO'!F587</f>
        <v>961.75</v>
      </c>
      <c r="FB179" s="659">
        <f>'ANEXOA-MODIFICADO'!G587</f>
        <v>989.3</v>
      </c>
      <c r="FC179" s="659">
        <f>'ANEXOA-MODIFICADO'!H587</f>
        <v>1005.49</v>
      </c>
      <c r="FD179" s="659">
        <f>'ANEXOA-MODIFICADO'!I587</f>
        <v>1055.02</v>
      </c>
      <c r="FE179" s="659">
        <f>'ANEXOA-MODIFICADO'!J587</f>
        <v>1076.48</v>
      </c>
      <c r="FF179" s="659">
        <f>'ANEXOA-MODIFICADO'!K587</f>
        <v>1089.32</v>
      </c>
      <c r="FG179" s="659">
        <f>'ANEXOA-MODIFICADO'!L587</f>
        <v>1121.49</v>
      </c>
      <c r="FH179" s="659">
        <f>'ANEXOA-MODIFICADO'!M587</f>
        <v>1138.08</v>
      </c>
      <c r="FI179" s="659">
        <f>'ANEXOA-MODIFICADO'!N587</f>
        <v>1152.02</v>
      </c>
      <c r="FJ179" s="659">
        <f>'ANEXOA-MODIFICADO'!O587</f>
        <v>1160.47</v>
      </c>
      <c r="FK179" s="897">
        <f>'ANEXOA-MODIFICADO'!P587</f>
        <v>1172.73</v>
      </c>
      <c r="FL179" s="660">
        <f>'ANEXOA-MODIFICADO'!E593</f>
        <v>1188.99</v>
      </c>
      <c r="FM179" s="623">
        <f>'ANEXOA-MODIFICADO'!F593</f>
        <v>1189.96</v>
      </c>
      <c r="FN179" s="623">
        <f>'ANEXOA-MODIFICADO'!G593</f>
        <v>1212.46</v>
      </c>
      <c r="FO179" s="623">
        <f>'ANEXOA-MODIFICADO'!H593</f>
        <v>1222.73</v>
      </c>
      <c r="FP179" s="623">
        <f>'ANEXOA-MODIFICADO'!I593</f>
        <v>1271.1099999999999</v>
      </c>
      <c r="FQ179" s="623">
        <f>'ANEXOA-MODIFICADO'!J593</f>
        <v>1286.3599999999999</v>
      </c>
      <c r="FR179" s="623">
        <f>'ANEXOA-MODIFICADO'!K593</f>
        <v>1304.8800000000001</v>
      </c>
      <c r="FS179" s="623">
        <f>'ANEXOA-MODIFICADO'!L593</f>
        <v>1356.29</v>
      </c>
      <c r="FT179" s="623">
        <f>'ANEXOA-MODIFICADO'!M593</f>
        <v>1378.09</v>
      </c>
      <c r="FU179" s="897">
        <f>'ANEXOA-MODIFICADO'!N593</f>
        <v>1393.05</v>
      </c>
      <c r="FV179" s="1167">
        <f t="shared" si="3"/>
        <v>1.0108556044960779</v>
      </c>
    </row>
    <row r="180" spans="1:178" s="115" customFormat="1" ht="33" customHeight="1">
      <c r="A180" s="1546">
        <v>1</v>
      </c>
      <c r="B180" s="408">
        <v>225</v>
      </c>
      <c r="C180" s="621"/>
      <c r="D180" s="622" t="s">
        <v>361</v>
      </c>
      <c r="E180" s="621"/>
      <c r="F180" s="622"/>
      <c r="G180" s="621" t="s">
        <v>336</v>
      </c>
      <c r="H180" s="621"/>
      <c r="I180" s="390" t="s">
        <v>437</v>
      </c>
      <c r="J180" s="676" t="s">
        <v>362</v>
      </c>
      <c r="K180" s="669">
        <v>100</v>
      </c>
      <c r="L180" s="665">
        <v>105.01</v>
      </c>
      <c r="M180" s="625">
        <v>119.94</v>
      </c>
      <c r="N180" s="625">
        <v>139.55000000000001</v>
      </c>
      <c r="O180" s="625">
        <v>168.16</v>
      </c>
      <c r="P180" s="625">
        <v>216.34</v>
      </c>
      <c r="Q180" s="625">
        <v>241.34</v>
      </c>
      <c r="R180" s="625">
        <v>254.35</v>
      </c>
      <c r="S180" s="625">
        <v>271.19</v>
      </c>
      <c r="T180" s="625">
        <v>277.08</v>
      </c>
      <c r="U180" s="625">
        <v>281.11</v>
      </c>
      <c r="V180" s="625">
        <v>270.2</v>
      </c>
      <c r="W180" s="625">
        <v>268.2</v>
      </c>
      <c r="X180" s="625">
        <v>269.62</v>
      </c>
      <c r="Y180" s="625">
        <v>268.14999999999998</v>
      </c>
      <c r="Z180" s="625">
        <v>261.60000000000002</v>
      </c>
      <c r="AA180" s="625">
        <v>255.96</v>
      </c>
      <c r="AB180" s="625">
        <v>253.3</v>
      </c>
      <c r="AC180" s="625">
        <v>250.95</v>
      </c>
      <c r="AD180" s="625">
        <v>248.39</v>
      </c>
      <c r="AE180" s="625">
        <v>252.38</v>
      </c>
      <c r="AF180" s="625">
        <v>253.44</v>
      </c>
      <c r="AG180" s="625">
        <v>252.68</v>
      </c>
      <c r="AH180" s="625">
        <v>254.25</v>
      </c>
      <c r="AI180" s="764">
        <v>257.76</v>
      </c>
      <c r="AJ180" s="772">
        <v>259.33999999999997</v>
      </c>
      <c r="AK180" s="625">
        <v>260.86</v>
      </c>
      <c r="AL180" s="625">
        <v>260.54000000000002</v>
      </c>
      <c r="AM180" s="625">
        <v>258.39</v>
      </c>
      <c r="AN180" s="625">
        <v>261.72000000000003</v>
      </c>
      <c r="AO180" s="625">
        <v>263.45999999999998</v>
      </c>
      <c r="AP180" s="625">
        <v>263.29000000000002</v>
      </c>
      <c r="AQ180" s="625">
        <v>270.10000000000002</v>
      </c>
      <c r="AR180" s="625">
        <f>+'ANEXO C'!AC46</f>
        <v>269.45999999999998</v>
      </c>
      <c r="AS180" s="625">
        <f>+'ANEXO C'!AD46</f>
        <v>269.2</v>
      </c>
      <c r="AT180" s="625">
        <f>+'ANEXO C'!AE46</f>
        <v>269.29000000000002</v>
      </c>
      <c r="AU180" s="764">
        <f>+'ANEXO C'!AF46</f>
        <v>270.33</v>
      </c>
      <c r="AV180" s="752">
        <f>+'ANEXO C'!AG46</f>
        <v>272.48</v>
      </c>
      <c r="AW180" s="626">
        <f>+'ANEXO C'!AH46</f>
        <v>271.48</v>
      </c>
      <c r="AX180" s="626">
        <f>+'ANEXO C'!AI46</f>
        <v>285.87</v>
      </c>
      <c r="AY180" s="626">
        <f>+'ANEXO C'!AJ46</f>
        <v>288.04000000000002</v>
      </c>
      <c r="AZ180" s="626">
        <f>+'ANEXO C'!AK46</f>
        <v>287.73</v>
      </c>
      <c r="BA180" s="626">
        <f>+'ANEXO C'!AL46</f>
        <v>285.89999999999998</v>
      </c>
      <c r="BB180" s="626">
        <f>+'ANEXO C'!AM46</f>
        <v>285.56</v>
      </c>
      <c r="BC180" s="626">
        <f>+'ANEXO C'!AN46</f>
        <v>286.01</v>
      </c>
      <c r="BD180" s="626">
        <f>+'ANEXO C'!AO46</f>
        <v>286.60000000000002</v>
      </c>
      <c r="BE180" s="626">
        <f>+'ANEXO C'!AP46</f>
        <v>287.92</v>
      </c>
      <c r="BF180" s="626">
        <f>+'ANEXO C'!AQ46</f>
        <v>297.36</v>
      </c>
      <c r="BG180" s="749">
        <f>+'ANEXO C'!AR46</f>
        <v>298.60000000000002</v>
      </c>
      <c r="BH180" s="660">
        <f>+'ANEXO C'!AS46</f>
        <v>302.60000000000002</v>
      </c>
      <c r="BI180" s="623">
        <f>+'ANEXO C'!AT46</f>
        <v>303.31</v>
      </c>
      <c r="BJ180" s="623">
        <f>+'ANEXO C'!AU46</f>
        <v>307.14999999999998</v>
      </c>
      <c r="BK180" s="623">
        <f>+'ANEXO C'!AV46</f>
        <v>304.3</v>
      </c>
      <c r="BL180" s="623">
        <f>+'ANEXO C'!AW46</f>
        <v>309.47000000000003</v>
      </c>
      <c r="BM180" s="623">
        <f>+'ANEXO C'!AX46</f>
        <v>309.66000000000003</v>
      </c>
      <c r="BN180" s="623">
        <f>+'ANEXO C'!AY46</f>
        <v>312.61</v>
      </c>
      <c r="BO180" s="623">
        <f>+'ANEXO C'!AZ46</f>
        <v>314.37</v>
      </c>
      <c r="BP180" s="623">
        <f>+'ANEXO C'!BA46</f>
        <v>300.58</v>
      </c>
      <c r="BQ180" s="623">
        <f>+'ANEXO C'!BB46</f>
        <v>320.26</v>
      </c>
      <c r="BR180" s="623">
        <f>+'ANEXO C'!BC46</f>
        <v>318.18</v>
      </c>
      <c r="BS180" s="659">
        <f>+'ANEXO C'!BD46</f>
        <v>318.32</v>
      </c>
      <c r="BT180" s="660">
        <f>+'ANEXO C'!BE46</f>
        <v>324.14999999999998</v>
      </c>
      <c r="BU180" s="623">
        <f>+'ANEXO C'!BF46</f>
        <v>325.49</v>
      </c>
      <c r="BV180" s="623">
        <f>+'ANEXO C'!BG46</f>
        <v>324.68</v>
      </c>
      <c r="BW180" s="623">
        <f>+'ANEXO C'!BH46</f>
        <v>324.97000000000003</v>
      </c>
      <c r="BX180" s="623">
        <f>+'ANEXO C'!BI46</f>
        <v>335.3</v>
      </c>
      <c r="BY180" s="623">
        <f>+'ANEXO C'!BJ46</f>
        <v>336.32</v>
      </c>
      <c r="BZ180" s="623">
        <f>+'ANEXO C'!BK46</f>
        <v>344.15</v>
      </c>
      <c r="CA180" s="623">
        <f>+'ANEXO C'!BL46</f>
        <v>344.41</v>
      </c>
      <c r="CB180" s="623">
        <f>+'ANEXO C'!BM46</f>
        <v>345.08</v>
      </c>
      <c r="CC180" s="623">
        <v>346.47</v>
      </c>
      <c r="CD180" s="623">
        <f>+'ANEXO C'!BO46</f>
        <v>347.16</v>
      </c>
      <c r="CE180" s="659">
        <f>+'ANEXO C'!BP46</f>
        <v>360.91</v>
      </c>
      <c r="CF180" s="660">
        <f>+'ANEXO C'!BQ46</f>
        <v>347.6</v>
      </c>
      <c r="CG180" s="623">
        <f>+'ANEXO C'!BR46</f>
        <v>340.31</v>
      </c>
      <c r="CH180" s="623">
        <f>+'ANEXO C'!BS46</f>
        <v>341.61</v>
      </c>
      <c r="CI180" s="623">
        <f>+'ANEXO C'!BT46</f>
        <v>354.36</v>
      </c>
      <c r="CJ180" s="623">
        <f>+'ANEXO C'!BU46</f>
        <v>361.54</v>
      </c>
      <c r="CK180" s="623">
        <f>+'ANEXO C'!BV46</f>
        <v>361.76</v>
      </c>
      <c r="CL180" s="623">
        <f>+'ANEXO C'!BW46</f>
        <v>369.83</v>
      </c>
      <c r="CM180" s="623">
        <f>+'ANEXO C'!BX46</f>
        <v>367.5</v>
      </c>
      <c r="CN180" s="623">
        <f>+'ANEXO C'!BY46</f>
        <v>370.89</v>
      </c>
      <c r="CO180" s="623">
        <f>+'ANEXO C'!BZ46</f>
        <v>375.66</v>
      </c>
      <c r="CP180" s="623">
        <f>+'ANEXO C'!CA46</f>
        <v>377.66</v>
      </c>
      <c r="CQ180" s="659">
        <f>+'ANEXO C'!CB46</f>
        <v>380.75</v>
      </c>
      <c r="CR180" s="660">
        <f>+'ANEXO C'!CC46</f>
        <v>383.74</v>
      </c>
      <c r="CS180" s="623">
        <f>+'ANEXO C'!CD46</f>
        <v>388.72</v>
      </c>
      <c r="CT180" s="623">
        <f>+'ANEXO C'!CE46</f>
        <v>395.09</v>
      </c>
      <c r="CU180" s="623">
        <f>+'ANEXO C'!CF46</f>
        <v>404.22</v>
      </c>
      <c r="CV180" s="623">
        <f>+'ANEXO C'!CG46</f>
        <v>414.57</v>
      </c>
      <c r="CW180" s="623">
        <f>+'ANEXO C'!CH46</f>
        <v>426.34</v>
      </c>
      <c r="CX180" s="623">
        <f>+'ANEXO C'!CI46</f>
        <v>435.21</v>
      </c>
      <c r="CY180" s="623">
        <f>+'ANEXO C'!CJ46</f>
        <v>437.61</v>
      </c>
      <c r="CZ180" s="623">
        <f>+'ANEXO C'!CK46</f>
        <v>438.85</v>
      </c>
      <c r="DA180" s="623">
        <f>+'ANEXO C'!CL46</f>
        <v>452.12</v>
      </c>
      <c r="DB180" s="659">
        <f>+'ANEXO C'!CM46</f>
        <v>452.72</v>
      </c>
      <c r="DC180" s="659">
        <f>+'ANEXO C'!CN46</f>
        <v>453.58</v>
      </c>
      <c r="DD180" s="783">
        <f>+'ANEXO C'!CO46</f>
        <v>454.21</v>
      </c>
      <c r="DE180" s="623">
        <f>+'ANEXO C'!CP46</f>
        <v>455.86</v>
      </c>
      <c r="DF180" s="725">
        <f>+'ANEXO C'!CQ46</f>
        <v>464.22</v>
      </c>
      <c r="DG180" s="659">
        <f>+'ANEXO C'!CR46</f>
        <v>470.98</v>
      </c>
      <c r="DH180" s="623">
        <f>+'ANEXO C'!CS46</f>
        <v>488.97</v>
      </c>
      <c r="DI180" s="623">
        <f>+'ANEXO C'!CT46</f>
        <v>496.14</v>
      </c>
      <c r="DJ180" s="623">
        <f>+'ANEXO C'!CU46</f>
        <v>501.36</v>
      </c>
      <c r="DK180" s="659">
        <f>+'ANEXO C'!CV46</f>
        <v>514.01</v>
      </c>
      <c r="DL180" s="623">
        <f>+'ANEXO C'!CW46</f>
        <v>518.32000000000005</v>
      </c>
      <c r="DM180" s="659">
        <f>+'ANEXO C'!CX46</f>
        <v>520.65</v>
      </c>
      <c r="DN180" s="659">
        <f>+'ANEXO C'!CY46</f>
        <v>522.4</v>
      </c>
      <c r="DO180" s="897">
        <f>+'ANEXO C'!CZ46</f>
        <v>539.07000000000005</v>
      </c>
      <c r="DP180" s="783">
        <f>+'ANEXO C'!DA46</f>
        <v>549.11</v>
      </c>
      <c r="DQ180" s="659">
        <f>+'ANEXO C'!DB46</f>
        <v>550.63</v>
      </c>
      <c r="DR180" s="659">
        <f>+'ANEXO C'!DC46</f>
        <v>552.38</v>
      </c>
      <c r="DS180" s="659">
        <f>+'ANEXO C'!DD46</f>
        <v>585.30999999999995</v>
      </c>
      <c r="DT180" s="623">
        <f>+'ANEXO C'!DE46</f>
        <v>589.73</v>
      </c>
      <c r="DU180" s="659">
        <f>+'ANEXO C'!DF46</f>
        <v>593.15</v>
      </c>
      <c r="DV180" s="659">
        <f>+'ANEXO C'!DG46</f>
        <v>599.66999999999996</v>
      </c>
      <c r="DW180" s="659">
        <f>+'ANEXO C'!DH46</f>
        <v>614.61</v>
      </c>
      <c r="DX180" s="659">
        <f>+'ANEXO C'!DI46</f>
        <v>618.11</v>
      </c>
      <c r="DY180" s="659">
        <f>+'ANEXO C'!DJ46</f>
        <v>620.83000000000004</v>
      </c>
      <c r="DZ180" s="659">
        <f>+'ANEXO C'!DK46</f>
        <v>632.33000000000004</v>
      </c>
      <c r="EA180" s="897">
        <f>+'ANEXO C'!DL46</f>
        <v>636.49</v>
      </c>
      <c r="EB180" s="659">
        <f>+'ANEXO C'!DM46</f>
        <v>648.14</v>
      </c>
      <c r="EC180" s="659">
        <f>+'ANEXO C'!DN46</f>
        <v>649.97</v>
      </c>
      <c r="ED180" s="659">
        <f>+'ANEXO C'!DO46</f>
        <v>656.73</v>
      </c>
      <c r="EE180" s="659">
        <f>+'ANEXO C'!DP46</f>
        <v>659.8</v>
      </c>
      <c r="EF180" s="659">
        <f>+'ANEXO C'!DQ46</f>
        <v>667.12</v>
      </c>
      <c r="EG180" s="659">
        <f>+'ANEXO C'!DR46</f>
        <v>726.92</v>
      </c>
      <c r="EH180" s="659">
        <f>+'ANEXO C'!DS46</f>
        <v>737.74</v>
      </c>
      <c r="EI180" s="659">
        <f>+'ANEXO C'!DT46</f>
        <v>740.71</v>
      </c>
      <c r="EJ180" s="659">
        <f>+'ANEXO C'!DU46</f>
        <v>742.46</v>
      </c>
      <c r="EK180" s="623">
        <f>+'ANEXO C'!DV46</f>
        <v>743.4</v>
      </c>
      <c r="EL180" s="659">
        <f>+'ANEXO C'!DW46</f>
        <v>748.09</v>
      </c>
      <c r="EM180" s="659">
        <f>+'ANEXO C'!DX46</f>
        <v>749.32</v>
      </c>
      <c r="EN180" s="783">
        <f>+'ANEXO C'!DY46</f>
        <v>753.89</v>
      </c>
      <c r="EO180" s="659">
        <f>+'ANEXO C'!DZ46</f>
        <v>758.15</v>
      </c>
      <c r="EP180" s="659">
        <f>+'ANEXO C'!EA46</f>
        <v>766.56</v>
      </c>
      <c r="EQ180" s="659">
        <f>+'ANEXO C'!EB46</f>
        <v>775.76</v>
      </c>
      <c r="ER180" s="659">
        <f>+'ANEXO C'!EC46</f>
        <v>782.84</v>
      </c>
      <c r="ES180" s="659">
        <f>+'ANEXO C'!ED46</f>
        <v>836.6</v>
      </c>
      <c r="ET180" s="659">
        <f>+'ANEXO C'!EE46</f>
        <v>840.89</v>
      </c>
      <c r="EU180" s="659">
        <f>+'ANEXO C'!EF46</f>
        <v>844.91</v>
      </c>
      <c r="EV180" s="659">
        <f>+'ANEXO C'!EG46</f>
        <v>865.67</v>
      </c>
      <c r="EW180" s="659">
        <f>+'ANEXO C'!EH46</f>
        <v>866.48</v>
      </c>
      <c r="EX180" s="659">
        <f>+'ANEXO C'!EI46</f>
        <v>869.37</v>
      </c>
      <c r="EY180" s="659">
        <f>+'ANEXO C'!EJ46</f>
        <v>876.81</v>
      </c>
      <c r="EZ180" s="783">
        <f>'ANEXO C'!EK46</f>
        <v>896.4</v>
      </c>
      <c r="FA180" s="659">
        <f>'ANEXO C'!EL46</f>
        <v>919.48</v>
      </c>
      <c r="FB180" s="659">
        <f>'ANEXO C'!EM46</f>
        <v>942.91</v>
      </c>
      <c r="FC180" s="659">
        <f>'ANEXO C'!EN46</f>
        <v>1033.31</v>
      </c>
      <c r="FD180" s="659">
        <f>'ANEXO C'!EO46</f>
        <v>1038.48</v>
      </c>
      <c r="FE180" s="659">
        <f>'ANEXO C'!EP46</f>
        <v>1043.0999999999999</v>
      </c>
      <c r="FF180" s="659">
        <f>'ANEXO C'!EQ46</f>
        <v>1103.46</v>
      </c>
      <c r="FG180" s="659">
        <f>'ANEXO C'!ER46</f>
        <v>1114.02</v>
      </c>
      <c r="FH180" s="659">
        <f>'ANEXO C'!ES46</f>
        <v>1125.1400000000001</v>
      </c>
      <c r="FI180" s="659">
        <f>'ANEXO C'!ET46</f>
        <v>1129.67</v>
      </c>
      <c r="FJ180" s="659">
        <f>'ANEXO C'!EU46</f>
        <v>1132.75</v>
      </c>
      <c r="FK180" s="897">
        <f>'ANEXO C'!EV46</f>
        <v>1133.22</v>
      </c>
      <c r="FL180" s="660">
        <f>'ANEXO C'!EW46</f>
        <v>1114.48</v>
      </c>
      <c r="FM180" s="623">
        <f>'ANEXO C'!EX46</f>
        <v>1120.74</v>
      </c>
      <c r="FN180" s="623">
        <f>'ANEXO C'!EY46</f>
        <v>1132.23</v>
      </c>
      <c r="FO180" s="623">
        <f>'ANEXO C'!EZ46</f>
        <v>1215.6300000000001</v>
      </c>
      <c r="FP180" s="623">
        <f>'ANEXO C'!FA46</f>
        <v>1227.72</v>
      </c>
      <c r="FQ180" s="623">
        <f>'ANEXO C'!FB46</f>
        <v>1242.6500000000001</v>
      </c>
      <c r="FR180" s="623">
        <f>'ANEXO C'!FC46</f>
        <v>1252.9100000000001</v>
      </c>
      <c r="FS180" s="623">
        <f>'ANEXO C'!FD46</f>
        <v>1307.32</v>
      </c>
      <c r="FT180" s="623">
        <f>'ANEXO C'!FE46</f>
        <v>1309.47</v>
      </c>
      <c r="FU180" s="897">
        <f>'ANEXO C'!FF46</f>
        <v>1313.27</v>
      </c>
      <c r="FV180" s="1167">
        <f t="shared" si="3"/>
        <v>1.0029019374250652</v>
      </c>
    </row>
    <row r="181" spans="1:178" s="115" customFormat="1" ht="15.75" customHeight="1">
      <c r="A181" s="1546">
        <v>1</v>
      </c>
      <c r="B181" s="408"/>
      <c r="C181" s="621"/>
      <c r="D181" s="622"/>
      <c r="E181" s="621"/>
      <c r="F181" s="622"/>
      <c r="G181" s="621"/>
      <c r="H181" s="621"/>
      <c r="I181" s="631"/>
      <c r="J181" s="676"/>
      <c r="K181" s="669"/>
      <c r="L181" s="665"/>
      <c r="M181" s="625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623"/>
      <c r="DM181" s="659"/>
      <c r="DN181" s="659"/>
      <c r="DO181" s="897"/>
      <c r="DP181" s="783"/>
      <c r="DQ181" s="659"/>
      <c r="DR181" s="659"/>
      <c r="DS181" s="659"/>
      <c r="DT181" s="623"/>
      <c r="DU181" s="659"/>
      <c r="DV181" s="659"/>
      <c r="DW181" s="659"/>
      <c r="DX181" s="659"/>
      <c r="DY181" s="659"/>
      <c r="DZ181" s="659"/>
      <c r="EA181" s="897"/>
      <c r="EB181" s="659"/>
      <c r="EC181" s="659"/>
      <c r="ED181" s="659"/>
      <c r="EE181" s="659"/>
      <c r="EF181" s="659"/>
      <c r="EG181" s="659"/>
      <c r="EH181" s="659"/>
      <c r="EI181" s="659"/>
      <c r="EJ181" s="659"/>
      <c r="EK181" s="623"/>
      <c r="EL181" s="725"/>
      <c r="EM181" s="659"/>
      <c r="EN181" s="783"/>
      <c r="EO181" s="659"/>
      <c r="EP181" s="659"/>
      <c r="EQ181" s="659"/>
      <c r="ER181" s="659"/>
      <c r="ES181" s="659"/>
      <c r="ET181" s="659"/>
      <c r="EU181" s="659"/>
      <c r="EV181" s="659"/>
      <c r="EW181" s="659"/>
      <c r="EX181" s="659"/>
      <c r="EY181" s="659"/>
      <c r="EZ181" s="783"/>
      <c r="FA181" s="659"/>
      <c r="FB181" s="659"/>
      <c r="FC181" s="659"/>
      <c r="FD181" s="659"/>
      <c r="FE181" s="659"/>
      <c r="FF181" s="659"/>
      <c r="FG181" s="659"/>
      <c r="FH181" s="659"/>
      <c r="FI181" s="659"/>
      <c r="FJ181" s="659"/>
      <c r="FK181" s="897"/>
      <c r="FL181" s="660"/>
      <c r="FM181" s="623"/>
      <c r="FN181" s="623"/>
      <c r="FO181" s="623"/>
      <c r="FP181" s="623"/>
      <c r="FQ181" s="623"/>
      <c r="FR181" s="623"/>
      <c r="FS181" s="623"/>
      <c r="FT181" s="623"/>
      <c r="FU181" s="897"/>
      <c r="FV181" s="1167"/>
    </row>
    <row r="182" spans="1:178" s="115" customFormat="1" ht="18" customHeight="1">
      <c r="A182" s="1546">
        <v>1</v>
      </c>
      <c r="B182" s="613"/>
      <c r="C182" s="614"/>
      <c r="D182" s="615"/>
      <c r="E182" s="614"/>
      <c r="F182" s="615"/>
      <c r="G182" s="614"/>
      <c r="H182" s="614"/>
      <c r="I182" s="616"/>
      <c r="J182" s="679"/>
      <c r="K182" s="671"/>
      <c r="L182" s="667"/>
      <c r="M182" s="618"/>
      <c r="N182" s="618"/>
      <c r="O182" s="618"/>
      <c r="P182" s="618"/>
      <c r="Q182" s="618"/>
      <c r="R182" s="618"/>
      <c r="S182" s="618"/>
      <c r="T182" s="618"/>
      <c r="U182" s="618"/>
      <c r="V182" s="618"/>
      <c r="W182" s="618"/>
      <c r="X182" s="618"/>
      <c r="Y182" s="618"/>
      <c r="Z182" s="618"/>
      <c r="AA182" s="618"/>
      <c r="AB182" s="618"/>
      <c r="AC182" s="618"/>
      <c r="AD182" s="618"/>
      <c r="AE182" s="618"/>
      <c r="AF182" s="618"/>
      <c r="AG182" s="618"/>
      <c r="AH182" s="618"/>
      <c r="AI182" s="766"/>
      <c r="AJ182" s="774"/>
      <c r="AK182" s="618"/>
      <c r="AL182" s="618"/>
      <c r="AM182" s="618"/>
      <c r="AN182" s="618"/>
      <c r="AO182" s="618"/>
      <c r="AP182" s="618"/>
      <c r="AQ182" s="618"/>
      <c r="AR182" s="618"/>
      <c r="AS182" s="618"/>
      <c r="AT182" s="618"/>
      <c r="AU182" s="766"/>
      <c r="AV182" s="769"/>
      <c r="AW182" s="619"/>
      <c r="AX182" s="619"/>
      <c r="AY182" s="619"/>
      <c r="AZ182" s="619"/>
      <c r="BA182" s="648"/>
      <c r="BB182" s="648"/>
      <c r="BC182" s="620"/>
      <c r="BD182" s="619"/>
      <c r="BE182" s="620"/>
      <c r="BF182" s="620"/>
      <c r="BG182" s="750"/>
      <c r="BH182" s="662"/>
      <c r="BI182" s="617"/>
      <c r="BJ182" s="617"/>
      <c r="BK182" s="617"/>
      <c r="BL182" s="617"/>
      <c r="BM182" s="617"/>
      <c r="BN182" s="617"/>
      <c r="BO182" s="617"/>
      <c r="BP182" s="617"/>
      <c r="BQ182" s="617"/>
      <c r="BR182" s="617"/>
      <c r="BS182" s="737"/>
      <c r="BT182" s="662"/>
      <c r="BU182" s="617"/>
      <c r="BV182" s="617"/>
      <c r="BW182" s="617"/>
      <c r="BX182" s="617"/>
      <c r="BY182" s="617"/>
      <c r="BZ182" s="617"/>
      <c r="CA182" s="617"/>
      <c r="CB182" s="617"/>
      <c r="CC182" s="617"/>
      <c r="CD182" s="617"/>
      <c r="CE182" s="737"/>
      <c r="CF182" s="662"/>
      <c r="CG182" s="617"/>
      <c r="CH182" s="617"/>
      <c r="CI182" s="617"/>
      <c r="CJ182" s="617"/>
      <c r="CK182" s="617"/>
      <c r="CL182" s="617"/>
      <c r="CM182" s="617"/>
      <c r="CN182" s="617"/>
      <c r="CO182" s="617"/>
      <c r="CP182" s="617"/>
      <c r="CQ182" s="737"/>
      <c r="CR182" s="662"/>
      <c r="CS182" s="617"/>
      <c r="CT182" s="617"/>
      <c r="CU182" s="617"/>
      <c r="CV182" s="617"/>
      <c r="CW182" s="617"/>
      <c r="CX182" s="617"/>
      <c r="CY182" s="617"/>
      <c r="CZ182" s="617"/>
      <c r="DA182" s="617"/>
      <c r="DB182" s="798"/>
      <c r="DC182" s="737"/>
      <c r="DD182" s="786"/>
      <c r="DE182" s="617"/>
      <c r="DF182" s="798"/>
      <c r="DG182" s="737"/>
      <c r="DH182" s="617"/>
      <c r="DI182" s="617"/>
      <c r="DJ182" s="617"/>
      <c r="DK182" s="737"/>
      <c r="DL182" s="617"/>
      <c r="DM182" s="737"/>
      <c r="DN182" s="737"/>
      <c r="DO182" s="916"/>
      <c r="DP182" s="786"/>
      <c r="DQ182" s="737"/>
      <c r="DR182" s="737"/>
      <c r="DS182" s="737"/>
      <c r="DT182" s="617"/>
      <c r="DU182" s="737"/>
      <c r="DV182" s="737"/>
      <c r="DW182" s="737"/>
      <c r="DX182" s="737"/>
      <c r="DY182" s="737"/>
      <c r="DZ182" s="737"/>
      <c r="EA182" s="916"/>
      <c r="EB182" s="737"/>
      <c r="EC182" s="737"/>
      <c r="ED182" s="659"/>
      <c r="EE182" s="659"/>
      <c r="EF182" s="659"/>
      <c r="EG182" s="659"/>
      <c r="EH182" s="659"/>
      <c r="EI182" s="659"/>
      <c r="EJ182" s="659"/>
      <c r="EK182" s="623"/>
      <c r="EL182" s="725"/>
      <c r="EM182" s="659"/>
      <c r="EN182" s="783"/>
      <c r="EO182" s="659"/>
      <c r="EP182" s="659"/>
      <c r="EQ182" s="659"/>
      <c r="ER182" s="659"/>
      <c r="ES182" s="659"/>
      <c r="ET182" s="659"/>
      <c r="EU182" s="659"/>
      <c r="EV182" s="659"/>
      <c r="EW182" s="659"/>
      <c r="EX182" s="659"/>
      <c r="EY182" s="659"/>
      <c r="EZ182" s="783"/>
      <c r="FA182" s="659"/>
      <c r="FB182" s="659"/>
      <c r="FC182" s="659"/>
      <c r="FD182" s="659"/>
      <c r="FE182" s="659"/>
      <c r="FF182" s="659"/>
      <c r="FG182" s="659"/>
      <c r="FH182" s="659"/>
      <c r="FI182" s="659"/>
      <c r="FJ182" s="659"/>
      <c r="FK182" s="897"/>
      <c r="FL182" s="660"/>
      <c r="FM182" s="623"/>
      <c r="FN182" s="623"/>
      <c r="FO182" s="623"/>
      <c r="FP182" s="623"/>
      <c r="FQ182" s="623"/>
      <c r="FR182" s="623"/>
      <c r="FS182" s="623"/>
      <c r="FT182" s="623"/>
      <c r="FU182" s="897"/>
      <c r="FV182" s="1167"/>
    </row>
    <row r="183" spans="1:178" s="115" customFormat="1" ht="33.75" customHeight="1">
      <c r="A183" s="1546">
        <v>1</v>
      </c>
      <c r="B183" s="408">
        <v>231</v>
      </c>
      <c r="C183" s="621"/>
      <c r="D183" s="622" t="s">
        <v>363</v>
      </c>
      <c r="E183" s="621"/>
      <c r="F183" s="622"/>
      <c r="G183" s="621" t="s">
        <v>336</v>
      </c>
      <c r="H183" s="621"/>
      <c r="I183" s="390" t="s">
        <v>438</v>
      </c>
      <c r="J183" s="676" t="s">
        <v>364</v>
      </c>
      <c r="K183" s="669">
        <v>100</v>
      </c>
      <c r="L183" s="665">
        <v>99.99</v>
      </c>
      <c r="M183" s="625">
        <v>100.11</v>
      </c>
      <c r="N183" s="625">
        <v>109.93</v>
      </c>
      <c r="O183" s="625">
        <v>144.4</v>
      </c>
      <c r="P183" s="625">
        <v>182.93</v>
      </c>
      <c r="Q183" s="625">
        <v>218.39</v>
      </c>
      <c r="R183" s="625">
        <v>237.46</v>
      </c>
      <c r="S183" s="625">
        <v>250.17</v>
      </c>
      <c r="T183" s="625">
        <v>267.52999999999997</v>
      </c>
      <c r="U183" s="625">
        <v>275.10000000000002</v>
      </c>
      <c r="V183" s="625">
        <v>276.58999999999997</v>
      </c>
      <c r="W183" s="625">
        <v>276.07</v>
      </c>
      <c r="X183" s="625">
        <v>290.27</v>
      </c>
      <c r="Y183" s="625">
        <v>290.38</v>
      </c>
      <c r="Z183" s="625">
        <v>290.89999999999998</v>
      </c>
      <c r="AA183" s="625">
        <v>290.60000000000002</v>
      </c>
      <c r="AB183" s="625">
        <v>291.31</v>
      </c>
      <c r="AC183" s="625">
        <v>288.64</v>
      </c>
      <c r="AD183" s="625">
        <v>287.67</v>
      </c>
      <c r="AE183" s="625">
        <v>288.62</v>
      </c>
      <c r="AF183" s="625">
        <v>292.06</v>
      </c>
      <c r="AG183" s="625">
        <v>289.97000000000003</v>
      </c>
      <c r="AH183" s="625">
        <v>290.60000000000002</v>
      </c>
      <c r="AI183" s="764">
        <v>291.74</v>
      </c>
      <c r="AJ183" s="772">
        <v>293.73</v>
      </c>
      <c r="AK183" s="625">
        <v>294.86</v>
      </c>
      <c r="AL183" s="625">
        <v>295.73</v>
      </c>
      <c r="AM183" s="625">
        <v>296.02999999999997</v>
      </c>
      <c r="AN183" s="625">
        <v>299.45</v>
      </c>
      <c r="AO183" s="625">
        <v>301.08999999999997</v>
      </c>
      <c r="AP183" s="625">
        <v>302.33</v>
      </c>
      <c r="AQ183" s="625">
        <v>312.89</v>
      </c>
      <c r="AR183" s="625">
        <f>+'ANEXO E'!M53</f>
        <v>316.17</v>
      </c>
      <c r="AS183" s="625">
        <f>+'ANEXO E'!N53</f>
        <v>316.37</v>
      </c>
      <c r="AT183" s="625">
        <f>+'ANEXO E'!O53</f>
        <v>316.45</v>
      </c>
      <c r="AU183" s="764">
        <f>+'ANEXO E'!P53</f>
        <v>316.83999999999997</v>
      </c>
      <c r="AV183" s="752">
        <f>+'ANEXO E'!E66</f>
        <v>316.35000000000002</v>
      </c>
      <c r="AW183" s="626">
        <f>+'ANEXO E'!F66</f>
        <v>319.74</v>
      </c>
      <c r="AX183" s="626">
        <f>+'ANEXO E'!G66</f>
        <v>331.23</v>
      </c>
      <c r="AY183" s="626">
        <f>+'ANEXO E'!H66</f>
        <v>332.57</v>
      </c>
      <c r="AZ183" s="626">
        <f>+'ANEXO E'!I66</f>
        <v>332.13</v>
      </c>
      <c r="BA183" s="626">
        <f>+'ANEXO E'!J66</f>
        <v>329.98</v>
      </c>
      <c r="BB183" s="626">
        <f>+'ANEXO E'!K66</f>
        <v>330.14</v>
      </c>
      <c r="BC183" s="626">
        <f>+'ANEXO E'!L66</f>
        <v>330.23</v>
      </c>
      <c r="BD183" s="626">
        <f>+'ANEXO E'!M66</f>
        <v>330.88</v>
      </c>
      <c r="BE183" s="626">
        <f>+'ANEXO E'!N66</f>
        <v>331.51</v>
      </c>
      <c r="BF183" s="626">
        <f>+'ANEXO E'!O66</f>
        <v>338.31</v>
      </c>
      <c r="BG183" s="749">
        <f>+'ANEXO E'!P66</f>
        <v>338.72</v>
      </c>
      <c r="BH183" s="660">
        <f>+'ANEXO E'!E79</f>
        <v>340.99</v>
      </c>
      <c r="BI183" s="623">
        <f>+'ANEXO E'!F79</f>
        <v>341.18</v>
      </c>
      <c r="BJ183" s="623">
        <f>+'ANEXO E'!G79</f>
        <v>347.85</v>
      </c>
      <c r="BK183" s="623">
        <f>+'ANEXO E'!H79</f>
        <v>343.59</v>
      </c>
      <c r="BL183" s="623">
        <f>+'ANEXO E'!I79</f>
        <v>347.17</v>
      </c>
      <c r="BM183" s="623">
        <f>+'ANEXO E'!J79</f>
        <v>347.57</v>
      </c>
      <c r="BN183" s="623">
        <f>+'ANEXO E'!K79</f>
        <v>349.64</v>
      </c>
      <c r="BO183" s="623">
        <f>+'ANEXO E'!L79</f>
        <v>349.97</v>
      </c>
      <c r="BP183" s="623">
        <f>+'ANEXO E'!M79</f>
        <v>340.13</v>
      </c>
      <c r="BQ183" s="623">
        <f>+'ANEXO E'!N79</f>
        <v>354.97</v>
      </c>
      <c r="BR183" s="623">
        <f>+'ANEXO E'!O79</f>
        <v>354.87</v>
      </c>
      <c r="BS183" s="659">
        <f>+'ANEXO E'!P79</f>
        <v>354.99</v>
      </c>
      <c r="BT183" s="660">
        <f>+'ANEXO E'!E92</f>
        <v>358.87</v>
      </c>
      <c r="BU183" s="623">
        <f>+'ANEXO E'!F92</f>
        <v>359.17</v>
      </c>
      <c r="BV183" s="623">
        <f>+'ANEXO E'!G92</f>
        <v>359.26</v>
      </c>
      <c r="BW183" s="623">
        <f>+'ANEXO E'!H92</f>
        <v>359.57</v>
      </c>
      <c r="BX183" s="623">
        <f>+'ANEXO E'!I92</f>
        <v>368.33</v>
      </c>
      <c r="BY183" s="623">
        <f>+'ANEXO E'!J92</f>
        <v>370.07</v>
      </c>
      <c r="BZ183" s="623">
        <f>+'ANEXO E'!K92</f>
        <v>378.07</v>
      </c>
      <c r="CA183" s="623">
        <f>+'ANEXO E'!L92</f>
        <v>376.82</v>
      </c>
      <c r="CB183" s="623">
        <f>+'ANEXO E'!M92</f>
        <v>378.6</v>
      </c>
      <c r="CC183" s="623">
        <v>380.17</v>
      </c>
      <c r="CD183" s="623">
        <f>+'ANEXO E'!O92</f>
        <v>382.47</v>
      </c>
      <c r="CE183" s="659">
        <f>+'ANEXO E'!P92</f>
        <v>395.23</v>
      </c>
      <c r="CF183" s="660">
        <f>+'ANEXO E'!E105</f>
        <v>384.13</v>
      </c>
      <c r="CG183" s="623">
        <f>+'ANEXO E'!F105</f>
        <v>366.34</v>
      </c>
      <c r="CH183" s="623">
        <f>+'ANEXO E'!G105</f>
        <v>365.54</v>
      </c>
      <c r="CI183" s="623">
        <f>+'ANEXO E'!H105</f>
        <v>375.8</v>
      </c>
      <c r="CJ183" s="623">
        <f>+'ANEXO E'!I105</f>
        <v>387.35</v>
      </c>
      <c r="CK183" s="623">
        <f>+'ANEXO E'!J105</f>
        <v>392.83</v>
      </c>
      <c r="CL183" s="623">
        <f>+'ANEXO E'!K105</f>
        <v>401.43</v>
      </c>
      <c r="CM183" s="623">
        <f>+'ANEXO E'!L105</f>
        <v>398.37</v>
      </c>
      <c r="CN183" s="623">
        <f>+'ANEXO E'!M105</f>
        <v>402.22</v>
      </c>
      <c r="CO183" s="623">
        <f>+'ANEXO E'!N105</f>
        <v>404.82</v>
      </c>
      <c r="CP183" s="623">
        <f>+'ANEXO E'!O105</f>
        <v>407.97</v>
      </c>
      <c r="CQ183" s="659">
        <f>+'ANEXO E'!P105</f>
        <v>411.01</v>
      </c>
      <c r="CR183" s="660">
        <f>+'ANEXO E'!E119</f>
        <v>416.43</v>
      </c>
      <c r="CS183" s="623">
        <f>+'ANEXO E'!F119</f>
        <v>423.38</v>
      </c>
      <c r="CT183" s="623">
        <f>+'ANEXO E'!G119</f>
        <v>432.46</v>
      </c>
      <c r="CU183" s="623">
        <f>+'ANEXO E'!H119</f>
        <v>447.31</v>
      </c>
      <c r="CV183" s="623">
        <f>+'ANEXO E'!I119</f>
        <v>461</v>
      </c>
      <c r="CW183" s="623">
        <f>+'ANEXO E'!J119</f>
        <v>477.91</v>
      </c>
      <c r="CX183" s="623">
        <f>+'ANEXO E'!K119</f>
        <v>495.21</v>
      </c>
      <c r="CY183" s="623">
        <f>+'ANEXO E'!L119</f>
        <v>497.42</v>
      </c>
      <c r="CZ183" s="623">
        <f>+'ANEXO E'!M119</f>
        <v>498.89</v>
      </c>
      <c r="DA183" s="623">
        <f>+'ANEXO E'!N119</f>
        <v>515.72</v>
      </c>
      <c r="DB183" s="659">
        <f>+'ANEXO E'!O119</f>
        <v>517.39</v>
      </c>
      <c r="DC183" s="659">
        <f>+'ANEXO E'!P119</f>
        <v>519.16999999999996</v>
      </c>
      <c r="DD183" s="783">
        <f>+'ANEXO E'!E136</f>
        <v>519.5</v>
      </c>
      <c r="DE183" s="623">
        <f>+'ANEXO E'!F136</f>
        <v>520.74</v>
      </c>
      <c r="DF183" s="725">
        <f>+'ANEXO E'!G136</f>
        <v>529.11</v>
      </c>
      <c r="DG183" s="659">
        <f>+'ANEXO E'!H136</f>
        <v>542.84</v>
      </c>
      <c r="DH183" s="623">
        <f>+'ANEXO E'!I136</f>
        <v>563.22</v>
      </c>
      <c r="DI183" s="623">
        <f>+'ANEXO E'!J136</f>
        <v>578.94000000000005</v>
      </c>
      <c r="DJ183" s="623">
        <f>+'ANEXO E'!K136</f>
        <v>588.47</v>
      </c>
      <c r="DK183" s="659">
        <f>+'ANEXO E'!L136</f>
        <v>604.62</v>
      </c>
      <c r="DL183" s="623">
        <f>+'ANEXO E'!M136</f>
        <v>612.37</v>
      </c>
      <c r="DM183" s="659">
        <f>+'ANEXO E'!N136</f>
        <v>612.91</v>
      </c>
      <c r="DN183" s="659">
        <f>+'ANEXO E'!O136</f>
        <v>617.35</v>
      </c>
      <c r="DO183" s="897">
        <f>+'ANEXO E'!P136</f>
        <v>637.95000000000005</v>
      </c>
      <c r="DP183" s="783">
        <f>+'ANEXO E'!E146</f>
        <v>658.6</v>
      </c>
      <c r="DQ183" s="659">
        <f>+'ANEXO E'!F146</f>
        <v>660.44</v>
      </c>
      <c r="DR183" s="659">
        <f>+'ANEXO E'!G146</f>
        <v>665.52</v>
      </c>
      <c r="DS183" s="737">
        <f>+'ANEXO E'!H146</f>
        <v>705.11</v>
      </c>
      <c r="DT183" s="617">
        <f>+'ANEXO E'!I146</f>
        <v>713.9</v>
      </c>
      <c r="DU183" s="737">
        <f>+'ANEXO E'!J146</f>
        <v>718.81</v>
      </c>
      <c r="DV183" s="659">
        <f>+'ANEXO E'!K146</f>
        <v>730.61</v>
      </c>
      <c r="DW183" s="659">
        <f>+'ANEXO E'!L146</f>
        <v>745.69</v>
      </c>
      <c r="DX183" s="659">
        <f>+'ANEXO E'!M146</f>
        <v>752.64</v>
      </c>
      <c r="DY183" s="659">
        <f>+'ANEXO E'!N146</f>
        <v>758.33</v>
      </c>
      <c r="DZ183" s="659">
        <v>767.7</v>
      </c>
      <c r="EA183" s="897">
        <f>+'ANEXO E'!P146</f>
        <v>773.15</v>
      </c>
      <c r="EB183" s="659">
        <f>+'ANEXO E'!E156</f>
        <v>715.8</v>
      </c>
      <c r="EC183" s="659">
        <f>+'ANEXO E'!F156</f>
        <v>719.85</v>
      </c>
      <c r="ED183" s="659">
        <f>+'ANEXO E'!G156</f>
        <v>728.63</v>
      </c>
      <c r="EE183" s="659">
        <f>+'ANEXO E'!H156</f>
        <v>732.24</v>
      </c>
      <c r="EF183" s="659">
        <f>+'ANEXO E'!I156</f>
        <v>744.44</v>
      </c>
      <c r="EG183" s="659">
        <f>+'ANEXO E'!J156</f>
        <v>763.5</v>
      </c>
      <c r="EH183" s="659">
        <f>+'ANEXO E'!K156</f>
        <v>785.61</v>
      </c>
      <c r="EI183" s="659">
        <f>+'ANEXO E'!L156</f>
        <v>789.73</v>
      </c>
      <c r="EJ183" s="659">
        <f>+'ANEXO E'!M156</f>
        <v>791.17</v>
      </c>
      <c r="EK183" s="623">
        <f>+'ANEXO E'!N156</f>
        <v>791.68</v>
      </c>
      <c r="EL183" s="659">
        <f>+'ANEXO E'!O156</f>
        <v>800.47</v>
      </c>
      <c r="EM183" s="659">
        <f>+'ANEXO E'!P156</f>
        <v>801.28</v>
      </c>
      <c r="EN183" s="783">
        <f>+'ANEXO E'!E165</f>
        <v>802.93</v>
      </c>
      <c r="EO183" s="659">
        <f>+'ANEXO E'!F165</f>
        <v>809.05</v>
      </c>
      <c r="EP183" s="659">
        <f>+'ANEXO E'!G165</f>
        <v>824.22</v>
      </c>
      <c r="EQ183" s="659">
        <f>+'ANEXO E'!H165</f>
        <v>839.54</v>
      </c>
      <c r="ER183" s="659">
        <f>+'ANEXO E'!I165</f>
        <v>850.76</v>
      </c>
      <c r="ES183" s="659">
        <f>+'ANEXO E'!J165</f>
        <v>877.56</v>
      </c>
      <c r="ET183" s="659">
        <f>+'ANEXO E'!K165</f>
        <v>885.29</v>
      </c>
      <c r="EU183" s="659">
        <f>+'ANEXO E'!L165</f>
        <v>891.05</v>
      </c>
      <c r="EV183" s="659">
        <f>+'ANEXO E'!M165</f>
        <v>900.7</v>
      </c>
      <c r="EW183" s="659">
        <f>+'ANEXO E'!N165</f>
        <v>901.58</v>
      </c>
      <c r="EX183" s="659">
        <f>+'ANEXO E'!O165</f>
        <v>904.29</v>
      </c>
      <c r="EY183" s="659">
        <f>+'ANEXO E'!P165</f>
        <v>911.49</v>
      </c>
      <c r="EZ183" s="783">
        <f>'ANEXO E'!E176</f>
        <v>944.78</v>
      </c>
      <c r="FA183" s="659">
        <f>'ANEXO E'!F176</f>
        <v>966.29</v>
      </c>
      <c r="FB183" s="659">
        <f>'ANEXO E'!G176</f>
        <v>1009.08</v>
      </c>
      <c r="FC183" s="659">
        <f>'ANEXO E'!H176</f>
        <v>1092.96</v>
      </c>
      <c r="FD183" s="659">
        <f>'ANEXO E'!I176</f>
        <v>1102.94</v>
      </c>
      <c r="FE183" s="659">
        <f>'ANEXO E'!J176</f>
        <v>1110.97</v>
      </c>
      <c r="FF183" s="659">
        <f>'ANEXO E'!K176</f>
        <v>1171.1300000000001</v>
      </c>
      <c r="FG183" s="659">
        <f>'ANEXO E'!L176</f>
        <v>1177.32</v>
      </c>
      <c r="FH183" s="659">
        <f>'ANEXO E'!M176</f>
        <v>1195.83</v>
      </c>
      <c r="FI183" s="659">
        <f>'ANEXO E'!N176</f>
        <v>1201.56</v>
      </c>
      <c r="FJ183" s="659">
        <f>'ANEXO E'!O176</f>
        <v>1202.57</v>
      </c>
      <c r="FK183" s="897">
        <f>'ANEXO E'!P176</f>
        <v>1204.33</v>
      </c>
      <c r="FL183" s="660">
        <f>'ANEXO E'!E187</f>
        <v>1163.45</v>
      </c>
      <c r="FM183" s="623">
        <f>'ANEXO E'!F187</f>
        <v>1174.54</v>
      </c>
      <c r="FN183" s="623">
        <f>'ANEXO E'!G187</f>
        <v>1188.72</v>
      </c>
      <c r="FO183" s="623">
        <f>'ANEXO E'!H187</f>
        <v>1215.33</v>
      </c>
      <c r="FP183" s="623">
        <f>'ANEXO E'!I187</f>
        <v>1229.8900000000001</v>
      </c>
      <c r="FQ183" s="623">
        <f>'ANEXO E'!J187</f>
        <v>1250.45</v>
      </c>
      <c r="FR183" s="623">
        <f>'ANEXO E'!K187</f>
        <v>1263.25</v>
      </c>
      <c r="FS183" s="623">
        <f>'ANEXO E'!L187</f>
        <v>1293.23</v>
      </c>
      <c r="FT183" s="623">
        <f>'ANEXO E'!M187</f>
        <v>1296.6199999999999</v>
      </c>
      <c r="FU183" s="897">
        <f>'ANEXO E'!N187</f>
        <v>1298.6500000000001</v>
      </c>
      <c r="FV183" s="1167">
        <f t="shared" si="3"/>
        <v>1.0015656090450558</v>
      </c>
    </row>
    <row r="184" spans="1:178" s="115" customFormat="1" ht="30.75" customHeight="1">
      <c r="A184" s="1546">
        <v>1</v>
      </c>
      <c r="B184" s="408">
        <v>232</v>
      </c>
      <c r="C184" s="621"/>
      <c r="D184" s="622" t="str">
        <f>+D183</f>
        <v>Costo Horario de Camioneta</v>
      </c>
      <c r="E184" s="621"/>
      <c r="F184" s="622"/>
      <c r="G184" s="621" t="s">
        <v>336</v>
      </c>
      <c r="H184" s="621"/>
      <c r="I184" s="390" t="s">
        <v>118</v>
      </c>
      <c r="J184" s="676"/>
      <c r="K184" s="669">
        <v>100</v>
      </c>
      <c r="L184" s="665">
        <v>106.95</v>
      </c>
      <c r="M184" s="625">
        <v>107.7</v>
      </c>
      <c r="N184" s="625">
        <v>108.45</v>
      </c>
      <c r="O184" s="625">
        <v>152.11000000000001</v>
      </c>
      <c r="P184" s="625">
        <v>177.42</v>
      </c>
      <c r="Q184" s="625">
        <v>201.2</v>
      </c>
      <c r="R184" s="625">
        <v>206.56</v>
      </c>
      <c r="S184" s="625">
        <v>206.81</v>
      </c>
      <c r="T184" s="625">
        <v>206.23</v>
      </c>
      <c r="U184" s="625">
        <v>209.81</v>
      </c>
      <c r="V184" s="625">
        <v>209.93</v>
      </c>
      <c r="W184" s="625">
        <v>210.93</v>
      </c>
      <c r="X184" s="625">
        <v>204.96</v>
      </c>
      <c r="Y184" s="625">
        <v>203.25</v>
      </c>
      <c r="Z184" s="625">
        <v>202.15</v>
      </c>
      <c r="AA184" s="625">
        <v>200.5</v>
      </c>
      <c r="AB184" s="625">
        <v>198.52</v>
      </c>
      <c r="AC184" s="625">
        <v>199.59</v>
      </c>
      <c r="AD184" s="625">
        <v>200.97</v>
      </c>
      <c r="AE184" s="625">
        <v>203.74</v>
      </c>
      <c r="AF184" s="625">
        <v>202.12</v>
      </c>
      <c r="AG184" s="625">
        <v>201.73</v>
      </c>
      <c r="AH184" s="625">
        <v>202.19</v>
      </c>
      <c r="AI184" s="764">
        <v>206.43</v>
      </c>
      <c r="AJ184" s="772">
        <v>207.76</v>
      </c>
      <c r="AK184" s="625">
        <v>212.22</v>
      </c>
      <c r="AL184" s="625">
        <v>217.73</v>
      </c>
      <c r="AM184" s="625">
        <v>218.98</v>
      </c>
      <c r="AN184" s="625">
        <v>224.86</v>
      </c>
      <c r="AO184" s="625">
        <v>227.2</v>
      </c>
      <c r="AP184" s="625">
        <v>227.69</v>
      </c>
      <c r="AQ184" s="625">
        <v>230.61</v>
      </c>
      <c r="AR184" s="625">
        <v>231.13</v>
      </c>
      <c r="AS184" s="625">
        <f t="shared" ref="AS184:CB184" si="7">+AS176</f>
        <v>231.66</v>
      </c>
      <c r="AT184" s="625">
        <f t="shared" si="7"/>
        <v>231.77</v>
      </c>
      <c r="AU184" s="764">
        <f t="shared" si="7"/>
        <v>234.27</v>
      </c>
      <c r="AV184" s="752">
        <f t="shared" si="7"/>
        <v>210.88</v>
      </c>
      <c r="AW184" s="626">
        <f t="shared" si="7"/>
        <v>244.75</v>
      </c>
      <c r="AX184" s="626">
        <f t="shared" si="7"/>
        <v>245.85</v>
      </c>
      <c r="AY184" s="626">
        <f t="shared" si="7"/>
        <v>245.73</v>
      </c>
      <c r="AZ184" s="626">
        <f t="shared" si="7"/>
        <v>246.67</v>
      </c>
      <c r="BA184" s="626">
        <f t="shared" si="7"/>
        <v>247.2</v>
      </c>
      <c r="BB184" s="626">
        <f t="shared" si="7"/>
        <v>248.76</v>
      </c>
      <c r="BC184" s="626">
        <f t="shared" si="7"/>
        <v>250.77</v>
      </c>
      <c r="BD184" s="626">
        <f t="shared" si="7"/>
        <v>255.07</v>
      </c>
      <c r="BE184" s="626">
        <f t="shared" si="7"/>
        <v>257.17</v>
      </c>
      <c r="BF184" s="626">
        <f t="shared" si="7"/>
        <v>257.77</v>
      </c>
      <c r="BG184" s="749">
        <f t="shared" si="7"/>
        <v>261.87</v>
      </c>
      <c r="BH184" s="752">
        <f t="shared" si="7"/>
        <v>264.17</v>
      </c>
      <c r="BI184" s="627">
        <f t="shared" si="7"/>
        <v>266.12</v>
      </c>
      <c r="BJ184" s="627">
        <f t="shared" si="7"/>
        <v>268.56</v>
      </c>
      <c r="BK184" s="627">
        <f t="shared" si="7"/>
        <v>269.23</v>
      </c>
      <c r="BL184" s="627">
        <f t="shared" si="7"/>
        <v>269.91000000000003</v>
      </c>
      <c r="BM184" s="627">
        <f t="shared" si="7"/>
        <v>273.51</v>
      </c>
      <c r="BN184" s="627">
        <f t="shared" si="7"/>
        <v>277.93</v>
      </c>
      <c r="BO184" s="627">
        <f t="shared" si="7"/>
        <v>281.19</v>
      </c>
      <c r="BP184" s="627">
        <f t="shared" si="7"/>
        <v>283.33999999999997</v>
      </c>
      <c r="BQ184" s="627">
        <f t="shared" si="7"/>
        <v>285.17</v>
      </c>
      <c r="BR184" s="627">
        <f t="shared" si="7"/>
        <v>284.43</v>
      </c>
      <c r="BS184" s="738">
        <f t="shared" si="7"/>
        <v>285.69</v>
      </c>
      <c r="BT184" s="663">
        <f t="shared" si="7"/>
        <v>285.86</v>
      </c>
      <c r="BU184" s="627">
        <f t="shared" si="7"/>
        <v>288.51</v>
      </c>
      <c r="BV184" s="627">
        <f t="shared" si="7"/>
        <v>289.39</v>
      </c>
      <c r="BW184" s="623">
        <f t="shared" si="7"/>
        <v>292.55</v>
      </c>
      <c r="BX184" s="623">
        <f t="shared" si="7"/>
        <v>296.19</v>
      </c>
      <c r="BY184" s="623">
        <f t="shared" si="7"/>
        <v>298.33</v>
      </c>
      <c r="BZ184" s="623">
        <f t="shared" si="7"/>
        <v>301.55</v>
      </c>
      <c r="CA184" s="623">
        <f t="shared" si="7"/>
        <v>309.32</v>
      </c>
      <c r="CB184" s="623">
        <f t="shared" si="7"/>
        <v>312.04000000000002</v>
      </c>
      <c r="CC184" s="623">
        <v>316.22000000000003</v>
      </c>
      <c r="CD184" s="623">
        <f t="shared" ref="CD184:DL184" si="8">+CD176</f>
        <v>320.13</v>
      </c>
      <c r="CE184" s="659">
        <f t="shared" si="8"/>
        <v>324.36</v>
      </c>
      <c r="CF184" s="660">
        <f t="shared" si="8"/>
        <v>334.34</v>
      </c>
      <c r="CG184" s="623">
        <f t="shared" si="8"/>
        <v>335.32</v>
      </c>
      <c r="CH184" s="623">
        <f t="shared" si="8"/>
        <v>341.37</v>
      </c>
      <c r="CI184" s="623">
        <f t="shared" si="8"/>
        <v>345.57</v>
      </c>
      <c r="CJ184" s="623">
        <f t="shared" si="8"/>
        <v>348.69</v>
      </c>
      <c r="CK184" s="623">
        <f t="shared" si="8"/>
        <v>353.86</v>
      </c>
      <c r="CL184" s="623">
        <f t="shared" si="8"/>
        <v>358.99</v>
      </c>
      <c r="CM184" s="623">
        <f t="shared" si="8"/>
        <v>364.2</v>
      </c>
      <c r="CN184" s="623">
        <f t="shared" si="8"/>
        <v>369.4</v>
      </c>
      <c r="CO184" s="623">
        <f t="shared" si="8"/>
        <v>373.73</v>
      </c>
      <c r="CP184" s="623">
        <f t="shared" si="8"/>
        <v>379.24</v>
      </c>
      <c r="CQ184" s="659">
        <f t="shared" si="8"/>
        <v>381.48</v>
      </c>
      <c r="CR184" s="660">
        <f t="shared" si="8"/>
        <v>384.48</v>
      </c>
      <c r="CS184" s="623">
        <f t="shared" si="8"/>
        <v>385.84</v>
      </c>
      <c r="CT184" s="623">
        <f t="shared" si="8"/>
        <v>388.64</v>
      </c>
      <c r="CU184" s="623">
        <f t="shared" si="8"/>
        <v>390.67</v>
      </c>
      <c r="CV184" s="623">
        <f t="shared" si="8"/>
        <v>393.57</v>
      </c>
      <c r="CW184" s="623">
        <f t="shared" si="8"/>
        <v>395.24</v>
      </c>
      <c r="CX184" s="623">
        <f t="shared" si="8"/>
        <v>397.65</v>
      </c>
      <c r="CY184" s="623">
        <f t="shared" si="8"/>
        <v>404.51</v>
      </c>
      <c r="CZ184" s="623">
        <f t="shared" si="8"/>
        <v>408.01</v>
      </c>
      <c r="DA184" s="623">
        <f t="shared" si="8"/>
        <v>409.55</v>
      </c>
      <c r="DB184" s="659">
        <f t="shared" si="8"/>
        <v>411.82</v>
      </c>
      <c r="DC184" s="659">
        <f t="shared" si="8"/>
        <v>412.89</v>
      </c>
      <c r="DD184" s="783">
        <f t="shared" si="8"/>
        <v>413.74</v>
      </c>
      <c r="DE184" s="623">
        <f t="shared" si="8"/>
        <v>420.98</v>
      </c>
      <c r="DF184" s="725">
        <f t="shared" si="8"/>
        <v>429.56</v>
      </c>
      <c r="DG184" s="659">
        <f t="shared" si="8"/>
        <v>438.05</v>
      </c>
      <c r="DH184" s="623">
        <f t="shared" si="8"/>
        <v>442.28</v>
      </c>
      <c r="DI184" s="623">
        <f t="shared" si="8"/>
        <v>447.41</v>
      </c>
      <c r="DJ184" s="623">
        <f t="shared" si="8"/>
        <v>453.88</v>
      </c>
      <c r="DK184" s="659">
        <f t="shared" si="8"/>
        <v>460.09</v>
      </c>
      <c r="DL184" s="623">
        <f t="shared" si="8"/>
        <v>465.16</v>
      </c>
      <c r="DM184" s="659">
        <f t="shared" ref="DM184:DS184" si="9">+DM176</f>
        <v>470.56</v>
      </c>
      <c r="DN184" s="659">
        <f t="shared" si="9"/>
        <v>480.42</v>
      </c>
      <c r="DO184" s="897">
        <f t="shared" si="9"/>
        <v>489.71</v>
      </c>
      <c r="DP184" s="783">
        <f t="shared" si="9"/>
        <v>492.89</v>
      </c>
      <c r="DQ184" s="659">
        <f t="shared" si="9"/>
        <v>496.8</v>
      </c>
      <c r="DR184" s="659">
        <f t="shared" si="9"/>
        <v>506</v>
      </c>
      <c r="DS184" s="659">
        <f t="shared" si="9"/>
        <v>518.59</v>
      </c>
      <c r="DT184" s="623">
        <f t="shared" ref="DT184:DY184" si="10">+DT176</f>
        <v>523.44000000000005</v>
      </c>
      <c r="DU184" s="659">
        <f t="shared" si="10"/>
        <v>536.30999999999995</v>
      </c>
      <c r="DV184" s="659">
        <f t="shared" si="10"/>
        <v>556.1</v>
      </c>
      <c r="DW184" s="659">
        <f t="shared" si="10"/>
        <v>559.92999999999995</v>
      </c>
      <c r="DX184" s="659">
        <f t="shared" si="10"/>
        <v>569.12</v>
      </c>
      <c r="DY184" s="659">
        <f t="shared" si="10"/>
        <v>580.1</v>
      </c>
      <c r="DZ184" s="659">
        <f t="shared" ref="DZ184:EF184" si="11">+DZ176</f>
        <v>588.07000000000005</v>
      </c>
      <c r="EA184" s="897">
        <f t="shared" si="11"/>
        <v>594.29999999999995</v>
      </c>
      <c r="EB184" s="659">
        <f t="shared" si="11"/>
        <v>594.77</v>
      </c>
      <c r="EC184" s="659">
        <f t="shared" si="11"/>
        <v>606.20000000000005</v>
      </c>
      <c r="ED184" s="659">
        <f t="shared" si="11"/>
        <v>617.58000000000004</v>
      </c>
      <c r="EE184" s="659">
        <f t="shared" si="11"/>
        <v>622.51</v>
      </c>
      <c r="EF184" s="659">
        <f t="shared" si="11"/>
        <v>627.69000000000005</v>
      </c>
      <c r="EG184" s="659">
        <f t="shared" ref="EG184:EL184" si="12">+EG176</f>
        <v>632.13</v>
      </c>
      <c r="EH184" s="659">
        <f t="shared" si="12"/>
        <v>642.23</v>
      </c>
      <c r="EI184" s="659">
        <f t="shared" si="12"/>
        <v>649.03</v>
      </c>
      <c r="EJ184" s="659">
        <f t="shared" si="12"/>
        <v>663.14</v>
      </c>
      <c r="EK184" s="623">
        <f t="shared" si="12"/>
        <v>668.84</v>
      </c>
      <c r="EL184" s="659">
        <f t="shared" si="12"/>
        <v>680.38</v>
      </c>
      <c r="EM184" s="659">
        <f t="shared" ref="EM184:ER184" si="13">+EM176</f>
        <v>686.96</v>
      </c>
      <c r="EN184" s="783">
        <f t="shared" si="13"/>
        <v>698.58</v>
      </c>
      <c r="EO184" s="659">
        <f t="shared" si="13"/>
        <v>707.98</v>
      </c>
      <c r="EP184" s="659">
        <f t="shared" si="13"/>
        <v>716.6</v>
      </c>
      <c r="EQ184" s="659">
        <f t="shared" si="13"/>
        <v>729.18</v>
      </c>
      <c r="ER184" s="659">
        <f t="shared" si="13"/>
        <v>740.55</v>
      </c>
      <c r="ES184" s="659">
        <f t="shared" ref="ES184:EX184" si="14">+ES176</f>
        <v>758.12</v>
      </c>
      <c r="ET184" s="659">
        <f t="shared" si="14"/>
        <v>773.5</v>
      </c>
      <c r="EU184" s="659">
        <f t="shared" si="14"/>
        <v>783.05</v>
      </c>
      <c r="EV184" s="659">
        <f t="shared" si="14"/>
        <v>798.42</v>
      </c>
      <c r="EW184" s="659">
        <f t="shared" si="14"/>
        <v>807.2</v>
      </c>
      <c r="EX184" s="659">
        <f t="shared" si="14"/>
        <v>820.04</v>
      </c>
      <c r="EY184" s="659">
        <f t="shared" ref="EY184:FD184" si="15">+EY176</f>
        <v>831.39</v>
      </c>
      <c r="EZ184" s="783">
        <f t="shared" si="15"/>
        <v>871.59</v>
      </c>
      <c r="FA184" s="659">
        <f t="shared" si="15"/>
        <v>929.95</v>
      </c>
      <c r="FB184" s="659">
        <f t="shared" si="15"/>
        <v>967.2</v>
      </c>
      <c r="FC184" s="659">
        <f t="shared" si="15"/>
        <v>990.09</v>
      </c>
      <c r="FD184" s="659">
        <f t="shared" si="15"/>
        <v>1008.38</v>
      </c>
      <c r="FE184" s="659">
        <f t="shared" ref="FE184:FM184" si="16">+FE176</f>
        <v>1026.3900000000001</v>
      </c>
      <c r="FF184" s="659">
        <f t="shared" si="16"/>
        <v>1044.92</v>
      </c>
      <c r="FG184" s="659">
        <f t="shared" si="16"/>
        <v>1053.82</v>
      </c>
      <c r="FH184" s="659">
        <f t="shared" si="16"/>
        <v>1062.6199999999999</v>
      </c>
      <c r="FI184" s="659">
        <f t="shared" si="16"/>
        <v>1079.26</v>
      </c>
      <c r="FJ184" s="659">
        <f t="shared" si="16"/>
        <v>1088.3499999999999</v>
      </c>
      <c r="FK184" s="897">
        <f t="shared" si="16"/>
        <v>1106.46</v>
      </c>
      <c r="FL184" s="660">
        <f t="shared" si="16"/>
        <v>1121.1400000000001</v>
      </c>
      <c r="FM184" s="623">
        <f t="shared" si="16"/>
        <v>1121.8800000000001</v>
      </c>
      <c r="FN184" s="623">
        <f t="shared" ref="FN184:FS184" si="17">+FN176</f>
        <v>1149.19</v>
      </c>
      <c r="FO184" s="623">
        <f t="shared" si="17"/>
        <v>1162.3499999999999</v>
      </c>
      <c r="FP184" s="623">
        <f t="shared" si="17"/>
        <v>1167.45</v>
      </c>
      <c r="FQ184" s="623">
        <f t="shared" si="17"/>
        <v>1181.23</v>
      </c>
      <c r="FR184" s="623">
        <f t="shared" si="17"/>
        <v>1198.26</v>
      </c>
      <c r="FS184" s="623">
        <f t="shared" si="17"/>
        <v>1228.3399999999999</v>
      </c>
      <c r="FT184" s="623">
        <f>+FT176</f>
        <v>1242.52</v>
      </c>
      <c r="FU184" s="897">
        <f>+FU176</f>
        <v>1262.28</v>
      </c>
      <c r="FV184" s="1167">
        <f t="shared" si="3"/>
        <v>1.015903164536587</v>
      </c>
    </row>
    <row r="185" spans="1:178" s="115" customFormat="1" ht="13.5" customHeight="1">
      <c r="A185" s="1546">
        <v>1</v>
      </c>
      <c r="B185" s="408"/>
      <c r="C185" s="621"/>
      <c r="D185" s="622"/>
      <c r="E185" s="621"/>
      <c r="F185" s="622"/>
      <c r="G185" s="621"/>
      <c r="H185" s="621"/>
      <c r="I185" s="631"/>
      <c r="J185" s="651"/>
      <c r="K185" s="669"/>
      <c r="L185" s="664"/>
      <c r="M185" s="623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/>
      <c r="AK185" s="625"/>
      <c r="AL185" s="625"/>
      <c r="AM185" s="625"/>
      <c r="AN185" s="625"/>
      <c r="AO185" s="625"/>
      <c r="AP185" s="625"/>
      <c r="AQ185" s="625"/>
      <c r="AR185" s="625"/>
      <c r="AS185" s="625"/>
      <c r="AT185" s="625"/>
      <c r="AU185" s="764"/>
      <c r="AV185" s="752"/>
      <c r="AW185" s="626"/>
      <c r="AX185" s="626"/>
      <c r="AY185" s="626"/>
      <c r="AZ185" s="626"/>
      <c r="BA185" s="628"/>
      <c r="BB185" s="628"/>
      <c r="BC185" s="627"/>
      <c r="BD185" s="626"/>
      <c r="BE185" s="627"/>
      <c r="BF185" s="627"/>
      <c r="BG185" s="738"/>
      <c r="BH185" s="660"/>
      <c r="BI185" s="623"/>
      <c r="BJ185" s="623"/>
      <c r="BK185" s="623"/>
      <c r="BL185" s="623"/>
      <c r="BM185" s="623"/>
      <c r="BN185" s="623"/>
      <c r="BO185" s="623"/>
      <c r="BP185" s="623"/>
      <c r="BQ185" s="623"/>
      <c r="BR185" s="623"/>
      <c r="BS185" s="659"/>
      <c r="BT185" s="660"/>
      <c r="BU185" s="623"/>
      <c r="BV185" s="623"/>
      <c r="BW185" s="623"/>
      <c r="BX185" s="623"/>
      <c r="BY185" s="623"/>
      <c r="BZ185" s="623"/>
      <c r="CA185" s="623"/>
      <c r="CB185" s="623"/>
      <c r="CC185" s="623"/>
      <c r="CD185" s="623"/>
      <c r="CE185" s="659"/>
      <c r="CF185" s="660"/>
      <c r="CG185" s="623"/>
      <c r="CH185" s="623"/>
      <c r="CI185" s="623"/>
      <c r="CJ185" s="623"/>
      <c r="CK185" s="623"/>
      <c r="CL185" s="623"/>
      <c r="CM185" s="623"/>
      <c r="CN185" s="623"/>
      <c r="CO185" s="623"/>
      <c r="CP185" s="623"/>
      <c r="CQ185" s="659"/>
      <c r="CR185" s="660"/>
      <c r="CS185" s="623"/>
      <c r="CT185" s="623"/>
      <c r="CU185" s="623"/>
      <c r="CV185" s="623"/>
      <c r="CW185" s="623"/>
      <c r="CX185" s="623"/>
      <c r="CY185" s="623"/>
      <c r="CZ185" s="623"/>
      <c r="DA185" s="623"/>
      <c r="DB185" s="725"/>
      <c r="DC185" s="659"/>
      <c r="DD185" s="783"/>
      <c r="DE185" s="623"/>
      <c r="DF185" s="725"/>
      <c r="DG185" s="659"/>
      <c r="DH185" s="623"/>
      <c r="DI185" s="623"/>
      <c r="DJ185" s="623"/>
      <c r="DK185" s="659"/>
      <c r="DL185" s="623"/>
      <c r="DM185" s="659"/>
      <c r="DN185" s="659"/>
      <c r="DO185" s="897"/>
      <c r="DP185" s="783"/>
      <c r="DQ185" s="659"/>
      <c r="DR185" s="659"/>
      <c r="DS185" s="659"/>
      <c r="DT185" s="623"/>
      <c r="DU185" s="659"/>
      <c r="DV185" s="659"/>
      <c r="DW185" s="659"/>
      <c r="DX185" s="659"/>
      <c r="DY185" s="659"/>
      <c r="DZ185" s="659"/>
      <c r="EA185" s="897"/>
      <c r="EB185" s="659"/>
      <c r="EC185" s="659"/>
      <c r="ED185" s="659"/>
      <c r="EE185" s="659"/>
      <c r="EF185" s="659"/>
      <c r="EG185" s="659"/>
      <c r="EH185" s="659"/>
      <c r="EI185" s="659"/>
      <c r="EJ185" s="659"/>
      <c r="EK185" s="623"/>
      <c r="EL185" s="725"/>
      <c r="EM185" s="659"/>
      <c r="EN185" s="783"/>
      <c r="EO185" s="659"/>
      <c r="EP185" s="659"/>
      <c r="EQ185" s="659"/>
      <c r="ER185" s="659"/>
      <c r="ES185" s="659"/>
      <c r="ET185" s="659"/>
      <c r="EU185" s="659"/>
      <c r="EV185" s="659"/>
      <c r="EW185" s="659"/>
      <c r="EX185" s="659"/>
      <c r="EY185" s="659"/>
      <c r="EZ185" s="783"/>
      <c r="FA185" s="659"/>
      <c r="FB185" s="659"/>
      <c r="FC185" s="659"/>
      <c r="FD185" s="659"/>
      <c r="FE185" s="659"/>
      <c r="FF185" s="659"/>
      <c r="FG185" s="659"/>
      <c r="FH185" s="659"/>
      <c r="FI185" s="659"/>
      <c r="FJ185" s="659"/>
      <c r="FK185" s="897"/>
      <c r="FL185" s="660"/>
      <c r="FM185" s="623"/>
      <c r="FN185" s="623"/>
      <c r="FO185" s="623"/>
      <c r="FP185" s="623"/>
      <c r="FQ185" s="623"/>
      <c r="FR185" s="623"/>
      <c r="FS185" s="623"/>
      <c r="FT185" s="623"/>
      <c r="FU185" s="897"/>
      <c r="FV185" s="1167"/>
    </row>
    <row r="186" spans="1:178" s="115" customFormat="1" ht="13.5" customHeight="1">
      <c r="A186" s="1546">
        <v>1</v>
      </c>
      <c r="B186" s="644"/>
      <c r="C186" s="645"/>
      <c r="D186" s="646"/>
      <c r="E186" s="645"/>
      <c r="F186" s="646"/>
      <c r="G186" s="645"/>
      <c r="H186" s="645"/>
      <c r="I186" s="892"/>
      <c r="J186" s="869"/>
      <c r="K186" s="877"/>
      <c r="L186" s="1364"/>
      <c r="M186" s="887"/>
      <c r="N186" s="879"/>
      <c r="O186" s="879"/>
      <c r="P186" s="879"/>
      <c r="Q186" s="879"/>
      <c r="R186" s="879"/>
      <c r="S186" s="879"/>
      <c r="T186" s="879"/>
      <c r="U186" s="879"/>
      <c r="V186" s="879"/>
      <c r="W186" s="879"/>
      <c r="X186" s="879"/>
      <c r="Y186" s="879"/>
      <c r="Z186" s="879"/>
      <c r="AA186" s="879"/>
      <c r="AB186" s="879"/>
      <c r="AC186" s="879"/>
      <c r="AD186" s="879"/>
      <c r="AE186" s="879"/>
      <c r="AF186" s="879"/>
      <c r="AG186" s="879"/>
      <c r="AH186" s="879"/>
      <c r="AI186" s="880"/>
      <c r="AJ186" s="881"/>
      <c r="AK186" s="879"/>
      <c r="AL186" s="879"/>
      <c r="AM186" s="879"/>
      <c r="AN186" s="879"/>
      <c r="AO186" s="879"/>
      <c r="AP186" s="879"/>
      <c r="AQ186" s="879"/>
      <c r="AR186" s="879"/>
      <c r="AS186" s="879"/>
      <c r="AT186" s="879"/>
      <c r="AU186" s="880"/>
      <c r="AV186" s="882"/>
      <c r="AW186" s="883"/>
      <c r="AX186" s="883"/>
      <c r="AY186" s="883"/>
      <c r="AZ186" s="883"/>
      <c r="BA186" s="894"/>
      <c r="BB186" s="894"/>
      <c r="BC186" s="884"/>
      <c r="BD186" s="883"/>
      <c r="BE186" s="884"/>
      <c r="BF186" s="884"/>
      <c r="BG186" s="885"/>
      <c r="BH186" s="886"/>
      <c r="BI186" s="887"/>
      <c r="BJ186" s="887"/>
      <c r="BK186" s="887"/>
      <c r="BL186" s="887"/>
      <c r="BM186" s="887"/>
      <c r="BN186" s="887"/>
      <c r="BO186" s="887"/>
      <c r="BP186" s="887"/>
      <c r="BQ186" s="887"/>
      <c r="BR186" s="887"/>
      <c r="BS186" s="888"/>
      <c r="BT186" s="886"/>
      <c r="BU186" s="887"/>
      <c r="BV186" s="887"/>
      <c r="BW186" s="887"/>
      <c r="BX186" s="887"/>
      <c r="BY186" s="887"/>
      <c r="BZ186" s="887"/>
      <c r="CA186" s="887"/>
      <c r="CB186" s="887"/>
      <c r="CC186" s="887"/>
      <c r="CD186" s="887"/>
      <c r="CE186" s="888"/>
      <c r="CF186" s="886"/>
      <c r="CG186" s="887"/>
      <c r="CH186" s="887"/>
      <c r="CI186" s="887"/>
      <c r="CJ186" s="887"/>
      <c r="CK186" s="887"/>
      <c r="CL186" s="887"/>
      <c r="CM186" s="887"/>
      <c r="CN186" s="887"/>
      <c r="CO186" s="887"/>
      <c r="CP186" s="887"/>
      <c r="CQ186" s="888"/>
      <c r="CR186" s="886"/>
      <c r="CS186" s="887"/>
      <c r="CT186" s="887"/>
      <c r="CU186" s="887"/>
      <c r="CV186" s="887"/>
      <c r="CW186" s="887"/>
      <c r="CX186" s="887"/>
      <c r="CY186" s="887"/>
      <c r="CZ186" s="887"/>
      <c r="DA186" s="887"/>
      <c r="DB186" s="889"/>
      <c r="DC186" s="888"/>
      <c r="DD186" s="890"/>
      <c r="DE186" s="887"/>
      <c r="DF186" s="889"/>
      <c r="DG186" s="888"/>
      <c r="DH186" s="887"/>
      <c r="DI186" s="887"/>
      <c r="DJ186" s="887"/>
      <c r="DK186" s="888"/>
      <c r="DL186" s="887"/>
      <c r="DM186" s="888"/>
      <c r="DN186" s="888"/>
      <c r="DO186" s="968"/>
      <c r="DP186" s="890"/>
      <c r="DQ186" s="888"/>
      <c r="DR186" s="888"/>
      <c r="DS186" s="888"/>
      <c r="DT186" s="887"/>
      <c r="DU186" s="888"/>
      <c r="DV186" s="888"/>
      <c r="DW186" s="888"/>
      <c r="DX186" s="888"/>
      <c r="DY186" s="888"/>
      <c r="DZ186" s="888"/>
      <c r="EA186" s="968"/>
      <c r="EB186" s="888"/>
      <c r="EC186" s="888"/>
      <c r="ED186" s="888"/>
      <c r="EE186" s="888"/>
      <c r="EF186" s="888"/>
      <c r="EG186" s="888"/>
      <c r="EH186" s="888"/>
      <c r="EI186" s="888"/>
      <c r="EJ186" s="888"/>
      <c r="EK186" s="887"/>
      <c r="EL186" s="889"/>
      <c r="EM186" s="888"/>
      <c r="EN186" s="890"/>
      <c r="EO186" s="888"/>
      <c r="EP186" s="888"/>
      <c r="EQ186" s="888"/>
      <c r="ER186" s="888"/>
      <c r="ES186" s="888"/>
      <c r="ET186" s="888"/>
      <c r="EU186" s="659"/>
      <c r="EV186" s="659"/>
      <c r="EW186" s="659"/>
      <c r="EX186" s="659"/>
      <c r="EY186" s="659"/>
      <c r="EZ186" s="783"/>
      <c r="FA186" s="659"/>
      <c r="FB186" s="659"/>
      <c r="FC186" s="659"/>
      <c r="FD186" s="659"/>
      <c r="FE186" s="659"/>
      <c r="FF186" s="659"/>
      <c r="FG186" s="659"/>
      <c r="FH186" s="659"/>
      <c r="FI186" s="659"/>
      <c r="FJ186" s="659"/>
      <c r="FK186" s="897"/>
      <c r="FL186" s="660"/>
      <c r="FM186" s="623"/>
      <c r="FN186" s="623"/>
      <c r="FO186" s="623"/>
      <c r="FP186" s="623"/>
      <c r="FQ186" s="623"/>
      <c r="FR186" s="623"/>
      <c r="FS186" s="623"/>
      <c r="FT186" s="623"/>
      <c r="FU186" s="897"/>
      <c r="FV186" s="1167"/>
    </row>
    <row r="187" spans="1:178" s="115" customFormat="1" ht="18.75" customHeight="1">
      <c r="A187" s="1546">
        <v>1</v>
      </c>
      <c r="B187" s="408">
        <v>240</v>
      </c>
      <c r="C187" s="733" t="s">
        <v>92</v>
      </c>
      <c r="D187" s="734" t="s">
        <v>93</v>
      </c>
      <c r="E187" s="621" t="s">
        <v>918</v>
      </c>
      <c r="F187" s="622"/>
      <c r="G187" s="733" t="s">
        <v>814</v>
      </c>
      <c r="H187" s="621"/>
      <c r="I187" s="631" t="s">
        <v>754</v>
      </c>
      <c r="J187" s="651"/>
      <c r="K187" s="669">
        <v>100</v>
      </c>
      <c r="L187" s="664"/>
      <c r="M187" s="623"/>
      <c r="N187" s="625"/>
      <c r="O187" s="625"/>
      <c r="P187" s="625"/>
      <c r="Q187" s="625"/>
      <c r="R187" s="625"/>
      <c r="S187" s="625"/>
      <c r="T187" s="625"/>
      <c r="U187" s="625"/>
      <c r="V187" s="625"/>
      <c r="W187" s="625"/>
      <c r="X187" s="625"/>
      <c r="Y187" s="625"/>
      <c r="Z187" s="625"/>
      <c r="AA187" s="625"/>
      <c r="AB187" s="625"/>
      <c r="AC187" s="625"/>
      <c r="AD187" s="625"/>
      <c r="AE187" s="625"/>
      <c r="AF187" s="625"/>
      <c r="AG187" s="625"/>
      <c r="AH187" s="625"/>
      <c r="AI187" s="764"/>
      <c r="AJ187" s="772">
        <v>133.5</v>
      </c>
      <c r="AK187" s="625">
        <v>135.1</v>
      </c>
      <c r="AL187" s="625">
        <v>136.30000000000001</v>
      </c>
      <c r="AM187" s="625">
        <v>137</v>
      </c>
      <c r="AN187" s="625">
        <v>207.17</v>
      </c>
      <c r="AO187" s="625">
        <v>139.69999999999999</v>
      </c>
      <c r="AP187" s="625">
        <v>140.19999999999999</v>
      </c>
      <c r="AQ187" s="625">
        <v>140.30000000000001</v>
      </c>
      <c r="AR187" s="625">
        <v>140.6</v>
      </c>
      <c r="AS187" s="625">
        <v>142.1</v>
      </c>
      <c r="AT187" s="625">
        <v>142.19999999999999</v>
      </c>
      <c r="AU187" s="764">
        <v>143.69999999999999</v>
      </c>
      <c r="AV187" s="752">
        <v>144.6</v>
      </c>
      <c r="AW187" s="626">
        <v>146.30000000000001</v>
      </c>
      <c r="AX187" s="626">
        <v>147</v>
      </c>
      <c r="AY187" s="626">
        <v>149.9</v>
      </c>
      <c r="AZ187" s="626">
        <v>157.19999999999999</v>
      </c>
      <c r="BA187" s="627">
        <v>157.9</v>
      </c>
      <c r="BB187" s="627">
        <v>158.4</v>
      </c>
      <c r="BC187" s="627">
        <v>1595</v>
      </c>
      <c r="BD187" s="626">
        <v>160.4</v>
      </c>
      <c r="BE187" s="627">
        <v>161.30000000000001</v>
      </c>
      <c r="BF187" s="627">
        <v>163.19999999999999</v>
      </c>
      <c r="BG187" s="738">
        <v>164.8</v>
      </c>
      <c r="BH187" s="660">
        <v>165.5</v>
      </c>
      <c r="BI187" s="623">
        <v>168.2</v>
      </c>
      <c r="BJ187" s="623">
        <v>168.9</v>
      </c>
      <c r="BK187" s="623">
        <v>174.7</v>
      </c>
      <c r="BL187" s="623">
        <v>180.8</v>
      </c>
      <c r="BM187" s="623">
        <v>183.1</v>
      </c>
      <c r="BN187" s="623">
        <v>183.3</v>
      </c>
      <c r="BO187" s="623">
        <v>185.5</v>
      </c>
      <c r="BP187" s="623">
        <v>188.1</v>
      </c>
      <c r="BQ187" s="623">
        <v>188.2</v>
      </c>
      <c r="BR187" s="623">
        <v>188.5</v>
      </c>
      <c r="BS187" s="659">
        <v>188.7</v>
      </c>
      <c r="BT187" s="660">
        <v>190.7</v>
      </c>
      <c r="BU187" s="623">
        <v>190.7</v>
      </c>
      <c r="BV187" s="623">
        <v>190.4</v>
      </c>
      <c r="BW187" s="623">
        <v>197.2</v>
      </c>
      <c r="BX187" s="623">
        <v>200.8</v>
      </c>
      <c r="BY187" s="623">
        <v>208.3</v>
      </c>
      <c r="BZ187" s="623">
        <v>213.6</v>
      </c>
      <c r="CA187" s="623">
        <v>216.3</v>
      </c>
      <c r="CB187" s="623">
        <v>220.8</v>
      </c>
      <c r="CC187" s="623">
        <v>223.8</v>
      </c>
      <c r="CD187" s="623">
        <v>226.4</v>
      </c>
      <c r="CE187" s="659">
        <v>227.1</v>
      </c>
      <c r="CF187" s="660">
        <v>227.9</v>
      </c>
      <c r="CG187" s="623">
        <v>231.4</v>
      </c>
      <c r="CH187" s="623">
        <v>235</v>
      </c>
      <c r="CI187" s="623">
        <v>237.1</v>
      </c>
      <c r="CJ187" s="623">
        <v>244.4</v>
      </c>
      <c r="CK187" s="623">
        <v>245.3</v>
      </c>
      <c r="CL187" s="623">
        <v>250.3</v>
      </c>
      <c r="CM187" s="623">
        <v>253.7</v>
      </c>
      <c r="CN187" s="623">
        <v>257.89999999999998</v>
      </c>
      <c r="CO187" s="623">
        <v>258.5</v>
      </c>
      <c r="CP187" s="623">
        <v>259.5</v>
      </c>
      <c r="CQ187" s="741">
        <v>258.5</v>
      </c>
      <c r="CR187" s="762">
        <v>257.5</v>
      </c>
      <c r="CS187" s="734">
        <v>256.7</v>
      </c>
      <c r="CT187" s="734">
        <v>256.39999999999998</v>
      </c>
      <c r="CU187" s="734">
        <v>255</v>
      </c>
      <c r="CV187" s="734">
        <v>255.6</v>
      </c>
      <c r="CW187" s="734">
        <v>261.7</v>
      </c>
      <c r="CX187" s="734">
        <v>264.8</v>
      </c>
      <c r="CY187" s="734">
        <v>266.7</v>
      </c>
      <c r="CZ187" s="734">
        <v>267.89999999999998</v>
      </c>
      <c r="DA187" s="734">
        <v>272.2</v>
      </c>
      <c r="DB187" s="734">
        <v>275.10000000000002</v>
      </c>
      <c r="DC187" s="779">
        <v>275.7</v>
      </c>
      <c r="DD187" s="789">
        <v>276.89999999999998</v>
      </c>
      <c r="DE187" s="733">
        <v>279</v>
      </c>
      <c r="DF187" s="799">
        <v>280.89999999999998</v>
      </c>
      <c r="DG187" s="819">
        <v>297.2</v>
      </c>
      <c r="DH187" s="623">
        <v>296.8</v>
      </c>
      <c r="DI187" s="623">
        <v>314.89999999999998</v>
      </c>
      <c r="DJ187" s="623">
        <v>318.7</v>
      </c>
      <c r="DK187" s="659">
        <v>320.60000000000002</v>
      </c>
      <c r="DL187" s="623">
        <v>332.8</v>
      </c>
      <c r="DM187" s="659">
        <v>335.9</v>
      </c>
      <c r="DN187" s="659">
        <v>337.8</v>
      </c>
      <c r="DO187" s="897">
        <v>345.6</v>
      </c>
      <c r="DP187" s="783">
        <v>361.4</v>
      </c>
      <c r="DQ187" s="659">
        <v>365</v>
      </c>
      <c r="DR187" s="659">
        <v>373.7</v>
      </c>
      <c r="DS187" s="659">
        <v>376.6</v>
      </c>
      <c r="DT187" s="623">
        <v>392.6</v>
      </c>
      <c r="DU187" s="659">
        <v>399.1</v>
      </c>
      <c r="DV187" s="659">
        <v>412.1</v>
      </c>
      <c r="DW187" s="659">
        <v>434.5</v>
      </c>
      <c r="DX187" s="659">
        <v>435.3</v>
      </c>
      <c r="DY187" s="659">
        <v>443.9</v>
      </c>
      <c r="DZ187" s="659">
        <v>452.9</v>
      </c>
      <c r="EA187" s="897">
        <v>454.6</v>
      </c>
      <c r="EB187" s="659">
        <v>455.5</v>
      </c>
      <c r="EC187" s="659">
        <v>470</v>
      </c>
      <c r="ED187" s="659">
        <v>472.6</v>
      </c>
      <c r="EE187" s="659">
        <v>474.3</v>
      </c>
      <c r="EF187" s="659">
        <v>476</v>
      </c>
      <c r="EG187" s="659">
        <v>478.3</v>
      </c>
      <c r="EH187" s="659">
        <v>537.79999999999995</v>
      </c>
      <c r="EI187" s="659">
        <v>546.29999999999995</v>
      </c>
      <c r="EJ187" s="659">
        <v>547.4</v>
      </c>
      <c r="EK187" s="623">
        <v>548.29999999999995</v>
      </c>
      <c r="EL187" s="725">
        <v>551.1</v>
      </c>
      <c r="EM187" s="659">
        <v>554</v>
      </c>
      <c r="EN187" s="783">
        <v>555.70000000000005</v>
      </c>
      <c r="EO187" s="659">
        <v>570.6</v>
      </c>
      <c r="EP187" s="659">
        <v>572.4</v>
      </c>
      <c r="EQ187" s="659">
        <v>584.79999999999995</v>
      </c>
      <c r="ER187" s="659">
        <v>590.70000000000005</v>
      </c>
      <c r="ES187" s="659">
        <v>620.20000000000005</v>
      </c>
      <c r="ET187" s="659">
        <v>651.70000000000005</v>
      </c>
      <c r="EU187" s="659">
        <v>657</v>
      </c>
      <c r="EV187" s="659">
        <v>683.9</v>
      </c>
      <c r="EW187" s="659">
        <v>687.7</v>
      </c>
      <c r="EX187" s="659">
        <v>703.6</v>
      </c>
      <c r="EY187" s="659">
        <v>711.4</v>
      </c>
      <c r="EZ187" s="783">
        <v>727.8</v>
      </c>
      <c r="FA187" s="659">
        <v>757</v>
      </c>
      <c r="FB187" s="659">
        <v>768.8</v>
      </c>
      <c r="FC187" s="659">
        <v>782.6</v>
      </c>
      <c r="FD187" s="659">
        <v>856.7</v>
      </c>
      <c r="FE187" s="659">
        <v>859.2</v>
      </c>
      <c r="FF187" s="659">
        <v>886.3</v>
      </c>
      <c r="FG187" s="659">
        <v>902.1</v>
      </c>
      <c r="FH187" s="659">
        <v>912.8</v>
      </c>
      <c r="FI187" s="659">
        <v>924.7</v>
      </c>
      <c r="FJ187" s="659">
        <v>933.7</v>
      </c>
      <c r="FK187" s="897">
        <v>942.2</v>
      </c>
      <c r="FL187" s="660">
        <v>956.7</v>
      </c>
      <c r="FM187" s="623">
        <v>963.2</v>
      </c>
      <c r="FN187" s="623">
        <v>965.3</v>
      </c>
      <c r="FO187" s="623">
        <v>968.8</v>
      </c>
      <c r="FP187" s="623">
        <v>970</v>
      </c>
      <c r="FQ187" s="623">
        <v>1049</v>
      </c>
      <c r="FR187" s="623">
        <v>1067.4000000000001</v>
      </c>
      <c r="FS187" s="623">
        <v>1102.5999999999999</v>
      </c>
      <c r="FT187" s="623">
        <v>1126.4000000000001</v>
      </c>
      <c r="FU187" s="897">
        <v>1130.2</v>
      </c>
      <c r="FV187" s="1167">
        <f t="shared" si="3"/>
        <v>1.0033735795454546</v>
      </c>
    </row>
    <row r="188" spans="1:178" s="115" customFormat="1" ht="17.25" customHeight="1">
      <c r="A188" s="1546">
        <v>1</v>
      </c>
      <c r="B188" s="408">
        <v>241</v>
      </c>
      <c r="C188" s="733" t="s">
        <v>94</v>
      </c>
      <c r="D188" s="734" t="s">
        <v>95</v>
      </c>
      <c r="E188" s="621" t="s">
        <v>918</v>
      </c>
      <c r="F188" s="622"/>
      <c r="G188" s="621" t="s">
        <v>929</v>
      </c>
      <c r="H188" s="621"/>
      <c r="I188" s="631" t="s">
        <v>755</v>
      </c>
      <c r="J188" s="651"/>
      <c r="K188" s="669">
        <v>100</v>
      </c>
      <c r="L188" s="664"/>
      <c r="M188" s="623"/>
      <c r="N188" s="625"/>
      <c r="O188" s="625"/>
      <c r="P188" s="625"/>
      <c r="Q188" s="625"/>
      <c r="R188" s="625"/>
      <c r="S188" s="625"/>
      <c r="T188" s="625"/>
      <c r="U188" s="625"/>
      <c r="V188" s="625"/>
      <c r="W188" s="625"/>
      <c r="X188" s="625"/>
      <c r="Y188" s="625"/>
      <c r="Z188" s="625"/>
      <c r="AA188" s="625"/>
      <c r="AB188" s="625"/>
      <c r="AC188" s="625"/>
      <c r="AD188" s="625"/>
      <c r="AE188" s="625"/>
      <c r="AF188" s="625"/>
      <c r="AG188" s="625"/>
      <c r="AH188" s="625"/>
      <c r="AI188" s="764"/>
      <c r="AJ188" s="772">
        <v>199.9</v>
      </c>
      <c r="AK188" s="625">
        <v>202.6</v>
      </c>
      <c r="AL188" s="625">
        <v>212.5</v>
      </c>
      <c r="AM188" s="625">
        <v>220.2</v>
      </c>
      <c r="AN188" s="625">
        <v>220.2</v>
      </c>
      <c r="AO188" s="625">
        <v>220.2</v>
      </c>
      <c r="AP188" s="625">
        <v>228.9</v>
      </c>
      <c r="AQ188" s="625">
        <v>228.9</v>
      </c>
      <c r="AR188" s="625">
        <v>228.9</v>
      </c>
      <c r="AS188" s="625">
        <v>228.9</v>
      </c>
      <c r="AT188" s="625">
        <v>228.9</v>
      </c>
      <c r="AU188" s="764">
        <v>228.9</v>
      </c>
      <c r="AV188" s="752">
        <v>228.9</v>
      </c>
      <c r="AW188" s="627" t="s">
        <v>690</v>
      </c>
      <c r="AX188" s="626">
        <v>231.3</v>
      </c>
      <c r="AY188" s="626">
        <v>231.3</v>
      </c>
      <c r="AZ188" s="626">
        <v>231.3</v>
      </c>
      <c r="BA188" s="628">
        <v>231.9</v>
      </c>
      <c r="BB188" s="628">
        <v>231.9</v>
      </c>
      <c r="BC188" s="627">
        <v>231.9</v>
      </c>
      <c r="BD188" s="626">
        <v>231.9</v>
      </c>
      <c r="BE188" s="627">
        <v>231.9</v>
      </c>
      <c r="BF188" s="627">
        <v>235.1</v>
      </c>
      <c r="BG188" s="738">
        <v>230.6</v>
      </c>
      <c r="BH188" s="660">
        <v>234.2</v>
      </c>
      <c r="BI188" s="623">
        <v>253.1</v>
      </c>
      <c r="BJ188" s="623">
        <v>253.1</v>
      </c>
      <c r="BK188" s="623">
        <v>253.1</v>
      </c>
      <c r="BL188" s="623">
        <v>253.1</v>
      </c>
      <c r="BM188" s="623">
        <v>256.39999999999998</v>
      </c>
      <c r="BN188" s="623">
        <v>256.39999999999998</v>
      </c>
      <c r="BO188" s="623">
        <v>256.39999999999998</v>
      </c>
      <c r="BP188" s="623">
        <v>256.39999999999998</v>
      </c>
      <c r="BQ188" s="623">
        <v>256.39999999999998</v>
      </c>
      <c r="BR188" s="623">
        <v>256.39999999999998</v>
      </c>
      <c r="BS188" s="659">
        <v>256.39999999999998</v>
      </c>
      <c r="BT188" s="660">
        <v>256.39999999999998</v>
      </c>
      <c r="BU188" s="623">
        <v>256.39999999999998</v>
      </c>
      <c r="BV188" s="623">
        <v>256.39999999999998</v>
      </c>
      <c r="BW188" s="623">
        <v>256.39999999999998</v>
      </c>
      <c r="BX188" s="623">
        <v>256.39999999999998</v>
      </c>
      <c r="BY188" s="623">
        <v>256.39999999999998</v>
      </c>
      <c r="BZ188" s="623">
        <v>256.39999999999998</v>
      </c>
      <c r="CA188" s="623">
        <v>256.39999999999998</v>
      </c>
      <c r="CB188" s="623">
        <v>266.7</v>
      </c>
      <c r="CC188" s="623">
        <v>266.7</v>
      </c>
      <c r="CD188" s="623">
        <v>265.8</v>
      </c>
      <c r="CE188" s="659">
        <v>265.7</v>
      </c>
      <c r="CF188" s="660">
        <v>266.8</v>
      </c>
      <c r="CG188" s="623">
        <v>273.7</v>
      </c>
      <c r="CH188" s="623">
        <v>283.39999999999998</v>
      </c>
      <c r="CI188" s="623">
        <v>284.60000000000002</v>
      </c>
      <c r="CJ188" s="623">
        <v>288.89999999999998</v>
      </c>
      <c r="CK188" s="623">
        <v>288.89999999999998</v>
      </c>
      <c r="CL188" s="623">
        <v>292.89999999999998</v>
      </c>
      <c r="CM188" s="623">
        <v>306.3</v>
      </c>
      <c r="CN188" s="623">
        <v>308</v>
      </c>
      <c r="CO188" s="623">
        <v>308</v>
      </c>
      <c r="CP188" s="623">
        <v>308.5</v>
      </c>
      <c r="CQ188" s="741">
        <v>309.10000000000002</v>
      </c>
      <c r="CR188" s="762">
        <v>309.89999999999998</v>
      </c>
      <c r="CS188" s="734">
        <v>310.39999999999998</v>
      </c>
      <c r="CT188" s="734">
        <v>317.7</v>
      </c>
      <c r="CU188" s="734">
        <v>324.60000000000002</v>
      </c>
      <c r="CV188" s="734">
        <v>342.4</v>
      </c>
      <c r="CW188" s="734">
        <v>342.4</v>
      </c>
      <c r="CX188" s="734">
        <v>334.5</v>
      </c>
      <c r="CY188" s="734">
        <v>338</v>
      </c>
      <c r="CZ188" s="734">
        <v>349.5</v>
      </c>
      <c r="DA188" s="734">
        <v>351.1</v>
      </c>
      <c r="DB188" s="734">
        <v>352.7</v>
      </c>
      <c r="DC188" s="779">
        <v>352.7</v>
      </c>
      <c r="DD188" s="789">
        <v>352.7</v>
      </c>
      <c r="DE188" s="733">
        <v>352.7</v>
      </c>
      <c r="DF188" s="799">
        <v>358.2</v>
      </c>
      <c r="DG188" s="819">
        <v>357.9</v>
      </c>
      <c r="DH188" s="623">
        <v>358.9</v>
      </c>
      <c r="DI188" s="623">
        <v>365.7</v>
      </c>
      <c r="DJ188" s="623">
        <v>365.7</v>
      </c>
      <c r="DK188" s="659">
        <v>365.7</v>
      </c>
      <c r="DL188" s="623">
        <v>373.1</v>
      </c>
      <c r="DM188" s="659">
        <v>373.1</v>
      </c>
      <c r="DN188" s="659">
        <v>381</v>
      </c>
      <c r="DO188" s="897">
        <v>382.2</v>
      </c>
      <c r="DP188" s="783">
        <v>380.4</v>
      </c>
      <c r="DQ188" s="659">
        <v>383.8</v>
      </c>
      <c r="DR188" s="659">
        <v>398.5</v>
      </c>
      <c r="DS188" s="659">
        <v>404.9</v>
      </c>
      <c r="DT188" s="623">
        <v>413.9</v>
      </c>
      <c r="DU188" s="659">
        <v>415.3</v>
      </c>
      <c r="DV188" s="659">
        <v>415.3</v>
      </c>
      <c r="DW188" s="659">
        <v>369.3</v>
      </c>
      <c r="DX188" s="659">
        <v>377.7</v>
      </c>
      <c r="DY188" s="659">
        <v>393.3</v>
      </c>
      <c r="DZ188" s="659">
        <v>393.5</v>
      </c>
      <c r="EA188" s="897">
        <v>396.3</v>
      </c>
      <c r="EB188" s="659">
        <v>402.4</v>
      </c>
      <c r="EC188" s="659">
        <v>382.2</v>
      </c>
      <c r="ED188" s="659">
        <v>394.6</v>
      </c>
      <c r="EE188" s="659">
        <v>394.9</v>
      </c>
      <c r="EF188" s="659">
        <v>435.2</v>
      </c>
      <c r="EG188" s="659">
        <v>467.6</v>
      </c>
      <c r="EH188" s="659">
        <v>480.2</v>
      </c>
      <c r="EI188" s="659">
        <v>487.6</v>
      </c>
      <c r="EJ188" s="659">
        <v>494.6</v>
      </c>
      <c r="EK188" s="623">
        <v>532.29999999999995</v>
      </c>
      <c r="EL188" s="725">
        <v>537.70000000000005</v>
      </c>
      <c r="EM188" s="659">
        <v>553.4</v>
      </c>
      <c r="EN188" s="783">
        <v>570.70000000000005</v>
      </c>
      <c r="EO188" s="659">
        <v>590.29999999999995</v>
      </c>
      <c r="EP188" s="659">
        <v>592.79999999999995</v>
      </c>
      <c r="EQ188" s="659">
        <v>605.9</v>
      </c>
      <c r="ER188" s="659">
        <v>625.79999999999995</v>
      </c>
      <c r="ES188" s="659">
        <v>670.9</v>
      </c>
      <c r="ET188" s="659">
        <v>667.9</v>
      </c>
      <c r="EU188" s="659">
        <v>702</v>
      </c>
      <c r="EV188" s="659">
        <v>730.2</v>
      </c>
      <c r="EW188" s="659">
        <v>744.8</v>
      </c>
      <c r="EX188" s="659">
        <v>771.8</v>
      </c>
      <c r="EY188" s="659">
        <v>849.6</v>
      </c>
      <c r="EZ188" s="783">
        <v>913.5</v>
      </c>
      <c r="FA188" s="659">
        <v>1025.0999999999999</v>
      </c>
      <c r="FB188" s="659">
        <v>969</v>
      </c>
      <c r="FC188" s="659">
        <v>839.8</v>
      </c>
      <c r="FD188" s="659">
        <v>877.9</v>
      </c>
      <c r="FE188" s="659">
        <v>909.6</v>
      </c>
      <c r="FF188" s="659">
        <v>962.8</v>
      </c>
      <c r="FG188" s="659">
        <v>941.7</v>
      </c>
      <c r="FH188" s="659">
        <v>985.4</v>
      </c>
      <c r="FI188" s="659">
        <v>986.8</v>
      </c>
      <c r="FJ188" s="659">
        <v>988.2</v>
      </c>
      <c r="FK188" s="897">
        <v>999.2</v>
      </c>
      <c r="FL188" s="660">
        <v>1025.9000000000001</v>
      </c>
      <c r="FM188" s="623">
        <v>1030.5</v>
      </c>
      <c r="FN188" s="623">
        <v>999.7</v>
      </c>
      <c r="FO188" s="623">
        <v>1164.7</v>
      </c>
      <c r="FP188" s="623">
        <v>1019.1</v>
      </c>
      <c r="FQ188" s="623">
        <v>1020.4</v>
      </c>
      <c r="FR188" s="623">
        <v>1022.3</v>
      </c>
      <c r="FS188" s="623">
        <v>1074.2</v>
      </c>
      <c r="FT188" s="623">
        <v>1076</v>
      </c>
      <c r="FU188" s="897">
        <v>1086.0999999999999</v>
      </c>
      <c r="FV188" s="1167">
        <f t="shared" si="3"/>
        <v>1.0093866171003716</v>
      </c>
    </row>
    <row r="189" spans="1:178" s="115" customFormat="1" ht="18.75" customHeight="1">
      <c r="A189" s="1546">
        <v>1</v>
      </c>
      <c r="B189" s="408">
        <v>242</v>
      </c>
      <c r="C189" s="733" t="s">
        <v>90</v>
      </c>
      <c r="D189" s="734" t="s">
        <v>91</v>
      </c>
      <c r="E189" s="621" t="s">
        <v>918</v>
      </c>
      <c r="F189" s="622"/>
      <c r="G189" s="733" t="s">
        <v>919</v>
      </c>
      <c r="H189" s="621"/>
      <c r="I189" s="631" t="s">
        <v>756</v>
      </c>
      <c r="J189" s="651"/>
      <c r="K189" s="669">
        <v>100</v>
      </c>
      <c r="L189" s="664"/>
      <c r="M189" s="623"/>
      <c r="N189" s="625"/>
      <c r="O189" s="625"/>
      <c r="P189" s="625"/>
      <c r="Q189" s="625"/>
      <c r="R189" s="625"/>
      <c r="S189" s="625"/>
      <c r="T189" s="625"/>
      <c r="U189" s="625"/>
      <c r="V189" s="625"/>
      <c r="W189" s="625"/>
      <c r="X189" s="625"/>
      <c r="Y189" s="625"/>
      <c r="Z189" s="625"/>
      <c r="AA189" s="625"/>
      <c r="AB189" s="625"/>
      <c r="AC189" s="625"/>
      <c r="AD189" s="625"/>
      <c r="AE189" s="625"/>
      <c r="AF189" s="625"/>
      <c r="AG189" s="625"/>
      <c r="AH189" s="625"/>
      <c r="AI189" s="764"/>
      <c r="AJ189" s="772">
        <v>190.51</v>
      </c>
      <c r="AK189" s="625">
        <v>205.18</v>
      </c>
      <c r="AL189" s="625">
        <v>206.92</v>
      </c>
      <c r="AM189" s="625">
        <v>206.83</v>
      </c>
      <c r="AN189" s="625">
        <v>207.17</v>
      </c>
      <c r="AO189" s="625">
        <v>212.88</v>
      </c>
      <c r="AP189" s="625">
        <v>212.81</v>
      </c>
      <c r="AQ189" s="625">
        <v>213.01</v>
      </c>
      <c r="AR189" s="625">
        <v>217.36</v>
      </c>
      <c r="AS189" s="625">
        <v>222.44</v>
      </c>
      <c r="AT189" s="625">
        <v>223.86</v>
      </c>
      <c r="AU189" s="764">
        <v>247.48</v>
      </c>
      <c r="AV189" s="752">
        <v>252.44</v>
      </c>
      <c r="AW189" s="626">
        <v>257.56</v>
      </c>
      <c r="AX189" s="626">
        <v>265.93</v>
      </c>
      <c r="AY189" s="626">
        <v>268.43</v>
      </c>
      <c r="AZ189" s="626">
        <v>282.18</v>
      </c>
      <c r="BA189" s="628">
        <v>311.52999999999997</v>
      </c>
      <c r="BB189" s="628">
        <v>314.86</v>
      </c>
      <c r="BC189" s="627">
        <v>318.67</v>
      </c>
      <c r="BD189" s="626">
        <v>334.74</v>
      </c>
      <c r="BE189" s="627">
        <v>336.07</v>
      </c>
      <c r="BF189" s="627">
        <v>350</v>
      </c>
      <c r="BG189" s="738">
        <v>356.86</v>
      </c>
      <c r="BH189" s="660">
        <v>363.86</v>
      </c>
      <c r="BI189" s="623">
        <v>386.19</v>
      </c>
      <c r="BJ189" s="623">
        <v>396.11</v>
      </c>
      <c r="BK189" s="623">
        <v>407.76</v>
      </c>
      <c r="BL189" s="623">
        <v>450.31</v>
      </c>
      <c r="BM189" s="623">
        <v>452.44</v>
      </c>
      <c r="BN189" s="623">
        <v>452.98</v>
      </c>
      <c r="BO189" s="623">
        <v>452.96</v>
      </c>
      <c r="BP189" s="623">
        <v>453.11</v>
      </c>
      <c r="BQ189" s="623">
        <v>454.24</v>
      </c>
      <c r="BR189" s="623">
        <v>454.05</v>
      </c>
      <c r="BS189" s="659">
        <v>453.87</v>
      </c>
      <c r="BT189" s="660">
        <v>454.05</v>
      </c>
      <c r="BU189" s="623">
        <v>454.22</v>
      </c>
      <c r="BV189" s="623">
        <v>454.22</v>
      </c>
      <c r="BW189" s="623">
        <v>455.68</v>
      </c>
      <c r="BX189" s="623">
        <v>458.82</v>
      </c>
      <c r="BY189" s="623">
        <v>458.86</v>
      </c>
      <c r="BZ189" s="623">
        <v>474.53</v>
      </c>
      <c r="CA189" s="623">
        <v>476.53</v>
      </c>
      <c r="CB189" s="623">
        <v>483.85</v>
      </c>
      <c r="CC189" s="623">
        <v>484.04</v>
      </c>
      <c r="CD189" s="623">
        <v>483.8</v>
      </c>
      <c r="CE189" s="659">
        <v>485.84</v>
      </c>
      <c r="CF189" s="660">
        <v>487.43</v>
      </c>
      <c r="CG189" s="623">
        <v>459.69</v>
      </c>
      <c r="CH189" s="623">
        <v>472.73</v>
      </c>
      <c r="CI189" s="623">
        <v>479.92</v>
      </c>
      <c r="CJ189" s="623">
        <v>489.41</v>
      </c>
      <c r="CK189" s="623">
        <v>492.42</v>
      </c>
      <c r="CL189" s="623">
        <v>513.5</v>
      </c>
      <c r="CM189" s="623">
        <v>517.64</v>
      </c>
      <c r="CN189" s="623">
        <v>545.17999999999995</v>
      </c>
      <c r="CO189" s="623">
        <v>543.41</v>
      </c>
      <c r="CP189" s="623">
        <v>544.04999999999995</v>
      </c>
      <c r="CQ189" s="741">
        <v>545.48</v>
      </c>
      <c r="CR189" s="762">
        <v>545.16999999999996</v>
      </c>
      <c r="CS189" s="734">
        <v>545.95000000000005</v>
      </c>
      <c r="CT189" s="734">
        <v>546.95000000000005</v>
      </c>
      <c r="CU189" s="734">
        <v>548.22</v>
      </c>
      <c r="CV189" s="734">
        <v>538.58000000000004</v>
      </c>
      <c r="CW189" s="734">
        <v>539.02</v>
      </c>
      <c r="CX189" s="734">
        <v>539.34</v>
      </c>
      <c r="CY189" s="734">
        <v>539.55999999999995</v>
      </c>
      <c r="CZ189" s="734">
        <v>567.07000000000005</v>
      </c>
      <c r="DA189" s="734">
        <v>566.80999999999995</v>
      </c>
      <c r="DB189" s="734">
        <v>566.66999999999996</v>
      </c>
      <c r="DC189" s="779">
        <v>566.66999999999996</v>
      </c>
      <c r="DD189" s="789">
        <v>566.55999999999995</v>
      </c>
      <c r="DE189" s="733">
        <v>567.12</v>
      </c>
      <c r="DF189" s="799">
        <v>567.12</v>
      </c>
      <c r="DG189" s="819">
        <v>566.65</v>
      </c>
      <c r="DH189" s="623">
        <v>570.52</v>
      </c>
      <c r="DI189" s="623">
        <v>570.52</v>
      </c>
      <c r="DJ189" s="623">
        <v>570.85</v>
      </c>
      <c r="DK189" s="659">
        <v>570.84</v>
      </c>
      <c r="DL189" s="623">
        <v>586.6</v>
      </c>
      <c r="DM189" s="659">
        <v>586.59</v>
      </c>
      <c r="DN189" s="659">
        <v>617.22</v>
      </c>
      <c r="DO189" s="897">
        <v>617.29999999999995</v>
      </c>
      <c r="DP189" s="783">
        <v>627.69000000000005</v>
      </c>
      <c r="DQ189" s="659">
        <v>628.07000000000005</v>
      </c>
      <c r="DR189" s="659">
        <v>635.16</v>
      </c>
      <c r="DS189" s="659">
        <v>640.63</v>
      </c>
      <c r="DT189" s="623">
        <v>659.3</v>
      </c>
      <c r="DU189" s="659">
        <v>664.6</v>
      </c>
      <c r="DV189" s="659">
        <v>676.81</v>
      </c>
      <c r="DW189" s="659">
        <v>681.84</v>
      </c>
      <c r="DX189" s="659">
        <v>682.93</v>
      </c>
      <c r="DY189" s="659">
        <v>682.93</v>
      </c>
      <c r="DZ189" s="659">
        <v>683.36</v>
      </c>
      <c r="EA189" s="897">
        <v>683.45</v>
      </c>
      <c r="EB189" s="659">
        <v>683.7</v>
      </c>
      <c r="EC189" s="659">
        <v>683.7</v>
      </c>
      <c r="ED189" s="659">
        <v>698.8</v>
      </c>
      <c r="EE189" s="659">
        <v>699.11</v>
      </c>
      <c r="EF189" s="659">
        <v>699.6</v>
      </c>
      <c r="EG189" s="659">
        <v>700.04</v>
      </c>
      <c r="EH189" s="659">
        <v>708.73</v>
      </c>
      <c r="EI189" s="659">
        <v>723.4</v>
      </c>
      <c r="EJ189" s="659">
        <v>729.43</v>
      </c>
      <c r="EK189" s="623">
        <v>737.63</v>
      </c>
      <c r="EL189" s="725">
        <v>752.76</v>
      </c>
      <c r="EM189" s="659">
        <v>760.53</v>
      </c>
      <c r="EN189" s="783">
        <v>766.99</v>
      </c>
      <c r="EO189" s="659">
        <v>822.5</v>
      </c>
      <c r="EP189" s="659">
        <v>834.33</v>
      </c>
      <c r="EQ189" s="659">
        <v>839.96</v>
      </c>
      <c r="ER189" s="659">
        <v>852.12</v>
      </c>
      <c r="ES189" s="659">
        <v>867.07</v>
      </c>
      <c r="ET189" s="659">
        <v>879.17</v>
      </c>
      <c r="EU189" s="659">
        <v>896.09</v>
      </c>
      <c r="EV189" s="659">
        <v>913.37</v>
      </c>
      <c r="EW189" s="659">
        <v>923.37</v>
      </c>
      <c r="EX189" s="659">
        <v>937.79</v>
      </c>
      <c r="EY189" s="659">
        <v>970.83</v>
      </c>
      <c r="EZ189" s="783">
        <v>1082.3599999999999</v>
      </c>
      <c r="FA189" s="659">
        <v>1144.7</v>
      </c>
      <c r="FB189" s="659">
        <v>1260.96</v>
      </c>
      <c r="FC189" s="659">
        <v>1285.43</v>
      </c>
      <c r="FD189" s="659">
        <v>1292.27</v>
      </c>
      <c r="FE189" s="659">
        <v>1300.03</v>
      </c>
      <c r="FF189" s="659">
        <v>1300.33</v>
      </c>
      <c r="FG189" s="659">
        <v>1338.26</v>
      </c>
      <c r="FH189" s="659">
        <v>1349.35</v>
      </c>
      <c r="FI189" s="659">
        <v>1355.8</v>
      </c>
      <c r="FJ189" s="659">
        <v>1358.62</v>
      </c>
      <c r="FK189" s="897">
        <v>1362.49</v>
      </c>
      <c r="FL189" s="660">
        <v>1367.58</v>
      </c>
      <c r="FM189" s="623">
        <v>1376.27</v>
      </c>
      <c r="FN189" s="623">
        <v>1398.96</v>
      </c>
      <c r="FO189" s="623">
        <v>1422.55</v>
      </c>
      <c r="FP189" s="623">
        <v>1449.71</v>
      </c>
      <c r="FQ189" s="623">
        <v>1463.63</v>
      </c>
      <c r="FR189" s="623">
        <v>1477.9</v>
      </c>
      <c r="FS189" s="623">
        <v>1492.11</v>
      </c>
      <c r="FT189" s="623">
        <v>1509.22</v>
      </c>
      <c r="FU189" s="897">
        <v>1528.56</v>
      </c>
      <c r="FV189" s="1167">
        <f t="shared" si="3"/>
        <v>1.0128145664647963</v>
      </c>
    </row>
    <row r="190" spans="1:178" s="115" customFormat="1" ht="18" customHeight="1">
      <c r="A190" s="1546">
        <v>1</v>
      </c>
      <c r="B190" s="644">
        <v>243</v>
      </c>
      <c r="C190" s="1413" t="s">
        <v>953</v>
      </c>
      <c r="D190" s="1414" t="s">
        <v>89</v>
      </c>
      <c r="E190" s="645" t="s">
        <v>918</v>
      </c>
      <c r="F190" s="645"/>
      <c r="G190" s="1413" t="s">
        <v>223</v>
      </c>
      <c r="H190" s="645"/>
      <c r="I190" s="892" t="s">
        <v>757</v>
      </c>
      <c r="J190" s="893"/>
      <c r="K190" s="877">
        <v>100</v>
      </c>
      <c r="L190" s="878"/>
      <c r="M190" s="879"/>
      <c r="N190" s="879"/>
      <c r="O190" s="879"/>
      <c r="P190" s="879"/>
      <c r="Q190" s="879"/>
      <c r="R190" s="879"/>
      <c r="S190" s="879"/>
      <c r="T190" s="879"/>
      <c r="U190" s="879"/>
      <c r="V190" s="879"/>
      <c r="W190" s="879"/>
      <c r="X190" s="879"/>
      <c r="Y190" s="879"/>
      <c r="Z190" s="879"/>
      <c r="AA190" s="879"/>
      <c r="AB190" s="879"/>
      <c r="AC190" s="879"/>
      <c r="AD190" s="879"/>
      <c r="AE190" s="879"/>
      <c r="AF190" s="879"/>
      <c r="AG190" s="879"/>
      <c r="AH190" s="879"/>
      <c r="AI190" s="880"/>
      <c r="AJ190" s="881">
        <v>162.30000000000001</v>
      </c>
      <c r="AK190" s="879">
        <v>162.88999999999999</v>
      </c>
      <c r="AL190" s="879">
        <v>166.69</v>
      </c>
      <c r="AM190" s="879">
        <v>168.25</v>
      </c>
      <c r="AN190" s="879">
        <v>193.34</v>
      </c>
      <c r="AO190" s="879">
        <v>193.54</v>
      </c>
      <c r="AP190" s="879">
        <v>191.87</v>
      </c>
      <c r="AQ190" s="879">
        <v>194.92</v>
      </c>
      <c r="AR190" s="879">
        <v>167.11</v>
      </c>
      <c r="AS190" s="879">
        <v>175.53</v>
      </c>
      <c r="AT190" s="879">
        <v>175.49</v>
      </c>
      <c r="AU190" s="880">
        <v>183.64</v>
      </c>
      <c r="AV190" s="882">
        <v>186.5</v>
      </c>
      <c r="AW190" s="883">
        <v>181.61</v>
      </c>
      <c r="AX190" s="883">
        <v>181.7</v>
      </c>
      <c r="AY190" s="883">
        <v>181.09</v>
      </c>
      <c r="AZ190" s="883">
        <v>180.88</v>
      </c>
      <c r="BA190" s="883">
        <v>183.22</v>
      </c>
      <c r="BB190" s="883">
        <v>183.04</v>
      </c>
      <c r="BC190" s="884">
        <v>183.11</v>
      </c>
      <c r="BD190" s="883">
        <v>191.73</v>
      </c>
      <c r="BE190" s="884">
        <v>193.82</v>
      </c>
      <c r="BF190" s="884">
        <v>194</v>
      </c>
      <c r="BG190" s="885">
        <v>197.36</v>
      </c>
      <c r="BH190" s="1415">
        <v>185.76</v>
      </c>
      <c r="BI190" s="884">
        <v>198.88</v>
      </c>
      <c r="BJ190" s="884">
        <v>199.52</v>
      </c>
      <c r="BK190" s="884">
        <v>199.61</v>
      </c>
      <c r="BL190" s="884">
        <v>220.2</v>
      </c>
      <c r="BM190" s="884">
        <v>216.24</v>
      </c>
      <c r="BN190" s="884">
        <v>222.49</v>
      </c>
      <c r="BO190" s="884">
        <v>210.4</v>
      </c>
      <c r="BP190" s="884">
        <v>217.67</v>
      </c>
      <c r="BQ190" s="884">
        <v>209.77</v>
      </c>
      <c r="BR190" s="884">
        <v>206.88</v>
      </c>
      <c r="BS190" s="885">
        <v>206.73</v>
      </c>
      <c r="BT190" s="1415">
        <v>204.61</v>
      </c>
      <c r="BU190" s="884">
        <v>256.39999999999998</v>
      </c>
      <c r="BV190" s="884">
        <v>205.32</v>
      </c>
      <c r="BW190" s="887">
        <v>215.86</v>
      </c>
      <c r="BX190" s="887">
        <v>215.72</v>
      </c>
      <c r="BY190" s="884">
        <v>212.42</v>
      </c>
      <c r="BZ190" s="884">
        <v>217.75</v>
      </c>
      <c r="CA190" s="884">
        <v>216.28</v>
      </c>
      <c r="CB190" s="884">
        <v>215.66</v>
      </c>
      <c r="CC190" s="884">
        <v>220.51</v>
      </c>
      <c r="CD190" s="884">
        <v>216.37</v>
      </c>
      <c r="CE190" s="885">
        <v>216.16</v>
      </c>
      <c r="CF190" s="1415">
        <v>218.97</v>
      </c>
      <c r="CG190" s="884">
        <v>224.13</v>
      </c>
      <c r="CH190" s="884">
        <v>237.82</v>
      </c>
      <c r="CI190" s="884">
        <v>245.83</v>
      </c>
      <c r="CJ190" s="884">
        <v>250.08</v>
      </c>
      <c r="CK190" s="884">
        <v>243.18</v>
      </c>
      <c r="CL190" s="884">
        <v>248.13</v>
      </c>
      <c r="CM190" s="884">
        <v>245.43</v>
      </c>
      <c r="CN190" s="884">
        <v>246.05</v>
      </c>
      <c r="CO190" s="884">
        <v>245.45</v>
      </c>
      <c r="CP190" s="884">
        <v>249</v>
      </c>
      <c r="CQ190" s="1416">
        <v>248.75</v>
      </c>
      <c r="CR190" s="1417">
        <v>247.66</v>
      </c>
      <c r="CS190" s="1418">
        <v>249.31</v>
      </c>
      <c r="CT190" s="1418">
        <v>263.56</v>
      </c>
      <c r="CU190" s="1418">
        <v>240.13</v>
      </c>
      <c r="CV190" s="1419">
        <v>247.14</v>
      </c>
      <c r="CW190" s="1418">
        <v>246.89</v>
      </c>
      <c r="CX190" s="1418">
        <v>247.86</v>
      </c>
      <c r="CY190" s="1418">
        <v>254.93</v>
      </c>
      <c r="CZ190" s="1418">
        <v>257.8</v>
      </c>
      <c r="DA190" s="1418">
        <v>260.94</v>
      </c>
      <c r="DB190" s="1418">
        <v>259.16000000000003</v>
      </c>
      <c r="DC190" s="1420">
        <v>263.79000000000002</v>
      </c>
      <c r="DD190" s="1421">
        <v>266.99</v>
      </c>
      <c r="DE190" s="1422">
        <v>270.89999999999998</v>
      </c>
      <c r="DF190" s="1423">
        <v>269.04000000000002</v>
      </c>
      <c r="DG190" s="1424">
        <v>272.14</v>
      </c>
      <c r="DH190" s="887">
        <v>278.05</v>
      </c>
      <c r="DI190" s="887">
        <v>280.14</v>
      </c>
      <c r="DJ190" s="887">
        <v>282.16000000000003</v>
      </c>
      <c r="DK190" s="888">
        <v>285.12</v>
      </c>
      <c r="DL190" s="887">
        <v>287.41000000000003</v>
      </c>
      <c r="DM190" s="888">
        <v>289.14</v>
      </c>
      <c r="DN190" s="888">
        <v>297</v>
      </c>
      <c r="DO190" s="968">
        <v>297.10000000000002</v>
      </c>
      <c r="DP190" s="890">
        <v>302.56</v>
      </c>
      <c r="DQ190" s="888">
        <v>310.44</v>
      </c>
      <c r="DR190" s="888">
        <v>312.08</v>
      </c>
      <c r="DS190" s="888">
        <v>319.67</v>
      </c>
      <c r="DT190" s="887">
        <v>302.04000000000002</v>
      </c>
      <c r="DU190" s="888">
        <v>318.69</v>
      </c>
      <c r="DV190" s="888">
        <v>321.29000000000002</v>
      </c>
      <c r="DW190" s="888">
        <v>321.52999999999997</v>
      </c>
      <c r="DX190" s="888">
        <v>321.69</v>
      </c>
      <c r="DY190" s="888">
        <v>317.74</v>
      </c>
      <c r="DZ190" s="888">
        <v>315.64</v>
      </c>
      <c r="EA190" s="968">
        <v>315.19</v>
      </c>
      <c r="EB190" s="888">
        <v>315.45999999999998</v>
      </c>
      <c r="EC190" s="888">
        <v>317.47000000000003</v>
      </c>
      <c r="ED190" s="888">
        <v>317.61</v>
      </c>
      <c r="EE190" s="888">
        <v>324.55</v>
      </c>
      <c r="EF190" s="888">
        <v>321.74</v>
      </c>
      <c r="EG190" s="888">
        <v>322.99</v>
      </c>
      <c r="EH190" s="888">
        <v>325.13</v>
      </c>
      <c r="EI190" s="888">
        <v>329.11</v>
      </c>
      <c r="EJ190" s="888">
        <v>353.18</v>
      </c>
      <c r="EK190" s="887">
        <v>358.56</v>
      </c>
      <c r="EL190" s="889">
        <v>361.49</v>
      </c>
      <c r="EM190" s="888">
        <v>370.3</v>
      </c>
      <c r="EN190" s="890">
        <v>372.56</v>
      </c>
      <c r="EO190" s="888">
        <v>372.56</v>
      </c>
      <c r="EP190" s="888">
        <v>376.37</v>
      </c>
      <c r="EQ190" s="888">
        <v>391.59</v>
      </c>
      <c r="ER190" s="888">
        <v>395.99</v>
      </c>
      <c r="ES190" s="888">
        <v>401.76</v>
      </c>
      <c r="ET190" s="888">
        <v>405.54</v>
      </c>
      <c r="EU190" s="888">
        <v>409.51</v>
      </c>
      <c r="EV190" s="888">
        <v>419.62</v>
      </c>
      <c r="EW190" s="659">
        <v>422.21</v>
      </c>
      <c r="EX190" s="659">
        <v>427.25</v>
      </c>
      <c r="EY190" s="659">
        <v>437.53</v>
      </c>
      <c r="EZ190" s="783">
        <v>456.92</v>
      </c>
      <c r="FA190" s="659">
        <v>456.92</v>
      </c>
      <c r="FB190" s="659">
        <v>543.41999999999996</v>
      </c>
      <c r="FC190" s="659">
        <v>534.37</v>
      </c>
      <c r="FD190" s="659">
        <v>529.33000000000004</v>
      </c>
      <c r="FE190" s="659">
        <v>529.78</v>
      </c>
      <c r="FF190" s="659">
        <v>533.36</v>
      </c>
      <c r="FG190" s="659">
        <v>541.55999999999995</v>
      </c>
      <c r="FH190" s="659">
        <v>557.46</v>
      </c>
      <c r="FI190" s="659">
        <v>578.28</v>
      </c>
      <c r="FJ190" s="659">
        <v>585.11</v>
      </c>
      <c r="FK190" s="897">
        <v>590.97</v>
      </c>
      <c r="FL190" s="660">
        <v>594.32000000000005</v>
      </c>
      <c r="FM190" s="623">
        <v>596.66999999999996</v>
      </c>
      <c r="FN190" s="623">
        <v>619.96</v>
      </c>
      <c r="FO190" s="623">
        <v>621.69000000000005</v>
      </c>
      <c r="FP190" s="623">
        <v>625.76</v>
      </c>
      <c r="FQ190" s="623">
        <v>633.77</v>
      </c>
      <c r="FR190" s="623">
        <v>654.36</v>
      </c>
      <c r="FS190" s="623">
        <v>653.66</v>
      </c>
      <c r="FT190" s="623">
        <v>661</v>
      </c>
      <c r="FU190" s="897">
        <v>665.43</v>
      </c>
      <c r="FV190" s="1167">
        <f t="shared" si="3"/>
        <v>1.0067019667170953</v>
      </c>
    </row>
    <row r="191" spans="1:178" s="115" customFormat="1" ht="33.75" customHeight="1">
      <c r="A191" s="1546">
        <v>1</v>
      </c>
      <c r="B191" s="408">
        <v>301</v>
      </c>
      <c r="C191" s="622"/>
      <c r="D191" s="622" t="s">
        <v>752</v>
      </c>
      <c r="E191" s="621" t="s">
        <v>918</v>
      </c>
      <c r="F191" s="622"/>
      <c r="G191" s="621" t="s">
        <v>900</v>
      </c>
      <c r="H191" s="621"/>
      <c r="I191" s="390" t="s">
        <v>134</v>
      </c>
      <c r="J191" s="674" t="s">
        <v>352</v>
      </c>
      <c r="K191" s="669">
        <v>100</v>
      </c>
      <c r="L191" s="665">
        <v>104.81</v>
      </c>
      <c r="M191" s="625">
        <v>112.82</v>
      </c>
      <c r="N191" s="625">
        <v>117.8</v>
      </c>
      <c r="O191" s="625">
        <v>137.61000000000001</v>
      </c>
      <c r="P191" s="625">
        <v>148.94999999999999</v>
      </c>
      <c r="Q191" s="625">
        <v>164.43</v>
      </c>
      <c r="R191" s="625">
        <v>185.43</v>
      </c>
      <c r="S191" s="625">
        <v>197.21</v>
      </c>
      <c r="T191" s="625">
        <v>206.31</v>
      </c>
      <c r="U191" s="625">
        <v>213.31</v>
      </c>
      <c r="V191" s="625">
        <v>218.68</v>
      </c>
      <c r="W191" s="625">
        <v>217.97</v>
      </c>
      <c r="X191" s="625">
        <v>221.33</v>
      </c>
      <c r="Y191" s="625">
        <v>221.3</v>
      </c>
      <c r="Z191" s="625">
        <v>223.19</v>
      </c>
      <c r="AA191" s="625">
        <v>224.66</v>
      </c>
      <c r="AB191" s="625">
        <v>226.99</v>
      </c>
      <c r="AC191" s="625">
        <v>227.58</v>
      </c>
      <c r="AD191" s="625">
        <v>231.26</v>
      </c>
      <c r="AE191" s="625">
        <v>231.29</v>
      </c>
      <c r="AF191" s="625">
        <v>233.7</v>
      </c>
      <c r="AG191" s="625">
        <v>235.42</v>
      </c>
      <c r="AH191" s="625">
        <v>238.94</v>
      </c>
      <c r="AI191" s="764">
        <v>242.41</v>
      </c>
      <c r="AJ191" s="772">
        <v>247.92</v>
      </c>
      <c r="AK191" s="625">
        <v>257.77</v>
      </c>
      <c r="AL191" s="625">
        <v>267.73</v>
      </c>
      <c r="AM191" s="625">
        <v>270.51</v>
      </c>
      <c r="AN191" s="625">
        <v>278.10000000000002</v>
      </c>
      <c r="AO191" s="625">
        <v>282.82</v>
      </c>
      <c r="AP191" s="625">
        <v>283.94</v>
      </c>
      <c r="AQ191" s="625">
        <v>285.14999999999998</v>
      </c>
      <c r="AR191" s="625">
        <v>286.27999999999997</v>
      </c>
      <c r="AS191" s="625">
        <f>+'ANEXO B'!M94</f>
        <v>290.95999999999998</v>
      </c>
      <c r="AT191" s="625">
        <f>+'ANEXO B'!N94</f>
        <v>292.64999999999998</v>
      </c>
      <c r="AU191" s="764">
        <f>+'ANEXO B'!O94</f>
        <v>292.87</v>
      </c>
      <c r="AV191" s="752">
        <f>+'ANEXO B'!D126</f>
        <v>296.13</v>
      </c>
      <c r="AW191" s="626">
        <f>+'ANEXO B'!E126</f>
        <v>297.95999999999998</v>
      </c>
      <c r="AX191" s="626">
        <f>+'ANEXO B'!F126</f>
        <v>303.07</v>
      </c>
      <c r="AY191" s="626">
        <f>+'ANEXO B'!G126</f>
        <v>306.31</v>
      </c>
      <c r="AZ191" s="626">
        <f>+'ANEXO B'!H126</f>
        <v>306.20999999999998</v>
      </c>
      <c r="BA191" s="626">
        <f>+'ANEXO B'!I126</f>
        <v>305.99</v>
      </c>
      <c r="BB191" s="626">
        <f>+'ANEXO B'!J126</f>
        <v>305.97000000000003</v>
      </c>
      <c r="BC191" s="626">
        <f>+'ANEXO B'!K126</f>
        <v>305.51</v>
      </c>
      <c r="BD191" s="626">
        <f>+'ANEXO B'!L126</f>
        <v>306.2</v>
      </c>
      <c r="BE191" s="626">
        <f>+'ANEXO B'!M126</f>
        <v>308.66000000000003</v>
      </c>
      <c r="BF191" s="626">
        <f>+'ANEXO B'!N126</f>
        <v>317.73</v>
      </c>
      <c r="BG191" s="749">
        <f>+'ANEXO B'!O126</f>
        <v>318.62</v>
      </c>
      <c r="BH191" s="660">
        <f>+'ANEXO B'!D153</f>
        <v>322.60000000000002</v>
      </c>
      <c r="BI191" s="623">
        <f>+'ANEXO B'!E153</f>
        <v>324.38</v>
      </c>
      <c r="BJ191" s="623">
        <f>+'ANEXO B'!F153</f>
        <v>323.64999999999998</v>
      </c>
      <c r="BK191" s="623">
        <f>+'ANEXO B'!G153</f>
        <v>332.43</v>
      </c>
      <c r="BL191" s="623">
        <f>+'ANEXO B'!H153</f>
        <v>338.93</v>
      </c>
      <c r="BM191" s="623">
        <f>+'ANEXO B'!I153</f>
        <v>339.55</v>
      </c>
      <c r="BN191" s="623">
        <f>+'ANEXO B'!J153</f>
        <v>340.25</v>
      </c>
      <c r="BO191" s="623">
        <f>+'ANEXO B'!K153</f>
        <v>342.52</v>
      </c>
      <c r="BP191" s="623">
        <f>+'ANEXO B'!L153</f>
        <v>330.52</v>
      </c>
      <c r="BQ191" s="623">
        <f>+'ANEXO B'!M153</f>
        <v>348.8</v>
      </c>
      <c r="BR191" s="623">
        <f>+'ANEXO B'!N153</f>
        <v>349.65</v>
      </c>
      <c r="BS191" s="659">
        <f>+'ANEXO B'!O153</f>
        <v>355.23</v>
      </c>
      <c r="BT191" s="660">
        <f>+'ANEXO B'!D177</f>
        <v>366.99</v>
      </c>
      <c r="BU191" s="623">
        <f>+'ANEXO B'!E177</f>
        <v>368.07</v>
      </c>
      <c r="BV191" s="623">
        <f>+'ANEXO B'!F177</f>
        <v>375.55</v>
      </c>
      <c r="BW191" s="623">
        <f>+'ANEXO B'!G177</f>
        <v>377.6</v>
      </c>
      <c r="BX191" s="623">
        <f>+'ANEXO B'!H177</f>
        <v>386.87</v>
      </c>
      <c r="BY191" s="623">
        <f>+'ANEXO B'!I177</f>
        <v>392.78</v>
      </c>
      <c r="BZ191" s="623">
        <f>+'ANEXO B'!J177</f>
        <v>400.8</v>
      </c>
      <c r="CA191" s="623">
        <f>+'ANEXO B'!K177</f>
        <v>407.95</v>
      </c>
      <c r="CB191" s="623">
        <f>+'ANEXO B'!L177</f>
        <v>411.17</v>
      </c>
      <c r="CC191" s="623">
        <v>413.09</v>
      </c>
      <c r="CD191" s="623">
        <f>+'ANEXO B'!N177</f>
        <v>428.37</v>
      </c>
      <c r="CE191" s="659">
        <f>+'ANEXO B'!O177</f>
        <v>447.26</v>
      </c>
      <c r="CF191" s="660">
        <f>+'ANEXO B'!D202</f>
        <v>443.92</v>
      </c>
      <c r="CG191" s="627">
        <f>+'ANEXO B'!E202</f>
        <v>437.36</v>
      </c>
      <c r="CH191" s="627">
        <f>+'ANEXO B'!F202</f>
        <v>441.52</v>
      </c>
      <c r="CI191" s="627">
        <f>+'ANEXO B'!G202</f>
        <v>459.48</v>
      </c>
      <c r="CJ191" s="627">
        <f>+'ANEXO B'!H202</f>
        <v>469.58</v>
      </c>
      <c r="CK191" s="627">
        <f>+'ANEXO B'!I202</f>
        <v>476.84</v>
      </c>
      <c r="CL191" s="627">
        <f>+'ANEXO B'!J202</f>
        <v>486.37</v>
      </c>
      <c r="CM191" s="627">
        <f>+'ANEXO B'!K202</f>
        <v>486.02</v>
      </c>
      <c r="CN191" s="627">
        <f>+'ANEXO B'!L202</f>
        <v>496.39</v>
      </c>
      <c r="CO191" s="627">
        <f>+'ANEXO B'!M202</f>
        <v>500.02</v>
      </c>
      <c r="CP191" s="627">
        <f>+'ANEXO B'!N202</f>
        <v>495.73</v>
      </c>
      <c r="CQ191" s="738">
        <f>+'ANEXO B'!O202</f>
        <v>492.62</v>
      </c>
      <c r="CR191" s="663">
        <f>+'ANEXO B'!D227</f>
        <v>499.38</v>
      </c>
      <c r="CS191" s="627">
        <f>+'ANEXO B'!E227</f>
        <v>498.56</v>
      </c>
      <c r="CT191" s="627">
        <f>+'ANEXO B'!F227</f>
        <v>497.47</v>
      </c>
      <c r="CU191" s="627">
        <f>+'ANEXO B'!G227</f>
        <v>498.48</v>
      </c>
      <c r="CV191" s="627">
        <f>+'ANEXO B'!H227</f>
        <v>505.08</v>
      </c>
      <c r="CW191" s="627">
        <f>+'ANEXO B'!I227</f>
        <v>512.86</v>
      </c>
      <c r="CX191" s="627">
        <f>+'ANEXO B'!J227</f>
        <v>516.12</v>
      </c>
      <c r="CY191" s="627">
        <f>+'ANEXO B'!K227</f>
        <v>522.99</v>
      </c>
      <c r="CZ191" s="623">
        <f>+'ANEXO B'!L227</f>
        <v>525.27</v>
      </c>
      <c r="DA191" s="623">
        <f>+'ANEXO B'!M227</f>
        <v>536.69000000000005</v>
      </c>
      <c r="DB191" s="659">
        <f>+'ANEXO B'!N227</f>
        <v>538.67999999999995</v>
      </c>
      <c r="DC191" s="659">
        <f>+'ANEXO B'!O227</f>
        <v>540.87</v>
      </c>
      <c r="DD191" s="783">
        <f>+'ANEXO B'!D252</f>
        <v>549.41</v>
      </c>
      <c r="DE191" s="623">
        <f>+'ANEXO B'!E252</f>
        <v>555.22</v>
      </c>
      <c r="DF191" s="725">
        <f>+'ANEXO B'!F252</f>
        <v>565.38</v>
      </c>
      <c r="DG191" s="659">
        <f>+'ANEXO B'!G252</f>
        <v>569.91999999999996</v>
      </c>
      <c r="DH191" s="623">
        <f>+'ANEXO B'!H252</f>
        <v>584.57000000000005</v>
      </c>
      <c r="DI191" s="623">
        <f>+'ANEXO B'!I252</f>
        <v>586.64</v>
      </c>
      <c r="DJ191" s="623">
        <f>+'ANEXO B'!J252</f>
        <v>588.33000000000004</v>
      </c>
      <c r="DK191" s="659">
        <f>+'ANEXO B'!K252</f>
        <v>595.76</v>
      </c>
      <c r="DL191" s="623">
        <f>+'ANEXO B'!L252</f>
        <v>597.78</v>
      </c>
      <c r="DM191" s="659">
        <f>+'ANEXO B'!M252</f>
        <v>600.13</v>
      </c>
      <c r="DN191" s="659">
        <f>+'ANEXO B'!N252</f>
        <v>608.52</v>
      </c>
      <c r="DO191" s="897">
        <f>+'ANEXO B'!O252</f>
        <v>620.04</v>
      </c>
      <c r="DP191" s="783">
        <f>+'ANEXO B'!D278</f>
        <v>621.70000000000005</v>
      </c>
      <c r="DQ191" s="659">
        <f>+'ANEXO B'!E278</f>
        <v>628.07000000000005</v>
      </c>
      <c r="DR191" s="659">
        <f>+'ANEXO B'!F278</f>
        <v>631.07000000000005</v>
      </c>
      <c r="DS191" s="659">
        <f>+'ANEXO B'!G278</f>
        <v>653.71</v>
      </c>
      <c r="DT191" s="623">
        <f>+'ANEXO B'!H278</f>
        <v>659.77</v>
      </c>
      <c r="DU191" s="659">
        <f>+'ANEXO B'!I278</f>
        <v>667.14</v>
      </c>
      <c r="DV191" s="659">
        <f>+'ANEXO B'!J278</f>
        <v>669.59</v>
      </c>
      <c r="DW191" s="659">
        <f>+'ANEXO B'!K278</f>
        <v>684.37</v>
      </c>
      <c r="DX191" s="659">
        <f>+'ANEXO B'!L278</f>
        <v>685.92</v>
      </c>
      <c r="DY191" s="659">
        <f>+'ANEXO B'!M278</f>
        <v>687.88</v>
      </c>
      <c r="DZ191" s="659">
        <v>700.51</v>
      </c>
      <c r="EA191" s="897">
        <f>+'ANEXO B'!O278</f>
        <v>710.83</v>
      </c>
      <c r="EB191" s="659">
        <f>+'ANEXO B'!D303</f>
        <v>715.94</v>
      </c>
      <c r="EC191" s="659">
        <f>+'ANEXO B'!E303</f>
        <v>719.25</v>
      </c>
      <c r="ED191" s="659">
        <f>+'ANEXO B'!F303</f>
        <v>720.61</v>
      </c>
      <c r="EE191" s="659">
        <f>+'ANEXO B'!G303</f>
        <v>727.58</v>
      </c>
      <c r="EF191" s="659">
        <f>+'ANEXO B'!H303</f>
        <v>730.85</v>
      </c>
      <c r="EG191" s="659">
        <f>+'ANEXO B'!I303</f>
        <v>793.57</v>
      </c>
      <c r="EH191" s="659">
        <f>+'ANEXO B'!J303</f>
        <v>800.22</v>
      </c>
      <c r="EI191" s="659">
        <f>+'ANEXO B'!K303</f>
        <v>807.13</v>
      </c>
      <c r="EJ191" s="659">
        <f>+'ANEXO B'!L303</f>
        <v>809.95</v>
      </c>
      <c r="EK191" s="623">
        <f>+'ANEXO B'!M303</f>
        <v>820</v>
      </c>
      <c r="EL191" s="659">
        <f>+'ANEXO B'!N303</f>
        <v>829.7</v>
      </c>
      <c r="EM191" s="659">
        <f>+'ANEXO B'!O303</f>
        <v>833.81</v>
      </c>
      <c r="EN191" s="783">
        <f>+'ANEXO B'!D327</f>
        <v>836.04</v>
      </c>
      <c r="EO191" s="659">
        <f>+'ANEXO B'!E327</f>
        <v>842.24</v>
      </c>
      <c r="EP191" s="659">
        <f>+'ANEXO B'!F327</f>
        <v>843.98</v>
      </c>
      <c r="EQ191" s="659">
        <f>+'ANEXO B'!G327</f>
        <v>847.62</v>
      </c>
      <c r="ER191" s="659">
        <f>+'ANEXO B'!H327</f>
        <v>859.17</v>
      </c>
      <c r="ES191" s="659">
        <f>+'ANEXO B'!I327</f>
        <v>919.18</v>
      </c>
      <c r="ET191" s="659">
        <f>+'ANEXO B'!J327</f>
        <v>925.39</v>
      </c>
      <c r="EU191" s="659">
        <f>+'ANEXO B'!K327</f>
        <v>929.29</v>
      </c>
      <c r="EV191" s="659">
        <f>+'ANEXO B'!L327</f>
        <v>957.6</v>
      </c>
      <c r="EW191" s="659">
        <f>+'ANEXO B'!M327</f>
        <v>968.11</v>
      </c>
      <c r="EX191" s="659">
        <f>+'ANEXO B'!N327</f>
        <v>972.14</v>
      </c>
      <c r="EY191" s="659">
        <f>+'ANEXO B'!O327</f>
        <v>994.24</v>
      </c>
      <c r="EZ191" s="783">
        <f>'ANEXO B'!D347</f>
        <v>1038.77</v>
      </c>
      <c r="FA191" s="659">
        <f>'ANEXO B'!E347</f>
        <v>1088.74</v>
      </c>
      <c r="FB191" s="659">
        <f>'ANEXO B'!F347</f>
        <v>1135.69</v>
      </c>
      <c r="FC191" s="659">
        <f>'ANEXO B'!G347</f>
        <v>1211.27</v>
      </c>
      <c r="FD191" s="659">
        <f>'ANEXO B'!H347</f>
        <v>1220.04</v>
      </c>
      <c r="FE191" s="659">
        <f>'ANEXO B'!I347</f>
        <v>1243.47</v>
      </c>
      <c r="FF191" s="659">
        <f>'ANEXO B'!J347</f>
        <v>1288.1099999999999</v>
      </c>
      <c r="FG191" s="659">
        <f>'ANEXO B'!K347</f>
        <v>1302.25</v>
      </c>
      <c r="FH191" s="659">
        <f>'ANEXO B'!L347</f>
        <v>1328.23</v>
      </c>
      <c r="FI191" s="659">
        <f>'ANEXO B'!M347</f>
        <v>1334.03</v>
      </c>
      <c r="FJ191" s="659">
        <f>'ANEXO B'!N347</f>
        <v>1351.6</v>
      </c>
      <c r="FK191" s="897">
        <f>'ANEXO B'!O347</f>
        <v>1358.08</v>
      </c>
      <c r="FL191" s="660">
        <f>+'ANEXO B'!D367</f>
        <v>1362.39</v>
      </c>
      <c r="FM191" s="623">
        <f>+'ANEXO B'!E367</f>
        <v>1366.07</v>
      </c>
      <c r="FN191" s="623">
        <f>+'ANEXO B'!F367</f>
        <v>1394.4</v>
      </c>
      <c r="FO191" s="623">
        <f>+'ANEXO B'!G367</f>
        <v>1479.91</v>
      </c>
      <c r="FP191" s="623">
        <f>+'ANEXO B'!H367</f>
        <v>1494.56</v>
      </c>
      <c r="FQ191" s="623">
        <f>+'ANEXO B'!I367</f>
        <v>1506.27</v>
      </c>
      <c r="FR191" s="623">
        <f>+'ANEXO B'!J367</f>
        <v>1528.09</v>
      </c>
      <c r="FS191" s="623">
        <f>+'ANEXO B'!K367</f>
        <v>1598.16</v>
      </c>
      <c r="FT191" s="623">
        <f>+'ANEXO B'!L367</f>
        <v>1611.99</v>
      </c>
      <c r="FU191" s="897">
        <f>+'ANEXO B'!M367</f>
        <v>1626.86</v>
      </c>
      <c r="FV191" s="1167">
        <f t="shared" si="3"/>
        <v>1.009224622981532</v>
      </c>
    </row>
    <row r="192" spans="1:178" s="115" customFormat="1" ht="21" customHeight="1" thickBot="1">
      <c r="A192" s="1546">
        <v>1</v>
      </c>
      <c r="B192" s="407">
        <v>302</v>
      </c>
      <c r="C192" s="637"/>
      <c r="D192" s="637" t="s">
        <v>753</v>
      </c>
      <c r="E192" s="636" t="s">
        <v>918</v>
      </c>
      <c r="F192" s="637"/>
      <c r="G192" s="636" t="s">
        <v>900</v>
      </c>
      <c r="H192" s="636"/>
      <c r="I192" s="638" t="s">
        <v>199</v>
      </c>
      <c r="J192" s="1368" t="s">
        <v>352</v>
      </c>
      <c r="K192" s="670">
        <v>100</v>
      </c>
      <c r="L192" s="666">
        <v>104.21</v>
      </c>
      <c r="M192" s="639">
        <v>111.83</v>
      </c>
      <c r="N192" s="639">
        <v>116.04</v>
      </c>
      <c r="O192" s="639">
        <v>134.22</v>
      </c>
      <c r="P192" s="639">
        <v>144.53</v>
      </c>
      <c r="Q192" s="639">
        <v>159.44</v>
      </c>
      <c r="R192" s="639">
        <v>180.2</v>
      </c>
      <c r="S192" s="639">
        <v>192.26</v>
      </c>
      <c r="T192" s="639">
        <v>201.71</v>
      </c>
      <c r="U192" s="639">
        <v>208.85</v>
      </c>
      <c r="V192" s="639">
        <v>214.23</v>
      </c>
      <c r="W192" s="639">
        <v>214.01</v>
      </c>
      <c r="X192" s="639">
        <v>217.62</v>
      </c>
      <c r="Y192" s="639">
        <v>217.6</v>
      </c>
      <c r="Z192" s="639">
        <v>219.48</v>
      </c>
      <c r="AA192" s="639">
        <v>220.88</v>
      </c>
      <c r="AB192" s="639">
        <v>223.55</v>
      </c>
      <c r="AC192" s="639">
        <v>224.06</v>
      </c>
      <c r="AD192" s="639">
        <v>228.33</v>
      </c>
      <c r="AE192" s="639">
        <v>228.29</v>
      </c>
      <c r="AF192" s="639">
        <v>230.72</v>
      </c>
      <c r="AG192" s="639">
        <v>232.68</v>
      </c>
      <c r="AH192" s="639">
        <v>236.17</v>
      </c>
      <c r="AI192" s="765">
        <v>239.63</v>
      </c>
      <c r="AJ192" s="773">
        <v>245.67</v>
      </c>
      <c r="AK192" s="639">
        <v>255.03</v>
      </c>
      <c r="AL192" s="639">
        <v>264.14</v>
      </c>
      <c r="AM192" s="639">
        <v>266.73</v>
      </c>
      <c r="AN192" s="639">
        <v>273.52999999999997</v>
      </c>
      <c r="AO192" s="639">
        <v>277.99</v>
      </c>
      <c r="AP192" s="639">
        <v>278.89</v>
      </c>
      <c r="AQ192" s="639">
        <v>279.92</v>
      </c>
      <c r="AR192" s="639">
        <v>281.01</v>
      </c>
      <c r="AS192" s="639">
        <f>+'ANEXO B'!M95</f>
        <v>284.93</v>
      </c>
      <c r="AT192" s="639">
        <f>+'ANEXO B'!N95</f>
        <v>286.45</v>
      </c>
      <c r="AU192" s="765">
        <f>+'ANEXO B'!O95</f>
        <v>286.63</v>
      </c>
      <c r="AV192" s="768">
        <f>+'ANEXO B'!D127</f>
        <v>290.56</v>
      </c>
      <c r="AW192" s="640">
        <f>+'ANEXO B'!E127</f>
        <v>292.25</v>
      </c>
      <c r="AX192" s="640">
        <f>+'ANEXO B'!F127</f>
        <v>298.17</v>
      </c>
      <c r="AY192" s="640">
        <f>+'ANEXO B'!G127</f>
        <v>301.97000000000003</v>
      </c>
      <c r="AZ192" s="640">
        <f>+'ANEXO B'!H127</f>
        <v>301.87</v>
      </c>
      <c r="BA192" s="640">
        <f>+'ANEXO B'!I127</f>
        <v>301.69</v>
      </c>
      <c r="BB192" s="640">
        <f>+'ANEXO B'!J127</f>
        <v>301.68</v>
      </c>
      <c r="BC192" s="640">
        <f>+'ANEXO B'!K127</f>
        <v>301.31</v>
      </c>
      <c r="BD192" s="640">
        <f>+'ANEXO B'!L127</f>
        <v>301.89999999999998</v>
      </c>
      <c r="BE192" s="640">
        <f>+'ANEXO B'!M127</f>
        <v>304.02</v>
      </c>
      <c r="BF192" s="640">
        <f>+'ANEXO B'!N127</f>
        <v>314.69</v>
      </c>
      <c r="BG192" s="1425">
        <f>+'ANEXO B'!O127</f>
        <v>315.44</v>
      </c>
      <c r="BH192" s="661">
        <f>+'ANEXO B'!D154</f>
        <v>319.67</v>
      </c>
      <c r="BI192" s="642">
        <f>+'ANEXO B'!E154</f>
        <v>321.27</v>
      </c>
      <c r="BJ192" s="642">
        <f>+'ANEXO B'!F154</f>
        <v>320.3</v>
      </c>
      <c r="BK192" s="642">
        <f>+'ANEXO B'!G154</f>
        <v>329.56</v>
      </c>
      <c r="BL192" s="642">
        <f>+'ANEXO B'!H154</f>
        <v>337.12</v>
      </c>
      <c r="BM192" s="642">
        <f>+'ANEXO B'!I154</f>
        <v>337.66</v>
      </c>
      <c r="BN192" s="642">
        <f>+'ANEXO B'!J154</f>
        <v>338.51</v>
      </c>
      <c r="BO192" s="642">
        <f>+'ANEXO B'!K154</f>
        <v>340.39</v>
      </c>
      <c r="BP192" s="642">
        <f>+'ANEXO B'!L154</f>
        <v>326.08</v>
      </c>
      <c r="BQ192" s="642">
        <f>+'ANEXO B'!M154</f>
        <v>347.7</v>
      </c>
      <c r="BR192" s="642">
        <f>+'ANEXO B'!N154</f>
        <v>348.45</v>
      </c>
      <c r="BS192" s="736">
        <f>+'ANEXO B'!O154</f>
        <v>354.03</v>
      </c>
      <c r="BT192" s="661">
        <f>+'ANEXO B'!D178</f>
        <v>366.55</v>
      </c>
      <c r="BU192" s="642">
        <f>+'ANEXO B'!E178</f>
        <v>367.47</v>
      </c>
      <c r="BV192" s="642">
        <f>+'ANEXO B'!F178</f>
        <v>375.15</v>
      </c>
      <c r="BW192" s="642">
        <f>+'ANEXO B'!G178</f>
        <v>376.95</v>
      </c>
      <c r="BX192" s="642">
        <f>+'ANEXO B'!H178</f>
        <v>387.48</v>
      </c>
      <c r="BY192" s="642">
        <f>+'ANEXO B'!I178</f>
        <v>393.38</v>
      </c>
      <c r="BZ192" s="642">
        <f>+'ANEXO B'!J178</f>
        <v>402.02</v>
      </c>
      <c r="CA192" s="642">
        <f>+'ANEXO B'!K178</f>
        <v>408.8</v>
      </c>
      <c r="CB192" s="642">
        <f>+'ANEXO B'!L178</f>
        <v>411.63</v>
      </c>
      <c r="CC192" s="642">
        <v>413.33</v>
      </c>
      <c r="CD192" s="642">
        <f>+'ANEXO B'!N178</f>
        <v>428</v>
      </c>
      <c r="CE192" s="736">
        <f>+'ANEXO B'!O178</f>
        <v>449.05</v>
      </c>
      <c r="CF192" s="661">
        <f>+'ANEXO B'!D203</f>
        <v>442.75</v>
      </c>
      <c r="CG192" s="641">
        <f>+'ANEXO B'!E203</f>
        <v>436.59</v>
      </c>
      <c r="CH192" s="641">
        <f>+'ANEXO B'!F203</f>
        <v>440.2</v>
      </c>
      <c r="CI192" s="641">
        <f>+'ANEXO B'!G203</f>
        <v>459.57</v>
      </c>
      <c r="CJ192" s="641">
        <f>+'ANEXO B'!H203</f>
        <v>469.46</v>
      </c>
      <c r="CK192" s="641">
        <f>+'ANEXO B'!I203</f>
        <v>475.16</v>
      </c>
      <c r="CL192" s="641">
        <f>+'ANEXO B'!J203</f>
        <v>485.82</v>
      </c>
      <c r="CM192" s="641">
        <f>+'ANEXO B'!K203</f>
        <v>484.58</v>
      </c>
      <c r="CN192" s="641">
        <f>+'ANEXO B'!L203</f>
        <v>495.74</v>
      </c>
      <c r="CO192" s="641">
        <f>+'ANEXO B'!M203</f>
        <v>499.05</v>
      </c>
      <c r="CP192" s="641">
        <f>+'ANEXO B'!N203</f>
        <v>495.08</v>
      </c>
      <c r="CQ192" s="751">
        <f>+'ANEXO B'!O203</f>
        <v>492.33</v>
      </c>
      <c r="CR192" s="1365">
        <f>+'ANEXO B'!D228</f>
        <v>499.37</v>
      </c>
      <c r="CS192" s="641">
        <f>+'ANEXO B'!E228</f>
        <v>498.68</v>
      </c>
      <c r="CT192" s="641">
        <f>+'ANEXO B'!F228</f>
        <v>497.69</v>
      </c>
      <c r="CU192" s="641">
        <f>+'ANEXO B'!G228</f>
        <v>499.06</v>
      </c>
      <c r="CV192" s="641">
        <f>+'ANEXO B'!H228</f>
        <v>506.93</v>
      </c>
      <c r="CW192" s="641">
        <f>+'ANEXO B'!I228</f>
        <v>515.05999999999995</v>
      </c>
      <c r="CX192" s="641">
        <f>+'ANEXO B'!J228</f>
        <v>517.91999999999996</v>
      </c>
      <c r="CY192" s="641">
        <f>+'ANEXO B'!K228</f>
        <v>524.64</v>
      </c>
      <c r="CZ192" s="642">
        <f>+'ANEXO B'!L228</f>
        <v>526.57000000000005</v>
      </c>
      <c r="DA192" s="642">
        <f>+'ANEXO B'!M228</f>
        <v>539.04</v>
      </c>
      <c r="DB192" s="736">
        <f>+'ANEXO B'!N228</f>
        <v>540.84</v>
      </c>
      <c r="DC192" s="736">
        <f>+'ANEXO B'!O228</f>
        <v>542.82000000000005</v>
      </c>
      <c r="DD192" s="784">
        <f>+'ANEXO B'!D253</f>
        <v>551.16999999999996</v>
      </c>
      <c r="DE192" s="642">
        <f>+'ANEXO B'!E253</f>
        <v>556.57000000000005</v>
      </c>
      <c r="DF192" s="726">
        <f>+'ANEXO B'!F253</f>
        <v>568.23</v>
      </c>
      <c r="DG192" s="736">
        <f>+'ANEXO B'!G253</f>
        <v>572.29</v>
      </c>
      <c r="DH192" s="642">
        <f>+'ANEXO B'!H253</f>
        <v>587.79999999999995</v>
      </c>
      <c r="DI192" s="642">
        <f>+'ANEXO B'!I253</f>
        <v>589.46</v>
      </c>
      <c r="DJ192" s="642">
        <f>+'ANEXO B'!J253</f>
        <v>591</v>
      </c>
      <c r="DK192" s="736">
        <f>+'ANEXO B'!K253</f>
        <v>600.77</v>
      </c>
      <c r="DL192" s="642">
        <f>+'ANEXO B'!L253</f>
        <v>602.57000000000005</v>
      </c>
      <c r="DM192" s="736">
        <f>+'ANEXO B'!M253</f>
        <v>604.69000000000005</v>
      </c>
      <c r="DN192" s="736">
        <f>+'ANEXO B'!N253</f>
        <v>613.16</v>
      </c>
      <c r="DO192" s="901">
        <f>+'ANEXO B'!O253</f>
        <v>626.46</v>
      </c>
      <c r="DP192" s="784">
        <f>+'ANEXO B'!D279</f>
        <v>627.91999999999996</v>
      </c>
      <c r="DQ192" s="736">
        <f>+'ANEXO B'!E279</f>
        <v>634.5</v>
      </c>
      <c r="DR192" s="736">
        <f>+'ANEXO B'!F279</f>
        <v>637.38</v>
      </c>
      <c r="DS192" s="736">
        <f>+'ANEXO B'!G279</f>
        <v>663.15</v>
      </c>
      <c r="DT192" s="642">
        <f>+'ANEXO B'!H279</f>
        <v>669.02</v>
      </c>
      <c r="DU192" s="736">
        <f>+'ANEXO B'!I279</f>
        <v>676.19</v>
      </c>
      <c r="DV192" s="736">
        <f>+'ANEXO B'!J279</f>
        <v>678.43</v>
      </c>
      <c r="DW192" s="736">
        <f>+'ANEXO B'!K279</f>
        <v>694.65</v>
      </c>
      <c r="DX192" s="736">
        <f>+'ANEXO B'!L279</f>
        <v>695.98</v>
      </c>
      <c r="DY192" s="736">
        <f>+'ANEXO B'!M279</f>
        <v>697.77</v>
      </c>
      <c r="DZ192" s="736">
        <v>712.47</v>
      </c>
      <c r="EA192" s="901">
        <f>+'ANEXO B'!O279</f>
        <v>722.97</v>
      </c>
      <c r="EB192" s="736">
        <f>+'ANEXO B'!D304</f>
        <v>727.87</v>
      </c>
      <c r="EC192" s="736">
        <f>+'ANEXO B'!E304</f>
        <v>730.81</v>
      </c>
      <c r="ED192" s="736">
        <f>+'ANEXO B'!F304</f>
        <v>732.07</v>
      </c>
      <c r="EE192" s="736">
        <f>+'ANEXO B'!G304</f>
        <v>739.28</v>
      </c>
      <c r="EF192" s="736">
        <f>+'ANEXO B'!H304</f>
        <v>742.4</v>
      </c>
      <c r="EG192" s="736">
        <f>+'ANEXO B'!I304</f>
        <v>814.87</v>
      </c>
      <c r="EH192" s="736">
        <f>+'ANEXO B'!J304</f>
        <v>821.28</v>
      </c>
      <c r="EI192" s="736">
        <f>+'ANEXO B'!K304</f>
        <v>828.1</v>
      </c>
      <c r="EJ192" s="736">
        <f>+'ANEXO B'!L304</f>
        <v>830.45</v>
      </c>
      <c r="EK192" s="642">
        <f>+'ANEXO B'!M304</f>
        <v>840.13</v>
      </c>
      <c r="EL192" s="736">
        <f>+'ANEXO B'!N304</f>
        <v>849.48</v>
      </c>
      <c r="EM192" s="736">
        <f>+'ANEXO B'!O304</f>
        <v>853.18</v>
      </c>
      <c r="EN192" s="784">
        <f>+'ANEXO B'!D328</f>
        <v>855.12</v>
      </c>
      <c r="EO192" s="736">
        <f>+'ANEXO B'!E328</f>
        <v>860.73</v>
      </c>
      <c r="EP192" s="736">
        <f>+'ANEXO B'!F328</f>
        <v>862.21</v>
      </c>
      <c r="EQ192" s="736">
        <f>+'ANEXO B'!G328</f>
        <v>865.44</v>
      </c>
      <c r="ER192" s="736">
        <f>+'ANEXO B'!H328</f>
        <v>876.61</v>
      </c>
      <c r="ES192" s="736">
        <f>+'ANEXO B'!I328</f>
        <v>944.67</v>
      </c>
      <c r="ET192" s="736">
        <f>+'ANEXO B'!J328</f>
        <v>950.09</v>
      </c>
      <c r="EU192" s="736">
        <f>+'ANEXO B'!K328</f>
        <v>953.48</v>
      </c>
      <c r="EV192" s="736">
        <f>+'ANEXO B'!L328</f>
        <v>984.58</v>
      </c>
      <c r="EW192" s="736">
        <f>+'ANEXO B'!M328</f>
        <v>994.59</v>
      </c>
      <c r="EX192" s="736">
        <f>+'ANEXO B'!N328</f>
        <v>998.36</v>
      </c>
      <c r="EY192" s="736">
        <f>+'ANEXO B'!O328</f>
        <v>1019.21</v>
      </c>
      <c r="EZ192" s="784">
        <f>'ANEXO B'!D348</f>
        <v>1060.98</v>
      </c>
      <c r="FA192" s="736">
        <f>'ANEXO B'!E348</f>
        <v>1108.93</v>
      </c>
      <c r="FB192" s="736">
        <f>'ANEXO B'!F348</f>
        <v>1154.04</v>
      </c>
      <c r="FC192" s="736">
        <f>'ANEXO B'!G348</f>
        <v>1238.71</v>
      </c>
      <c r="FD192" s="736">
        <f>'ANEXO B'!H348</f>
        <v>1246.3800000000001</v>
      </c>
      <c r="FE192" s="736">
        <f>'ANEXO B'!I348</f>
        <v>1269.06</v>
      </c>
      <c r="FF192" s="736">
        <f>'ANEXO B'!J348</f>
        <v>1320.4</v>
      </c>
      <c r="FG192" s="736">
        <f>'ANEXO B'!K348</f>
        <v>1333.15</v>
      </c>
      <c r="FH192" s="736">
        <f>'ANEXO B'!L348</f>
        <v>1358.39</v>
      </c>
      <c r="FI192" s="736">
        <f>'ANEXO B'!M348</f>
        <v>1363.98</v>
      </c>
      <c r="FJ192" s="736">
        <f>'ANEXO B'!N348</f>
        <v>1381.89</v>
      </c>
      <c r="FK192" s="901">
        <f>'ANEXO B'!O348</f>
        <v>1388.18</v>
      </c>
      <c r="FL192" s="661">
        <f>+'ANEXO B'!D368</f>
        <v>1392.53</v>
      </c>
      <c r="FM192" s="642">
        <f>+'ANEXO B'!E368</f>
        <v>1395.78</v>
      </c>
      <c r="FN192" s="642">
        <f>+'ANEXO B'!F368</f>
        <v>1423.5</v>
      </c>
      <c r="FO192" s="642">
        <f>+'ANEXO B'!G368</f>
        <v>1522.23</v>
      </c>
      <c r="FP192" s="642">
        <f>+'ANEXO B'!H368</f>
        <v>1536.26</v>
      </c>
      <c r="FQ192" s="642">
        <f>+'ANEXO B'!I368</f>
        <v>1547.97</v>
      </c>
      <c r="FR192" s="642">
        <f>+'ANEXO B'!J368</f>
        <v>1567.81</v>
      </c>
      <c r="FS192" s="642">
        <f>+'ANEXO B'!K368</f>
        <v>1644.98</v>
      </c>
      <c r="FT192" s="642">
        <f>+'ANEXO B'!L368</f>
        <v>1657.56</v>
      </c>
      <c r="FU192" s="901">
        <f>+'ANEXO B'!M368</f>
        <v>1671.15</v>
      </c>
      <c r="FV192" s="1167">
        <f t="shared" si="3"/>
        <v>1.0081987982335483</v>
      </c>
    </row>
    <row r="193" spans="1:178" s="115" customFormat="1" ht="16.5" customHeight="1">
      <c r="A193" s="1546">
        <v>1</v>
      </c>
      <c r="B193" s="613">
        <v>303</v>
      </c>
      <c r="C193" s="615"/>
      <c r="D193" s="615" t="s">
        <v>365</v>
      </c>
      <c r="E193" s="614" t="s">
        <v>918</v>
      </c>
      <c r="F193" s="615"/>
      <c r="G193" s="614" t="s">
        <v>900</v>
      </c>
      <c r="H193" s="614"/>
      <c r="I193" s="647" t="s">
        <v>584</v>
      </c>
      <c r="J193" s="835" t="s">
        <v>352</v>
      </c>
      <c r="K193" s="671">
        <v>100</v>
      </c>
      <c r="L193" s="667">
        <v>105.21</v>
      </c>
      <c r="M193" s="618">
        <v>113.28</v>
      </c>
      <c r="N193" s="618">
        <v>119.91</v>
      </c>
      <c r="O193" s="618">
        <v>139.71</v>
      </c>
      <c r="P193" s="618">
        <v>151.91</v>
      </c>
      <c r="Q193" s="618">
        <v>167.38</v>
      </c>
      <c r="R193" s="618">
        <v>187.32</v>
      </c>
      <c r="S193" s="618">
        <v>197.15</v>
      </c>
      <c r="T193" s="618">
        <v>204.76</v>
      </c>
      <c r="U193" s="618">
        <v>211.11</v>
      </c>
      <c r="V193" s="618">
        <v>216.69</v>
      </c>
      <c r="W193" s="618">
        <v>214.54</v>
      </c>
      <c r="X193" s="618">
        <v>216.78</v>
      </c>
      <c r="Y193" s="618">
        <v>216.66</v>
      </c>
      <c r="Z193" s="618">
        <v>218.82</v>
      </c>
      <c r="AA193" s="618">
        <v>219.54</v>
      </c>
      <c r="AB193" s="618">
        <v>221.79</v>
      </c>
      <c r="AC193" s="618">
        <v>222.54</v>
      </c>
      <c r="AD193" s="618">
        <v>226.77</v>
      </c>
      <c r="AE193" s="618">
        <v>227.32</v>
      </c>
      <c r="AF193" s="618">
        <v>230.14</v>
      </c>
      <c r="AG193" s="618">
        <v>232.1</v>
      </c>
      <c r="AH193" s="618">
        <v>236.02</v>
      </c>
      <c r="AI193" s="766">
        <v>240.09</v>
      </c>
      <c r="AJ193" s="774">
        <v>245.82</v>
      </c>
      <c r="AK193" s="618">
        <v>255.43</v>
      </c>
      <c r="AL193" s="618">
        <v>263.10000000000002</v>
      </c>
      <c r="AM193" s="618">
        <v>264.77</v>
      </c>
      <c r="AN193" s="618">
        <v>273.95999999999998</v>
      </c>
      <c r="AO193" s="618">
        <v>277.91000000000003</v>
      </c>
      <c r="AP193" s="618">
        <v>279.87</v>
      </c>
      <c r="AQ193" s="618">
        <v>281.44</v>
      </c>
      <c r="AR193" s="618">
        <v>282.52</v>
      </c>
      <c r="AS193" s="618">
        <f>+'ANEXO B'!M96</f>
        <v>287.95999999999998</v>
      </c>
      <c r="AT193" s="618">
        <f>+'ANEXO B'!N96</f>
        <v>289.49</v>
      </c>
      <c r="AU193" s="766">
        <f>+'ANEXO B'!O96</f>
        <v>289.82</v>
      </c>
      <c r="AV193" s="769">
        <f>+'ANEXO B'!D128</f>
        <v>294.27999999999997</v>
      </c>
      <c r="AW193" s="619">
        <f>+'ANEXO B'!E128</f>
        <v>295.51</v>
      </c>
      <c r="AX193" s="619">
        <f>+'ANEXO B'!F128</f>
        <v>302.39</v>
      </c>
      <c r="AY193" s="619">
        <f>+'ANEXO B'!G128</f>
        <v>306.61</v>
      </c>
      <c r="AZ193" s="619">
        <f>+'ANEXO B'!H128</f>
        <v>306.55</v>
      </c>
      <c r="BA193" s="619">
        <f>+'ANEXO B'!I128</f>
        <v>306.2</v>
      </c>
      <c r="BB193" s="619">
        <f>+'ANEXO B'!J128</f>
        <v>306.13</v>
      </c>
      <c r="BC193" s="619">
        <f>+'ANEXO B'!K128</f>
        <v>305.35000000000002</v>
      </c>
      <c r="BD193" s="619">
        <f>+'ANEXO B'!L128</f>
        <v>306.23</v>
      </c>
      <c r="BE193" s="619">
        <f>+'ANEXO B'!M128</f>
        <v>309.08999999999997</v>
      </c>
      <c r="BF193" s="619">
        <f>+'ANEXO B'!N128</f>
        <v>321.43</v>
      </c>
      <c r="BG193" s="840">
        <f>+'ANEXO B'!O128</f>
        <v>322.64</v>
      </c>
      <c r="BH193" s="662">
        <f>+'ANEXO B'!D155</f>
        <v>327.52</v>
      </c>
      <c r="BI193" s="617">
        <f>+'ANEXO B'!E155</f>
        <v>329.22</v>
      </c>
      <c r="BJ193" s="617">
        <f>+'ANEXO B'!F155</f>
        <v>328.71</v>
      </c>
      <c r="BK193" s="617">
        <f>+'ANEXO B'!G155</f>
        <v>338.12</v>
      </c>
      <c r="BL193" s="617">
        <f>+'ANEXO B'!H155</f>
        <v>346.7</v>
      </c>
      <c r="BM193" s="617">
        <f>+'ANEXO B'!I155</f>
        <v>347.37</v>
      </c>
      <c r="BN193" s="617">
        <f>+'ANEXO B'!J155</f>
        <v>348.53</v>
      </c>
      <c r="BO193" s="617">
        <f>+'ANEXO B'!K155</f>
        <v>351.94</v>
      </c>
      <c r="BP193" s="617">
        <f>+'ANEXO B'!L155</f>
        <v>335.72</v>
      </c>
      <c r="BQ193" s="617">
        <f>+'ANEXO B'!M155</f>
        <v>360.75</v>
      </c>
      <c r="BR193" s="617">
        <f>+'ANEXO B'!N155</f>
        <v>361.61</v>
      </c>
      <c r="BS193" s="737">
        <f>+'ANEXO B'!O155</f>
        <v>366.61</v>
      </c>
      <c r="BT193" s="662">
        <f>+'ANEXO B'!D179</f>
        <v>380.2</v>
      </c>
      <c r="BU193" s="617">
        <f>+'ANEXO B'!E179</f>
        <v>381.47</v>
      </c>
      <c r="BV193" s="617">
        <f>+'ANEXO B'!F179</f>
        <v>388.1</v>
      </c>
      <c r="BW193" s="617">
        <f>+'ANEXO B'!G179</f>
        <v>390.42</v>
      </c>
      <c r="BX193" s="617">
        <f>+'ANEXO B'!H179</f>
        <v>402.37</v>
      </c>
      <c r="BY193" s="617">
        <f>+'ANEXO B'!I179</f>
        <v>407.52</v>
      </c>
      <c r="BZ193" s="617">
        <f>+'ANEXO B'!J179</f>
        <v>417.61</v>
      </c>
      <c r="CA193" s="617">
        <f>+'ANEXO B'!K179</f>
        <v>423.96</v>
      </c>
      <c r="CB193" s="617">
        <f>+'ANEXO B'!L179</f>
        <v>427.38</v>
      </c>
      <c r="CC193" s="617">
        <v>429.21</v>
      </c>
      <c r="CD193" s="617">
        <f>+'ANEXO B'!N179</f>
        <v>442.17</v>
      </c>
      <c r="CE193" s="737">
        <f>+'ANEXO B'!O179</f>
        <v>465.48</v>
      </c>
      <c r="CF193" s="662">
        <f>+'ANEXO B'!D204</f>
        <v>457.23</v>
      </c>
      <c r="CG193" s="620">
        <f>+'ANEXO B'!E204</f>
        <v>453.56</v>
      </c>
      <c r="CH193" s="620">
        <f>+'ANEXO B'!F204</f>
        <v>458.26</v>
      </c>
      <c r="CI193" s="620">
        <f>+'ANEXO B'!G204</f>
        <v>478.49</v>
      </c>
      <c r="CJ193" s="620">
        <f>+'ANEXO B'!H204</f>
        <v>489.76</v>
      </c>
      <c r="CK193" s="620">
        <f>+'ANEXO B'!I204</f>
        <v>495.54</v>
      </c>
      <c r="CL193" s="620">
        <f>+'ANEXO B'!J204</f>
        <v>507.32</v>
      </c>
      <c r="CM193" s="620">
        <f>+'ANEXO B'!K204</f>
        <v>507.2</v>
      </c>
      <c r="CN193" s="620">
        <f>+'ANEXO B'!L204</f>
        <v>518.55999999999995</v>
      </c>
      <c r="CO193" s="620">
        <f>+'ANEXO B'!M204</f>
        <v>523.30999999999995</v>
      </c>
      <c r="CP193" s="620">
        <f>+'ANEXO B'!N204</f>
        <v>520.55999999999995</v>
      </c>
      <c r="CQ193" s="750">
        <f>+'ANEXO B'!O204</f>
        <v>517.29</v>
      </c>
      <c r="CR193" s="1031">
        <f>+'ANEXO B'!D229</f>
        <v>522.41999999999996</v>
      </c>
      <c r="CS193" s="620">
        <f>+'ANEXO B'!E229</f>
        <v>521.48</v>
      </c>
      <c r="CT193" s="620">
        <f>+'ANEXO B'!F229</f>
        <v>520.55999999999995</v>
      </c>
      <c r="CU193" s="620">
        <f>+'ANEXO B'!G229</f>
        <v>520.54</v>
      </c>
      <c r="CV193" s="620">
        <f>+'ANEXO B'!H229</f>
        <v>529.26</v>
      </c>
      <c r="CW193" s="620">
        <f>+'ANEXO B'!I229</f>
        <v>536.86</v>
      </c>
      <c r="CX193" s="620">
        <f>+'ANEXO B'!J229</f>
        <v>540.27</v>
      </c>
      <c r="CY193" s="620">
        <f>+'ANEXO B'!K229</f>
        <v>545.71</v>
      </c>
      <c r="CZ193" s="617">
        <f>+'ANEXO B'!L229</f>
        <v>548.77</v>
      </c>
      <c r="DA193" s="617">
        <f>+'ANEXO B'!M229</f>
        <v>562.22</v>
      </c>
      <c r="DB193" s="737">
        <f>+'ANEXO B'!N229</f>
        <v>564.84</v>
      </c>
      <c r="DC193" s="737">
        <f>+'ANEXO B'!O229</f>
        <v>566.72</v>
      </c>
      <c r="DD193" s="786">
        <f>+'ANEXO B'!D254</f>
        <v>574.98</v>
      </c>
      <c r="DE193" s="617">
        <f>+'ANEXO B'!E254</f>
        <v>580.49</v>
      </c>
      <c r="DF193" s="798">
        <f>+'ANEXO B'!F254</f>
        <v>593.51</v>
      </c>
      <c r="DG193" s="737">
        <f>+'ANEXO B'!G254</f>
        <v>597.65</v>
      </c>
      <c r="DH193" s="617">
        <f>+'ANEXO B'!H254</f>
        <v>614.24</v>
      </c>
      <c r="DI193" s="617">
        <f>+'ANEXO B'!I254</f>
        <v>617.70000000000005</v>
      </c>
      <c r="DJ193" s="617">
        <f>+'ANEXO B'!J254</f>
        <v>619.04999999999995</v>
      </c>
      <c r="DK193" s="737">
        <f>+'ANEXO B'!K254</f>
        <v>627.89</v>
      </c>
      <c r="DL193" s="617">
        <f>+'ANEXO B'!L254</f>
        <v>629.83000000000004</v>
      </c>
      <c r="DM193" s="737">
        <f>+'ANEXO B'!M254</f>
        <v>631.9</v>
      </c>
      <c r="DN193" s="737">
        <f>+'ANEXO B'!N254</f>
        <v>638.98</v>
      </c>
      <c r="DO193" s="916">
        <f>+'ANEXO B'!O254</f>
        <v>654.34</v>
      </c>
      <c r="DP193" s="786">
        <f>+'ANEXO B'!D280</f>
        <v>655.96</v>
      </c>
      <c r="DQ193" s="737">
        <f>+'ANEXO B'!E280</f>
        <v>661.37</v>
      </c>
      <c r="DR193" s="737">
        <f>+'ANEXO B'!F280</f>
        <v>664.46</v>
      </c>
      <c r="DS193" s="737">
        <f>+'ANEXO B'!G280</f>
        <v>693.99</v>
      </c>
      <c r="DT193" s="617">
        <f>+'ANEXO B'!H280</f>
        <v>699.74</v>
      </c>
      <c r="DU193" s="737">
        <f>+'ANEXO B'!I280</f>
        <v>706.74</v>
      </c>
      <c r="DV193" s="737">
        <f>+'ANEXO B'!J280</f>
        <v>708.96</v>
      </c>
      <c r="DW193" s="737">
        <f>+'ANEXO B'!K280</f>
        <v>728.26</v>
      </c>
      <c r="DX193" s="737">
        <f>+'ANEXO B'!L280</f>
        <v>730.05</v>
      </c>
      <c r="DY193" s="737">
        <f>+'ANEXO B'!M280</f>
        <v>731.93</v>
      </c>
      <c r="DZ193" s="737">
        <v>748.32</v>
      </c>
      <c r="EA193" s="916">
        <f>+'ANEXO B'!O280</f>
        <v>756.94</v>
      </c>
      <c r="EB193" s="737">
        <f>+'ANEXO B'!D305</f>
        <v>761.23</v>
      </c>
      <c r="EC193" s="737">
        <f>+'ANEXO B'!E305</f>
        <v>764.3</v>
      </c>
      <c r="ED193" s="737">
        <f>+'ANEXO B'!F305</f>
        <v>765.57</v>
      </c>
      <c r="EE193" s="737">
        <f>+'ANEXO B'!G305</f>
        <v>771.58</v>
      </c>
      <c r="EF193" s="737">
        <f>+'ANEXO B'!H305</f>
        <v>774.6</v>
      </c>
      <c r="EG193" s="737">
        <f>+'ANEXO B'!I305</f>
        <v>859.52</v>
      </c>
      <c r="EH193" s="737">
        <f>+'ANEXO B'!J305</f>
        <v>866.89</v>
      </c>
      <c r="EI193" s="737">
        <f>+'ANEXO B'!K305</f>
        <v>873.34</v>
      </c>
      <c r="EJ193" s="737">
        <f>+'ANEXO B'!L305</f>
        <v>877.3</v>
      </c>
      <c r="EK193" s="617">
        <f>+'ANEXO B'!M305</f>
        <v>886.21</v>
      </c>
      <c r="EL193" s="737">
        <f>+'ANEXO B'!N305</f>
        <v>895.14</v>
      </c>
      <c r="EM193" s="737">
        <f>+'ANEXO B'!O305</f>
        <v>898.71</v>
      </c>
      <c r="EN193" s="786">
        <f>+'ANEXO B'!D329</f>
        <v>901.23</v>
      </c>
      <c r="EO193" s="737">
        <f>+'ANEXO B'!E329</f>
        <v>906.92</v>
      </c>
      <c r="EP193" s="737">
        <f>+'ANEXO B'!F329</f>
        <v>909.17</v>
      </c>
      <c r="EQ193" s="737">
        <f>+'ANEXO B'!G329</f>
        <v>912.67</v>
      </c>
      <c r="ER193" s="737">
        <f>+'ANEXO B'!H329</f>
        <v>923.31</v>
      </c>
      <c r="ES193" s="737">
        <f>+'ANEXO B'!I329</f>
        <v>998.76</v>
      </c>
      <c r="ET193" s="737">
        <f>+'ANEXO B'!J329</f>
        <v>1005.31</v>
      </c>
      <c r="EU193" s="737">
        <f>+'ANEXO B'!K329</f>
        <v>1010.32</v>
      </c>
      <c r="EV193" s="737">
        <f>+'ANEXO B'!L329</f>
        <v>1044.6500000000001</v>
      </c>
      <c r="EW193" s="737">
        <f>+'ANEXO B'!M329</f>
        <v>1054.2</v>
      </c>
      <c r="EX193" s="737">
        <f>+'ANEXO B'!N329</f>
        <v>1058.48</v>
      </c>
      <c r="EY193" s="737">
        <f>+'ANEXO B'!O329</f>
        <v>1079.3599999999999</v>
      </c>
      <c r="EZ193" s="1013">
        <f>'ANEXO B'!D349</f>
        <v>1118.81</v>
      </c>
      <c r="FA193" s="906">
        <f>'ANEXO B'!E349</f>
        <v>1162.22</v>
      </c>
      <c r="FB193" s="906">
        <f>'ANEXO B'!F349</f>
        <v>1201.8399999999999</v>
      </c>
      <c r="FC193" s="906">
        <f>'ANEXO B'!G349</f>
        <v>1296.26</v>
      </c>
      <c r="FD193" s="906">
        <f>'ANEXO B'!H349</f>
        <v>1305.51</v>
      </c>
      <c r="FE193" s="906">
        <f>'ANEXO B'!I349</f>
        <v>1327.45</v>
      </c>
      <c r="FF193" s="906">
        <f>'ANEXO B'!J349</f>
        <v>1385.29</v>
      </c>
      <c r="FG193" s="906">
        <f>'ANEXO B'!K349</f>
        <v>1397.81</v>
      </c>
      <c r="FH193" s="906">
        <f>'ANEXO B'!L349</f>
        <v>1420.91</v>
      </c>
      <c r="FI193" s="906">
        <f>'ANEXO B'!M349</f>
        <v>1425.87</v>
      </c>
      <c r="FJ193" s="906">
        <f>'ANEXO B'!N349</f>
        <v>1441.62</v>
      </c>
      <c r="FK193" s="899">
        <f>'ANEXO B'!O349</f>
        <v>1447.73</v>
      </c>
      <c r="FL193" s="1025">
        <f>+'ANEXO B'!D369</f>
        <v>1450.97</v>
      </c>
      <c r="FM193" s="643">
        <f>+'ANEXO B'!E369</f>
        <v>1454.99</v>
      </c>
      <c r="FN193" s="643">
        <f>+'ANEXO B'!F369</f>
        <v>1478.67</v>
      </c>
      <c r="FO193" s="643">
        <f>+'ANEXO B'!G369</f>
        <v>1589.01</v>
      </c>
      <c r="FP193" s="643">
        <f>+'ANEXO B'!H369</f>
        <v>1602.81</v>
      </c>
      <c r="FQ193" s="643">
        <f>+'ANEXO B'!I369</f>
        <v>1613.76</v>
      </c>
      <c r="FR193" s="643">
        <f>+'ANEXO B'!J369</f>
        <v>1632.99</v>
      </c>
      <c r="FS193" s="643">
        <f>+'ANEXO B'!K369</f>
        <v>1716.42</v>
      </c>
      <c r="FT193" s="643">
        <f>+'ANEXO B'!L369</f>
        <v>1729.72</v>
      </c>
      <c r="FU193" s="899">
        <f>+'ANEXO B'!M369</f>
        <v>1743.2</v>
      </c>
      <c r="FV193" s="1167">
        <f t="shared" si="3"/>
        <v>1.0077931688365747</v>
      </c>
    </row>
    <row r="194" spans="1:178" s="115" customFormat="1" ht="33.75" customHeight="1">
      <c r="A194" s="1546">
        <v>1</v>
      </c>
      <c r="B194" s="408">
        <v>304</v>
      </c>
      <c r="C194" s="622"/>
      <c r="D194" s="622" t="s">
        <v>366</v>
      </c>
      <c r="E194" s="621" t="s">
        <v>918</v>
      </c>
      <c r="F194" s="622"/>
      <c r="G194" s="621" t="s">
        <v>900</v>
      </c>
      <c r="H194" s="621"/>
      <c r="I194" s="390" t="s">
        <v>130</v>
      </c>
      <c r="J194" s="674" t="s">
        <v>352</v>
      </c>
      <c r="K194" s="669">
        <v>100</v>
      </c>
      <c r="L194" s="665">
        <v>101.34</v>
      </c>
      <c r="M194" s="625">
        <v>105.85</v>
      </c>
      <c r="N194" s="625">
        <v>107.84</v>
      </c>
      <c r="O194" s="625">
        <v>115.34</v>
      </c>
      <c r="P194" s="625">
        <v>120.27</v>
      </c>
      <c r="Q194" s="625">
        <v>129.49</v>
      </c>
      <c r="R194" s="625">
        <v>145.44999999999999</v>
      </c>
      <c r="S194" s="625">
        <v>152.94</v>
      </c>
      <c r="T194" s="625">
        <v>159.80000000000001</v>
      </c>
      <c r="U194" s="625">
        <v>165.73</v>
      </c>
      <c r="V194" s="625">
        <v>170.32</v>
      </c>
      <c r="W194" s="625">
        <v>170.67</v>
      </c>
      <c r="X194" s="625">
        <v>178.32</v>
      </c>
      <c r="Y194" s="625">
        <v>179.65</v>
      </c>
      <c r="Z194" s="625">
        <v>182.75</v>
      </c>
      <c r="AA194" s="625">
        <v>182.83</v>
      </c>
      <c r="AB194" s="625">
        <v>189.22</v>
      </c>
      <c r="AC194" s="625">
        <v>191.09</v>
      </c>
      <c r="AD194" s="625">
        <v>199.72</v>
      </c>
      <c r="AE194" s="625">
        <v>199.29</v>
      </c>
      <c r="AF194" s="625">
        <v>204.7</v>
      </c>
      <c r="AG194" s="625">
        <v>209.51</v>
      </c>
      <c r="AH194" s="625">
        <v>215.13</v>
      </c>
      <c r="AI194" s="764">
        <v>220.41</v>
      </c>
      <c r="AJ194" s="772">
        <v>229.73</v>
      </c>
      <c r="AK194" s="625">
        <v>235.51</v>
      </c>
      <c r="AL194" s="625">
        <v>235.38</v>
      </c>
      <c r="AM194" s="625">
        <v>235.36</v>
      </c>
      <c r="AN194" s="625">
        <v>239.93</v>
      </c>
      <c r="AO194" s="625">
        <v>240.89</v>
      </c>
      <c r="AP194" s="625">
        <v>241.91</v>
      </c>
      <c r="AQ194" s="625">
        <v>242.74</v>
      </c>
      <c r="AR194" s="625">
        <v>246.18</v>
      </c>
      <c r="AS194" s="625">
        <f>+'ANEXO B'!M97</f>
        <v>251.43</v>
      </c>
      <c r="AT194" s="625">
        <f>+'ANEXO B'!N97</f>
        <v>251.97</v>
      </c>
      <c r="AU194" s="764">
        <f>+'ANEXO B'!O97</f>
        <v>252.09</v>
      </c>
      <c r="AV194" s="752">
        <f>+'ANEXO B'!D129</f>
        <v>262.48</v>
      </c>
      <c r="AW194" s="626">
        <f>+'ANEXO B'!E129</f>
        <v>263.01</v>
      </c>
      <c r="AX194" s="626">
        <f>+'ANEXO B'!F129</f>
        <v>276.94</v>
      </c>
      <c r="AY194" s="626">
        <f>+'ANEXO B'!G129</f>
        <v>285.63</v>
      </c>
      <c r="AZ194" s="626">
        <f>+'ANEXO B'!H129</f>
        <v>285.64999999999998</v>
      </c>
      <c r="BA194" s="626">
        <f>+'ANEXO B'!I129</f>
        <v>285.47000000000003</v>
      </c>
      <c r="BB194" s="626">
        <f>+'ANEXO B'!J129</f>
        <v>285.58</v>
      </c>
      <c r="BC194" s="626">
        <f>+'ANEXO B'!K129</f>
        <v>285.26</v>
      </c>
      <c r="BD194" s="626">
        <f>+'ANEXO B'!L129</f>
        <v>286.19</v>
      </c>
      <c r="BE194" s="626">
        <f>+'ANEXO B'!M129</f>
        <v>290.52</v>
      </c>
      <c r="BF194" s="626">
        <f>+'ANEXO B'!N129</f>
        <v>316.48</v>
      </c>
      <c r="BG194" s="749">
        <f>+'ANEXO B'!O129</f>
        <v>316.66000000000003</v>
      </c>
      <c r="BH194" s="660">
        <f>+'ANEXO B'!D156</f>
        <v>324.49</v>
      </c>
      <c r="BI194" s="623">
        <f>+'ANEXO B'!E156</f>
        <v>325.02999999999997</v>
      </c>
      <c r="BJ194" s="623">
        <f>+'ANEXO B'!F156</f>
        <v>323.74</v>
      </c>
      <c r="BK194" s="623">
        <f>+'ANEXO B'!G156</f>
        <v>335.34</v>
      </c>
      <c r="BL194" s="623">
        <f>+'ANEXO B'!H156</f>
        <v>353</v>
      </c>
      <c r="BM194" s="623">
        <f>+'ANEXO B'!I156</f>
        <v>353.49</v>
      </c>
      <c r="BN194" s="623">
        <f>+'ANEXO B'!J156</f>
        <v>356.03</v>
      </c>
      <c r="BO194" s="623">
        <f>+'ANEXO B'!K156</f>
        <v>357.28</v>
      </c>
      <c r="BP194" s="623">
        <f>+'ANEXO B'!L156</f>
        <v>322.2</v>
      </c>
      <c r="BQ194" s="623">
        <f>+'ANEXO B'!M156</f>
        <v>375.25</v>
      </c>
      <c r="BR194" s="623">
        <f>+'ANEXO B'!N156</f>
        <v>375.54</v>
      </c>
      <c r="BS194" s="659">
        <f>+'ANEXO B'!O156</f>
        <v>378.97</v>
      </c>
      <c r="BT194" s="660">
        <f>+'ANEXO B'!D180</f>
        <v>399.49</v>
      </c>
      <c r="BU194" s="623">
        <f>+'ANEXO B'!E180</f>
        <v>400.98</v>
      </c>
      <c r="BV194" s="623">
        <f>+'ANEXO B'!F180</f>
        <v>406.69</v>
      </c>
      <c r="BW194" s="623">
        <f>+'ANEXO B'!G180</f>
        <v>407.36</v>
      </c>
      <c r="BX194" s="623">
        <f>+'ANEXO B'!H180</f>
        <v>430.27</v>
      </c>
      <c r="BY194" s="623">
        <f>+'ANEXO B'!I180</f>
        <v>434.37</v>
      </c>
      <c r="BZ194" s="623">
        <f>+'ANEXO B'!J180</f>
        <v>449.68</v>
      </c>
      <c r="CA194" s="623">
        <f>+'ANEXO B'!K180</f>
        <v>454</v>
      </c>
      <c r="CB194" s="623">
        <f>+'ANEXO B'!L180</f>
        <v>458.68</v>
      </c>
      <c r="CC194" s="623">
        <v>459.13</v>
      </c>
      <c r="CD194" s="623">
        <f>+'ANEXO B'!N180</f>
        <v>465.07</v>
      </c>
      <c r="CE194" s="659">
        <f>+'ANEXO B'!O180</f>
        <v>508.26</v>
      </c>
      <c r="CF194" s="660">
        <f>+'ANEXO B'!D205</f>
        <v>474.23</v>
      </c>
      <c r="CG194" s="627">
        <f>+'ANEXO B'!E205</f>
        <v>475.62</v>
      </c>
      <c r="CH194" s="627">
        <f>+'ANEXO B'!F205</f>
        <v>477.15</v>
      </c>
      <c r="CI194" s="627">
        <f>+'ANEXO B'!G205</f>
        <v>507.39</v>
      </c>
      <c r="CJ194" s="627">
        <f>+'ANEXO B'!H205</f>
        <v>518.29</v>
      </c>
      <c r="CK194" s="627">
        <f>+'ANEXO B'!I205</f>
        <v>514.54</v>
      </c>
      <c r="CL194" s="627">
        <f>+'ANEXO B'!J205</f>
        <v>535.35</v>
      </c>
      <c r="CM194" s="627">
        <f>+'ANEXO B'!K205</f>
        <v>529.87</v>
      </c>
      <c r="CN194" s="627">
        <f>+'ANEXO B'!L205</f>
        <v>544.76</v>
      </c>
      <c r="CO194" s="627">
        <f>+'ANEXO B'!M205</f>
        <v>548.59</v>
      </c>
      <c r="CP194" s="627">
        <f>+'ANEXO B'!N205</f>
        <v>549.04999999999995</v>
      </c>
      <c r="CQ194" s="738">
        <f>+'ANEXO B'!O205</f>
        <v>548.29999999999995</v>
      </c>
      <c r="CR194" s="663">
        <f>+'ANEXO B'!D230</f>
        <v>555.14</v>
      </c>
      <c r="CS194" s="627">
        <f>+'ANEXO B'!E230</f>
        <v>555.66</v>
      </c>
      <c r="CT194" s="627">
        <f>+'ANEXO B'!F230</f>
        <v>555.59</v>
      </c>
      <c r="CU194" s="627">
        <f>+'ANEXO B'!G230</f>
        <v>556.79</v>
      </c>
      <c r="CV194" s="627">
        <f>+'ANEXO B'!H230</f>
        <v>575.73</v>
      </c>
      <c r="CW194" s="627">
        <f>+'ANEXO B'!I230</f>
        <v>586.04999999999995</v>
      </c>
      <c r="CX194" s="627">
        <f>+'ANEXO B'!J230</f>
        <v>587.24</v>
      </c>
      <c r="CY194" s="627">
        <f>+'ANEXO B'!K230</f>
        <v>590.08000000000004</v>
      </c>
      <c r="CZ194" s="623">
        <f>+'ANEXO B'!L230</f>
        <v>591.54</v>
      </c>
      <c r="DA194" s="623">
        <f>+'ANEXO B'!M230</f>
        <v>613.89</v>
      </c>
      <c r="DB194" s="659">
        <f>+'ANEXO B'!N230</f>
        <v>616.14</v>
      </c>
      <c r="DC194" s="659">
        <f>+'ANEXO B'!O230</f>
        <v>616.78</v>
      </c>
      <c r="DD194" s="783">
        <f>+'ANEXO B'!D255</f>
        <v>622.28</v>
      </c>
      <c r="DE194" s="623">
        <f>+'ANEXO B'!E255</f>
        <v>624.98</v>
      </c>
      <c r="DF194" s="725">
        <f>+'ANEXO B'!F255</f>
        <v>650.35</v>
      </c>
      <c r="DG194" s="659">
        <f>+'ANEXO B'!G255</f>
        <v>651.66</v>
      </c>
      <c r="DH194" s="623">
        <f>+'ANEXO B'!H255</f>
        <v>674.23</v>
      </c>
      <c r="DI194" s="623">
        <f>+'ANEXO B'!I255</f>
        <v>676.73</v>
      </c>
      <c r="DJ194" s="623">
        <f>+'ANEXO B'!J255</f>
        <v>676.12</v>
      </c>
      <c r="DK194" s="659">
        <f>+'ANEXO B'!K255</f>
        <v>702.96</v>
      </c>
      <c r="DL194" s="623">
        <f>+'ANEXO B'!L255</f>
        <v>704.44</v>
      </c>
      <c r="DM194" s="659">
        <f>+'ANEXO B'!M255</f>
        <v>705.36</v>
      </c>
      <c r="DN194" s="659">
        <f>+'ANEXO B'!N255</f>
        <v>712.01</v>
      </c>
      <c r="DO194" s="897">
        <f>+'ANEXO B'!O255</f>
        <v>742.4</v>
      </c>
      <c r="DP194" s="783">
        <f>+'ANEXO B'!D281</f>
        <v>744.03</v>
      </c>
      <c r="DQ194" s="659">
        <f>+'ANEXO B'!E281</f>
        <v>749.39</v>
      </c>
      <c r="DR194" s="659">
        <f>+'ANEXO B'!F281</f>
        <v>751.47</v>
      </c>
      <c r="DS194" s="659">
        <f>+'ANEXO B'!G281</f>
        <v>808.74</v>
      </c>
      <c r="DT194" s="623">
        <f>+'ANEXO B'!H281</f>
        <v>814.17</v>
      </c>
      <c r="DU194" s="659">
        <f>+'ANEXO B'!I281</f>
        <v>821.45</v>
      </c>
      <c r="DV194" s="659">
        <f>+'ANEXO B'!J281</f>
        <v>822.49</v>
      </c>
      <c r="DW194" s="659">
        <f>+'ANEXO B'!K281</f>
        <v>855.59</v>
      </c>
      <c r="DX194" s="659">
        <f>+'ANEXO B'!L281</f>
        <v>857.23</v>
      </c>
      <c r="DY194" s="659">
        <f>+'ANEXO B'!M281</f>
        <v>858.64</v>
      </c>
      <c r="DZ194" s="659">
        <v>892.41</v>
      </c>
      <c r="EA194" s="897">
        <f>+'ANEXO B'!O281</f>
        <v>899.81</v>
      </c>
      <c r="EB194" s="659">
        <f>+'ANEXO B'!D306</f>
        <v>901.77</v>
      </c>
      <c r="EC194" s="659">
        <f>+'ANEXO B'!E306</f>
        <v>905.64</v>
      </c>
      <c r="ED194" s="659">
        <f>+'ANEXO B'!F306</f>
        <v>906.66</v>
      </c>
      <c r="EE194" s="659">
        <f>+'ANEXO B'!G306</f>
        <v>912.17</v>
      </c>
      <c r="EF194" s="659">
        <f>+'ANEXO B'!H306</f>
        <v>914.77</v>
      </c>
      <c r="EG194" s="659">
        <f>+'ANEXO B'!I306</f>
        <v>1089.8699999999999</v>
      </c>
      <c r="EH194" s="659">
        <f>+'ANEXO B'!J306</f>
        <v>1095.33</v>
      </c>
      <c r="EI194" s="659">
        <f>+'ANEXO B'!K306</f>
        <v>1101.0999999999999</v>
      </c>
      <c r="EJ194" s="659">
        <f>+'ANEXO B'!L306</f>
        <v>1104.3599999999999</v>
      </c>
      <c r="EK194" s="623">
        <f>+'ANEXO B'!M306</f>
        <v>1109.57</v>
      </c>
      <c r="EL194" s="659">
        <f>+'ANEXO B'!N306</f>
        <v>1120.33</v>
      </c>
      <c r="EM194" s="659">
        <f>+'ANEXO B'!O306</f>
        <v>1122.0899999999999</v>
      </c>
      <c r="EN194" s="783">
        <f>+'ANEXO B'!D330</f>
        <v>1122.71</v>
      </c>
      <c r="EO194" s="659">
        <f>+'ANEXO B'!E330</f>
        <v>1125.2</v>
      </c>
      <c r="EP194" s="659">
        <f>+'ANEXO B'!F330</f>
        <v>1126.6099999999999</v>
      </c>
      <c r="EQ194" s="659">
        <f>+'ANEXO B'!G330</f>
        <v>1128.08</v>
      </c>
      <c r="ER194" s="659">
        <f>+'ANEXO B'!H330</f>
        <v>1135.03</v>
      </c>
      <c r="ES194" s="659">
        <f>+'ANEXO B'!I330</f>
        <v>1276.83</v>
      </c>
      <c r="ET194" s="659">
        <f>+'ANEXO B'!J330</f>
        <v>1283.52</v>
      </c>
      <c r="EU194" s="659">
        <f>+'ANEXO B'!K330</f>
        <v>1286.74</v>
      </c>
      <c r="EV194" s="659">
        <f>+'ANEXO B'!L330</f>
        <v>1342.94</v>
      </c>
      <c r="EW194" s="659">
        <f>+'ANEXO B'!M330</f>
        <v>1347.06</v>
      </c>
      <c r="EX194" s="659">
        <f>+'ANEXO B'!N330</f>
        <v>1347.71</v>
      </c>
      <c r="EY194" s="659">
        <f>+'ANEXO B'!O330</f>
        <v>1357.56</v>
      </c>
      <c r="EZ194" s="783">
        <f>'ANEXO B'!D350</f>
        <v>1377.18</v>
      </c>
      <c r="FA194" s="659">
        <f>'ANEXO B'!E350</f>
        <v>1402.88</v>
      </c>
      <c r="FB194" s="659">
        <f>'ANEXO B'!F350</f>
        <v>1418.15</v>
      </c>
      <c r="FC194" s="659">
        <f>'ANEXO B'!G350</f>
        <v>1591.47</v>
      </c>
      <c r="FD194" s="659">
        <f>'ANEXO B'!H350</f>
        <v>1596.89</v>
      </c>
      <c r="FE194" s="659">
        <f>'ANEXO B'!I350</f>
        <v>1617.11</v>
      </c>
      <c r="FF194" s="659">
        <f>'ANEXO B'!J350</f>
        <v>1733.08</v>
      </c>
      <c r="FG194" s="659">
        <f>'ANEXO B'!K350</f>
        <v>1738.5</v>
      </c>
      <c r="FH194" s="659">
        <f>'ANEXO B'!L350</f>
        <v>1752.82</v>
      </c>
      <c r="FI194" s="659">
        <f>'ANEXO B'!M350</f>
        <v>1760.01</v>
      </c>
      <c r="FJ194" s="659">
        <f>'ANEXO B'!N350</f>
        <v>1774.61</v>
      </c>
      <c r="FK194" s="897">
        <f>'ANEXO B'!O350</f>
        <v>1781.48</v>
      </c>
      <c r="FL194" s="660">
        <f>+'ANEXO B'!D370</f>
        <v>1785.54</v>
      </c>
      <c r="FM194" s="623">
        <f>+'ANEXO B'!E370</f>
        <v>1789.24</v>
      </c>
      <c r="FN194" s="623">
        <f>+'ANEXO B'!F370</f>
        <v>1805.9</v>
      </c>
      <c r="FO194" s="623">
        <f>+'ANEXO B'!G370</f>
        <v>2025.4</v>
      </c>
      <c r="FP194" s="623">
        <f>+'ANEXO B'!H370</f>
        <v>2038.33</v>
      </c>
      <c r="FQ194" s="623">
        <f>+'ANEXO B'!I370</f>
        <v>2048.48</v>
      </c>
      <c r="FR194" s="623">
        <f>+'ANEXO B'!J370</f>
        <v>2062.11</v>
      </c>
      <c r="FS194" s="623">
        <f>+'ANEXO B'!K370</f>
        <v>2205.11</v>
      </c>
      <c r="FT194" s="623">
        <f>+'ANEXO B'!L370</f>
        <v>2210.2600000000002</v>
      </c>
      <c r="FU194" s="897">
        <f>+'ANEXO B'!M370</f>
        <v>2217.5100000000002</v>
      </c>
      <c r="FV194" s="1167">
        <f t="shared" si="3"/>
        <v>1.0032801570855918</v>
      </c>
    </row>
    <row r="195" spans="1:178" s="115" customFormat="1" ht="14.25" customHeight="1">
      <c r="A195" s="1546">
        <v>1</v>
      </c>
      <c r="B195" s="408"/>
      <c r="C195" s="622"/>
      <c r="D195" s="622"/>
      <c r="E195" s="621"/>
      <c r="F195" s="622"/>
      <c r="G195" s="621"/>
      <c r="H195" s="621"/>
      <c r="I195" s="631"/>
      <c r="J195" s="674"/>
      <c r="K195" s="669"/>
      <c r="L195" s="665"/>
      <c r="M195" s="625"/>
      <c r="N195" s="625"/>
      <c r="O195" s="625"/>
      <c r="P195" s="625"/>
      <c r="Q195" s="625"/>
      <c r="R195" s="625"/>
      <c r="S195" s="625"/>
      <c r="T195" s="625"/>
      <c r="U195" s="625"/>
      <c r="V195" s="625"/>
      <c r="W195" s="625"/>
      <c r="X195" s="625"/>
      <c r="Y195" s="625"/>
      <c r="Z195" s="625"/>
      <c r="AA195" s="625"/>
      <c r="AB195" s="625"/>
      <c r="AC195" s="625"/>
      <c r="AD195" s="625"/>
      <c r="AE195" s="625"/>
      <c r="AF195" s="625"/>
      <c r="AG195" s="625"/>
      <c r="AH195" s="625"/>
      <c r="AI195" s="764"/>
      <c r="AJ195" s="772"/>
      <c r="AK195" s="625"/>
      <c r="AL195" s="625"/>
      <c r="AM195" s="625"/>
      <c r="AN195" s="625"/>
      <c r="AO195" s="625"/>
      <c r="AP195" s="625"/>
      <c r="AQ195" s="625"/>
      <c r="AR195" s="625"/>
      <c r="AS195" s="625"/>
      <c r="AT195" s="625"/>
      <c r="AU195" s="764"/>
      <c r="AV195" s="752"/>
      <c r="AW195" s="626"/>
      <c r="AX195" s="626"/>
      <c r="AY195" s="626"/>
      <c r="AZ195" s="626"/>
      <c r="BA195" s="628"/>
      <c r="BB195" s="628"/>
      <c r="BC195" s="627"/>
      <c r="BD195" s="626"/>
      <c r="BE195" s="627"/>
      <c r="BF195" s="627"/>
      <c r="BG195" s="738"/>
      <c r="BH195" s="660"/>
      <c r="BI195" s="623"/>
      <c r="BJ195" s="623"/>
      <c r="BK195" s="623"/>
      <c r="BL195" s="623"/>
      <c r="BM195" s="623"/>
      <c r="BN195" s="623"/>
      <c r="BO195" s="623"/>
      <c r="BP195" s="623"/>
      <c r="BQ195" s="623"/>
      <c r="BR195" s="623"/>
      <c r="BS195" s="659"/>
      <c r="BT195" s="660"/>
      <c r="BU195" s="623"/>
      <c r="BV195" s="623"/>
      <c r="BW195" s="623"/>
      <c r="BX195" s="623"/>
      <c r="BY195" s="623"/>
      <c r="BZ195" s="623"/>
      <c r="CA195" s="623"/>
      <c r="CB195" s="623"/>
      <c r="CC195" s="623"/>
      <c r="CD195" s="623"/>
      <c r="CE195" s="659"/>
      <c r="CF195" s="660"/>
      <c r="CG195" s="623"/>
      <c r="CH195" s="623"/>
      <c r="CI195" s="623"/>
      <c r="CJ195" s="623"/>
      <c r="CK195" s="623"/>
      <c r="CL195" s="623"/>
      <c r="CM195" s="623"/>
      <c r="CN195" s="623"/>
      <c r="CO195" s="623"/>
      <c r="CP195" s="623"/>
      <c r="CQ195" s="659"/>
      <c r="CR195" s="660"/>
      <c r="CS195" s="623"/>
      <c r="CT195" s="623"/>
      <c r="CU195" s="623"/>
      <c r="CV195" s="623"/>
      <c r="CW195" s="623"/>
      <c r="CX195" s="623"/>
      <c r="CY195" s="623"/>
      <c r="CZ195" s="623"/>
      <c r="DA195" s="623"/>
      <c r="DB195" s="725"/>
      <c r="DC195" s="659"/>
      <c r="DD195" s="783"/>
      <c r="DE195" s="623"/>
      <c r="DF195" s="725"/>
      <c r="DG195" s="659"/>
      <c r="DH195" s="623"/>
      <c r="DI195" s="623"/>
      <c r="DJ195" s="623"/>
      <c r="DK195" s="659"/>
      <c r="DL195" s="623"/>
      <c r="DM195" s="659"/>
      <c r="DN195" s="659"/>
      <c r="DO195" s="897"/>
      <c r="DP195" s="783"/>
      <c r="DQ195" s="659"/>
      <c r="DR195" s="659"/>
      <c r="DS195" s="659"/>
      <c r="DT195" s="623"/>
      <c r="DU195" s="659"/>
      <c r="DV195" s="659"/>
      <c r="DW195" s="659"/>
      <c r="DX195" s="659"/>
      <c r="DY195" s="659"/>
      <c r="DZ195" s="659"/>
      <c r="EA195" s="897"/>
      <c r="EB195" s="659"/>
      <c r="EC195" s="659"/>
      <c r="ED195" s="659"/>
      <c r="EE195" s="659"/>
      <c r="EF195" s="659"/>
      <c r="EG195" s="659"/>
      <c r="EH195" s="659"/>
      <c r="EI195" s="659"/>
      <c r="EJ195" s="659"/>
      <c r="EK195" s="623"/>
      <c r="EL195" s="659"/>
      <c r="EM195" s="659"/>
      <c r="EN195" s="783"/>
      <c r="EO195" s="659"/>
      <c r="EP195" s="659"/>
      <c r="EQ195" s="659"/>
      <c r="ER195" s="659"/>
      <c r="ES195" s="659"/>
      <c r="ET195" s="659"/>
      <c r="EU195" s="659"/>
      <c r="EV195" s="659"/>
      <c r="EW195" s="659"/>
      <c r="EX195" s="659"/>
      <c r="EY195" s="659"/>
      <c r="EZ195" s="783"/>
      <c r="FA195" s="659"/>
      <c r="FB195" s="659"/>
      <c r="FC195" s="659"/>
      <c r="FD195" s="659"/>
      <c r="FE195" s="659"/>
      <c r="FF195" s="659"/>
      <c r="FG195" s="659"/>
      <c r="FH195" s="659"/>
      <c r="FI195" s="659"/>
      <c r="FJ195" s="659"/>
      <c r="FK195" s="897"/>
      <c r="FL195" s="660"/>
      <c r="FM195" s="623"/>
      <c r="FN195" s="623"/>
      <c r="FO195" s="623"/>
      <c r="FP195" s="623"/>
      <c r="FQ195" s="623"/>
      <c r="FR195" s="623"/>
      <c r="FS195" s="623"/>
      <c r="FT195" s="623"/>
      <c r="FU195" s="897"/>
      <c r="FV195" s="1167"/>
    </row>
    <row r="196" spans="1:178" s="115" customFormat="1" ht="13.5" customHeight="1">
      <c r="A196" s="1546">
        <v>1</v>
      </c>
      <c r="B196" s="408"/>
      <c r="C196" s="622"/>
      <c r="D196" s="622"/>
      <c r="E196" s="621"/>
      <c r="F196" s="622"/>
      <c r="G196" s="621"/>
      <c r="H196" s="621"/>
      <c r="I196" s="631"/>
      <c r="J196" s="674"/>
      <c r="K196" s="669"/>
      <c r="L196" s="665"/>
      <c r="M196" s="625"/>
      <c r="N196" s="625"/>
      <c r="O196" s="625"/>
      <c r="P196" s="625"/>
      <c r="Q196" s="625"/>
      <c r="R196" s="625"/>
      <c r="S196" s="625"/>
      <c r="T196" s="625"/>
      <c r="U196" s="625"/>
      <c r="V196" s="625"/>
      <c r="W196" s="625"/>
      <c r="X196" s="625"/>
      <c r="Y196" s="625"/>
      <c r="Z196" s="625"/>
      <c r="AA196" s="625"/>
      <c r="AB196" s="625"/>
      <c r="AC196" s="625"/>
      <c r="AD196" s="625"/>
      <c r="AE196" s="625"/>
      <c r="AF196" s="625"/>
      <c r="AG196" s="625"/>
      <c r="AH196" s="625"/>
      <c r="AI196" s="764"/>
      <c r="AJ196" s="772"/>
      <c r="AK196" s="625"/>
      <c r="AL196" s="625"/>
      <c r="AM196" s="625"/>
      <c r="AN196" s="625"/>
      <c r="AO196" s="625"/>
      <c r="AP196" s="625"/>
      <c r="AQ196" s="625"/>
      <c r="AR196" s="625"/>
      <c r="AS196" s="625"/>
      <c r="AT196" s="625"/>
      <c r="AU196" s="764"/>
      <c r="AV196" s="752"/>
      <c r="AW196" s="626"/>
      <c r="AX196" s="626"/>
      <c r="AY196" s="626"/>
      <c r="AZ196" s="626"/>
      <c r="BA196" s="628"/>
      <c r="BB196" s="628"/>
      <c r="BC196" s="627"/>
      <c r="BD196" s="626"/>
      <c r="BE196" s="627"/>
      <c r="BF196" s="627"/>
      <c r="BG196" s="738"/>
      <c r="BH196" s="660"/>
      <c r="BI196" s="623"/>
      <c r="BJ196" s="623"/>
      <c r="BK196" s="623"/>
      <c r="BL196" s="623"/>
      <c r="BM196" s="623"/>
      <c r="BN196" s="623"/>
      <c r="BO196" s="623"/>
      <c r="BP196" s="623"/>
      <c r="BQ196" s="623"/>
      <c r="BR196" s="623"/>
      <c r="BS196" s="659"/>
      <c r="BT196" s="660"/>
      <c r="BU196" s="623"/>
      <c r="BV196" s="623"/>
      <c r="BW196" s="623"/>
      <c r="BX196" s="623"/>
      <c r="BY196" s="623"/>
      <c r="BZ196" s="623"/>
      <c r="CA196" s="623"/>
      <c r="CB196" s="623"/>
      <c r="CC196" s="623"/>
      <c r="CD196" s="623"/>
      <c r="CE196" s="659"/>
      <c r="CF196" s="660"/>
      <c r="CG196" s="623"/>
      <c r="CH196" s="623"/>
      <c r="CI196" s="623"/>
      <c r="CJ196" s="623"/>
      <c r="CK196" s="623"/>
      <c r="CL196" s="623"/>
      <c r="CM196" s="623"/>
      <c r="CN196" s="623"/>
      <c r="CO196" s="623"/>
      <c r="CP196" s="623"/>
      <c r="CQ196" s="659"/>
      <c r="CR196" s="660"/>
      <c r="CS196" s="623"/>
      <c r="CT196" s="623"/>
      <c r="CU196" s="623"/>
      <c r="CV196" s="623"/>
      <c r="CW196" s="623"/>
      <c r="CX196" s="623"/>
      <c r="CY196" s="623"/>
      <c r="CZ196" s="623"/>
      <c r="DA196" s="623"/>
      <c r="DB196" s="725"/>
      <c r="DC196" s="659"/>
      <c r="DD196" s="783"/>
      <c r="DE196" s="623"/>
      <c r="DF196" s="725"/>
      <c r="DG196" s="659"/>
      <c r="DH196" s="623"/>
      <c r="DI196" s="623"/>
      <c r="DJ196" s="623"/>
      <c r="DK196" s="659"/>
      <c r="DL196" s="623"/>
      <c r="DM196" s="659"/>
      <c r="DN196" s="659"/>
      <c r="DO196" s="897"/>
      <c r="DP196" s="783"/>
      <c r="DQ196" s="659"/>
      <c r="DR196" s="659"/>
      <c r="DS196" s="659"/>
      <c r="DT196" s="623"/>
      <c r="DU196" s="659"/>
      <c r="DV196" s="659"/>
      <c r="DW196" s="659"/>
      <c r="DX196" s="659"/>
      <c r="DY196" s="659"/>
      <c r="DZ196" s="659"/>
      <c r="EA196" s="897"/>
      <c r="EB196" s="659"/>
      <c r="EC196" s="659"/>
      <c r="ED196" s="659"/>
      <c r="EE196" s="659"/>
      <c r="EF196" s="659"/>
      <c r="EG196" s="659"/>
      <c r="EH196" s="659"/>
      <c r="EI196" s="659"/>
      <c r="EJ196" s="659"/>
      <c r="EK196" s="623"/>
      <c r="EL196" s="659"/>
      <c r="EM196" s="659"/>
      <c r="EN196" s="783"/>
      <c r="EO196" s="659"/>
      <c r="EP196" s="659"/>
      <c r="EQ196" s="659"/>
      <c r="ER196" s="659"/>
      <c r="ES196" s="659"/>
      <c r="ET196" s="659"/>
      <c r="EU196" s="659"/>
      <c r="EV196" s="659"/>
      <c r="EW196" s="659"/>
      <c r="EX196" s="659"/>
      <c r="EY196" s="659"/>
      <c r="EZ196" s="783"/>
      <c r="FA196" s="659"/>
      <c r="FB196" s="659"/>
      <c r="FC196" s="659"/>
      <c r="FD196" s="659"/>
      <c r="FE196" s="659"/>
      <c r="FF196" s="659"/>
      <c r="FG196" s="659"/>
      <c r="FH196" s="659"/>
      <c r="FI196" s="659"/>
      <c r="FJ196" s="659"/>
      <c r="FK196" s="897"/>
      <c r="FL196" s="660"/>
      <c r="FM196" s="623"/>
      <c r="FN196" s="623"/>
      <c r="FO196" s="623"/>
      <c r="FP196" s="623"/>
      <c r="FQ196" s="623"/>
      <c r="FR196" s="623"/>
      <c r="FS196" s="623"/>
      <c r="FT196" s="623"/>
      <c r="FU196" s="897"/>
      <c r="FV196" s="1167"/>
    </row>
    <row r="197" spans="1:178" s="115" customFormat="1" ht="18.75" customHeight="1">
      <c r="A197" s="1546">
        <v>1</v>
      </c>
      <c r="B197" s="408">
        <v>401</v>
      </c>
      <c r="C197" s="622"/>
      <c r="D197" s="622" t="s">
        <v>367</v>
      </c>
      <c r="E197" s="621" t="s">
        <v>918</v>
      </c>
      <c r="F197" s="621"/>
      <c r="G197" s="621" t="s">
        <v>900</v>
      </c>
      <c r="H197" s="621"/>
      <c r="I197" s="631" t="s">
        <v>47</v>
      </c>
      <c r="J197" s="676"/>
      <c r="K197" s="669">
        <v>100</v>
      </c>
      <c r="L197" s="665">
        <v>116.74</v>
      </c>
      <c r="M197" s="625">
        <v>135.37</v>
      </c>
      <c r="N197" s="625">
        <v>158.38999999999999</v>
      </c>
      <c r="O197" s="625">
        <v>191.62</v>
      </c>
      <c r="P197" s="625">
        <v>209.15</v>
      </c>
      <c r="Q197" s="625">
        <v>228.18</v>
      </c>
      <c r="R197" s="625">
        <v>233.73</v>
      </c>
      <c r="S197" s="625">
        <v>243.06</v>
      </c>
      <c r="T197" s="625">
        <v>250.91</v>
      </c>
      <c r="U197" s="625">
        <v>254.58</v>
      </c>
      <c r="V197" s="625">
        <v>257.37</v>
      </c>
      <c r="W197" s="625">
        <v>253.51</v>
      </c>
      <c r="X197" s="625">
        <v>241.94</v>
      </c>
      <c r="Y197" s="625">
        <v>241.57</v>
      </c>
      <c r="Z197" s="625">
        <v>237</v>
      </c>
      <c r="AA197" s="625">
        <v>230.93</v>
      </c>
      <c r="AB197" s="625">
        <v>226.54</v>
      </c>
      <c r="AC197" s="625">
        <v>225.23</v>
      </c>
      <c r="AD197" s="625">
        <v>224.77</v>
      </c>
      <c r="AE197" s="625">
        <v>230.27</v>
      </c>
      <c r="AF197" s="625">
        <v>230.27</v>
      </c>
      <c r="AG197" s="625">
        <v>228.39</v>
      </c>
      <c r="AH197" s="625">
        <v>234.6</v>
      </c>
      <c r="AI197" s="764">
        <v>234.42</v>
      </c>
      <c r="AJ197" s="772">
        <v>232.85</v>
      </c>
      <c r="AK197" s="625">
        <v>235.77</v>
      </c>
      <c r="AL197" s="625">
        <v>233.52</v>
      </c>
      <c r="AM197" s="625">
        <v>242.23</v>
      </c>
      <c r="AN197" s="625">
        <v>239.6</v>
      </c>
      <c r="AO197" s="625">
        <v>243.05</v>
      </c>
      <c r="AP197" s="625">
        <v>243.25</v>
      </c>
      <c r="AQ197" s="625">
        <v>246.49</v>
      </c>
      <c r="AR197" s="625">
        <v>245.81</v>
      </c>
      <c r="AS197" s="625">
        <f>+'ANEXO F'!L44</f>
        <v>245.09</v>
      </c>
      <c r="AT197" s="625">
        <f>+'ANEXO F'!M44</f>
        <v>245.17</v>
      </c>
      <c r="AU197" s="764">
        <f>+'ANEXO F'!N44</f>
        <v>244.99</v>
      </c>
      <c r="AV197" s="752">
        <f>+'ANEXO F'!C55</f>
        <v>246.04</v>
      </c>
      <c r="AW197" s="626">
        <f>+'ANEXO F'!D55</f>
        <v>244.97</v>
      </c>
      <c r="AX197" s="626">
        <f>+'ANEXO F'!E55</f>
        <v>246.91</v>
      </c>
      <c r="AY197" s="626">
        <f>+'ANEXO F'!F55</f>
        <v>246.1</v>
      </c>
      <c r="AZ197" s="626">
        <f>+'ANEXO F'!G55</f>
        <v>246.56</v>
      </c>
      <c r="BA197" s="626">
        <f>+'ANEXO F'!H55</f>
        <v>246.58</v>
      </c>
      <c r="BB197" s="626">
        <f>+'ANEXO F'!I55</f>
        <v>246.4</v>
      </c>
      <c r="BC197" s="626">
        <f>+'ANEXO F'!J55</f>
        <v>248.39</v>
      </c>
      <c r="BD197" s="626">
        <f>+'ANEXO F'!K55</f>
        <v>249.92</v>
      </c>
      <c r="BE197" s="626">
        <f>+'ANEXO F'!L55</f>
        <v>253.58</v>
      </c>
      <c r="BF197" s="626">
        <f>+'ANEXO F'!M55</f>
        <v>253.36</v>
      </c>
      <c r="BG197" s="749">
        <f>+'ANEXO F'!N55</f>
        <v>257.04000000000002</v>
      </c>
      <c r="BH197" s="660">
        <f>+'ANEXO F'!C66</f>
        <v>259.75</v>
      </c>
      <c r="BI197" s="623">
        <f>+'ANEXO F'!D66</f>
        <v>256.95999999999998</v>
      </c>
      <c r="BJ197" s="623">
        <f>+'ANEXO F'!E66</f>
        <v>261.08</v>
      </c>
      <c r="BK197" s="623">
        <f>+'ANEXO F'!F66</f>
        <v>264.51</v>
      </c>
      <c r="BL197" s="623">
        <f>+'ANEXO F'!G66</f>
        <v>265.16000000000003</v>
      </c>
      <c r="BM197" s="623">
        <f>+'ANEXO F'!H66</f>
        <v>267.68</v>
      </c>
      <c r="BN197" s="623">
        <f>+'ANEXO F'!I66</f>
        <v>269.08999999999997</v>
      </c>
      <c r="BO197" s="623">
        <f>+'ANEXO F'!J66</f>
        <v>270.29000000000002</v>
      </c>
      <c r="BP197" s="623">
        <f>+'ANEXO F'!K66</f>
        <v>271.04000000000002</v>
      </c>
      <c r="BQ197" s="623">
        <f>+'ANEXO F'!L66</f>
        <v>271.16000000000003</v>
      </c>
      <c r="BR197" s="623">
        <f>+'ANEXO F'!M66</f>
        <v>272.39</v>
      </c>
      <c r="BS197" s="659">
        <f>+'ANEXO F'!N66</f>
        <v>295.51</v>
      </c>
      <c r="BT197" s="660">
        <f>+'ANEXO F'!C77</f>
        <v>277.99</v>
      </c>
      <c r="BU197" s="623">
        <f>+'ANEXO F'!D77</f>
        <v>280.36</v>
      </c>
      <c r="BV197" s="623">
        <f>+'ANEXO F'!E77</f>
        <v>285.06</v>
      </c>
      <c r="BW197" s="623">
        <f>+'ANEXO F'!F77</f>
        <v>285.73</v>
      </c>
      <c r="BX197" s="623">
        <f>+'ANEXO F'!G77</f>
        <v>285.82</v>
      </c>
      <c r="BY197" s="623">
        <f>+'ANEXO F'!H77</f>
        <v>291.2</v>
      </c>
      <c r="BZ197" s="623">
        <f>+'ANEXO F'!I77</f>
        <v>293.77</v>
      </c>
      <c r="CA197" s="623">
        <f>+'ANEXO F'!J77</f>
        <v>296.36</v>
      </c>
      <c r="CB197" s="623">
        <f>+'ANEXO F'!K77</f>
        <v>299.45</v>
      </c>
      <c r="CC197" s="623">
        <v>301.08</v>
      </c>
      <c r="CD197" s="623">
        <f>+'ANEXO F'!M77</f>
        <v>306.42</v>
      </c>
      <c r="CE197" s="659">
        <f>+'ANEXO F'!N77</f>
        <v>312.57</v>
      </c>
      <c r="CF197" s="660">
        <f>+'ANEXO F'!C88</f>
        <v>313.16000000000003</v>
      </c>
      <c r="CG197" s="623">
        <f>+'ANEXO F'!D88</f>
        <v>314.95</v>
      </c>
      <c r="CH197" s="623">
        <f>+'ANEXO F'!E88</f>
        <v>316.32</v>
      </c>
      <c r="CI197" s="623">
        <f>+'ANEXO F'!F88</f>
        <v>321.67</v>
      </c>
      <c r="CJ197" s="623">
        <f>+'ANEXO F'!G88</f>
        <v>318.89999999999998</v>
      </c>
      <c r="CK197" s="623">
        <f>+'ANEXO F'!H88</f>
        <v>319.45999999999998</v>
      </c>
      <c r="CL197" s="623">
        <f>+'ANEXO F'!I88</f>
        <v>323.02</v>
      </c>
      <c r="CM197" s="623">
        <f>+'ANEXO F'!J88</f>
        <v>327.18</v>
      </c>
      <c r="CN197" s="623">
        <f>+'ANEXO F'!K88</f>
        <v>334.34</v>
      </c>
      <c r="CO197" s="623">
        <f>+'ANEXO F'!L88</f>
        <v>342.02</v>
      </c>
      <c r="CP197" s="623">
        <f>+'ANEXO F'!M88</f>
        <v>342.74</v>
      </c>
      <c r="CQ197" s="659">
        <f>+'ANEXO F'!N88</f>
        <v>343.24</v>
      </c>
      <c r="CR197" s="660">
        <f>+'ANEXO F'!C99</f>
        <v>357.34</v>
      </c>
      <c r="CS197" s="623">
        <f>+'ANEXO F'!D99</f>
        <v>361.11</v>
      </c>
      <c r="CT197" s="623">
        <f>+'ANEXO F'!E99</f>
        <v>363.28</v>
      </c>
      <c r="CU197" s="623">
        <f>+'ANEXO F'!F99</f>
        <v>365.65</v>
      </c>
      <c r="CV197" s="623">
        <f>+'ANEXO F'!G99</f>
        <v>368.75</v>
      </c>
      <c r="CW197" s="623">
        <f>+'ANEXO F'!H99</f>
        <v>370.19</v>
      </c>
      <c r="CX197" s="623">
        <f>+'ANEXO F'!I99</f>
        <v>373.98</v>
      </c>
      <c r="CY197" s="623">
        <f>+'ANEXO F'!J99</f>
        <v>378.36</v>
      </c>
      <c r="CZ197" s="623">
        <f>+'ANEXO F'!K99</f>
        <v>379.34</v>
      </c>
      <c r="DA197" s="623">
        <f>+'ANEXO F'!L99</f>
        <v>380.7</v>
      </c>
      <c r="DB197" s="659">
        <f>+'ANEXO F'!M99</f>
        <v>382.62</v>
      </c>
      <c r="DC197" s="659">
        <f>+'ANEXO F'!N99</f>
        <v>383.17</v>
      </c>
      <c r="DD197" s="783">
        <f>+'ANEXO F'!C110</f>
        <v>388.08</v>
      </c>
      <c r="DE197" s="623">
        <f>+'ANEXO F'!D110</f>
        <v>391.89</v>
      </c>
      <c r="DF197" s="725">
        <f>+'ANEXO F'!E110</f>
        <v>393.73</v>
      </c>
      <c r="DG197" s="659">
        <f>+'ANEXO F'!F110</f>
        <v>395.46</v>
      </c>
      <c r="DH197" s="623">
        <f>+'ANEXO F'!G110</f>
        <v>401.67</v>
      </c>
      <c r="DI197" s="623">
        <f>+'ANEXO F'!H110</f>
        <v>404.88</v>
      </c>
      <c r="DJ197" s="623">
        <f>+'ANEXO F'!I110</f>
        <v>406.33</v>
      </c>
      <c r="DK197" s="659">
        <f>+'ANEXO F'!J110</f>
        <v>409.19</v>
      </c>
      <c r="DL197" s="623">
        <f>+'ANEXO F'!K110</f>
        <v>413.01</v>
      </c>
      <c r="DM197" s="659">
        <f>+'ANEXO F'!L110</f>
        <v>415.14</v>
      </c>
      <c r="DN197" s="659">
        <f>+'ANEXO F'!M110</f>
        <v>423.16</v>
      </c>
      <c r="DO197" s="897">
        <f>+'ANEXO F'!N110</f>
        <v>424.8</v>
      </c>
      <c r="DP197" s="783">
        <f>+'ANEXO F'!C120</f>
        <v>425.26</v>
      </c>
      <c r="DQ197" s="659">
        <f>+'ANEXO F'!D120</f>
        <v>431.52</v>
      </c>
      <c r="DR197" s="659">
        <f>+'ANEXO F'!E120</f>
        <v>432.46</v>
      </c>
      <c r="DS197" s="659">
        <f>+'ANEXO F'!F120</f>
        <v>435.25</v>
      </c>
      <c r="DT197" s="623">
        <f>+'ANEXO F'!G120</f>
        <v>440.41</v>
      </c>
      <c r="DU197" s="659">
        <f>+'ANEXO F'!H120</f>
        <v>452</v>
      </c>
      <c r="DV197" s="659">
        <f>+'ANEXO F'!I120</f>
        <v>454.05</v>
      </c>
      <c r="DW197" s="659">
        <f>+'ANEXO F'!J120</f>
        <v>457.27</v>
      </c>
      <c r="DX197" s="659">
        <f>+'ANEXO F'!K120</f>
        <v>459.54</v>
      </c>
      <c r="DY197" s="659">
        <f>+'ANEXO F'!L120</f>
        <v>461.94</v>
      </c>
      <c r="DZ197" s="659">
        <v>467.35</v>
      </c>
      <c r="EA197" s="897">
        <f>+'ANEXO F'!N120</f>
        <v>474.75</v>
      </c>
      <c r="EB197" s="659">
        <f>+'ANEXO F'!C129</f>
        <v>477.71</v>
      </c>
      <c r="EC197" s="659">
        <f>+'ANEXO F'!D129</f>
        <v>482.94</v>
      </c>
      <c r="ED197" s="659">
        <f>+'ANEXO F'!E129</f>
        <v>484.44</v>
      </c>
      <c r="EE197" s="659">
        <f>+'ANEXO F'!F129</f>
        <v>505.06</v>
      </c>
      <c r="EF197" s="659">
        <f>+'ANEXO F'!G129</f>
        <v>509.45</v>
      </c>
      <c r="EG197" s="659">
        <f>+'ANEXO F'!H129</f>
        <v>515.07000000000005</v>
      </c>
      <c r="EH197" s="659">
        <f>+'ANEXO F'!I129</f>
        <v>548.09</v>
      </c>
      <c r="EI197" s="659">
        <f>+'ANEXO F'!J129</f>
        <v>535.58000000000004</v>
      </c>
      <c r="EJ197" s="659">
        <f>+'ANEXO F'!K129</f>
        <v>541.64</v>
      </c>
      <c r="EK197" s="623">
        <f>+'ANEXO F'!L129</f>
        <v>550.80999999999995</v>
      </c>
      <c r="EL197" s="659">
        <f>+'ANEXO F'!M129</f>
        <v>561.12</v>
      </c>
      <c r="EM197" s="659">
        <f>+'ANEXO F'!N129</f>
        <v>570.05999999999995</v>
      </c>
      <c r="EN197" s="783">
        <f>+'ANEXO F'!C138</f>
        <v>573.30999999999995</v>
      </c>
      <c r="EO197" s="659">
        <f>+'ANEXO F'!D138</f>
        <v>580.30999999999995</v>
      </c>
      <c r="EP197" s="659">
        <f>+'ANEXO F'!E138</f>
        <v>588.64</v>
      </c>
      <c r="EQ197" s="659">
        <f>+'ANEXO F'!F138</f>
        <v>593.65</v>
      </c>
      <c r="ER197" s="659">
        <f>+'ANEXO F'!G138</f>
        <v>606.53</v>
      </c>
      <c r="ES197" s="659">
        <f>+'ANEXO F'!H138</f>
        <v>609.66</v>
      </c>
      <c r="ET197" s="659">
        <f>+'ANEXO F'!I138</f>
        <v>615.97</v>
      </c>
      <c r="EU197" s="659">
        <f>+'ANEXO F'!J138</f>
        <v>627.76</v>
      </c>
      <c r="EV197" s="659">
        <f>+'ANEXO F'!K138</f>
        <v>649.07000000000005</v>
      </c>
      <c r="EW197" s="659">
        <f>+'ANEXO F'!L138</f>
        <v>650.71</v>
      </c>
      <c r="EX197" s="659">
        <f>+'ANEXO F'!M138</f>
        <v>662.57</v>
      </c>
      <c r="EY197" s="659">
        <f>+'ANEXO F'!N138</f>
        <v>675.38</v>
      </c>
      <c r="EZ197" s="783">
        <f>'ANEXO F'!C148</f>
        <v>764.53</v>
      </c>
      <c r="FA197" s="659">
        <f>'ANEXO F'!D148</f>
        <v>777.32</v>
      </c>
      <c r="FB197" s="659">
        <f>'ANEXO F'!E148</f>
        <v>794.15</v>
      </c>
      <c r="FC197" s="659">
        <f>'ANEXO F'!F148</f>
        <v>812.26</v>
      </c>
      <c r="FD197" s="659">
        <f>'ANEXO F'!G148</f>
        <v>819.74</v>
      </c>
      <c r="FE197" s="659">
        <f>'ANEXO F'!H148</f>
        <v>833.91</v>
      </c>
      <c r="FF197" s="659">
        <f>'ANEXO F'!I148</f>
        <v>838.66</v>
      </c>
      <c r="FG197" s="659">
        <f>'ANEXO F'!J148</f>
        <v>854.51</v>
      </c>
      <c r="FH197" s="659">
        <f>'ANEXO F'!K148</f>
        <v>871.93</v>
      </c>
      <c r="FI197" s="659">
        <f>'ANEXO F'!L148</f>
        <v>880.33</v>
      </c>
      <c r="FJ197" s="659">
        <f>'ANEXO F'!M148</f>
        <v>893.43</v>
      </c>
      <c r="FK197" s="897">
        <f>'ANEXO F'!N148</f>
        <v>900.71</v>
      </c>
      <c r="FL197" s="660">
        <f>'ANEXO F'!C158</f>
        <v>911.72</v>
      </c>
      <c r="FM197" s="623">
        <f>'ANEXO F'!D158</f>
        <v>918.74</v>
      </c>
      <c r="FN197" s="623">
        <f>'ANEXO F'!E158</f>
        <v>940.31</v>
      </c>
      <c r="FO197" s="623">
        <f>'ANEXO F'!F158</f>
        <v>950.54</v>
      </c>
      <c r="FP197" s="623">
        <f>'ANEXO F'!G158</f>
        <v>964.47</v>
      </c>
      <c r="FQ197" s="623">
        <f>'ANEXO F'!H158</f>
        <v>993.17</v>
      </c>
      <c r="FR197" s="623">
        <f>'ANEXO F'!I158</f>
        <v>1000.74</v>
      </c>
      <c r="FS197" s="623">
        <f>'ANEXO F'!J158</f>
        <v>1022.23</v>
      </c>
      <c r="FT197" s="623">
        <f>'ANEXO F'!K158</f>
        <v>1031.6400000000001</v>
      </c>
      <c r="FU197" s="897">
        <f>'ANEXO F'!L158</f>
        <v>1044.51</v>
      </c>
      <c r="FV197" s="1167">
        <f t="shared" si="3"/>
        <v>1.0124752820751424</v>
      </c>
    </row>
    <row r="198" spans="1:178" s="115" customFormat="1" ht="10.5" customHeight="1">
      <c r="A198" s="1546">
        <v>1</v>
      </c>
      <c r="B198" s="408"/>
      <c r="C198" s="622"/>
      <c r="D198" s="622"/>
      <c r="E198" s="621"/>
      <c r="F198" s="621"/>
      <c r="G198" s="621"/>
      <c r="H198" s="621"/>
      <c r="I198" s="631"/>
      <c r="J198" s="676"/>
      <c r="K198" s="669"/>
      <c r="L198" s="665"/>
      <c r="M198" s="625"/>
      <c r="N198" s="625"/>
      <c r="O198" s="625"/>
      <c r="P198" s="625"/>
      <c r="Q198" s="625"/>
      <c r="R198" s="625"/>
      <c r="S198" s="625"/>
      <c r="T198" s="625"/>
      <c r="U198" s="625"/>
      <c r="V198" s="625"/>
      <c r="W198" s="625"/>
      <c r="X198" s="625"/>
      <c r="Y198" s="625"/>
      <c r="Z198" s="625"/>
      <c r="AA198" s="625"/>
      <c r="AB198" s="625"/>
      <c r="AC198" s="625"/>
      <c r="AD198" s="625"/>
      <c r="AE198" s="625"/>
      <c r="AF198" s="625"/>
      <c r="AG198" s="625"/>
      <c r="AH198" s="625"/>
      <c r="AI198" s="764"/>
      <c r="AJ198" s="772"/>
      <c r="AK198" s="625"/>
      <c r="AL198" s="625"/>
      <c r="AM198" s="625"/>
      <c r="AN198" s="625"/>
      <c r="AO198" s="625"/>
      <c r="AP198" s="625"/>
      <c r="AQ198" s="625"/>
      <c r="AR198" s="625"/>
      <c r="AS198" s="625"/>
      <c r="AT198" s="625"/>
      <c r="AU198" s="764"/>
      <c r="AV198" s="752"/>
      <c r="AW198" s="626"/>
      <c r="AX198" s="626"/>
      <c r="AY198" s="626"/>
      <c r="AZ198" s="626"/>
      <c r="BA198" s="628"/>
      <c r="BB198" s="628"/>
      <c r="BC198" s="627"/>
      <c r="BD198" s="626"/>
      <c r="BE198" s="627"/>
      <c r="BF198" s="627"/>
      <c r="BG198" s="738"/>
      <c r="BH198" s="660"/>
      <c r="BI198" s="623"/>
      <c r="BJ198" s="623"/>
      <c r="BK198" s="623"/>
      <c r="BL198" s="623"/>
      <c r="BM198" s="623"/>
      <c r="BN198" s="623"/>
      <c r="BO198" s="623"/>
      <c r="BP198" s="623"/>
      <c r="BQ198" s="623"/>
      <c r="BR198" s="623"/>
      <c r="BS198" s="659"/>
      <c r="BT198" s="660"/>
      <c r="BU198" s="623"/>
      <c r="BV198" s="623"/>
      <c r="BW198" s="623"/>
      <c r="BX198" s="623"/>
      <c r="BY198" s="623"/>
      <c r="BZ198" s="623"/>
      <c r="CA198" s="623"/>
      <c r="CB198" s="623"/>
      <c r="CC198" s="623"/>
      <c r="CD198" s="623"/>
      <c r="CE198" s="659"/>
      <c r="CF198" s="660"/>
      <c r="CG198" s="623"/>
      <c r="CH198" s="623"/>
      <c r="CI198" s="623"/>
      <c r="CJ198" s="623"/>
      <c r="CK198" s="623"/>
      <c r="CL198" s="623"/>
      <c r="CM198" s="623"/>
      <c r="CN198" s="623"/>
      <c r="CO198" s="623"/>
      <c r="CP198" s="623"/>
      <c r="CQ198" s="659"/>
      <c r="CR198" s="660"/>
      <c r="CS198" s="623"/>
      <c r="CT198" s="623"/>
      <c r="CU198" s="623"/>
      <c r="CV198" s="623"/>
      <c r="CW198" s="623"/>
      <c r="CX198" s="623"/>
      <c r="CY198" s="623"/>
      <c r="CZ198" s="623"/>
      <c r="DA198" s="623"/>
      <c r="DB198" s="725"/>
      <c r="DC198" s="659"/>
      <c r="DD198" s="783"/>
      <c r="DE198" s="623"/>
      <c r="DF198" s="725"/>
      <c r="DG198" s="659"/>
      <c r="DH198" s="623"/>
      <c r="DI198" s="623"/>
      <c r="DJ198" s="623"/>
      <c r="DK198" s="659"/>
      <c r="DL198" s="623"/>
      <c r="DM198" s="659"/>
      <c r="DN198" s="659"/>
      <c r="DO198" s="897"/>
      <c r="DP198" s="783"/>
      <c r="DQ198" s="659"/>
      <c r="DR198" s="659"/>
      <c r="DS198" s="659"/>
      <c r="DT198" s="623"/>
      <c r="DU198" s="659"/>
      <c r="DV198" s="659"/>
      <c r="DW198" s="659"/>
      <c r="DX198" s="659"/>
      <c r="DY198" s="659"/>
      <c r="DZ198" s="659"/>
      <c r="EA198" s="897"/>
      <c r="EB198" s="659"/>
      <c r="EC198" s="659"/>
      <c r="ED198" s="659"/>
      <c r="EE198" s="659"/>
      <c r="EF198" s="659"/>
      <c r="EG198" s="659"/>
      <c r="EH198" s="659"/>
      <c r="EI198" s="659"/>
      <c r="EJ198" s="659"/>
      <c r="EK198" s="623"/>
      <c r="EL198" s="725"/>
      <c r="EM198" s="659"/>
      <c r="EN198" s="783"/>
      <c r="EO198" s="659"/>
      <c r="EP198" s="659"/>
      <c r="EQ198" s="659"/>
      <c r="ER198" s="659"/>
      <c r="ES198" s="659"/>
      <c r="ET198" s="659"/>
      <c r="EU198" s="659"/>
      <c r="EV198" s="659"/>
      <c r="EW198" s="659"/>
      <c r="EX198" s="659"/>
      <c r="EY198" s="659"/>
      <c r="EZ198" s="783"/>
      <c r="FA198" s="659"/>
      <c r="FB198" s="659"/>
      <c r="FC198" s="659"/>
      <c r="FD198" s="659"/>
      <c r="FE198" s="659"/>
      <c r="FF198" s="659"/>
      <c r="FG198" s="659"/>
      <c r="FH198" s="659"/>
      <c r="FI198" s="659"/>
      <c r="FJ198" s="659"/>
      <c r="FK198" s="897"/>
      <c r="FL198" s="660"/>
      <c r="FM198" s="623"/>
      <c r="FN198" s="623"/>
      <c r="FO198" s="623"/>
      <c r="FP198" s="623"/>
      <c r="FQ198" s="623"/>
      <c r="FR198" s="623"/>
      <c r="FS198" s="623"/>
      <c r="FT198" s="623"/>
      <c r="FU198" s="897"/>
      <c r="FV198" s="1167"/>
    </row>
    <row r="199" spans="1:178" s="115" customFormat="1" ht="9" customHeight="1">
      <c r="A199" s="1546">
        <v>1</v>
      </c>
      <c r="B199" s="408"/>
      <c r="C199" s="622"/>
      <c r="D199" s="622"/>
      <c r="E199" s="621"/>
      <c r="F199" s="621"/>
      <c r="G199" s="621"/>
      <c r="H199" s="621"/>
      <c r="I199" s="631"/>
      <c r="J199" s="676"/>
      <c r="K199" s="669"/>
      <c r="L199" s="665"/>
      <c r="M199" s="625"/>
      <c r="N199" s="625"/>
      <c r="O199" s="625"/>
      <c r="P199" s="625"/>
      <c r="Q199" s="625"/>
      <c r="R199" s="625"/>
      <c r="S199" s="625"/>
      <c r="T199" s="625"/>
      <c r="U199" s="625"/>
      <c r="V199" s="625"/>
      <c r="W199" s="625"/>
      <c r="X199" s="625"/>
      <c r="Y199" s="625"/>
      <c r="Z199" s="625"/>
      <c r="AA199" s="625"/>
      <c r="AB199" s="625"/>
      <c r="AC199" s="625"/>
      <c r="AD199" s="625"/>
      <c r="AE199" s="625"/>
      <c r="AF199" s="625"/>
      <c r="AG199" s="625"/>
      <c r="AH199" s="625"/>
      <c r="AI199" s="764"/>
      <c r="AJ199" s="772"/>
      <c r="AK199" s="625"/>
      <c r="AL199" s="625"/>
      <c r="AM199" s="625"/>
      <c r="AN199" s="625"/>
      <c r="AO199" s="625"/>
      <c r="AP199" s="625"/>
      <c r="AQ199" s="625"/>
      <c r="AR199" s="625"/>
      <c r="AS199" s="625"/>
      <c r="AT199" s="625"/>
      <c r="AU199" s="764"/>
      <c r="AV199" s="752"/>
      <c r="AW199" s="626"/>
      <c r="AX199" s="626"/>
      <c r="AY199" s="626"/>
      <c r="AZ199" s="626"/>
      <c r="BA199" s="628"/>
      <c r="BB199" s="628"/>
      <c r="BC199" s="627"/>
      <c r="BD199" s="626"/>
      <c r="BE199" s="627"/>
      <c r="BF199" s="627"/>
      <c r="BG199" s="738"/>
      <c r="BH199" s="660"/>
      <c r="BI199" s="623"/>
      <c r="BJ199" s="623"/>
      <c r="BK199" s="623"/>
      <c r="BL199" s="623"/>
      <c r="BM199" s="623"/>
      <c r="BN199" s="623"/>
      <c r="BO199" s="623"/>
      <c r="BP199" s="623"/>
      <c r="BQ199" s="623"/>
      <c r="BR199" s="623"/>
      <c r="BS199" s="659"/>
      <c r="BT199" s="660"/>
      <c r="BU199" s="623"/>
      <c r="BV199" s="623"/>
      <c r="BW199" s="623"/>
      <c r="BX199" s="623"/>
      <c r="BY199" s="623"/>
      <c r="BZ199" s="623"/>
      <c r="CA199" s="623"/>
      <c r="CB199" s="623"/>
      <c r="CC199" s="623"/>
      <c r="CD199" s="623"/>
      <c r="CE199" s="659"/>
      <c r="CF199" s="660"/>
      <c r="CG199" s="623"/>
      <c r="CH199" s="623"/>
      <c r="CI199" s="623"/>
      <c r="CJ199" s="623"/>
      <c r="CK199" s="623"/>
      <c r="CL199" s="623"/>
      <c r="CM199" s="623"/>
      <c r="CN199" s="623"/>
      <c r="CO199" s="623"/>
      <c r="CP199" s="623"/>
      <c r="CQ199" s="659"/>
      <c r="CR199" s="660"/>
      <c r="CS199" s="623"/>
      <c r="CT199" s="623"/>
      <c r="CU199" s="623"/>
      <c r="CV199" s="623"/>
      <c r="CW199" s="623"/>
      <c r="CX199" s="623"/>
      <c r="CY199" s="623"/>
      <c r="CZ199" s="623"/>
      <c r="DA199" s="623"/>
      <c r="DB199" s="725"/>
      <c r="DC199" s="659"/>
      <c r="DD199" s="783"/>
      <c r="DE199" s="623"/>
      <c r="DF199" s="725"/>
      <c r="DG199" s="659"/>
      <c r="DH199" s="623"/>
      <c r="DI199" s="623"/>
      <c r="DJ199" s="623"/>
      <c r="DK199" s="659"/>
      <c r="DL199" s="623"/>
      <c r="DM199" s="659"/>
      <c r="DN199" s="659"/>
      <c r="DO199" s="897"/>
      <c r="DP199" s="783"/>
      <c r="DQ199" s="659"/>
      <c r="DR199" s="659"/>
      <c r="DS199" s="659"/>
      <c r="DT199" s="623"/>
      <c r="DU199" s="659"/>
      <c r="DV199" s="659"/>
      <c r="DW199" s="659"/>
      <c r="DX199" s="659"/>
      <c r="DY199" s="659"/>
      <c r="DZ199" s="659"/>
      <c r="EA199" s="897"/>
      <c r="EB199" s="659"/>
      <c r="EC199" s="659"/>
      <c r="ED199" s="659"/>
      <c r="EE199" s="659"/>
      <c r="EF199" s="659"/>
      <c r="EG199" s="659"/>
      <c r="EH199" s="659"/>
      <c r="EI199" s="659"/>
      <c r="EJ199" s="659"/>
      <c r="EK199" s="623"/>
      <c r="EL199" s="725"/>
      <c r="EM199" s="659"/>
      <c r="EN199" s="783"/>
      <c r="EO199" s="659"/>
      <c r="EP199" s="659"/>
      <c r="EQ199" s="659"/>
      <c r="ER199" s="659"/>
      <c r="ES199" s="659"/>
      <c r="ET199" s="659"/>
      <c r="EU199" s="659"/>
      <c r="EV199" s="659"/>
      <c r="EW199" s="659"/>
      <c r="EX199" s="659"/>
      <c r="EY199" s="659"/>
      <c r="EZ199" s="783"/>
      <c r="FA199" s="659"/>
      <c r="FB199" s="659"/>
      <c r="FC199" s="659"/>
      <c r="FD199" s="659"/>
      <c r="FE199" s="659"/>
      <c r="FF199" s="659"/>
      <c r="FG199" s="659"/>
      <c r="FH199" s="659"/>
      <c r="FI199" s="659"/>
      <c r="FJ199" s="659"/>
      <c r="FK199" s="897"/>
      <c r="FL199" s="660"/>
      <c r="FM199" s="623"/>
      <c r="FN199" s="623"/>
      <c r="FO199" s="623"/>
      <c r="FP199" s="623"/>
      <c r="FQ199" s="623"/>
      <c r="FR199" s="623"/>
      <c r="FS199" s="623"/>
      <c r="FT199" s="623"/>
      <c r="FU199" s="897"/>
      <c r="FV199" s="1167"/>
    </row>
    <row r="200" spans="1:178" s="115" customFormat="1" ht="31.5" customHeight="1">
      <c r="A200" s="1546">
        <v>1</v>
      </c>
      <c r="B200" s="408">
        <v>410</v>
      </c>
      <c r="C200" s="622"/>
      <c r="D200" s="622" t="s">
        <v>567</v>
      </c>
      <c r="E200" s="621"/>
      <c r="F200" s="621"/>
      <c r="G200" s="621" t="s">
        <v>191</v>
      </c>
      <c r="H200" s="621"/>
      <c r="I200" s="631" t="s">
        <v>764</v>
      </c>
      <c r="J200" s="676"/>
      <c r="K200" s="669">
        <v>93.2</v>
      </c>
      <c r="L200" s="665">
        <v>93.1</v>
      </c>
      <c r="M200" s="625">
        <v>93.2</v>
      </c>
      <c r="N200" s="625">
        <v>93.5</v>
      </c>
      <c r="O200" s="625">
        <v>94.1</v>
      </c>
      <c r="P200" s="625">
        <v>94.4</v>
      </c>
      <c r="Q200" s="625">
        <v>94.6</v>
      </c>
      <c r="R200" s="625">
        <v>98.8</v>
      </c>
      <c r="S200" s="625">
        <v>100.6</v>
      </c>
      <c r="T200" s="625">
        <v>102.5</v>
      </c>
      <c r="U200" s="625">
        <v>102.3</v>
      </c>
      <c r="V200" s="625">
        <v>102.5</v>
      </c>
      <c r="W200" s="625">
        <v>102.6</v>
      </c>
      <c r="X200" s="625">
        <v>104.1</v>
      </c>
      <c r="Y200" s="625">
        <v>105.5</v>
      </c>
      <c r="Z200" s="625">
        <v>106.6</v>
      </c>
      <c r="AA200" s="625">
        <v>105.4</v>
      </c>
      <c r="AB200" s="625">
        <v>108.7</v>
      </c>
      <c r="AC200" s="625">
        <v>108.7</v>
      </c>
      <c r="AD200" s="625">
        <v>110.8</v>
      </c>
      <c r="AE200" s="625">
        <v>114.2</v>
      </c>
      <c r="AF200" s="625">
        <v>116.2</v>
      </c>
      <c r="AG200" s="625">
        <v>119</v>
      </c>
      <c r="AH200" s="625">
        <v>120.5</v>
      </c>
      <c r="AI200" s="764">
        <v>122.2</v>
      </c>
      <c r="AJ200" s="772">
        <v>127.4</v>
      </c>
      <c r="AK200" s="625">
        <v>130.30000000000001</v>
      </c>
      <c r="AL200" s="625">
        <v>130.5</v>
      </c>
      <c r="AM200" s="625">
        <v>130.80000000000001</v>
      </c>
      <c r="AN200" s="625">
        <v>130.5</v>
      </c>
      <c r="AO200" s="625">
        <v>130</v>
      </c>
      <c r="AP200" s="625">
        <v>133.5</v>
      </c>
      <c r="AQ200" s="625">
        <v>132.4</v>
      </c>
      <c r="AR200" s="625">
        <v>132</v>
      </c>
      <c r="AS200" s="625">
        <v>133</v>
      </c>
      <c r="AT200" s="625">
        <v>132.80000000000001</v>
      </c>
      <c r="AU200" s="764">
        <v>133</v>
      </c>
      <c r="AV200" s="752">
        <v>140.30000000000001</v>
      </c>
      <c r="AW200" s="626">
        <v>140.6</v>
      </c>
      <c r="AX200" s="626">
        <v>141.19999999999999</v>
      </c>
      <c r="AY200" s="626">
        <v>152.6</v>
      </c>
      <c r="AZ200" s="626">
        <v>154.80000000000001</v>
      </c>
      <c r="BA200" s="627">
        <v>156.1</v>
      </c>
      <c r="BB200" s="627">
        <v>156.9</v>
      </c>
      <c r="BC200" s="627">
        <v>158.30000000000001</v>
      </c>
      <c r="BD200" s="626">
        <v>158.9</v>
      </c>
      <c r="BE200" s="627">
        <v>161.80000000000001</v>
      </c>
      <c r="BF200" s="627">
        <v>170.6</v>
      </c>
      <c r="BG200" s="738">
        <v>171.7</v>
      </c>
      <c r="BH200" s="660">
        <v>177.7</v>
      </c>
      <c r="BI200" s="623">
        <v>184.1</v>
      </c>
      <c r="BJ200" s="623">
        <v>185.5</v>
      </c>
      <c r="BK200" s="623">
        <v>189.8</v>
      </c>
      <c r="BL200" s="623">
        <v>191.6</v>
      </c>
      <c r="BM200" s="623">
        <v>204.5</v>
      </c>
      <c r="BN200" s="623">
        <v>206.3</v>
      </c>
      <c r="BO200" s="623">
        <v>207.1</v>
      </c>
      <c r="BP200" s="623">
        <v>216.5</v>
      </c>
      <c r="BQ200" s="623">
        <v>219.4</v>
      </c>
      <c r="BR200" s="623">
        <v>220.8</v>
      </c>
      <c r="BS200" s="659">
        <v>223.6</v>
      </c>
      <c r="BT200" s="660">
        <v>232.5</v>
      </c>
      <c r="BU200" s="623">
        <v>233.1</v>
      </c>
      <c r="BV200" s="623">
        <v>232.7</v>
      </c>
      <c r="BW200" s="623">
        <v>236.3</v>
      </c>
      <c r="BX200" s="623">
        <v>248.7</v>
      </c>
      <c r="BY200" s="623">
        <v>251.9</v>
      </c>
      <c r="BZ200" s="623">
        <v>262</v>
      </c>
      <c r="CA200" s="623">
        <v>263.3</v>
      </c>
      <c r="CB200" s="623">
        <v>265.60000000000002</v>
      </c>
      <c r="CC200" s="623">
        <v>277.7</v>
      </c>
      <c r="CD200" s="623">
        <v>272.60000000000002</v>
      </c>
      <c r="CE200" s="659">
        <v>275</v>
      </c>
      <c r="CF200" s="660">
        <v>275</v>
      </c>
      <c r="CG200" s="623">
        <v>275.89999999999998</v>
      </c>
      <c r="CH200" s="623">
        <v>276.60000000000002</v>
      </c>
      <c r="CI200" s="623">
        <v>277.5</v>
      </c>
      <c r="CJ200" s="623">
        <v>302.3</v>
      </c>
      <c r="CK200" s="623">
        <v>297.39999999999998</v>
      </c>
      <c r="CL200" s="623">
        <v>312.39999999999998</v>
      </c>
      <c r="CM200" s="623">
        <v>310.39999999999998</v>
      </c>
      <c r="CN200" s="623">
        <v>318.7</v>
      </c>
      <c r="CO200" s="623">
        <v>319.7</v>
      </c>
      <c r="CP200" s="623">
        <v>320.10000000000002</v>
      </c>
      <c r="CQ200" s="659">
        <v>320.2</v>
      </c>
      <c r="CR200" s="660">
        <v>322.5</v>
      </c>
      <c r="CS200" s="623">
        <v>324.39999999999998</v>
      </c>
      <c r="CT200" s="623">
        <v>324.2</v>
      </c>
      <c r="CU200" s="623">
        <v>327.2</v>
      </c>
      <c r="CV200" s="623">
        <v>329.9</v>
      </c>
      <c r="CW200" s="623">
        <v>347.3</v>
      </c>
      <c r="CX200" s="623">
        <v>351.2</v>
      </c>
      <c r="CY200" s="623">
        <v>352</v>
      </c>
      <c r="CZ200" s="623">
        <v>351.2</v>
      </c>
      <c r="DA200" s="623">
        <v>367.5</v>
      </c>
      <c r="DB200" s="725">
        <v>373.2</v>
      </c>
      <c r="DC200" s="659">
        <v>374.6</v>
      </c>
      <c r="DD200" s="783">
        <v>375.2</v>
      </c>
      <c r="DE200" s="623">
        <v>385.6</v>
      </c>
      <c r="DF200" s="725">
        <v>407.9</v>
      </c>
      <c r="DG200" s="659">
        <v>384.3</v>
      </c>
      <c r="DH200" s="623">
        <v>416.4</v>
      </c>
      <c r="DI200" s="623">
        <v>420.2</v>
      </c>
      <c r="DJ200" s="623">
        <v>428.4</v>
      </c>
      <c r="DK200" s="659">
        <v>440.5</v>
      </c>
      <c r="DL200" s="623">
        <v>445.4</v>
      </c>
      <c r="DM200" s="659">
        <v>450.6</v>
      </c>
      <c r="DN200" s="659">
        <v>453.1</v>
      </c>
      <c r="DO200" s="897">
        <v>472.5</v>
      </c>
      <c r="DP200" s="783">
        <v>503.1</v>
      </c>
      <c r="DQ200" s="659">
        <v>512.9</v>
      </c>
      <c r="DR200" s="659">
        <v>518.6</v>
      </c>
      <c r="DS200" s="659">
        <v>526.4</v>
      </c>
      <c r="DT200" s="623">
        <v>528.20000000000005</v>
      </c>
      <c r="DU200" s="659">
        <v>521.79999999999995</v>
      </c>
      <c r="DV200" s="659">
        <v>532.29999999999995</v>
      </c>
      <c r="DW200" s="659">
        <v>547.29999999999995</v>
      </c>
      <c r="DX200" s="659">
        <v>555.29999999999995</v>
      </c>
      <c r="DY200" s="659">
        <v>567.4</v>
      </c>
      <c r="DZ200" s="659">
        <v>585.29999999999995</v>
      </c>
      <c r="EA200" s="897">
        <v>589.6</v>
      </c>
      <c r="EB200" s="659">
        <v>631</v>
      </c>
      <c r="EC200" s="659">
        <v>635.4</v>
      </c>
      <c r="ED200" s="659">
        <v>639.9</v>
      </c>
      <c r="EE200" s="659">
        <v>643.20000000000005</v>
      </c>
      <c r="EF200" s="659">
        <v>595</v>
      </c>
      <c r="EG200" s="659">
        <v>595</v>
      </c>
      <c r="EH200" s="659">
        <v>748.4</v>
      </c>
      <c r="EI200" s="659">
        <v>759.7</v>
      </c>
      <c r="EJ200" s="659">
        <v>760.3</v>
      </c>
      <c r="EK200" s="623">
        <v>760.2</v>
      </c>
      <c r="EL200" s="725">
        <v>782.4</v>
      </c>
      <c r="EM200" s="659">
        <v>779.5</v>
      </c>
      <c r="EN200" s="783">
        <v>780.4</v>
      </c>
      <c r="EO200" s="659">
        <v>782</v>
      </c>
      <c r="EP200" s="659">
        <v>793.2</v>
      </c>
      <c r="EQ200" s="659">
        <v>822.5</v>
      </c>
      <c r="ER200" s="659">
        <v>820.2</v>
      </c>
      <c r="ES200" s="659">
        <v>914.7</v>
      </c>
      <c r="ET200" s="659">
        <v>909.7</v>
      </c>
      <c r="EU200" s="659">
        <v>915</v>
      </c>
      <c r="EV200" s="659">
        <v>960</v>
      </c>
      <c r="EW200" s="659">
        <v>961.2</v>
      </c>
      <c r="EX200" s="659">
        <v>960.9</v>
      </c>
      <c r="EY200" s="659">
        <v>963.7</v>
      </c>
      <c r="EZ200" s="783">
        <v>965.5</v>
      </c>
      <c r="FA200" s="659">
        <v>970.1</v>
      </c>
      <c r="FB200" s="659">
        <v>970.6</v>
      </c>
      <c r="FC200" s="659">
        <v>1084.7</v>
      </c>
      <c r="FD200" s="659">
        <v>1112.2</v>
      </c>
      <c r="FE200" s="659">
        <v>1111.8</v>
      </c>
      <c r="FF200" s="659">
        <v>1192.4000000000001</v>
      </c>
      <c r="FG200" s="659">
        <v>1224.8</v>
      </c>
      <c r="FH200" s="659">
        <v>1231.9000000000001</v>
      </c>
      <c r="FI200" s="659">
        <v>1238.4000000000001</v>
      </c>
      <c r="FJ200" s="659">
        <v>1237.0999999999999</v>
      </c>
      <c r="FK200" s="897">
        <v>1252.2</v>
      </c>
      <c r="FL200" s="660">
        <v>1255.7</v>
      </c>
      <c r="FM200" s="623">
        <v>1257.0999999999999</v>
      </c>
      <c r="FN200" s="623">
        <v>1267.5999999999999</v>
      </c>
      <c r="FO200" s="623">
        <v>1270.9000000000001</v>
      </c>
      <c r="FP200" s="623">
        <v>1410.1</v>
      </c>
      <c r="FQ200" s="623">
        <v>1427.5</v>
      </c>
      <c r="FR200" s="623">
        <v>1448</v>
      </c>
      <c r="FS200" s="623">
        <v>1542.3</v>
      </c>
      <c r="FT200" s="623">
        <v>1579.2</v>
      </c>
      <c r="FU200" s="897">
        <v>1582.7</v>
      </c>
      <c r="FV200" s="1167">
        <f t="shared" si="3"/>
        <v>1.0022163120567376</v>
      </c>
    </row>
    <row r="201" spans="1:178" s="115" customFormat="1" ht="31.5" customHeight="1">
      <c r="A201" s="1546">
        <v>1</v>
      </c>
      <c r="B201" s="408">
        <v>411</v>
      </c>
      <c r="C201" s="622"/>
      <c r="D201" s="622" t="s">
        <v>373</v>
      </c>
      <c r="E201" s="621"/>
      <c r="F201" s="621"/>
      <c r="G201" s="621" t="s">
        <v>942</v>
      </c>
      <c r="H201" s="621"/>
      <c r="I201" s="631" t="s">
        <v>766</v>
      </c>
      <c r="J201" s="676" t="s">
        <v>374</v>
      </c>
      <c r="K201" s="669">
        <v>96.7</v>
      </c>
      <c r="L201" s="665">
        <v>98.1</v>
      </c>
      <c r="M201" s="625">
        <v>99.5</v>
      </c>
      <c r="N201" s="625">
        <v>100.2</v>
      </c>
      <c r="O201" s="625">
        <v>105</v>
      </c>
      <c r="P201" s="625">
        <v>107.1</v>
      </c>
      <c r="Q201" s="625">
        <v>110</v>
      </c>
      <c r="R201" s="625">
        <v>115</v>
      </c>
      <c r="S201" s="625">
        <v>118.3</v>
      </c>
      <c r="T201" s="625">
        <v>120</v>
      </c>
      <c r="U201" s="625">
        <v>120.5</v>
      </c>
      <c r="V201" s="625">
        <v>121</v>
      </c>
      <c r="W201" s="625">
        <v>121.2</v>
      </c>
      <c r="X201" s="625">
        <v>123.8</v>
      </c>
      <c r="Y201" s="625">
        <v>125</v>
      </c>
      <c r="Z201" s="625">
        <v>126.7</v>
      </c>
      <c r="AA201" s="625">
        <v>126.7</v>
      </c>
      <c r="AB201" s="625">
        <v>129.4</v>
      </c>
      <c r="AC201" s="625">
        <v>130.1</v>
      </c>
      <c r="AD201" s="625">
        <v>130.5</v>
      </c>
      <c r="AE201" s="625">
        <v>130.9</v>
      </c>
      <c r="AF201" s="625">
        <v>131.80000000000001</v>
      </c>
      <c r="AG201" s="625">
        <v>133.1</v>
      </c>
      <c r="AH201" s="625">
        <v>133.9</v>
      </c>
      <c r="AI201" s="764">
        <v>134.80000000000001</v>
      </c>
      <c r="AJ201" s="772">
        <v>136.6</v>
      </c>
      <c r="AK201" s="625">
        <v>138.80000000000001</v>
      </c>
      <c r="AL201" s="625">
        <v>139</v>
      </c>
      <c r="AM201" s="625">
        <v>140.19999999999999</v>
      </c>
      <c r="AN201" s="625">
        <v>140.69999999999999</v>
      </c>
      <c r="AO201" s="625">
        <v>141</v>
      </c>
      <c r="AP201" s="625">
        <v>142.4</v>
      </c>
      <c r="AQ201" s="625">
        <v>142.69999999999999</v>
      </c>
      <c r="AR201" s="625">
        <v>144</v>
      </c>
      <c r="AS201" s="625">
        <v>144.80000000000001</v>
      </c>
      <c r="AT201" s="625">
        <v>145.80000000000001</v>
      </c>
      <c r="AU201" s="764">
        <v>147.19999999999999</v>
      </c>
      <c r="AV201" s="752">
        <v>152.6</v>
      </c>
      <c r="AW201" s="626">
        <v>154.19999999999999</v>
      </c>
      <c r="AX201" s="626">
        <v>156.6</v>
      </c>
      <c r="AY201" s="626">
        <v>161.19999999999999</v>
      </c>
      <c r="AZ201" s="626">
        <v>162.19999999999999</v>
      </c>
      <c r="BA201" s="626">
        <v>163.4</v>
      </c>
      <c r="BB201" s="626">
        <v>164.4</v>
      </c>
      <c r="BC201" s="626">
        <v>166.8</v>
      </c>
      <c r="BD201" s="626">
        <v>167.5</v>
      </c>
      <c r="BE201" s="626">
        <v>169</v>
      </c>
      <c r="BF201" s="626">
        <v>171.4</v>
      </c>
      <c r="BG201" s="749">
        <v>171.9</v>
      </c>
      <c r="BH201" s="660">
        <v>174.7</v>
      </c>
      <c r="BI201" s="623">
        <v>176.7</v>
      </c>
      <c r="BJ201" s="623">
        <v>177.7</v>
      </c>
      <c r="BK201" s="623">
        <v>179.7</v>
      </c>
      <c r="BL201" s="623">
        <v>180.5</v>
      </c>
      <c r="BM201" s="623">
        <v>186.4</v>
      </c>
      <c r="BN201" s="623">
        <v>188.2</v>
      </c>
      <c r="BO201" s="623">
        <v>190.4</v>
      </c>
      <c r="BP201" s="623">
        <v>191.8</v>
      </c>
      <c r="BQ201" s="623">
        <v>193.8</v>
      </c>
      <c r="BR201" s="623">
        <v>195.2</v>
      </c>
      <c r="BS201" s="659">
        <v>196.7</v>
      </c>
      <c r="BT201" s="660">
        <v>198.6</v>
      </c>
      <c r="BU201" s="623">
        <v>207.4</v>
      </c>
      <c r="BV201" s="623">
        <v>208.8</v>
      </c>
      <c r="BW201" s="623">
        <v>209.8</v>
      </c>
      <c r="BX201" s="623">
        <v>217.8</v>
      </c>
      <c r="BY201" s="623">
        <v>222.4</v>
      </c>
      <c r="BZ201" s="623">
        <v>226.8</v>
      </c>
      <c r="CA201" s="623">
        <v>229.9</v>
      </c>
      <c r="CB201" s="623">
        <v>231.4</v>
      </c>
      <c r="CC201" s="623">
        <v>235.9</v>
      </c>
      <c r="CD201" s="623">
        <v>235.8</v>
      </c>
      <c r="CE201" s="659">
        <v>236.8</v>
      </c>
      <c r="CF201" s="660">
        <v>241.8</v>
      </c>
      <c r="CG201" s="623">
        <v>245.2</v>
      </c>
      <c r="CH201" s="623">
        <v>247</v>
      </c>
      <c r="CI201" s="623">
        <v>251</v>
      </c>
      <c r="CJ201" s="623">
        <v>261.2</v>
      </c>
      <c r="CK201" s="623">
        <v>260.8</v>
      </c>
      <c r="CL201" s="623">
        <v>270.39999999999998</v>
      </c>
      <c r="CM201" s="623">
        <v>274.3</v>
      </c>
      <c r="CN201" s="623">
        <v>279.39999999999998</v>
      </c>
      <c r="CO201" s="623">
        <v>280</v>
      </c>
      <c r="CP201" s="623">
        <v>281.60000000000002</v>
      </c>
      <c r="CQ201" s="659">
        <v>283.60000000000002</v>
      </c>
      <c r="CR201" s="660">
        <v>285.7</v>
      </c>
      <c r="CS201" s="623">
        <v>287.7</v>
      </c>
      <c r="CT201" s="623">
        <v>290.3</v>
      </c>
      <c r="CU201" s="623">
        <v>291.89999999999998</v>
      </c>
      <c r="CV201" s="623">
        <v>296.39999999999998</v>
      </c>
      <c r="CW201" s="623">
        <v>300.3</v>
      </c>
      <c r="CX201" s="623">
        <v>302.5</v>
      </c>
      <c r="CY201" s="623">
        <v>307.7</v>
      </c>
      <c r="CZ201" s="623">
        <v>309.60000000000002</v>
      </c>
      <c r="DA201" s="623">
        <v>315.10000000000002</v>
      </c>
      <c r="DB201" s="725">
        <v>319</v>
      </c>
      <c r="DC201" s="659">
        <v>319.7</v>
      </c>
      <c r="DD201" s="783">
        <v>321.39999999999998</v>
      </c>
      <c r="DE201" s="623">
        <v>326.2</v>
      </c>
      <c r="DF201" s="725">
        <v>337.5</v>
      </c>
      <c r="DG201" s="659">
        <v>331.1</v>
      </c>
      <c r="DH201" s="623">
        <v>349.2</v>
      </c>
      <c r="DI201" s="623">
        <v>354.1</v>
      </c>
      <c r="DJ201" s="623">
        <v>354.4</v>
      </c>
      <c r="DK201" s="659">
        <v>361.3</v>
      </c>
      <c r="DL201" s="623">
        <v>363.8</v>
      </c>
      <c r="DM201" s="659">
        <v>375.6</v>
      </c>
      <c r="DN201" s="659">
        <v>377.7</v>
      </c>
      <c r="DO201" s="897">
        <v>386.3</v>
      </c>
      <c r="DP201" s="783">
        <v>409</v>
      </c>
      <c r="DQ201" s="659">
        <v>416.9</v>
      </c>
      <c r="DR201" s="659">
        <v>421.1</v>
      </c>
      <c r="DS201" s="659">
        <v>430.5</v>
      </c>
      <c r="DT201" s="623">
        <v>436.9</v>
      </c>
      <c r="DU201" s="659">
        <v>434.7</v>
      </c>
      <c r="DV201" s="659">
        <v>447.3</v>
      </c>
      <c r="DW201" s="659">
        <v>454.2</v>
      </c>
      <c r="DX201" s="659">
        <v>470.2</v>
      </c>
      <c r="DY201" s="659">
        <v>477.5</v>
      </c>
      <c r="DZ201" s="659">
        <v>479.1</v>
      </c>
      <c r="EA201" s="897">
        <v>504.2</v>
      </c>
      <c r="EB201" s="659">
        <v>540.20000000000005</v>
      </c>
      <c r="EC201" s="659">
        <v>547.1</v>
      </c>
      <c r="ED201" s="659">
        <v>548.70000000000005</v>
      </c>
      <c r="EE201" s="659">
        <v>564.5</v>
      </c>
      <c r="EF201" s="659">
        <v>543.1</v>
      </c>
      <c r="EG201" s="659">
        <v>581.5</v>
      </c>
      <c r="EH201" s="659">
        <v>603.5</v>
      </c>
      <c r="EI201" s="659">
        <v>618.6</v>
      </c>
      <c r="EJ201" s="659">
        <v>624.1</v>
      </c>
      <c r="EK201" s="623">
        <v>625.6</v>
      </c>
      <c r="EL201" s="725">
        <v>628</v>
      </c>
      <c r="EM201" s="659">
        <v>633.1</v>
      </c>
      <c r="EN201" s="783">
        <v>637.70000000000005</v>
      </c>
      <c r="EO201" s="659">
        <v>653.5</v>
      </c>
      <c r="EP201" s="659">
        <v>660.4</v>
      </c>
      <c r="EQ201" s="659">
        <v>689</v>
      </c>
      <c r="ER201" s="659">
        <v>702.3</v>
      </c>
      <c r="ES201" s="659">
        <v>739.4</v>
      </c>
      <c r="ET201" s="659">
        <v>724.5</v>
      </c>
      <c r="EU201" s="659">
        <v>734.5</v>
      </c>
      <c r="EV201" s="659">
        <v>748</v>
      </c>
      <c r="EW201" s="659">
        <v>753.7</v>
      </c>
      <c r="EX201" s="659">
        <v>757.7</v>
      </c>
      <c r="EY201" s="659">
        <v>766.2</v>
      </c>
      <c r="EZ201" s="783">
        <v>777.3</v>
      </c>
      <c r="FA201" s="659">
        <v>818.7</v>
      </c>
      <c r="FB201" s="659">
        <v>835.6</v>
      </c>
      <c r="FC201" s="659">
        <v>902.9</v>
      </c>
      <c r="FD201" s="659">
        <v>912.3</v>
      </c>
      <c r="FE201" s="659">
        <v>931.4</v>
      </c>
      <c r="FF201" s="659">
        <v>958.5</v>
      </c>
      <c r="FG201" s="659">
        <v>990.4</v>
      </c>
      <c r="FH201" s="659">
        <v>994.4</v>
      </c>
      <c r="FI201" s="659">
        <v>1001.3</v>
      </c>
      <c r="FJ201" s="659">
        <v>1012.6</v>
      </c>
      <c r="FK201" s="897">
        <v>1012.3</v>
      </c>
      <c r="FL201" s="660">
        <v>1033.3</v>
      </c>
      <c r="FM201" s="623">
        <v>1043.9000000000001</v>
      </c>
      <c r="FN201" s="623">
        <v>1046.5999999999999</v>
      </c>
      <c r="FO201" s="623">
        <v>1059.5</v>
      </c>
      <c r="FP201" s="623">
        <v>1129.0999999999999</v>
      </c>
      <c r="FQ201" s="623">
        <v>1138.8</v>
      </c>
      <c r="FR201" s="623">
        <v>1155.8</v>
      </c>
      <c r="FS201" s="623">
        <v>1196.5</v>
      </c>
      <c r="FT201" s="623">
        <v>1209.3</v>
      </c>
      <c r="FU201" s="897">
        <v>1239.4000000000001</v>
      </c>
      <c r="FV201" s="1167">
        <f t="shared" si="3"/>
        <v>1.0248904324816011</v>
      </c>
    </row>
    <row r="202" spans="1:178" s="115" customFormat="1" ht="10.5" customHeight="1">
      <c r="A202" s="1546">
        <v>1</v>
      </c>
      <c r="B202" s="408"/>
      <c r="C202" s="622"/>
      <c r="D202" s="622"/>
      <c r="E202" s="621"/>
      <c r="F202" s="621"/>
      <c r="G202" s="621"/>
      <c r="H202" s="621"/>
      <c r="I202" s="631"/>
      <c r="J202" s="676"/>
      <c r="K202" s="669"/>
      <c r="L202" s="665"/>
      <c r="M202" s="625"/>
      <c r="N202" s="625"/>
      <c r="O202" s="625"/>
      <c r="P202" s="625"/>
      <c r="Q202" s="625"/>
      <c r="R202" s="625"/>
      <c r="S202" s="625"/>
      <c r="T202" s="625"/>
      <c r="U202" s="625"/>
      <c r="V202" s="625"/>
      <c r="W202" s="625"/>
      <c r="X202" s="625"/>
      <c r="Y202" s="625"/>
      <c r="Z202" s="625"/>
      <c r="AA202" s="625"/>
      <c r="AB202" s="625"/>
      <c r="AC202" s="625"/>
      <c r="AD202" s="625"/>
      <c r="AE202" s="625"/>
      <c r="AF202" s="625"/>
      <c r="AG202" s="625"/>
      <c r="AH202" s="625"/>
      <c r="AI202" s="764"/>
      <c r="AJ202" s="772"/>
      <c r="AK202" s="625"/>
      <c r="AL202" s="625"/>
      <c r="AM202" s="625"/>
      <c r="AN202" s="625"/>
      <c r="AO202" s="625"/>
      <c r="AP202" s="625"/>
      <c r="AQ202" s="625"/>
      <c r="AR202" s="625"/>
      <c r="AS202" s="625"/>
      <c r="AT202" s="625"/>
      <c r="AU202" s="764"/>
      <c r="AV202" s="752"/>
      <c r="AW202" s="626"/>
      <c r="AX202" s="626"/>
      <c r="AY202" s="626"/>
      <c r="AZ202" s="626"/>
      <c r="BA202" s="628"/>
      <c r="BB202" s="628"/>
      <c r="BC202" s="627"/>
      <c r="BD202" s="626"/>
      <c r="BE202" s="627"/>
      <c r="BF202" s="627"/>
      <c r="BG202" s="738"/>
      <c r="BH202" s="660"/>
      <c r="BI202" s="623"/>
      <c r="BJ202" s="623"/>
      <c r="BK202" s="623"/>
      <c r="BL202" s="623"/>
      <c r="BM202" s="623"/>
      <c r="BN202" s="623"/>
      <c r="BO202" s="623"/>
      <c r="BP202" s="623"/>
      <c r="BQ202" s="623"/>
      <c r="BR202" s="623"/>
      <c r="BS202" s="659"/>
      <c r="BT202" s="660"/>
      <c r="BU202" s="623"/>
      <c r="BV202" s="623"/>
      <c r="BW202" s="623"/>
      <c r="BX202" s="623"/>
      <c r="BY202" s="623"/>
      <c r="BZ202" s="623"/>
      <c r="CA202" s="623"/>
      <c r="CB202" s="623"/>
      <c r="CC202" s="623"/>
      <c r="CD202" s="623"/>
      <c r="CE202" s="659"/>
      <c r="CF202" s="660"/>
      <c r="CG202" s="623"/>
      <c r="CH202" s="623"/>
      <c r="CI202" s="623"/>
      <c r="CJ202" s="623"/>
      <c r="CK202" s="623"/>
      <c r="CL202" s="623"/>
      <c r="CM202" s="623"/>
      <c r="CN202" s="623"/>
      <c r="CO202" s="623"/>
      <c r="CP202" s="623"/>
      <c r="CQ202" s="659"/>
      <c r="CR202" s="660"/>
      <c r="CS202" s="623"/>
      <c r="CT202" s="623"/>
      <c r="CU202" s="623"/>
      <c r="CV202" s="623"/>
      <c r="CW202" s="623"/>
      <c r="CX202" s="623"/>
      <c r="CY202" s="623"/>
      <c r="CZ202" s="623"/>
      <c r="DA202" s="623"/>
      <c r="DB202" s="725"/>
      <c r="DC202" s="659"/>
      <c r="DD202" s="783"/>
      <c r="DE202" s="623"/>
      <c r="DF202" s="725"/>
      <c r="DG202" s="659"/>
      <c r="DH202" s="623"/>
      <c r="DI202" s="623"/>
      <c r="DJ202" s="623"/>
      <c r="DK202" s="659"/>
      <c r="DL202" s="623"/>
      <c r="DM202" s="659"/>
      <c r="DN202" s="659"/>
      <c r="DO202" s="897"/>
      <c r="DP202" s="783"/>
      <c r="DQ202" s="659"/>
      <c r="DR202" s="659"/>
      <c r="DS202" s="659"/>
      <c r="DT202" s="623"/>
      <c r="DU202" s="659"/>
      <c r="DV202" s="659"/>
      <c r="DW202" s="659"/>
      <c r="DX202" s="659"/>
      <c r="DY202" s="659"/>
      <c r="DZ202" s="659"/>
      <c r="EA202" s="897"/>
      <c r="EB202" s="659"/>
      <c r="EC202" s="659"/>
      <c r="ED202" s="659"/>
      <c r="EE202" s="659"/>
      <c r="EF202" s="659"/>
      <c r="EG202" s="659"/>
      <c r="EH202" s="659"/>
      <c r="EI202" s="659"/>
      <c r="EJ202" s="659"/>
      <c r="EK202" s="623"/>
      <c r="EL202" s="725"/>
      <c r="EM202" s="659"/>
      <c r="EN202" s="783"/>
      <c r="EO202" s="659"/>
      <c r="EP202" s="659"/>
      <c r="EQ202" s="659"/>
      <c r="ER202" s="659"/>
      <c r="ES202" s="659"/>
      <c r="ET202" s="659"/>
      <c r="EU202" s="659"/>
      <c r="EV202" s="659"/>
      <c r="EW202" s="659"/>
      <c r="EX202" s="659"/>
      <c r="EY202" s="659"/>
      <c r="EZ202" s="783"/>
      <c r="FA202" s="659"/>
      <c r="FB202" s="659"/>
      <c r="FC202" s="659"/>
      <c r="FD202" s="659"/>
      <c r="FE202" s="659"/>
      <c r="FF202" s="659"/>
      <c r="FG202" s="659"/>
      <c r="FH202" s="659"/>
      <c r="FI202" s="659"/>
      <c r="FJ202" s="659"/>
      <c r="FK202" s="897"/>
      <c r="FL202" s="660"/>
      <c r="FM202" s="623"/>
      <c r="FN202" s="623"/>
      <c r="FO202" s="623"/>
      <c r="FP202" s="623"/>
      <c r="FQ202" s="623"/>
      <c r="FR202" s="623"/>
      <c r="FS202" s="623"/>
      <c r="FT202" s="623"/>
      <c r="FU202" s="897"/>
      <c r="FV202" s="1167"/>
    </row>
    <row r="203" spans="1:178" s="115" customFormat="1" ht="11.25" customHeight="1">
      <c r="A203" s="1546">
        <v>1</v>
      </c>
      <c r="B203" s="644"/>
      <c r="C203" s="646"/>
      <c r="D203" s="646"/>
      <c r="E203" s="645"/>
      <c r="F203" s="645"/>
      <c r="G203" s="645"/>
      <c r="H203" s="645"/>
      <c r="I203" s="892"/>
      <c r="J203" s="893"/>
      <c r="K203" s="877"/>
      <c r="L203" s="878"/>
      <c r="M203" s="879"/>
      <c r="N203" s="879"/>
      <c r="O203" s="879"/>
      <c r="P203" s="879"/>
      <c r="Q203" s="879"/>
      <c r="R203" s="879"/>
      <c r="S203" s="879"/>
      <c r="T203" s="879"/>
      <c r="U203" s="879"/>
      <c r="V203" s="879"/>
      <c r="W203" s="879"/>
      <c r="X203" s="879"/>
      <c r="Y203" s="879"/>
      <c r="Z203" s="879"/>
      <c r="AA203" s="879"/>
      <c r="AB203" s="879"/>
      <c r="AC203" s="879"/>
      <c r="AD203" s="879"/>
      <c r="AE203" s="879"/>
      <c r="AF203" s="879"/>
      <c r="AG203" s="879"/>
      <c r="AH203" s="879"/>
      <c r="AI203" s="880"/>
      <c r="AJ203" s="881"/>
      <c r="AK203" s="879"/>
      <c r="AL203" s="879"/>
      <c r="AM203" s="879"/>
      <c r="AN203" s="879"/>
      <c r="AO203" s="879"/>
      <c r="AP203" s="879"/>
      <c r="AQ203" s="879"/>
      <c r="AR203" s="879"/>
      <c r="AS203" s="879"/>
      <c r="AT203" s="879"/>
      <c r="AU203" s="880"/>
      <c r="AV203" s="882"/>
      <c r="AW203" s="883"/>
      <c r="AX203" s="883"/>
      <c r="AY203" s="883"/>
      <c r="AZ203" s="883"/>
      <c r="BA203" s="894"/>
      <c r="BB203" s="894"/>
      <c r="BC203" s="884"/>
      <c r="BD203" s="883"/>
      <c r="BE203" s="884"/>
      <c r="BF203" s="884"/>
      <c r="BG203" s="885"/>
      <c r="BH203" s="886"/>
      <c r="BI203" s="887"/>
      <c r="BJ203" s="887"/>
      <c r="BK203" s="887"/>
      <c r="BL203" s="887"/>
      <c r="BM203" s="887"/>
      <c r="BN203" s="887"/>
      <c r="BO203" s="887"/>
      <c r="BP203" s="887"/>
      <c r="BQ203" s="887"/>
      <c r="BR203" s="887"/>
      <c r="BS203" s="888"/>
      <c r="BT203" s="886"/>
      <c r="BU203" s="887"/>
      <c r="BV203" s="887"/>
      <c r="BW203" s="887"/>
      <c r="BX203" s="887"/>
      <c r="BY203" s="887"/>
      <c r="BZ203" s="887"/>
      <c r="CA203" s="887"/>
      <c r="CB203" s="887"/>
      <c r="CC203" s="887"/>
      <c r="CD203" s="887"/>
      <c r="CE203" s="888"/>
      <c r="CF203" s="886"/>
      <c r="CG203" s="887"/>
      <c r="CH203" s="887"/>
      <c r="CI203" s="887"/>
      <c r="CJ203" s="887"/>
      <c r="CK203" s="887"/>
      <c r="CL203" s="887"/>
      <c r="CM203" s="887"/>
      <c r="CN203" s="887"/>
      <c r="CO203" s="887"/>
      <c r="CP203" s="887"/>
      <c r="CQ203" s="888"/>
      <c r="CR203" s="886"/>
      <c r="CS203" s="887"/>
      <c r="CT203" s="887"/>
      <c r="CU203" s="887"/>
      <c r="CV203" s="887"/>
      <c r="CW203" s="887"/>
      <c r="CX203" s="887"/>
      <c r="CY203" s="887"/>
      <c r="CZ203" s="887"/>
      <c r="DA203" s="887"/>
      <c r="DB203" s="889"/>
      <c r="DC203" s="888"/>
      <c r="DD203" s="890"/>
      <c r="DE203" s="887"/>
      <c r="DF203" s="889"/>
      <c r="DG203" s="888"/>
      <c r="DH203" s="887"/>
      <c r="DI203" s="887"/>
      <c r="DJ203" s="623"/>
      <c r="DK203" s="659"/>
      <c r="DL203" s="623"/>
      <c r="DM203" s="659"/>
      <c r="DN203" s="659"/>
      <c r="DO203" s="897"/>
      <c r="DP203" s="783"/>
      <c r="DQ203" s="659"/>
      <c r="DR203" s="659"/>
      <c r="DS203" s="659"/>
      <c r="DT203" s="623"/>
      <c r="DU203" s="659"/>
      <c r="DV203" s="659"/>
      <c r="DW203" s="659"/>
      <c r="DX203" s="659"/>
      <c r="DY203" s="659"/>
      <c r="DZ203" s="659"/>
      <c r="EA203" s="897"/>
      <c r="EB203" s="659"/>
      <c r="EC203" s="659"/>
      <c r="ED203" s="659"/>
      <c r="EE203" s="659"/>
      <c r="EF203" s="659"/>
      <c r="EG203" s="659"/>
      <c r="EH203" s="659"/>
      <c r="EI203" s="659"/>
      <c r="EJ203" s="659"/>
      <c r="EK203" s="623"/>
      <c r="EL203" s="725"/>
      <c r="EM203" s="659"/>
      <c r="EN203" s="783"/>
      <c r="EO203" s="659"/>
      <c r="EP203" s="659"/>
      <c r="EQ203" s="659"/>
      <c r="ER203" s="659"/>
      <c r="ES203" s="659"/>
      <c r="ET203" s="659"/>
      <c r="EU203" s="659"/>
      <c r="EV203" s="659"/>
      <c r="EW203" s="659"/>
      <c r="EX203" s="659"/>
      <c r="EY203" s="659"/>
      <c r="EZ203" s="783"/>
      <c r="FA203" s="659"/>
      <c r="FB203" s="659"/>
      <c r="FC203" s="659"/>
      <c r="FD203" s="659"/>
      <c r="FE203" s="659"/>
      <c r="FF203" s="659"/>
      <c r="FG203" s="659"/>
      <c r="FH203" s="659"/>
      <c r="FI203" s="659"/>
      <c r="FJ203" s="659"/>
      <c r="FK203" s="897"/>
      <c r="FL203" s="660"/>
      <c r="FM203" s="623"/>
      <c r="FN203" s="623"/>
      <c r="FO203" s="623"/>
      <c r="FP203" s="623"/>
      <c r="FQ203" s="623"/>
      <c r="FR203" s="623"/>
      <c r="FS203" s="623"/>
      <c r="FT203" s="623"/>
      <c r="FU203" s="897"/>
      <c r="FV203" s="1167"/>
    </row>
    <row r="204" spans="1:178" s="115" customFormat="1" ht="19.5" customHeight="1">
      <c r="A204" s="1546">
        <v>1</v>
      </c>
      <c r="B204" s="408">
        <v>500</v>
      </c>
      <c r="C204" s="622"/>
      <c r="D204" s="622" t="s">
        <v>376</v>
      </c>
      <c r="E204" s="622"/>
      <c r="F204" s="622"/>
      <c r="G204" s="621" t="s">
        <v>942</v>
      </c>
      <c r="H204" s="621"/>
      <c r="I204" s="390" t="s">
        <v>222</v>
      </c>
      <c r="J204" s="676" t="s">
        <v>185</v>
      </c>
      <c r="K204" s="669">
        <v>96.5</v>
      </c>
      <c r="L204" s="665">
        <v>101.8</v>
      </c>
      <c r="M204" s="625">
        <v>113.4</v>
      </c>
      <c r="N204" s="625">
        <v>122.4</v>
      </c>
      <c r="O204" s="625">
        <v>136.19999999999999</v>
      </c>
      <c r="P204" s="625">
        <v>146.30000000000001</v>
      </c>
      <c r="Q204" s="625">
        <v>153.5</v>
      </c>
      <c r="R204" s="625">
        <v>158.9</v>
      </c>
      <c r="S204" s="625">
        <v>161.69999999999999</v>
      </c>
      <c r="T204" s="625">
        <v>164.2</v>
      </c>
      <c r="U204" s="625">
        <v>166.3</v>
      </c>
      <c r="V204" s="625">
        <v>167.6</v>
      </c>
      <c r="W204" s="625">
        <v>167.9</v>
      </c>
      <c r="X204" s="625">
        <v>167.3</v>
      </c>
      <c r="Y204" s="625">
        <v>167.1</v>
      </c>
      <c r="Z204" s="625">
        <v>167.5</v>
      </c>
      <c r="AA204" s="625">
        <v>167.6</v>
      </c>
      <c r="AB204" s="625">
        <v>167.5</v>
      </c>
      <c r="AC204" s="625">
        <v>167.7</v>
      </c>
      <c r="AD204" s="625">
        <v>167.9</v>
      </c>
      <c r="AE204" s="625">
        <v>169.2</v>
      </c>
      <c r="AF204" s="625">
        <v>170.6</v>
      </c>
      <c r="AG204" s="625">
        <v>170.9</v>
      </c>
      <c r="AH204" s="625">
        <v>172.5</v>
      </c>
      <c r="AI204" s="764">
        <v>174.4</v>
      </c>
      <c r="AJ204" s="772">
        <v>175.5</v>
      </c>
      <c r="AK204" s="625">
        <v>178.6</v>
      </c>
      <c r="AL204" s="625">
        <v>182.6</v>
      </c>
      <c r="AM204" s="625">
        <v>185.7</v>
      </c>
      <c r="AN204" s="625">
        <v>188.8</v>
      </c>
      <c r="AO204" s="625">
        <v>191.6</v>
      </c>
      <c r="AP204" s="625">
        <v>193.1</v>
      </c>
      <c r="AQ204" s="625">
        <v>194.9</v>
      </c>
      <c r="AR204" s="625">
        <v>195.6</v>
      </c>
      <c r="AS204" s="625">
        <v>197.5</v>
      </c>
      <c r="AT204" s="625">
        <v>198.9</v>
      </c>
      <c r="AU204" s="764">
        <v>200.2</v>
      </c>
      <c r="AV204" s="752">
        <v>202.5</v>
      </c>
      <c r="AW204" s="626">
        <v>204.3</v>
      </c>
      <c r="AX204" s="626">
        <v>206.4</v>
      </c>
      <c r="AY204" s="626">
        <v>207.8</v>
      </c>
      <c r="AZ204" s="626">
        <v>209.4</v>
      </c>
      <c r="BA204" s="626">
        <v>210.2</v>
      </c>
      <c r="BB204" s="626">
        <v>211.2</v>
      </c>
      <c r="BC204" s="627">
        <v>212.8</v>
      </c>
      <c r="BD204" s="626">
        <v>214</v>
      </c>
      <c r="BE204" s="627">
        <v>215.9</v>
      </c>
      <c r="BF204" s="627">
        <v>219</v>
      </c>
      <c r="BG204" s="738">
        <v>221.1</v>
      </c>
      <c r="BH204" s="660">
        <v>223.6</v>
      </c>
      <c r="BI204" s="623">
        <v>226.3</v>
      </c>
      <c r="BJ204" s="623">
        <v>229.5</v>
      </c>
      <c r="BK204" s="623">
        <v>233.2</v>
      </c>
      <c r="BL204" s="623">
        <v>241.6</v>
      </c>
      <c r="BM204" s="623">
        <v>244</v>
      </c>
      <c r="BN204" s="623">
        <v>246.3</v>
      </c>
      <c r="BO204" s="623">
        <v>248</v>
      </c>
      <c r="BP204" s="623">
        <v>249.3</v>
      </c>
      <c r="BQ204" s="623">
        <v>251.7</v>
      </c>
      <c r="BR204" s="623">
        <v>253.4</v>
      </c>
      <c r="BS204" s="659">
        <v>254</v>
      </c>
      <c r="BT204" s="660">
        <v>257.7</v>
      </c>
      <c r="BU204" s="623">
        <v>259.3</v>
      </c>
      <c r="BV204" s="623">
        <v>263.39999999999998</v>
      </c>
      <c r="BW204" s="623">
        <v>268.3</v>
      </c>
      <c r="BX204" s="623">
        <v>273.3</v>
      </c>
      <c r="BY204" s="623">
        <v>278.89999999999998</v>
      </c>
      <c r="BZ204" s="623">
        <v>284.8</v>
      </c>
      <c r="CA204" s="623">
        <v>289.7</v>
      </c>
      <c r="CB204" s="623">
        <v>293.8</v>
      </c>
      <c r="CC204" s="623">
        <v>298.2</v>
      </c>
      <c r="CD204" s="623">
        <v>302.2</v>
      </c>
      <c r="CE204" s="659">
        <v>306.2</v>
      </c>
      <c r="CF204" s="660">
        <v>309.60000000000002</v>
      </c>
      <c r="CG204" s="623">
        <v>312.10000000000002</v>
      </c>
      <c r="CH204" s="623">
        <v>314.89999999999998</v>
      </c>
      <c r="CI204" s="623">
        <v>320.60000000000002</v>
      </c>
      <c r="CJ204" s="623">
        <v>325.5</v>
      </c>
      <c r="CK204" s="623">
        <v>330.4</v>
      </c>
      <c r="CL204" s="623">
        <v>334.1</v>
      </c>
      <c r="CM204" s="623">
        <v>337.3</v>
      </c>
      <c r="CN204" s="623">
        <v>339.4</v>
      </c>
      <c r="CO204" s="623">
        <v>340.3</v>
      </c>
      <c r="CP204" s="623">
        <v>342</v>
      </c>
      <c r="CQ204" s="659">
        <v>341.7</v>
      </c>
      <c r="CR204" s="660">
        <v>342.3</v>
      </c>
      <c r="CS204" s="623">
        <v>342.4</v>
      </c>
      <c r="CT204" s="623">
        <v>344</v>
      </c>
      <c r="CU204" s="623">
        <v>344.9</v>
      </c>
      <c r="CV204" s="623">
        <v>345.8</v>
      </c>
      <c r="CW204" s="623">
        <v>347.4</v>
      </c>
      <c r="CX204" s="623">
        <v>349.2</v>
      </c>
      <c r="CY204" s="623">
        <v>352.5</v>
      </c>
      <c r="CZ204" s="623">
        <v>355.4</v>
      </c>
      <c r="DA204" s="623">
        <v>358.3</v>
      </c>
      <c r="DB204" s="725">
        <v>360.9</v>
      </c>
      <c r="DC204" s="659">
        <v>362.4</v>
      </c>
      <c r="DD204" s="783">
        <v>365.4</v>
      </c>
      <c r="DE204" s="623">
        <v>369.5</v>
      </c>
      <c r="DF204" s="725">
        <v>373.5</v>
      </c>
      <c r="DG204" s="659">
        <v>376.5</v>
      </c>
      <c r="DH204" s="623">
        <v>380.7</v>
      </c>
      <c r="DI204" s="623">
        <v>384.6</v>
      </c>
      <c r="DJ204" s="623">
        <v>388.1</v>
      </c>
      <c r="DK204" s="659">
        <v>391.3</v>
      </c>
      <c r="DL204" s="623">
        <v>394.5</v>
      </c>
      <c r="DM204" s="659">
        <v>398.2</v>
      </c>
      <c r="DN204" s="659">
        <v>401.9</v>
      </c>
      <c r="DO204" s="897">
        <v>405.6</v>
      </c>
      <c r="DP204" s="783">
        <v>408.9</v>
      </c>
      <c r="DQ204" s="659">
        <v>412.2</v>
      </c>
      <c r="DR204" s="659">
        <v>415.7</v>
      </c>
      <c r="DS204" s="659">
        <v>419.1</v>
      </c>
      <c r="DT204" s="623">
        <v>423.2</v>
      </c>
      <c r="DU204" s="659">
        <v>427.6</v>
      </c>
      <c r="DV204" s="659">
        <v>431.8</v>
      </c>
      <c r="DW204" s="659">
        <v>436.3</v>
      </c>
      <c r="DX204" s="659">
        <v>440.3</v>
      </c>
      <c r="DY204" s="659">
        <v>444.7</v>
      </c>
      <c r="DZ204" s="659">
        <v>449.3</v>
      </c>
      <c r="EA204" s="897">
        <v>454</v>
      </c>
      <c r="EB204" s="659">
        <v>458.7</v>
      </c>
      <c r="EC204" s="659">
        <v>464.1</v>
      </c>
      <c r="ED204" s="659">
        <v>469.9</v>
      </c>
      <c r="EE204" s="659">
        <v>475.6</v>
      </c>
      <c r="EF204" s="659">
        <v>480.7</v>
      </c>
      <c r="EG204" s="659">
        <v>486.7</v>
      </c>
      <c r="EH204" s="659">
        <v>492.5</v>
      </c>
      <c r="EI204" s="659">
        <v>498.1</v>
      </c>
      <c r="EJ204" s="659">
        <v>503.7</v>
      </c>
      <c r="EK204" s="623">
        <v>509.8</v>
      </c>
      <c r="EL204" s="725">
        <v>516.1</v>
      </c>
      <c r="EM204" s="659">
        <v>521</v>
      </c>
      <c r="EN204" s="783">
        <v>525.70000000000005</v>
      </c>
      <c r="EO204" s="659">
        <v>532.20000000000005</v>
      </c>
      <c r="EP204" s="659">
        <v>538.79999999999995</v>
      </c>
      <c r="EQ204" s="659">
        <v>545.29999999999995</v>
      </c>
      <c r="ER204" s="659">
        <v>553.20000000000005</v>
      </c>
      <c r="ES204" s="659">
        <v>561.1</v>
      </c>
      <c r="ET204" s="659">
        <v>568</v>
      </c>
      <c r="EU204" s="659">
        <v>576.1</v>
      </c>
      <c r="EV204" s="659">
        <v>583.79999999999995</v>
      </c>
      <c r="EW204" s="659">
        <v>591.6</v>
      </c>
      <c r="EX204" s="659">
        <v>600.6</v>
      </c>
      <c r="EY204" s="659">
        <v>618.20000000000005</v>
      </c>
      <c r="EZ204" s="783">
        <v>643.5</v>
      </c>
      <c r="FA204" s="659">
        <v>704.1</v>
      </c>
      <c r="FB204" s="659">
        <v>729</v>
      </c>
      <c r="FC204" s="659">
        <v>744.3</v>
      </c>
      <c r="FD204" s="659">
        <v>759</v>
      </c>
      <c r="FE204" s="659">
        <v>772.3</v>
      </c>
      <c r="FF204" s="659">
        <v>783.8</v>
      </c>
      <c r="FG204" s="659">
        <v>800.8</v>
      </c>
      <c r="FH204" s="659">
        <v>817.2</v>
      </c>
      <c r="FI204" s="659">
        <v>833.7</v>
      </c>
      <c r="FJ204" s="659">
        <v>847</v>
      </c>
      <c r="FK204" s="897">
        <v>859.5</v>
      </c>
      <c r="FL204" s="660">
        <v>868.8</v>
      </c>
      <c r="FM204" s="623">
        <v>884.2</v>
      </c>
      <c r="FN204" s="623">
        <v>896.5</v>
      </c>
      <c r="FO204" s="623">
        <v>912.6</v>
      </c>
      <c r="FP204" s="623">
        <v>927.5</v>
      </c>
      <c r="FQ204" s="623">
        <v>939.9</v>
      </c>
      <c r="FR204" s="623">
        <v>958.3</v>
      </c>
      <c r="FS204" s="623">
        <v>976.9</v>
      </c>
      <c r="FT204" s="623">
        <v>1000.8</v>
      </c>
      <c r="FU204" s="897">
        <v>1013</v>
      </c>
      <c r="FV204" s="1167">
        <f t="shared" si="3"/>
        <v>1.0121902478017586</v>
      </c>
    </row>
    <row r="205" spans="1:178" s="115" customFormat="1" ht="9" customHeight="1">
      <c r="A205" s="1546">
        <v>1</v>
      </c>
      <c r="B205" s="408"/>
      <c r="C205" s="621"/>
      <c r="D205" s="622"/>
      <c r="E205" s="621"/>
      <c r="F205" s="622"/>
      <c r="G205" s="621"/>
      <c r="H205" s="621"/>
      <c r="I205" s="390"/>
      <c r="J205" s="651"/>
      <c r="K205" s="669"/>
      <c r="L205" s="665"/>
      <c r="M205" s="625"/>
      <c r="N205" s="625"/>
      <c r="O205" s="625"/>
      <c r="P205" s="625"/>
      <c r="Q205" s="625"/>
      <c r="R205" s="625"/>
      <c r="S205" s="625"/>
      <c r="T205" s="625"/>
      <c r="U205" s="625"/>
      <c r="V205" s="625"/>
      <c r="W205" s="625"/>
      <c r="X205" s="625"/>
      <c r="Y205" s="625"/>
      <c r="Z205" s="625"/>
      <c r="AA205" s="625"/>
      <c r="AB205" s="625"/>
      <c r="AC205" s="625"/>
      <c r="AD205" s="625"/>
      <c r="AE205" s="625"/>
      <c r="AF205" s="625"/>
      <c r="AG205" s="625"/>
      <c r="AH205" s="625"/>
      <c r="AI205" s="764"/>
      <c r="AJ205" s="772"/>
      <c r="AK205" s="625"/>
      <c r="AL205" s="625"/>
      <c r="AM205" s="625"/>
      <c r="AN205" s="625"/>
      <c r="AO205" s="625"/>
      <c r="AP205" s="625"/>
      <c r="AQ205" s="625"/>
      <c r="AR205" s="625"/>
      <c r="AS205" s="625"/>
      <c r="AT205" s="625"/>
      <c r="AU205" s="764"/>
      <c r="AV205" s="752"/>
      <c r="AW205" s="626"/>
      <c r="AX205" s="626"/>
      <c r="AY205" s="626"/>
      <c r="AZ205" s="626"/>
      <c r="BA205" s="626"/>
      <c r="BB205" s="626"/>
      <c r="BC205" s="627"/>
      <c r="BD205" s="626"/>
      <c r="BE205" s="627"/>
      <c r="BF205" s="627"/>
      <c r="BG205" s="738"/>
      <c r="BH205" s="660"/>
      <c r="BI205" s="623"/>
      <c r="BJ205" s="623"/>
      <c r="BK205" s="623"/>
      <c r="BL205" s="623"/>
      <c r="BM205" s="623"/>
      <c r="BN205" s="623"/>
      <c r="BO205" s="623"/>
      <c r="BP205" s="623"/>
      <c r="BQ205" s="623"/>
      <c r="BR205" s="623"/>
      <c r="BS205" s="659"/>
      <c r="BT205" s="660"/>
      <c r="BU205" s="623"/>
      <c r="BV205" s="623"/>
      <c r="BW205" s="623"/>
      <c r="BX205" s="623"/>
      <c r="BY205" s="623"/>
      <c r="BZ205" s="623"/>
      <c r="CA205" s="623"/>
      <c r="CB205" s="623"/>
      <c r="CC205" s="623"/>
      <c r="CD205" s="623"/>
      <c r="CE205" s="659"/>
      <c r="CF205" s="660"/>
      <c r="CG205" s="623"/>
      <c r="CH205" s="623"/>
      <c r="CI205" s="623"/>
      <c r="CJ205" s="623"/>
      <c r="CK205" s="623"/>
      <c r="CL205" s="623"/>
      <c r="CM205" s="623"/>
      <c r="CN205" s="623"/>
      <c r="CO205" s="623"/>
      <c r="CP205" s="623"/>
      <c r="CQ205" s="659"/>
      <c r="CR205" s="660"/>
      <c r="CS205" s="623"/>
      <c r="CT205" s="623"/>
      <c r="CU205" s="623"/>
      <c r="CV205" s="623"/>
      <c r="CW205" s="623"/>
      <c r="CX205" s="623"/>
      <c r="CY205" s="623"/>
      <c r="CZ205" s="623"/>
      <c r="DA205" s="623"/>
      <c r="DB205" s="725"/>
      <c r="DC205" s="659"/>
      <c r="DD205" s="783"/>
      <c r="DE205" s="623"/>
      <c r="DF205" s="725"/>
      <c r="DG205" s="659"/>
      <c r="DH205" s="623"/>
      <c r="DI205" s="623"/>
      <c r="DJ205" s="623"/>
      <c r="DK205" s="659"/>
      <c r="DL205" s="623"/>
      <c r="DM205" s="659"/>
      <c r="DN205" s="659"/>
      <c r="DO205" s="897"/>
      <c r="DP205" s="783"/>
      <c r="DQ205" s="659"/>
      <c r="DR205" s="659"/>
      <c r="DS205" s="659"/>
      <c r="DT205" s="623"/>
      <c r="DU205" s="659"/>
      <c r="DV205" s="659"/>
      <c r="DW205" s="659"/>
      <c r="DX205" s="659"/>
      <c r="DY205" s="659"/>
      <c r="DZ205" s="659"/>
      <c r="EA205" s="897"/>
      <c r="EB205" s="659"/>
      <c r="EC205" s="659"/>
      <c r="ED205" s="659"/>
      <c r="EE205" s="659"/>
      <c r="EF205" s="659"/>
      <c r="EG205" s="659"/>
      <c r="EH205" s="659"/>
      <c r="EI205" s="659"/>
      <c r="EJ205" s="659"/>
      <c r="EK205" s="623"/>
      <c r="EL205" s="725"/>
      <c r="EM205" s="659"/>
      <c r="EN205" s="783"/>
      <c r="EO205" s="659"/>
      <c r="EP205" s="659"/>
      <c r="EQ205" s="659"/>
      <c r="ER205" s="659"/>
      <c r="ES205" s="659"/>
      <c r="ET205" s="659"/>
      <c r="EU205" s="659"/>
      <c r="EV205" s="659"/>
      <c r="EW205" s="659"/>
      <c r="EX205" s="659"/>
      <c r="EY205" s="659"/>
      <c r="EZ205" s="783"/>
      <c r="FA205" s="659"/>
      <c r="FB205" s="659"/>
      <c r="FC205" s="659"/>
      <c r="FD205" s="659"/>
      <c r="FE205" s="659"/>
      <c r="FF205" s="659"/>
      <c r="FG205" s="659"/>
      <c r="FH205" s="659"/>
      <c r="FI205" s="659"/>
      <c r="FJ205" s="659"/>
      <c r="FK205" s="897"/>
      <c r="FL205" s="660"/>
      <c r="FM205" s="623"/>
      <c r="FN205" s="623"/>
      <c r="FO205" s="623"/>
      <c r="FP205" s="623"/>
      <c r="FQ205" s="623"/>
      <c r="FR205" s="623"/>
      <c r="FS205" s="623"/>
      <c r="FT205" s="623"/>
      <c r="FU205" s="897"/>
      <c r="FV205" s="1167"/>
    </row>
    <row r="206" spans="1:178" s="115" customFormat="1" ht="19.5" customHeight="1">
      <c r="A206" s="1546">
        <v>1</v>
      </c>
      <c r="B206" s="408">
        <v>510</v>
      </c>
      <c r="C206" s="622"/>
      <c r="D206" s="622" t="s">
        <v>377</v>
      </c>
      <c r="E206" s="621" t="s">
        <v>378</v>
      </c>
      <c r="F206" s="622"/>
      <c r="G206" s="621" t="s">
        <v>942</v>
      </c>
      <c r="H206" s="621"/>
      <c r="I206" s="390" t="s">
        <v>858</v>
      </c>
      <c r="J206" s="676"/>
      <c r="K206" s="669">
        <v>95</v>
      </c>
      <c r="L206" s="665">
        <v>97.6</v>
      </c>
      <c r="M206" s="625">
        <v>103</v>
      </c>
      <c r="N206" s="625">
        <v>107.4</v>
      </c>
      <c r="O206" s="625">
        <v>114.4</v>
      </c>
      <c r="P206" s="625">
        <v>119.3</v>
      </c>
      <c r="Q206" s="625">
        <v>123</v>
      </c>
      <c r="R206" s="625">
        <v>127.8</v>
      </c>
      <c r="S206" s="625">
        <v>130.19999999999999</v>
      </c>
      <c r="T206" s="625">
        <v>132.30000000000001</v>
      </c>
      <c r="U206" s="625">
        <v>133.30000000000001</v>
      </c>
      <c r="V206" s="625">
        <v>134</v>
      </c>
      <c r="W206" s="625">
        <v>134.19999999999999</v>
      </c>
      <c r="X206" s="625">
        <v>135.69999999999999</v>
      </c>
      <c r="Y206" s="625">
        <v>135.69999999999999</v>
      </c>
      <c r="Z206" s="625">
        <v>136.30000000000001</v>
      </c>
      <c r="AA206" s="625">
        <v>135.6</v>
      </c>
      <c r="AB206" s="625">
        <v>137.4</v>
      </c>
      <c r="AC206" s="625">
        <v>137.4</v>
      </c>
      <c r="AD206" s="625">
        <v>138.1</v>
      </c>
      <c r="AE206" s="625">
        <v>139.9</v>
      </c>
      <c r="AF206" s="625">
        <v>141.1</v>
      </c>
      <c r="AG206" s="625">
        <v>142.5</v>
      </c>
      <c r="AH206" s="625">
        <v>144</v>
      </c>
      <c r="AI206" s="764">
        <v>147</v>
      </c>
      <c r="AJ206" s="772">
        <v>150.30000000000001</v>
      </c>
      <c r="AK206" s="625">
        <v>153.19999999999999</v>
      </c>
      <c r="AL206" s="625">
        <v>155.19999999999999</v>
      </c>
      <c r="AM206" s="625">
        <v>156.80000000000001</v>
      </c>
      <c r="AN206" s="625">
        <v>158.1</v>
      </c>
      <c r="AO206" s="625">
        <v>159.19999999999999</v>
      </c>
      <c r="AP206" s="625">
        <v>161.69999999999999</v>
      </c>
      <c r="AQ206" s="625">
        <v>162</v>
      </c>
      <c r="AR206" s="625">
        <v>162.30000000000001</v>
      </c>
      <c r="AS206" s="625">
        <v>163.69999999999999</v>
      </c>
      <c r="AT206" s="625">
        <v>164.3</v>
      </c>
      <c r="AU206" s="764">
        <v>164.3</v>
      </c>
      <c r="AV206" s="752">
        <v>169.9</v>
      </c>
      <c r="AW206" s="626">
        <v>171.1</v>
      </c>
      <c r="AX206" s="626">
        <v>172.5</v>
      </c>
      <c r="AY206" s="626">
        <v>178.7</v>
      </c>
      <c r="AZ206" s="626">
        <v>180.5</v>
      </c>
      <c r="BA206" s="626">
        <v>181.6</v>
      </c>
      <c r="BB206" s="626">
        <v>182.5</v>
      </c>
      <c r="BC206" s="627">
        <v>184.1</v>
      </c>
      <c r="BD206" s="626">
        <v>185</v>
      </c>
      <c r="BE206" s="627">
        <v>187.3</v>
      </c>
      <c r="BF206" s="627">
        <v>192.9</v>
      </c>
      <c r="BG206" s="738">
        <v>194.4</v>
      </c>
      <c r="BH206" s="660">
        <v>198.6</v>
      </c>
      <c r="BI206" s="623">
        <v>202.9</v>
      </c>
      <c r="BJ206" s="623">
        <v>205.1</v>
      </c>
      <c r="BK206" s="623">
        <v>208.9</v>
      </c>
      <c r="BL206" s="623">
        <v>213.7</v>
      </c>
      <c r="BM206" s="623">
        <v>221.2</v>
      </c>
      <c r="BN206" s="623">
        <v>223.2</v>
      </c>
      <c r="BO206" s="623">
        <v>224.5</v>
      </c>
      <c r="BP206" s="623">
        <v>229.5</v>
      </c>
      <c r="BQ206" s="623">
        <v>232.1</v>
      </c>
      <c r="BR206" s="623">
        <v>233.7</v>
      </c>
      <c r="BS206" s="659">
        <v>235.3</v>
      </c>
      <c r="BT206" s="660">
        <v>241.2</v>
      </c>
      <c r="BU206" s="623">
        <v>243</v>
      </c>
      <c r="BV206" s="623">
        <v>244.8</v>
      </c>
      <c r="BW206" s="623">
        <v>248.8</v>
      </c>
      <c r="BX206" s="623">
        <v>257.5</v>
      </c>
      <c r="BY206" s="623">
        <v>261.8</v>
      </c>
      <c r="BZ206" s="623">
        <v>269.60000000000002</v>
      </c>
      <c r="CA206" s="623">
        <v>272.60000000000002</v>
      </c>
      <c r="CB206" s="623">
        <v>275.7</v>
      </c>
      <c r="CC206" s="623">
        <v>283.60000000000002</v>
      </c>
      <c r="CD206" s="623">
        <v>283.10000000000002</v>
      </c>
      <c r="CE206" s="659">
        <v>286.10000000000002</v>
      </c>
      <c r="CF206" s="660">
        <v>288.10000000000002</v>
      </c>
      <c r="CG206" s="623">
        <v>289.89999999999998</v>
      </c>
      <c r="CH206" s="623">
        <v>291.7</v>
      </c>
      <c r="CI206" s="623">
        <v>295.10000000000002</v>
      </c>
      <c r="CJ206" s="623">
        <v>309.5</v>
      </c>
      <c r="CK206" s="623">
        <v>309.5</v>
      </c>
      <c r="CL206" s="623">
        <v>318.8</v>
      </c>
      <c r="CM206" s="623">
        <v>319.7</v>
      </c>
      <c r="CN206" s="623">
        <v>324.89999999999998</v>
      </c>
      <c r="CO206" s="623">
        <v>325.89999999999998</v>
      </c>
      <c r="CP206" s="623">
        <v>327</v>
      </c>
      <c r="CQ206" s="659">
        <v>327</v>
      </c>
      <c r="CR206" s="660">
        <v>328.5</v>
      </c>
      <c r="CS206" s="623">
        <v>329.6</v>
      </c>
      <c r="CT206" s="623">
        <v>330.4</v>
      </c>
      <c r="CU206" s="623">
        <v>332.4</v>
      </c>
      <c r="CV206" s="623">
        <v>334.4</v>
      </c>
      <c r="CW206" s="623">
        <v>343.4</v>
      </c>
      <c r="CX206" s="623">
        <v>346.2</v>
      </c>
      <c r="CY206" s="623">
        <v>348.5</v>
      </c>
      <c r="CZ206" s="623">
        <v>349.6</v>
      </c>
      <c r="DA206" s="623">
        <v>358.9</v>
      </c>
      <c r="DB206" s="725">
        <v>363</v>
      </c>
      <c r="DC206" s="659">
        <v>364.4</v>
      </c>
      <c r="DD206" s="783">
        <v>366.2</v>
      </c>
      <c r="DE206" s="623">
        <v>373.2</v>
      </c>
      <c r="DF206" s="725">
        <v>386.1</v>
      </c>
      <c r="DG206" s="659">
        <v>376.6</v>
      </c>
      <c r="DH206" s="623">
        <v>394.3</v>
      </c>
      <c r="DI206" s="623">
        <v>398.3</v>
      </c>
      <c r="DJ206" s="623">
        <v>403.7</v>
      </c>
      <c r="DK206" s="659">
        <v>411.2</v>
      </c>
      <c r="DL206" s="623">
        <v>415.1</v>
      </c>
      <c r="DM206" s="659">
        <v>420.2</v>
      </c>
      <c r="DN206" s="659">
        <v>423.2</v>
      </c>
      <c r="DO206" s="897">
        <v>434.5</v>
      </c>
      <c r="DP206" s="783">
        <v>451.9</v>
      </c>
      <c r="DQ206" s="659">
        <v>458.5</v>
      </c>
      <c r="DR206" s="659">
        <v>463.1</v>
      </c>
      <c r="DS206" s="659">
        <v>469</v>
      </c>
      <c r="DT206" s="623">
        <v>472.2</v>
      </c>
      <c r="DU206" s="659">
        <v>471.2</v>
      </c>
      <c r="DV206" s="659">
        <v>479</v>
      </c>
      <c r="DW206" s="659">
        <v>488.4</v>
      </c>
      <c r="DX206" s="659">
        <v>495.2</v>
      </c>
      <c r="DY206" s="659">
        <v>503.4</v>
      </c>
      <c r="DZ206" s="659">
        <v>513.79999999999995</v>
      </c>
      <c r="EA206" s="897">
        <v>520.1</v>
      </c>
      <c r="EB206" s="659">
        <v>544.20000000000005</v>
      </c>
      <c r="EC206" s="659">
        <v>549.20000000000005</v>
      </c>
      <c r="ED206" s="659">
        <v>554.1</v>
      </c>
      <c r="EE206" s="659">
        <v>559.5</v>
      </c>
      <c r="EF206" s="659">
        <v>538.1</v>
      </c>
      <c r="EG206" s="659">
        <v>607.70000000000005</v>
      </c>
      <c r="EH206" s="659">
        <v>618.5</v>
      </c>
      <c r="EI206" s="659">
        <v>627.6</v>
      </c>
      <c r="EJ206" s="659">
        <v>630.9</v>
      </c>
      <c r="EK206" s="623">
        <v>633.79999999999995</v>
      </c>
      <c r="EL206" s="725">
        <v>647</v>
      </c>
      <c r="EM206" s="659">
        <v>648.29999999999995</v>
      </c>
      <c r="EN206" s="783">
        <v>651.29999999999995</v>
      </c>
      <c r="EO206" s="659">
        <v>656.4</v>
      </c>
      <c r="EP206" s="659">
        <v>665.1</v>
      </c>
      <c r="EQ206" s="659">
        <v>683.8</v>
      </c>
      <c r="ER206" s="659">
        <v>687.5</v>
      </c>
      <c r="ES206" s="659">
        <v>737.4</v>
      </c>
      <c r="ET206" s="659">
        <v>737</v>
      </c>
      <c r="EU206" s="659">
        <v>744</v>
      </c>
      <c r="EV206" s="659">
        <v>769.2</v>
      </c>
      <c r="EW206" s="659">
        <v>773.8</v>
      </c>
      <c r="EX206" s="659">
        <v>778.1</v>
      </c>
      <c r="EY206" s="659">
        <v>788.2</v>
      </c>
      <c r="EZ206" s="783">
        <v>801.6</v>
      </c>
      <c r="FA206" s="659">
        <v>970.1</v>
      </c>
      <c r="FB206" s="659">
        <v>848.2</v>
      </c>
      <c r="FC206" s="659">
        <v>912.9</v>
      </c>
      <c r="FD206" s="659">
        <v>933</v>
      </c>
      <c r="FE206" s="659">
        <v>940.5</v>
      </c>
      <c r="FF206" s="659">
        <v>984.9</v>
      </c>
      <c r="FG206" s="659">
        <v>1010.1</v>
      </c>
      <c r="FH206" s="659">
        <v>1021.3</v>
      </c>
      <c r="FI206" s="659">
        <v>1032.3</v>
      </c>
      <c r="FJ206" s="659">
        <v>1038.9000000000001</v>
      </c>
      <c r="FK206" s="897">
        <v>1051.4000000000001</v>
      </c>
      <c r="FL206" s="660">
        <v>1059.0999999999999</v>
      </c>
      <c r="FM206" s="623">
        <v>1067.7</v>
      </c>
      <c r="FN206" s="623">
        <v>1078.4000000000001</v>
      </c>
      <c r="FO206" s="623">
        <v>1088.4000000000001</v>
      </c>
      <c r="FP206" s="623">
        <v>1164.5999999999999</v>
      </c>
      <c r="FQ206" s="623">
        <v>1179</v>
      </c>
      <c r="FR206" s="623">
        <v>1198.2</v>
      </c>
      <c r="FS206" s="623">
        <v>1253.3</v>
      </c>
      <c r="FT206" s="623">
        <v>1282.0999999999999</v>
      </c>
      <c r="FU206" s="897">
        <v>1291.9000000000001</v>
      </c>
      <c r="FV206" s="1167">
        <f t="shared" si="3"/>
        <v>1.0076437095390376</v>
      </c>
    </row>
    <row r="207" spans="1:178" s="115" customFormat="1" ht="18.95" customHeight="1">
      <c r="A207" s="1546">
        <v>1</v>
      </c>
      <c r="B207" s="644">
        <v>511</v>
      </c>
      <c r="C207" s="646"/>
      <c r="D207" s="646" t="s">
        <v>380</v>
      </c>
      <c r="E207" s="646"/>
      <c r="F207" s="646"/>
      <c r="G207" s="645" t="s">
        <v>336</v>
      </c>
      <c r="H207" s="645"/>
      <c r="I207" s="876"/>
      <c r="J207" s="893" t="s">
        <v>381</v>
      </c>
      <c r="K207" s="877">
        <v>100</v>
      </c>
      <c r="L207" s="878">
        <v>105.44</v>
      </c>
      <c r="M207" s="879">
        <v>117.24</v>
      </c>
      <c r="N207" s="879">
        <v>135.36000000000001</v>
      </c>
      <c r="O207" s="879">
        <v>167.99199999999999</v>
      </c>
      <c r="P207" s="879">
        <v>171.62</v>
      </c>
      <c r="Q207" s="879">
        <v>193.21</v>
      </c>
      <c r="R207" s="879">
        <v>219.14</v>
      </c>
      <c r="S207" s="879">
        <v>234.44</v>
      </c>
      <c r="T207" s="879">
        <v>246.62</v>
      </c>
      <c r="U207" s="879">
        <v>250.75</v>
      </c>
      <c r="V207" s="879">
        <v>250.88</v>
      </c>
      <c r="W207" s="879">
        <v>250.88</v>
      </c>
      <c r="X207" s="879">
        <v>252.16</v>
      </c>
      <c r="Y207" s="879">
        <v>259.16000000000003</v>
      </c>
      <c r="Z207" s="879">
        <v>268.73</v>
      </c>
      <c r="AA207" s="879">
        <v>268.73</v>
      </c>
      <c r="AB207" s="879">
        <v>276.12</v>
      </c>
      <c r="AC207" s="879">
        <v>276.12099999999998</v>
      </c>
      <c r="AD207" s="879">
        <v>276.64999999999998</v>
      </c>
      <c r="AE207" s="879">
        <v>276.56</v>
      </c>
      <c r="AF207" s="879">
        <v>277.88</v>
      </c>
      <c r="AG207" s="879">
        <v>280.76</v>
      </c>
      <c r="AH207" s="879">
        <v>282.45</v>
      </c>
      <c r="AI207" s="880">
        <v>288.14999999999998</v>
      </c>
      <c r="AJ207" s="881">
        <v>295.87</v>
      </c>
      <c r="AK207" s="879">
        <v>329.51</v>
      </c>
      <c r="AL207" s="879">
        <v>342.12</v>
      </c>
      <c r="AM207" s="879">
        <v>351.02</v>
      </c>
      <c r="AN207" s="879">
        <v>353.32</v>
      </c>
      <c r="AO207" s="879">
        <v>363.26</v>
      </c>
      <c r="AP207" s="879">
        <v>363.26</v>
      </c>
      <c r="AQ207" s="879">
        <v>363.28</v>
      </c>
      <c r="AR207" s="879">
        <f>+'ANEXO G'!M54</f>
        <v>366.41</v>
      </c>
      <c r="AS207" s="879">
        <f>+'ANEXO G'!N54</f>
        <v>369.33</v>
      </c>
      <c r="AT207" s="879">
        <f>+'ANEXO G'!O54</f>
        <v>383.61</v>
      </c>
      <c r="AU207" s="880">
        <f>+'ANEXO G'!P54</f>
        <v>384.44</v>
      </c>
      <c r="AV207" s="882">
        <f>+'ANEXO G'!E68</f>
        <v>388.9</v>
      </c>
      <c r="AW207" s="883">
        <f>+'ANEXO G'!F68</f>
        <v>388.9</v>
      </c>
      <c r="AX207" s="883">
        <f>+'ANEXO G'!G68</f>
        <v>394.87</v>
      </c>
      <c r="AY207" s="883">
        <f>+'ANEXO G'!H68</f>
        <v>379.11</v>
      </c>
      <c r="AZ207" s="883">
        <f>+'ANEXO G'!I68</f>
        <v>379.11</v>
      </c>
      <c r="BA207" s="883">
        <f>+'ANEXO G'!J68</f>
        <v>379.11</v>
      </c>
      <c r="BB207" s="883">
        <f>+'ANEXO G'!K68</f>
        <v>380.83</v>
      </c>
      <c r="BC207" s="883">
        <f>+'ANEXO G'!L68</f>
        <v>385.89</v>
      </c>
      <c r="BD207" s="883">
        <f>+'ANEXO G'!M68</f>
        <v>385.89</v>
      </c>
      <c r="BE207" s="883">
        <f>+'ANEXO G'!N68</f>
        <v>385.87</v>
      </c>
      <c r="BF207" s="883">
        <f>+'ANEXO G'!O68</f>
        <v>397.17</v>
      </c>
      <c r="BG207" s="896">
        <f>+'ANEXO G'!P68</f>
        <v>397.17</v>
      </c>
      <c r="BH207" s="886">
        <f>+'ANEXO G'!E82</f>
        <v>401.17</v>
      </c>
      <c r="BI207" s="887">
        <f>+'ANEXO G'!F82</f>
        <v>401.17</v>
      </c>
      <c r="BJ207" s="887">
        <f>+'ANEXO G'!G82</f>
        <v>402.29</v>
      </c>
      <c r="BK207" s="887">
        <f>+'ANEXO G'!H82</f>
        <v>405.32</v>
      </c>
      <c r="BL207" s="887">
        <f>+'ANEXO G'!I82</f>
        <v>412.96</v>
      </c>
      <c r="BM207" s="887">
        <f>+'ANEXO G'!J82</f>
        <v>412.96</v>
      </c>
      <c r="BN207" s="887">
        <f>+'ANEXO G'!K82</f>
        <v>414.03</v>
      </c>
      <c r="BO207" s="887">
        <f>+'ANEXO G'!L82</f>
        <v>414.03</v>
      </c>
      <c r="BP207" s="887">
        <f>+'ANEXO G'!M82</f>
        <v>398.48</v>
      </c>
      <c r="BQ207" s="887">
        <f>+'ANEXO G'!N82</f>
        <v>421.67</v>
      </c>
      <c r="BR207" s="887">
        <f>+'ANEXO G'!O82</f>
        <v>422.48</v>
      </c>
      <c r="BS207" s="888">
        <f>+'ANEXO G'!P82</f>
        <v>427.68</v>
      </c>
      <c r="BT207" s="886">
        <f>+'ANEXO G'!E96</f>
        <v>434.36</v>
      </c>
      <c r="BU207" s="887">
        <f>+'ANEXO G'!F96</f>
        <v>434.36</v>
      </c>
      <c r="BV207" s="887">
        <f>+'ANEXO G'!G96</f>
        <v>442.76</v>
      </c>
      <c r="BW207" s="887">
        <f>+'ANEXO G'!H96</f>
        <v>442.93</v>
      </c>
      <c r="BX207" s="887">
        <f>+'ANEXO G'!I96</f>
        <v>452.79</v>
      </c>
      <c r="BY207" s="887">
        <f>+'ANEXO G'!J96</f>
        <v>455</v>
      </c>
      <c r="BZ207" s="887">
        <f>+'ANEXO G'!K96</f>
        <v>461.6</v>
      </c>
      <c r="CA207" s="887">
        <f>+'ANEXO G'!L96</f>
        <v>462.23</v>
      </c>
      <c r="CB207" s="887">
        <f>+'ANEXO G'!M96</f>
        <v>478.85</v>
      </c>
      <c r="CC207" s="887">
        <v>478.79</v>
      </c>
      <c r="CD207" s="887">
        <f>+'ANEXO G'!O96</f>
        <v>480.9</v>
      </c>
      <c r="CE207" s="888">
        <f>+'ANEXO G'!P96</f>
        <v>501.17</v>
      </c>
      <c r="CF207" s="886">
        <f>+'ANEXO G'!E110</f>
        <v>494.32</v>
      </c>
      <c r="CG207" s="887">
        <f>+'ANEXO G'!F110</f>
        <v>494.32</v>
      </c>
      <c r="CH207" s="887">
        <f>+'ANEXO G'!G110</f>
        <v>498.77</v>
      </c>
      <c r="CI207" s="887">
        <f>+'ANEXO G'!H110</f>
        <v>521.47</v>
      </c>
      <c r="CJ207" s="887">
        <f>+'ANEXO G'!I110</f>
        <v>524.80999999999995</v>
      </c>
      <c r="CK207" s="887">
        <f>+'ANEXO G'!J110</f>
        <v>548.9</v>
      </c>
      <c r="CL207" s="887">
        <f>+'ANEXO G'!K110</f>
        <v>566.51</v>
      </c>
      <c r="CM207" s="887">
        <f>+'ANEXO G'!L110</f>
        <v>563.16</v>
      </c>
      <c r="CN207" s="887">
        <f>+'ANEXO G'!M110</f>
        <v>597.53</v>
      </c>
      <c r="CO207" s="887">
        <f>+'ANEXO G'!N110</f>
        <v>598.37</v>
      </c>
      <c r="CP207" s="887">
        <f>+'ANEXO G'!O110</f>
        <v>598.37</v>
      </c>
      <c r="CQ207" s="888">
        <f>+'ANEXO G'!P110</f>
        <v>598.37</v>
      </c>
      <c r="CR207" s="886">
        <f>+'ANEXO G'!E124</f>
        <v>598.37</v>
      </c>
      <c r="CS207" s="887">
        <f>+'ANEXO G'!F124</f>
        <v>598.37</v>
      </c>
      <c r="CT207" s="887">
        <f>+'ANEXO G'!G124</f>
        <v>598.37</v>
      </c>
      <c r="CU207" s="887">
        <f>+'ANEXO G'!H124</f>
        <v>598.37</v>
      </c>
      <c r="CV207" s="887">
        <f>+'ANEXO G'!I124</f>
        <v>606.4</v>
      </c>
      <c r="CW207" s="887">
        <f>+'ANEXO G'!J124</f>
        <v>610.91999999999996</v>
      </c>
      <c r="CX207" s="887">
        <f>+'ANEXO G'!K124</f>
        <v>616.17999999999995</v>
      </c>
      <c r="CY207" s="887">
        <f>+'ANEXO G'!L124</f>
        <v>616.17999999999995</v>
      </c>
      <c r="CZ207" s="887">
        <f>+'ANEXO G'!M124</f>
        <v>616.17999999999995</v>
      </c>
      <c r="DA207" s="887">
        <f>+'ANEXO G'!N124</f>
        <v>629.54</v>
      </c>
      <c r="DB207" s="888">
        <f>+'ANEXO G'!O124</f>
        <v>629.54</v>
      </c>
      <c r="DC207" s="888">
        <f>+'ANEXO G'!P124</f>
        <v>625.54</v>
      </c>
      <c r="DD207" s="890">
        <f>+'ANEXO G'!E138</f>
        <v>625.66999999999996</v>
      </c>
      <c r="DE207" s="887">
        <f>+'ANEXO G'!F138</f>
        <v>647.71</v>
      </c>
      <c r="DF207" s="889">
        <f>+'ANEXO G'!G138</f>
        <v>665.24</v>
      </c>
      <c r="DG207" s="888">
        <f>+'ANEXO G'!H138</f>
        <v>664.77</v>
      </c>
      <c r="DH207" s="887">
        <f>+'ANEXO G'!I138</f>
        <v>671.29</v>
      </c>
      <c r="DI207" s="887">
        <f>+'ANEXO G'!J138</f>
        <v>679.45</v>
      </c>
      <c r="DJ207" s="887">
        <f>+'ANEXO G'!K138</f>
        <v>679.45</v>
      </c>
      <c r="DK207" s="888">
        <f>+'ANEXO G'!L138</f>
        <v>691.84</v>
      </c>
      <c r="DL207" s="887">
        <f>+'ANEXO G'!M138</f>
        <v>702.61</v>
      </c>
      <c r="DM207" s="888">
        <f>+'ANEXO G'!N138</f>
        <v>713.88</v>
      </c>
      <c r="DN207" s="888">
        <f>+'ANEXO G'!O138</f>
        <v>735.89</v>
      </c>
      <c r="DO207" s="968">
        <f>+'ANEXO G'!P138</f>
        <v>749.14</v>
      </c>
      <c r="DP207" s="890">
        <f>+'ANEXO G'!E149</f>
        <v>739.95</v>
      </c>
      <c r="DQ207" s="888">
        <f>+'ANEXO G'!F149</f>
        <v>749.14</v>
      </c>
      <c r="DR207" s="888">
        <f>+'ANEXO G'!G149</f>
        <v>756.78</v>
      </c>
      <c r="DS207" s="888">
        <f>+'ANEXO G'!H149</f>
        <v>781.15</v>
      </c>
      <c r="DT207" s="887">
        <f>+'ANEXO G'!I149</f>
        <v>781.15</v>
      </c>
      <c r="DU207" s="888">
        <f>+'ANEXO G'!J149</f>
        <v>781.15</v>
      </c>
      <c r="DV207" s="888">
        <f>+'ANEXO G'!K149</f>
        <v>793.28</v>
      </c>
      <c r="DW207" s="888">
        <f>+'ANEXO G'!L149</f>
        <v>809.36</v>
      </c>
      <c r="DX207" s="888">
        <f>+'ANEXO G'!M149</f>
        <v>832.09</v>
      </c>
      <c r="DY207" s="888">
        <f>+'ANEXO G'!N149</f>
        <v>832.09</v>
      </c>
      <c r="DZ207" s="888">
        <v>846.14</v>
      </c>
      <c r="EA207" s="968">
        <f>+'ANEXO G'!P149</f>
        <v>846.14</v>
      </c>
      <c r="EB207" s="888">
        <f>+'ANEXO G'!E161</f>
        <v>863.97</v>
      </c>
      <c r="EC207" s="888">
        <f>+'ANEXO G'!F161</f>
        <v>863.97</v>
      </c>
      <c r="ED207" s="888">
        <f>+'ANEXO G'!G161</f>
        <v>863.97</v>
      </c>
      <c r="EE207" s="888">
        <f>+'ANEXO G'!H161</f>
        <v>863.97</v>
      </c>
      <c r="EF207" s="888">
        <f>+'ANEXO G'!I161</f>
        <v>879.5</v>
      </c>
      <c r="EG207" s="888">
        <f>+'ANEXO G'!J161</f>
        <v>978.3</v>
      </c>
      <c r="EH207" s="888">
        <f>+'ANEXO G'!K161</f>
        <v>978.3</v>
      </c>
      <c r="EI207" s="888">
        <f>+'ANEXO G'!L161</f>
        <v>954.21</v>
      </c>
      <c r="EJ207" s="888">
        <f>+'ANEXO G'!M161</f>
        <v>954.21</v>
      </c>
      <c r="EK207" s="887">
        <f>+'ANEXO G'!N161</f>
        <v>965.46</v>
      </c>
      <c r="EL207" s="888">
        <f>+'ANEXO G'!O161</f>
        <v>991.8</v>
      </c>
      <c r="EM207" s="888">
        <f>+'ANEXO G'!P161</f>
        <v>1025.4000000000001</v>
      </c>
      <c r="EN207" s="890">
        <f>+'ANEXO G'!E173</f>
        <v>1027.5999999999999</v>
      </c>
      <c r="EO207" s="888">
        <f>+'ANEXO G'!F173</f>
        <v>1027.5999999999999</v>
      </c>
      <c r="EP207" s="888">
        <f>+'ANEXO G'!G173</f>
        <v>1049.8699999999999</v>
      </c>
      <c r="EQ207" s="888">
        <f>+'ANEXO G'!H173</f>
        <v>1049.8699999999999</v>
      </c>
      <c r="ER207" s="888">
        <f>+'ANEXO G'!I173</f>
        <v>1049.8699999999999</v>
      </c>
      <c r="ES207" s="888">
        <f>+'ANEXO G'!J173</f>
        <v>1137.82</v>
      </c>
      <c r="ET207" s="888">
        <f>+'ANEXO G'!K173</f>
        <v>1154.8699999999999</v>
      </c>
      <c r="EU207" s="888">
        <f>+'ANEXO G'!L173</f>
        <v>1154.8699999999999</v>
      </c>
      <c r="EV207" s="888">
        <f>+'ANEXO G'!M173</f>
        <v>1151.44</v>
      </c>
      <c r="EW207" s="888">
        <f>+'ANEXO G'!N173</f>
        <v>1151.44</v>
      </c>
      <c r="EX207" s="888">
        <f>+'ANEXO G'!O173</f>
        <v>1151.44</v>
      </c>
      <c r="EY207" s="888">
        <f>+'ANEXO G'!P173</f>
        <v>1209.95</v>
      </c>
      <c r="EZ207" s="783">
        <f>'ANEXO G'!E185</f>
        <v>1262.2</v>
      </c>
      <c r="FA207" s="659">
        <f>'ANEXO G'!F185</f>
        <v>1311.41</v>
      </c>
      <c r="FB207" s="659">
        <f>'ANEXO G'!G185</f>
        <v>1319.96</v>
      </c>
      <c r="FC207" s="659">
        <f>'ANEXO G'!H185</f>
        <v>1445.81</v>
      </c>
      <c r="FD207" s="659">
        <f>'ANEXO G'!I185</f>
        <v>1488.9</v>
      </c>
      <c r="FE207" s="659">
        <f>'ANEXO G'!J185</f>
        <v>1498.07</v>
      </c>
      <c r="FF207" s="659">
        <f>'ANEXO G'!K185</f>
        <v>1548.17</v>
      </c>
      <c r="FG207" s="659">
        <f>'ANEXO G'!L185</f>
        <v>1560.65</v>
      </c>
      <c r="FH207" s="659">
        <f>'ANEXO G'!M185</f>
        <v>1581.09</v>
      </c>
      <c r="FI207" s="659">
        <f>'ANEXO G'!N185</f>
        <v>1596.17</v>
      </c>
      <c r="FJ207" s="659">
        <f>'ANEXO G'!O185</f>
        <v>1600.59</v>
      </c>
      <c r="FK207" s="897">
        <f>'ANEXO G'!P185</f>
        <v>1606.32</v>
      </c>
      <c r="FL207" s="660">
        <f>'ANEXO G'!E198</f>
        <v>1611.18</v>
      </c>
      <c r="FM207" s="623">
        <f>'ANEXO G'!F198</f>
        <v>1623.08</v>
      </c>
      <c r="FN207" s="623">
        <f>'ANEXO G'!G198</f>
        <v>1635.44</v>
      </c>
      <c r="FO207" s="623">
        <f>'ANEXO G'!H198</f>
        <v>1738.22</v>
      </c>
      <c r="FP207" s="623">
        <f>'ANEXO G'!I198</f>
        <v>1748.47</v>
      </c>
      <c r="FQ207" s="623">
        <f>'ANEXO G'!J198</f>
        <v>1759.89</v>
      </c>
      <c r="FR207" s="623">
        <f>'ANEXO G'!K198</f>
        <v>1767.9</v>
      </c>
      <c r="FS207" s="623">
        <f>'ANEXO G'!L198</f>
        <v>1839.22</v>
      </c>
      <c r="FT207" s="623">
        <f>'ANEXO G'!M198</f>
        <v>1854.53</v>
      </c>
      <c r="FU207" s="897">
        <f>'ANEXO G'!N198</f>
        <v>1870.09</v>
      </c>
      <c r="FV207" s="1167">
        <f t="shared" si="3"/>
        <v>1.0083902659973147</v>
      </c>
    </row>
    <row r="208" spans="1:178" s="115" customFormat="1" ht="18.95" customHeight="1">
      <c r="A208" s="1546">
        <v>1</v>
      </c>
      <c r="B208" s="408">
        <v>512</v>
      </c>
      <c r="C208" s="622"/>
      <c r="D208" s="622" t="s">
        <v>382</v>
      </c>
      <c r="E208" s="622"/>
      <c r="F208" s="622"/>
      <c r="G208" s="621" t="s">
        <v>336</v>
      </c>
      <c r="H208" s="621"/>
      <c r="I208" s="390"/>
      <c r="J208" s="676" t="s">
        <v>383</v>
      </c>
      <c r="K208" s="669">
        <v>100</v>
      </c>
      <c r="L208" s="665">
        <v>102.24</v>
      </c>
      <c r="M208" s="625">
        <v>108.83</v>
      </c>
      <c r="N208" s="625">
        <v>110.82</v>
      </c>
      <c r="O208" s="625">
        <v>125.08</v>
      </c>
      <c r="P208" s="625">
        <v>131.63</v>
      </c>
      <c r="Q208" s="625">
        <v>143.69999999999999</v>
      </c>
      <c r="R208" s="625">
        <v>160.29</v>
      </c>
      <c r="S208" s="625">
        <v>173.35</v>
      </c>
      <c r="T208" s="625">
        <v>176.19</v>
      </c>
      <c r="U208" s="625">
        <v>178.33</v>
      </c>
      <c r="V208" s="625">
        <v>179.61</v>
      </c>
      <c r="W208" s="625">
        <v>180.03</v>
      </c>
      <c r="X208" s="625">
        <v>183.51</v>
      </c>
      <c r="Y208" s="625">
        <v>183.5</v>
      </c>
      <c r="Z208" s="625">
        <v>186.49</v>
      </c>
      <c r="AA208" s="625">
        <v>186.93</v>
      </c>
      <c r="AB208" s="625">
        <v>192.07</v>
      </c>
      <c r="AC208" s="625">
        <v>192.22</v>
      </c>
      <c r="AD208" s="625">
        <v>199.87</v>
      </c>
      <c r="AE208" s="625">
        <v>199.68</v>
      </c>
      <c r="AF208" s="625">
        <v>203.06</v>
      </c>
      <c r="AG208" s="625">
        <v>209.33</v>
      </c>
      <c r="AH208" s="625">
        <v>214.71</v>
      </c>
      <c r="AI208" s="764">
        <v>219.06</v>
      </c>
      <c r="AJ208" s="772">
        <v>221.76</v>
      </c>
      <c r="AK208" s="625">
        <v>225.56</v>
      </c>
      <c r="AL208" s="625">
        <v>231.35</v>
      </c>
      <c r="AM208" s="625">
        <v>246.4</v>
      </c>
      <c r="AN208" s="625">
        <v>260.37</v>
      </c>
      <c r="AO208" s="625">
        <v>264.98</v>
      </c>
      <c r="AP208" s="625">
        <v>265.22000000000003</v>
      </c>
      <c r="AQ208" s="625">
        <v>265.52999999999997</v>
      </c>
      <c r="AR208" s="625">
        <f>+'ANEXO H'!M61</f>
        <v>265.92</v>
      </c>
      <c r="AS208" s="625">
        <f>+'ANEXO H'!N61</f>
        <v>267.10000000000002</v>
      </c>
      <c r="AT208" s="625">
        <f>+'ANEXO H'!O61</f>
        <v>276.88</v>
      </c>
      <c r="AU208" s="764">
        <f>+'ANEXO H'!P61</f>
        <v>276.93</v>
      </c>
      <c r="AV208" s="752">
        <f>+'ANEXO H'!E77</f>
        <v>287.12</v>
      </c>
      <c r="AW208" s="626">
        <f>+'ANEXO H'!F77</f>
        <v>287.63</v>
      </c>
      <c r="AX208" s="626">
        <f>+'ANEXO H'!G77</f>
        <v>301.35000000000002</v>
      </c>
      <c r="AY208" s="626">
        <f>+'ANEXO H'!H77</f>
        <v>313.64999999999998</v>
      </c>
      <c r="AZ208" s="626">
        <f>+'ANEXO H'!I77</f>
        <v>313.62</v>
      </c>
      <c r="BA208" s="626">
        <f>+'ANEXO H'!J77</f>
        <v>313.57</v>
      </c>
      <c r="BB208" s="626">
        <f>+'ANEXO H'!K77</f>
        <v>314.75</v>
      </c>
      <c r="BC208" s="626">
        <f>+'ANEXO H'!L77</f>
        <v>314.64</v>
      </c>
      <c r="BD208" s="626">
        <f>+'ANEXO H'!M77</f>
        <v>314.82</v>
      </c>
      <c r="BE208" s="626">
        <f>+'ANEXO H'!N77</f>
        <v>315.45</v>
      </c>
      <c r="BF208" s="626">
        <f>+'ANEXO H'!O77</f>
        <v>341.25</v>
      </c>
      <c r="BG208" s="749">
        <f>+'ANEXO H'!P77</f>
        <v>341.47</v>
      </c>
      <c r="BH208" s="660">
        <f>+'ANEXO H'!E93</f>
        <v>347.55</v>
      </c>
      <c r="BI208" s="623">
        <f>+'ANEXO H'!F93</f>
        <v>348.81</v>
      </c>
      <c r="BJ208" s="623">
        <f>+'ANEXO H'!G93</f>
        <v>352.13</v>
      </c>
      <c r="BK208" s="623">
        <f>+'ANEXO H'!H93</f>
        <v>360.98</v>
      </c>
      <c r="BL208" s="623">
        <f>+'ANEXO H'!I93</f>
        <v>378.52</v>
      </c>
      <c r="BM208" s="623">
        <f>+'ANEXO H'!J93</f>
        <v>378.68</v>
      </c>
      <c r="BN208" s="623">
        <f>+'ANEXO H'!K93</f>
        <v>381.09</v>
      </c>
      <c r="BO208" s="623">
        <f>+'ANEXO H'!L93</f>
        <v>381.64</v>
      </c>
      <c r="BP208" s="623">
        <f>+'ANEXO H'!M93</f>
        <v>346.26</v>
      </c>
      <c r="BQ208" s="623">
        <f>+'ANEXO H'!N93</f>
        <v>399.12</v>
      </c>
      <c r="BR208" s="623">
        <f>+'ANEXO H'!O93</f>
        <v>399.35</v>
      </c>
      <c r="BS208" s="659">
        <f>+'ANEXO H'!P93</f>
        <v>401.62</v>
      </c>
      <c r="BT208" s="660">
        <f>+'ANEXO H'!E109</f>
        <v>418.73</v>
      </c>
      <c r="BU208" s="623">
        <f>+'ANEXO H'!F109</f>
        <v>419.01</v>
      </c>
      <c r="BV208" s="623">
        <f>+'ANEXO H'!G109</f>
        <v>423.42</v>
      </c>
      <c r="BW208" s="623">
        <f>+'ANEXO H'!H109</f>
        <v>424.22</v>
      </c>
      <c r="BX208" s="623">
        <f>+'ANEXO H'!I109</f>
        <v>447.54</v>
      </c>
      <c r="BY208" s="623">
        <f>+'ANEXO H'!J109</f>
        <v>449.32</v>
      </c>
      <c r="BZ208" s="623">
        <f>+'ANEXO H'!K109</f>
        <v>465.11</v>
      </c>
      <c r="CA208" s="623">
        <f>+'ANEXO H'!L109</f>
        <v>467.15</v>
      </c>
      <c r="CB208" s="623">
        <f>+'ANEXO H'!M109</f>
        <v>472.08</v>
      </c>
      <c r="CC208" s="623">
        <v>472.48</v>
      </c>
      <c r="CD208" s="623">
        <f>+'ANEXO H'!O109</f>
        <v>478.9</v>
      </c>
      <c r="CE208" s="659">
        <f>+'ANEXO H'!P109</f>
        <v>521.15</v>
      </c>
      <c r="CF208" s="660">
        <f>+'ANEXO H'!E125</f>
        <v>491.25</v>
      </c>
      <c r="CG208" s="623">
        <f>+'ANEXO H'!F125</f>
        <v>491.06</v>
      </c>
      <c r="CH208" s="623">
        <f>+'ANEXO H'!G125</f>
        <v>504.53</v>
      </c>
      <c r="CI208" s="623">
        <f>+'ANEXO H'!H125</f>
        <v>525.33000000000004</v>
      </c>
      <c r="CJ208" s="623">
        <f>+'ANEXO H'!I125</f>
        <v>535.30999999999995</v>
      </c>
      <c r="CK208" s="623">
        <f>+'ANEXO H'!J125</f>
        <v>533.04</v>
      </c>
      <c r="CL208" s="623">
        <f>+'ANEXO H'!K125</f>
        <v>552.36</v>
      </c>
      <c r="CM208" s="623">
        <f>+'ANEXO H'!L125</f>
        <v>546.89</v>
      </c>
      <c r="CN208" s="623">
        <f>+'ANEXO H'!M125</f>
        <v>559.83000000000004</v>
      </c>
      <c r="CO208" s="623">
        <f>+'ANEXO H'!N125</f>
        <v>562.51</v>
      </c>
      <c r="CP208" s="623">
        <f>+'ANEXO H'!O125</f>
        <v>565.97</v>
      </c>
      <c r="CQ208" s="659">
        <f>+'ANEXO H'!P125</f>
        <v>565.15</v>
      </c>
      <c r="CR208" s="660">
        <f>+'ANEXO H'!E141</f>
        <v>567.26</v>
      </c>
      <c r="CS208" s="623">
        <f>+'ANEXO H'!F141</f>
        <v>567.04999999999995</v>
      </c>
      <c r="CT208" s="623">
        <f>+'ANEXO H'!G141</f>
        <v>566.76</v>
      </c>
      <c r="CU208" s="623">
        <f>+'ANEXO H'!H141</f>
        <v>567.16999999999996</v>
      </c>
      <c r="CV208" s="623">
        <f>+'ANEXO H'!I141</f>
        <v>591.5</v>
      </c>
      <c r="CW208" s="623">
        <f>+'ANEXO H'!J141</f>
        <v>602.98</v>
      </c>
      <c r="CX208" s="623">
        <f>+'ANEXO H'!K141</f>
        <v>597.91</v>
      </c>
      <c r="CY208" s="623">
        <f>+'ANEXO H'!L141</f>
        <v>599.91999999999996</v>
      </c>
      <c r="CZ208" s="623">
        <f>+'ANEXO H'!M141</f>
        <v>606.16999999999996</v>
      </c>
      <c r="DA208" s="623">
        <f>+'ANEXO H'!N141</f>
        <v>630.11</v>
      </c>
      <c r="DB208" s="659">
        <f>+'ANEXO H'!O141</f>
        <v>630.70000000000005</v>
      </c>
      <c r="DC208" s="659">
        <f>+'ANEXO H'!P141</f>
        <v>632.16</v>
      </c>
      <c r="DD208" s="783">
        <f>+'ANEXO H'!E157</f>
        <v>634.61</v>
      </c>
      <c r="DE208" s="623">
        <f>+'ANEXO H'!F157</f>
        <v>641.11</v>
      </c>
      <c r="DF208" s="725">
        <f>+'ANEXO H'!G157</f>
        <v>666.89</v>
      </c>
      <c r="DG208" s="659">
        <f>+'ANEXO H'!H157</f>
        <v>668.11</v>
      </c>
      <c r="DH208" s="623">
        <f>+'ANEXO H'!I157</f>
        <v>685.91</v>
      </c>
      <c r="DI208" s="623">
        <f>+'ANEXO H'!J157</f>
        <v>686.31</v>
      </c>
      <c r="DJ208" s="623">
        <f>+'ANEXO H'!K157</f>
        <v>686.77</v>
      </c>
      <c r="DK208" s="659">
        <f>+'ANEXO H'!L157</f>
        <v>712.74</v>
      </c>
      <c r="DL208" s="623">
        <f>+'ANEXO H'!M157</f>
        <v>713.39</v>
      </c>
      <c r="DM208" s="659">
        <f>+'ANEXO H'!N157</f>
        <v>714.02</v>
      </c>
      <c r="DN208" s="659">
        <f>+'ANEXO H'!O157</f>
        <v>722.74</v>
      </c>
      <c r="DO208" s="897">
        <f>+'ANEXO H'!P157</f>
        <v>753.23</v>
      </c>
      <c r="DP208" s="783">
        <f>+'ANEXO H'!E173</f>
        <v>753.66</v>
      </c>
      <c r="DQ208" s="659">
        <f>+'ANEXO H'!F173</f>
        <v>755.64</v>
      </c>
      <c r="DR208" s="659">
        <f>+'ANEXO H'!G173</f>
        <v>756.5</v>
      </c>
      <c r="DS208" s="659">
        <f>+'ANEXO H'!H173</f>
        <v>814.89</v>
      </c>
      <c r="DT208" s="623">
        <f>+'ANEXO H'!I173</f>
        <v>863.35</v>
      </c>
      <c r="DU208" s="659">
        <f>+'ANEXO H'!J173</f>
        <v>820.04</v>
      </c>
      <c r="DV208" s="659">
        <f>+'ANEXO H'!K173</f>
        <v>870.89</v>
      </c>
      <c r="DW208" s="659">
        <f>+'ANEXO H'!L173</f>
        <v>858.91</v>
      </c>
      <c r="DX208" s="659">
        <f>+'ANEXO H'!M173</f>
        <v>907.4</v>
      </c>
      <c r="DY208" s="659">
        <f>+'ANEXO H'!N173</f>
        <v>907.94</v>
      </c>
      <c r="DZ208" s="659">
        <v>897.8</v>
      </c>
      <c r="EA208" s="897">
        <f>+'ANEXO H'!P173</f>
        <v>900.95</v>
      </c>
      <c r="EB208" s="659">
        <f>+'ANEXO H'!E185</f>
        <v>938.07</v>
      </c>
      <c r="EC208" s="659">
        <f>+'ANEXO H'!F185</f>
        <v>938.95</v>
      </c>
      <c r="ED208" s="659">
        <f>+'ANEXO H'!G185</f>
        <v>939.33</v>
      </c>
      <c r="EE208" s="659">
        <f>+'ANEXO H'!H185</f>
        <v>941.49</v>
      </c>
      <c r="EF208" s="659">
        <f>+'ANEXO H'!I185</f>
        <v>909.77</v>
      </c>
      <c r="EG208" s="659">
        <f>+'ANEXO H'!J185</f>
        <v>1136.53</v>
      </c>
      <c r="EH208" s="659">
        <f>+'ANEXO H'!K185</f>
        <v>1122.5</v>
      </c>
      <c r="EI208" s="659">
        <f>+'ANEXO H'!L185</f>
        <v>1072.8599999999999</v>
      </c>
      <c r="EJ208" s="659">
        <f>+'ANEXO H'!M185</f>
        <v>1073.56</v>
      </c>
      <c r="EK208" s="623">
        <f>+'ANEXO H'!N185</f>
        <v>1085.3599999999999</v>
      </c>
      <c r="EL208" s="659">
        <f>+'ANEXO H'!O185</f>
        <v>1103.52</v>
      </c>
      <c r="EM208" s="659">
        <f>+'ANEXO H'!P185</f>
        <v>1104.6300000000001</v>
      </c>
      <c r="EN208" s="783">
        <f>+'ANEXO H'!E197</f>
        <v>1105.21</v>
      </c>
      <c r="EO208" s="659">
        <f>+'ANEXO H'!F197</f>
        <v>1099.01</v>
      </c>
      <c r="EP208" s="659">
        <f>+'ANEXO H'!G197</f>
        <v>1146.43</v>
      </c>
      <c r="EQ208" s="659">
        <f>+'ANEXO H'!H197</f>
        <v>1152.9000000000001</v>
      </c>
      <c r="ER208" s="659">
        <f>+'ANEXO H'!I197</f>
        <v>1156.25</v>
      </c>
      <c r="ES208" s="659">
        <f>+'ANEXO H'!J197</f>
        <v>1299.99</v>
      </c>
      <c r="ET208" s="659">
        <f>+'ANEXO H'!K197</f>
        <v>1311.02</v>
      </c>
      <c r="EU208" s="659">
        <f>+'ANEXO H'!L197</f>
        <v>1312.04</v>
      </c>
      <c r="EV208" s="659">
        <f>+'ANEXO H'!M197</f>
        <v>1315.41</v>
      </c>
      <c r="EW208" s="659">
        <f>+'ANEXO H'!N197</f>
        <v>1321.27</v>
      </c>
      <c r="EX208" s="659">
        <f>+'ANEXO H'!O197</f>
        <v>1325.43</v>
      </c>
      <c r="EY208" s="659">
        <f>+'ANEXO H'!P197</f>
        <v>1343.79</v>
      </c>
      <c r="EZ208" s="783">
        <f>'ANEXO H'!E209</f>
        <v>1384.3</v>
      </c>
      <c r="FA208" s="659">
        <f>'ANEXO H'!F209</f>
        <v>1412.92</v>
      </c>
      <c r="FB208" s="659">
        <f>'ANEXO H'!G209</f>
        <v>1426.97</v>
      </c>
      <c r="FC208" s="659">
        <f>'ANEXO H'!H209</f>
        <v>1604.32</v>
      </c>
      <c r="FD208" s="659">
        <f>'ANEXO H'!I209</f>
        <v>1608.44</v>
      </c>
      <c r="FE208" s="659">
        <f>'ANEXO H'!J209</f>
        <v>1615.8</v>
      </c>
      <c r="FF208" s="659">
        <f>'ANEXO H'!K209</f>
        <v>1728.1</v>
      </c>
      <c r="FG208" s="659">
        <f>'ANEXO H'!L209</f>
        <v>1745.46</v>
      </c>
      <c r="FH208" s="659">
        <f>'ANEXO H'!M209</f>
        <v>1753.67</v>
      </c>
      <c r="FI208" s="659">
        <f>'ANEXO H'!N209</f>
        <v>1758.21</v>
      </c>
      <c r="FJ208" s="659">
        <f>'ANEXO H'!O209</f>
        <v>1763.75</v>
      </c>
      <c r="FK208" s="897">
        <f>'ANEXO H'!P209</f>
        <v>1765.87</v>
      </c>
      <c r="FL208" s="660">
        <f>'ANEXO H'!E223</f>
        <v>1767.39</v>
      </c>
      <c r="FM208" s="623">
        <f>'ANEXO H'!F223</f>
        <v>1777.09</v>
      </c>
      <c r="FN208" s="623">
        <f>'ANEXO H'!G223</f>
        <v>1780.82</v>
      </c>
      <c r="FO208" s="623">
        <f>'ANEXO H'!H223</f>
        <v>1999.46</v>
      </c>
      <c r="FP208" s="623">
        <f>'ANEXO H'!I223</f>
        <v>2005.69</v>
      </c>
      <c r="FQ208" s="623">
        <f>'ANEXO H'!J223</f>
        <v>2009.68</v>
      </c>
      <c r="FR208" s="623">
        <f>'ANEXO H'!K223</f>
        <v>2035.21</v>
      </c>
      <c r="FS208" s="623">
        <f>'ANEXO H'!L223</f>
        <v>2165.25</v>
      </c>
      <c r="FT208" s="623">
        <f>'ANEXO H'!M223</f>
        <v>2169.6799999999998</v>
      </c>
      <c r="FU208" s="897">
        <f>'ANEXO H'!N223</f>
        <v>2174.31</v>
      </c>
      <c r="FV208" s="1167">
        <f t="shared" si="3"/>
        <v>1.0021339552376387</v>
      </c>
    </row>
    <row r="209" spans="1:178" s="115" customFormat="1" ht="10.5" customHeight="1">
      <c r="A209" s="1546">
        <v>1</v>
      </c>
      <c r="B209" s="408"/>
      <c r="C209" s="622"/>
      <c r="D209" s="622"/>
      <c r="E209" s="622"/>
      <c r="F209" s="622"/>
      <c r="G209" s="621"/>
      <c r="H209" s="621"/>
      <c r="I209" s="390"/>
      <c r="J209" s="676"/>
      <c r="K209" s="669"/>
      <c r="L209" s="665"/>
      <c r="M209" s="625"/>
      <c r="N209" s="625"/>
      <c r="O209" s="625"/>
      <c r="P209" s="625"/>
      <c r="Q209" s="625"/>
      <c r="R209" s="625"/>
      <c r="S209" s="625"/>
      <c r="T209" s="625"/>
      <c r="U209" s="625"/>
      <c r="V209" s="625"/>
      <c r="W209" s="625"/>
      <c r="X209" s="625"/>
      <c r="Y209" s="625"/>
      <c r="Z209" s="625"/>
      <c r="AA209" s="625"/>
      <c r="AB209" s="625"/>
      <c r="AC209" s="625"/>
      <c r="AD209" s="625"/>
      <c r="AE209" s="625"/>
      <c r="AF209" s="625"/>
      <c r="AG209" s="625"/>
      <c r="AH209" s="625"/>
      <c r="AI209" s="764"/>
      <c r="AJ209" s="772"/>
      <c r="AK209" s="625"/>
      <c r="AL209" s="625"/>
      <c r="AM209" s="625"/>
      <c r="AN209" s="625"/>
      <c r="AO209" s="625"/>
      <c r="AP209" s="625"/>
      <c r="AQ209" s="625"/>
      <c r="AR209" s="625"/>
      <c r="AS209" s="625"/>
      <c r="AT209" s="625"/>
      <c r="AU209" s="764"/>
      <c r="AV209" s="752"/>
      <c r="AW209" s="626"/>
      <c r="AX209" s="626"/>
      <c r="AY209" s="626"/>
      <c r="AZ209" s="626"/>
      <c r="BA209" s="628"/>
      <c r="BB209" s="628"/>
      <c r="BC209" s="627"/>
      <c r="BD209" s="626"/>
      <c r="BE209" s="627"/>
      <c r="BF209" s="627"/>
      <c r="BG209" s="738"/>
      <c r="BH209" s="660"/>
      <c r="BI209" s="623"/>
      <c r="BJ209" s="623"/>
      <c r="BK209" s="623"/>
      <c r="BL209" s="623"/>
      <c r="BM209" s="623"/>
      <c r="BN209" s="623"/>
      <c r="BO209" s="623"/>
      <c r="BP209" s="623"/>
      <c r="BQ209" s="623"/>
      <c r="BR209" s="623"/>
      <c r="BS209" s="659"/>
      <c r="BT209" s="660"/>
      <c r="BU209" s="623"/>
      <c r="BV209" s="623"/>
      <c r="BW209" s="623"/>
      <c r="BX209" s="623"/>
      <c r="BY209" s="623"/>
      <c r="BZ209" s="623"/>
      <c r="CA209" s="623"/>
      <c r="CB209" s="623"/>
      <c r="CC209" s="623"/>
      <c r="CD209" s="623"/>
      <c r="CE209" s="659"/>
      <c r="CF209" s="660"/>
      <c r="CG209" s="623"/>
      <c r="CH209" s="623"/>
      <c r="CI209" s="623"/>
      <c r="CJ209" s="623"/>
      <c r="CK209" s="623"/>
      <c r="CL209" s="623"/>
      <c r="CM209" s="623"/>
      <c r="CN209" s="623"/>
      <c r="CO209" s="623"/>
      <c r="CP209" s="623"/>
      <c r="CQ209" s="659"/>
      <c r="CR209" s="660"/>
      <c r="CS209" s="623"/>
      <c r="CT209" s="623"/>
      <c r="CU209" s="623"/>
      <c r="CV209" s="623"/>
      <c r="CW209" s="623"/>
      <c r="CX209" s="623"/>
      <c r="CY209" s="623"/>
      <c r="CZ209" s="623"/>
      <c r="DA209" s="623"/>
      <c r="DB209" s="659"/>
      <c r="DC209" s="659"/>
      <c r="DD209" s="783"/>
      <c r="DE209" s="623"/>
      <c r="DF209" s="725"/>
      <c r="DG209" s="659"/>
      <c r="DH209" s="623"/>
      <c r="DI209" s="623"/>
      <c r="DJ209" s="623"/>
      <c r="DK209" s="659"/>
      <c r="DL209" s="623"/>
      <c r="DM209" s="659"/>
      <c r="DN209" s="659"/>
      <c r="DO209" s="897"/>
      <c r="DP209" s="783"/>
      <c r="DQ209" s="659"/>
      <c r="DR209" s="659"/>
      <c r="DS209" s="659"/>
      <c r="DT209" s="623"/>
      <c r="DU209" s="659"/>
      <c r="DV209" s="659"/>
      <c r="DW209" s="659"/>
      <c r="DX209" s="659"/>
      <c r="DY209" s="659"/>
      <c r="DZ209" s="659"/>
      <c r="EA209" s="897"/>
      <c r="EB209" s="659"/>
      <c r="EC209" s="659"/>
      <c r="ED209" s="659"/>
      <c r="EE209" s="659"/>
      <c r="EF209" s="659"/>
      <c r="EG209" s="659"/>
      <c r="EH209" s="659"/>
      <c r="EI209" s="659"/>
      <c r="EJ209" s="659"/>
      <c r="EK209" s="623"/>
      <c r="EL209" s="659"/>
      <c r="EM209" s="659"/>
      <c r="EN209" s="783"/>
      <c r="EO209" s="659"/>
      <c r="EP209" s="659"/>
      <c r="EQ209" s="659"/>
      <c r="ER209" s="659"/>
      <c r="ES209" s="659"/>
      <c r="ET209" s="659"/>
      <c r="EU209" s="659"/>
      <c r="EV209" s="659"/>
      <c r="EW209" s="659"/>
      <c r="EX209" s="659"/>
      <c r="EY209" s="659"/>
      <c r="EZ209" s="783"/>
      <c r="FA209" s="659"/>
      <c r="FB209" s="659"/>
      <c r="FC209" s="659"/>
      <c r="FD209" s="659"/>
      <c r="FE209" s="659"/>
      <c r="FF209" s="659"/>
      <c r="FG209" s="659"/>
      <c r="FH209" s="659"/>
      <c r="FI209" s="659"/>
      <c r="FJ209" s="659"/>
      <c r="FK209" s="897"/>
      <c r="FL209" s="660"/>
      <c r="FM209" s="623"/>
      <c r="FN209" s="623"/>
      <c r="FO209" s="623"/>
      <c r="FP209" s="623"/>
      <c r="FQ209" s="623"/>
      <c r="FR209" s="623"/>
      <c r="FS209" s="623"/>
      <c r="FT209" s="623"/>
      <c r="FU209" s="897"/>
      <c r="FV209" s="1167"/>
    </row>
    <row r="210" spans="1:178" s="115" customFormat="1" ht="18.95" customHeight="1">
      <c r="A210" s="1546">
        <v>1</v>
      </c>
      <c r="B210" s="408">
        <v>601</v>
      </c>
      <c r="C210" s="622"/>
      <c r="D210" s="622" t="s">
        <v>384</v>
      </c>
      <c r="E210" s="622"/>
      <c r="F210" s="622"/>
      <c r="G210" s="621" t="s">
        <v>336</v>
      </c>
      <c r="H210" s="621"/>
      <c r="I210" s="390"/>
      <c r="J210" s="676" t="s">
        <v>385</v>
      </c>
      <c r="K210" s="668" t="s">
        <v>386</v>
      </c>
      <c r="L210" s="665" t="s">
        <v>386</v>
      </c>
      <c r="M210" s="625" t="s">
        <v>386</v>
      </c>
      <c r="N210" s="625" t="s">
        <v>386</v>
      </c>
      <c r="O210" s="625" t="s">
        <v>386</v>
      </c>
      <c r="P210" s="625" t="s">
        <v>386</v>
      </c>
      <c r="Q210" s="625">
        <v>100</v>
      </c>
      <c r="R210" s="625">
        <v>109.55</v>
      </c>
      <c r="S210" s="625">
        <v>108.95</v>
      </c>
      <c r="T210" s="625">
        <v>110.45</v>
      </c>
      <c r="U210" s="625">
        <v>114.45</v>
      </c>
      <c r="V210" s="625">
        <v>113.15</v>
      </c>
      <c r="W210" s="625">
        <v>113</v>
      </c>
      <c r="X210" s="625">
        <v>111.2</v>
      </c>
      <c r="Y210" s="625">
        <v>109.5</v>
      </c>
      <c r="Z210" s="625">
        <v>110.2</v>
      </c>
      <c r="AA210" s="625">
        <v>105.45</v>
      </c>
      <c r="AB210" s="625">
        <v>105.35</v>
      </c>
      <c r="AC210" s="625">
        <v>108.7</v>
      </c>
      <c r="AD210" s="625">
        <v>108.5</v>
      </c>
      <c r="AE210" s="625">
        <v>108.95</v>
      </c>
      <c r="AF210" s="625">
        <v>109.05</v>
      </c>
      <c r="AG210" s="625">
        <v>108.55</v>
      </c>
      <c r="AH210" s="625">
        <v>109.55</v>
      </c>
      <c r="AI210" s="764">
        <v>110.25</v>
      </c>
      <c r="AJ210" s="772">
        <v>117.3</v>
      </c>
      <c r="AK210" s="625">
        <v>118.2</v>
      </c>
      <c r="AL210" s="625">
        <v>120.8</v>
      </c>
      <c r="AM210" s="625">
        <v>121</v>
      </c>
      <c r="AN210" s="625">
        <v>127.3</v>
      </c>
      <c r="AO210" s="625">
        <v>129.4</v>
      </c>
      <c r="AP210" s="625">
        <v>129.75</v>
      </c>
      <c r="AQ210" s="625">
        <v>130.19999999999999</v>
      </c>
      <c r="AR210" s="625">
        <v>130.05000000000001</v>
      </c>
      <c r="AS210" s="625">
        <f>+'ANEXO J'!N43</f>
        <v>131.5</v>
      </c>
      <c r="AT210" s="625">
        <f>+'ANEXO J'!O43</f>
        <v>134.69999999999999</v>
      </c>
      <c r="AU210" s="764">
        <f>+'ANEXO J'!P43</f>
        <v>135.85</v>
      </c>
      <c r="AV210" s="752">
        <f>+'ANEXO J'!E53</f>
        <v>136.30000000000001</v>
      </c>
      <c r="AW210" s="626">
        <f>+'ANEXO J'!F53</f>
        <v>136.85</v>
      </c>
      <c r="AX210" s="626">
        <f>+'ANEXO J'!G53</f>
        <v>137.4</v>
      </c>
      <c r="AY210" s="626">
        <f>+'ANEXO J'!H53</f>
        <v>138.4</v>
      </c>
      <c r="AZ210" s="626">
        <f>+'ANEXO J'!I53</f>
        <v>144.1</v>
      </c>
      <c r="BA210" s="626">
        <f>+'ANEXO J'!J53</f>
        <v>143.94999999999999</v>
      </c>
      <c r="BB210" s="626">
        <f>+'ANEXO J'!K53</f>
        <v>146.1</v>
      </c>
      <c r="BC210" s="626">
        <f>+'ANEXO J'!L53</f>
        <v>146.19999999999999</v>
      </c>
      <c r="BD210" s="626">
        <f>+'ANEXO J'!M53</f>
        <v>146.69999999999999</v>
      </c>
      <c r="BE210" s="626">
        <f>+'ANEXO J'!N53</f>
        <v>152.1</v>
      </c>
      <c r="BF210" s="626">
        <f>+'ANEXO J'!O53</f>
        <v>156.69999999999999</v>
      </c>
      <c r="BG210" s="749">
        <f>+'ANEXO J'!P53</f>
        <v>155.44999999999999</v>
      </c>
      <c r="BH210" s="660">
        <f>+'ANEXO J'!E63</f>
        <v>153.35</v>
      </c>
      <c r="BI210" s="623">
        <f>+'ANEXO J'!F63</f>
        <v>156.85</v>
      </c>
      <c r="BJ210" s="623">
        <f>+'ANEXO J'!G63</f>
        <v>154.6</v>
      </c>
      <c r="BK210" s="623">
        <f>+'ANEXO J'!H63</f>
        <v>156.1</v>
      </c>
      <c r="BL210" s="623">
        <f>+'ANEXO J'!I63</f>
        <v>163.75</v>
      </c>
      <c r="BM210" s="623">
        <f>+'ANEXO J'!J63</f>
        <v>166.45</v>
      </c>
      <c r="BN210" s="623">
        <f>+'ANEXO J'!K63</f>
        <v>174.15</v>
      </c>
      <c r="BO210" s="623">
        <f>+'ANEXO J'!L63</f>
        <v>174.9</v>
      </c>
      <c r="BP210" s="623">
        <f>+'ANEXO J'!M63</f>
        <v>174.85</v>
      </c>
      <c r="BQ210" s="623">
        <f>+'ANEXO J'!N63</f>
        <v>174.85</v>
      </c>
      <c r="BR210" s="623">
        <f>+'ANEXO J'!O63</f>
        <v>175.1</v>
      </c>
      <c r="BS210" s="659">
        <f>+'ANEXO J'!P63</f>
        <v>175.55</v>
      </c>
      <c r="BT210" s="660">
        <f>+'ANEXO J'!E73</f>
        <v>175.55</v>
      </c>
      <c r="BU210" s="623">
        <f>+'ANEXO J'!F73</f>
        <v>182.1</v>
      </c>
      <c r="BV210" s="623">
        <f>+'ANEXO J'!G73</f>
        <v>183.15</v>
      </c>
      <c r="BW210" s="623">
        <f>+'ANEXO J'!H73</f>
        <v>194.85</v>
      </c>
      <c r="BX210" s="623">
        <f>+'ANEXO J'!I73</f>
        <v>202.2</v>
      </c>
      <c r="BY210" s="623">
        <f>+'ANEXO J'!J73</f>
        <v>203.35</v>
      </c>
      <c r="BZ210" s="623">
        <f>+'ANEXO J'!K73</f>
        <v>208.9</v>
      </c>
      <c r="CA210" s="623">
        <f>+'ANEXO J'!L73</f>
        <v>210.8</v>
      </c>
      <c r="CB210" s="623">
        <f>+'ANEXO J'!M73</f>
        <v>211.2</v>
      </c>
      <c r="CC210" s="623">
        <v>212.45</v>
      </c>
      <c r="CD210" s="623">
        <f>+'ANEXO J'!O73</f>
        <v>214</v>
      </c>
      <c r="CE210" s="659">
        <f>+'ANEXO J'!P73</f>
        <v>215.6</v>
      </c>
      <c r="CF210" s="660">
        <f>+'ANEXO J'!E83</f>
        <v>219.55</v>
      </c>
      <c r="CG210" s="623">
        <f>+'ANEXO J'!F83</f>
        <v>224.25</v>
      </c>
      <c r="CH210" s="623">
        <f>+'ANEXO J'!G83</f>
        <v>224.15</v>
      </c>
      <c r="CI210" s="623">
        <f>+'ANEXO J'!H83</f>
        <v>234.45</v>
      </c>
      <c r="CJ210" s="623">
        <f>+'ANEXO J'!I83</f>
        <v>240.7</v>
      </c>
      <c r="CK210" s="623">
        <f>+'ANEXO J'!J83</f>
        <v>240.15</v>
      </c>
      <c r="CL210" s="623">
        <f>+'ANEXO J'!K83</f>
        <v>244.15</v>
      </c>
      <c r="CM210" s="623">
        <f>+'ANEXO J'!L83</f>
        <v>247.65</v>
      </c>
      <c r="CN210" s="623">
        <f>+'ANEXO J'!M83</f>
        <v>248.2</v>
      </c>
      <c r="CO210" s="623">
        <f>+'ANEXO J'!N83</f>
        <v>249.4</v>
      </c>
      <c r="CP210" s="623">
        <f>+'ANEXO J'!O83</f>
        <v>252.55</v>
      </c>
      <c r="CQ210" s="659">
        <f>+'ANEXO J'!P83</f>
        <v>247</v>
      </c>
      <c r="CR210" s="660">
        <f>+'ANEXO J'!E93</f>
        <v>247</v>
      </c>
      <c r="CS210" s="623">
        <f>+'ANEXO J'!F93</f>
        <v>253.6</v>
      </c>
      <c r="CT210" s="623">
        <f>+'ANEXO J'!G93</f>
        <v>252.75</v>
      </c>
      <c r="CU210" s="623">
        <f>+'ANEXO J'!H93</f>
        <v>250.95</v>
      </c>
      <c r="CV210" s="623">
        <f>+'ANEXO J'!I93</f>
        <v>253.5</v>
      </c>
      <c r="CW210" s="623">
        <f>+'ANEXO J'!J93</f>
        <v>253.95</v>
      </c>
      <c r="CX210" s="623">
        <f>+'ANEXO J'!K93</f>
        <v>254.5</v>
      </c>
      <c r="CY210" s="623">
        <f>+'ANEXO J'!L93</f>
        <v>254.8</v>
      </c>
      <c r="CZ210" s="623">
        <f>+'ANEXO J'!M93</f>
        <v>263.60000000000002</v>
      </c>
      <c r="DA210" s="623">
        <f>+'ANEXO J'!N93</f>
        <v>263.2</v>
      </c>
      <c r="DB210" s="659">
        <f>+'ANEXO J'!O93</f>
        <v>267.5</v>
      </c>
      <c r="DC210" s="659">
        <f>+'ANEXO J'!P93</f>
        <v>267.60000000000002</v>
      </c>
      <c r="DD210" s="783">
        <f>+'ANEXO J'!E103</f>
        <v>272.60000000000002</v>
      </c>
      <c r="DE210" s="623">
        <f>+'ANEXO J'!F103</f>
        <v>268.10000000000002</v>
      </c>
      <c r="DF210" s="725">
        <f>+'ANEXO J'!G103</f>
        <v>273.10000000000002</v>
      </c>
      <c r="DG210" s="659">
        <f>+'ANEXO J'!H103</f>
        <v>277</v>
      </c>
      <c r="DH210" s="623">
        <f>+'ANEXO J'!I103</f>
        <v>284.39999999999998</v>
      </c>
      <c r="DI210" s="623">
        <f>+'ANEXO J'!J103</f>
        <v>285.85000000000002</v>
      </c>
      <c r="DJ210" s="623">
        <f>+'ANEXO J'!K103</f>
        <v>284.45</v>
      </c>
      <c r="DK210" s="659">
        <f>+'ANEXO J'!L103</f>
        <v>286.89999999999998</v>
      </c>
      <c r="DL210" s="623">
        <f>+'ANEXO J'!M103</f>
        <v>288.45</v>
      </c>
      <c r="DM210" s="659">
        <f>+'ANEXO J'!N103</f>
        <v>288.39999999999998</v>
      </c>
      <c r="DN210" s="659">
        <f>+'ANEXO J'!O103</f>
        <v>289.89999999999998</v>
      </c>
      <c r="DO210" s="897">
        <f>+'ANEXO J'!P103</f>
        <v>290.60000000000002</v>
      </c>
      <c r="DP210" s="783">
        <f>+'ANEXO J'!E112</f>
        <v>290.95</v>
      </c>
      <c r="DQ210" s="659">
        <f>+'ANEXO J'!F112</f>
        <v>298.05</v>
      </c>
      <c r="DR210" s="659">
        <f>+'ANEXO J'!G112</f>
        <v>298.5</v>
      </c>
      <c r="DS210" s="659">
        <f>+'ANEXO J'!H112</f>
        <v>301.5</v>
      </c>
      <c r="DT210" s="623">
        <f>+'ANEXO J'!I112</f>
        <v>307.75</v>
      </c>
      <c r="DU210" s="659">
        <f>+'ANEXO J'!J112</f>
        <v>312.64999999999998</v>
      </c>
      <c r="DV210" s="659">
        <f>+'ANEXO J'!K112</f>
        <v>315.8</v>
      </c>
      <c r="DW210" s="659">
        <f>+'ANEXO J'!L112</f>
        <v>319.75</v>
      </c>
      <c r="DX210" s="659">
        <f>+'ANEXO J'!M112</f>
        <v>321.89999999999998</v>
      </c>
      <c r="DY210" s="659">
        <f>+'ANEXO J'!N112</f>
        <v>322</v>
      </c>
      <c r="DZ210" s="659">
        <v>327.60000000000002</v>
      </c>
      <c r="EA210" s="897">
        <f>+'ANEXO J'!P112</f>
        <v>330.15</v>
      </c>
      <c r="EB210" s="659">
        <f>+'ANEXO J'!E119</f>
        <v>331</v>
      </c>
      <c r="EC210" s="659">
        <f>+'ANEXO J'!F119</f>
        <v>333.75</v>
      </c>
      <c r="ED210" s="659">
        <f>+'ANEXO J'!G119</f>
        <v>334.35</v>
      </c>
      <c r="EE210" s="659">
        <f>+'ANEXO J'!H119</f>
        <v>338.9</v>
      </c>
      <c r="EF210" s="659">
        <f>+'ANEXO J'!I119</f>
        <v>340.9</v>
      </c>
      <c r="EG210" s="659">
        <f>+'ANEXO J'!J119</f>
        <v>343.35</v>
      </c>
      <c r="EH210" s="659">
        <f>+'ANEXO J'!K119</f>
        <v>345.15</v>
      </c>
      <c r="EI210" s="659">
        <f>+'ANEXO J'!L119</f>
        <v>349.95</v>
      </c>
      <c r="EJ210" s="659">
        <f>+'ANEXO J'!M119</f>
        <v>358.35</v>
      </c>
      <c r="EK210" s="623">
        <f>+'ANEXO J'!N119</f>
        <v>363.15</v>
      </c>
      <c r="EL210" s="659">
        <f>+'ANEXO J'!O119</f>
        <v>365.1</v>
      </c>
      <c r="EM210" s="659">
        <f>+'ANEXO J'!P119</f>
        <v>368.45</v>
      </c>
      <c r="EN210" s="783">
        <f>+'ANEXO J'!E126</f>
        <v>370.2</v>
      </c>
      <c r="EO210" s="659">
        <f>+'ANEXO J'!F126</f>
        <v>376</v>
      </c>
      <c r="EP210" s="659">
        <f>+'ANEXO J'!G126</f>
        <v>382.25</v>
      </c>
      <c r="EQ210" s="659">
        <f>+'ANEXO J'!H126</f>
        <v>383.5</v>
      </c>
      <c r="ER210" s="659">
        <f>+'ANEXO J'!I126</f>
        <v>391.5</v>
      </c>
      <c r="ES210" s="659">
        <f>+'ANEXO J'!J126</f>
        <v>396.65</v>
      </c>
      <c r="ET210" s="659">
        <f>+'ANEXO J'!K126</f>
        <v>404.4</v>
      </c>
      <c r="EU210" s="659">
        <f>+'ANEXO J'!L126</f>
        <v>409.5</v>
      </c>
      <c r="EV210" s="659">
        <f>+'ANEXO J'!M126</f>
        <v>405.55</v>
      </c>
      <c r="EW210" s="659">
        <f>+'ANEXO J'!N126</f>
        <v>382.05</v>
      </c>
      <c r="EX210" s="659">
        <f>+'ANEXO J'!O126</f>
        <v>406.5</v>
      </c>
      <c r="EY210" s="659">
        <f>+'ANEXO J'!P126</f>
        <v>407</v>
      </c>
      <c r="EZ210" s="783">
        <f>'ANEXO J'!E133</f>
        <v>409.15</v>
      </c>
      <c r="FA210" s="659">
        <f>'ANEXO J'!F133</f>
        <v>414.5</v>
      </c>
      <c r="FB210" s="659">
        <f>'ANEXO J'!G133</f>
        <v>460.65</v>
      </c>
      <c r="FC210" s="659">
        <f>'ANEXO J'!H133</f>
        <v>468.7</v>
      </c>
      <c r="FD210" s="659">
        <f>'ANEXO J'!I133</f>
        <v>469.55</v>
      </c>
      <c r="FE210" s="659">
        <f>'ANEXO J'!J133</f>
        <v>479</v>
      </c>
      <c r="FF210" s="659">
        <f>'ANEXO J'!K133</f>
        <v>490.05</v>
      </c>
      <c r="FG210" s="659">
        <f>'ANEXO J'!L133</f>
        <v>507</v>
      </c>
      <c r="FH210" s="659">
        <f>'ANEXO J'!M133</f>
        <v>510.4</v>
      </c>
      <c r="FI210" s="659">
        <f>'ANEXO J'!N133</f>
        <v>517.95000000000005</v>
      </c>
      <c r="FJ210" s="659">
        <f>'ANEXO J'!O133</f>
        <v>519.29999999999995</v>
      </c>
      <c r="FK210" s="897">
        <f>'ANEXO J'!P133</f>
        <v>521.9</v>
      </c>
      <c r="FL210" s="660">
        <f>'ANEXO J'!E140</f>
        <v>526.70000000000005</v>
      </c>
      <c r="FM210" s="623">
        <f>'ANEXO J'!F140</f>
        <v>529</v>
      </c>
      <c r="FN210" s="623">
        <f>'ANEXO J'!G140</f>
        <v>539.15</v>
      </c>
      <c r="FO210" s="623">
        <f>'ANEXO J'!H140</f>
        <v>543</v>
      </c>
      <c r="FP210" s="623">
        <f>'ANEXO J'!I140</f>
        <v>548.95000000000005</v>
      </c>
      <c r="FQ210" s="623">
        <f>'ANEXO J'!J140</f>
        <v>583.79999999999995</v>
      </c>
      <c r="FR210" s="623">
        <f>'ANEXO J'!K140</f>
        <v>592.95000000000005</v>
      </c>
      <c r="FS210" s="623">
        <f>'ANEXO J'!L140</f>
        <v>596.25</v>
      </c>
      <c r="FT210" s="623">
        <f>'ANEXO J'!M140</f>
        <v>605.65</v>
      </c>
      <c r="FU210" s="897">
        <f>'ANEXO J'!N140</f>
        <v>629.45000000000005</v>
      </c>
      <c r="FV210" s="1167">
        <f t="shared" si="3"/>
        <v>1.0392966234623959</v>
      </c>
    </row>
    <row r="211" spans="1:178" s="115" customFormat="1" ht="18.95" customHeight="1">
      <c r="A211" s="1546">
        <v>1</v>
      </c>
      <c r="B211" s="408">
        <v>602</v>
      </c>
      <c r="C211" s="621" t="s">
        <v>387</v>
      </c>
      <c r="D211" s="622" t="s">
        <v>388</v>
      </c>
      <c r="E211" s="621" t="s">
        <v>918</v>
      </c>
      <c r="F211" s="622"/>
      <c r="G211" s="621" t="s">
        <v>929</v>
      </c>
      <c r="H211" s="621"/>
      <c r="I211" s="390"/>
      <c r="J211" s="676" t="s">
        <v>389</v>
      </c>
      <c r="K211" s="669">
        <v>91.6</v>
      </c>
      <c r="L211" s="665">
        <v>102.2</v>
      </c>
      <c r="M211" s="625">
        <v>136.19999999999999</v>
      </c>
      <c r="N211" s="625">
        <v>169.2</v>
      </c>
      <c r="O211" s="625">
        <v>177.5</v>
      </c>
      <c r="P211" s="625">
        <v>205.9</v>
      </c>
      <c r="Q211" s="625">
        <v>222.2</v>
      </c>
      <c r="R211" s="625">
        <v>223.2</v>
      </c>
      <c r="S211" s="625">
        <v>242.1</v>
      </c>
      <c r="T211" s="625">
        <v>243.7</v>
      </c>
      <c r="U211" s="625">
        <v>243.4</v>
      </c>
      <c r="V211" s="625">
        <v>242.5</v>
      </c>
      <c r="W211" s="625">
        <v>242.7</v>
      </c>
      <c r="X211" s="625">
        <v>240.4</v>
      </c>
      <c r="Y211" s="625">
        <v>237.8</v>
      </c>
      <c r="Z211" s="625">
        <v>236.8</v>
      </c>
      <c r="AA211" s="625">
        <v>235.2</v>
      </c>
      <c r="AB211" s="625">
        <v>231.6</v>
      </c>
      <c r="AC211" s="625">
        <v>225.2</v>
      </c>
      <c r="AD211" s="625">
        <v>225.2</v>
      </c>
      <c r="AE211" s="625">
        <v>225.7</v>
      </c>
      <c r="AF211" s="625">
        <v>226.6</v>
      </c>
      <c r="AG211" s="625">
        <v>221.8</v>
      </c>
      <c r="AH211" s="625">
        <v>222</v>
      </c>
      <c r="AI211" s="764">
        <v>227.3</v>
      </c>
      <c r="AJ211" s="772">
        <v>223.7</v>
      </c>
      <c r="AK211" s="625">
        <v>226.4</v>
      </c>
      <c r="AL211" s="625">
        <v>227.7</v>
      </c>
      <c r="AM211" s="625">
        <v>227.6</v>
      </c>
      <c r="AN211" s="625">
        <v>232.2</v>
      </c>
      <c r="AO211" s="625">
        <v>234.7</v>
      </c>
      <c r="AP211" s="625">
        <v>234.6</v>
      </c>
      <c r="AQ211" s="625">
        <v>238.5</v>
      </c>
      <c r="AR211" s="625">
        <v>241.3</v>
      </c>
      <c r="AS211" s="625">
        <v>246.5</v>
      </c>
      <c r="AT211" s="625">
        <v>246.4</v>
      </c>
      <c r="AU211" s="764">
        <v>246.4</v>
      </c>
      <c r="AV211" s="752">
        <v>254.8</v>
      </c>
      <c r="AW211" s="626">
        <v>256.3</v>
      </c>
      <c r="AX211" s="626">
        <v>258.89999999999998</v>
      </c>
      <c r="AY211" s="626">
        <v>259.3</v>
      </c>
      <c r="AZ211" s="626">
        <v>259.39999999999998</v>
      </c>
      <c r="BA211" s="626">
        <v>259.2</v>
      </c>
      <c r="BB211" s="626">
        <v>259.39999999999998</v>
      </c>
      <c r="BC211" s="627">
        <v>261.8</v>
      </c>
      <c r="BD211" s="626">
        <v>263.7</v>
      </c>
      <c r="BE211" s="627">
        <v>264.60000000000002</v>
      </c>
      <c r="BF211" s="627">
        <v>264.10000000000002</v>
      </c>
      <c r="BG211" s="738">
        <v>265.3</v>
      </c>
      <c r="BH211" s="660">
        <v>268.10000000000002</v>
      </c>
      <c r="BI211" s="623">
        <v>268.3</v>
      </c>
      <c r="BJ211" s="623">
        <v>269</v>
      </c>
      <c r="BK211" s="623">
        <v>268.8</v>
      </c>
      <c r="BL211" s="623">
        <v>269.89999999999998</v>
      </c>
      <c r="BM211" s="623">
        <v>273.10000000000002</v>
      </c>
      <c r="BN211" s="623">
        <v>275.5</v>
      </c>
      <c r="BO211" s="623">
        <v>278</v>
      </c>
      <c r="BP211" s="623">
        <v>280.10000000000002</v>
      </c>
      <c r="BQ211" s="623">
        <v>280.2</v>
      </c>
      <c r="BR211" s="623">
        <v>280</v>
      </c>
      <c r="BS211" s="659">
        <v>280.10000000000002</v>
      </c>
      <c r="BT211" s="660">
        <v>286</v>
      </c>
      <c r="BU211" s="623">
        <v>287.3</v>
      </c>
      <c r="BV211" s="623">
        <v>287.39999999999998</v>
      </c>
      <c r="BW211" s="623">
        <v>288.89999999999998</v>
      </c>
      <c r="BX211" s="623">
        <v>295.5</v>
      </c>
      <c r="BY211" s="623">
        <v>295.3</v>
      </c>
      <c r="BZ211" s="623">
        <v>297.3</v>
      </c>
      <c r="CA211" s="623">
        <v>303.8</v>
      </c>
      <c r="CB211" s="623">
        <v>311.89999999999998</v>
      </c>
      <c r="CC211" s="623">
        <v>325.10000000000002</v>
      </c>
      <c r="CD211" s="623">
        <v>325.39999999999998</v>
      </c>
      <c r="CE211" s="659">
        <v>328</v>
      </c>
      <c r="CF211" s="660">
        <v>328</v>
      </c>
      <c r="CG211" s="623">
        <v>333.2</v>
      </c>
      <c r="CH211" s="623">
        <v>329.8</v>
      </c>
      <c r="CI211" s="623">
        <v>330.7</v>
      </c>
      <c r="CJ211" s="623">
        <v>331.3</v>
      </c>
      <c r="CK211" s="623">
        <v>337.3</v>
      </c>
      <c r="CL211" s="623">
        <v>344.1</v>
      </c>
      <c r="CM211" s="623">
        <v>348.6</v>
      </c>
      <c r="CN211" s="623">
        <v>349.5</v>
      </c>
      <c r="CO211" s="623">
        <v>349.5</v>
      </c>
      <c r="CP211" s="623">
        <v>352.3</v>
      </c>
      <c r="CQ211" s="659">
        <v>360.9</v>
      </c>
      <c r="CR211" s="660">
        <v>361.7</v>
      </c>
      <c r="CS211" s="623">
        <v>364.2</v>
      </c>
      <c r="CT211" s="623">
        <v>373.2</v>
      </c>
      <c r="CU211" s="623">
        <v>376.3</v>
      </c>
      <c r="CV211" s="623">
        <v>377.7</v>
      </c>
      <c r="CW211" s="623">
        <v>391.6</v>
      </c>
      <c r="CX211" s="623">
        <v>393.1</v>
      </c>
      <c r="CY211" s="623">
        <v>396.9</v>
      </c>
      <c r="CZ211" s="623">
        <v>397.6</v>
      </c>
      <c r="DA211" s="623">
        <v>397.8</v>
      </c>
      <c r="DB211" s="725">
        <v>405</v>
      </c>
      <c r="DC211" s="659">
        <v>409.4</v>
      </c>
      <c r="DD211" s="783">
        <v>409.9</v>
      </c>
      <c r="DE211" s="623">
        <v>411</v>
      </c>
      <c r="DF211" s="725">
        <v>411</v>
      </c>
      <c r="DG211" s="659">
        <v>397.6</v>
      </c>
      <c r="DH211" s="623">
        <v>398.8</v>
      </c>
      <c r="DI211" s="623">
        <v>403.2</v>
      </c>
      <c r="DJ211" s="623">
        <v>404.1</v>
      </c>
      <c r="DK211" s="659">
        <v>404.1</v>
      </c>
      <c r="DL211" s="623">
        <v>409.4</v>
      </c>
      <c r="DM211" s="659">
        <v>410.3</v>
      </c>
      <c r="DN211" s="659">
        <v>411.9</v>
      </c>
      <c r="DO211" s="897">
        <v>412.8</v>
      </c>
      <c r="DP211" s="783">
        <v>415</v>
      </c>
      <c r="DQ211" s="659">
        <v>416.2</v>
      </c>
      <c r="DR211" s="659">
        <v>419.1</v>
      </c>
      <c r="DS211" s="659">
        <v>428.7</v>
      </c>
      <c r="DT211" s="623">
        <v>435.1</v>
      </c>
      <c r="DU211" s="659">
        <v>438.9</v>
      </c>
      <c r="DV211" s="659">
        <v>445.1</v>
      </c>
      <c r="DW211" s="659">
        <v>446.5</v>
      </c>
      <c r="DX211" s="659">
        <v>447.8</v>
      </c>
      <c r="DY211" s="659">
        <v>450.7</v>
      </c>
      <c r="DZ211" s="659">
        <v>452</v>
      </c>
      <c r="EA211" s="897">
        <v>453.2</v>
      </c>
      <c r="EB211" s="659">
        <v>458</v>
      </c>
      <c r="EC211" s="659">
        <v>471.4</v>
      </c>
      <c r="ED211" s="659">
        <v>484</v>
      </c>
      <c r="EE211" s="659">
        <v>486.3</v>
      </c>
      <c r="EF211" s="659">
        <v>487.4</v>
      </c>
      <c r="EG211" s="659">
        <v>490.6</v>
      </c>
      <c r="EH211" s="659">
        <v>504</v>
      </c>
      <c r="EI211" s="659">
        <v>516.29999999999995</v>
      </c>
      <c r="EJ211" s="659">
        <v>517.70000000000005</v>
      </c>
      <c r="EK211" s="623">
        <v>521.1</v>
      </c>
      <c r="EL211" s="725">
        <v>530.1</v>
      </c>
      <c r="EM211" s="659">
        <v>535</v>
      </c>
      <c r="EN211" s="783">
        <v>539</v>
      </c>
      <c r="EO211" s="659">
        <v>538.29999999999995</v>
      </c>
      <c r="EP211" s="659">
        <v>541.1</v>
      </c>
      <c r="EQ211" s="659">
        <v>542.79999999999995</v>
      </c>
      <c r="ER211" s="659">
        <v>545.20000000000005</v>
      </c>
      <c r="ES211" s="659">
        <v>550.9</v>
      </c>
      <c r="ET211" s="659">
        <v>552.6</v>
      </c>
      <c r="EU211" s="659">
        <v>556.29999999999995</v>
      </c>
      <c r="EV211" s="659">
        <v>573.29999999999995</v>
      </c>
      <c r="EW211" s="659">
        <v>566.20000000000005</v>
      </c>
      <c r="EX211" s="659">
        <v>584.4</v>
      </c>
      <c r="EY211" s="659">
        <v>599.4</v>
      </c>
      <c r="EZ211" s="783">
        <v>651.6</v>
      </c>
      <c r="FA211" s="659">
        <v>765.2</v>
      </c>
      <c r="FB211" s="659">
        <v>773.6</v>
      </c>
      <c r="FC211" s="659">
        <v>782.9</v>
      </c>
      <c r="FD211" s="659">
        <v>786.3</v>
      </c>
      <c r="FE211" s="659">
        <v>797.7</v>
      </c>
      <c r="FF211" s="659">
        <v>807.2</v>
      </c>
      <c r="FG211" s="659">
        <v>809.8</v>
      </c>
      <c r="FH211" s="659">
        <v>814</v>
      </c>
      <c r="FI211" s="659">
        <v>831.7</v>
      </c>
      <c r="FJ211" s="659">
        <v>835</v>
      </c>
      <c r="FK211" s="897">
        <v>822.6</v>
      </c>
      <c r="FL211" s="660">
        <v>830.3</v>
      </c>
      <c r="FM211" s="623">
        <v>836.2</v>
      </c>
      <c r="FN211" s="623">
        <v>839.3</v>
      </c>
      <c r="FO211" s="623">
        <v>867.8</v>
      </c>
      <c r="FP211" s="623">
        <v>893.3</v>
      </c>
      <c r="FQ211" s="623">
        <v>897.1</v>
      </c>
      <c r="FR211" s="623">
        <v>900.9</v>
      </c>
      <c r="FS211" s="623">
        <v>896.9</v>
      </c>
      <c r="FT211" s="623">
        <v>921.1</v>
      </c>
      <c r="FU211" s="897">
        <v>926.4</v>
      </c>
      <c r="FV211" s="1167">
        <f t="shared" si="3"/>
        <v>1.0057539897948105</v>
      </c>
    </row>
    <row r="212" spans="1:178" s="115" customFormat="1" ht="27.75" customHeight="1">
      <c r="A212" s="1546">
        <v>1</v>
      </c>
      <c r="B212" s="408">
        <v>603</v>
      </c>
      <c r="C212" s="621" t="s">
        <v>390</v>
      </c>
      <c r="D212" s="622" t="s">
        <v>391</v>
      </c>
      <c r="E212" s="621" t="s">
        <v>918</v>
      </c>
      <c r="F212" s="622"/>
      <c r="G212" s="621" t="s">
        <v>919</v>
      </c>
      <c r="H212" s="621"/>
      <c r="I212" s="390" t="s">
        <v>115</v>
      </c>
      <c r="J212" s="676" t="s">
        <v>393</v>
      </c>
      <c r="K212" s="669">
        <v>108.16</v>
      </c>
      <c r="L212" s="665">
        <v>148.18</v>
      </c>
      <c r="M212" s="625">
        <v>187.83</v>
      </c>
      <c r="N212" s="625">
        <v>200.36</v>
      </c>
      <c r="O212" s="625">
        <v>274.82</v>
      </c>
      <c r="P212" s="625">
        <v>327.79</v>
      </c>
      <c r="Q212" s="625">
        <v>361.45</v>
      </c>
      <c r="R212" s="625">
        <v>371.11</v>
      </c>
      <c r="S212" s="625">
        <v>380.48</v>
      </c>
      <c r="T212" s="625">
        <v>401.02</v>
      </c>
      <c r="U212" s="625">
        <v>400.69</v>
      </c>
      <c r="V212" s="625">
        <v>391.63</v>
      </c>
      <c r="W212" s="625">
        <v>400.69</v>
      </c>
      <c r="X212" s="625">
        <v>357.16</v>
      </c>
      <c r="Y212" s="625">
        <v>357.47</v>
      </c>
      <c r="Z212" s="625">
        <v>377.33</v>
      </c>
      <c r="AA212" s="625">
        <v>356.29</v>
      </c>
      <c r="AB212" s="625">
        <v>345.37</v>
      </c>
      <c r="AC212" s="625">
        <v>340.5</v>
      </c>
      <c r="AD212" s="625">
        <v>338.08</v>
      </c>
      <c r="AE212" s="625">
        <v>345.21</v>
      </c>
      <c r="AF212" s="625">
        <v>344.58</v>
      </c>
      <c r="AG212" s="625">
        <v>338.65</v>
      </c>
      <c r="AH212" s="625">
        <v>341.64</v>
      </c>
      <c r="AI212" s="764">
        <v>346.88</v>
      </c>
      <c r="AJ212" s="772">
        <v>341.64</v>
      </c>
      <c r="AK212" s="625">
        <v>347.96</v>
      </c>
      <c r="AL212" s="625">
        <v>359.91</v>
      </c>
      <c r="AM212" s="625">
        <v>337.86</v>
      </c>
      <c r="AN212" s="625">
        <v>371.74</v>
      </c>
      <c r="AO212" s="625">
        <v>391.29</v>
      </c>
      <c r="AP212" s="625">
        <v>392.01</v>
      </c>
      <c r="AQ212" s="625">
        <v>427.11</v>
      </c>
      <c r="AR212" s="625">
        <v>434.73</v>
      </c>
      <c r="AS212" s="625">
        <v>432.85</v>
      </c>
      <c r="AT212" s="625">
        <v>439.75</v>
      </c>
      <c r="AU212" s="764">
        <v>442.03</v>
      </c>
      <c r="AV212" s="752">
        <v>437.52</v>
      </c>
      <c r="AW212" s="626">
        <v>475.65</v>
      </c>
      <c r="AX212" s="626">
        <v>478.4</v>
      </c>
      <c r="AY212" s="626">
        <v>478.93</v>
      </c>
      <c r="AZ212" s="626">
        <v>474.83</v>
      </c>
      <c r="BA212" s="626">
        <v>472.38</v>
      </c>
      <c r="BB212" s="626">
        <v>469.1</v>
      </c>
      <c r="BC212" s="627">
        <v>476.76</v>
      </c>
      <c r="BD212" s="626">
        <v>477.44</v>
      </c>
      <c r="BE212" s="627">
        <v>501.59</v>
      </c>
      <c r="BF212" s="627">
        <v>516.05999999999995</v>
      </c>
      <c r="BG212" s="738">
        <v>528.21</v>
      </c>
      <c r="BH212" s="660">
        <v>513.54999999999995</v>
      </c>
      <c r="BI212" s="623">
        <v>521.98</v>
      </c>
      <c r="BJ212" s="623">
        <v>521.16</v>
      </c>
      <c r="BK212" s="623">
        <v>521.98</v>
      </c>
      <c r="BL212" s="623">
        <v>502.08</v>
      </c>
      <c r="BM212" s="623">
        <v>520.78</v>
      </c>
      <c r="BN212" s="623">
        <v>538.58000000000004</v>
      </c>
      <c r="BO212" s="623">
        <v>557.42999999999995</v>
      </c>
      <c r="BP212" s="623">
        <v>577.57000000000005</v>
      </c>
      <c r="BQ212" s="623">
        <v>581.66999999999996</v>
      </c>
      <c r="BR212" s="623">
        <v>576.08000000000004</v>
      </c>
      <c r="BS212" s="659">
        <v>569.91</v>
      </c>
      <c r="BT212" s="660">
        <v>570.49</v>
      </c>
      <c r="BU212" s="623">
        <v>576.08000000000004</v>
      </c>
      <c r="BV212" s="623">
        <v>577.96</v>
      </c>
      <c r="BW212" s="623">
        <v>577.96</v>
      </c>
      <c r="BX212" s="623">
        <v>592.27</v>
      </c>
      <c r="BY212" s="623">
        <v>607.08000000000004</v>
      </c>
      <c r="BZ212" s="623">
        <v>603.16999999999996</v>
      </c>
      <c r="CA212" s="623">
        <v>611.03</v>
      </c>
      <c r="CB212" s="623">
        <v>627.38</v>
      </c>
      <c r="CC212" s="623">
        <v>627.38</v>
      </c>
      <c r="CD212" s="623">
        <v>629.03</v>
      </c>
      <c r="CE212" s="659">
        <v>644.16</v>
      </c>
      <c r="CF212" s="660">
        <v>644.16</v>
      </c>
      <c r="CG212" s="623">
        <v>666.86</v>
      </c>
      <c r="CH212" s="623">
        <v>685.79</v>
      </c>
      <c r="CI212" s="623">
        <v>727.51</v>
      </c>
      <c r="CJ212" s="623">
        <v>749.98</v>
      </c>
      <c r="CK212" s="623">
        <v>824.54</v>
      </c>
      <c r="CL212" s="623">
        <v>866.49</v>
      </c>
      <c r="CM212" s="623">
        <v>900.3</v>
      </c>
      <c r="CN212" s="623">
        <v>976.49</v>
      </c>
      <c r="CO212" s="623">
        <v>976.49</v>
      </c>
      <c r="CP212" s="623">
        <v>991.64</v>
      </c>
      <c r="CQ212" s="659">
        <v>881.3</v>
      </c>
      <c r="CR212" s="660">
        <v>753.37</v>
      </c>
      <c r="CS212" s="623">
        <v>685.84</v>
      </c>
      <c r="CT212" s="623">
        <v>642.89</v>
      </c>
      <c r="CU212" s="623">
        <v>615.63</v>
      </c>
      <c r="CV212" s="623">
        <v>590.41999999999996</v>
      </c>
      <c r="CW212" s="623">
        <v>599.16</v>
      </c>
      <c r="CX212" s="623">
        <v>662.2</v>
      </c>
      <c r="CY212" s="623">
        <v>746.58</v>
      </c>
      <c r="CZ212" s="623">
        <v>783.12</v>
      </c>
      <c r="DA212" s="623">
        <v>809.21</v>
      </c>
      <c r="DB212" s="725">
        <v>804.96</v>
      </c>
      <c r="DC212" s="659">
        <v>804.96</v>
      </c>
      <c r="DD212" s="783">
        <v>807.01</v>
      </c>
      <c r="DE212" s="623">
        <v>855.2</v>
      </c>
      <c r="DF212" s="725">
        <v>884.76</v>
      </c>
      <c r="DG212" s="659">
        <v>903.34</v>
      </c>
      <c r="DH212" s="623">
        <v>943.38</v>
      </c>
      <c r="DI212" s="623">
        <v>962.6</v>
      </c>
      <c r="DJ212" s="623">
        <v>969.94</v>
      </c>
      <c r="DK212" s="659">
        <v>967.47</v>
      </c>
      <c r="DL212" s="623">
        <v>965.06</v>
      </c>
      <c r="DM212" s="659">
        <v>940.89</v>
      </c>
      <c r="DN212" s="659">
        <v>940.89</v>
      </c>
      <c r="DO212" s="897">
        <v>945.69</v>
      </c>
      <c r="DP212" s="783">
        <v>944.47</v>
      </c>
      <c r="DQ212" s="659">
        <v>989.75</v>
      </c>
      <c r="DR212" s="659">
        <v>1016.41</v>
      </c>
      <c r="DS212" s="659">
        <v>1053.31</v>
      </c>
      <c r="DT212" s="623">
        <v>1119.24</v>
      </c>
      <c r="DU212" s="659">
        <v>1211.68</v>
      </c>
      <c r="DV212" s="659">
        <v>1234.57</v>
      </c>
      <c r="DW212" s="659">
        <v>1310.23</v>
      </c>
      <c r="DX212" s="659">
        <v>1329.16</v>
      </c>
      <c r="DY212" s="659">
        <v>1281.94</v>
      </c>
      <c r="DZ212" s="659">
        <v>1202.8800000000001</v>
      </c>
      <c r="EA212" s="897">
        <v>1287.1300000000001</v>
      </c>
      <c r="EB212" s="659">
        <v>1133.28</v>
      </c>
      <c r="EC212" s="659">
        <v>1271.07</v>
      </c>
      <c r="ED212" s="659">
        <v>1271.07</v>
      </c>
      <c r="EE212" s="659">
        <v>1310.33</v>
      </c>
      <c r="EF212" s="659">
        <v>1322.33</v>
      </c>
      <c r="EG212" s="659">
        <v>1253.23</v>
      </c>
      <c r="EH212" s="659">
        <v>1188.3399999999999</v>
      </c>
      <c r="EI212" s="659">
        <v>1204.08</v>
      </c>
      <c r="EJ212" s="659">
        <v>1071.2</v>
      </c>
      <c r="EK212" s="623">
        <v>1085.0999999999999</v>
      </c>
      <c r="EL212" s="725">
        <v>1101.33</v>
      </c>
      <c r="EM212" s="659">
        <v>1050.51</v>
      </c>
      <c r="EN212" s="783">
        <v>1072.43</v>
      </c>
      <c r="EO212" s="659">
        <v>1042.1600000000001</v>
      </c>
      <c r="EP212" s="659">
        <v>1084.28</v>
      </c>
      <c r="EQ212" s="659">
        <v>1099.3699999999999</v>
      </c>
      <c r="ER212" s="659">
        <v>1114.46</v>
      </c>
      <c r="ES212" s="659">
        <v>1103.17</v>
      </c>
      <c r="ET212" s="659">
        <v>1073.48</v>
      </c>
      <c r="EU212" s="659">
        <v>1029.71</v>
      </c>
      <c r="EV212" s="659">
        <v>971.09</v>
      </c>
      <c r="EW212" s="659">
        <v>994.01</v>
      </c>
      <c r="EX212" s="659">
        <v>1048.95</v>
      </c>
      <c r="EY212" s="659">
        <v>1073.98</v>
      </c>
      <c r="EZ212" s="783">
        <v>1100.49</v>
      </c>
      <c r="FA212" s="659">
        <v>1211.1600000000001</v>
      </c>
      <c r="FB212" s="659">
        <v>1291.44</v>
      </c>
      <c r="FC212" s="659">
        <v>1340.35</v>
      </c>
      <c r="FD212" s="659">
        <v>1372.21</v>
      </c>
      <c r="FE212" s="659">
        <v>1384.22</v>
      </c>
      <c r="FF212" s="659">
        <v>1341.9</v>
      </c>
      <c r="FG212" s="659">
        <v>1375.62</v>
      </c>
      <c r="FH212" s="659">
        <v>1384.39</v>
      </c>
      <c r="FI212" s="659">
        <v>1347.69</v>
      </c>
      <c r="FJ212" s="659">
        <v>1301.3800000000001</v>
      </c>
      <c r="FK212" s="897">
        <v>1355</v>
      </c>
      <c r="FL212" s="660">
        <v>1183.28</v>
      </c>
      <c r="FM212" s="623">
        <v>1133.06</v>
      </c>
      <c r="FN212" s="623">
        <v>1087.6400000000001</v>
      </c>
      <c r="FO212" s="623">
        <v>1098.8800000000001</v>
      </c>
      <c r="FP212" s="623">
        <v>1108.8900000000001</v>
      </c>
      <c r="FQ212" s="623">
        <v>1194.25</v>
      </c>
      <c r="FR212" s="623">
        <v>1189.18</v>
      </c>
      <c r="FS212" s="623">
        <v>1202.28</v>
      </c>
      <c r="FT212" s="623">
        <v>1215.3900000000001</v>
      </c>
      <c r="FU212" s="897">
        <v>1183.1500000000001</v>
      </c>
      <c r="FV212" s="1167">
        <f t="shared" si="3"/>
        <v>0.97347353524383118</v>
      </c>
    </row>
    <row r="213" spans="1:178" s="115" customFormat="1" ht="33" customHeight="1">
      <c r="A213" s="1546">
        <v>1</v>
      </c>
      <c r="B213" s="408">
        <v>604</v>
      </c>
      <c r="C213" s="621">
        <v>2413</v>
      </c>
      <c r="D213" s="622" t="s">
        <v>369</v>
      </c>
      <c r="E213" s="621" t="s">
        <v>378</v>
      </c>
      <c r="F213" s="622"/>
      <c r="G213" s="621" t="s">
        <v>223</v>
      </c>
      <c r="H213" s="621" t="s">
        <v>930</v>
      </c>
      <c r="I213" s="390" t="s">
        <v>456</v>
      </c>
      <c r="J213" s="676" t="s">
        <v>394</v>
      </c>
      <c r="K213" s="669">
        <v>111.19</v>
      </c>
      <c r="L213" s="665">
        <v>117.03</v>
      </c>
      <c r="M213" s="625">
        <v>134.69</v>
      </c>
      <c r="N213" s="625">
        <v>152.66</v>
      </c>
      <c r="O213" s="625">
        <v>185.74</v>
      </c>
      <c r="P213" s="625">
        <v>220.98</v>
      </c>
      <c r="Q213" s="625">
        <v>263.19</v>
      </c>
      <c r="R213" s="625">
        <v>273.33999999999997</v>
      </c>
      <c r="S213" s="625">
        <v>276.61</v>
      </c>
      <c r="T213" s="625">
        <v>275.74</v>
      </c>
      <c r="U213" s="625">
        <v>280.04000000000002</v>
      </c>
      <c r="V213" s="625">
        <v>273.52</v>
      </c>
      <c r="W213" s="625">
        <v>267.27</v>
      </c>
      <c r="X213" s="625">
        <v>267.66000000000003</v>
      </c>
      <c r="Y213" s="625">
        <v>277.05</v>
      </c>
      <c r="Z213" s="625">
        <v>300.04000000000002</v>
      </c>
      <c r="AA213" s="625">
        <v>288.48</v>
      </c>
      <c r="AB213" s="625">
        <v>276.82</v>
      </c>
      <c r="AC213" s="625">
        <v>256.58</v>
      </c>
      <c r="AD213" s="625">
        <v>248.6</v>
      </c>
      <c r="AE213" s="625">
        <v>251.59</v>
      </c>
      <c r="AF213" s="625">
        <v>259.31</v>
      </c>
      <c r="AG213" s="625">
        <v>249.72</v>
      </c>
      <c r="AH213" s="625">
        <v>254.92</v>
      </c>
      <c r="AI213" s="764">
        <v>260.51</v>
      </c>
      <c r="AJ213" s="772">
        <v>264.60000000000002</v>
      </c>
      <c r="AK213" s="625">
        <v>273.25</v>
      </c>
      <c r="AL213" s="625">
        <v>275.37</v>
      </c>
      <c r="AM213" s="625">
        <v>275.08</v>
      </c>
      <c r="AN213" s="625">
        <v>279.11</v>
      </c>
      <c r="AO213" s="625">
        <v>288.83999999999997</v>
      </c>
      <c r="AP213" s="625">
        <v>293.86</v>
      </c>
      <c r="AQ213" s="625">
        <v>309.55</v>
      </c>
      <c r="AR213" s="625">
        <v>318.86</v>
      </c>
      <c r="AS213" s="625">
        <v>327.58</v>
      </c>
      <c r="AT213" s="625">
        <v>337.62</v>
      </c>
      <c r="AU213" s="764">
        <v>341.8</v>
      </c>
      <c r="AV213" s="752">
        <v>345.82</v>
      </c>
      <c r="AW213" s="626">
        <v>345.77</v>
      </c>
      <c r="AX213" s="626">
        <v>342.32</v>
      </c>
      <c r="AY213" s="626">
        <v>340.79</v>
      </c>
      <c r="AZ213" s="626">
        <v>337.66</v>
      </c>
      <c r="BA213" s="627">
        <v>330.63</v>
      </c>
      <c r="BB213" s="627">
        <v>324.07</v>
      </c>
      <c r="BC213" s="627">
        <v>321.82</v>
      </c>
      <c r="BD213" s="626">
        <v>322.52999999999997</v>
      </c>
      <c r="BE213" s="627">
        <v>350.15</v>
      </c>
      <c r="BF213" s="627">
        <v>354.67</v>
      </c>
      <c r="BG213" s="738">
        <v>355.34</v>
      </c>
      <c r="BH213" s="660">
        <v>360.61</v>
      </c>
      <c r="BI213" s="623">
        <v>497.14</v>
      </c>
      <c r="BJ213" s="623">
        <v>362.88</v>
      </c>
      <c r="BK213" s="623">
        <v>360.96</v>
      </c>
      <c r="BL213" s="623">
        <v>356.67</v>
      </c>
      <c r="BM213" s="623">
        <v>360.83</v>
      </c>
      <c r="BN213" s="623">
        <v>368.11</v>
      </c>
      <c r="BO213" s="623">
        <v>375.21</v>
      </c>
      <c r="BP213" s="623">
        <v>379.31</v>
      </c>
      <c r="BQ213" s="623">
        <v>382.52</v>
      </c>
      <c r="BR213" s="623">
        <v>384.57</v>
      </c>
      <c r="BS213" s="659">
        <v>382.47</v>
      </c>
      <c r="BT213" s="660">
        <v>381.98</v>
      </c>
      <c r="BU213" s="623">
        <v>380.77</v>
      </c>
      <c r="BV213" s="623">
        <v>382.14</v>
      </c>
      <c r="BW213" s="623">
        <v>385.24</v>
      </c>
      <c r="BX213" s="623">
        <v>389.32</v>
      </c>
      <c r="BY213" s="623">
        <v>396.91</v>
      </c>
      <c r="BZ213" s="623">
        <v>415.91</v>
      </c>
      <c r="CA213" s="623">
        <v>419.96</v>
      </c>
      <c r="CB213" s="623">
        <v>431.85</v>
      </c>
      <c r="CC213" s="623">
        <v>443.29</v>
      </c>
      <c r="CD213" s="623">
        <v>446.69</v>
      </c>
      <c r="CE213" s="659">
        <v>448.86</v>
      </c>
      <c r="CF213" s="660">
        <v>457.62</v>
      </c>
      <c r="CG213" s="623">
        <v>466.05</v>
      </c>
      <c r="CH213" s="623">
        <v>473.73</v>
      </c>
      <c r="CI213" s="623">
        <v>491.39</v>
      </c>
      <c r="CJ213" s="623">
        <v>497.93</v>
      </c>
      <c r="CK213" s="623">
        <v>504.57</v>
      </c>
      <c r="CL213" s="623">
        <v>520.22</v>
      </c>
      <c r="CM213" s="623">
        <v>530.17999999999995</v>
      </c>
      <c r="CN213" s="623">
        <v>543.37</v>
      </c>
      <c r="CO213" s="623">
        <v>549.05999999999995</v>
      </c>
      <c r="CP213" s="623">
        <v>555.21</v>
      </c>
      <c r="CQ213" s="659">
        <v>538.4</v>
      </c>
      <c r="CR213" s="660">
        <v>502.41</v>
      </c>
      <c r="CS213" s="623">
        <v>464.97</v>
      </c>
      <c r="CT213" s="623">
        <v>459.33</v>
      </c>
      <c r="CU213" s="623">
        <v>444.2</v>
      </c>
      <c r="CV213" s="623">
        <v>453.09</v>
      </c>
      <c r="CW213" s="623">
        <v>455.09</v>
      </c>
      <c r="CX213" s="623">
        <v>462.85</v>
      </c>
      <c r="CY213" s="623">
        <v>462.85</v>
      </c>
      <c r="CZ213" s="623">
        <v>486.44</v>
      </c>
      <c r="DA213" s="623">
        <v>503.3</v>
      </c>
      <c r="DB213" s="725">
        <v>516.64</v>
      </c>
      <c r="DC213" s="659">
        <v>527.83000000000004</v>
      </c>
      <c r="DD213" s="783">
        <v>528.99</v>
      </c>
      <c r="DE213" s="623">
        <v>540.12</v>
      </c>
      <c r="DF213" s="725">
        <v>554.86</v>
      </c>
      <c r="DG213" s="659">
        <v>560.12</v>
      </c>
      <c r="DH213" s="623">
        <v>570.98</v>
      </c>
      <c r="DI213" s="623">
        <v>573.22</v>
      </c>
      <c r="DJ213" s="623">
        <v>563.44000000000005</v>
      </c>
      <c r="DK213" s="659">
        <v>564.25</v>
      </c>
      <c r="DL213" s="623">
        <v>565.79999999999995</v>
      </c>
      <c r="DM213" s="659">
        <v>578.53</v>
      </c>
      <c r="DN213" s="659">
        <v>603.19000000000005</v>
      </c>
      <c r="DO213" s="897">
        <v>617.39</v>
      </c>
      <c r="DP213" s="783">
        <v>621.38</v>
      </c>
      <c r="DQ213" s="659">
        <v>627.86</v>
      </c>
      <c r="DR213" s="659">
        <v>637.28</v>
      </c>
      <c r="DS213" s="659">
        <v>640.07000000000005</v>
      </c>
      <c r="DT213" s="623">
        <v>653.61</v>
      </c>
      <c r="DU213" s="659">
        <v>662.87</v>
      </c>
      <c r="DV213" s="659">
        <v>665.04</v>
      </c>
      <c r="DW213" s="659">
        <v>668.53</v>
      </c>
      <c r="DX213" s="659">
        <v>680.96</v>
      </c>
      <c r="DY213" s="659">
        <v>677.42</v>
      </c>
      <c r="DZ213" s="659">
        <v>676.92</v>
      </c>
      <c r="EA213" s="897">
        <v>675.51</v>
      </c>
      <c r="EB213" s="659">
        <v>665.8</v>
      </c>
      <c r="EC213" s="659">
        <v>677.79</v>
      </c>
      <c r="ED213" s="659">
        <v>686.4</v>
      </c>
      <c r="EE213" s="659">
        <v>700.99</v>
      </c>
      <c r="EF213" s="659">
        <v>701.67</v>
      </c>
      <c r="EG213" s="659">
        <v>707.87</v>
      </c>
      <c r="EH213" s="659">
        <v>722.09</v>
      </c>
      <c r="EI213" s="659">
        <v>726.52</v>
      </c>
      <c r="EJ213" s="659">
        <v>725.85</v>
      </c>
      <c r="EK213" s="623">
        <v>723.96</v>
      </c>
      <c r="EL213" s="725">
        <v>727.73</v>
      </c>
      <c r="EM213" s="659">
        <v>737.53</v>
      </c>
      <c r="EN213" s="783">
        <v>741.05</v>
      </c>
      <c r="EO213" s="659">
        <v>744.64</v>
      </c>
      <c r="EP213" s="659">
        <v>754.79</v>
      </c>
      <c r="EQ213" s="659">
        <v>792.11</v>
      </c>
      <c r="ER213" s="659">
        <v>806.94</v>
      </c>
      <c r="ES213" s="659">
        <v>818.39</v>
      </c>
      <c r="ET213" s="659">
        <v>822.37</v>
      </c>
      <c r="EU213" s="659">
        <v>833.21</v>
      </c>
      <c r="EV213" s="659">
        <v>840.88</v>
      </c>
      <c r="EW213" s="659">
        <v>860.24</v>
      </c>
      <c r="EX213" s="659">
        <v>878.81</v>
      </c>
      <c r="EY213" s="659">
        <v>895.75</v>
      </c>
      <c r="EZ213" s="783">
        <v>937.8</v>
      </c>
      <c r="FA213" s="659">
        <v>1008.93</v>
      </c>
      <c r="FB213" s="659">
        <v>1088.0999999999999</v>
      </c>
      <c r="FC213" s="659">
        <v>1111.81</v>
      </c>
      <c r="FD213" s="659">
        <v>1130.68</v>
      </c>
      <c r="FE213" s="659">
        <v>1155</v>
      </c>
      <c r="FF213" s="659">
        <v>1165.0999999999999</v>
      </c>
      <c r="FG213" s="659">
        <v>1177.3</v>
      </c>
      <c r="FH213" s="659">
        <v>1188.01</v>
      </c>
      <c r="FI213" s="659">
        <v>1221.55</v>
      </c>
      <c r="FJ213" s="659">
        <v>1217.42</v>
      </c>
      <c r="FK213" s="897">
        <v>1223.47</v>
      </c>
      <c r="FL213" s="660">
        <v>1176.27</v>
      </c>
      <c r="FM213" s="623">
        <v>1170.3800000000001</v>
      </c>
      <c r="FN213" s="623">
        <v>1154.53</v>
      </c>
      <c r="FO213" s="623">
        <v>1151.6300000000001</v>
      </c>
      <c r="FP213" s="623">
        <v>1154.8699999999999</v>
      </c>
      <c r="FQ213" s="623">
        <v>1169.33</v>
      </c>
      <c r="FR213" s="623">
        <v>1176.23</v>
      </c>
      <c r="FS213" s="623">
        <v>1181</v>
      </c>
      <c r="FT213" s="623">
        <v>1210.7</v>
      </c>
      <c r="FU213" s="897">
        <v>1214.07</v>
      </c>
      <c r="FV213" s="1167">
        <f t="shared" si="3"/>
        <v>1.0027835136697778</v>
      </c>
    </row>
    <row r="214" spans="1:178" s="115" customFormat="1" ht="18" customHeight="1">
      <c r="A214" s="1546">
        <v>1</v>
      </c>
      <c r="B214" s="408">
        <v>605</v>
      </c>
      <c r="C214" s="621" t="s">
        <v>395</v>
      </c>
      <c r="D214" s="622" t="s">
        <v>396</v>
      </c>
      <c r="E214" s="621" t="s">
        <v>378</v>
      </c>
      <c r="F214" s="622"/>
      <c r="G214" s="621" t="s">
        <v>919</v>
      </c>
      <c r="H214" s="621"/>
      <c r="I214" s="390" t="s">
        <v>439</v>
      </c>
      <c r="J214" s="676" t="s">
        <v>393</v>
      </c>
      <c r="K214" s="669">
        <v>61.47</v>
      </c>
      <c r="L214" s="665">
        <v>61.47</v>
      </c>
      <c r="M214" s="625">
        <v>71.31</v>
      </c>
      <c r="N214" s="625">
        <v>99.89</v>
      </c>
      <c r="O214" s="625">
        <v>166.54</v>
      </c>
      <c r="P214" s="625">
        <v>179.11</v>
      </c>
      <c r="Q214" s="625">
        <v>191.97</v>
      </c>
      <c r="R214" s="625">
        <v>195.93</v>
      </c>
      <c r="S214" s="625">
        <v>195.12</v>
      </c>
      <c r="T214" s="625">
        <v>194.69</v>
      </c>
      <c r="U214" s="625">
        <v>194.5</v>
      </c>
      <c r="V214" s="625">
        <v>196.08</v>
      </c>
      <c r="W214" s="625">
        <v>193.91</v>
      </c>
      <c r="X214" s="625">
        <v>193.77</v>
      </c>
      <c r="Y214" s="625">
        <v>192.25</v>
      </c>
      <c r="Z214" s="625">
        <v>190.77</v>
      </c>
      <c r="AA214" s="625">
        <v>190.34</v>
      </c>
      <c r="AB214" s="625">
        <v>190.34</v>
      </c>
      <c r="AC214" s="625">
        <v>191.41</v>
      </c>
      <c r="AD214" s="625">
        <v>189.27</v>
      </c>
      <c r="AE214" s="625">
        <v>188.72</v>
      </c>
      <c r="AF214" s="625">
        <v>187.95</v>
      </c>
      <c r="AG214" s="625">
        <v>187.68</v>
      </c>
      <c r="AH214" s="625">
        <v>184.06</v>
      </c>
      <c r="AI214" s="764">
        <v>185.88</v>
      </c>
      <c r="AJ214" s="772">
        <v>183.9</v>
      </c>
      <c r="AK214" s="625">
        <v>182.3</v>
      </c>
      <c r="AL214" s="625">
        <v>187.17</v>
      </c>
      <c r="AM214" s="625">
        <v>183.01</v>
      </c>
      <c r="AN214" s="625">
        <v>182.18</v>
      </c>
      <c r="AO214" s="625">
        <v>183.67</v>
      </c>
      <c r="AP214" s="625">
        <v>187.82</v>
      </c>
      <c r="AQ214" s="625">
        <v>192.65</v>
      </c>
      <c r="AR214" s="625">
        <v>185.16</v>
      </c>
      <c r="AS214" s="625">
        <v>194.29</v>
      </c>
      <c r="AT214" s="625">
        <v>203.59</v>
      </c>
      <c r="AU214" s="764">
        <v>212.25</v>
      </c>
      <c r="AV214" s="752">
        <v>218.46</v>
      </c>
      <c r="AW214" s="626">
        <v>224.65</v>
      </c>
      <c r="AX214" s="626">
        <v>225.84</v>
      </c>
      <c r="AY214" s="626">
        <v>226.2</v>
      </c>
      <c r="AZ214" s="626">
        <v>226.2</v>
      </c>
      <c r="BA214" s="627">
        <v>228.6</v>
      </c>
      <c r="BB214" s="627">
        <v>227.23</v>
      </c>
      <c r="BC214" s="627">
        <v>229.37</v>
      </c>
      <c r="BD214" s="626">
        <v>229.68</v>
      </c>
      <c r="BE214" s="627">
        <v>228.96</v>
      </c>
      <c r="BF214" s="627">
        <v>231.28</v>
      </c>
      <c r="BG214" s="738">
        <v>232.8</v>
      </c>
      <c r="BH214" s="660">
        <v>233.63</v>
      </c>
      <c r="BI214" s="623">
        <v>233.48</v>
      </c>
      <c r="BJ214" s="623">
        <v>235.43</v>
      </c>
      <c r="BK214" s="623">
        <v>235.43</v>
      </c>
      <c r="BL214" s="623">
        <v>232.02</v>
      </c>
      <c r="BM214" s="623">
        <v>233.41</v>
      </c>
      <c r="BN214" s="623">
        <v>234.35</v>
      </c>
      <c r="BO214" s="623">
        <v>235.46</v>
      </c>
      <c r="BP214" s="623">
        <v>234.34</v>
      </c>
      <c r="BQ214" s="623">
        <v>234.49</v>
      </c>
      <c r="BR214" s="623">
        <v>233.57</v>
      </c>
      <c r="BS214" s="659">
        <v>231.83</v>
      </c>
      <c r="BT214" s="660">
        <v>233.12</v>
      </c>
      <c r="BU214" s="623">
        <v>230.3</v>
      </c>
      <c r="BV214" s="623">
        <v>234.18</v>
      </c>
      <c r="BW214" s="623">
        <v>234.59</v>
      </c>
      <c r="BX214" s="623">
        <v>232</v>
      </c>
      <c r="BY214" s="623">
        <v>233.64</v>
      </c>
      <c r="BZ214" s="623">
        <v>258.89</v>
      </c>
      <c r="CA214" s="623">
        <v>259.44</v>
      </c>
      <c r="CB214" s="623">
        <v>258.29000000000002</v>
      </c>
      <c r="CC214" s="623">
        <v>261.14</v>
      </c>
      <c r="CD214" s="623">
        <v>265.06</v>
      </c>
      <c r="CE214" s="659">
        <v>265.06</v>
      </c>
      <c r="CF214" s="660">
        <v>291.64999999999998</v>
      </c>
      <c r="CG214" s="623">
        <v>312.45999999999998</v>
      </c>
      <c r="CH214" s="623">
        <v>328.87</v>
      </c>
      <c r="CI214" s="623">
        <v>367.87</v>
      </c>
      <c r="CJ214" s="623">
        <v>372.8</v>
      </c>
      <c r="CK214" s="623">
        <v>371.85</v>
      </c>
      <c r="CL214" s="623">
        <v>375.16</v>
      </c>
      <c r="CM214" s="623">
        <v>379.27</v>
      </c>
      <c r="CN214" s="623">
        <v>384.88</v>
      </c>
      <c r="CO214" s="623">
        <v>390.72</v>
      </c>
      <c r="CP214" s="623">
        <v>405.48</v>
      </c>
      <c r="CQ214" s="659">
        <v>402.84</v>
      </c>
      <c r="CR214" s="660">
        <v>407.25</v>
      </c>
      <c r="CS214" s="623">
        <v>392.16</v>
      </c>
      <c r="CT214" s="623">
        <v>386</v>
      </c>
      <c r="CU214" s="623">
        <v>382.27</v>
      </c>
      <c r="CV214" s="623">
        <v>378.88</v>
      </c>
      <c r="CW214" s="623">
        <v>379.46</v>
      </c>
      <c r="CX214" s="623">
        <v>384.16</v>
      </c>
      <c r="CY214" s="623">
        <v>369.34</v>
      </c>
      <c r="CZ214" s="623">
        <v>382.89</v>
      </c>
      <c r="DA214" s="623">
        <v>426.64</v>
      </c>
      <c r="DB214" s="725">
        <v>431.45</v>
      </c>
      <c r="DC214" s="659">
        <v>426.57</v>
      </c>
      <c r="DD214" s="783">
        <v>419.52</v>
      </c>
      <c r="DE214" s="623">
        <v>429.03</v>
      </c>
      <c r="DF214" s="725">
        <v>430.6</v>
      </c>
      <c r="DG214" s="659">
        <v>433.8</v>
      </c>
      <c r="DH214" s="623">
        <v>435.99</v>
      </c>
      <c r="DI214" s="623">
        <v>438.61</v>
      </c>
      <c r="DJ214" s="623">
        <v>440</v>
      </c>
      <c r="DK214" s="659">
        <v>444.06</v>
      </c>
      <c r="DL214" s="623">
        <v>459.11</v>
      </c>
      <c r="DM214" s="659">
        <v>466.08</v>
      </c>
      <c r="DN214" s="659">
        <v>481.25</v>
      </c>
      <c r="DO214" s="897">
        <v>493.97</v>
      </c>
      <c r="DP214" s="783">
        <v>513.09</v>
      </c>
      <c r="DQ214" s="659">
        <v>515.48</v>
      </c>
      <c r="DR214" s="659">
        <v>525.36</v>
      </c>
      <c r="DS214" s="659">
        <v>523.84</v>
      </c>
      <c r="DT214" s="623">
        <v>543.54</v>
      </c>
      <c r="DU214" s="659">
        <v>556.41</v>
      </c>
      <c r="DV214" s="659">
        <v>563.42999999999995</v>
      </c>
      <c r="DW214" s="659">
        <v>574.69000000000005</v>
      </c>
      <c r="DX214" s="659">
        <v>571.63</v>
      </c>
      <c r="DY214" s="659">
        <v>565.02</v>
      </c>
      <c r="DZ214" s="659">
        <v>578.1</v>
      </c>
      <c r="EA214" s="897">
        <v>587.52</v>
      </c>
      <c r="EB214" s="659">
        <v>600.79999999999995</v>
      </c>
      <c r="EC214" s="659">
        <v>601.70000000000005</v>
      </c>
      <c r="ED214" s="659">
        <v>604.22</v>
      </c>
      <c r="EE214" s="659">
        <v>618.94000000000005</v>
      </c>
      <c r="EF214" s="659">
        <v>618.77</v>
      </c>
      <c r="EG214" s="659">
        <v>629.63</v>
      </c>
      <c r="EH214" s="659">
        <v>639.79</v>
      </c>
      <c r="EI214" s="659">
        <v>640.23</v>
      </c>
      <c r="EJ214" s="659">
        <v>642.51</v>
      </c>
      <c r="EK214" s="623">
        <v>639.82000000000005</v>
      </c>
      <c r="EL214" s="725">
        <v>644.45000000000005</v>
      </c>
      <c r="EM214" s="659">
        <v>653.17999999999995</v>
      </c>
      <c r="EN214" s="783">
        <v>658.84</v>
      </c>
      <c r="EO214" s="659">
        <v>669.27</v>
      </c>
      <c r="EP214" s="659">
        <v>664.3</v>
      </c>
      <c r="EQ214" s="659">
        <v>673.08</v>
      </c>
      <c r="ER214" s="659">
        <v>692.77</v>
      </c>
      <c r="ES214" s="659">
        <v>708.72</v>
      </c>
      <c r="ET214" s="659">
        <v>716.06</v>
      </c>
      <c r="EU214" s="659">
        <v>726.99</v>
      </c>
      <c r="EV214" s="659">
        <v>736.66</v>
      </c>
      <c r="EW214" s="659">
        <v>752.49</v>
      </c>
      <c r="EX214" s="659">
        <v>766.15</v>
      </c>
      <c r="EY214" s="659">
        <v>785.76</v>
      </c>
      <c r="EZ214" s="783">
        <v>825.67</v>
      </c>
      <c r="FA214" s="659">
        <v>881.88</v>
      </c>
      <c r="FB214" s="659">
        <v>989.88</v>
      </c>
      <c r="FC214" s="659">
        <v>1004.61</v>
      </c>
      <c r="FD214" s="659">
        <v>1025.1199999999999</v>
      </c>
      <c r="FE214" s="659">
        <v>1029.8900000000001</v>
      </c>
      <c r="FF214" s="659">
        <v>1038.3</v>
      </c>
      <c r="FG214" s="659">
        <v>1035.24</v>
      </c>
      <c r="FH214" s="659">
        <v>1050.8900000000001</v>
      </c>
      <c r="FI214" s="659">
        <v>1064.83</v>
      </c>
      <c r="FJ214" s="659">
        <v>1076.6199999999999</v>
      </c>
      <c r="FK214" s="897">
        <v>1084.05</v>
      </c>
      <c r="FL214" s="660">
        <v>1083.46</v>
      </c>
      <c r="FM214" s="623">
        <v>1091.6099999999999</v>
      </c>
      <c r="FN214" s="623">
        <v>1097.22</v>
      </c>
      <c r="FO214" s="623">
        <v>1108.52</v>
      </c>
      <c r="FP214" s="623">
        <v>1121.48</v>
      </c>
      <c r="FQ214" s="623">
        <v>1133.6400000000001</v>
      </c>
      <c r="FR214" s="623">
        <v>1137.8399999999999</v>
      </c>
      <c r="FS214" s="623">
        <v>1152.8900000000001</v>
      </c>
      <c r="FT214" s="623">
        <v>1160.56</v>
      </c>
      <c r="FU214" s="897">
        <v>1172.93</v>
      </c>
      <c r="FV214" s="1167">
        <f t="shared" si="3"/>
        <v>1.010658647549459</v>
      </c>
    </row>
    <row r="215" spans="1:178" s="115" customFormat="1" ht="24.75" customHeight="1">
      <c r="A215" s="1546">
        <v>1</v>
      </c>
      <c r="B215" s="644">
        <v>606</v>
      </c>
      <c r="C215" s="645" t="s">
        <v>397</v>
      </c>
      <c r="D215" s="646" t="s">
        <v>106</v>
      </c>
      <c r="E215" s="645" t="s">
        <v>378</v>
      </c>
      <c r="F215" s="646"/>
      <c r="G215" s="645" t="s">
        <v>919</v>
      </c>
      <c r="H215" s="645"/>
      <c r="I215" s="876" t="s">
        <v>440</v>
      </c>
      <c r="J215" s="893" t="s">
        <v>393</v>
      </c>
      <c r="K215" s="877">
        <v>108.05</v>
      </c>
      <c r="L215" s="878">
        <v>116.76</v>
      </c>
      <c r="M215" s="879">
        <v>142.79</v>
      </c>
      <c r="N215" s="879">
        <v>142.79</v>
      </c>
      <c r="O215" s="879">
        <v>155.19999999999999</v>
      </c>
      <c r="P215" s="879">
        <v>178.43</v>
      </c>
      <c r="Q215" s="879">
        <v>191.57</v>
      </c>
      <c r="R215" s="879">
        <v>203.83</v>
      </c>
      <c r="S215" s="879">
        <v>203.83</v>
      </c>
      <c r="T215" s="879">
        <v>203.83</v>
      </c>
      <c r="U215" s="879">
        <v>203.83</v>
      </c>
      <c r="V215" s="879">
        <v>203.83</v>
      </c>
      <c r="W215" s="879">
        <v>203.83</v>
      </c>
      <c r="X215" s="879">
        <v>203.83</v>
      </c>
      <c r="Y215" s="879">
        <v>203.83</v>
      </c>
      <c r="Z215" s="879">
        <v>203.83</v>
      </c>
      <c r="AA215" s="879">
        <v>203.83</v>
      </c>
      <c r="AB215" s="879">
        <v>203.83</v>
      </c>
      <c r="AC215" s="879">
        <v>203.83</v>
      </c>
      <c r="AD215" s="879">
        <v>203.83</v>
      </c>
      <c r="AE215" s="879">
        <v>203.83</v>
      </c>
      <c r="AF215" s="879">
        <v>203.83</v>
      </c>
      <c r="AG215" s="879">
        <v>203.83</v>
      </c>
      <c r="AH215" s="879">
        <v>203.83</v>
      </c>
      <c r="AI215" s="880">
        <v>203.83</v>
      </c>
      <c r="AJ215" s="881">
        <v>203.83</v>
      </c>
      <c r="AK215" s="879">
        <v>203.83</v>
      </c>
      <c r="AL215" s="879">
        <v>203.83</v>
      </c>
      <c r="AM215" s="879">
        <v>203.83</v>
      </c>
      <c r="AN215" s="879">
        <v>203.83</v>
      </c>
      <c r="AO215" s="879">
        <v>203.83</v>
      </c>
      <c r="AP215" s="879">
        <v>207.28</v>
      </c>
      <c r="AQ215" s="879">
        <v>213.94</v>
      </c>
      <c r="AR215" s="879">
        <v>216.01</v>
      </c>
      <c r="AS215" s="879">
        <v>217.64</v>
      </c>
      <c r="AT215" s="879">
        <v>217.64</v>
      </c>
      <c r="AU215" s="880">
        <v>211.72</v>
      </c>
      <c r="AV215" s="882">
        <v>217.52</v>
      </c>
      <c r="AW215" s="883">
        <v>221.07</v>
      </c>
      <c r="AX215" s="883">
        <v>221.07</v>
      </c>
      <c r="AY215" s="883">
        <v>224.99</v>
      </c>
      <c r="AZ215" s="883">
        <v>233.59</v>
      </c>
      <c r="BA215" s="883">
        <v>233.59</v>
      </c>
      <c r="BB215" s="883">
        <v>233.59</v>
      </c>
      <c r="BC215" s="884">
        <v>240.99</v>
      </c>
      <c r="BD215" s="883">
        <v>244.63</v>
      </c>
      <c r="BE215" s="884">
        <v>245.04</v>
      </c>
      <c r="BF215" s="884">
        <v>252.12</v>
      </c>
      <c r="BG215" s="885">
        <v>253.25</v>
      </c>
      <c r="BH215" s="886">
        <v>253.25</v>
      </c>
      <c r="BI215" s="887">
        <v>260.39999999999998</v>
      </c>
      <c r="BJ215" s="887">
        <v>260.39999999999998</v>
      </c>
      <c r="BK215" s="887">
        <v>261.16000000000003</v>
      </c>
      <c r="BL215" s="887">
        <v>269.57</v>
      </c>
      <c r="BM215" s="887">
        <v>274.63</v>
      </c>
      <c r="BN215" s="887">
        <v>274.63</v>
      </c>
      <c r="BO215" s="887">
        <v>283.94</v>
      </c>
      <c r="BP215" s="887">
        <v>290.60000000000002</v>
      </c>
      <c r="BQ215" s="887">
        <v>290.60000000000002</v>
      </c>
      <c r="BR215" s="887">
        <v>290.60000000000002</v>
      </c>
      <c r="BS215" s="888">
        <v>290.60000000000002</v>
      </c>
      <c r="BT215" s="886">
        <v>290.60000000000002</v>
      </c>
      <c r="BU215" s="887">
        <v>290.60000000000002</v>
      </c>
      <c r="BV215" s="887">
        <v>301.8</v>
      </c>
      <c r="BW215" s="887">
        <v>302.83</v>
      </c>
      <c r="BX215" s="887">
        <v>300.18</v>
      </c>
      <c r="BY215" s="887">
        <v>311.45999999999998</v>
      </c>
      <c r="BZ215" s="887">
        <v>313.45999999999998</v>
      </c>
      <c r="CA215" s="887">
        <v>313.45999999999998</v>
      </c>
      <c r="CB215" s="887">
        <v>313.45999999999998</v>
      </c>
      <c r="CC215" s="887">
        <v>324.76</v>
      </c>
      <c r="CD215" s="887">
        <v>326.14</v>
      </c>
      <c r="CE215" s="888">
        <v>337.86</v>
      </c>
      <c r="CF215" s="886">
        <v>355.56</v>
      </c>
      <c r="CG215" s="887">
        <v>368.96</v>
      </c>
      <c r="CH215" s="887">
        <v>368.96</v>
      </c>
      <c r="CI215" s="887">
        <v>394.33</v>
      </c>
      <c r="CJ215" s="887">
        <v>401.36</v>
      </c>
      <c r="CK215" s="887">
        <v>401.36</v>
      </c>
      <c r="CL215" s="887">
        <v>401.36</v>
      </c>
      <c r="CM215" s="887">
        <v>411.27</v>
      </c>
      <c r="CN215" s="887">
        <v>411.27</v>
      </c>
      <c r="CO215" s="887">
        <v>444.22</v>
      </c>
      <c r="CP215" s="887">
        <v>454.27</v>
      </c>
      <c r="CQ215" s="888">
        <v>454.27</v>
      </c>
      <c r="CR215" s="886">
        <v>457.7</v>
      </c>
      <c r="CS215" s="887">
        <v>457.7</v>
      </c>
      <c r="CT215" s="887">
        <v>470.57</v>
      </c>
      <c r="CU215" s="887">
        <v>477.91</v>
      </c>
      <c r="CV215" s="887">
        <v>482.3</v>
      </c>
      <c r="CW215" s="887">
        <v>482.3</v>
      </c>
      <c r="CX215" s="887">
        <v>483.93</v>
      </c>
      <c r="CY215" s="887">
        <v>491.13</v>
      </c>
      <c r="CZ215" s="887">
        <v>495.62</v>
      </c>
      <c r="DA215" s="887">
        <v>495.62</v>
      </c>
      <c r="DB215" s="889">
        <v>495.62</v>
      </c>
      <c r="DC215" s="888">
        <v>495.62</v>
      </c>
      <c r="DD215" s="890">
        <v>504.69</v>
      </c>
      <c r="DE215" s="887">
        <v>506.44</v>
      </c>
      <c r="DF215" s="889">
        <v>508.88</v>
      </c>
      <c r="DG215" s="888">
        <v>519.16999999999996</v>
      </c>
      <c r="DH215" s="887">
        <v>519.16999999999996</v>
      </c>
      <c r="DI215" s="887">
        <v>545.89</v>
      </c>
      <c r="DJ215" s="887">
        <v>545.89</v>
      </c>
      <c r="DK215" s="888">
        <v>545.89</v>
      </c>
      <c r="DL215" s="887">
        <v>548.35</v>
      </c>
      <c r="DM215" s="888">
        <v>548.35</v>
      </c>
      <c r="DN215" s="888">
        <v>557.55999999999995</v>
      </c>
      <c r="DO215" s="968">
        <v>564.66999999999996</v>
      </c>
      <c r="DP215" s="890">
        <v>564.66999999999996</v>
      </c>
      <c r="DQ215" s="888">
        <v>585.41</v>
      </c>
      <c r="DR215" s="888">
        <v>588.5</v>
      </c>
      <c r="DS215" s="659">
        <v>588.5</v>
      </c>
      <c r="DT215" s="623">
        <v>609.64</v>
      </c>
      <c r="DU215" s="659">
        <v>624.55999999999995</v>
      </c>
      <c r="DV215" s="659">
        <v>626.28</v>
      </c>
      <c r="DW215" s="659">
        <v>641.08000000000004</v>
      </c>
      <c r="DX215" s="659">
        <v>620.45000000000005</v>
      </c>
      <c r="DY215" s="659">
        <v>641.08000000000004</v>
      </c>
      <c r="DZ215" s="659">
        <v>653.09</v>
      </c>
      <c r="EA215" s="897">
        <v>651</v>
      </c>
      <c r="EB215" s="659">
        <v>653.65</v>
      </c>
      <c r="EC215" s="659">
        <v>660.09</v>
      </c>
      <c r="ED215" s="659">
        <v>685.93</v>
      </c>
      <c r="EE215" s="659">
        <v>710.88</v>
      </c>
      <c r="EF215" s="659">
        <v>734.39</v>
      </c>
      <c r="EG215" s="659">
        <v>741.14</v>
      </c>
      <c r="EH215" s="659">
        <v>741.14</v>
      </c>
      <c r="EI215" s="659">
        <v>744.52</v>
      </c>
      <c r="EJ215" s="659">
        <v>746.03</v>
      </c>
      <c r="EK215" s="623">
        <v>749.18</v>
      </c>
      <c r="EL215" s="725">
        <v>751.95</v>
      </c>
      <c r="EM215" s="659">
        <v>751.95</v>
      </c>
      <c r="EN215" s="783">
        <v>770.21</v>
      </c>
      <c r="EO215" s="659">
        <v>775.08</v>
      </c>
      <c r="EP215" s="659">
        <v>775.12</v>
      </c>
      <c r="EQ215" s="659">
        <v>781.55</v>
      </c>
      <c r="ER215" s="659">
        <v>787.71</v>
      </c>
      <c r="ES215" s="659">
        <v>797.23</v>
      </c>
      <c r="ET215" s="659">
        <v>820.63</v>
      </c>
      <c r="EU215" s="659">
        <v>831.16</v>
      </c>
      <c r="EV215" s="659">
        <v>848.9</v>
      </c>
      <c r="EW215" s="659">
        <v>856.46</v>
      </c>
      <c r="EX215" s="659">
        <v>859.89</v>
      </c>
      <c r="EY215" s="659">
        <v>859.9</v>
      </c>
      <c r="EZ215" s="783">
        <v>859.89</v>
      </c>
      <c r="FA215" s="659">
        <v>918.96</v>
      </c>
      <c r="FB215" s="659">
        <v>918.96</v>
      </c>
      <c r="FC215" s="659">
        <v>918.96</v>
      </c>
      <c r="FD215" s="659">
        <v>918.96</v>
      </c>
      <c r="FE215" s="659">
        <v>918.96</v>
      </c>
      <c r="FF215" s="659">
        <v>918.96</v>
      </c>
      <c r="FG215" s="659">
        <v>946.04</v>
      </c>
      <c r="FH215" s="659">
        <v>946.04</v>
      </c>
      <c r="FI215" s="659">
        <v>946.04</v>
      </c>
      <c r="FJ215" s="659">
        <v>945.96</v>
      </c>
      <c r="FK215" s="897">
        <v>1053.96</v>
      </c>
      <c r="FL215" s="660">
        <v>1053.96</v>
      </c>
      <c r="FM215" s="623">
        <v>1084.53</v>
      </c>
      <c r="FN215" s="623">
        <v>1084.53</v>
      </c>
      <c r="FO215" s="623">
        <v>1110.46</v>
      </c>
      <c r="FP215" s="623">
        <v>1116.3900000000001</v>
      </c>
      <c r="FQ215" s="623">
        <v>1117.8499999999999</v>
      </c>
      <c r="FR215" s="623">
        <v>1119.93</v>
      </c>
      <c r="FS215" s="623">
        <v>1122.1199999999999</v>
      </c>
      <c r="FT215" s="623">
        <v>1204.9100000000001</v>
      </c>
      <c r="FU215" s="897">
        <v>1207.2</v>
      </c>
      <c r="FV215" s="1167">
        <f t="shared" si="3"/>
        <v>1.0019005568880663</v>
      </c>
    </row>
    <row r="216" spans="1:178" s="115" customFormat="1" ht="13.5" customHeight="1">
      <c r="A216" s="1549">
        <v>1</v>
      </c>
      <c r="B216" s="408"/>
      <c r="C216" s="621"/>
      <c r="D216" s="622"/>
      <c r="E216" s="621"/>
      <c r="F216" s="622"/>
      <c r="G216" s="621"/>
      <c r="H216" s="621"/>
      <c r="I216" s="390"/>
      <c r="J216" s="676"/>
      <c r="K216" s="669"/>
      <c r="L216" s="665"/>
      <c r="M216" s="625"/>
      <c r="N216" s="625"/>
      <c r="O216" s="625"/>
      <c r="P216" s="625"/>
      <c r="Q216" s="625"/>
      <c r="R216" s="625"/>
      <c r="S216" s="625"/>
      <c r="T216" s="625"/>
      <c r="U216" s="625"/>
      <c r="V216" s="625"/>
      <c r="W216" s="625"/>
      <c r="X216" s="625"/>
      <c r="Y216" s="625"/>
      <c r="Z216" s="625"/>
      <c r="AA216" s="625"/>
      <c r="AB216" s="625"/>
      <c r="AC216" s="625"/>
      <c r="AD216" s="625"/>
      <c r="AE216" s="625"/>
      <c r="AF216" s="625"/>
      <c r="AG216" s="625"/>
      <c r="AH216" s="625"/>
      <c r="AI216" s="625"/>
      <c r="AJ216" s="625"/>
      <c r="AK216" s="625"/>
      <c r="AL216" s="625"/>
      <c r="AM216" s="625"/>
      <c r="AN216" s="625"/>
      <c r="AO216" s="625"/>
      <c r="AP216" s="625"/>
      <c r="AQ216" s="625"/>
      <c r="AR216" s="625"/>
      <c r="AS216" s="625"/>
      <c r="AT216" s="625"/>
      <c r="AU216" s="625"/>
      <c r="AV216" s="626"/>
      <c r="AW216" s="626"/>
      <c r="AX216" s="626"/>
      <c r="AY216" s="626"/>
      <c r="AZ216" s="626"/>
      <c r="BA216" s="626"/>
      <c r="BB216" s="626"/>
      <c r="BC216" s="627"/>
      <c r="BD216" s="626"/>
      <c r="BE216" s="627"/>
      <c r="BF216" s="627"/>
      <c r="BG216" s="627"/>
      <c r="BH216" s="623"/>
      <c r="BI216" s="623"/>
      <c r="BJ216" s="623"/>
      <c r="BK216" s="623"/>
      <c r="BL216" s="623"/>
      <c r="BM216" s="623"/>
      <c r="BN216" s="623"/>
      <c r="BO216" s="623"/>
      <c r="BP216" s="623"/>
      <c r="BQ216" s="623"/>
      <c r="BR216" s="623"/>
      <c r="BS216" s="623"/>
      <c r="BT216" s="623"/>
      <c r="BU216" s="623"/>
      <c r="BV216" s="623"/>
      <c r="BW216" s="623"/>
      <c r="BX216" s="623"/>
      <c r="BY216" s="623"/>
      <c r="BZ216" s="623"/>
      <c r="CA216" s="623"/>
      <c r="CB216" s="623"/>
      <c r="CC216" s="623"/>
      <c r="CD216" s="623"/>
      <c r="CE216" s="623"/>
      <c r="CF216" s="623"/>
      <c r="CG216" s="623"/>
      <c r="CH216" s="623"/>
      <c r="CI216" s="623"/>
      <c r="CJ216" s="623"/>
      <c r="CK216" s="623"/>
      <c r="CL216" s="623"/>
      <c r="CM216" s="623"/>
      <c r="CN216" s="623"/>
      <c r="CO216" s="623"/>
      <c r="CP216" s="623"/>
      <c r="CQ216" s="623"/>
      <c r="CR216" s="623"/>
      <c r="CS216" s="623"/>
      <c r="CT216" s="623"/>
      <c r="CU216" s="623"/>
      <c r="CV216" s="623"/>
      <c r="CW216" s="623"/>
      <c r="CX216" s="623"/>
      <c r="CY216" s="623"/>
      <c r="CZ216" s="623"/>
      <c r="DA216" s="623"/>
      <c r="DB216" s="623"/>
      <c r="DC216" s="623"/>
      <c r="DD216" s="623"/>
      <c r="DE216" s="623"/>
      <c r="DF216" s="623"/>
      <c r="DG216" s="623"/>
      <c r="DH216" s="623"/>
      <c r="DI216" s="623"/>
      <c r="DJ216" s="623"/>
      <c r="DK216" s="623"/>
      <c r="DL216" s="623"/>
      <c r="DM216" s="623"/>
      <c r="DN216" s="623"/>
      <c r="DO216" s="659"/>
      <c r="DP216" s="660"/>
      <c r="DQ216" s="623"/>
      <c r="DR216" s="659"/>
      <c r="DS216" s="659"/>
      <c r="DT216" s="623"/>
      <c r="DU216" s="659"/>
      <c r="DV216" s="659"/>
      <c r="DW216" s="659"/>
      <c r="DX216" s="659"/>
      <c r="DY216" s="659"/>
      <c r="DZ216" s="659"/>
      <c r="EA216" s="897"/>
      <c r="EB216" s="659"/>
      <c r="EC216" s="659"/>
      <c r="ED216" s="659"/>
      <c r="EE216" s="659"/>
      <c r="EF216" s="659"/>
      <c r="EG216" s="659"/>
      <c r="EH216" s="659"/>
      <c r="EI216" s="659"/>
      <c r="EJ216" s="659"/>
      <c r="EK216" s="623"/>
      <c r="EL216" s="725"/>
      <c r="EM216" s="659"/>
      <c r="EN216" s="783"/>
      <c r="EO216" s="659"/>
      <c r="EP216" s="659"/>
      <c r="EQ216" s="659"/>
      <c r="ER216" s="659"/>
      <c r="ES216" s="659"/>
      <c r="ET216" s="659"/>
      <c r="EU216" s="659"/>
      <c r="EV216" s="659"/>
      <c r="EW216" s="659"/>
      <c r="EX216" s="659"/>
      <c r="EY216" s="659"/>
      <c r="EZ216" s="783"/>
      <c r="FA216" s="659"/>
      <c r="FB216" s="659"/>
      <c r="FC216" s="659"/>
      <c r="FD216" s="659"/>
      <c r="FE216" s="659"/>
      <c r="FF216" s="659"/>
      <c r="FG216" s="659"/>
      <c r="FH216" s="659"/>
      <c r="FI216" s="659"/>
      <c r="FJ216" s="659"/>
      <c r="FK216" s="897"/>
      <c r="FL216" s="660"/>
      <c r="FM216" s="623"/>
      <c r="FN216" s="623"/>
      <c r="FO216" s="623"/>
      <c r="FP216" s="623"/>
      <c r="FQ216" s="623"/>
      <c r="FR216" s="623"/>
      <c r="FS216" s="623"/>
      <c r="FT216" s="623"/>
      <c r="FU216" s="897"/>
      <c r="FV216" s="1167"/>
    </row>
    <row r="217" spans="1:178" s="115" customFormat="1" ht="33" customHeight="1">
      <c r="A217" s="1549">
        <v>1</v>
      </c>
      <c r="B217" s="408">
        <v>610</v>
      </c>
      <c r="C217" s="621">
        <v>269</v>
      </c>
      <c r="D217" s="622" t="s">
        <v>643</v>
      </c>
      <c r="E217" s="645" t="s">
        <v>378</v>
      </c>
      <c r="F217" s="622"/>
      <c r="G217" s="633" t="s">
        <v>871</v>
      </c>
      <c r="H217" s="621"/>
      <c r="I217" s="390" t="s">
        <v>868</v>
      </c>
      <c r="J217" s="676"/>
      <c r="K217" s="669"/>
      <c r="L217" s="665"/>
      <c r="M217" s="625"/>
      <c r="N217" s="625"/>
      <c r="O217" s="625"/>
      <c r="P217" s="625"/>
      <c r="Q217" s="625"/>
      <c r="R217" s="625"/>
      <c r="S217" s="625"/>
      <c r="T217" s="625"/>
      <c r="U217" s="625"/>
      <c r="V217" s="625"/>
      <c r="W217" s="625"/>
      <c r="X217" s="625"/>
      <c r="Y217" s="625"/>
      <c r="Z217" s="625"/>
      <c r="AA217" s="625"/>
      <c r="AB217" s="625"/>
      <c r="AC217" s="625"/>
      <c r="AD217" s="625"/>
      <c r="AE217" s="625"/>
      <c r="AF217" s="625"/>
      <c r="AG217" s="625"/>
      <c r="AH217" s="625"/>
      <c r="AI217" s="625"/>
      <c r="AJ217" s="625"/>
      <c r="AK217" s="625"/>
      <c r="AL217" s="625"/>
      <c r="AM217" s="625"/>
      <c r="AN217" s="625"/>
      <c r="AO217" s="625"/>
      <c r="AP217" s="625"/>
      <c r="AQ217" s="625"/>
      <c r="AR217" s="625"/>
      <c r="AS217" s="625"/>
      <c r="AT217" s="625"/>
      <c r="AU217" s="625"/>
      <c r="AV217" s="626"/>
      <c r="AW217" s="626"/>
      <c r="AX217" s="626"/>
      <c r="AY217" s="626"/>
      <c r="AZ217" s="626"/>
      <c r="BA217" s="626"/>
      <c r="BB217" s="626"/>
      <c r="BC217" s="627"/>
      <c r="BD217" s="626"/>
      <c r="BE217" s="627"/>
      <c r="BF217" s="627"/>
      <c r="BG217" s="627"/>
      <c r="BH217" s="623"/>
      <c r="BI217" s="623"/>
      <c r="BJ217" s="623"/>
      <c r="BK217" s="623"/>
      <c r="BL217" s="623"/>
      <c r="BM217" s="623"/>
      <c r="BN217" s="623"/>
      <c r="BO217" s="623"/>
      <c r="BP217" s="623"/>
      <c r="BQ217" s="623"/>
      <c r="BR217" s="623"/>
      <c r="BS217" s="623"/>
      <c r="BT217" s="623"/>
      <c r="BU217" s="623"/>
      <c r="BV217" s="623"/>
      <c r="BW217" s="623"/>
      <c r="BX217" s="623"/>
      <c r="BY217" s="623"/>
      <c r="BZ217" s="623"/>
      <c r="CA217" s="623"/>
      <c r="CB217" s="623"/>
      <c r="CC217" s="623"/>
      <c r="CD217" s="623"/>
      <c r="CE217" s="623"/>
      <c r="CF217" s="623"/>
      <c r="CG217" s="623"/>
      <c r="CH217" s="623"/>
      <c r="CI217" s="623"/>
      <c r="CJ217" s="623"/>
      <c r="CK217" s="623"/>
      <c r="CL217" s="623"/>
      <c r="CM217" s="623"/>
      <c r="CN217" s="623"/>
      <c r="CO217" s="623"/>
      <c r="CP217" s="623"/>
      <c r="CQ217" s="623"/>
      <c r="CR217" s="623"/>
      <c r="CS217" s="623"/>
      <c r="CT217" s="623"/>
      <c r="CU217" s="623"/>
      <c r="CV217" s="623"/>
      <c r="CW217" s="623"/>
      <c r="CX217" s="623"/>
      <c r="CY217" s="623"/>
      <c r="CZ217" s="623"/>
      <c r="DA217" s="623"/>
      <c r="DB217" s="623"/>
      <c r="DC217" s="623"/>
      <c r="DD217" s="623"/>
      <c r="DE217" s="623"/>
      <c r="DF217" s="623">
        <v>395.45</v>
      </c>
      <c r="DG217" s="623">
        <v>399.06</v>
      </c>
      <c r="DH217" s="623">
        <v>408.64</v>
      </c>
      <c r="DI217" s="623">
        <v>409.99</v>
      </c>
      <c r="DJ217" s="623">
        <v>412.39</v>
      </c>
      <c r="DK217" s="623">
        <v>415.28</v>
      </c>
      <c r="DL217" s="623">
        <v>421.63</v>
      </c>
      <c r="DM217" s="623">
        <v>424.37</v>
      </c>
      <c r="DN217" s="623">
        <v>436.36</v>
      </c>
      <c r="DO217" s="659">
        <v>439.07</v>
      </c>
      <c r="DP217" s="660">
        <v>440.85</v>
      </c>
      <c r="DQ217" s="623">
        <v>451.24</v>
      </c>
      <c r="DR217" s="659">
        <v>452.8</v>
      </c>
      <c r="DS217" s="659">
        <v>457.43</v>
      </c>
      <c r="DT217" s="623">
        <v>466.01</v>
      </c>
      <c r="DU217" s="659">
        <v>476.95</v>
      </c>
      <c r="DV217" s="659">
        <v>480.35</v>
      </c>
      <c r="DW217" s="659">
        <v>485.7</v>
      </c>
      <c r="DX217" s="659">
        <v>489.46</v>
      </c>
      <c r="DY217" s="659">
        <v>493.46</v>
      </c>
      <c r="DZ217" s="659">
        <v>502.43</v>
      </c>
      <c r="EA217" s="897">
        <v>514.72</v>
      </c>
      <c r="EB217" s="659">
        <v>519.64</v>
      </c>
      <c r="EC217" s="659">
        <v>528.32000000000005</v>
      </c>
      <c r="ED217" s="659">
        <v>530.80999999999995</v>
      </c>
      <c r="EE217" s="659">
        <v>541.79999999999995</v>
      </c>
      <c r="EF217" s="659">
        <v>549.11</v>
      </c>
      <c r="EG217" s="659">
        <v>558.42999999999995</v>
      </c>
      <c r="EH217" s="659">
        <v>613.26</v>
      </c>
      <c r="EI217" s="659">
        <v>577.75</v>
      </c>
      <c r="EJ217" s="659">
        <v>587.82000000000005</v>
      </c>
      <c r="EK217" s="623">
        <v>598.52</v>
      </c>
      <c r="EL217" s="725">
        <v>610.46</v>
      </c>
      <c r="EM217" s="659">
        <v>613.08000000000004</v>
      </c>
      <c r="EN217" s="783">
        <v>615.29999999999995</v>
      </c>
      <c r="EO217" s="659">
        <v>623.46</v>
      </c>
      <c r="EP217" s="659">
        <v>631.45000000000005</v>
      </c>
      <c r="EQ217" s="659">
        <v>635.39</v>
      </c>
      <c r="ER217" s="659">
        <v>651.07000000000005</v>
      </c>
      <c r="ES217" s="659">
        <v>661.71</v>
      </c>
      <c r="ET217" s="659">
        <v>664.89</v>
      </c>
      <c r="EU217" s="659">
        <v>676.43</v>
      </c>
      <c r="EV217" s="659">
        <v>680.93</v>
      </c>
      <c r="EW217" s="659">
        <v>687.9</v>
      </c>
      <c r="EX217" s="659">
        <v>692.39</v>
      </c>
      <c r="EY217" s="659">
        <v>712.53</v>
      </c>
      <c r="EZ217" s="783">
        <v>737.56</v>
      </c>
      <c r="FA217" s="659">
        <v>767.83</v>
      </c>
      <c r="FB217" s="659">
        <v>795.77</v>
      </c>
      <c r="FC217" s="659">
        <v>817.35</v>
      </c>
      <c r="FD217" s="659">
        <v>824.58</v>
      </c>
      <c r="FE217" s="659">
        <v>844.6</v>
      </c>
      <c r="FF217" s="659">
        <v>852.49</v>
      </c>
      <c r="FG217" s="659">
        <v>860.6</v>
      </c>
      <c r="FH217" s="659">
        <v>889.34</v>
      </c>
      <c r="FI217" s="659">
        <v>900.64</v>
      </c>
      <c r="FJ217" s="659">
        <v>918.39</v>
      </c>
      <c r="FK217" s="897">
        <v>927.17</v>
      </c>
      <c r="FL217" s="660">
        <v>939.8</v>
      </c>
      <c r="FM217" s="623">
        <v>945.82</v>
      </c>
      <c r="FN217" s="623">
        <v>975.66</v>
      </c>
      <c r="FO217" s="623">
        <v>986.68</v>
      </c>
      <c r="FP217" s="623">
        <v>1004.15</v>
      </c>
      <c r="FQ217" s="623">
        <v>1045.6300000000001</v>
      </c>
      <c r="FR217" s="623">
        <v>1051.0999999999999</v>
      </c>
      <c r="FS217" s="623">
        <v>1079.82</v>
      </c>
      <c r="FT217" s="623">
        <v>1087.1400000000001</v>
      </c>
      <c r="FU217" s="897">
        <v>1100.47</v>
      </c>
      <c r="FV217" s="1167">
        <f t="shared" si="3"/>
        <v>1.012261530253693</v>
      </c>
    </row>
    <row r="218" spans="1:178" s="115" customFormat="1" ht="31.5">
      <c r="A218" s="1549">
        <v>1</v>
      </c>
      <c r="B218" s="408">
        <v>611</v>
      </c>
      <c r="C218" s="621" t="s">
        <v>459</v>
      </c>
      <c r="D218" s="622" t="s">
        <v>458</v>
      </c>
      <c r="E218" s="621"/>
      <c r="F218" s="622"/>
      <c r="G218" s="621" t="s">
        <v>919</v>
      </c>
      <c r="H218" s="621"/>
      <c r="I218" s="390" t="s">
        <v>870</v>
      </c>
      <c r="J218" s="676"/>
      <c r="K218" s="669"/>
      <c r="L218" s="665"/>
      <c r="M218" s="625"/>
      <c r="N218" s="625"/>
      <c r="O218" s="625"/>
      <c r="P218" s="625"/>
      <c r="Q218" s="625"/>
      <c r="R218" s="625"/>
      <c r="S218" s="625"/>
      <c r="T218" s="625"/>
      <c r="U218" s="625"/>
      <c r="V218" s="625"/>
      <c r="W218" s="625"/>
      <c r="X218" s="625"/>
      <c r="Y218" s="625"/>
      <c r="Z218" s="625"/>
      <c r="AA218" s="625"/>
      <c r="AB218" s="625"/>
      <c r="AC218" s="625"/>
      <c r="AD218" s="625"/>
      <c r="AE218" s="625"/>
      <c r="AF218" s="625"/>
      <c r="AG218" s="625"/>
      <c r="AH218" s="625"/>
      <c r="AI218" s="625"/>
      <c r="AJ218" s="625"/>
      <c r="AK218" s="625"/>
      <c r="AL218" s="625"/>
      <c r="AM218" s="625"/>
      <c r="AN218" s="625"/>
      <c r="AO218" s="625"/>
      <c r="AP218" s="625"/>
      <c r="AQ218" s="625"/>
      <c r="AR218" s="625"/>
      <c r="AS218" s="625"/>
      <c r="AT218" s="625"/>
      <c r="AU218" s="625"/>
      <c r="AV218" s="626"/>
      <c r="AW218" s="626"/>
      <c r="AX218" s="626"/>
      <c r="AY218" s="626"/>
      <c r="AZ218" s="626"/>
      <c r="BA218" s="626"/>
      <c r="BB218" s="626"/>
      <c r="BC218" s="627"/>
      <c r="BD218" s="626"/>
      <c r="BE218" s="627"/>
      <c r="BF218" s="627"/>
      <c r="BG218" s="627"/>
      <c r="BH218" s="623"/>
      <c r="BI218" s="623"/>
      <c r="BJ218" s="623"/>
      <c r="BK218" s="623"/>
      <c r="BL218" s="623"/>
      <c r="BM218" s="623"/>
      <c r="BN218" s="623"/>
      <c r="BO218" s="623"/>
      <c r="BP218" s="623"/>
      <c r="BQ218" s="623"/>
      <c r="BR218" s="623"/>
      <c r="BS218" s="623"/>
      <c r="BT218" s="623"/>
      <c r="BU218" s="623"/>
      <c r="BV218" s="623"/>
      <c r="BW218" s="623"/>
      <c r="BX218" s="623"/>
      <c r="BY218" s="623"/>
      <c r="BZ218" s="623"/>
      <c r="CA218" s="623"/>
      <c r="CB218" s="623"/>
      <c r="CC218" s="623"/>
      <c r="CD218" s="623"/>
      <c r="CE218" s="623"/>
      <c r="CF218" s="623"/>
      <c r="CG218" s="623"/>
      <c r="CH218" s="623"/>
      <c r="CI218" s="623"/>
      <c r="CJ218" s="623"/>
      <c r="CK218" s="623"/>
      <c r="CL218" s="623"/>
      <c r="CM218" s="623"/>
      <c r="CN218" s="623"/>
      <c r="CO218" s="623"/>
      <c r="CP218" s="623"/>
      <c r="CQ218" s="623"/>
      <c r="CR218" s="623"/>
      <c r="CS218" s="623"/>
      <c r="CT218" s="623"/>
      <c r="CU218" s="623"/>
      <c r="CV218" s="623"/>
      <c r="CW218" s="623"/>
      <c r="CX218" s="623"/>
      <c r="CY218" s="623"/>
      <c r="CZ218" s="623"/>
      <c r="DA218" s="623"/>
      <c r="DB218" s="623"/>
      <c r="DC218" s="623"/>
      <c r="DD218" s="623"/>
      <c r="DE218" s="623"/>
      <c r="DF218" s="623">
        <v>387.96</v>
      </c>
      <c r="DG218" s="623">
        <v>402.13</v>
      </c>
      <c r="DH218" s="623">
        <v>420.83</v>
      </c>
      <c r="DI218" s="623">
        <v>422.44</v>
      </c>
      <c r="DJ218" s="623">
        <v>412.85</v>
      </c>
      <c r="DK218" s="623">
        <v>421.04</v>
      </c>
      <c r="DL218" s="623">
        <v>426.01</v>
      </c>
      <c r="DM218" s="623">
        <v>425.78</v>
      </c>
      <c r="DN218" s="623">
        <v>430.09</v>
      </c>
      <c r="DO218" s="659">
        <v>432.64</v>
      </c>
      <c r="DP218" s="660">
        <v>433.82</v>
      </c>
      <c r="DQ218" s="623">
        <v>437.87</v>
      </c>
      <c r="DR218" s="659">
        <v>438.97</v>
      </c>
      <c r="DS218" s="659">
        <v>447.66</v>
      </c>
      <c r="DT218" s="887">
        <v>456.95</v>
      </c>
      <c r="DU218" s="887">
        <v>469.57</v>
      </c>
      <c r="DV218" s="888">
        <v>470.95</v>
      </c>
      <c r="DW218" s="888">
        <v>476.41</v>
      </c>
      <c r="DX218" s="659">
        <v>484.19</v>
      </c>
      <c r="DY218" s="659">
        <v>484.56</v>
      </c>
      <c r="DZ218" s="659">
        <v>488.6</v>
      </c>
      <c r="EA218" s="897">
        <v>497.06</v>
      </c>
      <c r="EB218" s="659">
        <v>500.11</v>
      </c>
      <c r="EC218" s="659">
        <v>500.14</v>
      </c>
      <c r="ED218" s="659">
        <v>502.45</v>
      </c>
      <c r="EE218" s="659">
        <v>517.23</v>
      </c>
      <c r="EF218" s="659">
        <v>518.65</v>
      </c>
      <c r="EG218" s="659">
        <v>524.22</v>
      </c>
      <c r="EH218" s="659">
        <v>528.02</v>
      </c>
      <c r="EI218" s="659">
        <v>532.4</v>
      </c>
      <c r="EJ218" s="659">
        <v>545.91999999999996</v>
      </c>
      <c r="EK218" s="623">
        <v>555.62</v>
      </c>
      <c r="EL218" s="725">
        <v>562.49</v>
      </c>
      <c r="EM218" s="659">
        <v>574.51</v>
      </c>
      <c r="EN218" s="783">
        <v>579.13</v>
      </c>
      <c r="EO218" s="888">
        <v>590.95000000000005</v>
      </c>
      <c r="EP218" s="659">
        <v>607.12</v>
      </c>
      <c r="EQ218" s="659">
        <v>611.16</v>
      </c>
      <c r="ER218" s="659">
        <v>613.86</v>
      </c>
      <c r="ES218" s="659">
        <v>623.59</v>
      </c>
      <c r="ET218" s="659">
        <v>646.02</v>
      </c>
      <c r="EU218" s="659">
        <v>662.39</v>
      </c>
      <c r="EV218" s="659">
        <v>645.42999999999995</v>
      </c>
      <c r="EW218" s="659">
        <v>565.41</v>
      </c>
      <c r="EX218" s="659">
        <v>666.03</v>
      </c>
      <c r="EY218" s="659">
        <v>667.73</v>
      </c>
      <c r="EZ218" s="783">
        <v>675.54</v>
      </c>
      <c r="FA218" s="659">
        <v>690.35</v>
      </c>
      <c r="FB218" s="659">
        <v>809.17</v>
      </c>
      <c r="FC218" s="659">
        <v>823.68</v>
      </c>
      <c r="FD218" s="659">
        <v>825.53</v>
      </c>
      <c r="FE218" s="659">
        <v>834.58</v>
      </c>
      <c r="FF218" s="659">
        <v>866.24</v>
      </c>
      <c r="FG218" s="659">
        <v>883.06</v>
      </c>
      <c r="FH218" s="659">
        <v>892.37</v>
      </c>
      <c r="FI218" s="659">
        <v>915.7</v>
      </c>
      <c r="FJ218" s="659">
        <v>917.73</v>
      </c>
      <c r="FK218" s="897">
        <v>919</v>
      </c>
      <c r="FL218" s="660">
        <v>925.82</v>
      </c>
      <c r="FM218" s="623">
        <v>930.45</v>
      </c>
      <c r="FN218" s="623">
        <v>947.2</v>
      </c>
      <c r="FO218" s="623">
        <v>951.81</v>
      </c>
      <c r="FP218" s="623">
        <v>956.64</v>
      </c>
      <c r="FQ218" s="623">
        <v>1000.57</v>
      </c>
      <c r="FR218" s="623">
        <v>1015.09</v>
      </c>
      <c r="FS218" s="623">
        <v>1023.06</v>
      </c>
      <c r="FT218" s="623">
        <v>1036.54</v>
      </c>
      <c r="FU218" s="897">
        <v>1057.55</v>
      </c>
      <c r="FV218" s="1167">
        <f t="shared" si="3"/>
        <v>1.0202693576707123</v>
      </c>
    </row>
    <row r="219" spans="1:178" s="115" customFormat="1" ht="15.75" customHeight="1" thickBot="1">
      <c r="A219" s="1549">
        <v>1</v>
      </c>
      <c r="B219" s="407"/>
      <c r="C219" s="636"/>
      <c r="D219" s="637"/>
      <c r="E219" s="636"/>
      <c r="F219" s="637"/>
      <c r="G219" s="636"/>
      <c r="H219" s="636"/>
      <c r="I219" s="638"/>
      <c r="J219" s="678"/>
      <c r="K219" s="670"/>
      <c r="L219" s="666"/>
      <c r="M219" s="639"/>
      <c r="N219" s="639"/>
      <c r="O219" s="639"/>
      <c r="P219" s="639"/>
      <c r="Q219" s="639"/>
      <c r="R219" s="639"/>
      <c r="S219" s="639"/>
      <c r="T219" s="639"/>
      <c r="U219" s="639"/>
      <c r="V219" s="639"/>
      <c r="W219" s="639"/>
      <c r="X219" s="639"/>
      <c r="Y219" s="639"/>
      <c r="Z219" s="639"/>
      <c r="AA219" s="639"/>
      <c r="AB219" s="639"/>
      <c r="AC219" s="639"/>
      <c r="AD219" s="639"/>
      <c r="AE219" s="639"/>
      <c r="AF219" s="639"/>
      <c r="AG219" s="639"/>
      <c r="AH219" s="639"/>
      <c r="AI219" s="639"/>
      <c r="AJ219" s="639"/>
      <c r="AK219" s="639"/>
      <c r="AL219" s="639"/>
      <c r="AM219" s="639"/>
      <c r="AN219" s="639"/>
      <c r="AO219" s="639"/>
      <c r="AP219" s="639"/>
      <c r="AQ219" s="639"/>
      <c r="AR219" s="639"/>
      <c r="AS219" s="639"/>
      <c r="AT219" s="639"/>
      <c r="AU219" s="639"/>
      <c r="AV219" s="640"/>
      <c r="AW219" s="640"/>
      <c r="AX219" s="640"/>
      <c r="AY219" s="640"/>
      <c r="AZ219" s="640"/>
      <c r="BA219" s="640"/>
      <c r="BB219" s="640"/>
      <c r="BC219" s="641"/>
      <c r="BD219" s="640"/>
      <c r="BE219" s="641"/>
      <c r="BF219" s="641"/>
      <c r="BG219" s="641"/>
      <c r="BH219" s="642"/>
      <c r="BI219" s="642"/>
      <c r="BJ219" s="642"/>
      <c r="BK219" s="642"/>
      <c r="BL219" s="642"/>
      <c r="BM219" s="642"/>
      <c r="BN219" s="642"/>
      <c r="BO219" s="642"/>
      <c r="BP219" s="642"/>
      <c r="BQ219" s="642"/>
      <c r="BR219" s="642"/>
      <c r="BS219" s="642"/>
      <c r="BT219" s="642"/>
      <c r="BU219" s="642"/>
      <c r="BV219" s="642"/>
      <c r="BW219" s="642"/>
      <c r="BX219" s="642"/>
      <c r="BY219" s="642"/>
      <c r="BZ219" s="642"/>
      <c r="CA219" s="642"/>
      <c r="CB219" s="642"/>
      <c r="CC219" s="642"/>
      <c r="CD219" s="642"/>
      <c r="CE219" s="642"/>
      <c r="CF219" s="642"/>
      <c r="CG219" s="642"/>
      <c r="CH219" s="642"/>
      <c r="CI219" s="642"/>
      <c r="CJ219" s="642"/>
      <c r="CK219" s="642"/>
      <c r="CL219" s="642"/>
      <c r="CM219" s="642"/>
      <c r="CN219" s="642"/>
      <c r="CO219" s="642"/>
      <c r="CP219" s="642"/>
      <c r="CQ219" s="642"/>
      <c r="CR219" s="642"/>
      <c r="CS219" s="642"/>
      <c r="CT219" s="642"/>
      <c r="CU219" s="642"/>
      <c r="CV219" s="642"/>
      <c r="CW219" s="642"/>
      <c r="CX219" s="642"/>
      <c r="CY219" s="642"/>
      <c r="CZ219" s="642"/>
      <c r="DA219" s="642"/>
      <c r="DB219" s="642"/>
      <c r="DC219" s="642"/>
      <c r="DD219" s="642"/>
      <c r="DE219" s="642"/>
      <c r="DF219" s="642"/>
      <c r="DG219" s="642"/>
      <c r="DH219" s="642"/>
      <c r="DI219" s="642"/>
      <c r="DJ219" s="642"/>
      <c r="DK219" s="642"/>
      <c r="DL219" s="642"/>
      <c r="DM219" s="642"/>
      <c r="DN219" s="642"/>
      <c r="DO219" s="736"/>
      <c r="DP219" s="661"/>
      <c r="DQ219" s="642"/>
      <c r="DR219" s="736"/>
      <c r="DS219" s="736"/>
      <c r="DT219" s="642"/>
      <c r="DU219" s="736"/>
      <c r="DV219" s="736"/>
      <c r="DW219" s="736"/>
      <c r="DX219" s="736"/>
      <c r="DY219" s="736"/>
      <c r="DZ219" s="736"/>
      <c r="EA219" s="901"/>
      <c r="EB219" s="736"/>
      <c r="EC219" s="736"/>
      <c r="ED219" s="736"/>
      <c r="EE219" s="736"/>
      <c r="EF219" s="642"/>
      <c r="EG219" s="736"/>
      <c r="EH219" s="736"/>
      <c r="EI219" s="736"/>
      <c r="EJ219" s="736"/>
      <c r="EK219" s="642"/>
      <c r="EL219" s="726"/>
      <c r="EM219" s="736"/>
      <c r="EN219" s="784"/>
      <c r="EO219" s="736"/>
      <c r="EP219" s="736"/>
      <c r="EQ219" s="726"/>
      <c r="ER219" s="736"/>
      <c r="ES219" s="642"/>
      <c r="ET219" s="736"/>
      <c r="EU219" s="736"/>
      <c r="EV219" s="736"/>
      <c r="EW219" s="736"/>
      <c r="EX219" s="736"/>
      <c r="EY219" s="736"/>
      <c r="EZ219" s="784"/>
      <c r="FA219" s="736"/>
      <c r="FB219" s="736"/>
      <c r="FC219" s="736"/>
      <c r="FD219" s="736"/>
      <c r="FE219" s="736"/>
      <c r="FF219" s="736"/>
      <c r="FG219" s="736"/>
      <c r="FH219" s="736"/>
      <c r="FI219" s="736"/>
      <c r="FJ219" s="736"/>
      <c r="FK219" s="901"/>
      <c r="FL219" s="784"/>
      <c r="FM219" s="736"/>
      <c r="FN219" s="736"/>
      <c r="FO219" s="736"/>
      <c r="FP219" s="736"/>
      <c r="FQ219" s="736"/>
      <c r="FR219" s="736"/>
      <c r="FS219" s="736"/>
      <c r="FT219" s="736"/>
      <c r="FU219" s="901"/>
      <c r="FV219" s="1167"/>
    </row>
    <row r="220" spans="1:178" s="132" customFormat="1" ht="20.100000000000001" customHeight="1">
      <c r="A220" s="1550">
        <v>1</v>
      </c>
      <c r="B220" s="1571" t="s">
        <v>398</v>
      </c>
      <c r="C220" s="431"/>
      <c r="D220" s="431"/>
      <c r="E220" s="431"/>
      <c r="F220" s="431"/>
      <c r="G220" s="431"/>
      <c r="H220" s="431"/>
      <c r="I220" s="607"/>
      <c r="J220" s="608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10"/>
      <c r="W220" s="610"/>
      <c r="X220" s="611"/>
      <c r="Y220" s="611"/>
      <c r="Z220" s="431"/>
      <c r="AA220" s="431"/>
      <c r="AB220" s="431"/>
      <c r="AC220" s="431"/>
      <c r="AD220" s="431"/>
      <c r="AE220" s="431"/>
      <c r="AF220" s="431"/>
      <c r="AG220" s="431"/>
      <c r="AH220" s="612"/>
      <c r="AI220" s="612"/>
      <c r="AJ220" s="611"/>
      <c r="AK220" s="611"/>
      <c r="AL220" s="431"/>
      <c r="AM220" s="431"/>
      <c r="AN220" s="431"/>
      <c r="AO220" s="431"/>
      <c r="AP220" s="612"/>
      <c r="AQ220" s="612"/>
      <c r="AR220" s="431"/>
      <c r="AS220" s="431"/>
      <c r="AT220" s="431"/>
      <c r="AU220" s="431"/>
      <c r="AV220" s="431"/>
      <c r="AW220" s="431"/>
      <c r="AX220" s="431"/>
      <c r="AY220" s="612"/>
      <c r="AZ220" s="612"/>
      <c r="BA220" s="431"/>
      <c r="BB220" s="431"/>
      <c r="BC220" s="362"/>
      <c r="BD220" s="612"/>
      <c r="BE220" s="362"/>
      <c r="BF220" s="362"/>
      <c r="BG220" s="362"/>
      <c r="BH220" s="362"/>
      <c r="BI220" s="362"/>
      <c r="BJ220" s="362"/>
      <c r="BK220" s="362"/>
      <c r="BL220" s="362"/>
      <c r="BM220" s="362"/>
      <c r="BN220" s="362"/>
      <c r="BO220" s="362"/>
      <c r="BP220" s="362"/>
      <c r="BQ220" s="362"/>
      <c r="BR220" s="362"/>
      <c r="BS220" s="362"/>
      <c r="BT220" s="362"/>
      <c r="BU220" s="362"/>
      <c r="BV220" s="362"/>
      <c r="BW220" s="362"/>
      <c r="BX220" s="362"/>
      <c r="BY220" s="362"/>
      <c r="BZ220" s="362"/>
      <c r="CA220" s="362"/>
      <c r="CB220" s="362"/>
      <c r="CC220" s="362"/>
      <c r="CD220" s="362"/>
      <c r="CE220" s="362"/>
      <c r="CF220" s="362"/>
      <c r="CG220" s="362"/>
      <c r="CH220" s="362"/>
      <c r="CI220" s="362"/>
      <c r="CJ220" s="362"/>
      <c r="CK220" s="362"/>
      <c r="CL220" s="362"/>
      <c r="CM220" s="362"/>
      <c r="CN220" s="362"/>
      <c r="CO220" s="362"/>
      <c r="CP220" s="362"/>
      <c r="CQ220" s="362"/>
      <c r="CR220" s="362"/>
      <c r="CS220" s="362"/>
      <c r="CT220" s="362"/>
      <c r="CU220" s="362"/>
      <c r="CV220" s="362"/>
      <c r="CW220" s="362"/>
      <c r="CX220" s="362"/>
      <c r="CY220" s="362"/>
      <c r="CZ220" s="362"/>
      <c r="DA220" s="362"/>
      <c r="DB220" s="362"/>
      <c r="DC220" s="362"/>
      <c r="DD220" s="362"/>
      <c r="DE220" s="362"/>
      <c r="DF220" s="362"/>
      <c r="DG220" s="362"/>
      <c r="DH220" s="831" t="s">
        <v>779</v>
      </c>
      <c r="DI220" s="831"/>
      <c r="DJ220" s="831"/>
      <c r="DK220" s="831"/>
      <c r="DL220" s="831"/>
      <c r="DM220" s="831"/>
      <c r="DN220" s="831"/>
      <c r="DO220" s="831"/>
      <c r="DP220" s="831"/>
      <c r="DQ220" s="831"/>
      <c r="DR220" s="831"/>
      <c r="DS220" s="831"/>
      <c r="DT220" s="831"/>
      <c r="DU220" s="831"/>
      <c r="DV220" s="831"/>
      <c r="DW220" s="831"/>
      <c r="DX220" s="831"/>
      <c r="DY220" s="831"/>
      <c r="DZ220" s="831"/>
      <c r="EA220" s="831"/>
      <c r="EB220" s="831"/>
      <c r="EC220" s="831"/>
      <c r="ED220" s="831"/>
      <c r="EE220" s="831"/>
      <c r="EF220" s="831"/>
      <c r="EG220" s="831"/>
      <c r="EH220" s="831"/>
      <c r="EI220" s="831"/>
      <c r="EJ220" s="831"/>
      <c r="EK220" s="831"/>
      <c r="EL220" s="831"/>
      <c r="EM220" s="831"/>
      <c r="EN220" s="831"/>
      <c r="EO220" s="831"/>
      <c r="EP220" s="831"/>
      <c r="EQ220" s="831"/>
      <c r="ER220" s="831"/>
      <c r="ES220" s="831"/>
      <c r="ET220" s="831"/>
      <c r="EU220" s="831"/>
      <c r="EV220" s="831"/>
      <c r="EW220" s="831"/>
      <c r="EX220" s="831"/>
      <c r="EY220" s="831"/>
      <c r="EZ220" s="831"/>
      <c r="FA220" s="831"/>
      <c r="FB220" s="831"/>
      <c r="FC220" s="831"/>
      <c r="FD220" s="831"/>
      <c r="FE220" s="831"/>
      <c r="FF220" s="831"/>
      <c r="FG220" s="831"/>
      <c r="FH220" s="831"/>
      <c r="FI220" s="831"/>
      <c r="FJ220" s="831"/>
      <c r="FK220" s="831"/>
      <c r="FL220" s="1532"/>
      <c r="FM220" s="1532"/>
      <c r="FN220" s="1532"/>
      <c r="FO220" s="1532"/>
      <c r="FP220" s="1532"/>
      <c r="FQ220" s="1532"/>
      <c r="FR220" s="1532"/>
      <c r="FS220" s="1532"/>
      <c r="FT220" s="1532"/>
      <c r="FU220" s="1532"/>
      <c r="FV220" s="1167"/>
    </row>
    <row r="221" spans="1:178" s="61" customFormat="1" ht="20.100000000000001" customHeight="1">
      <c r="A221" s="1551">
        <v>1</v>
      </c>
      <c r="B221" s="348">
        <v>1</v>
      </c>
      <c r="C221" s="60" t="s">
        <v>399</v>
      </c>
      <c r="D221" s="60"/>
      <c r="E221" s="60"/>
      <c r="F221" s="60"/>
      <c r="G221" s="60"/>
      <c r="H221" s="60"/>
      <c r="I221" s="1568"/>
      <c r="J221" s="1373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5"/>
      <c r="W221" s="105"/>
      <c r="X221" s="106"/>
      <c r="Y221" s="106"/>
      <c r="Z221" s="60"/>
      <c r="AA221" s="60"/>
      <c r="AB221" s="60"/>
      <c r="AC221" s="60"/>
      <c r="AD221" s="60"/>
      <c r="AE221" s="60"/>
      <c r="AF221" s="60"/>
      <c r="AG221" s="60"/>
      <c r="AH221" s="923"/>
      <c r="AI221" s="923"/>
      <c r="AJ221" s="106"/>
      <c r="AK221" s="106"/>
      <c r="AL221" s="60"/>
      <c r="AM221" s="60"/>
      <c r="AN221" s="60"/>
      <c r="AO221" s="60"/>
      <c r="AP221" s="923"/>
      <c r="AQ221" s="923"/>
      <c r="AR221" s="60"/>
      <c r="AS221" s="60"/>
      <c r="AT221" s="60"/>
      <c r="AU221" s="60"/>
      <c r="AV221" s="60"/>
      <c r="AW221" s="60"/>
      <c r="AX221" s="60"/>
      <c r="AY221" s="1374" t="s">
        <v>481</v>
      </c>
      <c r="AZ221" s="1374" t="s">
        <v>481</v>
      </c>
      <c r="BA221" s="60"/>
      <c r="BB221" s="60"/>
      <c r="BC221" s="830"/>
      <c r="BD221" s="923"/>
      <c r="BE221" s="830"/>
      <c r="BF221" s="830"/>
      <c r="BG221" s="830"/>
      <c r="BH221" s="830"/>
      <c r="BI221" s="830"/>
      <c r="BJ221" s="830"/>
      <c r="BK221" s="830"/>
      <c r="BL221" s="830"/>
      <c r="BM221" s="830"/>
      <c r="BN221" s="830"/>
      <c r="BO221" s="830"/>
      <c r="BP221" s="830"/>
      <c r="BQ221" s="830"/>
      <c r="BR221" s="830"/>
      <c r="BS221" s="830"/>
      <c r="BT221" s="830"/>
      <c r="BU221" s="830"/>
      <c r="BV221" s="830"/>
      <c r="BW221" s="830"/>
      <c r="BX221" s="830"/>
      <c r="BY221" s="830"/>
      <c r="BZ221" s="830"/>
      <c r="CA221" s="830"/>
      <c r="CB221" s="830"/>
      <c r="CC221" s="830"/>
      <c r="CD221" s="830"/>
      <c r="CE221" s="830"/>
      <c r="CF221" s="830"/>
      <c r="CG221" s="830"/>
      <c r="CH221" s="830"/>
      <c r="CI221" s="830"/>
      <c r="CJ221" s="830"/>
      <c r="CK221" s="830"/>
      <c r="CL221" s="830"/>
      <c r="CM221" s="830"/>
      <c r="CN221" s="830"/>
      <c r="CO221" s="830"/>
      <c r="CP221" s="830"/>
      <c r="CQ221" s="830"/>
      <c r="CR221" s="830"/>
      <c r="CS221" s="830"/>
      <c r="CT221" s="830"/>
      <c r="CU221" s="830"/>
      <c r="CV221" s="830"/>
      <c r="CW221" s="830"/>
      <c r="CX221" s="830"/>
      <c r="CY221" s="830"/>
      <c r="CZ221" s="830"/>
      <c r="DA221" s="830"/>
      <c r="DB221" s="830"/>
      <c r="DC221" s="830"/>
      <c r="DD221" s="830"/>
      <c r="DE221" s="830"/>
      <c r="DF221" s="830"/>
      <c r="DG221" s="830"/>
      <c r="DH221" s="830"/>
      <c r="DI221" s="830"/>
      <c r="DJ221" s="830"/>
      <c r="DK221" s="830"/>
      <c r="DL221" s="830"/>
      <c r="DM221" s="830"/>
      <c r="DN221" s="830"/>
      <c r="DO221" s="830"/>
      <c r="DP221" s="830"/>
      <c r="DQ221" s="830"/>
      <c r="DR221" s="830"/>
      <c r="DS221" s="830"/>
      <c r="DT221" s="830"/>
      <c r="DU221" s="830"/>
      <c r="DV221" s="830"/>
      <c r="DW221" s="830"/>
      <c r="DX221" s="830"/>
      <c r="DY221" s="830"/>
      <c r="DZ221" s="830"/>
      <c r="EA221" s="830"/>
      <c r="EB221" s="830"/>
      <c r="EC221" s="830"/>
      <c r="ED221" s="830"/>
      <c r="EE221" s="830"/>
      <c r="EF221" s="830"/>
      <c r="EG221" s="830"/>
      <c r="EH221" s="830"/>
      <c r="EI221" s="830"/>
      <c r="EJ221" s="830"/>
      <c r="EK221" s="830"/>
      <c r="EL221" s="830"/>
      <c r="EM221" s="830"/>
      <c r="EN221" s="830"/>
      <c r="EO221" s="830"/>
      <c r="EP221" s="830"/>
      <c r="EQ221" s="830"/>
      <c r="ER221" s="830"/>
      <c r="ES221" s="830"/>
      <c r="ET221" s="830"/>
      <c r="EU221" s="830"/>
      <c r="EV221" s="830"/>
      <c r="EW221" s="830"/>
      <c r="EX221" s="830"/>
      <c r="EY221" s="830"/>
      <c r="EZ221" s="830"/>
      <c r="FA221" s="830"/>
      <c r="FB221" s="830"/>
      <c r="FC221" s="830"/>
      <c r="FD221" s="830"/>
      <c r="FE221" s="830"/>
      <c r="FF221" s="830"/>
      <c r="FG221" s="830"/>
      <c r="FH221" s="830"/>
      <c r="FI221" s="830"/>
      <c r="FJ221" s="830"/>
      <c r="FK221" s="830"/>
      <c r="FL221" s="1167"/>
      <c r="FM221" s="1167"/>
      <c r="FN221" s="1167"/>
      <c r="FO221" s="1167"/>
      <c r="FP221" s="1167"/>
      <c r="FQ221" s="1167"/>
      <c r="FR221" s="1167"/>
      <c r="FS221" s="1167"/>
      <c r="FT221" s="1167"/>
      <c r="FU221" s="1167"/>
      <c r="FV221" s="1167"/>
    </row>
    <row r="222" spans="1:178" s="1513" customFormat="1" ht="21" hidden="1" customHeight="1">
      <c r="A222" s="1552">
        <v>1</v>
      </c>
      <c r="B222" s="1514">
        <v>2</v>
      </c>
      <c r="C222" s="1515" t="s">
        <v>35</v>
      </c>
      <c r="D222" s="1515"/>
      <c r="E222" s="1515"/>
      <c r="F222" s="1515"/>
      <c r="G222" s="1515"/>
      <c r="H222" s="1515"/>
      <c r="I222" s="1516"/>
      <c r="J222" s="1517"/>
      <c r="K222" s="1515"/>
      <c r="L222" s="1515"/>
      <c r="M222" s="1515"/>
      <c r="N222" s="1515"/>
      <c r="O222" s="1515"/>
      <c r="P222" s="1515"/>
      <c r="Q222" s="1515"/>
      <c r="R222" s="1515"/>
      <c r="S222" s="1515"/>
      <c r="T222" s="1515"/>
      <c r="U222" s="1515"/>
      <c r="V222" s="1518"/>
      <c r="W222" s="1518"/>
      <c r="X222" s="1518"/>
      <c r="Y222" s="1518"/>
      <c r="Z222" s="1515"/>
      <c r="AA222" s="1515"/>
      <c r="AB222" s="1515"/>
      <c r="AC222" s="1515"/>
      <c r="AD222" s="1515"/>
      <c r="AE222" s="1515"/>
      <c r="AF222" s="1515"/>
      <c r="AG222" s="1515"/>
      <c r="AH222" s="1515"/>
      <c r="AI222" s="1515"/>
      <c r="AJ222" s="1518"/>
      <c r="AK222" s="1518"/>
      <c r="AL222" s="1515"/>
      <c r="AM222" s="1515"/>
      <c r="AN222" s="1515"/>
      <c r="AO222" s="1515"/>
      <c r="AP222" s="1515"/>
      <c r="AQ222" s="1515"/>
      <c r="AR222" s="1515"/>
      <c r="AS222" s="1515"/>
      <c r="AT222" s="1515"/>
      <c r="AU222" s="1515"/>
      <c r="AV222" s="1515"/>
      <c r="AW222" s="1515"/>
      <c r="AX222" s="1515"/>
      <c r="AY222" s="1515"/>
      <c r="AZ222" s="1515"/>
      <c r="BA222" s="1515"/>
      <c r="BB222" s="1515"/>
      <c r="BC222" s="1519"/>
      <c r="BD222" s="1515"/>
      <c r="BE222" s="1519"/>
      <c r="BF222" s="1519"/>
      <c r="BG222" s="1519"/>
      <c r="BH222" s="1519"/>
      <c r="BI222" s="1519"/>
      <c r="BJ222" s="1519"/>
      <c r="BK222" s="1519"/>
      <c r="BL222" s="1519"/>
      <c r="BM222" s="1519"/>
      <c r="BN222" s="1519"/>
      <c r="BO222" s="1519"/>
      <c r="BP222" s="1519"/>
      <c r="BQ222" s="1519"/>
      <c r="BR222" s="1519"/>
      <c r="BS222" s="1519"/>
      <c r="BT222" s="1519"/>
      <c r="BU222" s="1519"/>
      <c r="BV222" s="1519"/>
      <c r="BW222" s="1519"/>
      <c r="BX222" s="1519"/>
      <c r="BY222" s="1519"/>
      <c r="BZ222" s="1519"/>
      <c r="CA222" s="1519"/>
      <c r="CB222" s="1519"/>
      <c r="CC222" s="1519"/>
      <c r="CD222" s="1519"/>
      <c r="CE222" s="1519"/>
      <c r="CF222" s="1519"/>
      <c r="CG222" s="1519"/>
      <c r="CH222" s="1519"/>
      <c r="CI222" s="1519"/>
      <c r="CJ222" s="1519"/>
      <c r="CK222" s="1519"/>
      <c r="CL222" s="1519"/>
      <c r="CM222" s="1519"/>
      <c r="CN222" s="1519"/>
      <c r="CO222" s="1519"/>
      <c r="CP222" s="1519"/>
      <c r="CQ222" s="1519"/>
      <c r="CR222" s="1519"/>
      <c r="CS222" s="1519"/>
      <c r="CT222" s="1519"/>
      <c r="CU222" s="1519"/>
      <c r="CV222" s="1519"/>
      <c r="CW222" s="1519"/>
      <c r="CX222" s="1519"/>
      <c r="CY222" s="1519"/>
      <c r="CZ222" s="1519"/>
      <c r="DA222" s="1519"/>
      <c r="DB222" s="1519"/>
      <c r="DC222" s="1519"/>
      <c r="DD222" s="1519"/>
      <c r="DE222" s="1519"/>
      <c r="DF222" s="1519"/>
      <c r="DG222" s="1519"/>
      <c r="DH222" s="1519"/>
      <c r="DI222" s="1519"/>
      <c r="DJ222" s="1519"/>
      <c r="DK222" s="1519"/>
      <c r="DL222" s="1519"/>
      <c r="DM222" s="1519"/>
      <c r="DN222" s="1519"/>
      <c r="DO222" s="1519"/>
      <c r="DP222" s="1519"/>
      <c r="DQ222" s="1519"/>
      <c r="DR222" s="1519"/>
      <c r="DS222" s="1519"/>
      <c r="DT222" s="1519"/>
      <c r="DU222" s="1519"/>
      <c r="DV222" s="1519"/>
      <c r="DW222" s="1519"/>
      <c r="DX222" s="1519"/>
      <c r="DY222" s="1519"/>
      <c r="DZ222" s="1519"/>
      <c r="EA222" s="1519"/>
      <c r="EB222" s="1519"/>
      <c r="EC222" s="1519"/>
      <c r="ED222" s="1519"/>
      <c r="EE222" s="1519"/>
      <c r="EF222" s="1519"/>
      <c r="EG222" s="1519"/>
      <c r="EH222" s="1519"/>
      <c r="EI222" s="1519"/>
      <c r="EJ222" s="1519"/>
      <c r="EK222" s="1519"/>
      <c r="EL222" s="1519"/>
      <c r="EM222" s="1519"/>
      <c r="EN222" s="1519"/>
      <c r="EO222" s="1519"/>
      <c r="EP222" s="1519"/>
      <c r="EQ222" s="1519"/>
      <c r="ER222" s="1519"/>
      <c r="ES222" s="1519"/>
      <c r="ET222" s="1519"/>
      <c r="EU222" s="1519"/>
      <c r="EV222" s="1519"/>
      <c r="EW222" s="1519"/>
      <c r="EX222" s="1519"/>
      <c r="EY222" s="1519"/>
      <c r="EZ222" s="1519"/>
      <c r="FA222" s="1519"/>
      <c r="FB222" s="1519"/>
      <c r="FC222" s="1519"/>
      <c r="FD222" s="1519"/>
      <c r="FE222" s="1519"/>
      <c r="FF222" s="1519"/>
      <c r="FG222" s="1519"/>
      <c r="FH222" s="1519"/>
      <c r="FI222" s="1519"/>
      <c r="FJ222" s="1519"/>
      <c r="FK222" s="1519"/>
      <c r="FL222" s="1533"/>
      <c r="FM222" s="1533"/>
      <c r="FN222" s="1533"/>
      <c r="FO222" s="1533"/>
      <c r="FP222" s="1533"/>
      <c r="FQ222" s="1533"/>
      <c r="FR222" s="1533"/>
      <c r="FS222" s="1533"/>
      <c r="FT222" s="1533"/>
      <c r="FU222" s="1533"/>
      <c r="FV222" s="1533"/>
    </row>
    <row r="223" spans="1:178" s="1379" customFormat="1" ht="20.100000000000001" customHeight="1">
      <c r="A223" s="1553">
        <v>1</v>
      </c>
      <c r="B223" s="348">
        <v>3</v>
      </c>
      <c r="C223" s="60" t="s">
        <v>400</v>
      </c>
      <c r="D223" s="60"/>
      <c r="E223" s="60"/>
      <c r="F223" s="60"/>
      <c r="G223" s="60"/>
      <c r="H223" s="60"/>
      <c r="I223" s="1568"/>
      <c r="J223" s="1373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5"/>
      <c r="W223" s="105"/>
      <c r="X223" s="106"/>
      <c r="Y223" s="106"/>
      <c r="Z223" s="60"/>
      <c r="AA223" s="60"/>
      <c r="AB223" s="60"/>
      <c r="AC223" s="60"/>
      <c r="AD223" s="60"/>
      <c r="AE223" s="60"/>
      <c r="AF223" s="60"/>
      <c r="AG223" s="60"/>
      <c r="AH223" s="60"/>
      <c r="AI223" s="923"/>
      <c r="AJ223" s="106"/>
      <c r="AK223" s="106"/>
      <c r="AL223" s="60"/>
      <c r="AM223" s="60"/>
      <c r="AN223" s="60"/>
      <c r="AO223" s="60"/>
      <c r="AP223" s="923"/>
      <c r="AQ223" s="923"/>
      <c r="AR223" s="60"/>
      <c r="AS223" s="60"/>
      <c r="AT223" s="60"/>
      <c r="AU223" s="60"/>
      <c r="AV223" s="60"/>
      <c r="AW223" s="60"/>
      <c r="AX223" s="60"/>
      <c r="AY223" s="923"/>
      <c r="AZ223" s="923"/>
      <c r="BA223" s="60"/>
      <c r="BB223" s="60"/>
      <c r="BC223" s="830"/>
      <c r="BD223" s="923"/>
      <c r="BE223" s="830"/>
      <c r="BF223" s="830"/>
      <c r="BG223" s="830"/>
      <c r="BH223" s="830"/>
      <c r="BI223" s="830"/>
      <c r="BJ223" s="830"/>
      <c r="BK223" s="830"/>
      <c r="BL223" s="830"/>
      <c r="BM223" s="830"/>
      <c r="BN223" s="830"/>
      <c r="BO223" s="830"/>
      <c r="BP223" s="830"/>
      <c r="BQ223" s="830"/>
      <c r="BR223" s="830"/>
      <c r="BS223" s="830"/>
      <c r="BT223" s="830"/>
      <c r="BU223" s="830"/>
      <c r="BV223" s="830"/>
      <c r="BW223" s="830"/>
      <c r="BX223" s="830"/>
      <c r="BY223" s="830"/>
      <c r="BZ223" s="830"/>
      <c r="CA223" s="830"/>
      <c r="CB223" s="830"/>
      <c r="CC223" s="830"/>
      <c r="CD223" s="830"/>
      <c r="CE223" s="830"/>
      <c r="CF223" s="830"/>
      <c r="CG223" s="830"/>
      <c r="CH223" s="830"/>
      <c r="CI223" s="830"/>
      <c r="CJ223" s="830"/>
      <c r="CK223" s="830"/>
      <c r="CL223" s="830"/>
      <c r="CM223" s="830"/>
      <c r="CN223" s="830"/>
      <c r="CO223" s="830"/>
      <c r="CP223" s="830"/>
      <c r="CQ223" s="830"/>
      <c r="CR223" s="830"/>
      <c r="CS223" s="830"/>
      <c r="CT223" s="830"/>
      <c r="CU223" s="830"/>
      <c r="CV223" s="830"/>
      <c r="CW223" s="830"/>
      <c r="CX223" s="830"/>
      <c r="CY223" s="830"/>
      <c r="CZ223" s="830"/>
      <c r="DA223" s="830"/>
      <c r="DB223" s="830"/>
      <c r="DC223" s="830"/>
      <c r="DD223" s="830"/>
      <c r="DE223" s="830"/>
      <c r="DF223" s="830"/>
      <c r="DG223" s="830"/>
      <c r="DH223" s="830"/>
      <c r="DI223" s="830"/>
      <c r="DJ223" s="830"/>
      <c r="DK223" s="830"/>
      <c r="DL223" s="830"/>
      <c r="DM223" s="830"/>
      <c r="DN223" s="830"/>
      <c r="DO223" s="830"/>
      <c r="DP223" s="830"/>
      <c r="DQ223" s="830"/>
      <c r="DR223" s="830"/>
      <c r="DS223" s="830"/>
      <c r="DT223" s="830"/>
      <c r="DU223" s="830"/>
      <c r="DV223" s="830"/>
      <c r="DW223" s="830"/>
      <c r="DX223" s="830"/>
      <c r="DY223" s="830"/>
      <c r="DZ223" s="830"/>
      <c r="EA223" s="830"/>
      <c r="EB223" s="830"/>
      <c r="EC223" s="830"/>
      <c r="ED223" s="830"/>
      <c r="EE223" s="830"/>
      <c r="EF223" s="830"/>
      <c r="EG223" s="830"/>
      <c r="EH223" s="830"/>
      <c r="EI223" s="830"/>
      <c r="EJ223" s="830"/>
      <c r="EK223" s="830"/>
      <c r="EL223" s="830"/>
      <c r="EM223" s="830"/>
      <c r="EN223" s="830"/>
      <c r="EO223" s="830"/>
      <c r="EP223" s="830"/>
      <c r="EQ223" s="830"/>
      <c r="ER223" s="830"/>
      <c r="ES223" s="830"/>
      <c r="ET223" s="830"/>
      <c r="EU223" s="830"/>
      <c r="EV223" s="830"/>
      <c r="EW223" s="830"/>
      <c r="EX223" s="830"/>
      <c r="EY223" s="830"/>
      <c r="EZ223" s="830"/>
      <c r="FA223" s="830"/>
      <c r="FB223" s="830"/>
      <c r="FC223" s="830"/>
      <c r="FD223" s="830"/>
      <c r="FE223" s="830"/>
      <c r="FF223" s="830"/>
      <c r="FG223" s="830"/>
      <c r="FH223" s="830"/>
      <c r="FI223" s="830"/>
      <c r="FJ223" s="830"/>
      <c r="FK223" s="830"/>
      <c r="FL223" s="1167"/>
      <c r="FM223" s="1167"/>
      <c r="FN223" s="1167"/>
      <c r="FO223" s="1167"/>
      <c r="FP223" s="1167"/>
      <c r="FQ223" s="1167"/>
      <c r="FR223" s="1167"/>
      <c r="FS223" s="1167"/>
      <c r="FT223" s="1167"/>
      <c r="FU223" s="1167"/>
      <c r="FV223" s="1167"/>
    </row>
    <row r="224" spans="1:178" s="1375" customFormat="1" ht="21" hidden="1" customHeight="1">
      <c r="A224" s="1554">
        <v>1</v>
      </c>
      <c r="B224" s="1062">
        <v>4</v>
      </c>
      <c r="C224" s="1065" t="s">
        <v>568</v>
      </c>
      <c r="D224" s="1065"/>
      <c r="E224" s="1065"/>
      <c r="F224" s="1065"/>
      <c r="G224" s="1065"/>
      <c r="H224" s="1065"/>
      <c r="I224" s="1377"/>
      <c r="J224" s="1567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4"/>
      <c r="W224" s="1064"/>
      <c r="X224" s="1378"/>
      <c r="Y224" s="1378"/>
      <c r="Z224" s="1065"/>
      <c r="AA224" s="1065"/>
      <c r="AB224" s="1065"/>
      <c r="AC224" s="1065"/>
      <c r="AD224" s="1065"/>
      <c r="AE224" s="1065"/>
      <c r="AF224" s="1065"/>
      <c r="AG224" s="1065"/>
      <c r="AH224" s="1065"/>
      <c r="AI224" s="1067"/>
      <c r="AJ224" s="1378"/>
      <c r="AK224" s="1378"/>
      <c r="AL224" s="1065"/>
      <c r="AM224" s="1065"/>
      <c r="AN224" s="1065"/>
      <c r="AO224" s="1065"/>
      <c r="AP224" s="1067"/>
      <c r="AQ224" s="1067"/>
      <c r="AR224" s="1065"/>
      <c r="AS224" s="1065"/>
      <c r="AT224" s="1065"/>
      <c r="AU224" s="1065"/>
      <c r="AV224" s="1065"/>
      <c r="AW224" s="1065"/>
      <c r="AX224" s="1065"/>
      <c r="AY224" s="1067"/>
      <c r="AZ224" s="1067"/>
      <c r="BA224" s="1065"/>
      <c r="BB224" s="1065"/>
      <c r="BC224" s="1061"/>
      <c r="BD224" s="1067"/>
      <c r="BE224" s="1061"/>
      <c r="BF224" s="1061"/>
      <c r="BG224" s="1061"/>
      <c r="BH224" s="1061"/>
      <c r="BI224" s="1061"/>
      <c r="BJ224" s="1061"/>
      <c r="BK224" s="1061"/>
      <c r="BL224" s="1061"/>
      <c r="BM224" s="1061"/>
      <c r="BN224" s="1061"/>
      <c r="BO224" s="1061"/>
      <c r="BP224" s="1061"/>
      <c r="BQ224" s="1061"/>
      <c r="BR224" s="1061"/>
      <c r="BS224" s="1061"/>
      <c r="BT224" s="1061"/>
      <c r="BU224" s="1061"/>
      <c r="BV224" s="1061"/>
      <c r="BW224" s="1061"/>
      <c r="BX224" s="1061"/>
      <c r="BY224" s="1061"/>
      <c r="BZ224" s="1061"/>
      <c r="CA224" s="1061"/>
      <c r="CB224" s="1061"/>
      <c r="CC224" s="1061"/>
      <c r="CD224" s="1061"/>
      <c r="CE224" s="1061"/>
      <c r="CF224" s="1061"/>
      <c r="CG224" s="1061"/>
      <c r="CH224" s="1061"/>
      <c r="CI224" s="1061"/>
      <c r="CJ224" s="1061"/>
      <c r="CK224" s="1061"/>
      <c r="CL224" s="1061"/>
      <c r="CM224" s="1061"/>
      <c r="CN224" s="1061"/>
      <c r="CO224" s="1061"/>
      <c r="CP224" s="1061"/>
      <c r="CQ224" s="1061"/>
      <c r="CR224" s="1061"/>
      <c r="CS224" s="1061"/>
      <c r="CT224" s="1061"/>
      <c r="CU224" s="1061"/>
      <c r="CV224" s="1061"/>
      <c r="CW224" s="1061"/>
      <c r="CX224" s="1061"/>
      <c r="CY224" s="1061"/>
      <c r="CZ224" s="1061"/>
      <c r="DA224" s="1061"/>
      <c r="DB224" s="1061"/>
      <c r="DC224" s="1061"/>
      <c r="DD224" s="1061"/>
      <c r="DE224" s="1061"/>
      <c r="DF224" s="1061"/>
      <c r="DG224" s="1061"/>
      <c r="DH224" s="1061"/>
      <c r="DI224" s="1061"/>
      <c r="DJ224" s="1061"/>
      <c r="DK224" s="1061"/>
      <c r="DL224" s="1061"/>
      <c r="DM224" s="1061"/>
      <c r="DN224" s="1061"/>
      <c r="DO224" s="1061"/>
      <c r="DP224" s="1061"/>
      <c r="DQ224" s="1061"/>
      <c r="DR224" s="1061"/>
      <c r="DS224" s="1061"/>
      <c r="DT224" s="1061"/>
      <c r="DU224" s="1061"/>
      <c r="DV224" s="1061"/>
      <c r="DW224" s="1061"/>
      <c r="DX224" s="1061"/>
      <c r="DY224" s="1061"/>
      <c r="DZ224" s="1061"/>
      <c r="EA224" s="1061"/>
      <c r="EB224" s="1061"/>
      <c r="EC224" s="1061"/>
      <c r="ED224" s="1061"/>
      <c r="EE224" s="1061"/>
      <c r="EF224" s="1061"/>
      <c r="EG224" s="1061"/>
      <c r="EH224" s="1061"/>
      <c r="EI224" s="1061"/>
      <c r="EJ224" s="1061"/>
      <c r="EK224" s="1061"/>
      <c r="EL224" s="1061"/>
      <c r="EM224" s="1061"/>
      <c r="EN224" s="1061"/>
      <c r="EO224" s="1061"/>
      <c r="EP224" s="1061"/>
      <c r="EQ224" s="1061"/>
      <c r="ER224" s="1061"/>
      <c r="ES224" s="1061"/>
      <c r="ET224" s="1061"/>
      <c r="EU224" s="1061"/>
      <c r="EV224" s="1061"/>
      <c r="EW224" s="1061"/>
      <c r="EX224" s="1061"/>
      <c r="EY224" s="1061"/>
      <c r="EZ224" s="1061"/>
      <c r="FA224" s="1061"/>
      <c r="FB224" s="1061"/>
      <c r="FC224" s="1061"/>
      <c r="FD224" s="1061"/>
      <c r="FE224" s="1061"/>
      <c r="FF224" s="1061"/>
      <c r="FG224" s="1061"/>
      <c r="FH224" s="1061"/>
      <c r="FI224" s="1061"/>
      <c r="FJ224" s="1061"/>
      <c r="FK224" s="1061"/>
      <c r="FL224" s="1168"/>
      <c r="FM224" s="1168"/>
      <c r="FN224" s="1168"/>
      <c r="FO224" s="1168"/>
      <c r="FP224" s="1168"/>
      <c r="FQ224" s="1168"/>
      <c r="FR224" s="1168"/>
      <c r="FS224" s="1168"/>
      <c r="FT224" s="1168"/>
      <c r="FU224" s="1168"/>
      <c r="FV224" s="1168"/>
    </row>
    <row r="225" spans="1:178" s="1375" customFormat="1" ht="21" hidden="1" customHeight="1">
      <c r="A225" s="1554">
        <v>1</v>
      </c>
      <c r="B225" s="1062">
        <v>5</v>
      </c>
      <c r="C225" s="1065" t="s">
        <v>569</v>
      </c>
      <c r="D225" s="1065"/>
      <c r="E225" s="1065"/>
      <c r="F225" s="1065"/>
      <c r="G225" s="1065"/>
      <c r="H225" s="1065"/>
      <c r="I225" s="1377"/>
      <c r="J225" s="1567"/>
      <c r="K225" s="1063"/>
      <c r="L225" s="1063"/>
      <c r="M225" s="1063"/>
      <c r="N225" s="1063"/>
      <c r="O225" s="1063"/>
      <c r="P225" s="1063"/>
      <c r="Q225" s="1063"/>
      <c r="R225" s="1063"/>
      <c r="S225" s="1063"/>
      <c r="T225" s="1063"/>
      <c r="U225" s="1063"/>
      <c r="V225" s="1064"/>
      <c r="W225" s="1064"/>
      <c r="X225" s="1378"/>
      <c r="Y225" s="1378"/>
      <c r="Z225" s="1065"/>
      <c r="AA225" s="1065"/>
      <c r="AB225" s="1065"/>
      <c r="AC225" s="1065"/>
      <c r="AD225" s="1065"/>
      <c r="AE225" s="1065"/>
      <c r="AF225" s="1065"/>
      <c r="AG225" s="1065"/>
      <c r="AH225" s="1065"/>
      <c r="AI225" s="1067"/>
      <c r="AJ225" s="1378"/>
      <c r="AK225" s="1378"/>
      <c r="AL225" s="1065"/>
      <c r="AM225" s="1065"/>
      <c r="AN225" s="1065"/>
      <c r="AO225" s="1065"/>
      <c r="AP225" s="1067"/>
      <c r="AQ225" s="1067"/>
      <c r="AR225" s="1065"/>
      <c r="AS225" s="1065"/>
      <c r="AT225" s="1065"/>
      <c r="AU225" s="1065"/>
      <c r="AV225" s="1065"/>
      <c r="AW225" s="1065"/>
      <c r="AX225" s="1065"/>
      <c r="AY225" s="1067"/>
      <c r="AZ225" s="1067"/>
      <c r="BA225" s="1065"/>
      <c r="BB225" s="1065"/>
      <c r="BC225" s="1061"/>
      <c r="BD225" s="1067"/>
      <c r="BE225" s="1061"/>
      <c r="BF225" s="1061"/>
      <c r="BG225" s="1061"/>
      <c r="BH225" s="1061"/>
      <c r="BI225" s="1061"/>
      <c r="BJ225" s="1061"/>
      <c r="BK225" s="1061"/>
      <c r="BL225" s="1061"/>
      <c r="BM225" s="1061"/>
      <c r="BN225" s="1061"/>
      <c r="BO225" s="1061"/>
      <c r="BP225" s="1061"/>
      <c r="BQ225" s="1061"/>
      <c r="BR225" s="1061"/>
      <c r="BS225" s="1061"/>
      <c r="BT225" s="1061"/>
      <c r="BU225" s="1061"/>
      <c r="BV225" s="1061"/>
      <c r="BW225" s="1061"/>
      <c r="BX225" s="1061"/>
      <c r="BY225" s="1061"/>
      <c r="BZ225" s="1061"/>
      <c r="CA225" s="1061"/>
      <c r="CB225" s="1061"/>
      <c r="CC225" s="1061"/>
      <c r="CD225" s="1061"/>
      <c r="CE225" s="1061"/>
      <c r="CF225" s="1061"/>
      <c r="CG225" s="1061"/>
      <c r="CH225" s="1061"/>
      <c r="CI225" s="1061"/>
      <c r="CJ225" s="1061"/>
      <c r="CK225" s="1061"/>
      <c r="CL225" s="1061"/>
      <c r="CM225" s="1061"/>
      <c r="CN225" s="1061"/>
      <c r="CO225" s="1061"/>
      <c r="CP225" s="1061"/>
      <c r="CQ225" s="1061"/>
      <c r="CR225" s="1061"/>
      <c r="CS225" s="1061"/>
      <c r="CT225" s="1061"/>
      <c r="CU225" s="1061"/>
      <c r="CV225" s="1061"/>
      <c r="CW225" s="1061"/>
      <c r="CX225" s="1061"/>
      <c r="CY225" s="1061"/>
      <c r="CZ225" s="1061"/>
      <c r="DA225" s="1061"/>
      <c r="DB225" s="1061"/>
      <c r="DC225" s="1061"/>
      <c r="DD225" s="1061"/>
      <c r="DE225" s="1061"/>
      <c r="DF225" s="1061"/>
      <c r="DG225" s="1061"/>
      <c r="DH225" s="1061"/>
      <c r="DI225" s="1061"/>
      <c r="DJ225" s="1061"/>
      <c r="DK225" s="1061"/>
      <c r="DL225" s="1061"/>
      <c r="DM225" s="1061"/>
      <c r="DN225" s="1061"/>
      <c r="DO225" s="1061"/>
      <c r="DP225" s="1061"/>
      <c r="DQ225" s="1061"/>
      <c r="DR225" s="1061"/>
      <c r="DS225" s="1061"/>
      <c r="DT225" s="1061"/>
      <c r="DU225" s="1061"/>
      <c r="DV225" s="1061"/>
      <c r="DW225" s="1061"/>
      <c r="DX225" s="1061"/>
      <c r="DY225" s="1061"/>
      <c r="DZ225" s="1061"/>
      <c r="EA225" s="1061"/>
      <c r="EB225" s="1061"/>
      <c r="EC225" s="1061"/>
      <c r="ED225" s="1061"/>
      <c r="EE225" s="1061"/>
      <c r="EF225" s="1061"/>
      <c r="EG225" s="1061"/>
      <c r="EH225" s="1061"/>
      <c r="EI225" s="1061"/>
      <c r="EJ225" s="1061"/>
      <c r="EK225" s="1061"/>
      <c r="EL225" s="1061"/>
      <c r="EM225" s="1061"/>
      <c r="EN225" s="1061"/>
      <c r="EO225" s="1061"/>
      <c r="EP225" s="1061"/>
      <c r="EQ225" s="1061"/>
      <c r="ER225" s="1061"/>
      <c r="ES225" s="1061"/>
      <c r="ET225" s="1061"/>
      <c r="EU225" s="1061"/>
      <c r="EV225" s="1061"/>
      <c r="EW225" s="1061"/>
      <c r="EX225" s="1061"/>
      <c r="EY225" s="1061"/>
      <c r="EZ225" s="1061"/>
      <c r="FA225" s="1061"/>
      <c r="FB225" s="1061"/>
      <c r="FC225" s="1061"/>
      <c r="FD225" s="1061"/>
      <c r="FE225" s="1061"/>
      <c r="FF225" s="1061"/>
      <c r="FG225" s="1061"/>
      <c r="FH225" s="1061"/>
      <c r="FI225" s="1061"/>
      <c r="FJ225" s="1061"/>
      <c r="FK225" s="1061"/>
      <c r="FL225" s="1168"/>
      <c r="FM225" s="1168"/>
      <c r="FN225" s="1168"/>
      <c r="FO225" s="1168"/>
      <c r="FP225" s="1168"/>
      <c r="FQ225" s="1168"/>
      <c r="FR225" s="1168"/>
      <c r="FS225" s="1168"/>
      <c r="FT225" s="1168"/>
      <c r="FU225" s="1168"/>
      <c r="FV225" s="1168"/>
    </row>
    <row r="226" spans="1:178" s="61" customFormat="1" ht="20.100000000000001" customHeight="1">
      <c r="A226" s="1551">
        <v>1</v>
      </c>
      <c r="B226" s="348">
        <v>6</v>
      </c>
      <c r="C226" s="60" t="s">
        <v>107</v>
      </c>
      <c r="D226" s="60"/>
      <c r="E226" s="60"/>
      <c r="F226" s="60"/>
      <c r="G226" s="60"/>
      <c r="H226" s="60"/>
      <c r="I226" s="1568"/>
      <c r="J226" s="1373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5"/>
      <c r="W226" s="105"/>
      <c r="X226" s="106"/>
      <c r="Y226" s="106"/>
      <c r="Z226" s="60"/>
      <c r="AA226" s="60"/>
      <c r="AB226" s="60"/>
      <c r="AC226" s="60"/>
      <c r="AD226" s="60"/>
      <c r="AE226" s="60"/>
      <c r="AF226" s="60"/>
      <c r="AG226" s="60"/>
      <c r="AH226" s="60"/>
      <c r="AI226" s="923"/>
      <c r="AJ226" s="106"/>
      <c r="AK226" s="106"/>
      <c r="AL226" s="60"/>
      <c r="AM226" s="60"/>
      <c r="AN226" s="60"/>
      <c r="AO226" s="60"/>
      <c r="AP226" s="923"/>
      <c r="AQ226" s="923"/>
      <c r="AR226" s="60"/>
      <c r="AS226" s="60"/>
      <c r="AT226" s="60"/>
      <c r="AU226" s="60"/>
      <c r="AV226" s="60"/>
      <c r="AW226" s="60"/>
      <c r="AX226" s="60"/>
      <c r="AY226" s="923"/>
      <c r="AZ226" s="923"/>
      <c r="BA226" s="60"/>
      <c r="BB226" s="60"/>
      <c r="BC226" s="830"/>
      <c r="BD226" s="923"/>
      <c r="BE226" s="830"/>
      <c r="BF226" s="830"/>
      <c r="BG226" s="830"/>
      <c r="BH226" s="830"/>
      <c r="BI226" s="830"/>
      <c r="BJ226" s="830"/>
      <c r="BK226" s="830"/>
      <c r="BL226" s="830"/>
      <c r="BM226" s="830"/>
      <c r="BN226" s="830"/>
      <c r="BO226" s="830"/>
      <c r="BP226" s="830"/>
      <c r="BQ226" s="830"/>
      <c r="BR226" s="830"/>
      <c r="BS226" s="830"/>
      <c r="BT226" s="830"/>
      <c r="BU226" s="830"/>
      <c r="BV226" s="830"/>
      <c r="BW226" s="830"/>
      <c r="BX226" s="830"/>
      <c r="BY226" s="830"/>
      <c r="BZ226" s="830"/>
      <c r="CA226" s="830"/>
      <c r="CB226" s="830"/>
      <c r="CC226" s="830"/>
      <c r="CD226" s="830"/>
      <c r="CE226" s="830"/>
      <c r="CF226" s="830"/>
      <c r="CG226" s="830"/>
      <c r="CH226" s="830"/>
      <c r="CI226" s="830"/>
      <c r="CJ226" s="830"/>
      <c r="CK226" s="830"/>
      <c r="CL226" s="830"/>
      <c r="CM226" s="830"/>
      <c r="CN226" s="830"/>
      <c r="CO226" s="830"/>
      <c r="CP226" s="830"/>
      <c r="CQ226" s="830"/>
      <c r="CR226" s="830"/>
      <c r="CS226" s="830"/>
      <c r="CT226" s="830"/>
      <c r="CU226" s="830"/>
      <c r="CV226" s="830"/>
      <c r="CW226" s="830"/>
      <c r="CX226" s="830"/>
      <c r="CY226" s="830"/>
      <c r="CZ226" s="830"/>
      <c r="DA226" s="830"/>
      <c r="DB226" s="830"/>
      <c r="DC226" s="830"/>
      <c r="DD226" s="830"/>
      <c r="DE226" s="830"/>
      <c r="DF226" s="830"/>
      <c r="DG226" s="830"/>
      <c r="DH226" s="830"/>
      <c r="DI226" s="830"/>
      <c r="DJ226" s="830"/>
      <c r="DK226" s="830"/>
      <c r="DL226" s="830"/>
      <c r="DM226" s="830"/>
      <c r="DN226" s="830"/>
      <c r="DO226" s="830"/>
      <c r="DP226" s="830"/>
      <c r="DQ226" s="830"/>
      <c r="DR226" s="830"/>
      <c r="DS226" s="830"/>
      <c r="DT226" s="830"/>
      <c r="DU226" s="830"/>
      <c r="DV226" s="830"/>
      <c r="DW226" s="830"/>
      <c r="DX226" s="830"/>
      <c r="DY226" s="830"/>
      <c r="DZ226" s="830"/>
      <c r="EA226" s="830"/>
      <c r="EB226" s="830"/>
      <c r="EC226" s="830"/>
      <c r="ED226" s="830"/>
      <c r="EE226" s="830"/>
      <c r="EF226" s="830"/>
      <c r="EG226" s="830"/>
      <c r="EH226" s="830"/>
      <c r="EI226" s="830"/>
      <c r="EJ226" s="830"/>
      <c r="EK226" s="830"/>
      <c r="EL226" s="830"/>
      <c r="EM226" s="830"/>
      <c r="EN226" s="830"/>
      <c r="EO226" s="830"/>
      <c r="EP226" s="830"/>
      <c r="EQ226" s="830"/>
      <c r="ER226" s="830"/>
      <c r="ES226" s="830"/>
      <c r="ET226" s="830"/>
      <c r="EU226" s="830"/>
      <c r="EV226" s="830"/>
      <c r="EW226" s="830"/>
      <c r="EX226" s="830"/>
      <c r="EY226" s="830"/>
      <c r="EZ226" s="830"/>
      <c r="FA226" s="830"/>
      <c r="FB226" s="830"/>
      <c r="FC226" s="830"/>
      <c r="FD226" s="830"/>
      <c r="FE226" s="830"/>
      <c r="FF226" s="830"/>
      <c r="FG226" s="830"/>
      <c r="FH226" s="830"/>
      <c r="FI226" s="830"/>
      <c r="FJ226" s="830"/>
      <c r="FK226" s="830"/>
      <c r="FL226" s="1167"/>
      <c r="FM226" s="1167"/>
      <c r="FN226" s="1167"/>
      <c r="FO226" s="1167"/>
      <c r="FP226" s="1167"/>
      <c r="FQ226" s="1167"/>
      <c r="FR226" s="1167"/>
      <c r="FS226" s="1167"/>
      <c r="FT226" s="1167"/>
      <c r="FU226" s="1167"/>
      <c r="FV226" s="1167"/>
    </row>
    <row r="227" spans="1:178" s="1379" customFormat="1" ht="21" hidden="1" customHeight="1">
      <c r="A227" s="1553">
        <v>1</v>
      </c>
      <c r="B227" s="1062">
        <v>7</v>
      </c>
      <c r="C227" s="1065" t="s">
        <v>21</v>
      </c>
      <c r="D227" s="1065"/>
      <c r="E227" s="1065"/>
      <c r="F227" s="1065"/>
      <c r="G227" s="1065"/>
      <c r="H227" s="1065"/>
      <c r="I227" s="1377"/>
      <c r="J227" s="1567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5"/>
      <c r="W227" s="105"/>
      <c r="X227" s="106"/>
      <c r="Y227" s="106"/>
      <c r="Z227" s="60"/>
      <c r="AA227" s="60"/>
      <c r="AB227" s="60"/>
      <c r="AC227" s="60"/>
      <c r="AD227" s="60"/>
      <c r="AE227" s="60"/>
      <c r="AF227" s="60"/>
      <c r="AG227" s="60"/>
      <c r="AH227" s="60"/>
      <c r="AI227" s="923"/>
      <c r="AJ227" s="106"/>
      <c r="AK227" s="106"/>
      <c r="AL227" s="60"/>
      <c r="AM227" s="60"/>
      <c r="AN227" s="60"/>
      <c r="AO227" s="60"/>
      <c r="AP227" s="923"/>
      <c r="AQ227" s="923"/>
      <c r="AR227" s="60"/>
      <c r="AS227" s="60"/>
      <c r="AT227" s="60"/>
      <c r="AU227" s="60"/>
      <c r="AV227" s="60"/>
      <c r="AW227" s="60"/>
      <c r="AX227" s="60"/>
      <c r="AY227" s="923"/>
      <c r="AZ227" s="923"/>
      <c r="BA227" s="60"/>
      <c r="BB227" s="60"/>
      <c r="BC227" s="830"/>
      <c r="BD227" s="923"/>
      <c r="BE227" s="830"/>
      <c r="BF227" s="830"/>
      <c r="BG227" s="830"/>
      <c r="BH227" s="830"/>
      <c r="BI227" s="830"/>
      <c r="BJ227" s="830"/>
      <c r="BK227" s="830"/>
      <c r="BL227" s="830"/>
      <c r="BM227" s="830"/>
      <c r="BN227" s="830"/>
      <c r="BO227" s="830"/>
      <c r="BP227" s="830"/>
      <c r="BQ227" s="830"/>
      <c r="BR227" s="830"/>
      <c r="BS227" s="830"/>
      <c r="BT227" s="830"/>
      <c r="BU227" s="830"/>
      <c r="BV227" s="830"/>
      <c r="BW227" s="830"/>
      <c r="BX227" s="830"/>
      <c r="BY227" s="830"/>
      <c r="BZ227" s="830"/>
      <c r="CA227" s="830"/>
      <c r="CB227" s="830"/>
      <c r="CC227" s="830"/>
      <c r="CD227" s="830"/>
      <c r="CE227" s="830"/>
      <c r="CF227" s="830"/>
      <c r="CG227" s="830"/>
      <c r="CH227" s="830"/>
      <c r="CI227" s="830"/>
      <c r="CJ227" s="830"/>
      <c r="CK227" s="830"/>
      <c r="CL227" s="830"/>
      <c r="CM227" s="830"/>
      <c r="CN227" s="830"/>
      <c r="CO227" s="830"/>
      <c r="CP227" s="830"/>
      <c r="CQ227" s="830"/>
      <c r="CR227" s="830"/>
      <c r="CS227" s="830"/>
      <c r="CT227" s="830"/>
      <c r="CU227" s="830"/>
      <c r="CV227" s="830"/>
      <c r="CW227" s="830"/>
      <c r="CX227" s="830"/>
      <c r="CY227" s="830"/>
      <c r="CZ227" s="830"/>
      <c r="DA227" s="830"/>
      <c r="DB227" s="830"/>
      <c r="DC227" s="830"/>
      <c r="DD227" s="830"/>
      <c r="DE227" s="830"/>
      <c r="DF227" s="830"/>
      <c r="DG227" s="830"/>
      <c r="DH227" s="830"/>
      <c r="DI227" s="830"/>
      <c r="DJ227" s="830"/>
      <c r="DK227" s="830"/>
      <c r="DL227" s="830"/>
      <c r="DM227" s="830"/>
      <c r="DN227" s="830"/>
      <c r="DO227" s="830"/>
      <c r="DP227" s="830"/>
      <c r="DQ227" s="830"/>
      <c r="DR227" s="830"/>
      <c r="DS227" s="830"/>
      <c r="DT227" s="830"/>
      <c r="DU227" s="830"/>
      <c r="DV227" s="830"/>
      <c r="DW227" s="830"/>
      <c r="DX227" s="830"/>
      <c r="DY227" s="830"/>
      <c r="DZ227" s="830"/>
      <c r="EA227" s="830"/>
      <c r="EB227" s="830"/>
      <c r="EC227" s="830"/>
      <c r="ED227" s="830"/>
      <c r="EE227" s="830"/>
      <c r="EF227" s="830"/>
      <c r="EG227" s="830"/>
      <c r="EH227" s="830"/>
      <c r="EI227" s="830"/>
      <c r="EJ227" s="830"/>
      <c r="EK227" s="830"/>
      <c r="EL227" s="830"/>
      <c r="EM227" s="830"/>
      <c r="EN227" s="830"/>
      <c r="EO227" s="830"/>
      <c r="EP227" s="830"/>
      <c r="EQ227" s="830"/>
      <c r="ER227" s="830"/>
      <c r="ES227" s="830"/>
      <c r="ET227" s="830"/>
      <c r="EU227" s="830"/>
      <c r="EV227" s="830"/>
      <c r="EW227" s="830"/>
      <c r="EX227" s="830"/>
      <c r="EY227" s="830"/>
      <c r="EZ227" s="830"/>
      <c r="FA227" s="830"/>
      <c r="FB227" s="830"/>
      <c r="FC227" s="830"/>
      <c r="FD227" s="830"/>
      <c r="FE227" s="830"/>
      <c r="FF227" s="830"/>
      <c r="FG227" s="830"/>
      <c r="FH227" s="830"/>
      <c r="FI227" s="830"/>
      <c r="FJ227" s="830"/>
      <c r="FK227" s="830"/>
      <c r="FL227" s="1167"/>
      <c r="FM227" s="1167"/>
      <c r="FN227" s="1167"/>
      <c r="FO227" s="1167"/>
      <c r="FP227" s="1167"/>
      <c r="FQ227" s="1167"/>
      <c r="FR227" s="1167"/>
      <c r="FS227" s="1167"/>
      <c r="FT227" s="1167"/>
      <c r="FU227" s="1167"/>
      <c r="FV227" s="1167"/>
    </row>
    <row r="228" spans="1:178" s="61" customFormat="1" ht="20.100000000000001" customHeight="1">
      <c r="A228" s="1551">
        <v>1</v>
      </c>
      <c r="B228" s="348">
        <v>8</v>
      </c>
      <c r="C228" s="60" t="s">
        <v>108</v>
      </c>
      <c r="D228" s="60"/>
      <c r="E228" s="60"/>
      <c r="F228" s="60"/>
      <c r="G228" s="60"/>
      <c r="H228" s="60"/>
      <c r="I228" s="1568"/>
      <c r="J228" s="1373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5"/>
      <c r="W228" s="105"/>
      <c r="X228" s="106"/>
      <c r="Y228" s="106"/>
      <c r="Z228" s="60"/>
      <c r="AA228" s="60"/>
      <c r="AB228" s="60"/>
      <c r="AC228" s="60"/>
      <c r="AD228" s="60"/>
      <c r="AE228" s="60"/>
      <c r="AF228" s="60"/>
      <c r="AG228" s="60"/>
      <c r="AH228" s="60"/>
      <c r="AI228" s="923"/>
      <c r="AJ228" s="106"/>
      <c r="AK228" s="106"/>
      <c r="AL228" s="60"/>
      <c r="AM228" s="60"/>
      <c r="AN228" s="60"/>
      <c r="AO228" s="60"/>
      <c r="AP228" s="923"/>
      <c r="AQ228" s="923"/>
      <c r="AR228" s="60"/>
      <c r="AS228" s="60"/>
      <c r="AT228" s="60"/>
      <c r="AU228" s="60"/>
      <c r="AV228" s="60"/>
      <c r="AW228" s="60"/>
      <c r="AX228" s="60"/>
      <c r="AY228" s="923"/>
      <c r="AZ228" s="923"/>
      <c r="BA228" s="60"/>
      <c r="BB228" s="60"/>
      <c r="BC228" s="830"/>
      <c r="BD228" s="923"/>
      <c r="BE228" s="830"/>
      <c r="BF228" s="830"/>
      <c r="BG228" s="830"/>
      <c r="BH228" s="830"/>
      <c r="BI228" s="830"/>
      <c r="BJ228" s="830"/>
      <c r="BK228" s="830"/>
      <c r="BL228" s="830"/>
      <c r="BM228" s="830"/>
      <c r="BN228" s="830"/>
      <c r="BO228" s="830"/>
      <c r="BP228" s="830"/>
      <c r="BQ228" s="830"/>
      <c r="BR228" s="830"/>
      <c r="BS228" s="830"/>
      <c r="BT228" s="830"/>
      <c r="BU228" s="830"/>
      <c r="BV228" s="830"/>
      <c r="BW228" s="830"/>
      <c r="BX228" s="830"/>
      <c r="BY228" s="830"/>
      <c r="BZ228" s="830"/>
      <c r="CA228" s="830"/>
      <c r="CB228" s="830"/>
      <c r="CC228" s="830"/>
      <c r="CD228" s="830"/>
      <c r="CE228" s="830"/>
      <c r="CF228" s="830"/>
      <c r="CG228" s="830"/>
      <c r="CH228" s="830"/>
      <c r="CI228" s="830"/>
      <c r="CJ228" s="830"/>
      <c r="CK228" s="830"/>
      <c r="CL228" s="830"/>
      <c r="CM228" s="830"/>
      <c r="CN228" s="830"/>
      <c r="CO228" s="830"/>
      <c r="CP228" s="830"/>
      <c r="CQ228" s="830"/>
      <c r="CR228" s="830"/>
      <c r="CS228" s="830"/>
      <c r="CT228" s="830"/>
      <c r="CU228" s="830"/>
      <c r="CV228" s="830"/>
      <c r="CW228" s="830"/>
      <c r="CX228" s="830"/>
      <c r="CY228" s="830"/>
      <c r="CZ228" s="830"/>
      <c r="DA228" s="830"/>
      <c r="DB228" s="830"/>
      <c r="DC228" s="830"/>
      <c r="DD228" s="830"/>
      <c r="DE228" s="830"/>
      <c r="DF228" s="830"/>
      <c r="DG228" s="830"/>
      <c r="DH228" s="830"/>
      <c r="DI228" s="830"/>
      <c r="DJ228" s="830"/>
      <c r="DK228" s="830"/>
      <c r="DL228" s="830"/>
      <c r="DM228" s="830"/>
      <c r="DN228" s="830"/>
      <c r="DO228" s="830"/>
      <c r="DP228" s="830"/>
      <c r="DQ228" s="830"/>
      <c r="DR228" s="830"/>
      <c r="DS228" s="830"/>
      <c r="DT228" s="830"/>
      <c r="DU228" s="830"/>
      <c r="DV228" s="830"/>
      <c r="DW228" s="830"/>
      <c r="DX228" s="830"/>
      <c r="DY228" s="830"/>
      <c r="DZ228" s="830"/>
      <c r="EA228" s="830"/>
      <c r="EB228" s="830"/>
      <c r="EC228" s="830"/>
      <c r="ED228" s="830"/>
      <c r="EE228" s="830"/>
      <c r="EF228" s="830"/>
      <c r="EG228" s="830"/>
      <c r="EH228" s="830"/>
      <c r="EI228" s="830"/>
      <c r="EJ228" s="830"/>
      <c r="EK228" s="830"/>
      <c r="EL228" s="830"/>
      <c r="EM228" s="830"/>
      <c r="EN228" s="830"/>
      <c r="EO228" s="830"/>
      <c r="EP228" s="830"/>
      <c r="EQ228" s="830"/>
      <c r="ER228" s="830"/>
      <c r="ES228" s="830"/>
      <c r="ET228" s="830"/>
      <c r="EU228" s="830"/>
      <c r="EV228" s="830"/>
      <c r="EW228" s="830"/>
      <c r="EX228" s="830"/>
      <c r="EY228" s="830"/>
      <c r="EZ228" s="830"/>
      <c r="FA228" s="830"/>
      <c r="FB228" s="830"/>
      <c r="FC228" s="830"/>
      <c r="FD228" s="830"/>
      <c r="FE228" s="830"/>
      <c r="FF228" s="830"/>
      <c r="FG228" s="830"/>
      <c r="FH228" s="830"/>
      <c r="FI228" s="830"/>
      <c r="FJ228" s="830"/>
      <c r="FK228" s="830"/>
      <c r="FL228" s="1167"/>
      <c r="FM228" s="1167"/>
      <c r="FN228" s="1167"/>
      <c r="FO228" s="1167"/>
      <c r="FP228" s="1167"/>
      <c r="FQ228" s="1167"/>
      <c r="FR228" s="1167"/>
      <c r="FS228" s="1167"/>
      <c r="FT228" s="1167"/>
      <c r="FU228" s="1167"/>
      <c r="FV228" s="1167"/>
    </row>
    <row r="229" spans="1:178" s="61" customFormat="1" ht="20.100000000000001" customHeight="1">
      <c r="A229" s="1551">
        <v>1</v>
      </c>
      <c r="B229" s="348">
        <v>9</v>
      </c>
      <c r="C229" s="60" t="s">
        <v>108</v>
      </c>
      <c r="D229" s="60"/>
      <c r="E229" s="60"/>
      <c r="F229" s="60"/>
      <c r="G229" s="60"/>
      <c r="H229" s="60"/>
      <c r="I229" s="1568"/>
      <c r="J229" s="1373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5"/>
      <c r="W229" s="105"/>
      <c r="X229" s="106"/>
      <c r="Y229" s="106"/>
      <c r="Z229" s="60"/>
      <c r="AA229" s="60"/>
      <c r="AB229" s="60"/>
      <c r="AC229" s="60"/>
      <c r="AD229" s="60"/>
      <c r="AE229" s="60"/>
      <c r="AF229" s="60"/>
      <c r="AG229" s="60"/>
      <c r="AH229" s="60"/>
      <c r="AI229" s="923"/>
      <c r="AJ229" s="106"/>
      <c r="AK229" s="106"/>
      <c r="AL229" s="60"/>
      <c r="AM229" s="60"/>
      <c r="AN229" s="60"/>
      <c r="AO229" s="60"/>
      <c r="AP229" s="923"/>
      <c r="AQ229" s="923"/>
      <c r="AR229" s="60"/>
      <c r="AS229" s="60"/>
      <c r="AT229" s="60"/>
      <c r="AU229" s="60"/>
      <c r="AV229" s="60"/>
      <c r="AW229" s="60"/>
      <c r="AX229" s="60"/>
      <c r="AY229" s="923"/>
      <c r="AZ229" s="923"/>
      <c r="BA229" s="60"/>
      <c r="BB229" s="60"/>
      <c r="BC229" s="830"/>
      <c r="BD229" s="923"/>
      <c r="BE229" s="830"/>
      <c r="BF229" s="830"/>
      <c r="BG229" s="830"/>
      <c r="BH229" s="830"/>
      <c r="BI229" s="830"/>
      <c r="BJ229" s="830"/>
      <c r="BK229" s="830"/>
      <c r="BL229" s="830"/>
      <c r="BM229" s="830"/>
      <c r="BN229" s="830"/>
      <c r="BO229" s="830"/>
      <c r="BP229" s="830"/>
      <c r="BQ229" s="830"/>
      <c r="BR229" s="830"/>
      <c r="BS229" s="830"/>
      <c r="BT229" s="830"/>
      <c r="BU229" s="830"/>
      <c r="BV229" s="830"/>
      <c r="BW229" s="830"/>
      <c r="BX229" s="830"/>
      <c r="BY229" s="830"/>
      <c r="BZ229" s="830"/>
      <c r="CA229" s="830"/>
      <c r="CB229" s="830"/>
      <c r="CC229" s="830"/>
      <c r="CD229" s="830"/>
      <c r="CE229" s="830"/>
      <c r="CF229" s="830"/>
      <c r="CG229" s="830"/>
      <c r="CH229" s="830"/>
      <c r="CI229" s="830"/>
      <c r="CJ229" s="830"/>
      <c r="CK229" s="830"/>
      <c r="CL229" s="830"/>
      <c r="CM229" s="830"/>
      <c r="CN229" s="830"/>
      <c r="CO229" s="830"/>
      <c r="CP229" s="830"/>
      <c r="CQ229" s="830"/>
      <c r="CR229" s="830"/>
      <c r="CS229" s="830"/>
      <c r="CT229" s="830"/>
      <c r="CU229" s="830"/>
      <c r="CV229" s="830"/>
      <c r="CW229" s="830"/>
      <c r="CX229" s="830"/>
      <c r="CY229" s="830"/>
      <c r="CZ229" s="830"/>
      <c r="DA229" s="830"/>
      <c r="DB229" s="830"/>
      <c r="DC229" s="830"/>
      <c r="DD229" s="830"/>
      <c r="DE229" s="830"/>
      <c r="DF229" s="830"/>
      <c r="DG229" s="830"/>
      <c r="DH229" s="830"/>
      <c r="DI229" s="830"/>
      <c r="DJ229" s="830"/>
      <c r="DK229" s="830"/>
      <c r="DL229" s="830"/>
      <c r="DM229" s="830"/>
      <c r="DN229" s="830"/>
      <c r="DO229" s="830"/>
      <c r="DP229" s="830"/>
      <c r="DQ229" s="830"/>
      <c r="DR229" s="830"/>
      <c r="DS229" s="830"/>
      <c r="DT229" s="830"/>
      <c r="DU229" s="830"/>
      <c r="DV229" s="830"/>
      <c r="DW229" s="830"/>
      <c r="DX229" s="830"/>
      <c r="DY229" s="830"/>
      <c r="DZ229" s="830"/>
      <c r="EA229" s="830"/>
      <c r="EB229" s="830"/>
      <c r="EC229" s="830"/>
      <c r="ED229" s="830"/>
      <c r="EE229" s="830"/>
      <c r="EF229" s="830"/>
      <c r="EG229" s="830"/>
      <c r="EH229" s="830"/>
      <c r="EI229" s="830"/>
      <c r="EJ229" s="830"/>
      <c r="EK229" s="830"/>
      <c r="EL229" s="830"/>
      <c r="EM229" s="830"/>
      <c r="EN229" s="830"/>
      <c r="EO229" s="830"/>
      <c r="EP229" s="830"/>
      <c r="EQ229" s="830"/>
      <c r="ER229" s="830"/>
      <c r="ES229" s="830"/>
      <c r="ET229" s="830"/>
      <c r="EU229" s="830"/>
      <c r="EV229" s="830"/>
      <c r="EW229" s="830"/>
      <c r="EX229" s="830"/>
      <c r="EY229" s="830"/>
      <c r="EZ229" s="830"/>
      <c r="FA229" s="830"/>
      <c r="FB229" s="830"/>
      <c r="FC229" s="830"/>
      <c r="FD229" s="830"/>
      <c r="FE229" s="830"/>
      <c r="FF229" s="830"/>
      <c r="FG229" s="830"/>
      <c r="FH229" s="830"/>
      <c r="FI229" s="830"/>
      <c r="FJ229" s="830"/>
      <c r="FK229" s="830"/>
      <c r="FL229" s="1167"/>
      <c r="FM229" s="1167"/>
      <c r="FN229" s="1167"/>
      <c r="FO229" s="1167"/>
      <c r="FP229" s="1167"/>
      <c r="FQ229" s="1167"/>
      <c r="FR229" s="1167"/>
      <c r="FS229" s="1167"/>
      <c r="FT229" s="1167"/>
      <c r="FU229" s="1167"/>
      <c r="FV229" s="1167"/>
    </row>
    <row r="230" spans="1:178" s="61" customFormat="1" ht="20.100000000000001" customHeight="1">
      <c r="A230" s="1551">
        <v>1</v>
      </c>
      <c r="B230" s="348">
        <v>10</v>
      </c>
      <c r="C230" s="60" t="s">
        <v>401</v>
      </c>
      <c r="D230" s="60"/>
      <c r="E230" s="60"/>
      <c r="F230" s="60"/>
      <c r="G230" s="60"/>
      <c r="H230" s="60"/>
      <c r="I230" s="1568"/>
      <c r="J230" s="1373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5"/>
      <c r="W230" s="105"/>
      <c r="X230" s="106"/>
      <c r="Y230" s="106"/>
      <c r="Z230" s="60"/>
      <c r="AA230" s="60"/>
      <c r="AB230" s="60"/>
      <c r="AC230" s="60"/>
      <c r="AD230" s="60"/>
      <c r="AE230" s="60"/>
      <c r="AF230" s="60"/>
      <c r="AG230" s="60"/>
      <c r="AH230" s="60"/>
      <c r="AI230" s="923"/>
      <c r="AJ230" s="106"/>
      <c r="AK230" s="106"/>
      <c r="AL230" s="60"/>
      <c r="AM230" s="60"/>
      <c r="AN230" s="60"/>
      <c r="AO230" s="60"/>
      <c r="AP230" s="923"/>
      <c r="AQ230" s="923"/>
      <c r="AR230" s="60"/>
      <c r="AS230" s="60"/>
      <c r="AT230" s="60"/>
      <c r="AU230" s="60"/>
      <c r="AV230" s="60"/>
      <c r="AW230" s="60"/>
      <c r="AX230" s="60"/>
      <c r="AY230" s="923"/>
      <c r="AZ230" s="923"/>
      <c r="BA230" s="60"/>
      <c r="BB230" s="60"/>
      <c r="BC230" s="830"/>
      <c r="BD230" s="923"/>
      <c r="BE230" s="830"/>
      <c r="BF230" s="830"/>
      <c r="BG230" s="830"/>
      <c r="BH230" s="830"/>
      <c r="BI230" s="830"/>
      <c r="BJ230" s="830"/>
      <c r="BK230" s="830"/>
      <c r="BL230" s="830"/>
      <c r="BM230" s="830"/>
      <c r="BN230" s="830"/>
      <c r="BO230" s="830"/>
      <c r="BP230" s="830"/>
      <c r="BQ230" s="830"/>
      <c r="BR230" s="830"/>
      <c r="BS230" s="830"/>
      <c r="BT230" s="830"/>
      <c r="BU230" s="830"/>
      <c r="BV230" s="830"/>
      <c r="BW230" s="830"/>
      <c r="BX230" s="830"/>
      <c r="BY230" s="830"/>
      <c r="BZ230" s="830"/>
      <c r="CA230" s="830"/>
      <c r="CB230" s="830"/>
      <c r="CC230" s="830"/>
      <c r="CD230" s="830"/>
      <c r="CE230" s="830"/>
      <c r="CF230" s="830"/>
      <c r="CG230" s="830"/>
      <c r="CH230" s="830"/>
      <c r="CI230" s="830"/>
      <c r="CJ230" s="830"/>
      <c r="CK230" s="830"/>
      <c r="CL230" s="830"/>
      <c r="CM230" s="830"/>
      <c r="CN230" s="830"/>
      <c r="CO230" s="830"/>
      <c r="CP230" s="830"/>
      <c r="CQ230" s="830"/>
      <c r="CR230" s="830"/>
      <c r="CS230" s="830"/>
      <c r="CT230" s="830"/>
      <c r="CU230" s="830"/>
      <c r="CV230" s="830"/>
      <c r="CW230" s="830"/>
      <c r="CX230" s="830"/>
      <c r="CY230" s="830"/>
      <c r="CZ230" s="830"/>
      <c r="DA230" s="830"/>
      <c r="DB230" s="830"/>
      <c r="DC230" s="830"/>
      <c r="DD230" s="830"/>
      <c r="DE230" s="830"/>
      <c r="DF230" s="830"/>
      <c r="DG230" s="830"/>
      <c r="DH230" s="830"/>
      <c r="DI230" s="830"/>
      <c r="DJ230" s="830"/>
      <c r="DK230" s="830"/>
      <c r="DL230" s="830"/>
      <c r="DM230" s="830"/>
      <c r="DN230" s="830"/>
      <c r="DO230" s="830"/>
      <c r="DP230" s="830"/>
      <c r="DQ230" s="830"/>
      <c r="DR230" s="830"/>
      <c r="DS230" s="830"/>
      <c r="DT230" s="830"/>
      <c r="DU230" s="830"/>
      <c r="DV230" s="830"/>
      <c r="DW230" s="830"/>
      <c r="DX230" s="830"/>
      <c r="DY230" s="830"/>
      <c r="DZ230" s="830"/>
      <c r="EA230" s="830"/>
      <c r="EB230" s="830"/>
      <c r="EC230" s="830"/>
      <c r="ED230" s="830"/>
      <c r="EE230" s="830"/>
      <c r="EF230" s="830"/>
      <c r="EG230" s="830"/>
      <c r="EH230" s="830"/>
      <c r="EI230" s="830"/>
      <c r="EJ230" s="830"/>
      <c r="EK230" s="830"/>
      <c r="EL230" s="830"/>
      <c r="EM230" s="830"/>
      <c r="EN230" s="830"/>
      <c r="EO230" s="830"/>
      <c r="EP230" s="830"/>
      <c r="EQ230" s="830"/>
      <c r="ER230" s="830"/>
      <c r="ES230" s="830"/>
      <c r="ET230" s="830"/>
      <c r="EU230" s="830"/>
      <c r="EV230" s="830"/>
      <c r="EW230" s="830"/>
      <c r="EX230" s="830"/>
      <c r="EY230" s="830"/>
      <c r="EZ230" s="830"/>
      <c r="FA230" s="830"/>
      <c r="FB230" s="830"/>
      <c r="FC230" s="830"/>
      <c r="FD230" s="830"/>
      <c r="FE230" s="830"/>
      <c r="FF230" s="830"/>
      <c r="FG230" s="830"/>
      <c r="FH230" s="830"/>
      <c r="FI230" s="830"/>
      <c r="FJ230" s="830"/>
      <c r="FK230" s="830"/>
      <c r="FL230" s="1167"/>
      <c r="FM230" s="1167"/>
      <c r="FN230" s="1167"/>
      <c r="FO230" s="1167"/>
      <c r="FP230" s="1167"/>
      <c r="FQ230" s="1167"/>
      <c r="FR230" s="1167"/>
      <c r="FS230" s="1167"/>
      <c r="FT230" s="1167"/>
      <c r="FU230" s="1167"/>
      <c r="FV230" s="1167"/>
    </row>
    <row r="231" spans="1:178" s="61" customFormat="1" ht="20.100000000000001" customHeight="1">
      <c r="A231" s="1551">
        <v>1</v>
      </c>
      <c r="B231" s="348">
        <v>11</v>
      </c>
      <c r="C231" s="60" t="s">
        <v>402</v>
      </c>
      <c r="D231" s="60"/>
      <c r="E231" s="60"/>
      <c r="F231" s="60"/>
      <c r="G231" s="60"/>
      <c r="H231" s="60"/>
      <c r="I231" s="1568"/>
      <c r="J231" s="1373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5"/>
      <c r="W231" s="105"/>
      <c r="X231" s="106"/>
      <c r="Y231" s="106"/>
      <c r="Z231" s="60"/>
      <c r="AA231" s="60"/>
      <c r="AB231" s="60"/>
      <c r="AC231" s="60"/>
      <c r="AD231" s="60"/>
      <c r="AE231" s="60"/>
      <c r="AF231" s="60"/>
      <c r="AG231" s="60"/>
      <c r="AH231" s="60"/>
      <c r="AI231" s="923"/>
      <c r="AJ231" s="106"/>
      <c r="AK231" s="106"/>
      <c r="AL231" s="60"/>
      <c r="AM231" s="60"/>
      <c r="AN231" s="60"/>
      <c r="AO231" s="60"/>
      <c r="AP231" s="923"/>
      <c r="AQ231" s="923"/>
      <c r="AR231" s="60"/>
      <c r="AS231" s="60"/>
      <c r="AT231" s="60"/>
      <c r="AU231" s="60"/>
      <c r="AV231" s="60"/>
      <c r="AW231" s="60"/>
      <c r="AX231" s="60"/>
      <c r="AY231" s="923"/>
      <c r="AZ231" s="923"/>
      <c r="BA231" s="60"/>
      <c r="BB231" s="60"/>
      <c r="BC231" s="830"/>
      <c r="BD231" s="923"/>
      <c r="BE231" s="830"/>
      <c r="BF231" s="830"/>
      <c r="BG231" s="830"/>
      <c r="BH231" s="830"/>
      <c r="BI231" s="830"/>
      <c r="BJ231" s="830"/>
      <c r="BK231" s="830"/>
      <c r="BL231" s="830"/>
      <c r="BM231" s="830"/>
      <c r="BN231" s="830"/>
      <c r="BO231" s="830"/>
      <c r="BP231" s="830"/>
      <c r="BQ231" s="830"/>
      <c r="BR231" s="830"/>
      <c r="BS231" s="830"/>
      <c r="BT231" s="830"/>
      <c r="BU231" s="830"/>
      <c r="BV231" s="830"/>
      <c r="BW231" s="830"/>
      <c r="BX231" s="830"/>
      <c r="BY231" s="830"/>
      <c r="BZ231" s="830"/>
      <c r="CA231" s="830"/>
      <c r="CB231" s="830"/>
      <c r="CC231" s="830"/>
      <c r="CD231" s="830"/>
      <c r="CE231" s="830"/>
      <c r="CF231" s="830"/>
      <c r="CG231" s="830"/>
      <c r="CH231" s="830"/>
      <c r="CI231" s="830"/>
      <c r="CJ231" s="830"/>
      <c r="CK231" s="830"/>
      <c r="CL231" s="830"/>
      <c r="CM231" s="830"/>
      <c r="CN231" s="830"/>
      <c r="CO231" s="830"/>
      <c r="CP231" s="830"/>
      <c r="CQ231" s="830"/>
      <c r="CR231" s="830"/>
      <c r="CS231" s="830"/>
      <c r="CT231" s="830"/>
      <c r="CU231" s="830"/>
      <c r="CV231" s="830"/>
      <c r="CW231" s="830"/>
      <c r="CX231" s="830"/>
      <c r="CY231" s="830"/>
      <c r="CZ231" s="830"/>
      <c r="DA231" s="830"/>
      <c r="DB231" s="830"/>
      <c r="DC231" s="830"/>
      <c r="DD231" s="830"/>
      <c r="DE231" s="830"/>
      <c r="DF231" s="830"/>
      <c r="DG231" s="830"/>
      <c r="DH231" s="830"/>
      <c r="DI231" s="830"/>
      <c r="DJ231" s="830"/>
      <c r="DK231" s="830"/>
      <c r="DL231" s="830"/>
      <c r="DM231" s="830"/>
      <c r="DN231" s="830"/>
      <c r="DO231" s="830"/>
      <c r="DP231" s="830"/>
      <c r="DQ231" s="830"/>
      <c r="DR231" s="830"/>
      <c r="DS231" s="830"/>
      <c r="DT231" s="830"/>
      <c r="DU231" s="830"/>
      <c r="DV231" s="830"/>
      <c r="DW231" s="830"/>
      <c r="DX231" s="830"/>
      <c r="DY231" s="830"/>
      <c r="DZ231" s="830"/>
      <c r="EA231" s="830"/>
      <c r="EB231" s="830"/>
      <c r="EC231" s="830"/>
      <c r="ED231" s="830"/>
      <c r="EE231" s="830"/>
      <c r="EF231" s="830"/>
      <c r="EG231" s="830"/>
      <c r="EH231" s="830"/>
      <c r="EI231" s="830"/>
      <c r="EJ231" s="830"/>
      <c r="EK231" s="830"/>
      <c r="EL231" s="830"/>
      <c r="EM231" s="830"/>
      <c r="EN231" s="830"/>
      <c r="EO231" s="830"/>
      <c r="EP231" s="830"/>
      <c r="EQ231" s="830"/>
      <c r="ER231" s="830"/>
      <c r="ES231" s="830"/>
      <c r="ET231" s="830"/>
      <c r="EU231" s="830"/>
      <c r="EV231" s="830"/>
      <c r="EW231" s="830"/>
      <c r="EX231" s="830"/>
      <c r="EY231" s="830"/>
      <c r="EZ231" s="830"/>
      <c r="FA231" s="830"/>
      <c r="FB231" s="830"/>
      <c r="FC231" s="830"/>
      <c r="FD231" s="830"/>
      <c r="FE231" s="830"/>
      <c r="FF231" s="830"/>
      <c r="FG231" s="830"/>
      <c r="FH231" s="830"/>
      <c r="FI231" s="830"/>
      <c r="FJ231" s="830"/>
      <c r="FK231" s="830"/>
      <c r="FL231" s="1167"/>
      <c r="FM231" s="1167"/>
      <c r="FN231" s="1167"/>
      <c r="FO231" s="1167"/>
      <c r="FP231" s="1167"/>
      <c r="FQ231" s="1167"/>
      <c r="FR231" s="1167"/>
      <c r="FS231" s="1167"/>
      <c r="FT231" s="1167"/>
      <c r="FU231" s="1167"/>
      <c r="FV231" s="1167"/>
    </row>
    <row r="232" spans="1:178" s="61" customFormat="1" ht="20.100000000000001" customHeight="1">
      <c r="A232" s="1551">
        <v>1</v>
      </c>
      <c r="B232" s="348">
        <v>12</v>
      </c>
      <c r="C232" s="60" t="s">
        <v>109</v>
      </c>
      <c r="D232" s="60"/>
      <c r="E232" s="60"/>
      <c r="F232" s="60"/>
      <c r="G232" s="60"/>
      <c r="H232" s="60"/>
      <c r="I232" s="1568"/>
      <c r="J232" s="1373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5"/>
      <c r="W232" s="105"/>
      <c r="X232" s="106"/>
      <c r="Y232" s="106"/>
      <c r="Z232" s="60"/>
      <c r="AA232" s="60"/>
      <c r="AB232" s="60"/>
      <c r="AC232" s="60"/>
      <c r="AD232" s="60"/>
      <c r="AE232" s="60"/>
      <c r="AF232" s="60"/>
      <c r="AG232" s="60"/>
      <c r="AH232" s="60"/>
      <c r="AI232" s="923"/>
      <c r="AJ232" s="106"/>
      <c r="AK232" s="106"/>
      <c r="AL232" s="60"/>
      <c r="AM232" s="60"/>
      <c r="AN232" s="60"/>
      <c r="AO232" s="60"/>
      <c r="AP232" s="923"/>
      <c r="AQ232" s="923"/>
      <c r="AR232" s="60"/>
      <c r="AS232" s="60"/>
      <c r="AT232" s="60"/>
      <c r="AU232" s="60"/>
      <c r="AV232" s="60"/>
      <c r="AW232" s="60"/>
      <c r="AX232" s="60"/>
      <c r="AY232" s="923"/>
      <c r="AZ232" s="923"/>
      <c r="BA232" s="60"/>
      <c r="BB232" s="60"/>
      <c r="BC232" s="830"/>
      <c r="BD232" s="923"/>
      <c r="BE232" s="830"/>
      <c r="BF232" s="830"/>
      <c r="BG232" s="830"/>
      <c r="BH232" s="830"/>
      <c r="BI232" s="830"/>
      <c r="BJ232" s="830"/>
      <c r="BK232" s="830"/>
      <c r="BL232" s="830"/>
      <c r="BM232" s="830"/>
      <c r="BN232" s="830"/>
      <c r="BO232" s="830"/>
      <c r="BP232" s="830"/>
      <c r="BQ232" s="830"/>
      <c r="BR232" s="830"/>
      <c r="BS232" s="830"/>
      <c r="BT232" s="830"/>
      <c r="BU232" s="830"/>
      <c r="BV232" s="830"/>
      <c r="BW232" s="830"/>
      <c r="BX232" s="830"/>
      <c r="BY232" s="830"/>
      <c r="BZ232" s="830"/>
      <c r="CA232" s="830"/>
      <c r="CB232" s="830"/>
      <c r="CC232" s="830"/>
      <c r="CD232" s="830"/>
      <c r="CE232" s="830"/>
      <c r="CF232" s="830"/>
      <c r="CG232" s="830"/>
      <c r="CH232" s="830"/>
      <c r="CI232" s="830"/>
      <c r="CJ232" s="830"/>
      <c r="CK232" s="830"/>
      <c r="CL232" s="830"/>
      <c r="CM232" s="830"/>
      <c r="CN232" s="830"/>
      <c r="CO232" s="830"/>
      <c r="CP232" s="830"/>
      <c r="CQ232" s="830"/>
      <c r="CR232" s="830"/>
      <c r="CS232" s="830"/>
      <c r="CT232" s="830"/>
      <c r="CU232" s="830"/>
      <c r="CV232" s="830"/>
      <c r="CW232" s="830"/>
      <c r="CX232" s="830"/>
      <c r="CY232" s="830"/>
      <c r="CZ232" s="830"/>
      <c r="DA232" s="830"/>
      <c r="DB232" s="830"/>
      <c r="DC232" s="830"/>
      <c r="DD232" s="830"/>
      <c r="DE232" s="830"/>
      <c r="DF232" s="830"/>
      <c r="DG232" s="830"/>
      <c r="DH232" s="830"/>
      <c r="DI232" s="830"/>
      <c r="DJ232" s="830"/>
      <c r="DK232" s="830"/>
      <c r="DL232" s="830"/>
      <c r="DM232" s="830"/>
      <c r="DN232" s="830"/>
      <c r="DO232" s="830"/>
      <c r="DP232" s="830"/>
      <c r="DQ232" s="830"/>
      <c r="DR232" s="830"/>
      <c r="DS232" s="830"/>
      <c r="DT232" s="830"/>
      <c r="DU232" s="830"/>
      <c r="DV232" s="830"/>
      <c r="DW232" s="830"/>
      <c r="DX232" s="830"/>
      <c r="DY232" s="830"/>
      <c r="DZ232" s="830"/>
      <c r="EA232" s="830"/>
      <c r="EB232" s="830"/>
      <c r="EC232" s="830"/>
      <c r="ED232" s="830"/>
      <c r="EE232" s="830"/>
      <c r="EF232" s="830"/>
      <c r="EG232" s="830"/>
      <c r="EH232" s="830"/>
      <c r="EI232" s="830"/>
      <c r="EJ232" s="830"/>
      <c r="EK232" s="830"/>
      <c r="EL232" s="830"/>
      <c r="EM232" s="830"/>
      <c r="EN232" s="830"/>
      <c r="EO232" s="830"/>
      <c r="EP232" s="830"/>
      <c r="EQ232" s="830"/>
      <c r="ER232" s="830"/>
      <c r="ES232" s="830"/>
      <c r="ET232" s="830"/>
      <c r="EU232" s="830"/>
      <c r="EV232" s="830"/>
      <c r="EW232" s="830"/>
      <c r="EX232" s="830"/>
      <c r="EY232" s="830"/>
      <c r="EZ232" s="830"/>
      <c r="FA232" s="830"/>
      <c r="FB232" s="830"/>
      <c r="FC232" s="830"/>
      <c r="FD232" s="830"/>
      <c r="FE232" s="830"/>
      <c r="FF232" s="830"/>
      <c r="FG232" s="830"/>
      <c r="FH232" s="830"/>
      <c r="FI232" s="830"/>
      <c r="FJ232" s="830"/>
      <c r="FK232" s="830"/>
      <c r="FL232" s="1167"/>
      <c r="FM232" s="1167"/>
      <c r="FN232" s="1167"/>
      <c r="FO232" s="1167"/>
      <c r="FP232" s="1167"/>
      <c r="FQ232" s="1167"/>
      <c r="FR232" s="1167"/>
      <c r="FS232" s="1167"/>
      <c r="FT232" s="1167"/>
      <c r="FU232" s="1167"/>
      <c r="FV232" s="1167"/>
    </row>
    <row r="233" spans="1:178" s="1375" customFormat="1" ht="21" hidden="1" customHeight="1">
      <c r="A233" s="1554">
        <v>1</v>
      </c>
      <c r="B233" s="1062">
        <v>13</v>
      </c>
      <c r="C233" s="1065" t="s">
        <v>449</v>
      </c>
      <c r="D233" s="1065"/>
      <c r="E233" s="1065"/>
      <c r="F233" s="1065"/>
      <c r="G233" s="1065"/>
      <c r="H233" s="1065"/>
      <c r="I233" s="1377"/>
      <c r="J233" s="1567"/>
      <c r="K233" s="1063"/>
      <c r="L233" s="1063"/>
      <c r="M233" s="1063"/>
      <c r="N233" s="1063"/>
      <c r="O233" s="1063"/>
      <c r="P233" s="1063"/>
      <c r="Q233" s="1063"/>
      <c r="R233" s="1063"/>
      <c r="S233" s="1063"/>
      <c r="T233" s="1063"/>
      <c r="U233" s="1063"/>
      <c r="V233" s="1064"/>
      <c r="W233" s="1064"/>
      <c r="X233" s="1378"/>
      <c r="Y233" s="1378"/>
      <c r="Z233" s="1065"/>
      <c r="AA233" s="1065"/>
      <c r="AB233" s="1065"/>
      <c r="AC233" s="1065"/>
      <c r="AD233" s="1065"/>
      <c r="AE233" s="1065"/>
      <c r="AF233" s="1065"/>
      <c r="AG233" s="1065"/>
      <c r="AH233" s="1065"/>
      <c r="AI233" s="1067"/>
      <c r="AJ233" s="1378"/>
      <c r="AK233" s="1378"/>
      <c r="AL233" s="1065"/>
      <c r="AM233" s="1065"/>
      <c r="AN233" s="1065"/>
      <c r="AO233" s="1065"/>
      <c r="AP233" s="1067"/>
      <c r="AQ233" s="1067"/>
      <c r="AR233" s="1065"/>
      <c r="AS233" s="1065"/>
      <c r="AT233" s="1065"/>
      <c r="AU233" s="1065"/>
      <c r="AV233" s="1065"/>
      <c r="AW233" s="1065"/>
      <c r="AX233" s="1065"/>
      <c r="AY233" s="1067"/>
      <c r="AZ233" s="1067"/>
      <c r="BA233" s="1065"/>
      <c r="BB233" s="1065"/>
      <c r="BC233" s="1061"/>
      <c r="BD233" s="1067"/>
      <c r="BE233" s="1061"/>
      <c r="BF233" s="1061"/>
      <c r="BG233" s="1061"/>
      <c r="BH233" s="1061"/>
      <c r="BI233" s="1061"/>
      <c r="BJ233" s="1061"/>
      <c r="BK233" s="1061"/>
      <c r="BL233" s="1061"/>
      <c r="BM233" s="1061"/>
      <c r="BN233" s="1061"/>
      <c r="BO233" s="1061"/>
      <c r="BP233" s="1061"/>
      <c r="BQ233" s="1061"/>
      <c r="BR233" s="1061"/>
      <c r="BS233" s="1061"/>
      <c r="BT233" s="1061"/>
      <c r="BU233" s="1061"/>
      <c r="BV233" s="1061"/>
      <c r="BW233" s="1061"/>
      <c r="BX233" s="1061"/>
      <c r="BY233" s="1061"/>
      <c r="BZ233" s="1061"/>
      <c r="CA233" s="1061"/>
      <c r="CB233" s="1061"/>
      <c r="CC233" s="1061"/>
      <c r="CD233" s="1061"/>
      <c r="CE233" s="1061"/>
      <c r="CF233" s="1061"/>
      <c r="CG233" s="1061"/>
      <c r="CH233" s="1061"/>
      <c r="CI233" s="1061"/>
      <c r="CJ233" s="1061"/>
      <c r="CK233" s="1061"/>
      <c r="CL233" s="1061"/>
      <c r="CM233" s="1061"/>
      <c r="CN233" s="1061"/>
      <c r="CO233" s="1061"/>
      <c r="CP233" s="1061"/>
      <c r="CQ233" s="1061"/>
      <c r="CR233" s="1061"/>
      <c r="CS233" s="1061"/>
      <c r="CT233" s="1061"/>
      <c r="CU233" s="1061"/>
      <c r="CV233" s="1061"/>
      <c r="CW233" s="1061"/>
      <c r="CX233" s="1061"/>
      <c r="CY233" s="1061"/>
      <c r="CZ233" s="1061"/>
      <c r="DA233" s="1061"/>
      <c r="DB233" s="1061"/>
      <c r="DC233" s="1061"/>
      <c r="DD233" s="1061"/>
      <c r="DE233" s="1061"/>
      <c r="DF233" s="1061"/>
      <c r="DG233" s="1061"/>
      <c r="DH233" s="1061"/>
      <c r="DI233" s="1061"/>
      <c r="DJ233" s="1061"/>
      <c r="DK233" s="1061"/>
      <c r="DL233" s="1061"/>
      <c r="DM233" s="1061"/>
      <c r="DN233" s="1061"/>
      <c r="DO233" s="1061"/>
      <c r="DP233" s="1061"/>
      <c r="DQ233" s="1061"/>
      <c r="DR233" s="1061"/>
      <c r="DS233" s="1061"/>
      <c r="DT233" s="1061"/>
      <c r="DU233" s="1061"/>
      <c r="DV233" s="1061"/>
      <c r="DW233" s="1061"/>
      <c r="DX233" s="1061"/>
      <c r="DY233" s="1061"/>
      <c r="DZ233" s="1061"/>
      <c r="EA233" s="1061"/>
      <c r="EB233" s="1061"/>
      <c r="EC233" s="1061"/>
      <c r="ED233" s="1061"/>
      <c r="EE233" s="1061"/>
      <c r="EF233" s="1061"/>
      <c r="EG233" s="1061"/>
      <c r="EH233" s="1061"/>
      <c r="EI233" s="1061"/>
      <c r="EJ233" s="1061"/>
      <c r="EK233" s="1061"/>
      <c r="EL233" s="1061"/>
      <c r="EM233" s="1061"/>
      <c r="EN233" s="1061"/>
      <c r="EO233" s="1061"/>
      <c r="EP233" s="1061"/>
      <c r="EQ233" s="1061"/>
      <c r="ER233" s="1061"/>
      <c r="ES233" s="1061"/>
      <c r="ET233" s="1061"/>
      <c r="EU233" s="1061"/>
      <c r="EV233" s="1061"/>
      <c r="EW233" s="1061"/>
      <c r="EX233" s="1061"/>
      <c r="EY233" s="1061"/>
      <c r="EZ233" s="1061"/>
      <c r="FA233" s="1061"/>
      <c r="FB233" s="1061"/>
      <c r="FC233" s="1061"/>
      <c r="FD233" s="1061"/>
      <c r="FE233" s="1061"/>
      <c r="FF233" s="1061"/>
      <c r="FG233" s="1061"/>
      <c r="FH233" s="1061"/>
      <c r="FI233" s="1061"/>
      <c r="FJ233" s="1061"/>
      <c r="FK233" s="1061"/>
      <c r="FL233" s="1168"/>
      <c r="FM233" s="1168"/>
      <c r="FN233" s="1168"/>
      <c r="FO233" s="1168"/>
      <c r="FP233" s="1168"/>
      <c r="FQ233" s="1168"/>
      <c r="FR233" s="1168"/>
      <c r="FS233" s="1168"/>
      <c r="FT233" s="1168"/>
      <c r="FU233" s="1168"/>
      <c r="FV233" s="1168"/>
    </row>
    <row r="234" spans="1:178" s="61" customFormat="1" ht="20.100000000000001" customHeight="1">
      <c r="A234" s="1551">
        <v>1</v>
      </c>
      <c r="B234" s="348">
        <v>14</v>
      </c>
      <c r="C234" s="60" t="s">
        <v>33</v>
      </c>
      <c r="D234" s="1380"/>
      <c r="E234" s="1380"/>
      <c r="F234" s="1380"/>
      <c r="G234" s="1380"/>
      <c r="H234" s="1380"/>
      <c r="I234" s="1381"/>
      <c r="J234" s="1381"/>
      <c r="K234" s="1382"/>
      <c r="L234" s="1382"/>
      <c r="M234" s="1382"/>
      <c r="N234" s="1382"/>
      <c r="O234" s="1382"/>
      <c r="P234" s="1382"/>
      <c r="Q234" s="1382"/>
      <c r="R234" s="1382"/>
      <c r="S234" s="1382"/>
      <c r="T234" s="1382"/>
      <c r="U234" s="1382"/>
      <c r="V234" s="105"/>
      <c r="W234" s="105"/>
      <c r="X234" s="106"/>
      <c r="Y234" s="106"/>
      <c r="Z234" s="60"/>
      <c r="AA234" s="60"/>
      <c r="AB234" s="60"/>
      <c r="AC234" s="60"/>
      <c r="AD234" s="60"/>
      <c r="AE234" s="60"/>
      <c r="AF234" s="60"/>
      <c r="AG234" s="60"/>
      <c r="AH234" s="60"/>
      <c r="AI234" s="923"/>
      <c r="AJ234" s="60"/>
      <c r="AK234" s="60"/>
      <c r="AL234" s="60"/>
      <c r="AM234" s="60"/>
      <c r="AN234" s="60"/>
      <c r="AO234" s="60"/>
      <c r="AP234" s="923"/>
      <c r="AQ234" s="923"/>
      <c r="AR234" s="60"/>
      <c r="AS234" s="60"/>
      <c r="AT234" s="60"/>
      <c r="AU234" s="60"/>
      <c r="AV234" s="60"/>
      <c r="AW234" s="60"/>
      <c r="AX234" s="60"/>
      <c r="AY234" s="923"/>
      <c r="AZ234" s="923"/>
      <c r="BA234" s="60"/>
      <c r="BB234" s="60"/>
      <c r="BC234" s="830"/>
      <c r="BD234" s="923"/>
      <c r="BE234" s="830"/>
      <c r="BF234" s="830"/>
      <c r="BG234" s="830"/>
      <c r="BH234" s="830"/>
      <c r="BI234" s="830"/>
      <c r="BJ234" s="830"/>
      <c r="BK234" s="830"/>
      <c r="BL234" s="830"/>
      <c r="BM234" s="830"/>
      <c r="BN234" s="830"/>
      <c r="BO234" s="830"/>
      <c r="BP234" s="830"/>
      <c r="BQ234" s="830"/>
      <c r="BR234" s="830"/>
      <c r="BS234" s="830"/>
      <c r="BT234" s="830"/>
      <c r="BU234" s="830"/>
      <c r="BV234" s="830"/>
      <c r="BW234" s="830"/>
      <c r="BX234" s="830"/>
      <c r="BY234" s="830"/>
      <c r="BZ234" s="830"/>
      <c r="CA234" s="830"/>
      <c r="CB234" s="830"/>
      <c r="CC234" s="830"/>
      <c r="CD234" s="830"/>
      <c r="CE234" s="830"/>
      <c r="CF234" s="830"/>
      <c r="CG234" s="830"/>
      <c r="CH234" s="830"/>
      <c r="CI234" s="830"/>
      <c r="CJ234" s="830"/>
      <c r="CK234" s="830"/>
      <c r="CL234" s="830"/>
      <c r="CM234" s="830"/>
      <c r="CN234" s="830"/>
      <c r="CO234" s="830"/>
      <c r="CP234" s="830"/>
      <c r="CQ234" s="830"/>
      <c r="CR234" s="830"/>
      <c r="CS234" s="830"/>
      <c r="CT234" s="830"/>
      <c r="CU234" s="830"/>
      <c r="CV234" s="830"/>
      <c r="CW234" s="830"/>
      <c r="CX234" s="830"/>
      <c r="CY234" s="830"/>
      <c r="CZ234" s="830"/>
      <c r="DA234" s="830"/>
      <c r="DB234" s="830"/>
      <c r="DC234" s="830"/>
      <c r="DD234" s="830"/>
      <c r="DE234" s="830"/>
      <c r="DF234" s="830"/>
      <c r="DG234" s="830"/>
      <c r="DH234" s="830"/>
      <c r="DI234" s="830"/>
      <c r="DJ234" s="830"/>
      <c r="DK234" s="830"/>
      <c r="DL234" s="830"/>
      <c r="DM234" s="830"/>
      <c r="DN234" s="830"/>
      <c r="DO234" s="830"/>
      <c r="DP234" s="830"/>
      <c r="DQ234" s="830"/>
      <c r="DR234" s="830"/>
      <c r="DS234" s="830"/>
      <c r="DT234" s="830"/>
      <c r="DU234" s="830"/>
      <c r="DV234" s="830"/>
      <c r="DW234" s="830"/>
      <c r="DX234" s="830"/>
      <c r="DY234" s="830"/>
      <c r="DZ234" s="830"/>
      <c r="EA234" s="830"/>
      <c r="EB234" s="830"/>
      <c r="EC234" s="830"/>
      <c r="ED234" s="830"/>
      <c r="EE234" s="830"/>
      <c r="EF234" s="830"/>
      <c r="EG234" s="830"/>
      <c r="EH234" s="830"/>
      <c r="EI234" s="830"/>
      <c r="EJ234" s="830"/>
      <c r="EK234" s="830"/>
      <c r="EL234" s="830"/>
      <c r="EM234" s="830"/>
      <c r="EN234" s="830"/>
      <c r="EO234" s="830"/>
      <c r="EP234" s="830"/>
      <c r="EQ234" s="830"/>
      <c r="ER234" s="830"/>
      <c r="ES234" s="830"/>
      <c r="ET234" s="830"/>
      <c r="EU234" s="830"/>
      <c r="EV234" s="830"/>
      <c r="EW234" s="830"/>
      <c r="EX234" s="830"/>
      <c r="EY234" s="830"/>
      <c r="EZ234" s="830"/>
      <c r="FA234" s="830"/>
      <c r="FB234" s="830"/>
      <c r="FC234" s="830"/>
      <c r="FD234" s="830"/>
      <c r="FE234" s="830"/>
      <c r="FF234" s="830"/>
      <c r="FG234" s="830"/>
      <c r="FH234" s="830"/>
      <c r="FI234" s="830"/>
      <c r="FJ234" s="830"/>
      <c r="FK234" s="830"/>
      <c r="FL234" s="1167"/>
      <c r="FM234" s="1167"/>
      <c r="FN234" s="1167"/>
      <c r="FO234" s="1167"/>
      <c r="FP234" s="1167"/>
      <c r="FQ234" s="1167"/>
      <c r="FR234" s="1167"/>
      <c r="FS234" s="1167"/>
      <c r="FT234" s="1167"/>
      <c r="FU234" s="1167"/>
      <c r="FV234" s="1167"/>
    </row>
    <row r="235" spans="1:178" s="61" customFormat="1" ht="20.100000000000001" customHeight="1">
      <c r="A235" s="1551">
        <v>1</v>
      </c>
      <c r="B235" s="348">
        <v>15</v>
      </c>
      <c r="C235" s="60" t="s">
        <v>34</v>
      </c>
      <c r="D235" s="1380"/>
      <c r="E235" s="1380"/>
      <c r="F235" s="1380"/>
      <c r="G235" s="1380"/>
      <c r="H235" s="1380"/>
      <c r="I235" s="1381"/>
      <c r="J235" s="1381"/>
      <c r="K235" s="1382"/>
      <c r="L235" s="1382"/>
      <c r="M235" s="1382"/>
      <c r="N235" s="1382"/>
      <c r="O235" s="1382"/>
      <c r="P235" s="1382"/>
      <c r="Q235" s="1382"/>
      <c r="R235" s="1382"/>
      <c r="S235" s="1382"/>
      <c r="T235" s="1382"/>
      <c r="U235" s="1382"/>
      <c r="V235" s="105"/>
      <c r="W235" s="105"/>
      <c r="X235" s="106"/>
      <c r="Y235" s="106"/>
      <c r="Z235" s="60"/>
      <c r="AA235" s="60"/>
      <c r="AB235" s="60"/>
      <c r="AC235" s="60"/>
      <c r="AD235" s="60"/>
      <c r="AE235" s="60"/>
      <c r="AF235" s="60"/>
      <c r="AG235" s="60"/>
      <c r="AH235" s="60"/>
      <c r="AI235" s="923"/>
      <c r="AJ235" s="60"/>
      <c r="AK235" s="60"/>
      <c r="AL235" s="60"/>
      <c r="AM235" s="60"/>
      <c r="AN235" s="60"/>
      <c r="AO235" s="60"/>
      <c r="AP235" s="923"/>
      <c r="AQ235" s="923"/>
      <c r="AR235" s="60"/>
      <c r="AS235" s="60"/>
      <c r="AT235" s="60"/>
      <c r="AU235" s="60"/>
      <c r="AV235" s="60"/>
      <c r="AW235" s="60"/>
      <c r="AX235" s="60"/>
      <c r="AY235" s="923"/>
      <c r="AZ235" s="923"/>
      <c r="BA235" s="60"/>
      <c r="BB235" s="60"/>
      <c r="BC235" s="830"/>
      <c r="BD235" s="923"/>
      <c r="BE235" s="830"/>
      <c r="BF235" s="830"/>
      <c r="BG235" s="830"/>
      <c r="BH235" s="830"/>
      <c r="BI235" s="830"/>
      <c r="BJ235" s="830"/>
      <c r="BK235" s="830"/>
      <c r="BL235" s="830"/>
      <c r="BM235" s="830"/>
      <c r="BN235" s="830"/>
      <c r="BO235" s="830"/>
      <c r="BP235" s="830"/>
      <c r="BQ235" s="830"/>
      <c r="BR235" s="830"/>
      <c r="BS235" s="830"/>
      <c r="BT235" s="830"/>
      <c r="BU235" s="830"/>
      <c r="BV235" s="830"/>
      <c r="BW235" s="830"/>
      <c r="BX235" s="830"/>
      <c r="BY235" s="830"/>
      <c r="BZ235" s="830"/>
      <c r="CA235" s="830"/>
      <c r="CB235" s="830"/>
      <c r="CC235" s="830"/>
      <c r="CD235" s="830"/>
      <c r="CE235" s="830"/>
      <c r="CF235" s="830"/>
      <c r="CG235" s="830"/>
      <c r="CH235" s="830"/>
      <c r="CI235" s="830"/>
      <c r="CJ235" s="830"/>
      <c r="CK235" s="830"/>
      <c r="CL235" s="830"/>
      <c r="CM235" s="830"/>
      <c r="CN235" s="830"/>
      <c r="CO235" s="830"/>
      <c r="CP235" s="830"/>
      <c r="CQ235" s="830"/>
      <c r="CR235" s="830"/>
      <c r="CS235" s="830"/>
      <c r="CT235" s="830"/>
      <c r="CU235" s="830"/>
      <c r="CV235" s="830"/>
      <c r="CW235" s="830"/>
      <c r="CX235" s="830"/>
      <c r="CY235" s="830"/>
      <c r="CZ235" s="830"/>
      <c r="DA235" s="830"/>
      <c r="DB235" s="830"/>
      <c r="DC235" s="830"/>
      <c r="DD235" s="830"/>
      <c r="DE235" s="830"/>
      <c r="DF235" s="830"/>
      <c r="DG235" s="830"/>
      <c r="DH235" s="830"/>
      <c r="DI235" s="830"/>
      <c r="DJ235" s="830"/>
      <c r="DK235" s="830"/>
      <c r="DL235" s="830"/>
      <c r="DM235" s="830"/>
      <c r="DN235" s="830"/>
      <c r="DO235" s="830"/>
      <c r="DP235" s="830"/>
      <c r="DQ235" s="830"/>
      <c r="DR235" s="830"/>
      <c r="DS235" s="830"/>
      <c r="DT235" s="830"/>
      <c r="DU235" s="830"/>
      <c r="DV235" s="830"/>
      <c r="DW235" s="830"/>
      <c r="DX235" s="830"/>
      <c r="DY235" s="830"/>
      <c r="DZ235" s="830"/>
      <c r="EA235" s="830"/>
      <c r="EB235" s="830"/>
      <c r="EC235" s="830"/>
      <c r="ED235" s="830"/>
      <c r="EE235" s="830"/>
      <c r="EF235" s="830"/>
      <c r="EG235" s="830"/>
      <c r="EH235" s="830"/>
      <c r="EI235" s="830"/>
      <c r="EJ235" s="830"/>
      <c r="EK235" s="830"/>
      <c r="EL235" s="830"/>
      <c r="EM235" s="830"/>
      <c r="EN235" s="830"/>
      <c r="EO235" s="830"/>
      <c r="EP235" s="830"/>
      <c r="EQ235" s="830"/>
      <c r="ER235" s="830"/>
      <c r="ES235" s="830"/>
      <c r="ET235" s="830"/>
      <c r="EU235" s="830"/>
      <c r="EV235" s="830"/>
      <c r="EW235" s="830"/>
      <c r="EX235" s="830"/>
      <c r="EY235" s="830"/>
      <c r="EZ235" s="830"/>
      <c r="FA235" s="830"/>
      <c r="FB235" s="830"/>
      <c r="FC235" s="830"/>
      <c r="FD235" s="830"/>
      <c r="FE235" s="830"/>
      <c r="FF235" s="830"/>
      <c r="FG235" s="830"/>
      <c r="FH235" s="830"/>
      <c r="FI235" s="830"/>
      <c r="FJ235" s="830"/>
      <c r="FK235" s="830"/>
      <c r="FL235" s="1167"/>
      <c r="FM235" s="1167"/>
      <c r="FN235" s="1167"/>
      <c r="FO235" s="1167"/>
      <c r="FP235" s="1167"/>
      <c r="FQ235" s="1167"/>
      <c r="FR235" s="1167"/>
      <c r="FS235" s="1167"/>
      <c r="FT235" s="1167"/>
      <c r="FU235" s="1167"/>
      <c r="FV235" s="1167"/>
    </row>
    <row r="236" spans="1:178" s="61" customFormat="1" ht="20.100000000000001" customHeight="1">
      <c r="A236" s="1551">
        <v>1</v>
      </c>
      <c r="B236" s="348">
        <v>16</v>
      </c>
      <c r="C236" s="60" t="s">
        <v>110</v>
      </c>
      <c r="D236" s="1380"/>
      <c r="E236" s="1380"/>
      <c r="F236" s="1380"/>
      <c r="G236" s="1380"/>
      <c r="H236" s="1380"/>
      <c r="I236" s="1381"/>
      <c r="J236" s="1381"/>
      <c r="K236" s="1382"/>
      <c r="L236" s="1382"/>
      <c r="M236" s="1382"/>
      <c r="N236" s="1382"/>
      <c r="O236" s="1382"/>
      <c r="P236" s="1382"/>
      <c r="Q236" s="1382"/>
      <c r="R236" s="1382"/>
      <c r="S236" s="1382"/>
      <c r="T236" s="1382"/>
      <c r="U236" s="1382"/>
      <c r="V236" s="105"/>
      <c r="W236" s="105"/>
      <c r="X236" s="106"/>
      <c r="Y236" s="106"/>
      <c r="Z236" s="60"/>
      <c r="AA236" s="60"/>
      <c r="AB236" s="60"/>
      <c r="AC236" s="60"/>
      <c r="AD236" s="60"/>
      <c r="AE236" s="60"/>
      <c r="AF236" s="60"/>
      <c r="AG236" s="60"/>
      <c r="AH236" s="60"/>
      <c r="AI236" s="923"/>
      <c r="AJ236" s="60"/>
      <c r="AK236" s="60"/>
      <c r="AL236" s="60"/>
      <c r="AM236" s="60"/>
      <c r="AN236" s="60"/>
      <c r="AO236" s="60"/>
      <c r="AP236" s="923"/>
      <c r="AQ236" s="923"/>
      <c r="AR236" s="60"/>
      <c r="AS236" s="60"/>
      <c r="AT236" s="60"/>
      <c r="AU236" s="60"/>
      <c r="AV236" s="60"/>
      <c r="AW236" s="60"/>
      <c r="AX236" s="60"/>
      <c r="AY236" s="923"/>
      <c r="AZ236" s="923"/>
      <c r="BA236" s="60"/>
      <c r="BB236" s="60"/>
      <c r="BC236" s="830"/>
      <c r="BD236" s="923"/>
      <c r="BE236" s="830"/>
      <c r="BF236" s="830"/>
      <c r="BG236" s="830"/>
      <c r="BH236" s="830"/>
      <c r="BI236" s="830"/>
      <c r="BJ236" s="830"/>
      <c r="BK236" s="830"/>
      <c r="BL236" s="830"/>
      <c r="BM236" s="830"/>
      <c r="BN236" s="830"/>
      <c r="BO236" s="830"/>
      <c r="BP236" s="830"/>
      <c r="BQ236" s="830"/>
      <c r="BR236" s="830"/>
      <c r="BS236" s="830"/>
      <c r="BT236" s="830"/>
      <c r="BU236" s="830"/>
      <c r="BV236" s="830"/>
      <c r="BW236" s="830"/>
      <c r="BX236" s="830"/>
      <c r="BY236" s="830"/>
      <c r="BZ236" s="830"/>
      <c r="CA236" s="830"/>
      <c r="CB236" s="830"/>
      <c r="CC236" s="830"/>
      <c r="CD236" s="830"/>
      <c r="CE236" s="830"/>
      <c r="CF236" s="830"/>
      <c r="CG236" s="830"/>
      <c r="CH236" s="830"/>
      <c r="CI236" s="830"/>
      <c r="CJ236" s="830"/>
      <c r="CK236" s="830"/>
      <c r="CL236" s="830"/>
      <c r="CM236" s="830"/>
      <c r="CN236" s="830"/>
      <c r="CO236" s="830"/>
      <c r="CP236" s="830"/>
      <c r="CQ236" s="830"/>
      <c r="CR236" s="830"/>
      <c r="CS236" s="830"/>
      <c r="CT236" s="830"/>
      <c r="CU236" s="830"/>
      <c r="CV236" s="830"/>
      <c r="CW236" s="830"/>
      <c r="CX236" s="830"/>
      <c r="CY236" s="830"/>
      <c r="CZ236" s="830"/>
      <c r="DA236" s="830"/>
      <c r="DB236" s="830"/>
      <c r="DC236" s="830"/>
      <c r="DD236" s="830"/>
      <c r="DE236" s="830"/>
      <c r="DF236" s="830"/>
      <c r="DG236" s="830"/>
      <c r="DH236" s="830"/>
      <c r="DI236" s="830"/>
      <c r="DJ236" s="830"/>
      <c r="DK236" s="830"/>
      <c r="DL236" s="830"/>
      <c r="DM236" s="830"/>
      <c r="DN236" s="830"/>
      <c r="DO236" s="830"/>
      <c r="DP236" s="830"/>
      <c r="DQ236" s="830"/>
      <c r="DR236" s="830"/>
      <c r="DS236" s="830"/>
      <c r="DT236" s="830"/>
      <c r="DU236" s="830"/>
      <c r="DV236" s="830"/>
      <c r="DW236" s="830"/>
      <c r="DX236" s="830"/>
      <c r="DY236" s="830"/>
      <c r="DZ236" s="830"/>
      <c r="EA236" s="830"/>
      <c r="EB236" s="830"/>
      <c r="EC236" s="830"/>
      <c r="ED236" s="830"/>
      <c r="EE236" s="830"/>
      <c r="EF236" s="830"/>
      <c r="EG236" s="830"/>
      <c r="EH236" s="830"/>
      <c r="EI236" s="830"/>
      <c r="EJ236" s="830"/>
      <c r="EK236" s="830"/>
      <c r="EL236" s="830"/>
      <c r="EM236" s="830"/>
      <c r="EN236" s="830"/>
      <c r="EO236" s="830"/>
      <c r="EP236" s="830"/>
      <c r="EQ236" s="830"/>
      <c r="ER236" s="830"/>
      <c r="ES236" s="830"/>
      <c r="ET236" s="830"/>
      <c r="EU236" s="830"/>
      <c r="EV236" s="830"/>
      <c r="EW236" s="830"/>
      <c r="EX236" s="830"/>
      <c r="EY236" s="830"/>
      <c r="EZ236" s="830"/>
      <c r="FA236" s="830"/>
      <c r="FB236" s="830"/>
      <c r="FC236" s="830"/>
      <c r="FD236" s="830"/>
      <c r="FE236" s="830"/>
      <c r="FF236" s="830"/>
      <c r="FG236" s="830"/>
      <c r="FH236" s="830"/>
      <c r="FI236" s="830"/>
      <c r="FJ236" s="830"/>
      <c r="FK236" s="830"/>
      <c r="FL236" s="1167"/>
      <c r="FM236" s="1167"/>
      <c r="FN236" s="1167"/>
      <c r="FO236" s="1167"/>
      <c r="FP236" s="1167"/>
      <c r="FQ236" s="1167"/>
      <c r="FR236" s="1167"/>
      <c r="FS236" s="1167"/>
      <c r="FT236" s="1167"/>
      <c r="FU236" s="1167"/>
      <c r="FV236" s="1167"/>
    </row>
    <row r="237" spans="1:178" s="61" customFormat="1" ht="20.100000000000001" customHeight="1">
      <c r="A237" s="1551">
        <v>1</v>
      </c>
      <c r="B237" s="348">
        <v>17</v>
      </c>
      <c r="C237" s="60" t="s">
        <v>111</v>
      </c>
      <c r="D237" s="60"/>
      <c r="E237" s="290"/>
      <c r="F237" s="60"/>
      <c r="G237" s="290"/>
      <c r="H237" s="290"/>
      <c r="I237" s="1383"/>
      <c r="J237" s="1383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5"/>
      <c r="W237" s="105"/>
      <c r="X237" s="106"/>
      <c r="Y237" s="106"/>
      <c r="Z237" s="60"/>
      <c r="AA237" s="60"/>
      <c r="AB237" s="60"/>
      <c r="AC237" s="60"/>
      <c r="AD237" s="60"/>
      <c r="AE237" s="60"/>
      <c r="AF237" s="60"/>
      <c r="AG237" s="60"/>
      <c r="AH237" s="60"/>
      <c r="AI237" s="923"/>
      <c r="AJ237" s="60"/>
      <c r="AK237" s="60"/>
      <c r="AL237" s="60"/>
      <c r="AM237" s="60"/>
      <c r="AN237" s="60"/>
      <c r="AO237" s="60"/>
      <c r="AP237" s="923"/>
      <c r="AQ237" s="923"/>
      <c r="AR237" s="60"/>
      <c r="AS237" s="60"/>
      <c r="AT237" s="60"/>
      <c r="AU237" s="60"/>
      <c r="AV237" s="60"/>
      <c r="AW237" s="60"/>
      <c r="AX237" s="60"/>
      <c r="AY237" s="923"/>
      <c r="AZ237" s="923"/>
      <c r="BA237" s="60"/>
      <c r="BB237" s="60"/>
      <c r="BC237" s="830"/>
      <c r="BD237" s="923"/>
      <c r="BE237" s="830"/>
      <c r="BF237" s="830"/>
      <c r="BG237" s="830"/>
      <c r="BH237" s="830"/>
      <c r="BI237" s="830"/>
      <c r="BJ237" s="830"/>
      <c r="BK237" s="830"/>
      <c r="BL237" s="830"/>
      <c r="BM237" s="830"/>
      <c r="BN237" s="830"/>
      <c r="BO237" s="830"/>
      <c r="BP237" s="830"/>
      <c r="BQ237" s="830"/>
      <c r="BR237" s="830"/>
      <c r="BS237" s="830"/>
      <c r="BT237" s="830"/>
      <c r="BU237" s="830"/>
      <c r="BV237" s="830"/>
      <c r="BW237" s="830"/>
      <c r="BX237" s="830"/>
      <c r="BY237" s="830"/>
      <c r="BZ237" s="830"/>
      <c r="CA237" s="830"/>
      <c r="CB237" s="830"/>
      <c r="CC237" s="830"/>
      <c r="CD237" s="830"/>
      <c r="CE237" s="830"/>
      <c r="CF237" s="830"/>
      <c r="CG237" s="830"/>
      <c r="CH237" s="830"/>
      <c r="CI237" s="830"/>
      <c r="CJ237" s="830"/>
      <c r="CK237" s="830"/>
      <c r="CL237" s="830"/>
      <c r="CM237" s="830"/>
      <c r="CN237" s="830"/>
      <c r="CO237" s="830"/>
      <c r="CP237" s="830"/>
      <c r="CQ237" s="830"/>
      <c r="CR237" s="830"/>
      <c r="CS237" s="830"/>
      <c r="CT237" s="830"/>
      <c r="CU237" s="830"/>
      <c r="CV237" s="830"/>
      <c r="CW237" s="830"/>
      <c r="CX237" s="830"/>
      <c r="CY237" s="830"/>
      <c r="CZ237" s="830"/>
      <c r="DA237" s="830"/>
      <c r="DB237" s="830"/>
      <c r="DC237" s="830"/>
      <c r="DD237" s="830"/>
      <c r="DE237" s="830"/>
      <c r="DF237" s="830"/>
      <c r="DG237" s="830"/>
      <c r="DH237" s="830"/>
      <c r="DI237" s="830"/>
      <c r="DJ237" s="830"/>
      <c r="DK237" s="830"/>
      <c r="DL237" s="830"/>
      <c r="DM237" s="830"/>
      <c r="DN237" s="830"/>
      <c r="DO237" s="830"/>
      <c r="DP237" s="830"/>
      <c r="DQ237" s="830"/>
      <c r="DR237" s="830"/>
      <c r="DS237" s="830"/>
      <c r="DT237" s="830"/>
      <c r="DU237" s="830"/>
      <c r="DV237" s="830"/>
      <c r="DW237" s="830"/>
      <c r="DX237" s="830"/>
      <c r="DY237" s="830"/>
      <c r="DZ237" s="830"/>
      <c r="EA237" s="830"/>
      <c r="EB237" s="830"/>
      <c r="EC237" s="830"/>
      <c r="ED237" s="830"/>
      <c r="EE237" s="830"/>
      <c r="EF237" s="830"/>
      <c r="EG237" s="830"/>
      <c r="EH237" s="830"/>
      <c r="EI237" s="830"/>
      <c r="EJ237" s="830"/>
      <c r="EK237" s="830"/>
      <c r="EL237" s="830"/>
      <c r="EM237" s="830"/>
      <c r="EN237" s="830"/>
      <c r="EO237" s="830"/>
      <c r="EP237" s="830"/>
      <c r="EQ237" s="830"/>
      <c r="ER237" s="830"/>
      <c r="ES237" s="830"/>
      <c r="ET237" s="830"/>
      <c r="EU237" s="830"/>
      <c r="EV237" s="830"/>
      <c r="EW237" s="830"/>
      <c r="EX237" s="830"/>
      <c r="EY237" s="830"/>
      <c r="EZ237" s="830"/>
      <c r="FA237" s="830"/>
      <c r="FB237" s="830"/>
      <c r="FC237" s="830"/>
      <c r="FD237" s="830"/>
      <c r="FE237" s="830"/>
      <c r="FF237" s="830"/>
      <c r="FG237" s="830"/>
      <c r="FH237" s="830"/>
      <c r="FI237" s="830"/>
      <c r="FJ237" s="830"/>
      <c r="FK237" s="830"/>
      <c r="FL237" s="1167"/>
      <c r="FM237" s="1167"/>
      <c r="FN237" s="1167"/>
      <c r="FO237" s="1167"/>
      <c r="FP237" s="1167"/>
      <c r="FQ237" s="1167"/>
      <c r="FR237" s="1167"/>
      <c r="FS237" s="1167"/>
      <c r="FT237" s="1167"/>
      <c r="FU237" s="1167"/>
      <c r="FV237" s="1167"/>
    </row>
    <row r="238" spans="1:178" s="61" customFormat="1" ht="20.100000000000001" customHeight="1">
      <c r="A238" s="1551">
        <v>1</v>
      </c>
      <c r="B238" s="348">
        <v>18</v>
      </c>
      <c r="C238" s="60" t="s">
        <v>451</v>
      </c>
      <c r="D238" s="60"/>
      <c r="E238" s="290"/>
      <c r="F238" s="60"/>
      <c r="G238" s="290"/>
      <c r="H238" s="290"/>
      <c r="I238" s="1383"/>
      <c r="J238" s="1383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5"/>
      <c r="W238" s="105"/>
      <c r="X238" s="106"/>
      <c r="Y238" s="106"/>
      <c r="Z238" s="60"/>
      <c r="AA238" s="60"/>
      <c r="AB238" s="60"/>
      <c r="AC238" s="60"/>
      <c r="AD238" s="60"/>
      <c r="AE238" s="60"/>
      <c r="AF238" s="60"/>
      <c r="AG238" s="60"/>
      <c r="AH238" s="60"/>
      <c r="AI238" s="923"/>
      <c r="AJ238" s="60"/>
      <c r="AK238" s="60"/>
      <c r="AL238" s="60"/>
      <c r="AM238" s="60"/>
      <c r="AN238" s="60"/>
      <c r="AO238" s="60"/>
      <c r="AP238" s="923"/>
      <c r="AQ238" s="923"/>
      <c r="AR238" s="60"/>
      <c r="AS238" s="60"/>
      <c r="AT238" s="60"/>
      <c r="AU238" s="60"/>
      <c r="AV238" s="60"/>
      <c r="AW238" s="60"/>
      <c r="AX238" s="60"/>
      <c r="AY238" s="923"/>
      <c r="AZ238" s="923"/>
      <c r="BA238" s="60"/>
      <c r="BB238" s="60"/>
      <c r="BC238" s="830"/>
      <c r="BD238" s="923"/>
      <c r="BE238" s="830"/>
      <c r="BF238" s="830"/>
      <c r="BG238" s="830"/>
      <c r="BH238" s="830"/>
      <c r="BI238" s="830"/>
      <c r="BJ238" s="830"/>
      <c r="BK238" s="830"/>
      <c r="BL238" s="830"/>
      <c r="BM238" s="830"/>
      <c r="BN238" s="830"/>
      <c r="BO238" s="830"/>
      <c r="BP238" s="830"/>
      <c r="BQ238" s="830"/>
      <c r="BR238" s="830"/>
      <c r="BS238" s="830"/>
      <c r="BT238" s="830"/>
      <c r="BU238" s="830"/>
      <c r="BV238" s="830"/>
      <c r="BW238" s="830"/>
      <c r="BX238" s="830"/>
      <c r="BY238" s="830"/>
      <c r="BZ238" s="830"/>
      <c r="CA238" s="830"/>
      <c r="CB238" s="830"/>
      <c r="CC238" s="830"/>
      <c r="CD238" s="830"/>
      <c r="CE238" s="830"/>
      <c r="CF238" s="830"/>
      <c r="CG238" s="830"/>
      <c r="CH238" s="830"/>
      <c r="CI238" s="830"/>
      <c r="CJ238" s="830"/>
      <c r="CK238" s="830"/>
      <c r="CL238" s="830"/>
      <c r="CM238" s="830"/>
      <c r="CN238" s="830"/>
      <c r="CO238" s="830"/>
      <c r="CP238" s="830"/>
      <c r="CQ238" s="830"/>
      <c r="CR238" s="830"/>
      <c r="CS238" s="830"/>
      <c r="CT238" s="830"/>
      <c r="CU238" s="830"/>
      <c r="CV238" s="830"/>
      <c r="CW238" s="830"/>
      <c r="CX238" s="830"/>
      <c r="CY238" s="830"/>
      <c r="CZ238" s="830"/>
      <c r="DA238" s="830"/>
      <c r="DB238" s="830"/>
      <c r="DC238" s="830"/>
      <c r="DD238" s="830"/>
      <c r="DE238" s="830"/>
      <c r="DF238" s="830"/>
      <c r="DG238" s="830"/>
      <c r="DH238" s="830"/>
      <c r="DI238" s="830"/>
      <c r="DJ238" s="830"/>
      <c r="DK238" s="830"/>
      <c r="DL238" s="830"/>
      <c r="DM238" s="830"/>
      <c r="DN238" s="830"/>
      <c r="DO238" s="830"/>
      <c r="DP238" s="830"/>
      <c r="DQ238" s="830"/>
      <c r="DR238" s="830"/>
      <c r="DS238" s="830"/>
      <c r="DT238" s="830"/>
      <c r="DU238" s="830"/>
      <c r="DV238" s="830"/>
      <c r="DW238" s="830"/>
      <c r="DX238" s="830"/>
      <c r="DY238" s="830"/>
      <c r="DZ238" s="830"/>
      <c r="EA238" s="830"/>
      <c r="EB238" s="830"/>
      <c r="EC238" s="830"/>
      <c r="ED238" s="830"/>
      <c r="EE238" s="830"/>
      <c r="EF238" s="830"/>
      <c r="EG238" s="830"/>
      <c r="EH238" s="830"/>
      <c r="EI238" s="830"/>
      <c r="EJ238" s="830"/>
      <c r="EK238" s="830"/>
      <c r="EL238" s="830"/>
      <c r="EM238" s="830"/>
      <c r="EN238" s="830"/>
      <c r="EO238" s="830"/>
      <c r="EP238" s="830"/>
      <c r="EQ238" s="830"/>
      <c r="ER238" s="830"/>
      <c r="ES238" s="830"/>
      <c r="ET238" s="830"/>
      <c r="EU238" s="830"/>
      <c r="EV238" s="830"/>
      <c r="EW238" s="830"/>
      <c r="EX238" s="830"/>
      <c r="EY238" s="830"/>
      <c r="EZ238" s="830"/>
      <c r="FA238" s="830"/>
      <c r="FB238" s="830"/>
      <c r="FC238" s="830"/>
      <c r="FD238" s="830"/>
      <c r="FE238" s="830"/>
      <c r="FF238" s="830"/>
      <c r="FG238" s="830"/>
      <c r="FH238" s="830"/>
      <c r="FI238" s="830"/>
      <c r="FJ238" s="830"/>
      <c r="FK238" s="830"/>
      <c r="FL238" s="1167"/>
      <c r="FM238" s="1167"/>
      <c r="FN238" s="1167"/>
      <c r="FO238" s="1167"/>
      <c r="FP238" s="1167"/>
      <c r="FQ238" s="1167"/>
      <c r="FR238" s="1167"/>
      <c r="FS238" s="1167"/>
      <c r="FT238" s="1167"/>
      <c r="FU238" s="1167"/>
      <c r="FV238" s="1167"/>
    </row>
    <row r="239" spans="1:178" s="1375" customFormat="1" ht="21" hidden="1" customHeight="1">
      <c r="A239" s="1554">
        <v>1</v>
      </c>
      <c r="B239" s="1062">
        <v>19</v>
      </c>
      <c r="C239" s="1376" t="s">
        <v>22</v>
      </c>
      <c r="D239" s="1065"/>
      <c r="E239" s="1065"/>
      <c r="F239" s="1065"/>
      <c r="G239" s="1065"/>
      <c r="H239" s="1065"/>
      <c r="I239" s="1377"/>
      <c r="J239" s="1384"/>
      <c r="K239" s="1063"/>
      <c r="L239" s="1063"/>
      <c r="M239" s="1063"/>
      <c r="N239" s="1063"/>
      <c r="O239" s="1063"/>
      <c r="P239" s="1063"/>
      <c r="Q239" s="1063"/>
      <c r="R239" s="1063"/>
      <c r="S239" s="1063"/>
      <c r="T239" s="1063"/>
      <c r="U239" s="1063"/>
      <c r="V239" s="1064"/>
      <c r="W239" s="1064"/>
      <c r="X239" s="1378"/>
      <c r="Y239" s="1378"/>
      <c r="Z239" s="1065"/>
      <c r="AA239" s="1065"/>
      <c r="AB239" s="1065"/>
      <c r="AC239" s="1065"/>
      <c r="AD239" s="1065"/>
      <c r="AE239" s="1065"/>
      <c r="AF239" s="1065"/>
      <c r="AG239" s="1065"/>
      <c r="AH239" s="1065"/>
      <c r="AI239" s="1067"/>
      <c r="AJ239" s="1065"/>
      <c r="AK239" s="1065"/>
      <c r="AL239" s="1065"/>
      <c r="AM239" s="1065"/>
      <c r="AN239" s="1065"/>
      <c r="AO239" s="1065"/>
      <c r="AP239" s="1067"/>
      <c r="AQ239" s="1067"/>
      <c r="AR239" s="1065"/>
      <c r="AS239" s="1065"/>
      <c r="AT239" s="1065"/>
      <c r="AU239" s="1065"/>
      <c r="AV239" s="1065"/>
      <c r="AW239" s="1065"/>
      <c r="AX239" s="1065"/>
      <c r="AY239" s="1067"/>
      <c r="AZ239" s="1067"/>
      <c r="BA239" s="1065"/>
      <c r="BB239" s="1065"/>
      <c r="BC239" s="1061"/>
      <c r="BD239" s="1067"/>
      <c r="BE239" s="1061"/>
      <c r="BF239" s="1061"/>
      <c r="BG239" s="1061"/>
      <c r="BH239" s="1061"/>
      <c r="BI239" s="1061"/>
      <c r="BJ239" s="1061"/>
      <c r="BK239" s="1061"/>
      <c r="BL239" s="1061"/>
      <c r="BM239" s="1061"/>
      <c r="BN239" s="1061"/>
      <c r="BO239" s="1061"/>
      <c r="BP239" s="1061"/>
      <c r="BQ239" s="1061"/>
      <c r="BR239" s="1061"/>
      <c r="BS239" s="1061"/>
      <c r="BT239" s="1061"/>
      <c r="BU239" s="1061"/>
      <c r="BV239" s="1061"/>
      <c r="BW239" s="1061"/>
      <c r="BX239" s="1061"/>
      <c r="BY239" s="1061"/>
      <c r="BZ239" s="1061"/>
      <c r="CA239" s="1061"/>
      <c r="CB239" s="1061"/>
      <c r="CC239" s="1061"/>
      <c r="CD239" s="1061"/>
      <c r="CE239" s="1061"/>
      <c r="CF239" s="1061"/>
      <c r="CG239" s="1061"/>
      <c r="CH239" s="1061"/>
      <c r="CI239" s="1061"/>
      <c r="CJ239" s="1061"/>
      <c r="CK239" s="1061"/>
      <c r="CL239" s="1061"/>
      <c r="CM239" s="1061"/>
      <c r="CN239" s="1061"/>
      <c r="CO239" s="1061"/>
      <c r="CP239" s="1061"/>
      <c r="CQ239" s="1061"/>
      <c r="CR239" s="1061"/>
      <c r="CS239" s="1061"/>
      <c r="CT239" s="1061"/>
      <c r="CU239" s="1061"/>
      <c r="CV239" s="1061"/>
      <c r="CW239" s="1061"/>
      <c r="CX239" s="1061"/>
      <c r="CY239" s="1061"/>
      <c r="CZ239" s="1061"/>
      <c r="DA239" s="1061"/>
      <c r="DB239" s="1061"/>
      <c r="DC239" s="1061"/>
      <c r="DD239" s="1061"/>
      <c r="DE239" s="1061"/>
      <c r="DF239" s="1061"/>
      <c r="DG239" s="1061"/>
      <c r="DH239" s="1061"/>
      <c r="DI239" s="1061"/>
      <c r="DJ239" s="1061"/>
      <c r="DK239" s="1061"/>
      <c r="DL239" s="1061"/>
      <c r="DM239" s="1061"/>
      <c r="DN239" s="1061"/>
      <c r="DO239" s="1061"/>
      <c r="DP239" s="1061"/>
      <c r="DQ239" s="1061"/>
      <c r="DR239" s="1061"/>
      <c r="DS239" s="1061"/>
      <c r="DT239" s="1061"/>
      <c r="DU239" s="1061"/>
      <c r="DV239" s="1061"/>
      <c r="DW239" s="1061"/>
      <c r="DX239" s="1061"/>
      <c r="DY239" s="1061"/>
      <c r="DZ239" s="1061"/>
      <c r="EA239" s="1061"/>
      <c r="EB239" s="1061"/>
      <c r="EC239" s="1061"/>
      <c r="ED239" s="1061"/>
      <c r="EE239" s="1061"/>
      <c r="EF239" s="1061"/>
      <c r="EG239" s="1061"/>
      <c r="EH239" s="1061"/>
      <c r="EI239" s="1061"/>
      <c r="EJ239" s="1061"/>
      <c r="EK239" s="1061"/>
      <c r="EL239" s="1061"/>
      <c r="EM239" s="1061"/>
      <c r="EN239" s="1061"/>
      <c r="EO239" s="1061"/>
      <c r="EP239" s="1061"/>
      <c r="EQ239" s="1061"/>
      <c r="ER239" s="1061"/>
      <c r="ES239" s="1061"/>
      <c r="ET239" s="1061"/>
      <c r="EU239" s="1061"/>
      <c r="EV239" s="1061"/>
      <c r="EW239" s="1061"/>
      <c r="EX239" s="1061"/>
      <c r="EY239" s="1061"/>
      <c r="EZ239" s="1061"/>
      <c r="FA239" s="1061"/>
      <c r="FB239" s="1061"/>
      <c r="FC239" s="1061"/>
      <c r="FD239" s="1061"/>
      <c r="FE239" s="1061"/>
      <c r="FF239" s="1061"/>
      <c r="FG239" s="1061"/>
      <c r="FH239" s="1061"/>
      <c r="FI239" s="1061"/>
      <c r="FJ239" s="1061"/>
      <c r="FK239" s="1061"/>
      <c r="FL239" s="1168"/>
      <c r="FM239" s="1168"/>
      <c r="FN239" s="1168"/>
      <c r="FO239" s="1168"/>
      <c r="FP239" s="1168"/>
      <c r="FQ239" s="1168"/>
      <c r="FR239" s="1168"/>
      <c r="FS239" s="1168"/>
      <c r="FT239" s="1168"/>
      <c r="FU239" s="1168"/>
      <c r="FV239" s="1168"/>
    </row>
    <row r="240" spans="1:178" s="61" customFormat="1" ht="20.100000000000001" customHeight="1">
      <c r="A240" s="1551">
        <v>1</v>
      </c>
      <c r="B240" s="348">
        <v>20</v>
      </c>
      <c r="C240" s="60" t="s">
        <v>452</v>
      </c>
      <c r="D240" s="60"/>
      <c r="E240" s="60"/>
      <c r="F240" s="60"/>
      <c r="G240" s="60"/>
      <c r="H240" s="60"/>
      <c r="I240" s="1568"/>
      <c r="J240" s="1383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5"/>
      <c r="W240" s="105"/>
      <c r="X240" s="106"/>
      <c r="Y240" s="106"/>
      <c r="Z240" s="60"/>
      <c r="AA240" s="60"/>
      <c r="AB240" s="60"/>
      <c r="AC240" s="60"/>
      <c r="AD240" s="60"/>
      <c r="AE240" s="60"/>
      <c r="AF240" s="60"/>
      <c r="AG240" s="60"/>
      <c r="AH240" s="60"/>
      <c r="AI240" s="923"/>
      <c r="AJ240" s="60"/>
      <c r="AK240" s="60"/>
      <c r="AL240" s="60"/>
      <c r="AM240" s="60"/>
      <c r="AN240" s="60"/>
      <c r="AO240" s="60"/>
      <c r="AP240" s="923"/>
      <c r="AQ240" s="923"/>
      <c r="AR240" s="60"/>
      <c r="AS240" s="60"/>
      <c r="AT240" s="60"/>
      <c r="AU240" s="60"/>
      <c r="AV240" s="60"/>
      <c r="AW240" s="60"/>
      <c r="AX240" s="60"/>
      <c r="AY240" s="923"/>
      <c r="AZ240" s="923"/>
      <c r="BA240" s="60"/>
      <c r="BB240" s="60"/>
      <c r="BC240" s="830"/>
      <c r="BD240" s="923"/>
      <c r="BE240" s="830"/>
      <c r="BF240" s="830"/>
      <c r="BG240" s="830"/>
      <c r="BH240" s="830"/>
      <c r="BI240" s="830"/>
      <c r="BJ240" s="830"/>
      <c r="BK240" s="830"/>
      <c r="BL240" s="830"/>
      <c r="BM240" s="830"/>
      <c r="BN240" s="830"/>
      <c r="BO240" s="830"/>
      <c r="BP240" s="830"/>
      <c r="BQ240" s="830"/>
      <c r="BR240" s="830"/>
      <c r="BS240" s="830"/>
      <c r="BT240" s="830"/>
      <c r="BU240" s="830"/>
      <c r="BV240" s="830"/>
      <c r="BW240" s="830"/>
      <c r="BX240" s="830"/>
      <c r="BY240" s="830"/>
      <c r="BZ240" s="830"/>
      <c r="CA240" s="830"/>
      <c r="CB240" s="830"/>
      <c r="CC240" s="830"/>
      <c r="CD240" s="830"/>
      <c r="CE240" s="830"/>
      <c r="CF240" s="830"/>
      <c r="CG240" s="830"/>
      <c r="CH240" s="830"/>
      <c r="CI240" s="830"/>
      <c r="CJ240" s="830"/>
      <c r="CK240" s="830"/>
      <c r="CL240" s="830"/>
      <c r="CM240" s="830"/>
      <c r="CN240" s="830"/>
      <c r="CO240" s="830"/>
      <c r="CP240" s="830"/>
      <c r="CQ240" s="830"/>
      <c r="CR240" s="830"/>
      <c r="CS240" s="830"/>
      <c r="CT240" s="830"/>
      <c r="CU240" s="830"/>
      <c r="CV240" s="830"/>
      <c r="CW240" s="830"/>
      <c r="CX240" s="830"/>
      <c r="CY240" s="830"/>
      <c r="CZ240" s="830"/>
      <c r="DA240" s="830"/>
      <c r="DB240" s="830"/>
      <c r="DC240" s="830"/>
      <c r="DD240" s="830"/>
      <c r="DE240" s="830"/>
      <c r="DF240" s="830"/>
      <c r="DG240" s="830"/>
      <c r="DH240" s="830"/>
      <c r="DI240" s="830"/>
      <c r="DJ240" s="830"/>
      <c r="DK240" s="830"/>
      <c r="DL240" s="830"/>
      <c r="DM240" s="830"/>
      <c r="DN240" s="830"/>
      <c r="DO240" s="830"/>
      <c r="DP240" s="830"/>
      <c r="DQ240" s="830"/>
      <c r="DR240" s="830"/>
      <c r="DS240" s="830"/>
      <c r="DT240" s="830"/>
      <c r="DU240" s="830"/>
      <c r="DV240" s="830"/>
      <c r="DW240" s="830"/>
      <c r="DX240" s="830"/>
      <c r="DY240" s="830"/>
      <c r="DZ240" s="830"/>
      <c r="EA240" s="830"/>
      <c r="EB240" s="830"/>
      <c r="EC240" s="830"/>
      <c r="ED240" s="830"/>
      <c r="EE240" s="830"/>
      <c r="EF240" s="830"/>
      <c r="EG240" s="830"/>
      <c r="EH240" s="830"/>
      <c r="EI240" s="830"/>
      <c r="EJ240" s="830"/>
      <c r="EK240" s="830"/>
      <c r="EL240" s="830"/>
      <c r="EM240" s="830"/>
      <c r="EN240" s="830"/>
      <c r="EO240" s="830"/>
      <c r="EP240" s="830"/>
      <c r="EQ240" s="830"/>
      <c r="ER240" s="830"/>
      <c r="ES240" s="830"/>
      <c r="ET240" s="830"/>
      <c r="EU240" s="830"/>
      <c r="EV240" s="830"/>
      <c r="EW240" s="830"/>
      <c r="EX240" s="830"/>
      <c r="EY240" s="830"/>
      <c r="EZ240" s="830"/>
      <c r="FA240" s="830"/>
      <c r="FB240" s="830"/>
      <c r="FC240" s="830"/>
      <c r="FD240" s="830"/>
      <c r="FE240" s="830"/>
      <c r="FF240" s="830"/>
      <c r="FG240" s="830"/>
      <c r="FH240" s="830"/>
      <c r="FI240" s="830"/>
      <c r="FJ240" s="830"/>
      <c r="FK240" s="830"/>
      <c r="FL240" s="1167"/>
      <c r="FM240" s="1167"/>
      <c r="FN240" s="1167"/>
      <c r="FO240" s="1167"/>
      <c r="FP240" s="1167"/>
      <c r="FQ240" s="1167"/>
      <c r="FR240" s="1167"/>
      <c r="FS240" s="1167"/>
      <c r="FT240" s="1167"/>
      <c r="FU240" s="1167"/>
      <c r="FV240" s="1167"/>
    </row>
    <row r="241" spans="1:178" s="61" customFormat="1" ht="20.100000000000001" customHeight="1">
      <c r="A241" s="1551">
        <v>1</v>
      </c>
      <c r="B241" s="348">
        <v>21</v>
      </c>
      <c r="C241" s="60" t="s">
        <v>453</v>
      </c>
      <c r="D241" s="60"/>
      <c r="E241" s="60"/>
      <c r="F241" s="60"/>
      <c r="G241" s="60"/>
      <c r="H241" s="60"/>
      <c r="I241" s="1568"/>
      <c r="J241" s="1383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5"/>
      <c r="W241" s="105"/>
      <c r="X241" s="106"/>
      <c r="Y241" s="106"/>
      <c r="Z241" s="60"/>
      <c r="AA241" s="60"/>
      <c r="AB241" s="60"/>
      <c r="AC241" s="60"/>
      <c r="AD241" s="60"/>
      <c r="AE241" s="60"/>
      <c r="AF241" s="60"/>
      <c r="AG241" s="60"/>
      <c r="AH241" s="60"/>
      <c r="AI241" s="923"/>
      <c r="AJ241" s="60"/>
      <c r="AK241" s="60"/>
      <c r="AL241" s="60"/>
      <c r="AM241" s="60"/>
      <c r="AN241" s="60"/>
      <c r="AO241" s="60"/>
      <c r="AP241" s="923"/>
      <c r="AQ241" s="923"/>
      <c r="AR241" s="60"/>
      <c r="AS241" s="60"/>
      <c r="AT241" s="60"/>
      <c r="AU241" s="60"/>
      <c r="AV241" s="60"/>
      <c r="AW241" s="60"/>
      <c r="AX241" s="60"/>
      <c r="AY241" s="923"/>
      <c r="AZ241" s="923"/>
      <c r="BA241" s="60"/>
      <c r="BB241" s="60"/>
      <c r="BC241" s="830"/>
      <c r="BD241" s="923"/>
      <c r="BE241" s="830"/>
      <c r="BF241" s="830"/>
      <c r="BG241" s="830"/>
      <c r="BH241" s="830"/>
      <c r="BI241" s="830"/>
      <c r="BJ241" s="830"/>
      <c r="BK241" s="830"/>
      <c r="BL241" s="830"/>
      <c r="BM241" s="830"/>
      <c r="BN241" s="830"/>
      <c r="BO241" s="830"/>
      <c r="BP241" s="830"/>
      <c r="BQ241" s="830"/>
      <c r="BR241" s="830"/>
      <c r="BS241" s="830"/>
      <c r="BT241" s="830"/>
      <c r="BU241" s="830"/>
      <c r="BV241" s="830"/>
      <c r="BW241" s="830"/>
      <c r="BX241" s="830"/>
      <c r="BY241" s="830"/>
      <c r="BZ241" s="830"/>
      <c r="CA241" s="830"/>
      <c r="CB241" s="830"/>
      <c r="CC241" s="830"/>
      <c r="CD241" s="830"/>
      <c r="CE241" s="830"/>
      <c r="CF241" s="830"/>
      <c r="CG241" s="830"/>
      <c r="CH241" s="830"/>
      <c r="CI241" s="830"/>
      <c r="CJ241" s="830"/>
      <c r="CK241" s="830"/>
      <c r="CL241" s="830"/>
      <c r="CM241" s="830"/>
      <c r="CN241" s="830"/>
      <c r="CO241" s="830"/>
      <c r="CP241" s="830"/>
      <c r="CQ241" s="830"/>
      <c r="CR241" s="830"/>
      <c r="CS241" s="830"/>
      <c r="CT241" s="830"/>
      <c r="CU241" s="830"/>
      <c r="CV241" s="830"/>
      <c r="CW241" s="830"/>
      <c r="CX241" s="830"/>
      <c r="CY241" s="830"/>
      <c r="CZ241" s="830"/>
      <c r="DA241" s="830"/>
      <c r="DB241" s="830"/>
      <c r="DC241" s="830"/>
      <c r="DD241" s="830"/>
      <c r="DE241" s="830"/>
      <c r="DF241" s="830"/>
      <c r="DG241" s="830"/>
      <c r="DH241" s="830"/>
      <c r="DI241" s="830"/>
      <c r="DJ241" s="830"/>
      <c r="DK241" s="830"/>
      <c r="DL241" s="830"/>
      <c r="DM241" s="830"/>
      <c r="DN241" s="830"/>
      <c r="DO241" s="830"/>
      <c r="DP241" s="830"/>
      <c r="DQ241" s="830"/>
      <c r="DR241" s="830"/>
      <c r="DS241" s="830"/>
      <c r="DT241" s="830"/>
      <c r="DU241" s="830"/>
      <c r="DV241" s="830"/>
      <c r="DW241" s="830"/>
      <c r="DX241" s="830"/>
      <c r="DY241" s="830"/>
      <c r="DZ241" s="830"/>
      <c r="EA241" s="830"/>
      <c r="EB241" s="830"/>
      <c r="EC241" s="830"/>
      <c r="ED241" s="830"/>
      <c r="EE241" s="830"/>
      <c r="EF241" s="830"/>
      <c r="EG241" s="830"/>
      <c r="EH241" s="830"/>
      <c r="EI241" s="830"/>
      <c r="EJ241" s="830"/>
      <c r="EK241" s="830"/>
      <c r="EL241" s="830"/>
      <c r="EM241" s="830"/>
      <c r="EN241" s="830"/>
      <c r="EO241" s="830"/>
      <c r="EP241" s="830"/>
      <c r="EQ241" s="830"/>
      <c r="ER241" s="830"/>
      <c r="ES241" s="830"/>
      <c r="ET241" s="830"/>
      <c r="EU241" s="830"/>
      <c r="EV241" s="830"/>
      <c r="EW241" s="830"/>
      <c r="EX241" s="830"/>
      <c r="EY241" s="830"/>
      <c r="EZ241" s="830"/>
      <c r="FA241" s="830"/>
      <c r="FB241" s="830"/>
      <c r="FC241" s="830"/>
      <c r="FD241" s="830"/>
      <c r="FE241" s="830"/>
      <c r="FF241" s="830"/>
      <c r="FG241" s="830"/>
      <c r="FH241" s="830"/>
      <c r="FI241" s="830"/>
      <c r="FJ241" s="830"/>
      <c r="FK241" s="830"/>
      <c r="FL241" s="1167"/>
      <c r="FM241" s="1167"/>
      <c r="FN241" s="1167"/>
      <c r="FO241" s="1167"/>
      <c r="FP241" s="1167"/>
      <c r="FQ241" s="1167"/>
      <c r="FR241" s="1167"/>
      <c r="FS241" s="1167"/>
      <c r="FT241" s="1167"/>
      <c r="FU241" s="1167"/>
      <c r="FV241" s="1167"/>
    </row>
    <row r="242" spans="1:178" s="1375" customFormat="1" ht="21" hidden="1" customHeight="1">
      <c r="A242" s="1554">
        <v>1</v>
      </c>
      <c r="B242" s="1062">
        <v>22</v>
      </c>
      <c r="C242" s="1065" t="s">
        <v>31</v>
      </c>
      <c r="D242" s="1065"/>
      <c r="E242" s="1065"/>
      <c r="F242" s="1065"/>
      <c r="G242" s="1385"/>
      <c r="H242" s="1065"/>
      <c r="I242" s="1567"/>
      <c r="J242" s="1567"/>
      <c r="K242" s="1063"/>
      <c r="L242" s="1063"/>
      <c r="M242" s="1063"/>
      <c r="N242" s="1063"/>
      <c r="O242" s="1063"/>
      <c r="P242" s="1063"/>
      <c r="Q242" s="1063"/>
      <c r="R242" s="1063"/>
      <c r="S242" s="1063"/>
      <c r="T242" s="1063"/>
      <c r="U242" s="1063"/>
      <c r="V242" s="1064"/>
      <c r="W242" s="1064"/>
      <c r="X242" s="1378"/>
      <c r="Y242" s="1378"/>
      <c r="Z242" s="1065"/>
      <c r="AA242" s="1065"/>
      <c r="AB242" s="1065"/>
      <c r="AC242" s="1065"/>
      <c r="AD242" s="1065"/>
      <c r="AE242" s="1065"/>
      <c r="AF242" s="1065"/>
      <c r="AG242" s="1065"/>
      <c r="AH242" s="1065"/>
      <c r="AI242" s="1067"/>
      <c r="AJ242" s="1065"/>
      <c r="AK242" s="1065"/>
      <c r="AL242" s="1065"/>
      <c r="AM242" s="1065"/>
      <c r="AN242" s="1065"/>
      <c r="AO242" s="1065"/>
      <c r="AP242" s="1067"/>
      <c r="AQ242" s="1067"/>
      <c r="AR242" s="1065"/>
      <c r="AS242" s="1065"/>
      <c r="AT242" s="1065"/>
      <c r="AU242" s="1065"/>
      <c r="AV242" s="1065"/>
      <c r="AW242" s="1065"/>
      <c r="AX242" s="1065"/>
      <c r="AY242" s="1067"/>
      <c r="AZ242" s="1067"/>
      <c r="BA242" s="1065"/>
      <c r="BB242" s="1065"/>
      <c r="BC242" s="1061"/>
      <c r="BD242" s="1067"/>
      <c r="BE242" s="1061"/>
      <c r="BF242" s="1061"/>
      <c r="BG242" s="1061"/>
      <c r="BH242" s="1061"/>
      <c r="BI242" s="1061"/>
      <c r="BJ242" s="1061"/>
      <c r="BK242" s="1061"/>
      <c r="BL242" s="1061"/>
      <c r="BM242" s="1061"/>
      <c r="BN242" s="1061"/>
      <c r="BO242" s="1061"/>
      <c r="BP242" s="1061"/>
      <c r="BQ242" s="1061"/>
      <c r="BR242" s="1061"/>
      <c r="BS242" s="1061"/>
      <c r="BT242" s="1061"/>
      <c r="BU242" s="1061"/>
      <c r="BV242" s="1061"/>
      <c r="BW242" s="1061"/>
      <c r="BX242" s="1061"/>
      <c r="BY242" s="1061"/>
      <c r="BZ242" s="1061"/>
      <c r="CA242" s="1061"/>
      <c r="CB242" s="1061"/>
      <c r="CC242" s="1061"/>
      <c r="CD242" s="1061"/>
      <c r="CE242" s="1061"/>
      <c r="CF242" s="1061"/>
      <c r="CG242" s="1061"/>
      <c r="CH242" s="1061"/>
      <c r="CI242" s="1061"/>
      <c r="CJ242" s="1061"/>
      <c r="CK242" s="1061"/>
      <c r="CL242" s="1061"/>
      <c r="CM242" s="1061"/>
      <c r="CN242" s="1061"/>
      <c r="CO242" s="1061"/>
      <c r="CP242" s="1061"/>
      <c r="CQ242" s="1061"/>
      <c r="CR242" s="1061"/>
      <c r="CS242" s="1061"/>
      <c r="CT242" s="1061"/>
      <c r="CU242" s="1061"/>
      <c r="CV242" s="1061"/>
      <c r="CW242" s="1061"/>
      <c r="CX242" s="1061"/>
      <c r="CY242" s="1061"/>
      <c r="CZ242" s="1061"/>
      <c r="DA242" s="1061"/>
      <c r="DB242" s="1061"/>
      <c r="DC242" s="1061"/>
      <c r="DD242" s="1061"/>
      <c r="DE242" s="1061"/>
      <c r="DF242" s="1061"/>
      <c r="DG242" s="1061"/>
      <c r="DH242" s="1061"/>
      <c r="DI242" s="1061"/>
      <c r="DJ242" s="1061"/>
      <c r="DK242" s="1061"/>
      <c r="DL242" s="1061"/>
      <c r="DM242" s="1061"/>
      <c r="DN242" s="1061"/>
      <c r="DO242" s="1061"/>
      <c r="DP242" s="1061"/>
      <c r="DQ242" s="1061"/>
      <c r="DR242" s="1061"/>
      <c r="DS242" s="1061"/>
      <c r="DT242" s="1061"/>
      <c r="DU242" s="1061"/>
      <c r="DV242" s="1061"/>
      <c r="DW242" s="1061"/>
      <c r="DX242" s="1061"/>
      <c r="DY242" s="1061"/>
      <c r="DZ242" s="1061"/>
      <c r="EA242" s="1061"/>
      <c r="EB242" s="1061"/>
      <c r="EC242" s="1061"/>
      <c r="ED242" s="1061"/>
      <c r="EE242" s="1061"/>
      <c r="EF242" s="1061"/>
      <c r="EG242" s="1061"/>
      <c r="EH242" s="1061"/>
      <c r="EI242" s="1061"/>
      <c r="EJ242" s="1061"/>
      <c r="EK242" s="1061"/>
      <c r="EL242" s="1061"/>
      <c r="EM242" s="1061"/>
      <c r="EN242" s="1061"/>
      <c r="EO242" s="1061"/>
      <c r="EP242" s="1061"/>
      <c r="EQ242" s="1061"/>
      <c r="ER242" s="1061"/>
      <c r="ES242" s="1061"/>
      <c r="ET242" s="1061"/>
      <c r="EU242" s="1061"/>
      <c r="EV242" s="1061"/>
      <c r="EW242" s="1061"/>
      <c r="EX242" s="1061"/>
      <c r="EY242" s="1061"/>
      <c r="EZ242" s="1061"/>
      <c r="FA242" s="1061"/>
      <c r="FB242" s="1061"/>
      <c r="FC242" s="1061"/>
      <c r="FD242" s="1061"/>
      <c r="FE242" s="1061"/>
      <c r="FF242" s="1061"/>
      <c r="FG242" s="1061"/>
      <c r="FH242" s="1061"/>
      <c r="FI242" s="1061"/>
      <c r="FJ242" s="1061"/>
      <c r="FK242" s="1061"/>
      <c r="FL242" s="1168"/>
      <c r="FM242" s="1168"/>
      <c r="FN242" s="1168"/>
      <c r="FO242" s="1168"/>
      <c r="FP242" s="1168"/>
      <c r="FQ242" s="1168"/>
      <c r="FR242" s="1168"/>
      <c r="FS242" s="1168"/>
      <c r="FT242" s="1168"/>
      <c r="FU242" s="1168"/>
      <c r="FV242" s="1168"/>
    </row>
    <row r="243" spans="1:178" s="1375" customFormat="1" ht="21" hidden="1" customHeight="1">
      <c r="A243" s="1554">
        <v>1</v>
      </c>
      <c r="B243" s="1062">
        <v>23</v>
      </c>
      <c r="C243" s="1065" t="s">
        <v>32</v>
      </c>
      <c r="D243" s="1065"/>
      <c r="E243" s="1065"/>
      <c r="F243" s="1065"/>
      <c r="G243" s="1385"/>
      <c r="H243" s="1065"/>
      <c r="I243" s="1567"/>
      <c r="J243" s="1567"/>
      <c r="K243" s="1063"/>
      <c r="L243" s="1063"/>
      <c r="M243" s="1063"/>
      <c r="N243" s="1063"/>
      <c r="O243" s="1063"/>
      <c r="P243" s="1063"/>
      <c r="Q243" s="1063"/>
      <c r="R243" s="1063"/>
      <c r="S243" s="1063"/>
      <c r="T243" s="1063"/>
      <c r="U243" s="1063"/>
      <c r="V243" s="1064"/>
      <c r="W243" s="1064"/>
      <c r="X243" s="1378"/>
      <c r="Y243" s="1378"/>
      <c r="Z243" s="1065"/>
      <c r="AA243" s="1065"/>
      <c r="AB243" s="1065"/>
      <c r="AC243" s="1065"/>
      <c r="AD243" s="1065"/>
      <c r="AE243" s="1065"/>
      <c r="AF243" s="1065"/>
      <c r="AG243" s="1065"/>
      <c r="AH243" s="1065"/>
      <c r="AI243" s="1067"/>
      <c r="AJ243" s="1065"/>
      <c r="AK243" s="1065"/>
      <c r="AL243" s="1065"/>
      <c r="AM243" s="1065"/>
      <c r="AN243" s="1065"/>
      <c r="AO243" s="1065"/>
      <c r="AP243" s="1067"/>
      <c r="AQ243" s="1067"/>
      <c r="AR243" s="1065"/>
      <c r="AS243" s="1065"/>
      <c r="AT243" s="1065"/>
      <c r="AU243" s="1065"/>
      <c r="AV243" s="1065"/>
      <c r="AW243" s="1065"/>
      <c r="AX243" s="1065"/>
      <c r="AY243" s="1067"/>
      <c r="AZ243" s="1067"/>
      <c r="BA243" s="1065"/>
      <c r="BB243" s="1065"/>
      <c r="BC243" s="1061"/>
      <c r="BD243" s="1067"/>
      <c r="BE243" s="1061"/>
      <c r="BF243" s="1061"/>
      <c r="BG243" s="1061"/>
      <c r="BH243" s="1061"/>
      <c r="BI243" s="1061"/>
      <c r="BJ243" s="1061"/>
      <c r="BK243" s="1061"/>
      <c r="BL243" s="1061"/>
      <c r="BM243" s="1061"/>
      <c r="BN243" s="1061"/>
      <c r="BO243" s="1061"/>
      <c r="BP243" s="1061"/>
      <c r="BQ243" s="1061"/>
      <c r="BR243" s="1061"/>
      <c r="BS243" s="1061"/>
      <c r="BT243" s="1061"/>
      <c r="BU243" s="1061"/>
      <c r="BV243" s="1061"/>
      <c r="BW243" s="1061"/>
      <c r="BX243" s="1061"/>
      <c r="BY243" s="1061"/>
      <c r="BZ243" s="1061"/>
      <c r="CA243" s="1061"/>
      <c r="CB243" s="1061"/>
      <c r="CC243" s="1061"/>
      <c r="CD243" s="1061"/>
      <c r="CE243" s="1061"/>
      <c r="CF243" s="1061"/>
      <c r="CG243" s="1061"/>
      <c r="CH243" s="1061"/>
      <c r="CI243" s="1061"/>
      <c r="CJ243" s="1061"/>
      <c r="CK243" s="1061"/>
      <c r="CL243" s="1061"/>
      <c r="CM243" s="1061"/>
      <c r="CN243" s="1061"/>
      <c r="CO243" s="1061"/>
      <c r="CP243" s="1061"/>
      <c r="CQ243" s="1061"/>
      <c r="CR243" s="1061"/>
      <c r="CS243" s="1061"/>
      <c r="CT243" s="1061"/>
      <c r="CU243" s="1061"/>
      <c r="CV243" s="1061"/>
      <c r="CW243" s="1061"/>
      <c r="CX243" s="1061"/>
      <c r="CY243" s="1061"/>
      <c r="CZ243" s="1061"/>
      <c r="DA243" s="1061"/>
      <c r="DB243" s="1061"/>
      <c r="DC243" s="1061"/>
      <c r="DD243" s="1061"/>
      <c r="DE243" s="1061"/>
      <c r="DF243" s="1061"/>
      <c r="DG243" s="1061"/>
      <c r="DH243" s="1061"/>
      <c r="DI243" s="1061"/>
      <c r="DJ243" s="1061"/>
      <c r="DK243" s="1061"/>
      <c r="DL243" s="1061"/>
      <c r="DM243" s="1061"/>
      <c r="DN243" s="1061"/>
      <c r="DO243" s="1061"/>
      <c r="DP243" s="1061"/>
      <c r="DQ243" s="1061"/>
      <c r="DR243" s="1061"/>
      <c r="DS243" s="1061"/>
      <c r="DT243" s="1061"/>
      <c r="DU243" s="1061"/>
      <c r="DV243" s="1061"/>
      <c r="DW243" s="1061"/>
      <c r="DX243" s="1061"/>
      <c r="DY243" s="1061"/>
      <c r="DZ243" s="1061"/>
      <c r="EA243" s="1061"/>
      <c r="EB243" s="1061"/>
      <c r="EC243" s="1061"/>
      <c r="ED243" s="1061"/>
      <c r="EE243" s="1061"/>
      <c r="EF243" s="1061"/>
      <c r="EG243" s="1061"/>
      <c r="EH243" s="1061"/>
      <c r="EI243" s="1061"/>
      <c r="EJ243" s="1061"/>
      <c r="EK243" s="1061"/>
      <c r="EL243" s="1061"/>
      <c r="EM243" s="1061"/>
      <c r="EN243" s="1061"/>
      <c r="EO243" s="1061"/>
      <c r="EP243" s="1061"/>
      <c r="EQ243" s="1061"/>
      <c r="ER243" s="1061"/>
      <c r="ES243" s="1061"/>
      <c r="ET243" s="1061"/>
      <c r="EU243" s="1061"/>
      <c r="EV243" s="1061"/>
      <c r="EW243" s="1061"/>
      <c r="EX243" s="1061"/>
      <c r="EY243" s="1061"/>
      <c r="EZ243" s="1061"/>
      <c r="FA243" s="1061"/>
      <c r="FB243" s="1061"/>
      <c r="FC243" s="1061"/>
      <c r="FD243" s="1061"/>
      <c r="FE243" s="1061"/>
      <c r="FF243" s="1061"/>
      <c r="FG243" s="1061"/>
      <c r="FH243" s="1061"/>
      <c r="FI243" s="1061"/>
      <c r="FJ243" s="1061"/>
      <c r="FK243" s="1061"/>
      <c r="FL243" s="1168"/>
      <c r="FM243" s="1168"/>
      <c r="FN243" s="1168"/>
      <c r="FO243" s="1168"/>
      <c r="FP243" s="1168"/>
      <c r="FQ243" s="1168"/>
      <c r="FR243" s="1168"/>
      <c r="FS243" s="1168"/>
      <c r="FT243" s="1168"/>
      <c r="FU243" s="1168"/>
      <c r="FV243" s="1168"/>
    </row>
    <row r="244" spans="1:178" s="61" customFormat="1" ht="20.100000000000001" customHeight="1">
      <c r="A244" s="1551">
        <v>1</v>
      </c>
      <c r="B244" s="348">
        <v>24</v>
      </c>
      <c r="C244" s="60" t="s">
        <v>570</v>
      </c>
      <c r="D244" s="60"/>
      <c r="E244" s="60"/>
      <c r="F244" s="60"/>
      <c r="G244" s="290"/>
      <c r="H244" s="60"/>
      <c r="I244" s="1373"/>
      <c r="J244" s="1373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5"/>
      <c r="W244" s="105"/>
      <c r="X244" s="106"/>
      <c r="Y244" s="106"/>
      <c r="Z244" s="60"/>
      <c r="AA244" s="60"/>
      <c r="AB244" s="60"/>
      <c r="AC244" s="60"/>
      <c r="AD244" s="60"/>
      <c r="AE244" s="60"/>
      <c r="AF244" s="60"/>
      <c r="AG244" s="60"/>
      <c r="AH244" s="60"/>
      <c r="AI244" s="923"/>
      <c r="AJ244" s="60"/>
      <c r="AK244" s="60"/>
      <c r="AL244" s="60"/>
      <c r="AM244" s="60"/>
      <c r="AN244" s="60"/>
      <c r="AO244" s="60"/>
      <c r="AP244" s="923"/>
      <c r="AQ244" s="923"/>
      <c r="AR244" s="60"/>
      <c r="AS244" s="60"/>
      <c r="AT244" s="60"/>
      <c r="AU244" s="60"/>
      <c r="AV244" s="60"/>
      <c r="AW244" s="60"/>
      <c r="AX244" s="60"/>
      <c r="AY244" s="923"/>
      <c r="AZ244" s="923"/>
      <c r="BA244" s="60"/>
      <c r="BB244" s="60"/>
      <c r="BC244" s="830"/>
      <c r="BD244" s="923"/>
      <c r="BE244" s="830"/>
      <c r="BF244" s="830"/>
      <c r="BG244" s="830"/>
      <c r="BH244" s="830"/>
      <c r="BI244" s="830"/>
      <c r="BJ244" s="830"/>
      <c r="BK244" s="830"/>
      <c r="BL244" s="830"/>
      <c r="BM244" s="830"/>
      <c r="BN244" s="830"/>
      <c r="BO244" s="830"/>
      <c r="BP244" s="830"/>
      <c r="BQ244" s="830"/>
      <c r="BR244" s="830"/>
      <c r="BS244" s="830"/>
      <c r="BT244" s="830"/>
      <c r="BU244" s="830"/>
      <c r="BV244" s="830"/>
      <c r="BW244" s="830"/>
      <c r="BX244" s="830"/>
      <c r="BY244" s="830"/>
      <c r="BZ244" s="830"/>
      <c r="CA244" s="830"/>
      <c r="CB244" s="830"/>
      <c r="CC244" s="830"/>
      <c r="CD244" s="830"/>
      <c r="CE244" s="830"/>
      <c r="CF244" s="830"/>
      <c r="CG244" s="830"/>
      <c r="CH244" s="830"/>
      <c r="CI244" s="830"/>
      <c r="CJ244" s="830"/>
      <c r="CK244" s="830"/>
      <c r="CL244" s="830"/>
      <c r="CM244" s="830"/>
      <c r="CN244" s="830"/>
      <c r="CO244" s="830"/>
      <c r="CP244" s="830"/>
      <c r="CQ244" s="830"/>
      <c r="CR244" s="830"/>
      <c r="CS244" s="830"/>
      <c r="CT244" s="830"/>
      <c r="CU244" s="830"/>
      <c r="CV244" s="830"/>
      <c r="CW244" s="830"/>
      <c r="CX244" s="830"/>
      <c r="CY244" s="830"/>
      <c r="CZ244" s="830"/>
      <c r="DA244" s="830"/>
      <c r="DB244" s="830"/>
      <c r="DC244" s="830"/>
      <c r="DD244" s="830"/>
      <c r="DE244" s="830"/>
      <c r="DF244" s="830"/>
      <c r="DG244" s="830"/>
      <c r="DH244" s="830"/>
      <c r="DI244" s="830"/>
      <c r="DJ244" s="830"/>
      <c r="DK244" s="830"/>
      <c r="DL244" s="830"/>
      <c r="DM244" s="830"/>
      <c r="DN244" s="830"/>
      <c r="DO244" s="830"/>
      <c r="DP244" s="830"/>
      <c r="DQ244" s="830"/>
      <c r="DR244" s="830"/>
      <c r="DS244" s="830"/>
      <c r="DT244" s="830"/>
      <c r="DU244" s="830"/>
      <c r="DV244" s="830"/>
      <c r="DW244" s="830"/>
      <c r="DX244" s="830"/>
      <c r="DY244" s="830"/>
      <c r="DZ244" s="830"/>
      <c r="EA244" s="830"/>
      <c r="EB244" s="830"/>
      <c r="EC244" s="830"/>
      <c r="ED244" s="830"/>
      <c r="EE244" s="830"/>
      <c r="EF244" s="830"/>
      <c r="EG244" s="830"/>
      <c r="EH244" s="830"/>
      <c r="EI244" s="830"/>
      <c r="EJ244" s="830"/>
      <c r="EK244" s="830"/>
      <c r="EL244" s="830"/>
      <c r="EM244" s="830"/>
      <c r="EN244" s="830"/>
      <c r="EO244" s="830"/>
      <c r="EP244" s="830"/>
      <c r="EQ244" s="830"/>
      <c r="ER244" s="830"/>
      <c r="ES244" s="830"/>
      <c r="ET244" s="830"/>
      <c r="EU244" s="830"/>
      <c r="EV244" s="830"/>
      <c r="EW244" s="830"/>
      <c r="EX244" s="830"/>
      <c r="EY244" s="830"/>
      <c r="EZ244" s="830"/>
      <c r="FA244" s="830"/>
      <c r="FB244" s="830"/>
      <c r="FC244" s="830"/>
      <c r="FD244" s="830"/>
      <c r="FE244" s="830"/>
      <c r="FF244" s="830"/>
      <c r="FG244" s="830"/>
      <c r="FH244" s="830"/>
      <c r="FI244" s="830"/>
      <c r="FJ244" s="830"/>
      <c r="FK244" s="830"/>
      <c r="FL244" s="1167"/>
      <c r="FM244" s="1167"/>
      <c r="FN244" s="1167"/>
      <c r="FO244" s="1167"/>
      <c r="FP244" s="1167"/>
      <c r="FQ244" s="1167"/>
      <c r="FR244" s="1167"/>
      <c r="FS244" s="1167"/>
      <c r="FT244" s="1167"/>
      <c r="FU244" s="1167"/>
      <c r="FV244" s="1167"/>
    </row>
    <row r="245" spans="1:178" s="61" customFormat="1" ht="20.100000000000001" customHeight="1">
      <c r="A245" s="1551">
        <v>1</v>
      </c>
      <c r="B245" s="348" t="s">
        <v>454</v>
      </c>
      <c r="C245" s="60" t="s">
        <v>114</v>
      </c>
      <c r="D245" s="60"/>
      <c r="E245" s="60"/>
      <c r="F245" s="60"/>
      <c r="G245" s="290"/>
      <c r="H245" s="60"/>
      <c r="I245" s="1373"/>
      <c r="J245" s="1373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5"/>
      <c r="W245" s="105"/>
      <c r="X245" s="106"/>
      <c r="Y245" s="106"/>
      <c r="Z245" s="60"/>
      <c r="AA245" s="60"/>
      <c r="AB245" s="60"/>
      <c r="AC245" s="60"/>
      <c r="AD245" s="60"/>
      <c r="AE245" s="60"/>
      <c r="AF245" s="60"/>
      <c r="AG245" s="60"/>
      <c r="AH245" s="60"/>
      <c r="AI245" s="923"/>
      <c r="AJ245" s="60"/>
      <c r="AK245" s="60"/>
      <c r="AL245" s="60"/>
      <c r="AM245" s="60"/>
      <c r="AN245" s="60"/>
      <c r="AO245" s="60"/>
      <c r="AP245" s="923"/>
      <c r="AQ245" s="923"/>
      <c r="AR245" s="60"/>
      <c r="AS245" s="60"/>
      <c r="AT245" s="60"/>
      <c r="AU245" s="60"/>
      <c r="AV245" s="60"/>
      <c r="AW245" s="60"/>
      <c r="AX245" s="60"/>
      <c r="AY245" s="923"/>
      <c r="AZ245" s="923"/>
      <c r="BA245" s="60"/>
      <c r="BB245" s="60"/>
      <c r="BC245" s="830"/>
      <c r="BD245" s="923"/>
      <c r="BE245" s="830"/>
      <c r="BF245" s="830"/>
      <c r="BG245" s="830"/>
      <c r="BH245" s="830"/>
      <c r="BI245" s="830"/>
      <c r="BJ245" s="830"/>
      <c r="BK245" s="830"/>
      <c r="BL245" s="830"/>
      <c r="BM245" s="830"/>
      <c r="BN245" s="830"/>
      <c r="BO245" s="830"/>
      <c r="BP245" s="830"/>
      <c r="BQ245" s="830"/>
      <c r="BR245" s="830"/>
      <c r="BS245" s="830"/>
      <c r="BT245" s="830"/>
      <c r="BU245" s="830"/>
      <c r="BV245" s="830"/>
      <c r="BW245" s="830"/>
      <c r="BX245" s="830"/>
      <c r="BY245" s="830"/>
      <c r="BZ245" s="830"/>
      <c r="CA245" s="830"/>
      <c r="CB245" s="830"/>
      <c r="CC245" s="830"/>
      <c r="CD245" s="830"/>
      <c r="CE245" s="830"/>
      <c r="CF245" s="830"/>
      <c r="CG245" s="830"/>
      <c r="CH245" s="830"/>
      <c r="CI245" s="830"/>
      <c r="CJ245" s="830"/>
      <c r="CK245" s="830"/>
      <c r="CL245" s="830"/>
      <c r="CM245" s="830"/>
      <c r="CN245" s="830"/>
      <c r="CO245" s="830"/>
      <c r="CP245" s="830"/>
      <c r="CQ245" s="830"/>
      <c r="CR245" s="830"/>
      <c r="CS245" s="830"/>
      <c r="CT245" s="830"/>
      <c r="CU245" s="830"/>
      <c r="CV245" s="830"/>
      <c r="CW245" s="830"/>
      <c r="CX245" s="830"/>
      <c r="CY245" s="830"/>
      <c r="CZ245" s="830"/>
      <c r="DA245" s="830"/>
      <c r="DB245" s="830"/>
      <c r="DC245" s="830"/>
      <c r="DD245" s="830"/>
      <c r="DE245" s="830"/>
      <c r="DF245" s="830"/>
      <c r="DG245" s="830"/>
      <c r="DH245" s="830"/>
      <c r="DI245" s="830"/>
      <c r="DJ245" s="830"/>
      <c r="DK245" s="830"/>
      <c r="DL245" s="830"/>
      <c r="DM245" s="830"/>
      <c r="DN245" s="830"/>
      <c r="DO245" s="830"/>
      <c r="DP245" s="830"/>
      <c r="DQ245" s="830"/>
      <c r="DR245" s="830"/>
      <c r="DS245" s="830"/>
      <c r="DT245" s="830"/>
      <c r="DU245" s="830"/>
      <c r="DV245" s="830"/>
      <c r="DW245" s="830"/>
      <c r="DX245" s="830"/>
      <c r="DY245" s="830"/>
      <c r="DZ245" s="830"/>
      <c r="EA245" s="830"/>
      <c r="EB245" s="830"/>
      <c r="EC245" s="830"/>
      <c r="ED245" s="830"/>
      <c r="EE245" s="830"/>
      <c r="EF245" s="830"/>
      <c r="EG245" s="830"/>
      <c r="EH245" s="830"/>
      <c r="EI245" s="830"/>
      <c r="EJ245" s="830"/>
      <c r="EK245" s="830"/>
      <c r="EL245" s="830"/>
      <c r="EM245" s="830"/>
      <c r="EN245" s="830"/>
      <c r="EO245" s="830"/>
      <c r="EP245" s="830"/>
      <c r="EQ245" s="830"/>
      <c r="ER245" s="830"/>
      <c r="ES245" s="830"/>
      <c r="ET245" s="830"/>
      <c r="EU245" s="830"/>
      <c r="EV245" s="830"/>
      <c r="EW245" s="830"/>
      <c r="EX245" s="830"/>
      <c r="EY245" s="830"/>
      <c r="EZ245" s="830"/>
      <c r="FA245" s="830"/>
      <c r="FB245" s="830"/>
      <c r="FC245" s="830"/>
      <c r="FD245" s="830"/>
      <c r="FE245" s="830"/>
      <c r="FF245" s="830"/>
      <c r="FG245" s="830"/>
      <c r="FH245" s="830"/>
      <c r="FI245" s="830"/>
      <c r="FJ245" s="830"/>
      <c r="FK245" s="830"/>
      <c r="FL245" s="1167"/>
      <c r="FM245" s="1167"/>
      <c r="FN245" s="1167"/>
      <c r="FO245" s="1167"/>
      <c r="FP245" s="1167"/>
      <c r="FQ245" s="1167"/>
      <c r="FR245" s="1167"/>
      <c r="FS245" s="1167"/>
      <c r="FT245" s="1167"/>
      <c r="FU245" s="1167"/>
      <c r="FV245" s="1167"/>
    </row>
    <row r="246" spans="1:178" s="61" customFormat="1" ht="20.100000000000001" customHeight="1">
      <c r="A246" s="1551">
        <v>1</v>
      </c>
      <c r="B246" s="348">
        <v>25</v>
      </c>
      <c r="C246" s="60" t="s">
        <v>571</v>
      </c>
      <c r="D246" s="60"/>
      <c r="E246" s="60"/>
      <c r="F246" s="60"/>
      <c r="G246" s="290"/>
      <c r="H246" s="60"/>
      <c r="I246" s="1373"/>
      <c r="J246" s="1373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5"/>
      <c r="W246" s="105"/>
      <c r="X246" s="106"/>
      <c r="Y246" s="106"/>
      <c r="Z246" s="60"/>
      <c r="AA246" s="60"/>
      <c r="AB246" s="60"/>
      <c r="AC246" s="60"/>
      <c r="AD246" s="60"/>
      <c r="AE246" s="60"/>
      <c r="AF246" s="60"/>
      <c r="AG246" s="60"/>
      <c r="AH246" s="60"/>
      <c r="AI246" s="923"/>
      <c r="AJ246" s="60"/>
      <c r="AK246" s="60"/>
      <c r="AL246" s="60"/>
      <c r="AM246" s="60"/>
      <c r="AN246" s="60"/>
      <c r="AO246" s="60"/>
      <c r="AP246" s="923"/>
      <c r="AQ246" s="923"/>
      <c r="AR246" s="60"/>
      <c r="AS246" s="60"/>
      <c r="AT246" s="60"/>
      <c r="AU246" s="60"/>
      <c r="AV246" s="60"/>
      <c r="AW246" s="60"/>
      <c r="AX246" s="60"/>
      <c r="AY246" s="923"/>
      <c r="AZ246" s="923"/>
      <c r="BA246" s="60"/>
      <c r="BB246" s="60"/>
      <c r="BC246" s="830"/>
      <c r="BD246" s="923"/>
      <c r="BE246" s="830"/>
      <c r="BF246" s="830"/>
      <c r="BG246" s="830"/>
      <c r="BH246" s="830"/>
      <c r="BI246" s="830"/>
      <c r="BJ246" s="830"/>
      <c r="BK246" s="830"/>
      <c r="BL246" s="830"/>
      <c r="BM246" s="830"/>
      <c r="BN246" s="830"/>
      <c r="BO246" s="830"/>
      <c r="BP246" s="830"/>
      <c r="BQ246" s="830"/>
      <c r="BR246" s="830"/>
      <c r="BS246" s="830"/>
      <c r="BT246" s="830"/>
      <c r="BU246" s="830"/>
      <c r="BV246" s="830"/>
      <c r="BW246" s="830"/>
      <c r="BX246" s="830"/>
      <c r="BY246" s="830"/>
      <c r="BZ246" s="830"/>
      <c r="CA246" s="830"/>
      <c r="CB246" s="830"/>
      <c r="CC246" s="830"/>
      <c r="CD246" s="830"/>
      <c r="CE246" s="830"/>
      <c r="CF246" s="830"/>
      <c r="CG246" s="830"/>
      <c r="CH246" s="830"/>
      <c r="CI246" s="830"/>
      <c r="CJ246" s="830"/>
      <c r="CK246" s="830"/>
      <c r="CL246" s="830"/>
      <c r="CM246" s="830"/>
      <c r="CN246" s="830"/>
      <c r="CO246" s="830"/>
      <c r="CP246" s="830"/>
      <c r="CQ246" s="830"/>
      <c r="CR246" s="830"/>
      <c r="CS246" s="830"/>
      <c r="CT246" s="830"/>
      <c r="CU246" s="830"/>
      <c r="CV246" s="830"/>
      <c r="CW246" s="830"/>
      <c r="CX246" s="830"/>
      <c r="CY246" s="830"/>
      <c r="CZ246" s="830"/>
      <c r="DA246" s="830"/>
      <c r="DB246" s="830"/>
      <c r="DC246" s="830"/>
      <c r="DD246" s="830"/>
      <c r="DE246" s="830"/>
      <c r="DF246" s="830"/>
      <c r="DG246" s="830"/>
      <c r="DH246" s="830"/>
      <c r="DI246" s="830"/>
      <c r="DJ246" s="830"/>
      <c r="DK246" s="830"/>
      <c r="DL246" s="830"/>
      <c r="DM246" s="830"/>
      <c r="DN246" s="830"/>
      <c r="DO246" s="830"/>
      <c r="DP246" s="830"/>
      <c r="DQ246" s="830"/>
      <c r="DR246" s="830"/>
      <c r="DS246" s="830"/>
      <c r="DT246" s="830"/>
      <c r="DU246" s="830"/>
      <c r="DV246" s="830"/>
      <c r="DW246" s="830"/>
      <c r="DX246" s="830"/>
      <c r="DY246" s="830"/>
      <c r="DZ246" s="830"/>
      <c r="EA246" s="830"/>
      <c r="EB246" s="830"/>
      <c r="EC246" s="830"/>
      <c r="ED246" s="830"/>
      <c r="EE246" s="830"/>
      <c r="EF246" s="830"/>
      <c r="EG246" s="830"/>
      <c r="EH246" s="830"/>
      <c r="EI246" s="830"/>
      <c r="EJ246" s="830"/>
      <c r="EK246" s="830"/>
      <c r="EL246" s="830"/>
      <c r="EM246" s="830"/>
      <c r="EN246" s="830"/>
      <c r="EO246" s="830"/>
      <c r="EP246" s="830"/>
      <c r="EQ246" s="830"/>
      <c r="ER246" s="830"/>
      <c r="ES246" s="830"/>
      <c r="ET246" s="830"/>
      <c r="EU246" s="830"/>
      <c r="EV246" s="830"/>
      <c r="EW246" s="830"/>
      <c r="EX246" s="830"/>
      <c r="EY246" s="830"/>
      <c r="EZ246" s="830"/>
      <c r="FA246" s="830"/>
      <c r="FB246" s="830"/>
      <c r="FC246" s="830"/>
      <c r="FD246" s="830"/>
      <c r="FE246" s="830"/>
      <c r="FF246" s="830"/>
      <c r="FG246" s="830"/>
      <c r="FH246" s="830"/>
      <c r="FI246" s="830"/>
      <c r="FJ246" s="830"/>
      <c r="FK246" s="830"/>
      <c r="FL246" s="1167"/>
      <c r="FM246" s="1167"/>
      <c r="FN246" s="1167"/>
      <c r="FO246" s="1167"/>
      <c r="FP246" s="1167"/>
      <c r="FQ246" s="1167"/>
      <c r="FR246" s="1167"/>
      <c r="FS246" s="1167"/>
      <c r="FT246" s="1167"/>
      <c r="FU246" s="1167"/>
      <c r="FV246" s="1167"/>
    </row>
    <row r="247" spans="1:178" s="61" customFormat="1" ht="20.100000000000001" customHeight="1">
      <c r="A247" s="1551">
        <v>1</v>
      </c>
      <c r="B247" s="348">
        <v>26</v>
      </c>
      <c r="C247" s="60" t="s">
        <v>574</v>
      </c>
      <c r="D247" s="60"/>
      <c r="E247" s="60"/>
      <c r="F247" s="60"/>
      <c r="G247" s="290"/>
      <c r="H247" s="60"/>
      <c r="I247" s="1373"/>
      <c r="J247" s="1373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5"/>
      <c r="W247" s="105"/>
      <c r="X247" s="106"/>
      <c r="Y247" s="106"/>
      <c r="Z247" s="60"/>
      <c r="AA247" s="60"/>
      <c r="AB247" s="60"/>
      <c r="AC247" s="60"/>
      <c r="AD247" s="60"/>
      <c r="AE247" s="60"/>
      <c r="AF247" s="60"/>
      <c r="AG247" s="60"/>
      <c r="AH247" s="60"/>
      <c r="AI247" s="923"/>
      <c r="AJ247" s="60"/>
      <c r="AK247" s="60"/>
      <c r="AL247" s="60"/>
      <c r="AM247" s="60"/>
      <c r="AN247" s="60"/>
      <c r="AO247" s="60"/>
      <c r="AP247" s="923"/>
      <c r="AQ247" s="923"/>
      <c r="AR247" s="60"/>
      <c r="AS247" s="60"/>
      <c r="AT247" s="60"/>
      <c r="AU247" s="60"/>
      <c r="AV247" s="60"/>
      <c r="AW247" s="60"/>
      <c r="AX247" s="60"/>
      <c r="AY247" s="923"/>
      <c r="AZ247" s="923"/>
      <c r="BA247" s="60"/>
      <c r="BB247" s="60"/>
      <c r="BC247" s="830"/>
      <c r="BD247" s="923"/>
      <c r="BE247" s="830"/>
      <c r="BF247" s="830"/>
      <c r="BG247" s="830"/>
      <c r="BH247" s="830"/>
      <c r="BI247" s="830"/>
      <c r="BJ247" s="830"/>
      <c r="BK247" s="830"/>
      <c r="BL247" s="830"/>
      <c r="BM247" s="830"/>
      <c r="BN247" s="830"/>
      <c r="BO247" s="830"/>
      <c r="BP247" s="830"/>
      <c r="BQ247" s="830"/>
      <c r="BR247" s="830"/>
      <c r="BS247" s="830"/>
      <c r="BT247" s="830"/>
      <c r="BU247" s="830"/>
      <c r="BV247" s="830"/>
      <c r="BW247" s="830"/>
      <c r="BX247" s="830"/>
      <c r="BY247" s="830"/>
      <c r="BZ247" s="830"/>
      <c r="CA247" s="830"/>
      <c r="CB247" s="830"/>
      <c r="CC247" s="830"/>
      <c r="CD247" s="830"/>
      <c r="CE247" s="830"/>
      <c r="CF247" s="830"/>
      <c r="CG247" s="830"/>
      <c r="CH247" s="830"/>
      <c r="CI247" s="830"/>
      <c r="CJ247" s="830"/>
      <c r="CK247" s="830"/>
      <c r="CL247" s="830"/>
      <c r="CM247" s="830"/>
      <c r="CN247" s="830"/>
      <c r="CO247" s="830"/>
      <c r="CP247" s="830"/>
      <c r="CQ247" s="830"/>
      <c r="CR247" s="830"/>
      <c r="CS247" s="830"/>
      <c r="CT247" s="830"/>
      <c r="CU247" s="830"/>
      <c r="CV247" s="830"/>
      <c r="CW247" s="830"/>
      <c r="CX247" s="830"/>
      <c r="CY247" s="830"/>
      <c r="CZ247" s="830"/>
      <c r="DA247" s="830"/>
      <c r="DB247" s="830"/>
      <c r="DC247" s="830"/>
      <c r="DD247" s="830"/>
      <c r="DE247" s="830"/>
      <c r="DF247" s="830"/>
      <c r="DG247" s="830"/>
      <c r="DH247" s="830"/>
      <c r="DI247" s="830"/>
      <c r="DJ247" s="830"/>
      <c r="DK247" s="830"/>
      <c r="DL247" s="830"/>
      <c r="DM247" s="830"/>
      <c r="DN247" s="830"/>
      <c r="DO247" s="830"/>
      <c r="DP247" s="830"/>
      <c r="DQ247" s="830"/>
      <c r="DR247" s="830"/>
      <c r="DS247" s="830"/>
      <c r="DT247" s="830"/>
      <c r="DU247" s="830"/>
      <c r="DV247" s="830"/>
      <c r="DW247" s="830"/>
      <c r="DX247" s="830"/>
      <c r="DY247" s="830"/>
      <c r="DZ247" s="830"/>
      <c r="EA247" s="830"/>
      <c r="EB247" s="830"/>
      <c r="EC247" s="830"/>
      <c r="ED247" s="830"/>
      <c r="EE247" s="830"/>
      <c r="EF247" s="830"/>
      <c r="EG247" s="830"/>
      <c r="EH247" s="830"/>
      <c r="EI247" s="830"/>
      <c r="EJ247" s="830"/>
      <c r="EK247" s="830"/>
      <c r="EL247" s="830"/>
      <c r="EM247" s="830"/>
      <c r="EN247" s="830"/>
      <c r="EO247" s="830"/>
      <c r="EP247" s="830"/>
      <c r="EQ247" s="830"/>
      <c r="ER247" s="830"/>
      <c r="ES247" s="830"/>
      <c r="ET247" s="830"/>
      <c r="EU247" s="830"/>
      <c r="EV247" s="830"/>
      <c r="EW247" s="830"/>
      <c r="EX247" s="830"/>
      <c r="EY247" s="830"/>
      <c r="EZ247" s="830"/>
      <c r="FA247" s="830"/>
      <c r="FB247" s="830"/>
      <c r="FC247" s="830"/>
      <c r="FD247" s="830"/>
      <c r="FE247" s="830"/>
      <c r="FF247" s="830"/>
      <c r="FG247" s="830"/>
      <c r="FH247" s="830"/>
      <c r="FI247" s="830"/>
      <c r="FJ247" s="830"/>
      <c r="FK247" s="830"/>
      <c r="FL247" s="1167"/>
      <c r="FM247" s="1167"/>
      <c r="FN247" s="1167"/>
      <c r="FO247" s="1167"/>
      <c r="FP247" s="1167"/>
      <c r="FQ247" s="1167"/>
      <c r="FR247" s="1167"/>
      <c r="FS247" s="1167"/>
      <c r="FT247" s="1167"/>
      <c r="FU247" s="1167"/>
      <c r="FV247" s="1167"/>
    </row>
    <row r="248" spans="1:178" s="61" customFormat="1" ht="20.100000000000001" customHeight="1">
      <c r="A248" s="1551">
        <v>1</v>
      </c>
      <c r="B248" s="348">
        <v>27</v>
      </c>
      <c r="C248" s="60" t="s">
        <v>575</v>
      </c>
      <c r="D248" s="60"/>
      <c r="E248" s="60"/>
      <c r="F248" s="60"/>
      <c r="G248" s="290"/>
      <c r="H248" s="60"/>
      <c r="I248" s="1373"/>
      <c r="J248" s="1373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5"/>
      <c r="W248" s="105"/>
      <c r="X248" s="106"/>
      <c r="Y248" s="106"/>
      <c r="Z248" s="60"/>
      <c r="AA248" s="60"/>
      <c r="AB248" s="60"/>
      <c r="AC248" s="60"/>
      <c r="AD248" s="60"/>
      <c r="AE248" s="60"/>
      <c r="AF248" s="60"/>
      <c r="AG248" s="60"/>
      <c r="AH248" s="60"/>
      <c r="AI248" s="923"/>
      <c r="AJ248" s="60"/>
      <c r="AK248" s="60"/>
      <c r="AL248" s="60"/>
      <c r="AM248" s="60"/>
      <c r="AN248" s="60"/>
      <c r="AO248" s="60"/>
      <c r="AP248" s="923"/>
      <c r="AQ248" s="923"/>
      <c r="AR248" s="60"/>
      <c r="AS248" s="60"/>
      <c r="AT248" s="60"/>
      <c r="AU248" s="60"/>
      <c r="AV248" s="60"/>
      <c r="AW248" s="60"/>
      <c r="AX248" s="60"/>
      <c r="AY248" s="923"/>
      <c r="AZ248" s="923"/>
      <c r="BA248" s="60"/>
      <c r="BB248" s="60"/>
      <c r="BC248" s="830"/>
      <c r="BD248" s="923"/>
      <c r="BE248" s="830"/>
      <c r="BF248" s="830"/>
      <c r="BG248" s="830"/>
      <c r="BH248" s="830"/>
      <c r="BI248" s="830"/>
      <c r="BJ248" s="830"/>
      <c r="BK248" s="830"/>
      <c r="BL248" s="830"/>
      <c r="BM248" s="830"/>
      <c r="BN248" s="830"/>
      <c r="BO248" s="830"/>
      <c r="BP248" s="830"/>
      <c r="BQ248" s="830"/>
      <c r="BR248" s="830"/>
      <c r="BS248" s="830"/>
      <c r="BT248" s="830"/>
      <c r="BU248" s="830"/>
      <c r="BV248" s="830"/>
      <c r="BW248" s="830"/>
      <c r="BX248" s="830"/>
      <c r="BY248" s="830"/>
      <c r="BZ248" s="830"/>
      <c r="CA248" s="830"/>
      <c r="CB248" s="830"/>
      <c r="CC248" s="830"/>
      <c r="CD248" s="830"/>
      <c r="CE248" s="830"/>
      <c r="CF248" s="830"/>
      <c r="CG248" s="830"/>
      <c r="CH248" s="830"/>
      <c r="CI248" s="830"/>
      <c r="CJ248" s="830"/>
      <c r="CK248" s="830"/>
      <c r="CL248" s="830"/>
      <c r="CM248" s="830"/>
      <c r="CN248" s="830"/>
      <c r="CO248" s="830"/>
      <c r="CP248" s="830"/>
      <c r="CQ248" s="830"/>
      <c r="CR248" s="830"/>
      <c r="CS248" s="830"/>
      <c r="CT248" s="830"/>
      <c r="CU248" s="830"/>
      <c r="CV248" s="830"/>
      <c r="CW248" s="830"/>
      <c r="CX248" s="830"/>
      <c r="CY248" s="830"/>
      <c r="CZ248" s="830"/>
      <c r="DA248" s="830"/>
      <c r="DB248" s="830"/>
      <c r="DC248" s="830"/>
      <c r="DD248" s="830"/>
      <c r="DE248" s="830"/>
      <c r="DF248" s="830"/>
      <c r="DG248" s="830"/>
      <c r="DH248" s="830"/>
      <c r="DI248" s="830"/>
      <c r="DJ248" s="830"/>
      <c r="DK248" s="830"/>
      <c r="DL248" s="830"/>
      <c r="DM248" s="830"/>
      <c r="DN248" s="830"/>
      <c r="DO248" s="830"/>
      <c r="DP248" s="830"/>
      <c r="DQ248" s="830"/>
      <c r="DR248" s="830"/>
      <c r="DS248" s="830"/>
      <c r="DT248" s="830"/>
      <c r="DU248" s="830"/>
      <c r="DV248" s="830"/>
      <c r="DW248" s="830"/>
      <c r="DX248" s="830"/>
      <c r="DY248" s="830"/>
      <c r="DZ248" s="830"/>
      <c r="EA248" s="830"/>
      <c r="EB248" s="830"/>
      <c r="EC248" s="830"/>
      <c r="ED248" s="830"/>
      <c r="EE248" s="830"/>
      <c r="EF248" s="830"/>
      <c r="EG248" s="830"/>
      <c r="EH248" s="830"/>
      <c r="EI248" s="830"/>
      <c r="EJ248" s="830"/>
      <c r="EK248" s="830"/>
      <c r="EL248" s="830"/>
      <c r="EM248" s="830"/>
      <c r="EN248" s="830"/>
      <c r="EO248" s="830"/>
      <c r="EP248" s="830"/>
      <c r="EQ248" s="830"/>
      <c r="ER248" s="830"/>
      <c r="ES248" s="830"/>
      <c r="ET248" s="830"/>
      <c r="EU248" s="830"/>
      <c r="EV248" s="830"/>
      <c r="EW248" s="830"/>
      <c r="EX248" s="830"/>
      <c r="EY248" s="830"/>
      <c r="EZ248" s="830"/>
      <c r="FA248" s="830"/>
      <c r="FB248" s="830"/>
      <c r="FC248" s="830"/>
      <c r="FD248" s="830"/>
      <c r="FE248" s="830"/>
      <c r="FF248" s="830"/>
      <c r="FG248" s="830"/>
      <c r="FH248" s="830"/>
      <c r="FI248" s="830"/>
      <c r="FJ248" s="830"/>
      <c r="FK248" s="830"/>
      <c r="FL248" s="1167"/>
      <c r="FM248" s="1167"/>
      <c r="FN248" s="1167"/>
      <c r="FO248" s="1167"/>
      <c r="FP248" s="1167"/>
      <c r="FQ248" s="1167"/>
      <c r="FR248" s="1167"/>
      <c r="FS248" s="1167"/>
      <c r="FT248" s="1167"/>
      <c r="FU248" s="1167"/>
      <c r="FV248" s="1167"/>
    </row>
    <row r="249" spans="1:178" s="61" customFormat="1" ht="36" customHeight="1">
      <c r="A249" s="1551">
        <v>1</v>
      </c>
      <c r="B249" s="1386">
        <v>28</v>
      </c>
      <c r="C249" s="2913" t="s">
        <v>854</v>
      </c>
      <c r="D249" s="2913"/>
      <c r="E249" s="2913"/>
      <c r="F249" s="2913"/>
      <c r="G249" s="2913"/>
      <c r="H249" s="2913"/>
      <c r="I249" s="2913"/>
      <c r="J249" s="2913"/>
      <c r="K249" s="2913"/>
      <c r="L249" s="2913"/>
      <c r="M249" s="2913"/>
      <c r="N249" s="2913"/>
      <c r="O249" s="2913"/>
      <c r="P249" s="2913"/>
      <c r="Q249" s="2913"/>
      <c r="R249" s="2913"/>
      <c r="S249" s="2913"/>
      <c r="T249" s="2913"/>
      <c r="U249" s="2913"/>
      <c r="V249" s="2913"/>
      <c r="W249" s="2913"/>
      <c r="X249" s="2913"/>
      <c r="Y249" s="2913"/>
      <c r="Z249" s="2913"/>
      <c r="AA249" s="2913"/>
      <c r="AB249" s="2913"/>
      <c r="AC249" s="2913"/>
      <c r="AD249" s="2913"/>
      <c r="AE249" s="2913"/>
      <c r="AF249" s="2913"/>
      <c r="AG249" s="2913"/>
      <c r="AH249" s="2913"/>
      <c r="AI249" s="2913"/>
      <c r="AJ249" s="2913"/>
      <c r="AK249" s="2913"/>
      <c r="AL249" s="2913"/>
      <c r="AM249" s="2913"/>
      <c r="AN249" s="2913"/>
      <c r="AO249" s="2913"/>
      <c r="AP249" s="2913"/>
      <c r="AQ249" s="2913"/>
      <c r="AR249" s="2913"/>
      <c r="AS249" s="2913"/>
      <c r="AT249" s="2913"/>
      <c r="AU249" s="2913"/>
      <c r="AV249" s="2913"/>
      <c r="AW249" s="2913"/>
      <c r="AX249" s="2913"/>
      <c r="AY249" s="2913"/>
      <c r="AZ249" s="2913"/>
      <c r="BA249" s="2913"/>
      <c r="BB249" s="2913"/>
      <c r="BC249" s="2913"/>
      <c r="BD249" s="2913"/>
      <c r="BE249" s="2913"/>
      <c r="BF249" s="2913"/>
      <c r="BG249" s="2913"/>
      <c r="BH249" s="2913"/>
      <c r="BI249" s="2913"/>
      <c r="BJ249" s="2913"/>
      <c r="BK249" s="2913"/>
      <c r="BL249" s="2913"/>
      <c r="BM249" s="2913"/>
      <c r="BN249" s="2913"/>
      <c r="BO249" s="2913"/>
      <c r="BP249" s="2913"/>
      <c r="BQ249" s="2913"/>
      <c r="BR249" s="2913"/>
      <c r="BS249" s="2913"/>
      <c r="BT249" s="2913"/>
      <c r="BU249" s="2913"/>
      <c r="BV249" s="2913"/>
      <c r="BW249" s="2913"/>
      <c r="BX249" s="2913"/>
      <c r="BY249" s="2913"/>
      <c r="BZ249" s="2913"/>
      <c r="CA249" s="2913"/>
      <c r="CB249" s="2913"/>
      <c r="CC249" s="2913"/>
      <c r="CD249" s="2913"/>
      <c r="CE249" s="2913"/>
      <c r="CF249" s="2913"/>
      <c r="CG249" s="2913"/>
      <c r="CH249" s="2913"/>
      <c r="CI249" s="2913"/>
      <c r="CJ249" s="2913"/>
      <c r="CK249" s="2913"/>
      <c r="CL249" s="2913"/>
      <c r="CM249" s="2913"/>
      <c r="CN249" s="2913"/>
      <c r="CO249" s="2913"/>
      <c r="CP249" s="2913"/>
      <c r="CQ249" s="2913"/>
      <c r="CR249" s="2913"/>
      <c r="CS249" s="2913"/>
      <c r="CT249" s="2913"/>
      <c r="CU249" s="2913"/>
      <c r="CV249" s="2913"/>
      <c r="CW249" s="2913"/>
      <c r="CX249" s="2913"/>
      <c r="CY249" s="2913"/>
      <c r="CZ249" s="2913"/>
      <c r="DA249" s="2913"/>
      <c r="DB249" s="2913"/>
      <c r="DC249" s="2913"/>
      <c r="DD249" s="2913"/>
      <c r="DE249" s="2913"/>
      <c r="DF249" s="2913"/>
      <c r="DG249" s="2913"/>
      <c r="DH249" s="2913"/>
      <c r="DI249" s="2913"/>
      <c r="DJ249" s="2913"/>
      <c r="DK249" s="2913"/>
      <c r="DL249" s="2913"/>
      <c r="DM249" s="2913"/>
      <c r="DN249" s="2913"/>
      <c r="DO249" s="2913"/>
      <c r="DP249" s="2913"/>
      <c r="DQ249" s="2913"/>
      <c r="DR249" s="2913"/>
      <c r="DS249" s="2913"/>
      <c r="DT249" s="2913"/>
      <c r="DU249" s="2913"/>
      <c r="DV249" s="2913"/>
      <c r="DW249" s="2913"/>
      <c r="DX249" s="2913"/>
      <c r="DY249" s="2913"/>
      <c r="DZ249" s="2913"/>
      <c r="EA249" s="2913"/>
      <c r="EB249" s="2913"/>
      <c r="EC249" s="2913"/>
      <c r="ED249" s="2913"/>
      <c r="EE249" s="2913"/>
      <c r="EF249" s="2913"/>
      <c r="EG249" s="2913"/>
      <c r="EH249" s="2913"/>
      <c r="EI249" s="2913"/>
      <c r="EJ249" s="2913"/>
      <c r="EK249" s="2913"/>
      <c r="EL249" s="2913"/>
      <c r="EM249" s="2913"/>
      <c r="EN249" s="2913"/>
      <c r="EO249" s="2913"/>
      <c r="EP249" s="2913"/>
      <c r="EQ249" s="2913"/>
      <c r="ER249" s="2913"/>
      <c r="ES249" s="2913"/>
      <c r="ET249" s="2913"/>
      <c r="EU249" s="2913"/>
      <c r="EV249" s="830"/>
      <c r="EW249" s="830"/>
      <c r="EX249" s="830"/>
      <c r="EY249" s="830"/>
      <c r="EZ249" s="830"/>
      <c r="FA249" s="830"/>
      <c r="FB249" s="830"/>
      <c r="FC249" s="830"/>
      <c r="FD249" s="830"/>
      <c r="FE249" s="830"/>
      <c r="FF249" s="830"/>
      <c r="FG249" s="830"/>
      <c r="FH249" s="830"/>
      <c r="FI249" s="830"/>
      <c r="FJ249" s="830"/>
      <c r="FK249" s="830"/>
      <c r="FL249" s="1167"/>
      <c r="FM249" s="1167"/>
      <c r="FN249" s="1167"/>
      <c r="FO249" s="1167"/>
      <c r="FP249" s="1167"/>
      <c r="FQ249" s="1167"/>
      <c r="FR249" s="1167"/>
      <c r="FS249" s="1167"/>
      <c r="FT249" s="1167"/>
      <c r="FU249" s="1167"/>
      <c r="FV249" s="1167"/>
    </row>
    <row r="250" spans="1:178" s="1375" customFormat="1" ht="21" hidden="1" customHeight="1">
      <c r="A250" s="1554">
        <v>1</v>
      </c>
      <c r="B250" s="1062">
        <v>29</v>
      </c>
      <c r="C250" s="1376" t="s">
        <v>23</v>
      </c>
      <c r="D250" s="1065"/>
      <c r="E250" s="1065"/>
      <c r="F250" s="1065"/>
      <c r="G250" s="1385"/>
      <c r="H250" s="1065"/>
      <c r="I250" s="1567"/>
      <c r="J250" s="1567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4"/>
      <c r="W250" s="1064"/>
      <c r="X250" s="1378"/>
      <c r="Y250" s="1378"/>
      <c r="Z250" s="1065"/>
      <c r="AA250" s="1065"/>
      <c r="AB250" s="1065"/>
      <c r="AC250" s="1065"/>
      <c r="AD250" s="1065"/>
      <c r="AE250" s="1065"/>
      <c r="AF250" s="1065"/>
      <c r="AG250" s="1065"/>
      <c r="AH250" s="1065"/>
      <c r="AI250" s="1067"/>
      <c r="AJ250" s="1065"/>
      <c r="AK250" s="1065"/>
      <c r="AL250" s="1065"/>
      <c r="AM250" s="1065"/>
      <c r="AN250" s="1065"/>
      <c r="AO250" s="1065"/>
      <c r="AP250" s="1067"/>
      <c r="AQ250" s="1067"/>
      <c r="AR250" s="1065"/>
      <c r="AS250" s="1065"/>
      <c r="AT250" s="1065"/>
      <c r="AU250" s="1065"/>
      <c r="AV250" s="1065"/>
      <c r="AW250" s="1065"/>
      <c r="AX250" s="1065"/>
      <c r="AY250" s="1067"/>
      <c r="AZ250" s="1067"/>
      <c r="BA250" s="1065"/>
      <c r="BB250" s="1065"/>
      <c r="BC250" s="1061"/>
      <c r="BD250" s="1067"/>
      <c r="BE250" s="1061"/>
      <c r="BF250" s="1061"/>
      <c r="BG250" s="1061"/>
      <c r="BH250" s="1061"/>
      <c r="BI250" s="1061"/>
      <c r="BJ250" s="1061"/>
      <c r="BK250" s="1061"/>
      <c r="BL250" s="1061"/>
      <c r="BM250" s="1061"/>
      <c r="BN250" s="1061"/>
      <c r="BO250" s="1061"/>
      <c r="BP250" s="1061"/>
      <c r="BQ250" s="1061"/>
      <c r="BR250" s="1061"/>
      <c r="BS250" s="1061"/>
      <c r="BT250" s="1061"/>
      <c r="BU250" s="1061"/>
      <c r="BV250" s="1061"/>
      <c r="BW250" s="1061"/>
      <c r="BX250" s="1061"/>
      <c r="BY250" s="1061"/>
      <c r="BZ250" s="1061"/>
      <c r="CA250" s="1061"/>
      <c r="CB250" s="1061"/>
      <c r="CC250" s="1061"/>
      <c r="CD250" s="1061"/>
      <c r="CE250" s="1061"/>
      <c r="CF250" s="1061"/>
      <c r="CG250" s="1061"/>
      <c r="CH250" s="1061"/>
      <c r="CI250" s="1061"/>
      <c r="CJ250" s="1061"/>
      <c r="CK250" s="1061"/>
      <c r="CL250" s="1061"/>
      <c r="CM250" s="1061"/>
      <c r="CN250" s="1061"/>
      <c r="CO250" s="1061"/>
      <c r="CP250" s="1061"/>
      <c r="CQ250" s="1061"/>
      <c r="CR250" s="1061"/>
      <c r="CS250" s="1061"/>
      <c r="CT250" s="1061"/>
      <c r="CU250" s="1061"/>
      <c r="CV250" s="1061"/>
      <c r="CW250" s="1061"/>
      <c r="CX250" s="1061"/>
      <c r="CY250" s="1061"/>
      <c r="CZ250" s="1061"/>
      <c r="DA250" s="1061"/>
      <c r="DB250" s="1061"/>
      <c r="DC250" s="1061"/>
      <c r="DD250" s="1061"/>
      <c r="DE250" s="1061"/>
      <c r="DF250" s="1061"/>
      <c r="DG250" s="1061"/>
      <c r="DH250" s="1061"/>
      <c r="DI250" s="1061"/>
      <c r="DJ250" s="1061"/>
      <c r="DK250" s="1061"/>
      <c r="DL250" s="1061"/>
      <c r="DM250" s="1061"/>
      <c r="DN250" s="1061"/>
      <c r="DO250" s="1061"/>
      <c r="DP250" s="1061"/>
      <c r="DQ250" s="1061"/>
      <c r="DR250" s="1061"/>
      <c r="DS250" s="1061"/>
      <c r="DT250" s="1061"/>
      <c r="DU250" s="1061"/>
      <c r="DV250" s="1061"/>
      <c r="DW250" s="1061"/>
      <c r="DX250" s="1061"/>
      <c r="DY250" s="1061"/>
      <c r="DZ250" s="1061"/>
      <c r="EA250" s="1061"/>
      <c r="EB250" s="1061"/>
      <c r="EC250" s="1061"/>
      <c r="ED250" s="1061"/>
      <c r="EE250" s="1061"/>
      <c r="EF250" s="1061"/>
      <c r="EG250" s="1061"/>
      <c r="EH250" s="1061"/>
      <c r="EI250" s="1061"/>
      <c r="EJ250" s="1061"/>
      <c r="EK250" s="1061"/>
      <c r="EL250" s="1061"/>
      <c r="EM250" s="1061"/>
      <c r="EN250" s="1061"/>
      <c r="EO250" s="1061"/>
      <c r="EP250" s="1061"/>
      <c r="EQ250" s="1061"/>
      <c r="ER250" s="1061"/>
      <c r="ES250" s="1061"/>
      <c r="ET250" s="1061"/>
      <c r="EU250" s="1061"/>
      <c r="EV250" s="1061"/>
      <c r="EW250" s="1061"/>
      <c r="EX250" s="1061"/>
      <c r="EY250" s="1061"/>
      <c r="EZ250" s="1061"/>
      <c r="FA250" s="1061"/>
      <c r="FB250" s="1061"/>
      <c r="FC250" s="1061"/>
      <c r="FD250" s="1061"/>
      <c r="FE250" s="1061"/>
      <c r="FF250" s="1061"/>
      <c r="FG250" s="1061"/>
      <c r="FH250" s="1061"/>
      <c r="FI250" s="1061"/>
      <c r="FJ250" s="1061"/>
      <c r="FK250" s="1061"/>
      <c r="FL250" s="1168"/>
      <c r="FM250" s="1168"/>
      <c r="FN250" s="1168"/>
      <c r="FO250" s="1168"/>
      <c r="FP250" s="1168"/>
      <c r="FQ250" s="1168"/>
      <c r="FR250" s="1168"/>
      <c r="FS250" s="1168"/>
      <c r="FT250" s="1168"/>
      <c r="FU250" s="1168"/>
      <c r="FV250" s="1168"/>
    </row>
    <row r="251" spans="1:178" s="1375" customFormat="1" ht="21" hidden="1" customHeight="1">
      <c r="A251" s="1554">
        <v>1</v>
      </c>
      <c r="B251" s="1062">
        <v>30</v>
      </c>
      <c r="C251" s="1376" t="s">
        <v>24</v>
      </c>
      <c r="D251" s="1065"/>
      <c r="E251" s="1065"/>
      <c r="F251" s="1065"/>
      <c r="G251" s="1385"/>
      <c r="H251" s="1065"/>
      <c r="I251" s="1567"/>
      <c r="J251" s="1567"/>
      <c r="K251" s="1063"/>
      <c r="L251" s="1063"/>
      <c r="M251" s="1063"/>
      <c r="N251" s="1063"/>
      <c r="O251" s="1063"/>
      <c r="P251" s="1063"/>
      <c r="Q251" s="1063"/>
      <c r="R251" s="1063"/>
      <c r="S251" s="1063"/>
      <c r="T251" s="1063"/>
      <c r="U251" s="1063"/>
      <c r="V251" s="1064"/>
      <c r="W251" s="1064"/>
      <c r="X251" s="1378"/>
      <c r="Y251" s="1378"/>
      <c r="Z251" s="1065"/>
      <c r="AA251" s="1065"/>
      <c r="AB251" s="1065"/>
      <c r="AC251" s="1065"/>
      <c r="AD251" s="1065"/>
      <c r="AE251" s="1065"/>
      <c r="AF251" s="1065"/>
      <c r="AG251" s="1065"/>
      <c r="AH251" s="1065"/>
      <c r="AI251" s="1067"/>
      <c r="AJ251" s="1065"/>
      <c r="AK251" s="1065"/>
      <c r="AL251" s="1065"/>
      <c r="AM251" s="1065"/>
      <c r="AN251" s="1065"/>
      <c r="AO251" s="1065"/>
      <c r="AP251" s="1067"/>
      <c r="AQ251" s="1067"/>
      <c r="AR251" s="1065"/>
      <c r="AS251" s="1065"/>
      <c r="AT251" s="1065"/>
      <c r="AU251" s="1065"/>
      <c r="AV251" s="1065"/>
      <c r="AW251" s="1065"/>
      <c r="AX251" s="1065"/>
      <c r="AY251" s="1067"/>
      <c r="AZ251" s="1067"/>
      <c r="BA251" s="1065"/>
      <c r="BB251" s="1065"/>
      <c r="BC251" s="1061"/>
      <c r="BD251" s="1067"/>
      <c r="BE251" s="1061"/>
      <c r="BF251" s="1061"/>
      <c r="BG251" s="1061"/>
      <c r="BH251" s="1061"/>
      <c r="BI251" s="1061"/>
      <c r="BJ251" s="1061"/>
      <c r="BK251" s="1061"/>
      <c r="BL251" s="1061"/>
      <c r="BM251" s="1061"/>
      <c r="BN251" s="1061"/>
      <c r="BO251" s="1061"/>
      <c r="BP251" s="1061"/>
      <c r="BQ251" s="1061"/>
      <c r="BR251" s="1061"/>
      <c r="BS251" s="1061"/>
      <c r="BT251" s="1061"/>
      <c r="BU251" s="1061"/>
      <c r="BV251" s="1061"/>
      <c r="BW251" s="1061"/>
      <c r="BX251" s="1061"/>
      <c r="BY251" s="1061"/>
      <c r="BZ251" s="1061"/>
      <c r="CA251" s="1061"/>
      <c r="CB251" s="1061"/>
      <c r="CC251" s="1061"/>
      <c r="CD251" s="1061"/>
      <c r="CE251" s="1061"/>
      <c r="CF251" s="1061"/>
      <c r="CG251" s="1061"/>
      <c r="CH251" s="1061"/>
      <c r="CI251" s="1061"/>
      <c r="CJ251" s="1061"/>
      <c r="CK251" s="1061"/>
      <c r="CL251" s="1061"/>
      <c r="CM251" s="1061"/>
      <c r="CN251" s="1061"/>
      <c r="CO251" s="1061"/>
      <c r="CP251" s="1061"/>
      <c r="CQ251" s="1061"/>
      <c r="CR251" s="1061"/>
      <c r="CS251" s="1061"/>
      <c r="CT251" s="1061"/>
      <c r="CU251" s="1061"/>
      <c r="CV251" s="1061"/>
      <c r="CW251" s="1061"/>
      <c r="CX251" s="1061"/>
      <c r="CY251" s="1061"/>
      <c r="CZ251" s="1061"/>
      <c r="DA251" s="1061"/>
      <c r="DB251" s="1061"/>
      <c r="DC251" s="1061"/>
      <c r="DD251" s="1061"/>
      <c r="DE251" s="1061"/>
      <c r="DF251" s="1061"/>
      <c r="DG251" s="1061"/>
      <c r="DH251" s="1061"/>
      <c r="DI251" s="1061"/>
      <c r="DJ251" s="1061"/>
      <c r="DK251" s="1061"/>
      <c r="DL251" s="1061"/>
      <c r="DM251" s="1061"/>
      <c r="DN251" s="1061"/>
      <c r="DO251" s="1061"/>
      <c r="DP251" s="1061"/>
      <c r="DQ251" s="1061"/>
      <c r="DR251" s="1061"/>
      <c r="DS251" s="1061"/>
      <c r="DT251" s="1061"/>
      <c r="DU251" s="1061"/>
      <c r="DV251" s="1061"/>
      <c r="DW251" s="1061"/>
      <c r="DX251" s="1061"/>
      <c r="DY251" s="1061"/>
      <c r="DZ251" s="1061"/>
      <c r="EA251" s="1061"/>
      <c r="EB251" s="1061"/>
      <c r="EC251" s="1061"/>
      <c r="ED251" s="1061"/>
      <c r="EE251" s="1061"/>
      <c r="EF251" s="1061"/>
      <c r="EG251" s="1061"/>
      <c r="EH251" s="1061"/>
      <c r="EI251" s="1061"/>
      <c r="EJ251" s="1061"/>
      <c r="EK251" s="1061"/>
      <c r="EL251" s="1061"/>
      <c r="EM251" s="1061"/>
      <c r="EN251" s="1061"/>
      <c r="EO251" s="1061"/>
      <c r="EP251" s="1061"/>
      <c r="EQ251" s="1061"/>
      <c r="ER251" s="1061"/>
      <c r="ES251" s="1061"/>
      <c r="ET251" s="1061"/>
      <c r="EU251" s="1061"/>
      <c r="EV251" s="1061"/>
      <c r="EW251" s="1061"/>
      <c r="EX251" s="1061"/>
      <c r="EY251" s="1061"/>
      <c r="EZ251" s="1061"/>
      <c r="FA251" s="1061"/>
      <c r="FB251" s="1061"/>
      <c r="FC251" s="1061"/>
      <c r="FD251" s="1061"/>
      <c r="FE251" s="1061"/>
      <c r="FF251" s="1061"/>
      <c r="FG251" s="1061"/>
      <c r="FH251" s="1061"/>
      <c r="FI251" s="1061"/>
      <c r="FJ251" s="1061"/>
      <c r="FK251" s="1061"/>
      <c r="FL251" s="1168"/>
      <c r="FM251" s="1168"/>
      <c r="FN251" s="1168"/>
      <c r="FO251" s="1168"/>
      <c r="FP251" s="1168"/>
      <c r="FQ251" s="1168"/>
      <c r="FR251" s="1168"/>
      <c r="FS251" s="1168"/>
      <c r="FT251" s="1168"/>
      <c r="FU251" s="1168"/>
      <c r="FV251" s="1168"/>
    </row>
    <row r="252" spans="1:178" s="1375" customFormat="1" ht="21" hidden="1" customHeight="1">
      <c r="A252" s="1554">
        <v>1</v>
      </c>
      <c r="B252" s="1387">
        <v>31</v>
      </c>
      <c r="C252" s="1388" t="s">
        <v>25</v>
      </c>
      <c r="D252" s="1389"/>
      <c r="E252" s="1389"/>
      <c r="F252" s="1389"/>
      <c r="G252" s="1389"/>
      <c r="H252" s="1389"/>
      <c r="I252" s="1389"/>
      <c r="J252" s="1389"/>
      <c r="K252" s="1389"/>
      <c r="L252" s="1389"/>
      <c r="M252" s="1389"/>
      <c r="N252" s="1389"/>
      <c r="O252" s="1389"/>
      <c r="P252" s="1389"/>
      <c r="Q252" s="1389"/>
      <c r="R252" s="1389"/>
      <c r="S252" s="1389"/>
      <c r="T252" s="1389"/>
      <c r="U252" s="1389"/>
      <c r="V252" s="1389"/>
      <c r="W252" s="1389"/>
      <c r="X252" s="1389"/>
      <c r="Y252" s="1389"/>
      <c r="Z252" s="1389"/>
      <c r="AA252" s="1389"/>
      <c r="AB252" s="1389"/>
      <c r="AC252" s="1389"/>
      <c r="AD252" s="1389"/>
      <c r="AE252" s="1389"/>
      <c r="AF252" s="1065"/>
      <c r="AG252" s="1065"/>
      <c r="AH252" s="1065"/>
      <c r="AI252" s="1067"/>
      <c r="AJ252" s="1065"/>
      <c r="AK252" s="1065"/>
      <c r="AL252" s="1065"/>
      <c r="AM252" s="1065"/>
      <c r="AN252" s="1065"/>
      <c r="AO252" s="1065"/>
      <c r="AP252" s="1067"/>
      <c r="AQ252" s="1067"/>
      <c r="AR252" s="1065"/>
      <c r="AS252" s="1065"/>
      <c r="AT252" s="1065"/>
      <c r="AU252" s="1065"/>
      <c r="AV252" s="1065"/>
      <c r="AW252" s="1065"/>
      <c r="AX252" s="1065"/>
      <c r="AY252" s="1067"/>
      <c r="AZ252" s="1067"/>
      <c r="BA252" s="1065"/>
      <c r="BB252" s="1065"/>
      <c r="BC252" s="1061"/>
      <c r="BD252" s="1067"/>
      <c r="BE252" s="1061"/>
      <c r="BF252" s="1061"/>
      <c r="BG252" s="1061"/>
      <c r="BH252" s="1061"/>
      <c r="BI252" s="1061"/>
      <c r="BJ252" s="1061"/>
      <c r="BK252" s="1061"/>
      <c r="BL252" s="1061"/>
      <c r="BM252" s="1061"/>
      <c r="BN252" s="1061"/>
      <c r="BO252" s="1061"/>
      <c r="BP252" s="1061"/>
      <c r="BQ252" s="1061"/>
      <c r="BR252" s="1061"/>
      <c r="BS252" s="1061"/>
      <c r="BT252" s="1061"/>
      <c r="BU252" s="1061"/>
      <c r="BV252" s="1061"/>
      <c r="BW252" s="1061"/>
      <c r="BX252" s="1061"/>
      <c r="BY252" s="1061"/>
      <c r="BZ252" s="1061"/>
      <c r="CA252" s="1061"/>
      <c r="CB252" s="1061"/>
      <c r="CC252" s="1061"/>
      <c r="CD252" s="1061"/>
      <c r="CE252" s="1061"/>
      <c r="CF252" s="1061"/>
      <c r="CG252" s="1061"/>
      <c r="CH252" s="1061"/>
      <c r="CI252" s="1061"/>
      <c r="CJ252" s="1061"/>
      <c r="CK252" s="1061"/>
      <c r="CL252" s="1061"/>
      <c r="CM252" s="1061"/>
      <c r="CN252" s="1061"/>
      <c r="CO252" s="1061"/>
      <c r="CP252" s="1061"/>
      <c r="CQ252" s="1061"/>
      <c r="CR252" s="1061"/>
      <c r="CS252" s="1061"/>
      <c r="CT252" s="1061"/>
      <c r="CU252" s="1061"/>
      <c r="CV252" s="1061"/>
      <c r="CW252" s="1061"/>
      <c r="CX252" s="1061"/>
      <c r="CY252" s="1061"/>
      <c r="CZ252" s="1061"/>
      <c r="DA252" s="1061"/>
      <c r="DB252" s="1061"/>
      <c r="DC252" s="1061"/>
      <c r="DD252" s="1061"/>
      <c r="DE252" s="1061"/>
      <c r="DF252" s="1061"/>
      <c r="DG252" s="1061"/>
      <c r="DH252" s="1061"/>
      <c r="DI252" s="1061"/>
      <c r="DJ252" s="1061"/>
      <c r="DK252" s="1061"/>
      <c r="DL252" s="1061"/>
      <c r="DM252" s="1061"/>
      <c r="DN252" s="1061"/>
      <c r="DO252" s="1061"/>
      <c r="DP252" s="1061"/>
      <c r="DQ252" s="1061"/>
      <c r="DR252" s="1061"/>
      <c r="DS252" s="1061"/>
      <c r="DT252" s="1061"/>
      <c r="DU252" s="1061"/>
      <c r="DV252" s="1061"/>
      <c r="DW252" s="1061"/>
      <c r="DX252" s="1061"/>
      <c r="DY252" s="1061"/>
      <c r="DZ252" s="1061"/>
      <c r="EA252" s="1061"/>
      <c r="EB252" s="1061"/>
      <c r="EC252" s="1061"/>
      <c r="ED252" s="1061"/>
      <c r="EE252" s="1061"/>
      <c r="EF252" s="1061"/>
      <c r="EG252" s="1061"/>
      <c r="EH252" s="1061"/>
      <c r="EI252" s="1061"/>
      <c r="EJ252" s="1061"/>
      <c r="EK252" s="1061"/>
      <c r="EL252" s="1061"/>
      <c r="EM252" s="1061"/>
      <c r="EN252" s="1061"/>
      <c r="EO252" s="1061"/>
      <c r="EP252" s="1061"/>
      <c r="EQ252" s="1061"/>
      <c r="ER252" s="1061"/>
      <c r="ES252" s="1061"/>
      <c r="ET252" s="1061"/>
      <c r="EU252" s="1061"/>
      <c r="EV252" s="1061"/>
      <c r="EW252" s="1061"/>
      <c r="EX252" s="1061"/>
      <c r="EY252" s="1061"/>
      <c r="EZ252" s="1061"/>
      <c r="FA252" s="1061"/>
      <c r="FB252" s="1061"/>
      <c r="FC252" s="1061"/>
      <c r="FD252" s="1061"/>
      <c r="FE252" s="1061"/>
      <c r="FF252" s="1061"/>
      <c r="FG252" s="1061"/>
      <c r="FH252" s="1061"/>
      <c r="FI252" s="1061"/>
      <c r="FJ252" s="1061"/>
      <c r="FK252" s="1061"/>
      <c r="FL252" s="1168"/>
      <c r="FM252" s="1168"/>
      <c r="FN252" s="1168"/>
      <c r="FO252" s="1168"/>
      <c r="FP252" s="1168"/>
      <c r="FQ252" s="1168"/>
      <c r="FR252" s="1168"/>
      <c r="FS252" s="1168"/>
      <c r="FT252" s="1168"/>
      <c r="FU252" s="1168"/>
      <c r="FV252" s="1168"/>
    </row>
    <row r="253" spans="1:178" s="1375" customFormat="1" ht="21" hidden="1" customHeight="1">
      <c r="A253" s="1554">
        <v>1</v>
      </c>
      <c r="B253" s="1387">
        <v>32</v>
      </c>
      <c r="C253" s="1388" t="s">
        <v>26</v>
      </c>
      <c r="D253" s="1567"/>
      <c r="E253" s="1567"/>
      <c r="F253" s="1567"/>
      <c r="G253" s="1567"/>
      <c r="H253" s="1567"/>
      <c r="I253" s="1567"/>
      <c r="J253" s="1567"/>
      <c r="K253" s="1567"/>
      <c r="L253" s="1567"/>
      <c r="M253" s="1567"/>
      <c r="N253" s="1567"/>
      <c r="O253" s="1567"/>
      <c r="P253" s="1567"/>
      <c r="Q253" s="1567"/>
      <c r="R253" s="1567"/>
      <c r="S253" s="1567"/>
      <c r="T253" s="1567"/>
      <c r="U253" s="1567"/>
      <c r="V253" s="1567"/>
      <c r="W253" s="1567"/>
      <c r="X253" s="1567"/>
      <c r="Y253" s="1567"/>
      <c r="Z253" s="1567"/>
      <c r="AA253" s="1567"/>
      <c r="AB253" s="1567"/>
      <c r="AC253" s="1567"/>
      <c r="AD253" s="1567"/>
      <c r="AE253" s="1567"/>
      <c r="AF253" s="1065"/>
      <c r="AG253" s="1065"/>
      <c r="AH253" s="1065"/>
      <c r="AI253" s="1067"/>
      <c r="AJ253" s="1065"/>
      <c r="AK253" s="1065"/>
      <c r="AL253" s="1065"/>
      <c r="AM253" s="1065"/>
      <c r="AN253" s="1065"/>
      <c r="AO253" s="1065"/>
      <c r="AP253" s="1067"/>
      <c r="AQ253" s="1067"/>
      <c r="AR253" s="1065"/>
      <c r="AS253" s="1065"/>
      <c r="AT253" s="1065"/>
      <c r="AU253" s="1065"/>
      <c r="AV253" s="1065"/>
      <c r="AW253" s="1065"/>
      <c r="AX253" s="1065"/>
      <c r="AY253" s="1067"/>
      <c r="AZ253" s="1067"/>
      <c r="BA253" s="1065"/>
      <c r="BB253" s="1065"/>
      <c r="BC253" s="1061"/>
      <c r="BD253" s="1067"/>
      <c r="BE253" s="1061"/>
      <c r="BF253" s="1061"/>
      <c r="BG253" s="1061"/>
      <c r="BH253" s="1061"/>
      <c r="BI253" s="1061"/>
      <c r="BJ253" s="1061"/>
      <c r="BK253" s="1061"/>
      <c r="BL253" s="1061"/>
      <c r="BM253" s="1061"/>
      <c r="BN253" s="1061"/>
      <c r="BO253" s="1061"/>
      <c r="BP253" s="1061"/>
      <c r="BQ253" s="1061"/>
      <c r="BR253" s="1061"/>
      <c r="BS253" s="1061"/>
      <c r="BT253" s="1061"/>
      <c r="BU253" s="1061"/>
      <c r="BV253" s="1061"/>
      <c r="BW253" s="1061"/>
      <c r="BX253" s="1061"/>
      <c r="BY253" s="1061"/>
      <c r="BZ253" s="1061"/>
      <c r="CA253" s="1061"/>
      <c r="CB253" s="1061"/>
      <c r="CC253" s="1061"/>
      <c r="CD253" s="1061"/>
      <c r="CE253" s="1061"/>
      <c r="CF253" s="1061"/>
      <c r="CG253" s="1061"/>
      <c r="CH253" s="1061"/>
      <c r="CI253" s="1061"/>
      <c r="CJ253" s="1061"/>
      <c r="CK253" s="1061"/>
      <c r="CL253" s="1061"/>
      <c r="CM253" s="1061"/>
      <c r="CN253" s="1061"/>
      <c r="CO253" s="1061"/>
      <c r="CP253" s="1061"/>
      <c r="CQ253" s="1061"/>
      <c r="CR253" s="1061"/>
      <c r="CS253" s="1061"/>
      <c r="CT253" s="1061"/>
      <c r="CU253" s="1061"/>
      <c r="CV253" s="1061"/>
      <c r="CW253" s="1061"/>
      <c r="CX253" s="1061"/>
      <c r="CY253" s="1061"/>
      <c r="CZ253" s="1061"/>
      <c r="DA253" s="1061"/>
      <c r="DB253" s="1061"/>
      <c r="DC253" s="1061"/>
      <c r="DD253" s="1061"/>
      <c r="DE253" s="1061"/>
      <c r="DF253" s="1061"/>
      <c r="DG253" s="1061"/>
      <c r="DH253" s="1061"/>
      <c r="DI253" s="1061"/>
      <c r="DJ253" s="1061"/>
      <c r="DK253" s="1061"/>
      <c r="DL253" s="1061"/>
      <c r="DM253" s="1061"/>
      <c r="DN253" s="1061"/>
      <c r="DO253" s="1061"/>
      <c r="DP253" s="1061"/>
      <c r="DQ253" s="1061"/>
      <c r="DR253" s="1061"/>
      <c r="DS253" s="1061"/>
      <c r="DT253" s="1061"/>
      <c r="DU253" s="1061"/>
      <c r="DV253" s="1061"/>
      <c r="DW253" s="1061"/>
      <c r="DX253" s="1061"/>
      <c r="DY253" s="1061"/>
      <c r="DZ253" s="1061"/>
      <c r="EA253" s="1061"/>
      <c r="EB253" s="1061"/>
      <c r="EC253" s="1061"/>
      <c r="ED253" s="1061"/>
      <c r="EE253" s="1061"/>
      <c r="EF253" s="1061"/>
      <c r="EG253" s="1061"/>
      <c r="EH253" s="1061"/>
      <c r="EI253" s="1061"/>
      <c r="EJ253" s="1061"/>
      <c r="EK253" s="1061"/>
      <c r="EL253" s="1061"/>
      <c r="EM253" s="1061"/>
      <c r="EN253" s="1061"/>
      <c r="EO253" s="1061"/>
      <c r="EP253" s="1061"/>
      <c r="EQ253" s="1061"/>
      <c r="ER253" s="1061"/>
      <c r="ES253" s="1061"/>
      <c r="ET253" s="1061"/>
      <c r="EU253" s="1061"/>
      <c r="EV253" s="1061"/>
      <c r="EW253" s="1061"/>
      <c r="EX253" s="1061"/>
      <c r="EY253" s="1061"/>
      <c r="EZ253" s="1061"/>
      <c r="FA253" s="1061"/>
      <c r="FB253" s="1061"/>
      <c r="FC253" s="1061"/>
      <c r="FD253" s="1061"/>
      <c r="FE253" s="1061"/>
      <c r="FF253" s="1061"/>
      <c r="FG253" s="1061"/>
      <c r="FH253" s="1061"/>
      <c r="FI253" s="1061"/>
      <c r="FJ253" s="1061"/>
      <c r="FK253" s="1061"/>
      <c r="FL253" s="1168"/>
      <c r="FM253" s="1168"/>
      <c r="FN253" s="1168"/>
      <c r="FO253" s="1168"/>
      <c r="FP253" s="1168"/>
      <c r="FQ253" s="1168"/>
      <c r="FR253" s="1168"/>
      <c r="FS253" s="1168"/>
      <c r="FT253" s="1168"/>
      <c r="FU253" s="1168"/>
      <c r="FV253" s="1168"/>
    </row>
    <row r="254" spans="1:178" s="1375" customFormat="1" ht="21" hidden="1" customHeight="1">
      <c r="A254" s="1554">
        <v>1</v>
      </c>
      <c r="B254" s="1387">
        <v>33</v>
      </c>
      <c r="C254" s="1388" t="s">
        <v>27</v>
      </c>
      <c r="D254" s="1389"/>
      <c r="E254" s="1389"/>
      <c r="F254" s="1389"/>
      <c r="G254" s="1389"/>
      <c r="H254" s="1389"/>
      <c r="I254" s="1389"/>
      <c r="J254" s="1389"/>
      <c r="K254" s="1389"/>
      <c r="L254" s="1389"/>
      <c r="M254" s="1389"/>
      <c r="N254" s="1389"/>
      <c r="O254" s="1389"/>
      <c r="P254" s="1389"/>
      <c r="Q254" s="1389"/>
      <c r="R254" s="1389"/>
      <c r="S254" s="1389"/>
      <c r="T254" s="1389"/>
      <c r="U254" s="1389"/>
      <c r="V254" s="1389"/>
      <c r="W254" s="1389"/>
      <c r="X254" s="1389"/>
      <c r="Y254" s="1389"/>
      <c r="Z254" s="1389"/>
      <c r="AA254" s="1389"/>
      <c r="AB254" s="1389"/>
      <c r="AC254" s="1389"/>
      <c r="AD254" s="1389"/>
      <c r="AE254" s="1389"/>
      <c r="AF254" s="1065"/>
      <c r="AG254" s="1065"/>
      <c r="AH254" s="1065"/>
      <c r="AI254" s="1067"/>
      <c r="AJ254" s="1065"/>
      <c r="AK254" s="1065"/>
      <c r="AL254" s="1065"/>
      <c r="AM254" s="1065"/>
      <c r="AN254" s="1065"/>
      <c r="AO254" s="1065"/>
      <c r="AP254" s="1067"/>
      <c r="AQ254" s="1067"/>
      <c r="AR254" s="1065"/>
      <c r="AS254" s="1065"/>
      <c r="AT254" s="1065"/>
      <c r="AU254" s="1065"/>
      <c r="AV254" s="1065"/>
      <c r="AW254" s="1065"/>
      <c r="AX254" s="1065"/>
      <c r="AY254" s="1067"/>
      <c r="AZ254" s="1067"/>
      <c r="BA254" s="1065"/>
      <c r="BB254" s="1065"/>
      <c r="BC254" s="1061"/>
      <c r="BD254" s="1067"/>
      <c r="BE254" s="1061"/>
      <c r="BF254" s="1061"/>
      <c r="BG254" s="1061"/>
      <c r="BH254" s="1061"/>
      <c r="BI254" s="1061"/>
      <c r="BJ254" s="1061"/>
      <c r="BK254" s="1061"/>
      <c r="BL254" s="1061"/>
      <c r="BM254" s="1061"/>
      <c r="BN254" s="1061"/>
      <c r="BO254" s="1061"/>
      <c r="BP254" s="1061"/>
      <c r="BQ254" s="1061"/>
      <c r="BR254" s="1061"/>
      <c r="BS254" s="1061"/>
      <c r="BT254" s="1061"/>
      <c r="BU254" s="1061"/>
      <c r="BV254" s="1061"/>
      <c r="BW254" s="1061"/>
      <c r="BX254" s="1061"/>
      <c r="BY254" s="1061"/>
      <c r="BZ254" s="1061"/>
      <c r="CA254" s="1061"/>
      <c r="CB254" s="1061"/>
      <c r="CC254" s="1061"/>
      <c r="CD254" s="1061"/>
      <c r="CE254" s="1061"/>
      <c r="CF254" s="1061"/>
      <c r="CG254" s="1061"/>
      <c r="CH254" s="1061"/>
      <c r="CI254" s="1061"/>
      <c r="CJ254" s="1061"/>
      <c r="CK254" s="1061"/>
      <c r="CL254" s="1061"/>
      <c r="CM254" s="1061"/>
      <c r="CN254" s="1061"/>
      <c r="CO254" s="1061"/>
      <c r="CP254" s="1061"/>
      <c r="CQ254" s="1061"/>
      <c r="CR254" s="1061"/>
      <c r="CS254" s="1061"/>
      <c r="CT254" s="1061"/>
      <c r="CU254" s="1061"/>
      <c r="CV254" s="1061"/>
      <c r="CW254" s="1061"/>
      <c r="CX254" s="1061"/>
      <c r="CY254" s="1061"/>
      <c r="CZ254" s="1061"/>
      <c r="DA254" s="1061"/>
      <c r="DB254" s="1061"/>
      <c r="DC254" s="1061"/>
      <c r="DD254" s="1061"/>
      <c r="DE254" s="1061"/>
      <c r="DF254" s="1061"/>
      <c r="DG254" s="1061"/>
      <c r="DH254" s="1061"/>
      <c r="DI254" s="1061"/>
      <c r="DJ254" s="1061"/>
      <c r="DK254" s="1061"/>
      <c r="DL254" s="1061"/>
      <c r="DM254" s="1061"/>
      <c r="DN254" s="1061"/>
      <c r="DO254" s="1061"/>
      <c r="DP254" s="1061"/>
      <c r="DQ254" s="1061"/>
      <c r="DR254" s="1061"/>
      <c r="DS254" s="1061"/>
      <c r="DT254" s="1061"/>
      <c r="DU254" s="1061"/>
      <c r="DV254" s="1061"/>
      <c r="DW254" s="1061"/>
      <c r="DX254" s="1061"/>
      <c r="DY254" s="1061"/>
      <c r="DZ254" s="1061"/>
      <c r="EA254" s="1061"/>
      <c r="EB254" s="1061"/>
      <c r="EC254" s="1061"/>
      <c r="ED254" s="1061"/>
      <c r="EE254" s="1061"/>
      <c r="EF254" s="1061"/>
      <c r="EG254" s="1061"/>
      <c r="EH254" s="1061"/>
      <c r="EI254" s="1061"/>
      <c r="EJ254" s="1061"/>
      <c r="EK254" s="1061"/>
      <c r="EL254" s="1061"/>
      <c r="EM254" s="1061"/>
      <c r="EN254" s="1061"/>
      <c r="EO254" s="1061"/>
      <c r="EP254" s="1061"/>
      <c r="EQ254" s="1061"/>
      <c r="ER254" s="1061"/>
      <c r="ES254" s="1061"/>
      <c r="ET254" s="1061"/>
      <c r="EU254" s="1061"/>
      <c r="EV254" s="1061"/>
      <c r="EW254" s="1061"/>
      <c r="EX254" s="1061"/>
      <c r="EY254" s="1061"/>
      <c r="EZ254" s="1061"/>
      <c r="FA254" s="1061"/>
      <c r="FB254" s="1061"/>
      <c r="FC254" s="1061"/>
      <c r="FD254" s="1061"/>
      <c r="FE254" s="1061"/>
      <c r="FF254" s="1061"/>
      <c r="FG254" s="1061"/>
      <c r="FH254" s="1061"/>
      <c r="FI254" s="1061"/>
      <c r="FJ254" s="1061"/>
      <c r="FK254" s="1061"/>
      <c r="FL254" s="1168"/>
      <c r="FM254" s="1168"/>
      <c r="FN254" s="1168"/>
      <c r="FO254" s="1168"/>
      <c r="FP254" s="1168"/>
      <c r="FQ254" s="1168"/>
      <c r="FR254" s="1168"/>
      <c r="FS254" s="1168"/>
      <c r="FT254" s="1168"/>
      <c r="FU254" s="1168"/>
      <c r="FV254" s="1168"/>
    </row>
    <row r="255" spans="1:178" s="1375" customFormat="1" ht="21" hidden="1" customHeight="1">
      <c r="A255" s="1554">
        <v>1</v>
      </c>
      <c r="B255" s="1387">
        <v>34</v>
      </c>
      <c r="C255" s="1388" t="s">
        <v>28</v>
      </c>
      <c r="D255" s="1389"/>
      <c r="E255" s="1389"/>
      <c r="F255" s="1389"/>
      <c r="G255" s="1389"/>
      <c r="H255" s="1389"/>
      <c r="I255" s="1389"/>
      <c r="J255" s="1389"/>
      <c r="K255" s="1389"/>
      <c r="L255" s="1389"/>
      <c r="M255" s="1389"/>
      <c r="N255" s="1389"/>
      <c r="O255" s="1389"/>
      <c r="P255" s="1389"/>
      <c r="Q255" s="1389"/>
      <c r="R255" s="1389"/>
      <c r="S255" s="1389"/>
      <c r="T255" s="1389"/>
      <c r="U255" s="1389"/>
      <c r="V255" s="1389"/>
      <c r="W255" s="1389"/>
      <c r="X255" s="1389"/>
      <c r="Y255" s="1389"/>
      <c r="Z255" s="1389"/>
      <c r="AA255" s="1389"/>
      <c r="AB255" s="1389"/>
      <c r="AC255" s="1389"/>
      <c r="AD255" s="1389"/>
      <c r="AE255" s="1389"/>
      <c r="AF255" s="1065"/>
      <c r="AG255" s="1065"/>
      <c r="AH255" s="1065"/>
      <c r="AI255" s="1067"/>
      <c r="AJ255" s="1065"/>
      <c r="AK255" s="1065"/>
      <c r="AL255" s="1065"/>
      <c r="AM255" s="1065"/>
      <c r="AN255" s="1065"/>
      <c r="AO255" s="1065"/>
      <c r="AP255" s="1067"/>
      <c r="AQ255" s="1067"/>
      <c r="AR255" s="1065"/>
      <c r="AS255" s="1065"/>
      <c r="AT255" s="1065"/>
      <c r="AU255" s="1065"/>
      <c r="AV255" s="1065"/>
      <c r="AW255" s="1065"/>
      <c r="AX255" s="1065"/>
      <c r="AY255" s="1067"/>
      <c r="AZ255" s="1067"/>
      <c r="BA255" s="1065"/>
      <c r="BB255" s="1065"/>
      <c r="BC255" s="1061"/>
      <c r="BD255" s="1067"/>
      <c r="BE255" s="1061"/>
      <c r="BF255" s="1061"/>
      <c r="BG255" s="1061"/>
      <c r="BH255" s="1061"/>
      <c r="BI255" s="1061"/>
      <c r="BJ255" s="1061"/>
      <c r="BK255" s="1061"/>
      <c r="BL255" s="1061"/>
      <c r="BM255" s="1061"/>
      <c r="BN255" s="1061"/>
      <c r="BO255" s="1061"/>
      <c r="BP255" s="1061"/>
      <c r="BQ255" s="1061"/>
      <c r="BR255" s="1061"/>
      <c r="BS255" s="1061"/>
      <c r="BT255" s="1061"/>
      <c r="BU255" s="1061"/>
      <c r="BV255" s="1061"/>
      <c r="BW255" s="1061"/>
      <c r="BX255" s="1061"/>
      <c r="BY255" s="1061"/>
      <c r="BZ255" s="1061"/>
      <c r="CA255" s="1061"/>
      <c r="CB255" s="1061"/>
      <c r="CC255" s="1061"/>
      <c r="CD255" s="1061"/>
      <c r="CE255" s="1061"/>
      <c r="CF255" s="1061"/>
      <c r="CG255" s="1061"/>
      <c r="CH255" s="1061"/>
      <c r="CI255" s="1061"/>
      <c r="CJ255" s="1061"/>
      <c r="CK255" s="1061"/>
      <c r="CL255" s="1061"/>
      <c r="CM255" s="1061"/>
      <c r="CN255" s="1061"/>
      <c r="CO255" s="1061"/>
      <c r="CP255" s="1061"/>
      <c r="CQ255" s="1061"/>
      <c r="CR255" s="1061"/>
      <c r="CS255" s="1061"/>
      <c r="CT255" s="1061"/>
      <c r="CU255" s="1061"/>
      <c r="CV255" s="1061"/>
      <c r="CW255" s="1061"/>
      <c r="CX255" s="1061"/>
      <c r="CY255" s="1061"/>
      <c r="CZ255" s="1061"/>
      <c r="DA255" s="1061"/>
      <c r="DB255" s="1061"/>
      <c r="DC255" s="1061"/>
      <c r="DD255" s="1061"/>
      <c r="DE255" s="1061"/>
      <c r="DF255" s="1061"/>
      <c r="DG255" s="1061"/>
      <c r="DH255" s="1061"/>
      <c r="DI255" s="1061"/>
      <c r="DJ255" s="1061"/>
      <c r="DK255" s="1061"/>
      <c r="DL255" s="1061"/>
      <c r="DM255" s="1061"/>
      <c r="DN255" s="1061"/>
      <c r="DO255" s="1061"/>
      <c r="DP255" s="1061"/>
      <c r="DQ255" s="1061"/>
      <c r="DR255" s="1061"/>
      <c r="DS255" s="1061"/>
      <c r="DT255" s="1061"/>
      <c r="DU255" s="1061"/>
      <c r="DV255" s="1061"/>
      <c r="DW255" s="1061"/>
      <c r="DX255" s="1061"/>
      <c r="DY255" s="1061"/>
      <c r="DZ255" s="1061"/>
      <c r="EA255" s="1061"/>
      <c r="EB255" s="1061"/>
      <c r="EC255" s="1061"/>
      <c r="ED255" s="1061"/>
      <c r="EE255" s="1061"/>
      <c r="EF255" s="1061"/>
      <c r="EG255" s="1061"/>
      <c r="EH255" s="1061"/>
      <c r="EI255" s="1061"/>
      <c r="EJ255" s="1061"/>
      <c r="EK255" s="1061"/>
      <c r="EL255" s="1061"/>
      <c r="EM255" s="1061"/>
      <c r="EN255" s="1061"/>
      <c r="EO255" s="1061"/>
      <c r="EP255" s="1061"/>
      <c r="EQ255" s="1061"/>
      <c r="ER255" s="1061"/>
      <c r="ES255" s="1061"/>
      <c r="ET255" s="1061"/>
      <c r="EU255" s="1061"/>
      <c r="EV255" s="1061"/>
      <c r="EW255" s="1061"/>
      <c r="EX255" s="1061"/>
      <c r="EY255" s="1061"/>
      <c r="EZ255" s="1061"/>
      <c r="FA255" s="1061"/>
      <c r="FB255" s="1061"/>
      <c r="FC255" s="1061"/>
      <c r="FD255" s="1061"/>
      <c r="FE255" s="1061"/>
      <c r="FF255" s="1061"/>
      <c r="FG255" s="1061"/>
      <c r="FH255" s="1061"/>
      <c r="FI255" s="1061"/>
      <c r="FJ255" s="1061"/>
      <c r="FK255" s="1061"/>
      <c r="FL255" s="1168"/>
      <c r="FM255" s="1168"/>
      <c r="FN255" s="1168"/>
      <c r="FO255" s="1168"/>
      <c r="FP255" s="1168"/>
      <c r="FQ255" s="1168"/>
      <c r="FR255" s="1168"/>
      <c r="FS255" s="1168"/>
      <c r="FT255" s="1168"/>
      <c r="FU255" s="1168"/>
      <c r="FV255" s="1168"/>
    </row>
    <row r="256" spans="1:178" s="1379" customFormat="1" ht="21" hidden="1" customHeight="1" thickBot="1">
      <c r="A256" s="1553">
        <v>1</v>
      </c>
      <c r="B256" s="1386">
        <v>35</v>
      </c>
      <c r="C256" s="2919" t="s">
        <v>490</v>
      </c>
      <c r="D256" s="2919"/>
      <c r="E256" s="2919"/>
      <c r="F256" s="2919"/>
      <c r="G256" s="2919"/>
      <c r="H256" s="2919"/>
      <c r="I256" s="2919"/>
      <c r="J256" s="2919"/>
      <c r="K256" s="2919"/>
      <c r="L256" s="2919"/>
      <c r="M256" s="2919"/>
      <c r="N256" s="2919"/>
      <c r="O256" s="2919"/>
      <c r="P256" s="2919"/>
      <c r="Q256" s="2919"/>
      <c r="R256" s="2919"/>
      <c r="S256" s="2919"/>
      <c r="T256" s="2919"/>
      <c r="U256" s="2919"/>
      <c r="V256" s="2919"/>
      <c r="W256" s="2919"/>
      <c r="X256" s="2920"/>
      <c r="Y256" s="2920"/>
      <c r="Z256" s="2920"/>
      <c r="AA256" s="2920"/>
      <c r="AB256" s="2920"/>
      <c r="AC256" s="2920"/>
      <c r="AD256" s="2920"/>
      <c r="AE256" s="2920"/>
      <c r="AF256" s="2920"/>
      <c r="AG256" s="2920"/>
      <c r="AH256" s="2920"/>
      <c r="AI256" s="2920"/>
      <c r="AJ256" s="2920"/>
      <c r="AK256" s="2920"/>
      <c r="AL256" s="2920"/>
      <c r="AM256" s="958"/>
      <c r="AN256" s="958"/>
      <c r="AO256" s="958"/>
      <c r="AP256" s="959"/>
      <c r="AQ256" s="959"/>
      <c r="AR256" s="958"/>
      <c r="AS256" s="958"/>
      <c r="AT256" s="958"/>
      <c r="AU256" s="958"/>
      <c r="AV256" s="958"/>
      <c r="AW256" s="958"/>
      <c r="AX256" s="958"/>
      <c r="AY256" s="959"/>
      <c r="AZ256" s="959"/>
      <c r="BA256" s="958"/>
      <c r="BB256" s="958"/>
      <c r="BC256" s="960"/>
      <c r="BD256" s="959"/>
      <c r="BE256" s="960"/>
      <c r="BF256" s="960"/>
      <c r="BG256" s="960"/>
      <c r="BH256" s="960"/>
      <c r="BI256" s="960"/>
      <c r="BJ256" s="960"/>
      <c r="BK256" s="960"/>
      <c r="BL256" s="960"/>
      <c r="BM256" s="960"/>
      <c r="BN256" s="960"/>
      <c r="BO256" s="960"/>
      <c r="BP256" s="960"/>
      <c r="BQ256" s="960"/>
      <c r="BR256" s="960"/>
      <c r="BS256" s="960"/>
      <c r="BT256" s="960"/>
      <c r="BU256" s="960"/>
      <c r="BV256" s="960"/>
      <c r="BW256" s="960"/>
      <c r="BX256" s="960"/>
      <c r="BY256" s="960"/>
      <c r="BZ256" s="830"/>
      <c r="CA256" s="830"/>
      <c r="CB256" s="830"/>
      <c r="CC256" s="830"/>
      <c r="CD256" s="830"/>
      <c r="CE256" s="830"/>
      <c r="CF256" s="830"/>
      <c r="CG256" s="830"/>
      <c r="CH256" s="830"/>
      <c r="CI256" s="830"/>
      <c r="CJ256" s="830"/>
      <c r="CK256" s="830"/>
      <c r="CL256" s="830"/>
      <c r="CM256" s="830"/>
      <c r="CN256" s="830"/>
      <c r="CO256" s="830"/>
      <c r="CP256" s="830"/>
      <c r="CQ256" s="830"/>
      <c r="CR256" s="830"/>
      <c r="CS256" s="830"/>
      <c r="CT256" s="830"/>
      <c r="CU256" s="830"/>
      <c r="CV256" s="830"/>
      <c r="CW256" s="830"/>
      <c r="CX256" s="830"/>
      <c r="CY256" s="830"/>
      <c r="CZ256" s="830"/>
      <c r="DA256" s="830"/>
      <c r="DB256" s="830"/>
      <c r="DC256" s="830"/>
      <c r="DD256" s="830"/>
      <c r="DE256" s="830"/>
      <c r="DF256" s="830"/>
      <c r="DG256" s="830"/>
      <c r="DH256" s="830"/>
      <c r="DI256" s="830"/>
      <c r="DJ256" s="830"/>
      <c r="DK256" s="830"/>
      <c r="DL256" s="830"/>
      <c r="DM256" s="830"/>
      <c r="DN256" s="830"/>
      <c r="DO256" s="830"/>
      <c r="DP256" s="830"/>
      <c r="DQ256" s="830"/>
      <c r="DR256" s="830"/>
      <c r="DS256" s="830"/>
      <c r="DT256" s="830"/>
      <c r="DU256" s="830"/>
      <c r="DV256" s="830"/>
      <c r="DW256" s="830"/>
      <c r="DX256" s="830"/>
      <c r="DY256" s="830"/>
      <c r="DZ256" s="830"/>
      <c r="EA256" s="830"/>
      <c r="EB256" s="830"/>
      <c r="EC256" s="830"/>
      <c r="ED256" s="830"/>
      <c r="EE256" s="830"/>
      <c r="EF256" s="830"/>
      <c r="EG256" s="830"/>
      <c r="EH256" s="830"/>
      <c r="EI256" s="830"/>
      <c r="EJ256" s="830"/>
      <c r="EK256" s="830"/>
      <c r="EL256" s="830"/>
      <c r="EM256" s="830"/>
      <c r="EN256" s="830"/>
      <c r="EO256" s="830"/>
      <c r="EP256" s="830"/>
      <c r="EQ256" s="830"/>
      <c r="ER256" s="830"/>
      <c r="ES256" s="830"/>
      <c r="ET256" s="830"/>
      <c r="EU256" s="830"/>
      <c r="EV256" s="830"/>
      <c r="EW256" s="830"/>
      <c r="EX256" s="830"/>
      <c r="EY256" s="830"/>
      <c r="EZ256" s="830"/>
      <c r="FA256" s="830"/>
      <c r="FB256" s="830"/>
      <c r="FC256" s="830"/>
      <c r="FD256" s="830"/>
      <c r="FE256" s="830"/>
      <c r="FF256" s="830"/>
      <c r="FG256" s="830"/>
      <c r="FH256" s="830"/>
      <c r="FI256" s="830"/>
      <c r="FJ256" s="830"/>
      <c r="FK256" s="830"/>
      <c r="FL256" s="1167"/>
      <c r="FM256" s="1167"/>
      <c r="FN256" s="1167"/>
      <c r="FO256" s="1167"/>
      <c r="FP256" s="1167"/>
      <c r="FQ256" s="1167"/>
      <c r="FR256" s="1167"/>
      <c r="FS256" s="1167"/>
      <c r="FT256" s="1167"/>
      <c r="FU256" s="1167"/>
      <c r="FV256" s="1167"/>
    </row>
    <row r="257" spans="1:178" s="61" customFormat="1" ht="21" hidden="1" customHeight="1">
      <c r="A257" s="1551">
        <v>1</v>
      </c>
      <c r="B257" s="1386">
        <v>36</v>
      </c>
      <c r="C257" s="2918" t="s">
        <v>855</v>
      </c>
      <c r="D257" s="2918"/>
      <c r="E257" s="2918"/>
      <c r="F257" s="2918"/>
      <c r="G257" s="2918"/>
      <c r="H257" s="2918"/>
      <c r="I257" s="2918"/>
      <c r="J257" s="2918"/>
      <c r="K257" s="2918"/>
      <c r="L257" s="2918"/>
      <c r="M257" s="2918"/>
      <c r="N257" s="2918"/>
      <c r="O257" s="2918"/>
      <c r="P257" s="2918"/>
      <c r="Q257" s="2918"/>
      <c r="R257" s="2918"/>
      <c r="S257" s="2918"/>
      <c r="T257" s="2918"/>
      <c r="U257" s="2918"/>
      <c r="V257" s="2918"/>
      <c r="W257" s="2918"/>
      <c r="X257" s="2918"/>
      <c r="Y257" s="2918"/>
      <c r="Z257" s="2918"/>
      <c r="AA257" s="2918"/>
      <c r="AB257" s="2918"/>
      <c r="AC257" s="2918"/>
      <c r="AD257" s="2918"/>
      <c r="AE257" s="2918"/>
      <c r="AF257" s="2918"/>
      <c r="AG257" s="2918"/>
      <c r="AH257" s="2918"/>
      <c r="AI257" s="2918"/>
      <c r="AJ257" s="2918"/>
      <c r="AK257" s="2918"/>
      <c r="AL257" s="2918"/>
      <c r="AM257" s="2918"/>
      <c r="AN257" s="2918"/>
      <c r="AO257" s="2918"/>
      <c r="AP257" s="2918"/>
      <c r="AQ257" s="2918"/>
      <c r="AR257" s="2918"/>
      <c r="AS257" s="2918"/>
      <c r="AT257" s="2918"/>
      <c r="AU257" s="2918"/>
      <c r="AV257" s="2918"/>
      <c r="AW257" s="2918"/>
      <c r="AX257" s="2918"/>
      <c r="AY257" s="2918"/>
      <c r="AZ257" s="2918"/>
      <c r="BA257" s="2918"/>
      <c r="BB257" s="2918"/>
      <c r="BC257" s="2918"/>
      <c r="BD257" s="2918"/>
      <c r="BE257" s="2918"/>
      <c r="BF257" s="2918"/>
      <c r="BG257" s="2918"/>
      <c r="BH257" s="2918"/>
      <c r="BI257" s="2918"/>
      <c r="BJ257" s="2918"/>
      <c r="BK257" s="2918"/>
      <c r="BL257" s="2918"/>
      <c r="BM257" s="2918"/>
      <c r="BN257" s="2918"/>
      <c r="BO257" s="2918"/>
      <c r="BP257" s="2918"/>
      <c r="BQ257" s="2918"/>
      <c r="BR257" s="2918"/>
      <c r="BS257" s="2918"/>
      <c r="BT257" s="2918"/>
      <c r="BU257" s="2918"/>
      <c r="BV257" s="2918"/>
      <c r="BW257" s="2918"/>
      <c r="BX257" s="2918"/>
      <c r="BY257" s="2918"/>
      <c r="BZ257" s="2918"/>
      <c r="CA257" s="2918"/>
      <c r="CB257" s="2918"/>
      <c r="CC257" s="2918"/>
      <c r="CD257" s="2918"/>
      <c r="CE257" s="2918"/>
      <c r="CF257" s="2918"/>
      <c r="CG257" s="2918"/>
      <c r="CH257" s="2918"/>
      <c r="CI257" s="2918"/>
      <c r="CJ257" s="2918"/>
      <c r="CK257" s="2918"/>
      <c r="CL257" s="2918"/>
      <c r="CM257" s="1566"/>
      <c r="CN257" s="1566"/>
      <c r="CO257" s="1566"/>
      <c r="CP257" s="1566"/>
      <c r="CQ257" s="1566"/>
      <c r="CR257" s="1566"/>
      <c r="CS257" s="1566"/>
      <c r="CT257" s="1566"/>
      <c r="CU257" s="1566"/>
      <c r="CV257" s="1566"/>
      <c r="CW257" s="1566"/>
      <c r="CX257" s="1566"/>
      <c r="CY257" s="1566"/>
      <c r="CZ257" s="1566"/>
      <c r="DA257" s="1566"/>
      <c r="DB257" s="1566"/>
      <c r="DC257" s="1566"/>
      <c r="DD257" s="1566"/>
      <c r="DE257" s="1566"/>
      <c r="DF257" s="1566"/>
      <c r="DG257" s="1566"/>
      <c r="DH257" s="830"/>
      <c r="DI257" s="830"/>
      <c r="DJ257" s="830"/>
      <c r="DK257" s="830"/>
      <c r="DL257" s="830"/>
      <c r="DM257" s="830"/>
      <c r="DN257" s="830"/>
      <c r="DO257" s="830"/>
      <c r="DP257" s="830"/>
      <c r="DQ257" s="830"/>
      <c r="DR257" s="830"/>
      <c r="DS257" s="830"/>
      <c r="DT257" s="830"/>
      <c r="DU257" s="830"/>
      <c r="DV257" s="830"/>
      <c r="DW257" s="830"/>
      <c r="DX257" s="830"/>
      <c r="DY257" s="830"/>
      <c r="DZ257" s="830"/>
      <c r="EA257" s="830"/>
      <c r="EB257" s="830"/>
      <c r="EC257" s="830"/>
      <c r="ED257" s="830"/>
      <c r="EE257" s="830"/>
      <c r="EF257" s="830"/>
      <c r="EG257" s="830"/>
      <c r="EH257" s="830"/>
      <c r="EI257" s="830"/>
      <c r="EJ257" s="830"/>
      <c r="EK257" s="830"/>
      <c r="EL257" s="830"/>
      <c r="EM257" s="830"/>
      <c r="EN257" s="830"/>
      <c r="EO257" s="830"/>
      <c r="EP257" s="830"/>
      <c r="EQ257" s="830"/>
      <c r="ER257" s="830"/>
      <c r="ES257" s="830"/>
      <c r="ET257" s="830"/>
      <c r="EU257" s="830"/>
      <c r="EV257" s="830"/>
      <c r="EW257" s="830"/>
      <c r="EX257" s="830"/>
      <c r="EY257" s="830"/>
      <c r="EZ257" s="830"/>
      <c r="FA257" s="830"/>
      <c r="FB257" s="830"/>
      <c r="FC257" s="830"/>
      <c r="FD257" s="830"/>
      <c r="FE257" s="830"/>
      <c r="FF257" s="830"/>
      <c r="FG257" s="830"/>
      <c r="FH257" s="830"/>
      <c r="FI257" s="830"/>
      <c r="FJ257" s="830"/>
      <c r="FK257" s="830"/>
      <c r="FL257" s="1167"/>
      <c r="FM257" s="1167"/>
      <c r="FN257" s="1167"/>
      <c r="FO257" s="1167"/>
      <c r="FP257" s="1167"/>
      <c r="FQ257" s="1167"/>
      <c r="FR257" s="1167"/>
      <c r="FS257" s="1167"/>
      <c r="FT257" s="1167"/>
      <c r="FU257" s="1167"/>
      <c r="FV257" s="1167"/>
    </row>
    <row r="258" spans="1:178" s="61" customFormat="1" ht="21" hidden="1" customHeight="1">
      <c r="A258" s="1551">
        <v>1</v>
      </c>
      <c r="B258" s="1386" t="s">
        <v>136</v>
      </c>
      <c r="C258" s="2918" t="s">
        <v>119</v>
      </c>
      <c r="D258" s="2918"/>
      <c r="E258" s="2918"/>
      <c r="F258" s="2918"/>
      <c r="G258" s="2918"/>
      <c r="H258" s="2918"/>
      <c r="I258" s="2918"/>
      <c r="J258" s="2918"/>
      <c r="K258" s="2918"/>
      <c r="L258" s="2918"/>
      <c r="M258" s="2918"/>
      <c r="N258" s="2918"/>
      <c r="O258" s="2918"/>
      <c r="P258" s="2918"/>
      <c r="Q258" s="2918"/>
      <c r="R258" s="2918"/>
      <c r="S258" s="2918"/>
      <c r="T258" s="2918"/>
      <c r="U258" s="2918"/>
      <c r="V258" s="2918"/>
      <c r="W258" s="2918"/>
      <c r="X258" s="2918"/>
      <c r="Y258" s="2918"/>
      <c r="Z258" s="2918"/>
      <c r="AA258" s="2918"/>
      <c r="AB258" s="2918"/>
      <c r="AC258" s="2918"/>
      <c r="AD258" s="2918"/>
      <c r="AE258" s="2918"/>
      <c r="AF258" s="2918"/>
      <c r="AG258" s="2918"/>
      <c r="AH258" s="2918"/>
      <c r="AI258" s="2918"/>
      <c r="AJ258" s="2918"/>
      <c r="AK258" s="2918"/>
      <c r="AL258" s="2918"/>
      <c r="AM258" s="2918"/>
      <c r="AN258" s="2918"/>
      <c r="AO258" s="2918"/>
      <c r="AP258" s="2918"/>
      <c r="AQ258" s="2918"/>
      <c r="AR258" s="2918"/>
      <c r="AS258" s="2918"/>
      <c r="AT258" s="2918"/>
      <c r="AU258" s="2918"/>
      <c r="AV258" s="2918"/>
      <c r="AW258" s="2918"/>
      <c r="AX258" s="2918"/>
      <c r="AY258" s="2918"/>
      <c r="AZ258" s="2918"/>
      <c r="BA258" s="2918"/>
      <c r="BB258" s="2918"/>
      <c r="BC258" s="2918"/>
      <c r="BD258" s="2918"/>
      <c r="BE258" s="2918"/>
      <c r="BF258" s="2918"/>
      <c r="BG258" s="2918"/>
      <c r="BH258" s="2918"/>
      <c r="BI258" s="2918"/>
      <c r="BJ258" s="2918"/>
      <c r="BK258" s="2918"/>
      <c r="BL258" s="2918"/>
      <c r="BM258" s="2918"/>
      <c r="BN258" s="2918"/>
      <c r="BO258" s="2918"/>
      <c r="BP258" s="2918"/>
      <c r="BQ258" s="2918"/>
      <c r="BR258" s="2918"/>
      <c r="BS258" s="2918"/>
      <c r="BT258" s="2918"/>
      <c r="BU258" s="2918"/>
      <c r="BV258" s="2918"/>
      <c r="BW258" s="2918"/>
      <c r="BX258" s="2918"/>
      <c r="BY258" s="2918"/>
      <c r="BZ258" s="2918"/>
      <c r="CA258" s="2918"/>
      <c r="CB258" s="2918"/>
      <c r="CC258" s="2918"/>
      <c r="CD258" s="2918"/>
      <c r="CE258" s="2918"/>
      <c r="CF258" s="2918"/>
      <c r="CG258" s="2918"/>
      <c r="CH258" s="2918"/>
      <c r="CI258" s="2918"/>
      <c r="CJ258" s="2918"/>
      <c r="CK258" s="2918"/>
      <c r="CL258" s="2918"/>
      <c r="CM258" s="1566"/>
      <c r="CN258" s="1566"/>
      <c r="CO258" s="1566"/>
      <c r="CP258" s="1566"/>
      <c r="CQ258" s="1566"/>
      <c r="CR258" s="1566"/>
      <c r="CS258" s="1566"/>
      <c r="CT258" s="1566"/>
      <c r="CU258" s="1566"/>
      <c r="CV258" s="1566"/>
      <c r="CW258" s="1566"/>
      <c r="CX258" s="1566"/>
      <c r="CY258" s="1566"/>
      <c r="CZ258" s="1566"/>
      <c r="DA258" s="1566"/>
      <c r="DB258" s="1566"/>
      <c r="DC258" s="1566"/>
      <c r="DD258" s="1566"/>
      <c r="DE258" s="1566"/>
      <c r="DF258" s="1566"/>
      <c r="DG258" s="1566"/>
      <c r="DH258" s="830"/>
      <c r="DI258" s="830"/>
      <c r="DJ258" s="830"/>
      <c r="DK258" s="830"/>
      <c r="DL258" s="830"/>
      <c r="DM258" s="830"/>
      <c r="DN258" s="830"/>
      <c r="DO258" s="830"/>
      <c r="DP258" s="830"/>
      <c r="DQ258" s="830"/>
      <c r="DR258" s="830"/>
      <c r="DS258" s="830"/>
      <c r="DT258" s="830"/>
      <c r="DU258" s="830"/>
      <c r="DV258" s="830"/>
      <c r="DW258" s="830"/>
      <c r="DX258" s="830"/>
      <c r="DY258" s="830"/>
      <c r="DZ258" s="830"/>
      <c r="EA258" s="830"/>
      <c r="EB258" s="830"/>
      <c r="EC258" s="830"/>
      <c r="ED258" s="830"/>
      <c r="EE258" s="830"/>
      <c r="EF258" s="830"/>
      <c r="EG258" s="830"/>
      <c r="EH258" s="830"/>
      <c r="EI258" s="830"/>
      <c r="EJ258" s="830"/>
      <c r="EK258" s="830"/>
      <c r="EL258" s="830"/>
      <c r="EM258" s="830"/>
      <c r="EN258" s="830"/>
      <c r="EO258" s="830"/>
      <c r="EP258" s="830"/>
      <c r="EQ258" s="830"/>
      <c r="ER258" s="830"/>
      <c r="ES258" s="830"/>
      <c r="ET258" s="830"/>
      <c r="EU258" s="830"/>
      <c r="EV258" s="830"/>
      <c r="EW258" s="830"/>
      <c r="EX258" s="830"/>
      <c r="EY258" s="830"/>
      <c r="EZ258" s="830"/>
      <c r="FA258" s="830"/>
      <c r="FB258" s="830"/>
      <c r="FC258" s="830"/>
      <c r="FD258" s="830"/>
      <c r="FE258" s="830"/>
      <c r="FF258" s="830"/>
      <c r="FG258" s="830"/>
      <c r="FH258" s="830"/>
      <c r="FI258" s="830"/>
      <c r="FJ258" s="830"/>
      <c r="FK258" s="830"/>
      <c r="FL258" s="1167"/>
      <c r="FM258" s="1167"/>
      <c r="FN258" s="1167"/>
      <c r="FO258" s="1167"/>
      <c r="FP258" s="1167"/>
      <c r="FQ258" s="1167"/>
      <c r="FR258" s="1167"/>
      <c r="FS258" s="1167"/>
      <c r="FT258" s="1167"/>
      <c r="FU258" s="1167"/>
      <c r="FV258" s="1167"/>
    </row>
    <row r="259" spans="1:178" s="1065" customFormat="1" ht="21" hidden="1" customHeight="1">
      <c r="A259" s="1555">
        <v>1</v>
      </c>
      <c r="B259" s="1062">
        <v>38</v>
      </c>
      <c r="C259" s="1389" t="s">
        <v>120</v>
      </c>
      <c r="D259" s="1389"/>
      <c r="E259" s="1389"/>
      <c r="F259" s="1389"/>
      <c r="G259" s="1389"/>
      <c r="H259" s="1389"/>
      <c r="I259" s="1389"/>
      <c r="J259" s="1389"/>
      <c r="K259" s="1389"/>
      <c r="L259" s="1389"/>
      <c r="M259" s="1389"/>
      <c r="N259" s="1063"/>
      <c r="O259" s="1063"/>
      <c r="P259" s="1063"/>
      <c r="Q259" s="1063"/>
      <c r="R259" s="1063"/>
      <c r="S259" s="1063"/>
      <c r="T259" s="1063"/>
      <c r="U259" s="1063"/>
      <c r="V259" s="1064"/>
      <c r="W259" s="1064"/>
      <c r="Y259" s="1066"/>
      <c r="AI259" s="1067"/>
      <c r="AP259" s="1067"/>
      <c r="AY259" s="1067"/>
      <c r="AZ259" s="1067"/>
      <c r="BC259" s="1061"/>
      <c r="BD259" s="1067"/>
      <c r="BE259" s="1061"/>
      <c r="BF259" s="1061"/>
      <c r="BG259" s="1061"/>
      <c r="BH259" s="1061"/>
      <c r="BI259" s="1061"/>
      <c r="BJ259" s="1061"/>
      <c r="BK259" s="1061"/>
      <c r="BL259" s="1061"/>
      <c r="BM259" s="1061"/>
      <c r="BN259" s="1061"/>
      <c r="BO259" s="1061"/>
      <c r="BP259" s="1061"/>
      <c r="BQ259" s="1061"/>
      <c r="BR259" s="1061"/>
      <c r="BS259" s="1061"/>
      <c r="BT259" s="1061"/>
      <c r="BU259" s="1061"/>
      <c r="BV259" s="1061"/>
      <c r="BW259" s="1061"/>
      <c r="BX259" s="1061"/>
      <c r="BY259" s="1061"/>
      <c r="BZ259" s="1061"/>
      <c r="CA259" s="1061"/>
      <c r="CB259" s="1061"/>
      <c r="CC259" s="1061"/>
      <c r="CD259" s="1061"/>
      <c r="CE259" s="1061"/>
      <c r="CF259" s="1061"/>
      <c r="CG259" s="1061"/>
      <c r="CH259" s="1061"/>
      <c r="CI259" s="1061"/>
      <c r="CJ259" s="1061"/>
      <c r="CK259" s="1061"/>
      <c r="CL259" s="1061"/>
      <c r="CM259" s="1061"/>
      <c r="CN259" s="1061"/>
      <c r="CO259" s="1061"/>
      <c r="CP259" s="1061"/>
      <c r="CQ259" s="1061"/>
      <c r="CR259" s="1061"/>
      <c r="CS259" s="1061"/>
      <c r="CT259" s="1061"/>
      <c r="CU259" s="1061"/>
      <c r="CV259" s="1061"/>
      <c r="CW259" s="1061"/>
      <c r="CX259" s="1061"/>
      <c r="CY259" s="1061"/>
      <c r="CZ259" s="1061"/>
      <c r="DA259" s="1061"/>
      <c r="DB259" s="1061"/>
      <c r="DC259" s="1061"/>
      <c r="DD259" s="1061"/>
      <c r="DE259" s="1061"/>
      <c r="DF259" s="1061"/>
      <c r="DG259" s="1061"/>
      <c r="DH259" s="1061"/>
      <c r="DI259" s="1061"/>
      <c r="DJ259" s="1061"/>
      <c r="DK259" s="1061"/>
      <c r="DL259" s="1061"/>
      <c r="DM259" s="1061"/>
      <c r="DN259" s="1061"/>
      <c r="DO259" s="1061"/>
      <c r="DP259" s="1061"/>
      <c r="DQ259" s="1061"/>
      <c r="DR259" s="1061"/>
      <c r="DS259" s="1061"/>
      <c r="DT259" s="1061"/>
      <c r="DU259" s="1061"/>
      <c r="DV259" s="1061"/>
      <c r="DW259" s="1061"/>
      <c r="DX259" s="1061"/>
      <c r="DY259" s="1061"/>
      <c r="DZ259" s="1061"/>
      <c r="EA259" s="1061"/>
      <c r="EB259" s="1061"/>
      <c r="EC259" s="1061"/>
      <c r="ED259" s="1061"/>
      <c r="EE259" s="1061"/>
      <c r="EF259" s="1061"/>
      <c r="EG259" s="1061"/>
      <c r="EH259" s="1061"/>
      <c r="EI259" s="1061"/>
      <c r="EJ259" s="1061"/>
      <c r="EK259" s="1061"/>
      <c r="EL259" s="1061"/>
      <c r="EM259" s="1061"/>
      <c r="EN259" s="1061"/>
      <c r="EO259" s="1061"/>
      <c r="EP259" s="1061"/>
      <c r="EQ259" s="1061"/>
      <c r="ER259" s="1061"/>
      <c r="ES259" s="1061"/>
      <c r="ET259" s="1061"/>
      <c r="EU259" s="1061"/>
      <c r="EV259" s="1061"/>
      <c r="EW259" s="1061"/>
      <c r="EX259" s="1061"/>
      <c r="EY259" s="1061"/>
      <c r="EZ259" s="1061"/>
      <c r="FA259" s="1061"/>
      <c r="FB259" s="1061"/>
      <c r="FC259" s="1061"/>
      <c r="FD259" s="1061"/>
      <c r="FE259" s="1061"/>
      <c r="FF259" s="1061"/>
      <c r="FG259" s="1061"/>
      <c r="FH259" s="1061"/>
      <c r="FI259" s="1061"/>
      <c r="FJ259" s="1061"/>
      <c r="FK259" s="1061"/>
      <c r="FL259" s="1168"/>
      <c r="FM259" s="1168"/>
      <c r="FN259" s="1168"/>
      <c r="FO259" s="1168"/>
      <c r="FP259" s="1168"/>
      <c r="FQ259" s="1168"/>
      <c r="FR259" s="1168"/>
      <c r="FS259" s="1168"/>
      <c r="FT259" s="1168"/>
      <c r="FU259" s="1168"/>
      <c r="FV259" s="1168"/>
    </row>
    <row r="260" spans="1:178" s="1375" customFormat="1" ht="21" hidden="1" customHeight="1">
      <c r="A260" s="1554">
        <v>1</v>
      </c>
      <c r="B260" s="1062">
        <v>39</v>
      </c>
      <c r="C260" s="1389" t="s">
        <v>29</v>
      </c>
      <c r="D260" s="1065"/>
      <c r="E260" s="1065"/>
      <c r="F260" s="1065"/>
      <c r="G260" s="1065"/>
      <c r="H260" s="1065"/>
      <c r="I260" s="1567"/>
      <c r="J260" s="1567"/>
      <c r="K260" s="1063"/>
      <c r="L260" s="1063"/>
      <c r="M260" s="1063"/>
      <c r="N260" s="1063"/>
      <c r="O260" s="1063"/>
      <c r="P260" s="1063"/>
      <c r="Q260" s="1063"/>
      <c r="R260" s="1063"/>
      <c r="S260" s="1063"/>
      <c r="T260" s="1063"/>
      <c r="U260" s="1063"/>
      <c r="V260" s="1064"/>
      <c r="W260" s="1064"/>
      <c r="X260" s="1065"/>
      <c r="Y260" s="1066"/>
      <c r="Z260" s="1065"/>
      <c r="AA260" s="1065"/>
      <c r="AB260" s="1065"/>
      <c r="AC260" s="1065"/>
      <c r="AD260" s="1065"/>
      <c r="AE260" s="1065"/>
      <c r="AF260" s="1065"/>
      <c r="AG260" s="1065"/>
      <c r="AH260" s="1065"/>
      <c r="AI260" s="1067"/>
      <c r="AJ260" s="1065"/>
      <c r="AK260" s="1065"/>
      <c r="AL260" s="1065"/>
      <c r="AM260" s="1065"/>
      <c r="AN260" s="1065"/>
      <c r="AO260" s="1065"/>
      <c r="AP260" s="1067"/>
      <c r="AQ260" s="1065"/>
      <c r="AR260" s="1065"/>
      <c r="AS260" s="1065"/>
      <c r="AT260" s="1065"/>
      <c r="AU260" s="1065"/>
      <c r="AV260" s="1065"/>
      <c r="AW260" s="1065"/>
      <c r="AX260" s="1065"/>
      <c r="AY260" s="1067"/>
      <c r="AZ260" s="1067"/>
      <c r="BA260" s="1065"/>
      <c r="BB260" s="1065"/>
      <c r="BC260" s="1061"/>
      <c r="BD260" s="1067"/>
      <c r="BE260" s="1061"/>
      <c r="BF260" s="1061"/>
      <c r="BG260" s="1061"/>
      <c r="BH260" s="1061"/>
      <c r="BI260" s="1061"/>
      <c r="BJ260" s="1061"/>
      <c r="BK260" s="1061"/>
      <c r="BL260" s="1061"/>
      <c r="BM260" s="1061"/>
      <c r="BN260" s="1061"/>
      <c r="BO260" s="1061"/>
      <c r="BP260" s="1061"/>
      <c r="BQ260" s="1061"/>
      <c r="BR260" s="1061"/>
      <c r="BS260" s="1061"/>
      <c r="BT260" s="1061"/>
      <c r="BU260" s="1061"/>
      <c r="BV260" s="1061"/>
      <c r="BW260" s="1061"/>
      <c r="BX260" s="1061"/>
      <c r="BY260" s="1061"/>
      <c r="BZ260" s="1061"/>
      <c r="CA260" s="1061"/>
      <c r="CB260" s="1061"/>
      <c r="CC260" s="1061"/>
      <c r="CD260" s="1061"/>
      <c r="CE260" s="1061"/>
      <c r="CF260" s="1061"/>
      <c r="CG260" s="1061"/>
      <c r="CH260" s="1061"/>
      <c r="CI260" s="1061"/>
      <c r="CJ260" s="1061"/>
      <c r="CK260" s="1061"/>
      <c r="CL260" s="1061"/>
      <c r="CM260" s="1061"/>
      <c r="CN260" s="1061"/>
      <c r="CO260" s="1061"/>
      <c r="CP260" s="1061"/>
      <c r="CQ260" s="1061"/>
      <c r="CR260" s="1061"/>
      <c r="CS260" s="1061"/>
      <c r="CT260" s="1061"/>
      <c r="CU260" s="1061"/>
      <c r="CV260" s="1061"/>
      <c r="CW260" s="1061"/>
      <c r="CX260" s="1061"/>
      <c r="CY260" s="1061"/>
      <c r="CZ260" s="1061"/>
      <c r="DA260" s="1061"/>
      <c r="DB260" s="1061"/>
      <c r="DC260" s="1061"/>
      <c r="DD260" s="1061"/>
      <c r="DE260" s="1061"/>
      <c r="DF260" s="1061"/>
      <c r="DG260" s="1061"/>
      <c r="DH260" s="1061"/>
      <c r="DI260" s="1061"/>
      <c r="DJ260" s="1061"/>
      <c r="DK260" s="1061"/>
      <c r="DL260" s="1061"/>
      <c r="DM260" s="1061"/>
      <c r="DN260" s="1061"/>
      <c r="DO260" s="1061"/>
      <c r="DP260" s="1061"/>
      <c r="DQ260" s="1061"/>
      <c r="DR260" s="1061"/>
      <c r="DS260" s="1061"/>
      <c r="DT260" s="1061"/>
      <c r="DU260" s="1061"/>
      <c r="DV260" s="1061"/>
      <c r="DW260" s="1061"/>
      <c r="DX260" s="1061"/>
      <c r="DY260" s="1061"/>
      <c r="DZ260" s="1061"/>
      <c r="EA260" s="1061"/>
      <c r="EB260" s="1061"/>
      <c r="EC260" s="1061"/>
      <c r="ED260" s="1061"/>
      <c r="EE260" s="1061"/>
      <c r="EF260" s="1061"/>
      <c r="EG260" s="1061"/>
      <c r="EH260" s="1061"/>
      <c r="EI260" s="1061"/>
      <c r="EJ260" s="1061"/>
      <c r="EK260" s="1061"/>
      <c r="EL260" s="1061"/>
      <c r="EM260" s="1061"/>
      <c r="EN260" s="1061"/>
      <c r="EO260" s="1061"/>
      <c r="EP260" s="1061"/>
      <c r="EQ260" s="1061"/>
      <c r="ER260" s="1061"/>
      <c r="ES260" s="1061"/>
      <c r="ET260" s="1061"/>
      <c r="EU260" s="1061"/>
      <c r="EV260" s="1061"/>
      <c r="EW260" s="1061"/>
      <c r="EX260" s="1061"/>
      <c r="EY260" s="1061"/>
      <c r="EZ260" s="1061"/>
      <c r="FA260" s="1061"/>
      <c r="FB260" s="1061"/>
      <c r="FC260" s="1061"/>
      <c r="FD260" s="1061"/>
      <c r="FE260" s="1061"/>
      <c r="FF260" s="1061"/>
      <c r="FG260" s="1061"/>
      <c r="FH260" s="1061"/>
      <c r="FI260" s="1061"/>
      <c r="FJ260" s="1061"/>
      <c r="FK260" s="1061"/>
      <c r="FL260" s="1168"/>
      <c r="FM260" s="1168"/>
      <c r="FN260" s="1168"/>
      <c r="FO260" s="1168"/>
      <c r="FP260" s="1168"/>
      <c r="FQ260" s="1168"/>
      <c r="FR260" s="1168"/>
      <c r="FS260" s="1168"/>
      <c r="FT260" s="1168"/>
      <c r="FU260" s="1168"/>
      <c r="FV260" s="1168"/>
    </row>
    <row r="261" spans="1:178" s="1375" customFormat="1" ht="21" hidden="1" customHeight="1">
      <c r="A261" s="1554">
        <v>1</v>
      </c>
      <c r="B261" s="1062">
        <v>40</v>
      </c>
      <c r="C261" s="1389" t="s">
        <v>30</v>
      </c>
      <c r="D261" s="1065"/>
      <c r="E261" s="1065"/>
      <c r="F261" s="1065"/>
      <c r="G261" s="1065"/>
      <c r="H261" s="1065"/>
      <c r="I261" s="1567"/>
      <c r="J261" s="1567"/>
      <c r="K261" s="1063"/>
      <c r="L261" s="1063"/>
      <c r="M261" s="1063"/>
      <c r="N261" s="1063"/>
      <c r="O261" s="1063"/>
      <c r="P261" s="1063"/>
      <c r="Q261" s="1063"/>
      <c r="R261" s="1063"/>
      <c r="S261" s="1063"/>
      <c r="T261" s="1063"/>
      <c r="U261" s="1063"/>
      <c r="V261" s="1064"/>
      <c r="W261" s="1064"/>
      <c r="X261" s="1065"/>
      <c r="Y261" s="1066"/>
      <c r="Z261" s="1065"/>
      <c r="AA261" s="1065"/>
      <c r="AB261" s="1065"/>
      <c r="AC261" s="1065"/>
      <c r="AD261" s="1065"/>
      <c r="AE261" s="1065"/>
      <c r="AF261" s="1065"/>
      <c r="AG261" s="1065"/>
      <c r="AH261" s="1065"/>
      <c r="AI261" s="1067"/>
      <c r="AJ261" s="1065"/>
      <c r="AK261" s="1065"/>
      <c r="AL261" s="1065"/>
      <c r="AM261" s="1065"/>
      <c r="AN261" s="1065"/>
      <c r="AO261" s="1065"/>
      <c r="AP261" s="1067"/>
      <c r="AQ261" s="1065"/>
      <c r="AR261" s="1065"/>
      <c r="AS261" s="1065"/>
      <c r="AT261" s="1065"/>
      <c r="AU261" s="1065"/>
      <c r="AV261" s="1065"/>
      <c r="AW261" s="1065"/>
      <c r="AX261" s="1065"/>
      <c r="AY261" s="1067"/>
      <c r="AZ261" s="1067"/>
      <c r="BA261" s="1065"/>
      <c r="BB261" s="1065"/>
      <c r="BC261" s="1061"/>
      <c r="BD261" s="1067"/>
      <c r="BE261" s="1061"/>
      <c r="BF261" s="1061"/>
      <c r="BG261" s="1061"/>
      <c r="BH261" s="1061"/>
      <c r="BI261" s="1061"/>
      <c r="BJ261" s="1061"/>
      <c r="BK261" s="1061"/>
      <c r="BL261" s="1061"/>
      <c r="BM261" s="1061"/>
      <c r="BN261" s="1061"/>
      <c r="BO261" s="1061"/>
      <c r="BP261" s="1061"/>
      <c r="BQ261" s="1061"/>
      <c r="BR261" s="1061"/>
      <c r="BS261" s="1061"/>
      <c r="BT261" s="1061"/>
      <c r="BU261" s="1061"/>
      <c r="BV261" s="1061"/>
      <c r="BW261" s="1061"/>
      <c r="BX261" s="1061"/>
      <c r="BY261" s="1061"/>
      <c r="BZ261" s="1061"/>
      <c r="CA261" s="1061"/>
      <c r="CB261" s="1061"/>
      <c r="CC261" s="1061"/>
      <c r="CD261" s="1061"/>
      <c r="CE261" s="1061"/>
      <c r="CF261" s="1061"/>
      <c r="CG261" s="1061"/>
      <c r="CH261" s="1061"/>
      <c r="CI261" s="1061"/>
      <c r="CJ261" s="1061"/>
      <c r="CK261" s="1061"/>
      <c r="CL261" s="1061"/>
      <c r="CM261" s="1061"/>
      <c r="CN261" s="1061"/>
      <c r="CO261" s="1061"/>
      <c r="CP261" s="1061"/>
      <c r="CQ261" s="1061"/>
      <c r="CR261" s="1061"/>
      <c r="CS261" s="1061"/>
      <c r="CT261" s="1061"/>
      <c r="CU261" s="1061"/>
      <c r="CV261" s="1061"/>
      <c r="CW261" s="1061"/>
      <c r="CX261" s="1061"/>
      <c r="CY261" s="1061"/>
      <c r="CZ261" s="1061"/>
      <c r="DA261" s="1061"/>
      <c r="DB261" s="1061"/>
      <c r="DC261" s="1061"/>
      <c r="DD261" s="1061"/>
      <c r="DE261" s="1061"/>
      <c r="DF261" s="1061"/>
      <c r="DG261" s="1061"/>
      <c r="DH261" s="1061"/>
      <c r="DI261" s="1061"/>
      <c r="DJ261" s="1061"/>
      <c r="DK261" s="1061"/>
      <c r="DL261" s="1061"/>
      <c r="DM261" s="1061"/>
      <c r="DN261" s="1061"/>
      <c r="DO261" s="1061"/>
      <c r="DP261" s="1061"/>
      <c r="DQ261" s="1061"/>
      <c r="DR261" s="1061"/>
      <c r="DS261" s="1061"/>
      <c r="DT261" s="1061"/>
      <c r="DU261" s="1061"/>
      <c r="DV261" s="1061"/>
      <c r="DW261" s="1061"/>
      <c r="DX261" s="1061"/>
      <c r="DY261" s="1061"/>
      <c r="DZ261" s="1061"/>
      <c r="EA261" s="1061"/>
      <c r="EB261" s="1061"/>
      <c r="EC261" s="1061"/>
      <c r="ED261" s="1061"/>
      <c r="EE261" s="1061"/>
      <c r="EF261" s="1061"/>
      <c r="EG261" s="1061"/>
      <c r="EH261" s="1061"/>
      <c r="EI261" s="1061"/>
      <c r="EJ261" s="1061"/>
      <c r="EK261" s="1061"/>
      <c r="EL261" s="1061"/>
      <c r="EM261" s="1061"/>
      <c r="EN261" s="1061"/>
      <c r="EO261" s="1061"/>
      <c r="EP261" s="1061"/>
      <c r="EQ261" s="1061"/>
      <c r="ER261" s="1061"/>
      <c r="ES261" s="1061"/>
      <c r="ET261" s="1061"/>
      <c r="EU261" s="1061"/>
      <c r="EV261" s="1061"/>
      <c r="EW261" s="1061"/>
      <c r="EX261" s="1061"/>
      <c r="EY261" s="1061"/>
      <c r="EZ261" s="1061"/>
      <c r="FA261" s="1061"/>
      <c r="FB261" s="1061"/>
      <c r="FC261" s="1061"/>
      <c r="FD261" s="1061"/>
      <c r="FE261" s="1061"/>
      <c r="FF261" s="1061"/>
      <c r="FG261" s="1061"/>
      <c r="FH261" s="1061"/>
      <c r="FI261" s="1061"/>
      <c r="FJ261" s="1061"/>
      <c r="FK261" s="1061"/>
      <c r="FL261" s="1168"/>
      <c r="FM261" s="1168"/>
      <c r="FN261" s="1168"/>
      <c r="FO261" s="1168"/>
      <c r="FP261" s="1168"/>
      <c r="FQ261" s="1168"/>
      <c r="FR261" s="1168"/>
      <c r="FS261" s="1168"/>
      <c r="FT261" s="1168"/>
      <c r="FU261" s="1168"/>
      <c r="FV261" s="1168"/>
    </row>
    <row r="262" spans="1:178" s="61" customFormat="1" ht="20.100000000000001" customHeight="1">
      <c r="A262" s="1551">
        <v>1</v>
      </c>
      <c r="B262" s="348">
        <v>41</v>
      </c>
      <c r="C262" s="60" t="s">
        <v>762</v>
      </c>
      <c r="D262" s="60"/>
      <c r="E262" s="60"/>
      <c r="F262" s="60"/>
      <c r="G262" s="104"/>
      <c r="H262" s="60"/>
      <c r="I262" s="1373"/>
      <c r="J262" s="1373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5"/>
      <c r="W262" s="105"/>
      <c r="X262" s="60"/>
      <c r="Y262" s="106"/>
      <c r="Z262" s="60"/>
      <c r="AA262" s="60"/>
      <c r="AB262" s="60"/>
      <c r="AC262" s="60"/>
      <c r="AD262" s="60"/>
      <c r="AE262" s="60"/>
      <c r="AF262" s="60"/>
      <c r="AG262" s="60"/>
      <c r="AH262" s="60"/>
      <c r="AI262" s="923"/>
      <c r="AJ262" s="60"/>
      <c r="AK262" s="60"/>
      <c r="AL262" s="60"/>
      <c r="AM262" s="60"/>
      <c r="AN262" s="60"/>
      <c r="AO262" s="60"/>
      <c r="AP262" s="923"/>
      <c r="AQ262" s="60"/>
      <c r="AR262" s="60"/>
      <c r="AS262" s="60"/>
      <c r="AT262" s="60"/>
      <c r="AU262" s="60"/>
      <c r="AV262" s="60"/>
      <c r="AW262" s="60"/>
      <c r="AX262" s="60"/>
      <c r="AY262" s="923"/>
      <c r="AZ262" s="923"/>
      <c r="BA262" s="60"/>
      <c r="BB262" s="60"/>
      <c r="BC262" s="830"/>
      <c r="BD262" s="923"/>
      <c r="BE262" s="830"/>
      <c r="BF262" s="830"/>
      <c r="BG262" s="830"/>
      <c r="BH262" s="830"/>
      <c r="BI262" s="830"/>
      <c r="BJ262" s="830"/>
      <c r="BK262" s="830"/>
      <c r="BL262" s="830"/>
      <c r="BM262" s="830"/>
      <c r="BN262" s="830"/>
      <c r="BO262" s="830"/>
      <c r="BP262" s="830"/>
      <c r="BQ262" s="830"/>
      <c r="BR262" s="830"/>
      <c r="BS262" s="830"/>
      <c r="BT262" s="830"/>
      <c r="BU262" s="830"/>
      <c r="BV262" s="830"/>
      <c r="BW262" s="830"/>
      <c r="BX262" s="830"/>
      <c r="BY262" s="830"/>
      <c r="BZ262" s="830"/>
      <c r="CA262" s="830"/>
      <c r="CB262" s="830"/>
      <c r="CC262" s="830"/>
      <c r="CD262" s="830"/>
      <c r="CE262" s="830"/>
      <c r="CF262" s="830"/>
      <c r="CG262" s="830"/>
      <c r="CH262" s="830"/>
      <c r="CI262" s="830"/>
      <c r="CJ262" s="830"/>
      <c r="CK262" s="830"/>
      <c r="CL262" s="830"/>
      <c r="CM262" s="830"/>
      <c r="CN262" s="830"/>
      <c r="CO262" s="830"/>
      <c r="CP262" s="830"/>
      <c r="CQ262" s="830"/>
      <c r="CR262" s="830"/>
      <c r="CS262" s="830"/>
      <c r="CT262" s="830"/>
      <c r="CU262" s="830"/>
      <c r="CV262" s="830"/>
      <c r="CW262" s="830"/>
      <c r="CX262" s="830"/>
      <c r="CY262" s="830"/>
      <c r="CZ262" s="830"/>
      <c r="DA262" s="830"/>
      <c r="DB262" s="830"/>
      <c r="DC262" s="830"/>
      <c r="DD262" s="830"/>
      <c r="DE262" s="830"/>
      <c r="DF262" s="830"/>
      <c r="DG262" s="830"/>
      <c r="DH262" s="830"/>
      <c r="DI262" s="830"/>
      <c r="DJ262" s="830"/>
      <c r="DK262" s="830"/>
      <c r="DL262" s="830"/>
      <c r="DM262" s="830"/>
      <c r="DN262" s="830"/>
      <c r="DO262" s="830"/>
      <c r="DP262" s="830"/>
      <c r="DQ262" s="830"/>
      <c r="DR262" s="830"/>
      <c r="DS262" s="830"/>
      <c r="DT262" s="830"/>
      <c r="DU262" s="830"/>
      <c r="DV262" s="830"/>
      <c r="DW262" s="830"/>
      <c r="DX262" s="830"/>
      <c r="DY262" s="830"/>
      <c r="DZ262" s="830"/>
      <c r="EA262" s="830"/>
      <c r="EB262" s="830"/>
      <c r="EC262" s="830"/>
      <c r="ED262" s="830"/>
      <c r="EE262" s="830"/>
      <c r="EF262" s="830"/>
      <c r="EG262" s="830"/>
      <c r="EH262" s="830"/>
      <c r="EI262" s="830"/>
      <c r="EJ262" s="830"/>
      <c r="EK262" s="830"/>
      <c r="EL262" s="830"/>
      <c r="EM262" s="830"/>
      <c r="EN262" s="830"/>
      <c r="EO262" s="830"/>
      <c r="EP262" s="830"/>
      <c r="EQ262" s="830"/>
      <c r="ER262" s="830"/>
      <c r="ES262" s="830"/>
      <c r="ET262" s="830"/>
      <c r="EU262" s="830"/>
      <c r="EV262" s="830"/>
      <c r="EW262" s="830"/>
      <c r="EX262" s="830"/>
      <c r="EY262" s="830"/>
      <c r="EZ262" s="830"/>
      <c r="FA262" s="830"/>
      <c r="FB262" s="830"/>
      <c r="FC262" s="830"/>
      <c r="FD262" s="830"/>
      <c r="FE262" s="830"/>
      <c r="FF262" s="830"/>
      <c r="FG262" s="830"/>
      <c r="FH262" s="830"/>
      <c r="FI262" s="830"/>
      <c r="FJ262" s="830"/>
      <c r="FK262" s="830"/>
      <c r="FL262" s="1167"/>
      <c r="FM262" s="1167"/>
      <c r="FN262" s="1167"/>
      <c r="FO262" s="1167"/>
      <c r="FP262" s="1167"/>
      <c r="FQ262" s="1167"/>
      <c r="FR262" s="1167"/>
      <c r="FS262" s="1167"/>
      <c r="FT262" s="1167"/>
      <c r="FU262" s="1167"/>
      <c r="FV262" s="1167"/>
    </row>
    <row r="263" spans="1:178" s="61" customFormat="1" ht="20.100000000000001" customHeight="1">
      <c r="A263" s="1551">
        <v>1</v>
      </c>
      <c r="B263" s="348">
        <v>42</v>
      </c>
      <c r="C263" s="2922" t="s">
        <v>825</v>
      </c>
      <c r="D263" s="2922"/>
      <c r="E263" s="2922"/>
      <c r="F263" s="2922"/>
      <c r="G263" s="2922"/>
      <c r="H263" s="2922"/>
      <c r="I263" s="2922"/>
      <c r="J263" s="2922"/>
      <c r="K263" s="2922"/>
      <c r="L263" s="2922"/>
      <c r="M263" s="2922"/>
      <c r="N263" s="2922"/>
      <c r="O263" s="2922"/>
      <c r="P263" s="2922"/>
      <c r="Q263" s="2922"/>
      <c r="R263" s="2922"/>
      <c r="S263" s="2922"/>
      <c r="T263" s="2922"/>
      <c r="U263" s="2922"/>
      <c r="V263" s="2922"/>
      <c r="W263" s="2922"/>
      <c r="X263" s="2922"/>
      <c r="Y263" s="2922"/>
      <c r="Z263" s="2922"/>
      <c r="AA263" s="2922"/>
      <c r="AB263" s="2922"/>
      <c r="AC263" s="2922"/>
      <c r="AD263" s="2922"/>
      <c r="AE263" s="2922"/>
      <c r="AF263" s="2922"/>
      <c r="AG263" s="2922"/>
      <c r="AH263" s="2922"/>
      <c r="AI263" s="2922"/>
      <c r="AJ263" s="2922"/>
      <c r="AK263" s="2922"/>
      <c r="AL263" s="2922"/>
      <c r="AM263" s="2922"/>
      <c r="AN263" s="2922"/>
      <c r="AO263" s="2922"/>
      <c r="AP263" s="2922"/>
      <c r="AQ263" s="2922"/>
      <c r="AR263" s="2922"/>
      <c r="AS263" s="2922"/>
      <c r="AT263" s="2922"/>
      <c r="AU263" s="2922"/>
      <c r="AV263" s="2922"/>
      <c r="AW263" s="2922"/>
      <c r="AX263" s="2922"/>
      <c r="AY263" s="2922"/>
      <c r="AZ263" s="2922"/>
      <c r="BA263" s="2922"/>
      <c r="BB263" s="2922"/>
      <c r="BC263" s="2922"/>
      <c r="BD263" s="2922"/>
      <c r="BE263" s="2922"/>
      <c r="BF263" s="2922"/>
      <c r="BG263" s="2922"/>
      <c r="BH263" s="2922"/>
      <c r="BI263" s="2922"/>
      <c r="BJ263" s="2922"/>
      <c r="BK263" s="2922"/>
      <c r="BL263" s="2922"/>
      <c r="BM263" s="2922"/>
      <c r="BN263" s="2922"/>
      <c r="BO263" s="2922"/>
      <c r="BP263" s="2922"/>
      <c r="BQ263" s="2922"/>
      <c r="BR263" s="2922"/>
      <c r="BS263" s="2922"/>
      <c r="BT263" s="2922"/>
      <c r="BU263" s="2922"/>
      <c r="BV263" s="2922"/>
      <c r="BW263" s="2922"/>
      <c r="BX263" s="2922"/>
      <c r="BY263" s="2922"/>
      <c r="BZ263" s="2922"/>
      <c r="CA263" s="2922"/>
      <c r="CB263" s="2922"/>
      <c r="CC263" s="2922"/>
      <c r="CD263" s="2922"/>
      <c r="CE263" s="2922"/>
      <c r="CF263" s="2922"/>
      <c r="CG263" s="2922"/>
      <c r="CH263" s="2922"/>
      <c r="CI263" s="2922"/>
      <c r="CJ263" s="2922"/>
      <c r="CK263" s="2922"/>
      <c r="CL263" s="2922"/>
      <c r="CM263" s="2922"/>
      <c r="CN263" s="2922"/>
      <c r="CO263" s="2922"/>
      <c r="CP263" s="2922"/>
      <c r="CQ263" s="2922"/>
      <c r="CR263" s="2922"/>
      <c r="CS263" s="2922"/>
      <c r="CT263" s="2922"/>
      <c r="CU263" s="2922"/>
      <c r="CV263" s="2922"/>
      <c r="CW263" s="2922"/>
      <c r="CX263" s="2922"/>
      <c r="CY263" s="2922"/>
      <c r="CZ263" s="2922"/>
      <c r="DA263" s="2922"/>
      <c r="DB263" s="2922"/>
      <c r="DC263" s="2922"/>
      <c r="DD263" s="2922"/>
      <c r="DE263" s="2922"/>
      <c r="DF263" s="2922"/>
      <c r="DG263" s="2922"/>
      <c r="DH263" s="2922"/>
      <c r="DI263" s="2922"/>
      <c r="DJ263" s="2922"/>
      <c r="DK263" s="2922"/>
      <c r="DL263" s="2922"/>
      <c r="DM263" s="2922"/>
      <c r="DN263" s="2922"/>
      <c r="DO263" s="2922"/>
      <c r="DP263" s="2922"/>
      <c r="DQ263" s="2922"/>
      <c r="DR263" s="2922"/>
      <c r="DS263" s="2922"/>
      <c r="DT263" s="2922"/>
      <c r="DU263" s="2922"/>
      <c r="DV263" s="2922"/>
      <c r="DW263" s="2922"/>
      <c r="DX263" s="2922"/>
      <c r="DY263" s="2922"/>
      <c r="DZ263" s="2922"/>
      <c r="EA263" s="2922"/>
      <c r="EB263" s="2922"/>
      <c r="EC263" s="2922"/>
      <c r="ED263" s="2922"/>
      <c r="EE263" s="2922"/>
      <c r="EF263" s="2922"/>
      <c r="EG263" s="2922"/>
      <c r="EH263" s="2922"/>
      <c r="EI263" s="2922"/>
      <c r="EJ263" s="2922"/>
      <c r="EK263" s="2922"/>
      <c r="EL263" s="2922"/>
      <c r="EM263" s="2922"/>
      <c r="EN263" s="2922"/>
      <c r="EO263" s="2922"/>
      <c r="EP263" s="2922"/>
      <c r="EQ263" s="2922"/>
      <c r="ER263" s="2922"/>
      <c r="ES263" s="2922"/>
      <c r="ET263" s="2922"/>
      <c r="EU263" s="2922"/>
      <c r="EV263" s="830"/>
      <c r="EW263" s="830"/>
      <c r="EX263" s="830"/>
      <c r="EY263" s="830"/>
      <c r="EZ263" s="830"/>
      <c r="FA263" s="830"/>
      <c r="FB263" s="830"/>
      <c r="FC263" s="830"/>
      <c r="FD263" s="830"/>
      <c r="FE263" s="830"/>
      <c r="FF263" s="830"/>
      <c r="FG263" s="830"/>
      <c r="FH263" s="830"/>
      <c r="FI263" s="830"/>
      <c r="FJ263" s="830"/>
      <c r="FK263" s="830"/>
      <c r="FL263" s="1167"/>
      <c r="FM263" s="1167"/>
      <c r="FN263" s="1167"/>
      <c r="FO263" s="1167"/>
      <c r="FP263" s="1167"/>
      <c r="FQ263" s="1167"/>
      <c r="FR263" s="1167"/>
      <c r="FS263" s="1167"/>
      <c r="FT263" s="1167"/>
      <c r="FU263" s="1167"/>
      <c r="FV263" s="1167"/>
    </row>
    <row r="264" spans="1:178" s="61" customFormat="1" ht="20.100000000000001" customHeight="1">
      <c r="A264" s="1551">
        <v>1</v>
      </c>
      <c r="B264" s="348">
        <v>43</v>
      </c>
      <c r="C264" s="60" t="s">
        <v>413</v>
      </c>
      <c r="D264" s="60"/>
      <c r="E264" s="60"/>
      <c r="F264" s="60"/>
      <c r="G264" s="60"/>
      <c r="H264" s="60"/>
      <c r="I264" s="1373"/>
      <c r="J264" s="1373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5"/>
      <c r="W264" s="105"/>
      <c r="X264" s="60"/>
      <c r="Y264" s="107"/>
      <c r="Z264" s="60"/>
      <c r="AA264" s="60"/>
      <c r="AB264" s="60"/>
      <c r="AC264" s="60"/>
      <c r="AD264" s="60"/>
      <c r="AE264" s="60"/>
      <c r="AF264" s="60"/>
      <c r="AG264" s="60"/>
      <c r="AH264" s="60"/>
      <c r="AI264" s="923"/>
      <c r="AJ264" s="60"/>
      <c r="AK264" s="60"/>
      <c r="AL264" s="60"/>
      <c r="AM264" s="60"/>
      <c r="AN264" s="60"/>
      <c r="AO264" s="60"/>
      <c r="AP264" s="923"/>
      <c r="AQ264" s="60"/>
      <c r="AR264" s="60"/>
      <c r="AS264" s="60"/>
      <c r="AT264" s="60"/>
      <c r="AU264" s="60"/>
      <c r="AV264" s="60"/>
      <c r="AW264" s="60"/>
      <c r="AX264" s="60"/>
      <c r="AY264" s="923"/>
      <c r="AZ264" s="923"/>
      <c r="BA264" s="60"/>
      <c r="BB264" s="60"/>
      <c r="BC264" s="830"/>
      <c r="BD264" s="923"/>
      <c r="BE264" s="830"/>
      <c r="BF264" s="830"/>
      <c r="BG264" s="830"/>
      <c r="BH264" s="830"/>
      <c r="BI264" s="830"/>
      <c r="BJ264" s="830"/>
      <c r="BK264" s="830"/>
      <c r="BL264" s="830"/>
      <c r="BM264" s="830"/>
      <c r="BN264" s="830"/>
      <c r="BO264" s="830"/>
      <c r="BP264" s="830"/>
      <c r="BQ264" s="830"/>
      <c r="BR264" s="830"/>
      <c r="BS264" s="830"/>
      <c r="BT264" s="830"/>
      <c r="BU264" s="830"/>
      <c r="BV264" s="830"/>
      <c r="BW264" s="830"/>
      <c r="BX264" s="830"/>
      <c r="BY264" s="830"/>
      <c r="BZ264" s="830"/>
      <c r="CA264" s="830"/>
      <c r="CB264" s="830"/>
      <c r="CC264" s="830"/>
      <c r="CD264" s="830"/>
      <c r="CE264" s="830"/>
      <c r="CF264" s="830"/>
      <c r="CG264" s="830"/>
      <c r="CH264" s="830"/>
      <c r="CI264" s="830"/>
      <c r="CJ264" s="830"/>
      <c r="CK264" s="830"/>
      <c r="CL264" s="830"/>
      <c r="CM264" s="830"/>
      <c r="CN264" s="830"/>
      <c r="CO264" s="830"/>
      <c r="CP264" s="830"/>
      <c r="CQ264" s="830"/>
      <c r="CR264" s="830"/>
      <c r="CS264" s="830"/>
      <c r="CT264" s="830"/>
      <c r="CU264" s="830"/>
      <c r="CV264" s="830"/>
      <c r="CW264" s="830"/>
      <c r="CX264" s="830"/>
      <c r="CY264" s="830"/>
      <c r="CZ264" s="830"/>
      <c r="DA264" s="830"/>
      <c r="DB264" s="830"/>
      <c r="DC264" s="830"/>
      <c r="DD264" s="830"/>
      <c r="DE264" s="830"/>
      <c r="DF264" s="830"/>
      <c r="DG264" s="830"/>
      <c r="DH264" s="830"/>
      <c r="DI264" s="830"/>
      <c r="DJ264" s="830"/>
      <c r="DK264" s="830"/>
      <c r="DL264" s="830"/>
      <c r="DM264" s="830"/>
      <c r="DN264" s="830"/>
      <c r="DO264" s="830"/>
      <c r="DP264" s="830"/>
      <c r="DQ264" s="830"/>
      <c r="DR264" s="830"/>
      <c r="DS264" s="830"/>
      <c r="DT264" s="830"/>
      <c r="DU264" s="830"/>
      <c r="DV264" s="830"/>
      <c r="DW264" s="830"/>
      <c r="DX264" s="830"/>
      <c r="DY264" s="830"/>
      <c r="DZ264" s="830"/>
      <c r="EA264" s="830"/>
      <c r="EB264" s="830"/>
      <c r="EC264" s="830"/>
      <c r="ED264" s="830"/>
      <c r="EE264" s="830"/>
      <c r="EF264" s="830"/>
      <c r="EG264" s="830"/>
      <c r="EH264" s="830"/>
      <c r="EI264" s="830"/>
      <c r="EJ264" s="830"/>
      <c r="EK264" s="830"/>
      <c r="EL264" s="830"/>
      <c r="EM264" s="830"/>
      <c r="EN264" s="830"/>
      <c r="EO264" s="830"/>
      <c r="EP264" s="830"/>
      <c r="EQ264" s="830"/>
      <c r="ER264" s="830"/>
      <c r="ES264" s="830"/>
      <c r="ET264" s="830"/>
      <c r="EU264" s="830"/>
      <c r="EV264" s="830"/>
      <c r="EW264" s="830"/>
      <c r="EX264" s="830"/>
      <c r="EY264" s="830"/>
      <c r="EZ264" s="830"/>
      <c r="FA264" s="830"/>
      <c r="FB264" s="830"/>
      <c r="FC264" s="830"/>
      <c r="FD264" s="830"/>
      <c r="FE264" s="830"/>
      <c r="FF264" s="830"/>
      <c r="FG264" s="830"/>
      <c r="FH264" s="830"/>
      <c r="FI264" s="830"/>
      <c r="FJ264" s="830"/>
      <c r="FK264" s="830"/>
      <c r="FL264" s="1167"/>
      <c r="FM264" s="1167"/>
      <c r="FN264" s="1167"/>
      <c r="FO264" s="1167"/>
      <c r="FP264" s="1167"/>
      <c r="FQ264" s="1167"/>
      <c r="FR264" s="1167"/>
      <c r="FS264" s="1167"/>
      <c r="FT264" s="1167"/>
      <c r="FU264" s="1167"/>
      <c r="FV264" s="1167"/>
    </row>
    <row r="265" spans="1:178" s="61" customFormat="1" ht="20.100000000000001" customHeight="1">
      <c r="A265" s="1551">
        <v>1</v>
      </c>
      <c r="B265" s="348">
        <v>44</v>
      </c>
      <c r="C265" s="2914" t="s">
        <v>419</v>
      </c>
      <c r="D265" s="2914"/>
      <c r="E265" s="2914"/>
      <c r="F265" s="2914"/>
      <c r="G265" s="2914"/>
      <c r="H265" s="2914"/>
      <c r="I265" s="2914"/>
      <c r="J265" s="2914"/>
      <c r="K265" s="2914"/>
      <c r="L265" s="2914"/>
      <c r="M265" s="2914"/>
      <c r="N265" s="2914"/>
      <c r="O265" s="2914"/>
      <c r="P265" s="2914"/>
      <c r="Q265" s="2914"/>
      <c r="R265" s="2914"/>
      <c r="S265" s="2914"/>
      <c r="T265" s="2914"/>
      <c r="U265" s="2914"/>
      <c r="V265" s="2914"/>
      <c r="W265" s="2914"/>
      <c r="X265" s="2914"/>
      <c r="Y265" s="2914"/>
      <c r="Z265" s="2914"/>
      <c r="AA265" s="2914"/>
      <c r="AB265" s="2914"/>
      <c r="AC265" s="2914"/>
      <c r="AD265" s="2914"/>
      <c r="AE265" s="2914"/>
      <c r="AF265" s="2914"/>
      <c r="AG265" s="2914"/>
      <c r="AH265" s="2914"/>
      <c r="AI265" s="2914"/>
      <c r="AJ265" s="2914"/>
      <c r="AK265" s="2914"/>
      <c r="AL265" s="2914"/>
      <c r="AM265" s="2914"/>
      <c r="AN265" s="2914"/>
      <c r="AO265" s="2914"/>
      <c r="AP265" s="2914"/>
      <c r="AQ265" s="2914"/>
      <c r="AR265" s="2914"/>
      <c r="AS265" s="2914"/>
      <c r="AT265" s="2914"/>
      <c r="AU265" s="2914"/>
      <c r="AV265" s="2914"/>
      <c r="AW265" s="2914"/>
      <c r="AX265" s="2914"/>
      <c r="AY265" s="2914"/>
      <c r="AZ265" s="2914"/>
      <c r="BA265" s="2914"/>
      <c r="BB265" s="2914"/>
      <c r="BC265" s="2914"/>
      <c r="BD265" s="2914"/>
      <c r="BE265" s="2914"/>
      <c r="BF265" s="2914"/>
      <c r="BG265" s="2914"/>
      <c r="BH265" s="2914"/>
      <c r="BI265" s="2914"/>
      <c r="BJ265" s="2914"/>
      <c r="BK265" s="2914"/>
      <c r="BL265" s="2914"/>
      <c r="BM265" s="2914"/>
      <c r="BN265" s="2914"/>
      <c r="BO265" s="2914"/>
      <c r="BP265" s="2914"/>
      <c r="BQ265" s="2914"/>
      <c r="BR265" s="2914"/>
      <c r="BS265" s="2914"/>
      <c r="BT265" s="2914"/>
      <c r="BU265" s="2914"/>
      <c r="BV265" s="2914"/>
      <c r="BW265" s="2914"/>
      <c r="BX265" s="2914"/>
      <c r="BY265" s="2914"/>
      <c r="BZ265" s="2914"/>
      <c r="CA265" s="2914"/>
      <c r="CB265" s="2914"/>
      <c r="CC265" s="2914"/>
      <c r="CD265" s="2914"/>
      <c r="CE265" s="2914"/>
      <c r="CF265" s="2914"/>
      <c r="CG265" s="2914"/>
      <c r="CH265" s="2914"/>
      <c r="CI265" s="2914"/>
      <c r="CJ265" s="2914"/>
      <c r="CK265" s="2914"/>
      <c r="CL265" s="2914"/>
      <c r="CM265" s="2914"/>
      <c r="CN265" s="2914"/>
      <c r="CO265" s="2914"/>
      <c r="CP265" s="2914"/>
      <c r="CQ265" s="2914"/>
      <c r="CR265" s="2914"/>
      <c r="CS265" s="2914"/>
      <c r="CT265" s="2914"/>
      <c r="CU265" s="2914"/>
      <c r="CV265" s="2914"/>
      <c r="CW265" s="2914"/>
      <c r="CX265" s="2914"/>
      <c r="CY265" s="2914"/>
      <c r="CZ265" s="2914"/>
      <c r="DA265" s="2914"/>
      <c r="DB265" s="2914"/>
      <c r="DC265" s="2914"/>
      <c r="DD265" s="2914"/>
      <c r="DE265" s="2914"/>
      <c r="DF265" s="2914"/>
      <c r="DG265" s="2914"/>
      <c r="DH265" s="2914"/>
      <c r="DI265" s="2914"/>
      <c r="DJ265" s="2914"/>
      <c r="DK265" s="2914"/>
      <c r="DL265" s="2914"/>
      <c r="DM265" s="2914"/>
      <c r="DN265" s="2914"/>
      <c r="DO265" s="2914"/>
      <c r="DP265" s="2914"/>
      <c r="DQ265" s="2914"/>
      <c r="DR265" s="2914"/>
      <c r="DS265" s="2914"/>
      <c r="DT265" s="2914"/>
      <c r="DU265" s="2914"/>
      <c r="DV265" s="2914"/>
      <c r="DW265" s="2914"/>
      <c r="DX265" s="2914"/>
      <c r="DY265" s="2914"/>
      <c r="DZ265" s="2914"/>
      <c r="EA265" s="2914"/>
      <c r="EB265" s="2914"/>
      <c r="EC265" s="2914"/>
      <c r="ED265" s="2914"/>
      <c r="EE265" s="2914"/>
      <c r="EF265" s="2914"/>
      <c r="EG265" s="2914"/>
      <c r="EH265" s="2914"/>
      <c r="EI265" s="2914"/>
      <c r="EJ265" s="2914"/>
      <c r="EK265" s="2914"/>
      <c r="EL265" s="2914"/>
      <c r="EM265" s="2914"/>
      <c r="EN265" s="2914"/>
      <c r="EO265" s="2914"/>
      <c r="EP265" s="2914"/>
      <c r="EQ265" s="830"/>
      <c r="ER265" s="830"/>
      <c r="ES265" s="830"/>
      <c r="ET265" s="830"/>
      <c r="EU265" s="830"/>
      <c r="EV265" s="830"/>
      <c r="EW265" s="830"/>
      <c r="EX265" s="830"/>
      <c r="EY265" s="830"/>
      <c r="EZ265" s="830"/>
      <c r="FA265" s="830"/>
      <c r="FB265" s="830"/>
      <c r="FC265" s="830"/>
      <c r="FD265" s="830"/>
      <c r="FE265" s="830"/>
      <c r="FF265" s="830"/>
      <c r="FG265" s="830"/>
      <c r="FH265" s="830"/>
      <c r="FI265" s="830"/>
      <c r="FJ265" s="830"/>
      <c r="FK265" s="830"/>
      <c r="FL265" s="1167"/>
      <c r="FM265" s="1167"/>
      <c r="FN265" s="1167"/>
      <c r="FO265" s="1167"/>
      <c r="FP265" s="1167"/>
      <c r="FQ265" s="1167"/>
      <c r="FR265" s="1167"/>
      <c r="FS265" s="1167"/>
      <c r="FT265" s="1167"/>
      <c r="FU265" s="1167"/>
      <c r="FV265" s="1167"/>
    </row>
    <row r="266" spans="1:178" s="61" customFormat="1" ht="20.100000000000001" customHeight="1">
      <c r="A266" s="1551">
        <v>1</v>
      </c>
      <c r="B266" s="348">
        <v>45</v>
      </c>
      <c r="C266" s="60" t="s">
        <v>112</v>
      </c>
      <c r="D266" s="60"/>
      <c r="E266" s="60"/>
      <c r="F266" s="60"/>
      <c r="G266" s="60"/>
      <c r="H266" s="60"/>
      <c r="I266" s="1373"/>
      <c r="J266" s="1373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5"/>
      <c r="W266" s="105"/>
      <c r="X266" s="60"/>
      <c r="Y266" s="105"/>
      <c r="Z266" s="60"/>
      <c r="AA266" s="60"/>
      <c r="AB266" s="60"/>
      <c r="AC266" s="60"/>
      <c r="AD266" s="60"/>
      <c r="AE266" s="60"/>
      <c r="AF266" s="60"/>
      <c r="AG266" s="60"/>
      <c r="AH266" s="60"/>
      <c r="AI266" s="923"/>
      <c r="AJ266" s="60"/>
      <c r="AK266" s="60"/>
      <c r="AL266" s="60"/>
      <c r="AM266" s="60"/>
      <c r="AN266" s="60"/>
      <c r="AO266" s="60"/>
      <c r="AP266" s="923"/>
      <c r="AQ266" s="60"/>
      <c r="AR266" s="60"/>
      <c r="AS266" s="60"/>
      <c r="AT266" s="60"/>
      <c r="AU266" s="60"/>
      <c r="AV266" s="60"/>
      <c r="AW266" s="60"/>
      <c r="AX266" s="60"/>
      <c r="AY266" s="923"/>
      <c r="AZ266" s="923"/>
      <c r="BA266" s="60"/>
      <c r="BB266" s="60"/>
      <c r="BC266" s="830"/>
      <c r="BD266" s="923"/>
      <c r="BE266" s="830"/>
      <c r="BF266" s="830"/>
      <c r="BG266" s="830"/>
      <c r="BH266" s="830"/>
      <c r="BI266" s="830"/>
      <c r="BJ266" s="830"/>
      <c r="BK266" s="830"/>
      <c r="BL266" s="830"/>
      <c r="BM266" s="830"/>
      <c r="BN266" s="830"/>
      <c r="BO266" s="830"/>
      <c r="BP266" s="830"/>
      <c r="BQ266" s="830"/>
      <c r="BR266" s="830"/>
      <c r="BS266" s="830"/>
      <c r="BT266" s="830"/>
      <c r="BU266" s="830"/>
      <c r="BV266" s="830"/>
      <c r="BW266" s="830"/>
      <c r="BX266" s="830"/>
      <c r="BY266" s="830"/>
      <c r="BZ266" s="830"/>
      <c r="CA266" s="830"/>
      <c r="CB266" s="830"/>
      <c r="CC266" s="830"/>
      <c r="CD266" s="830"/>
      <c r="CE266" s="830"/>
      <c r="CF266" s="830"/>
      <c r="CG266" s="830"/>
      <c r="CH266" s="830"/>
      <c r="CI266" s="830"/>
      <c r="CJ266" s="830"/>
      <c r="CK266" s="830"/>
      <c r="CL266" s="830"/>
      <c r="CM266" s="830"/>
      <c r="CN266" s="830"/>
      <c r="CO266" s="830"/>
      <c r="CP266" s="830"/>
      <c r="CQ266" s="830"/>
      <c r="CR266" s="830"/>
      <c r="CS266" s="830"/>
      <c r="CT266" s="830"/>
      <c r="CU266" s="830"/>
      <c r="CV266" s="830"/>
      <c r="CW266" s="830"/>
      <c r="CX266" s="830"/>
      <c r="CY266" s="830"/>
      <c r="CZ266" s="830"/>
      <c r="DA266" s="830"/>
      <c r="DB266" s="830"/>
      <c r="DC266" s="830"/>
      <c r="DD266" s="830"/>
      <c r="DE266" s="830"/>
      <c r="DF266" s="830"/>
      <c r="DG266" s="830"/>
      <c r="DH266" s="830"/>
      <c r="DI266" s="830"/>
      <c r="DJ266" s="830"/>
      <c r="DK266" s="830"/>
      <c r="DL266" s="830"/>
      <c r="DM266" s="830"/>
      <c r="DN266" s="830"/>
      <c r="DO266" s="830"/>
      <c r="DP266" s="830"/>
      <c r="DQ266" s="830"/>
      <c r="DR266" s="830"/>
      <c r="DS266" s="830"/>
      <c r="DT266" s="830"/>
      <c r="DU266" s="830"/>
      <c r="DV266" s="830"/>
      <c r="DW266" s="830"/>
      <c r="DX266" s="830"/>
      <c r="DY266" s="830"/>
      <c r="DZ266" s="830"/>
      <c r="EA266" s="830"/>
      <c r="EB266" s="830"/>
      <c r="EC266" s="830"/>
      <c r="ED266" s="830"/>
      <c r="EE266" s="830"/>
      <c r="EF266" s="830"/>
      <c r="EG266" s="830"/>
      <c r="EH266" s="830"/>
      <c r="EI266" s="830"/>
      <c r="EJ266" s="830"/>
      <c r="EK266" s="830"/>
      <c r="EL266" s="830"/>
      <c r="EM266" s="830"/>
      <c r="EN266" s="830"/>
      <c r="EO266" s="830"/>
      <c r="EP266" s="830"/>
      <c r="EQ266" s="830"/>
      <c r="ER266" s="830"/>
      <c r="ES266" s="830"/>
      <c r="ET266" s="830"/>
      <c r="EU266" s="830"/>
      <c r="EV266" s="830"/>
      <c r="EW266" s="830"/>
      <c r="EX266" s="830"/>
      <c r="EY266" s="830"/>
      <c r="EZ266" s="830"/>
      <c r="FA266" s="830"/>
      <c r="FB266" s="830"/>
      <c r="FC266" s="830"/>
      <c r="FD266" s="830"/>
      <c r="FE266" s="830"/>
      <c r="FF266" s="830"/>
      <c r="FG266" s="830"/>
      <c r="FH266" s="830"/>
      <c r="FI266" s="830"/>
      <c r="FJ266" s="830"/>
      <c r="FK266" s="830"/>
      <c r="FL266" s="1167"/>
      <c r="FM266" s="1167"/>
      <c r="FN266" s="1167"/>
      <c r="FO266" s="1167"/>
      <c r="FP266" s="1167"/>
      <c r="FQ266" s="1167"/>
      <c r="FR266" s="1167"/>
      <c r="FS266" s="1167"/>
      <c r="FT266" s="1167"/>
      <c r="FU266" s="1167"/>
      <c r="FV266" s="1167"/>
    </row>
    <row r="267" spans="1:178" s="1375" customFormat="1" ht="20.100000000000001" customHeight="1">
      <c r="A267" s="1554">
        <v>1</v>
      </c>
      <c r="B267" s="348">
        <v>46</v>
      </c>
      <c r="C267" s="60" t="s">
        <v>852</v>
      </c>
      <c r="D267" s="60"/>
      <c r="E267" s="60"/>
      <c r="F267" s="60"/>
      <c r="G267" s="60"/>
      <c r="H267" s="60"/>
      <c r="I267" s="1373"/>
      <c r="J267" s="1373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5"/>
      <c r="W267" s="105"/>
      <c r="X267" s="60"/>
      <c r="Y267" s="105"/>
      <c r="Z267" s="60"/>
      <c r="AA267" s="60"/>
      <c r="AB267" s="60"/>
      <c r="AC267" s="60"/>
      <c r="AD267" s="60"/>
      <c r="AE267" s="60"/>
      <c r="AF267" s="60"/>
      <c r="AG267" s="60"/>
      <c r="AH267" s="60"/>
      <c r="AI267" s="923"/>
      <c r="AJ267" s="60"/>
      <c r="AK267" s="60"/>
      <c r="AL267" s="60"/>
      <c r="AM267" s="60"/>
      <c r="AN267" s="60"/>
      <c r="AO267" s="60"/>
      <c r="AP267" s="923"/>
      <c r="AQ267" s="60"/>
      <c r="AR267" s="60"/>
      <c r="AS267" s="60"/>
      <c r="AT267" s="60"/>
      <c r="AU267" s="60"/>
      <c r="AV267" s="60"/>
      <c r="AW267" s="60"/>
      <c r="AX267" s="60"/>
      <c r="AY267" s="923"/>
      <c r="AZ267" s="923"/>
      <c r="BA267" s="60"/>
      <c r="BB267" s="60"/>
      <c r="BC267" s="830"/>
      <c r="BD267" s="923"/>
      <c r="BE267" s="830"/>
      <c r="BF267" s="830"/>
      <c r="BG267" s="830"/>
      <c r="BH267" s="830"/>
      <c r="BI267" s="830"/>
      <c r="BJ267" s="830"/>
      <c r="BK267" s="830"/>
      <c r="BL267" s="830"/>
      <c r="BM267" s="830"/>
      <c r="BN267" s="830"/>
      <c r="BO267" s="830"/>
      <c r="BP267" s="830"/>
      <c r="BQ267" s="830"/>
      <c r="BR267" s="830"/>
      <c r="BS267" s="830"/>
      <c r="BT267" s="830"/>
      <c r="BU267" s="830"/>
      <c r="BV267" s="830"/>
      <c r="BW267" s="830"/>
      <c r="BX267" s="830"/>
      <c r="BY267" s="830"/>
      <c r="BZ267" s="830"/>
      <c r="CA267" s="830"/>
      <c r="CB267" s="830"/>
      <c r="CC267" s="830"/>
      <c r="CD267" s="830"/>
      <c r="CE267" s="830"/>
      <c r="CF267" s="830"/>
      <c r="CG267" s="830"/>
      <c r="CH267" s="830"/>
      <c r="CI267" s="830"/>
      <c r="CJ267" s="830"/>
      <c r="CK267" s="830"/>
      <c r="CL267" s="830"/>
      <c r="CM267" s="830"/>
      <c r="CN267" s="830"/>
      <c r="CO267" s="830"/>
      <c r="CP267" s="830"/>
      <c r="CQ267" s="830"/>
      <c r="CR267" s="830"/>
      <c r="CS267" s="830"/>
      <c r="CT267" s="830"/>
      <c r="CU267" s="830"/>
      <c r="CV267" s="830"/>
      <c r="CW267" s="830"/>
      <c r="CX267" s="830"/>
      <c r="CY267" s="830"/>
      <c r="CZ267" s="830"/>
      <c r="DA267" s="830"/>
      <c r="DB267" s="830"/>
      <c r="DC267" s="830"/>
      <c r="DD267" s="830"/>
      <c r="DE267" s="830"/>
      <c r="DF267" s="830"/>
      <c r="DG267" s="830"/>
      <c r="DH267" s="830"/>
      <c r="DI267" s="830"/>
      <c r="DJ267" s="830"/>
      <c r="DK267" s="830"/>
      <c r="DL267" s="830"/>
      <c r="DM267" s="830"/>
      <c r="DN267" s="830"/>
      <c r="DO267" s="830"/>
      <c r="DP267" s="830"/>
      <c r="DQ267" s="830"/>
      <c r="DR267" s="830"/>
      <c r="DS267" s="830"/>
      <c r="DT267" s="830"/>
      <c r="DU267" s="830"/>
      <c r="DV267" s="830"/>
      <c r="DW267" s="830"/>
      <c r="DX267" s="830"/>
      <c r="DY267" s="830"/>
      <c r="DZ267" s="830"/>
      <c r="EA267" s="830"/>
      <c r="EB267" s="830"/>
      <c r="EC267" s="830"/>
      <c r="ED267" s="830"/>
      <c r="EE267" s="830"/>
      <c r="EF267" s="830"/>
      <c r="EG267" s="830"/>
      <c r="EH267" s="830"/>
      <c r="EI267" s="830"/>
      <c r="EJ267" s="830"/>
      <c r="EK267" s="830"/>
      <c r="EL267" s="830"/>
      <c r="EM267" s="1061"/>
      <c r="EN267" s="1061"/>
      <c r="EO267" s="1061"/>
      <c r="EP267" s="1061"/>
      <c r="EQ267" s="1061"/>
      <c r="ER267" s="1061"/>
      <c r="ES267" s="1061"/>
      <c r="ET267" s="1061"/>
      <c r="EU267" s="1061"/>
      <c r="EV267" s="1061"/>
      <c r="EW267" s="1061"/>
      <c r="EX267" s="1061"/>
      <c r="EY267" s="1061"/>
      <c r="EZ267" s="1061"/>
      <c r="FA267" s="1061"/>
      <c r="FB267" s="1061"/>
      <c r="FC267" s="1061"/>
      <c r="FD267" s="1061"/>
      <c r="FE267" s="1061"/>
      <c r="FF267" s="1061"/>
      <c r="FG267" s="1061"/>
      <c r="FH267" s="1061"/>
      <c r="FI267" s="1061"/>
      <c r="FJ267" s="1061"/>
      <c r="FK267" s="1061"/>
      <c r="FL267" s="1168"/>
      <c r="FM267" s="1168"/>
      <c r="FN267" s="1168"/>
      <c r="FO267" s="1168"/>
      <c r="FP267" s="1168"/>
      <c r="FQ267" s="1168"/>
      <c r="FR267" s="1168"/>
      <c r="FS267" s="1168"/>
      <c r="FT267" s="1168"/>
      <c r="FU267" s="1168"/>
      <c r="FV267" s="1168"/>
    </row>
    <row r="268" spans="1:178" s="61" customFormat="1" ht="20.100000000000001" customHeight="1">
      <c r="A268" s="1551">
        <v>1</v>
      </c>
      <c r="B268" s="348">
        <v>47</v>
      </c>
      <c r="C268" s="60" t="s">
        <v>566</v>
      </c>
      <c r="D268" s="60"/>
      <c r="E268" s="60"/>
      <c r="F268" s="60"/>
      <c r="G268" s="60"/>
      <c r="H268" s="60"/>
      <c r="I268" s="1373"/>
      <c r="J268" s="1373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5"/>
      <c r="W268" s="105"/>
      <c r="X268" s="60"/>
      <c r="Y268" s="107"/>
      <c r="Z268" s="60"/>
      <c r="AA268" s="60"/>
      <c r="AB268" s="60"/>
      <c r="AC268" s="60"/>
      <c r="AD268" s="60"/>
      <c r="AE268" s="60"/>
      <c r="AF268" s="60"/>
      <c r="AG268" s="60"/>
      <c r="AH268" s="60"/>
      <c r="AI268" s="923"/>
      <c r="AJ268" s="60"/>
      <c r="AK268" s="60"/>
      <c r="AL268" s="60"/>
      <c r="AM268" s="60"/>
      <c r="AN268" s="60"/>
      <c r="AO268" s="60"/>
      <c r="AP268" s="923"/>
      <c r="AQ268" s="60"/>
      <c r="AR268" s="60"/>
      <c r="AS268" s="60"/>
      <c r="AT268" s="60"/>
      <c r="AU268" s="60"/>
      <c r="AV268" s="60"/>
      <c r="AW268" s="60"/>
      <c r="AX268" s="60"/>
      <c r="AY268" s="923"/>
      <c r="AZ268" s="923"/>
      <c r="BA268" s="60"/>
      <c r="BB268" s="60"/>
      <c r="BC268" s="830"/>
      <c r="BD268" s="923"/>
      <c r="BE268" s="830"/>
      <c r="BF268" s="830"/>
      <c r="BG268" s="830"/>
      <c r="BH268" s="830"/>
      <c r="BI268" s="830"/>
      <c r="BJ268" s="830"/>
      <c r="BK268" s="830"/>
      <c r="BL268" s="830"/>
      <c r="BM268" s="830"/>
      <c r="BN268" s="830"/>
      <c r="BO268" s="830"/>
      <c r="BP268" s="830"/>
      <c r="BQ268" s="830"/>
      <c r="BR268" s="830"/>
      <c r="BS268" s="830"/>
      <c r="BT268" s="830"/>
      <c r="BU268" s="830"/>
      <c r="BV268" s="830"/>
      <c r="BW268" s="830"/>
      <c r="BX268" s="830"/>
      <c r="BY268" s="830"/>
      <c r="BZ268" s="830"/>
      <c r="CA268" s="830"/>
      <c r="CB268" s="830"/>
      <c r="CC268" s="830"/>
      <c r="CD268" s="830"/>
      <c r="CE268" s="830"/>
      <c r="CF268" s="830"/>
      <c r="CG268" s="830"/>
      <c r="CH268" s="830"/>
      <c r="CI268" s="830"/>
      <c r="CJ268" s="830"/>
      <c r="CK268" s="830"/>
      <c r="CL268" s="830"/>
      <c r="CM268" s="830"/>
      <c r="CN268" s="830"/>
      <c r="CO268" s="830"/>
      <c r="CP268" s="830"/>
      <c r="CQ268" s="830"/>
      <c r="CR268" s="830"/>
      <c r="CS268" s="830"/>
      <c r="CT268" s="830"/>
      <c r="CU268" s="830"/>
      <c r="CV268" s="830"/>
      <c r="CW268" s="830"/>
      <c r="CX268" s="830"/>
      <c r="CY268" s="830"/>
      <c r="CZ268" s="830"/>
      <c r="DA268" s="830"/>
      <c r="DB268" s="830"/>
      <c r="DC268" s="830"/>
      <c r="DD268" s="830"/>
      <c r="DE268" s="830"/>
      <c r="DF268" s="830"/>
      <c r="DG268" s="830"/>
      <c r="DH268" s="830"/>
      <c r="DI268" s="830"/>
      <c r="DJ268" s="830"/>
      <c r="DK268" s="830"/>
      <c r="DL268" s="830"/>
      <c r="DM268" s="830"/>
      <c r="DN268" s="830"/>
      <c r="DO268" s="830"/>
      <c r="DP268" s="830"/>
      <c r="DQ268" s="830"/>
      <c r="DR268" s="830"/>
      <c r="DS268" s="830"/>
      <c r="DT268" s="830"/>
      <c r="DU268" s="830"/>
      <c r="DV268" s="830"/>
      <c r="DW268" s="830"/>
      <c r="DX268" s="830"/>
      <c r="DY268" s="830"/>
      <c r="DZ268" s="830"/>
      <c r="EA268" s="830"/>
      <c r="EB268" s="830"/>
      <c r="EC268" s="830"/>
      <c r="ED268" s="830"/>
      <c r="EE268" s="830"/>
      <c r="EF268" s="830"/>
      <c r="EG268" s="830"/>
      <c r="EH268" s="830"/>
      <c r="EI268" s="830"/>
      <c r="EJ268" s="830"/>
      <c r="EK268" s="830"/>
      <c r="EL268" s="830"/>
      <c r="EM268" s="830"/>
      <c r="EN268" s="830"/>
      <c r="EO268" s="830"/>
      <c r="EP268" s="830"/>
      <c r="EQ268" s="830"/>
      <c r="ER268" s="830"/>
      <c r="ES268" s="830"/>
      <c r="ET268" s="830"/>
      <c r="EU268" s="830"/>
      <c r="EV268" s="830"/>
      <c r="EW268" s="830"/>
      <c r="EX268" s="830"/>
      <c r="EY268" s="830"/>
      <c r="EZ268" s="830"/>
      <c r="FA268" s="830"/>
      <c r="FB268" s="830"/>
      <c r="FC268" s="830"/>
      <c r="FD268" s="830"/>
      <c r="FE268" s="830"/>
      <c r="FF268" s="830"/>
      <c r="FG268" s="830"/>
      <c r="FH268" s="830"/>
      <c r="FI268" s="830"/>
      <c r="FJ268" s="830"/>
      <c r="FK268" s="830"/>
      <c r="FL268" s="1167"/>
      <c r="FM268" s="1167"/>
      <c r="FN268" s="1167"/>
      <c r="FO268" s="1167"/>
      <c r="FP268" s="1167"/>
      <c r="FQ268" s="1167"/>
      <c r="FR268" s="1167"/>
      <c r="FS268" s="1167"/>
      <c r="FT268" s="1167"/>
      <c r="FU268" s="1167"/>
      <c r="FV268" s="1167"/>
    </row>
    <row r="269" spans="1:178" s="61" customFormat="1" ht="20.100000000000001" customHeight="1" thickBot="1">
      <c r="A269" s="1551">
        <v>1</v>
      </c>
      <c r="B269" s="1371">
        <v>48</v>
      </c>
      <c r="C269" s="2912" t="s">
        <v>20</v>
      </c>
      <c r="D269" s="2912"/>
      <c r="E269" s="2912"/>
      <c r="F269" s="2912"/>
      <c r="G269" s="2912"/>
      <c r="H269" s="2912"/>
      <c r="I269" s="2912"/>
      <c r="J269" s="2912"/>
      <c r="K269" s="2912"/>
      <c r="L269" s="2912"/>
      <c r="M269" s="2912"/>
      <c r="N269" s="2912"/>
      <c r="O269" s="2912"/>
      <c r="P269" s="2912"/>
      <c r="Q269" s="2912"/>
      <c r="R269" s="2912"/>
      <c r="S269" s="2912"/>
      <c r="T269" s="2912"/>
      <c r="U269" s="2912"/>
      <c r="V269" s="2912"/>
      <c r="W269" s="2912"/>
      <c r="X269" s="2912"/>
      <c r="Y269" s="2912"/>
      <c r="Z269" s="2912"/>
      <c r="AA269" s="2912"/>
      <c r="AB269" s="2912"/>
      <c r="AC269" s="2912"/>
      <c r="AD269" s="2912"/>
      <c r="AE269" s="2912"/>
      <c r="AF269" s="2912"/>
      <c r="AG269" s="2912"/>
      <c r="AH269" s="2912"/>
      <c r="AI269" s="2912"/>
      <c r="AJ269" s="2912"/>
      <c r="AK269" s="2912"/>
      <c r="AL269" s="2912"/>
      <c r="AM269" s="2912"/>
      <c r="AN269" s="2912"/>
      <c r="AO269" s="2912"/>
      <c r="AP269" s="2912"/>
      <c r="AQ269" s="2912"/>
      <c r="AR269" s="2912"/>
      <c r="AS269" s="2912"/>
      <c r="AT269" s="2912"/>
      <c r="AU269" s="2912"/>
      <c r="AV269" s="2912"/>
      <c r="AW269" s="2912"/>
      <c r="AX269" s="2912"/>
      <c r="AY269" s="2912"/>
      <c r="AZ269" s="2912"/>
      <c r="BA269" s="2912"/>
      <c r="BB269" s="2912"/>
      <c r="BC269" s="2912"/>
      <c r="BD269" s="2912"/>
      <c r="BE269" s="2912"/>
      <c r="BF269" s="2912"/>
      <c r="BG269" s="2912"/>
      <c r="BH269" s="2912"/>
      <c r="BI269" s="2912"/>
      <c r="BJ269" s="2912"/>
      <c r="BK269" s="2912"/>
      <c r="BL269" s="2912"/>
      <c r="BM269" s="2912"/>
      <c r="BN269" s="2912"/>
      <c r="BO269" s="2912"/>
      <c r="BP269" s="2912"/>
      <c r="BQ269" s="2912"/>
      <c r="BR269" s="2912"/>
      <c r="BS269" s="2912"/>
      <c r="BT269" s="2912"/>
      <c r="BU269" s="2912"/>
      <c r="BV269" s="2912"/>
      <c r="BW269" s="2912"/>
      <c r="BX269" s="2912"/>
      <c r="BY269" s="2912"/>
      <c r="BZ269" s="2912"/>
      <c r="CA269" s="2912"/>
      <c r="CB269" s="2912"/>
      <c r="CC269" s="2912"/>
      <c r="CD269" s="2912"/>
      <c r="CE269" s="2912"/>
      <c r="CF269" s="2912"/>
      <c r="CG269" s="2912"/>
      <c r="CH269" s="2912"/>
      <c r="CI269" s="2912"/>
      <c r="CJ269" s="2912"/>
      <c r="CK269" s="2912"/>
      <c r="CL269" s="2912"/>
      <c r="CM269" s="2912"/>
      <c r="CN269" s="2912"/>
      <c r="CO269" s="2912"/>
      <c r="CP269" s="2912"/>
      <c r="CQ269" s="2912"/>
      <c r="CR269" s="2912"/>
      <c r="CS269" s="2912"/>
      <c r="CT269" s="2912"/>
      <c r="CU269" s="2912"/>
      <c r="CV269" s="2912"/>
      <c r="CW269" s="2912"/>
      <c r="CX269" s="2912"/>
      <c r="CY269" s="2912"/>
      <c r="CZ269" s="2912"/>
      <c r="DA269" s="2912"/>
      <c r="DB269" s="2912"/>
      <c r="DC269" s="2912"/>
      <c r="DD269" s="2912"/>
      <c r="DE269" s="2912"/>
      <c r="DF269" s="2912"/>
      <c r="DG269" s="2912"/>
      <c r="DH269" s="2912"/>
      <c r="DI269" s="2912"/>
      <c r="DJ269" s="2912"/>
      <c r="DK269" s="2912"/>
      <c r="DL269" s="2912"/>
      <c r="DM269" s="2912"/>
      <c r="DN269" s="2912"/>
      <c r="DO269" s="2912"/>
      <c r="DP269" s="2912"/>
      <c r="DQ269" s="2912"/>
      <c r="DR269" s="2912"/>
      <c r="DS269" s="2912"/>
      <c r="DT269" s="2912"/>
      <c r="DU269" s="2912"/>
      <c r="DV269" s="2912"/>
      <c r="DW269" s="2912"/>
      <c r="DX269" s="2912"/>
      <c r="DY269" s="2912"/>
      <c r="DZ269" s="2912"/>
      <c r="EA269" s="2912"/>
      <c r="EB269" s="2912"/>
      <c r="EC269" s="2912"/>
      <c r="ED269" s="2912"/>
      <c r="EE269" s="2912"/>
      <c r="EF269" s="2912"/>
      <c r="EG269" s="2912"/>
      <c r="EH269" s="2912"/>
      <c r="EI269" s="2912"/>
      <c r="EJ269" s="2912"/>
      <c r="EK269" s="2912"/>
      <c r="EL269" s="2912"/>
      <c r="EM269" s="2912"/>
      <c r="EN269" s="2912"/>
      <c r="EO269" s="2912"/>
      <c r="EP269" s="2912"/>
      <c r="EQ269" s="960"/>
      <c r="ER269" s="960"/>
      <c r="ES269" s="960"/>
      <c r="ET269" s="960"/>
      <c r="EU269" s="960"/>
      <c r="EV269" s="960"/>
      <c r="EW269" s="960"/>
      <c r="EX269" s="960"/>
      <c r="EY269" s="960"/>
      <c r="EZ269" s="960"/>
      <c r="FA269" s="960"/>
      <c r="FB269" s="960"/>
      <c r="FC269" s="960"/>
      <c r="FD269" s="960"/>
      <c r="FE269" s="960"/>
      <c r="FF269" s="960"/>
      <c r="FG269" s="960"/>
      <c r="FH269" s="960"/>
      <c r="FI269" s="960"/>
      <c r="FJ269" s="960"/>
      <c r="FK269" s="960"/>
      <c r="FL269" s="1534"/>
      <c r="FM269" s="1534"/>
      <c r="FN269" s="1534"/>
      <c r="FO269" s="1534"/>
      <c r="FP269" s="1534"/>
      <c r="FQ269" s="1534"/>
      <c r="FR269" s="1534"/>
      <c r="FS269" s="1534"/>
      <c r="FT269" s="1534"/>
      <c r="FU269" s="1534"/>
      <c r="FV269" s="1167"/>
    </row>
    <row r="270" spans="1:178" s="61" customFormat="1" ht="12" customHeight="1">
      <c r="A270" s="1551">
        <v>1</v>
      </c>
      <c r="I270" s="1390"/>
      <c r="J270" s="139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1"/>
      <c r="W270" s="101"/>
      <c r="Y270" s="107"/>
      <c r="AI270" s="102"/>
      <c r="AP270" s="102"/>
      <c r="AY270" s="102"/>
      <c r="AZ270" s="102"/>
      <c r="BC270" s="103"/>
      <c r="BD270" s="102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103"/>
      <c r="DV270" s="103"/>
      <c r="DW270" s="103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3"/>
      <c r="FI270" s="103"/>
      <c r="FJ270" s="103"/>
      <c r="FK270" s="103"/>
      <c r="FL270" s="1535"/>
      <c r="FM270" s="1535"/>
      <c r="FN270" s="1535"/>
      <c r="FO270" s="1535"/>
      <c r="FP270" s="1535"/>
      <c r="FQ270" s="1535"/>
      <c r="FR270" s="1535"/>
      <c r="FS270" s="1535"/>
      <c r="FT270" s="1535"/>
      <c r="FU270" s="1535"/>
      <c r="FV270" s="1535"/>
    </row>
    <row r="271" spans="1:178">
      <c r="A271" s="1">
        <v>1</v>
      </c>
      <c r="Y271" s="107"/>
      <c r="BA271" s="61"/>
      <c r="BB271" s="61"/>
    </row>
    <row r="272" spans="1:178">
      <c r="A272" s="1">
        <v>1</v>
      </c>
      <c r="Y272" s="107"/>
      <c r="BA272" s="61"/>
      <c r="BB272" s="61"/>
    </row>
    <row r="273" spans="1:174">
      <c r="A273" s="1">
        <v>1</v>
      </c>
      <c r="Y273" s="107"/>
      <c r="BA273" s="61"/>
      <c r="BB273" s="61"/>
    </row>
    <row r="274" spans="1:174">
      <c r="A274" s="1">
        <v>1</v>
      </c>
      <c r="Y274" s="107"/>
      <c r="BA274" s="61"/>
      <c r="BB274" s="61"/>
      <c r="FO274" s="1596">
        <v>41944</v>
      </c>
      <c r="FP274" s="1596">
        <v>42279</v>
      </c>
    </row>
    <row r="275" spans="1:174">
      <c r="A275" s="1">
        <v>1</v>
      </c>
      <c r="Y275" s="107"/>
      <c r="BA275" s="61"/>
      <c r="BB275" s="61"/>
      <c r="FO275" s="1535">
        <v>1975.5</v>
      </c>
      <c r="FP275" s="1535">
        <v>1917.6</v>
      </c>
      <c r="FQ275" s="1535">
        <f>+FP275/FO275</f>
        <v>0.97069096431283219</v>
      </c>
      <c r="FR275" s="1535">
        <f>1-FQ275</f>
        <v>2.9309035687167806E-2</v>
      </c>
    </row>
    <row r="276" spans="1:174">
      <c r="A276" s="1">
        <v>1</v>
      </c>
      <c r="Y276" s="105"/>
      <c r="BA276" s="61"/>
      <c r="BB276" s="61"/>
    </row>
    <row r="277" spans="1:174">
      <c r="A277" s="1">
        <v>1</v>
      </c>
      <c r="Y277" s="107"/>
      <c r="BA277" s="61"/>
      <c r="BB277" s="61"/>
    </row>
    <row r="278" spans="1:174">
      <c r="A278" s="1">
        <v>1</v>
      </c>
      <c r="Y278" s="107"/>
      <c r="BA278" s="61"/>
      <c r="BB278" s="61"/>
    </row>
    <row r="279" spans="1:174">
      <c r="A279" s="1">
        <v>1</v>
      </c>
      <c r="Y279" s="107"/>
      <c r="BA279" s="61"/>
      <c r="BB279" s="61"/>
    </row>
    <row r="280" spans="1:174">
      <c r="A280" s="1">
        <v>1</v>
      </c>
      <c r="Y280" s="107"/>
      <c r="BA280" s="61"/>
      <c r="BB280" s="61"/>
    </row>
    <row r="281" spans="1:174">
      <c r="A281" s="1">
        <v>1</v>
      </c>
      <c r="Y281" s="107"/>
      <c r="BA281" s="61"/>
      <c r="BB281" s="61"/>
    </row>
    <row r="282" spans="1:174">
      <c r="A282" s="1">
        <v>1</v>
      </c>
      <c r="Y282" s="107"/>
      <c r="BA282" s="61"/>
      <c r="BB282" s="61"/>
    </row>
    <row r="283" spans="1:174">
      <c r="A283" s="1">
        <v>1</v>
      </c>
      <c r="Y283" s="107"/>
      <c r="BA283" s="61"/>
      <c r="BB283" s="61"/>
    </row>
    <row r="284" spans="1:174">
      <c r="A284" s="1">
        <v>1</v>
      </c>
      <c r="Y284" s="107"/>
      <c r="BA284" s="61"/>
      <c r="BB284" s="61"/>
    </row>
    <row r="285" spans="1:174">
      <c r="A285" s="1">
        <v>1</v>
      </c>
      <c r="Y285" s="107"/>
      <c r="BA285" s="61"/>
      <c r="BB285" s="61"/>
    </row>
    <row r="286" spans="1:174">
      <c r="A286" s="1">
        <v>1</v>
      </c>
      <c r="Y286" s="107"/>
      <c r="BA286" s="61"/>
      <c r="BB286" s="61"/>
    </row>
    <row r="287" spans="1:174">
      <c r="A287" s="1">
        <v>1</v>
      </c>
      <c r="Y287" s="107"/>
      <c r="BA287" s="61"/>
      <c r="BB287" s="61"/>
    </row>
    <row r="288" spans="1:174">
      <c r="A288" s="1">
        <v>1</v>
      </c>
      <c r="Y288" s="107"/>
      <c r="BA288" s="61"/>
      <c r="BB288" s="61"/>
    </row>
    <row r="289" spans="1:54">
      <c r="A289" s="1">
        <v>1</v>
      </c>
      <c r="Y289" s="107"/>
      <c r="BA289" s="61"/>
      <c r="BB289" s="61"/>
    </row>
    <row r="290" spans="1:54">
      <c r="A290" s="1">
        <v>1</v>
      </c>
      <c r="Y290" s="107"/>
      <c r="BA290" s="61"/>
      <c r="BB290" s="61"/>
    </row>
    <row r="291" spans="1:54">
      <c r="A291" s="1">
        <v>1</v>
      </c>
      <c r="Y291" s="107"/>
      <c r="BA291" s="61"/>
      <c r="BB291" s="61"/>
    </row>
    <row r="292" spans="1:54">
      <c r="A292" s="1">
        <v>1</v>
      </c>
      <c r="Y292" s="105"/>
      <c r="BA292" s="61"/>
      <c r="BB292" s="61"/>
    </row>
    <row r="293" spans="1:54">
      <c r="A293" s="1">
        <v>1</v>
      </c>
      <c r="Y293" s="107"/>
      <c r="BA293" s="61"/>
      <c r="BB293" s="61"/>
    </row>
    <row r="294" spans="1:54">
      <c r="A294" s="1">
        <v>1</v>
      </c>
      <c r="Y294" s="105"/>
      <c r="BA294" s="61"/>
      <c r="BB294" s="61"/>
    </row>
    <row r="295" spans="1:54">
      <c r="A295" s="1">
        <v>1</v>
      </c>
      <c r="Y295" s="105"/>
      <c r="BA295" s="61"/>
      <c r="BB295" s="61"/>
    </row>
    <row r="296" spans="1:54">
      <c r="A296" s="1">
        <v>1</v>
      </c>
      <c r="Y296" s="105"/>
      <c r="BA296" s="61"/>
      <c r="BB296" s="61"/>
    </row>
    <row r="297" spans="1:54">
      <c r="A297" s="1">
        <v>1</v>
      </c>
      <c r="Y297" s="108"/>
      <c r="BA297" s="61"/>
      <c r="BB297" s="61"/>
    </row>
    <row r="298" spans="1:54">
      <c r="A298" s="1">
        <v>1</v>
      </c>
      <c r="Y298" s="107"/>
      <c r="BA298" s="61"/>
      <c r="BB298" s="61"/>
    </row>
    <row r="299" spans="1:54">
      <c r="A299" s="1">
        <v>1</v>
      </c>
      <c r="Y299" s="107"/>
      <c r="BA299" s="61"/>
      <c r="BB299" s="61"/>
    </row>
    <row r="300" spans="1:54">
      <c r="A300" s="1">
        <v>1</v>
      </c>
      <c r="Y300" s="105"/>
      <c r="BA300" s="61"/>
      <c r="BB300" s="61"/>
    </row>
    <row r="301" spans="1:54">
      <c r="A301" s="1">
        <v>1</v>
      </c>
      <c r="Y301" s="105"/>
      <c r="BA301" s="61"/>
      <c r="BB301" s="61"/>
    </row>
    <row r="302" spans="1:54">
      <c r="A302" s="1">
        <v>1</v>
      </c>
      <c r="Y302" s="105"/>
      <c r="BA302" s="61"/>
      <c r="BB302" s="61"/>
    </row>
    <row r="303" spans="1:54">
      <c r="A303" s="1">
        <v>1</v>
      </c>
      <c r="Y303" s="105"/>
      <c r="BA303" s="61"/>
      <c r="BB303" s="61"/>
    </row>
    <row r="304" spans="1:54">
      <c r="A304" s="1">
        <v>1</v>
      </c>
      <c r="Y304" s="107"/>
      <c r="BA304" s="61"/>
      <c r="BB304" s="61"/>
    </row>
    <row r="305" spans="1:54">
      <c r="A305" s="1">
        <v>1</v>
      </c>
      <c r="Y305" s="105"/>
      <c r="BA305" s="61"/>
      <c r="BB305" s="61"/>
    </row>
    <row r="306" spans="1:54">
      <c r="A306" s="1">
        <v>1</v>
      </c>
      <c r="Y306" s="107"/>
      <c r="BA306" s="61"/>
      <c r="BB306" s="61"/>
    </row>
    <row r="307" spans="1:54">
      <c r="A307" s="1">
        <v>1</v>
      </c>
      <c r="Y307" s="105"/>
      <c r="BA307" s="61"/>
      <c r="BB307" s="61"/>
    </row>
    <row r="308" spans="1:54">
      <c r="A308" s="1">
        <v>1</v>
      </c>
      <c r="Y308" s="107"/>
      <c r="BA308" s="61"/>
      <c r="BB308" s="61"/>
    </row>
    <row r="309" spans="1:54">
      <c r="A309" s="1">
        <v>1</v>
      </c>
      <c r="Y309" s="105"/>
      <c r="BA309" s="61"/>
      <c r="BB309" s="61"/>
    </row>
    <row r="310" spans="1:54">
      <c r="A310" s="1">
        <v>1</v>
      </c>
      <c r="Y310" s="107"/>
      <c r="BA310" s="61"/>
      <c r="BB310" s="61"/>
    </row>
    <row r="311" spans="1:54">
      <c r="A311" s="1">
        <v>1</v>
      </c>
      <c r="Y311" s="105"/>
      <c r="BA311" s="61"/>
      <c r="BB311" s="61"/>
    </row>
    <row r="312" spans="1:54">
      <c r="A312" s="1">
        <v>1</v>
      </c>
      <c r="Y312" s="105"/>
      <c r="BA312" s="61"/>
      <c r="BB312" s="61"/>
    </row>
    <row r="313" spans="1:54">
      <c r="A313" s="1">
        <v>1</v>
      </c>
      <c r="Y313" s="105"/>
      <c r="BA313" s="61"/>
      <c r="BB313" s="61"/>
    </row>
    <row r="314" spans="1:54">
      <c r="A314" s="1">
        <v>1</v>
      </c>
      <c r="Y314" s="107"/>
      <c r="BA314" s="61"/>
      <c r="BB314" s="61"/>
    </row>
    <row r="315" spans="1:54">
      <c r="A315" s="1">
        <v>1</v>
      </c>
      <c r="Y315" s="108"/>
      <c r="BA315" s="61"/>
      <c r="BB315" s="61"/>
    </row>
    <row r="316" spans="1:54">
      <c r="A316" s="1">
        <v>1</v>
      </c>
      <c r="Y316" s="105"/>
      <c r="BA316" s="61"/>
      <c r="BB316" s="61"/>
    </row>
    <row r="317" spans="1:54">
      <c r="A317" s="1">
        <v>1</v>
      </c>
      <c r="Y317" s="107"/>
      <c r="BA317" s="61"/>
      <c r="BB317" s="61"/>
    </row>
    <row r="318" spans="1:54">
      <c r="A318" s="1">
        <v>1</v>
      </c>
      <c r="Y318" s="107"/>
      <c r="BA318" s="61"/>
      <c r="BB318" s="61"/>
    </row>
    <row r="319" spans="1:54">
      <c r="A319" s="1">
        <v>1</v>
      </c>
      <c r="Y319" s="107"/>
      <c r="BA319" s="61"/>
      <c r="BB319" s="61"/>
    </row>
    <row r="320" spans="1:54">
      <c r="A320" s="1">
        <v>1</v>
      </c>
      <c r="Y320" s="107"/>
      <c r="BA320" s="61"/>
      <c r="BB320" s="61"/>
    </row>
    <row r="321" spans="1:54">
      <c r="A321" s="1">
        <v>1</v>
      </c>
      <c r="Y321" s="107"/>
      <c r="BA321" s="61"/>
      <c r="BB321" s="61"/>
    </row>
    <row r="322" spans="1:54">
      <c r="A322" s="1">
        <v>1</v>
      </c>
      <c r="Y322" s="107"/>
      <c r="BA322" s="61"/>
      <c r="BB322" s="61"/>
    </row>
    <row r="323" spans="1:54">
      <c r="A323" s="1">
        <v>1</v>
      </c>
      <c r="Y323" s="107"/>
      <c r="BA323" s="61"/>
      <c r="BB323" s="61"/>
    </row>
    <row r="324" spans="1:54">
      <c r="A324" s="1">
        <v>1</v>
      </c>
      <c r="Y324" s="107"/>
      <c r="BA324" s="61"/>
      <c r="BB324" s="61"/>
    </row>
    <row r="325" spans="1:54">
      <c r="A325" s="1">
        <v>1</v>
      </c>
      <c r="Y325" s="107"/>
      <c r="BA325" s="61"/>
      <c r="BB325" s="61"/>
    </row>
    <row r="326" spans="1:54">
      <c r="A326" s="1">
        <v>1</v>
      </c>
      <c r="Y326" s="105"/>
      <c r="BA326" s="61"/>
      <c r="BB326" s="61"/>
    </row>
    <row r="327" spans="1:54">
      <c r="A327" s="1">
        <v>1</v>
      </c>
      <c r="Y327" s="105"/>
      <c r="BA327" s="61"/>
      <c r="BB327" s="61"/>
    </row>
    <row r="328" spans="1:54">
      <c r="A328" s="1">
        <v>1</v>
      </c>
      <c r="Y328" s="108"/>
      <c r="BA328" s="61"/>
      <c r="BB328" s="61"/>
    </row>
    <row r="329" spans="1:54">
      <c r="A329" s="1">
        <v>1</v>
      </c>
      <c r="Y329" s="105"/>
      <c r="BA329" s="61"/>
      <c r="BB329" s="61"/>
    </row>
    <row r="330" spans="1:54">
      <c r="A330" s="1">
        <v>1</v>
      </c>
      <c r="Y330" s="105"/>
      <c r="BA330" s="61"/>
      <c r="BB330" s="61"/>
    </row>
    <row r="331" spans="1:54">
      <c r="A331" s="1">
        <v>1</v>
      </c>
      <c r="Y331" s="105"/>
      <c r="BA331" s="61"/>
      <c r="BB331" s="61"/>
    </row>
    <row r="332" spans="1:54">
      <c r="A332" s="1">
        <v>1</v>
      </c>
      <c r="Y332" s="105"/>
      <c r="BA332" s="61"/>
      <c r="BB332" s="61"/>
    </row>
    <row r="333" spans="1:54">
      <c r="A333" s="1">
        <v>1</v>
      </c>
      <c r="Y333" s="108"/>
      <c r="BA333" s="61"/>
      <c r="BB333" s="61"/>
    </row>
    <row r="334" spans="1:54">
      <c r="A334" s="1">
        <v>1</v>
      </c>
      <c r="Y334" s="105"/>
      <c r="BA334" s="61"/>
      <c r="BB334" s="61"/>
    </row>
    <row r="335" spans="1:54">
      <c r="A335" s="1">
        <v>1</v>
      </c>
      <c r="Y335" s="107"/>
      <c r="BA335" s="61"/>
      <c r="BB335" s="61"/>
    </row>
    <row r="336" spans="1:54">
      <c r="A336" s="1">
        <v>1</v>
      </c>
      <c r="Y336" s="107"/>
      <c r="BA336" s="61"/>
      <c r="BB336" s="61"/>
    </row>
    <row r="337" spans="1:54">
      <c r="A337" s="1">
        <v>1</v>
      </c>
      <c r="Y337" s="107"/>
      <c r="BA337" s="61"/>
      <c r="BB337" s="61"/>
    </row>
    <row r="338" spans="1:54">
      <c r="A338" s="1">
        <v>1</v>
      </c>
      <c r="Y338" s="108"/>
      <c r="BA338" s="61"/>
      <c r="BB338" s="61"/>
    </row>
    <row r="339" spans="1:54">
      <c r="A339" s="1">
        <v>1</v>
      </c>
      <c r="Y339" s="105"/>
      <c r="BA339" s="61"/>
      <c r="BB339" s="61"/>
    </row>
    <row r="340" spans="1:54">
      <c r="Y340" s="105"/>
      <c r="BA340" s="61"/>
      <c r="BB340" s="61"/>
    </row>
    <row r="341" spans="1:54">
      <c r="Y341" s="107"/>
      <c r="BA341" s="61"/>
      <c r="BB341" s="61"/>
    </row>
    <row r="342" spans="1:54">
      <c r="Y342" s="105"/>
      <c r="BA342" s="61"/>
      <c r="BB342" s="61"/>
    </row>
    <row r="343" spans="1:54">
      <c r="Y343" s="105"/>
      <c r="BA343" s="61"/>
      <c r="BB343" s="61"/>
    </row>
    <row r="344" spans="1:54">
      <c r="Y344" s="107"/>
      <c r="BA344" s="61"/>
      <c r="BB344" s="61"/>
    </row>
    <row r="345" spans="1:54">
      <c r="Y345" s="107"/>
      <c r="BA345" s="61"/>
      <c r="BB345" s="61"/>
    </row>
    <row r="346" spans="1:54">
      <c r="Y346" s="105"/>
      <c r="BA346" s="61"/>
      <c r="BB346" s="61"/>
    </row>
    <row r="347" spans="1:54">
      <c r="Y347" s="107"/>
      <c r="BA347" s="61"/>
      <c r="BB347" s="61"/>
    </row>
    <row r="348" spans="1:54">
      <c r="Y348" s="107"/>
      <c r="BA348" s="61"/>
      <c r="BB348" s="61"/>
    </row>
    <row r="349" spans="1:54">
      <c r="Y349" s="107"/>
      <c r="BA349" s="61"/>
      <c r="BB349" s="61"/>
    </row>
    <row r="350" spans="1:54">
      <c r="Y350" s="105"/>
      <c r="BA350" s="61"/>
      <c r="BB350" s="61"/>
    </row>
    <row r="351" spans="1:54">
      <c r="Y351" s="107"/>
      <c r="BA351" s="61"/>
      <c r="BB351" s="61"/>
    </row>
    <row r="352" spans="1:54">
      <c r="Y352" s="107"/>
      <c r="BA352" s="61"/>
      <c r="BB352" s="61"/>
    </row>
    <row r="353" spans="25:54">
      <c r="Y353" s="107"/>
      <c r="BA353" s="61"/>
      <c r="BB353" s="61"/>
    </row>
    <row r="354" spans="25:54">
      <c r="Y354" s="107"/>
      <c r="BA354" s="61"/>
      <c r="BB354" s="61"/>
    </row>
    <row r="355" spans="25:54">
      <c r="Y355" s="108"/>
      <c r="BA355" s="61"/>
      <c r="BB355" s="61"/>
    </row>
    <row r="356" spans="25:54">
      <c r="Y356" s="105"/>
      <c r="BA356" s="61"/>
      <c r="BB356" s="61"/>
    </row>
    <row r="357" spans="25:54">
      <c r="Y357" s="105"/>
      <c r="BA357" s="61"/>
      <c r="BB357" s="61"/>
    </row>
    <row r="358" spans="25:54">
      <c r="Y358" s="108"/>
      <c r="BA358" s="61"/>
      <c r="BB358" s="61"/>
    </row>
    <row r="359" spans="25:54">
      <c r="Y359" s="107"/>
      <c r="BA359" s="61"/>
      <c r="BB359" s="61"/>
    </row>
    <row r="360" spans="25:54">
      <c r="Y360" s="105"/>
      <c r="BA360" s="61"/>
      <c r="BB360" s="61"/>
    </row>
    <row r="361" spans="25:54">
      <c r="Y361" s="105"/>
      <c r="BA361" s="61"/>
      <c r="BB361" s="61"/>
    </row>
    <row r="362" spans="25:54">
      <c r="Y362" s="105"/>
      <c r="BA362" s="61"/>
      <c r="BB362" s="61"/>
    </row>
    <row r="363" spans="25:54">
      <c r="Y363" s="108"/>
      <c r="BA363" s="61"/>
      <c r="BB363" s="61"/>
    </row>
    <row r="364" spans="25:54">
      <c r="Y364" s="105"/>
      <c r="BA364" s="61"/>
      <c r="BB364" s="61"/>
    </row>
    <row r="365" spans="25:54">
      <c r="Y365" s="108"/>
      <c r="BA365" s="61"/>
      <c r="BB365" s="61"/>
    </row>
    <row r="366" spans="25:54">
      <c r="Y366" s="107"/>
      <c r="BA366" s="61"/>
      <c r="BB366" s="61"/>
    </row>
    <row r="367" spans="25:54">
      <c r="Y367" s="105"/>
      <c r="BA367" s="61"/>
      <c r="BB367" s="61"/>
    </row>
    <row r="368" spans="25:54">
      <c r="Y368" s="107"/>
      <c r="BA368" s="61"/>
      <c r="BB368" s="61"/>
    </row>
    <row r="369" spans="25:54">
      <c r="Y369" s="107"/>
      <c r="BA369" s="61"/>
      <c r="BB369" s="61"/>
    </row>
    <row r="370" spans="25:54">
      <c r="Y370" s="107"/>
      <c r="BA370" s="61"/>
      <c r="BB370" s="61"/>
    </row>
    <row r="371" spans="25:54">
      <c r="Y371" s="107"/>
      <c r="BA371" s="61"/>
      <c r="BB371" s="61"/>
    </row>
    <row r="372" spans="25:54">
      <c r="Y372" s="107"/>
      <c r="BA372" s="61"/>
      <c r="BB372" s="61"/>
    </row>
    <row r="373" spans="25:54">
      <c r="Y373" s="106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5"/>
      <c r="BA376" s="61"/>
      <c r="BB376" s="61"/>
    </row>
    <row r="377" spans="25:54">
      <c r="Y377" s="105"/>
      <c r="BA377" s="61"/>
      <c r="BB377" s="61"/>
    </row>
    <row r="378" spans="25:54">
      <c r="Y378" s="106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5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7"/>
      <c r="BA385" s="61"/>
      <c r="BB385" s="61"/>
    </row>
    <row r="386" spans="25:54">
      <c r="Y386" s="107"/>
      <c r="BA386" s="61"/>
      <c r="BB386" s="61"/>
    </row>
    <row r="387" spans="25:54">
      <c r="Y387" s="105"/>
      <c r="BA387" s="61"/>
      <c r="BB387" s="61"/>
    </row>
    <row r="388" spans="25:54">
      <c r="Y388" s="105"/>
      <c r="BA388" s="61"/>
      <c r="BB388" s="61"/>
    </row>
    <row r="389" spans="25:54">
      <c r="Y389" s="105"/>
      <c r="BA389" s="61"/>
      <c r="BB389" s="61"/>
    </row>
    <row r="390" spans="25:54">
      <c r="Y390" s="106"/>
      <c r="BA390" s="61"/>
      <c r="BB390" s="61"/>
    </row>
    <row r="391" spans="25:54">
      <c r="Y391" s="105"/>
      <c r="BA391" s="61"/>
      <c r="BB391" s="61"/>
    </row>
    <row r="392" spans="25:54">
      <c r="Y392" s="105"/>
      <c r="BA392" s="61"/>
      <c r="BB392" s="61"/>
    </row>
    <row r="393" spans="25:54">
      <c r="Y393" s="105"/>
      <c r="BA393" s="61"/>
      <c r="BB393" s="61"/>
    </row>
    <row r="394" spans="25:54">
      <c r="Y394" s="105"/>
      <c r="BA394" s="61"/>
      <c r="BB394" s="61"/>
    </row>
    <row r="395" spans="25:54">
      <c r="Y395" s="106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5"/>
      <c r="BA398" s="61"/>
      <c r="BB398" s="61"/>
    </row>
    <row r="399" spans="25:54">
      <c r="Y399" s="105"/>
      <c r="BA399" s="61"/>
      <c r="BB399" s="61"/>
    </row>
    <row r="400" spans="25:54">
      <c r="Y400" s="104"/>
      <c r="BA400" s="61"/>
      <c r="BB400" s="61"/>
    </row>
    <row r="401" spans="25:54">
      <c r="Y401" s="106"/>
      <c r="BA401" s="61"/>
      <c r="BB401" s="61"/>
    </row>
    <row r="402" spans="25:54">
      <c r="Y402" s="60"/>
      <c r="BA402" s="61"/>
      <c r="BB402" s="61"/>
    </row>
    <row r="403" spans="25:54">
      <c r="Y403" s="60"/>
      <c r="BA403" s="61"/>
      <c r="BB403" s="61"/>
    </row>
    <row r="404" spans="25:54">
      <c r="Y404" s="60"/>
      <c r="BA404" s="61"/>
      <c r="BB404" s="61"/>
    </row>
    <row r="405" spans="25:54">
      <c r="Y405" s="60"/>
      <c r="BA405" s="61"/>
      <c r="BB405" s="61"/>
    </row>
    <row r="406" spans="25:54">
      <c r="Y406" s="106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7"/>
      <c r="BA411" s="61"/>
      <c r="BB411" s="61"/>
    </row>
    <row r="412" spans="25:54">
      <c r="Y412" s="107"/>
      <c r="BA412" s="61"/>
      <c r="BB412" s="61"/>
    </row>
    <row r="413" spans="25:54">
      <c r="Y413" s="107"/>
      <c r="BA413" s="61"/>
      <c r="BB413" s="61"/>
    </row>
    <row r="414" spans="25:54">
      <c r="Y414" s="105"/>
      <c r="BA414" s="61"/>
      <c r="BB414" s="61"/>
    </row>
    <row r="415" spans="25:54">
      <c r="Y415" s="107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106"/>
      <c r="BA432" s="61"/>
      <c r="BB432" s="61"/>
    </row>
    <row r="433" spans="25:54">
      <c r="Y433" s="106"/>
      <c r="BA433" s="61"/>
      <c r="BB433" s="61"/>
    </row>
    <row r="434" spans="25:54">
      <c r="Y434" s="106"/>
      <c r="BA434" s="61"/>
      <c r="BB434" s="61"/>
    </row>
    <row r="435" spans="25:54">
      <c r="Y435" s="106"/>
      <c r="BA435" s="61"/>
      <c r="BB435" s="61"/>
    </row>
    <row r="436" spans="25:54">
      <c r="Y436" s="106"/>
      <c r="BA436" s="61"/>
      <c r="BB436" s="61"/>
    </row>
    <row r="437" spans="25:54">
      <c r="Y437" s="106"/>
      <c r="BA437" s="61"/>
      <c r="BB437" s="61"/>
    </row>
    <row r="438" spans="25:54">
      <c r="Y438" s="106"/>
      <c r="BA438" s="61"/>
      <c r="BB438" s="61"/>
    </row>
    <row r="439" spans="25:54">
      <c r="Y439" s="106"/>
      <c r="BA439" s="61"/>
      <c r="BB439" s="61"/>
    </row>
    <row r="440" spans="25:54">
      <c r="Y440" s="106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Y443" s="60"/>
      <c r="BA443" s="61"/>
      <c r="BB443" s="61"/>
    </row>
    <row r="444" spans="25:54">
      <c r="Y444" s="60"/>
      <c r="BA444" s="61"/>
      <c r="BB444" s="61"/>
    </row>
    <row r="445" spans="25:54">
      <c r="Y445" s="60"/>
      <c r="BA445" s="61"/>
      <c r="BB445" s="61"/>
    </row>
    <row r="446" spans="25:54">
      <c r="Y446" s="60"/>
      <c r="BA446" s="61"/>
      <c r="BB446" s="61"/>
    </row>
    <row r="447" spans="25:54">
      <c r="Y447" s="60"/>
      <c r="BA447" s="61"/>
      <c r="BB447" s="61"/>
    </row>
    <row r="448" spans="25:54">
      <c r="Y448" s="60"/>
      <c r="BA448" s="61"/>
      <c r="BB448" s="61"/>
    </row>
    <row r="449" spans="25:178">
      <c r="Y449" s="60"/>
      <c r="BA449" s="61"/>
      <c r="BB449" s="61"/>
    </row>
    <row r="450" spans="25:178">
      <c r="Y450" s="60"/>
      <c r="BA450" s="61"/>
      <c r="BB450" s="61"/>
    </row>
    <row r="451" spans="25:178">
      <c r="Y451" s="60"/>
      <c r="BA451" s="61"/>
      <c r="BB451" s="61"/>
      <c r="FL451" s="1536"/>
      <c r="FM451" s="1537"/>
      <c r="FN451" s="1537"/>
      <c r="FO451" s="1537"/>
      <c r="FP451" s="1537"/>
      <c r="FQ451" s="1537"/>
      <c r="FR451" s="1537"/>
      <c r="FS451" s="1537"/>
      <c r="FT451" s="1537"/>
      <c r="FU451" s="1537"/>
      <c r="FV451" s="1557"/>
    </row>
    <row r="452" spans="25:178">
      <c r="BB452" s="102" t="s">
        <v>882</v>
      </c>
      <c r="FL452" s="1538"/>
      <c r="FM452" s="1539"/>
      <c r="FN452" s="1539"/>
      <c r="FO452" s="1539"/>
      <c r="FP452" s="1539"/>
      <c r="FQ452" s="1539"/>
      <c r="FR452" s="1539"/>
      <c r="FS452" s="1539"/>
      <c r="FT452" s="1539"/>
      <c r="FU452" s="1539"/>
      <c r="FV452" s="1557"/>
    </row>
    <row r="453" spans="25:178">
      <c r="DO453" s="103" t="s">
        <v>882</v>
      </c>
      <c r="DP453" s="103" t="s">
        <v>882</v>
      </c>
    </row>
    <row r="457" spans="25:178">
      <c r="FL457" s="1563"/>
      <c r="FM457" s="1563"/>
      <c r="FN457" s="1563"/>
      <c r="FO457" s="1563"/>
      <c r="FP457" s="1563"/>
      <c r="FQ457" s="1563"/>
      <c r="FR457" s="1563"/>
      <c r="FS457" s="1563"/>
      <c r="FT457" s="1563"/>
      <c r="FU457" s="1563"/>
      <c r="FV457" s="1594"/>
    </row>
    <row r="458" spans="25:178">
      <c r="FL458" s="1563"/>
      <c r="FM458" s="1563"/>
      <c r="FN458" s="1563"/>
      <c r="FO458" s="1563"/>
      <c r="FP458" s="1563"/>
      <c r="FQ458" s="1563"/>
      <c r="FR458" s="1563"/>
      <c r="FS458" s="1563"/>
      <c r="FT458" s="1563"/>
      <c r="FU458" s="1563"/>
      <c r="FV458" s="1594"/>
    </row>
  </sheetData>
  <mergeCells count="30">
    <mergeCell ref="C269:EP269"/>
    <mergeCell ref="C249:EU249"/>
    <mergeCell ref="C265:EP265"/>
    <mergeCell ref="J11:J14"/>
    <mergeCell ref="C258:CL258"/>
    <mergeCell ref="C256:AL256"/>
    <mergeCell ref="J157:J159"/>
    <mergeCell ref="C257:CL257"/>
    <mergeCell ref="C263:EU263"/>
    <mergeCell ref="J31:J34"/>
    <mergeCell ref="EN3:EY3"/>
    <mergeCell ref="CR3:DC3"/>
    <mergeCell ref="G3:G4"/>
    <mergeCell ref="CF3:CQ3"/>
    <mergeCell ref="D3:D4"/>
    <mergeCell ref="DP3:DZ3"/>
    <mergeCell ref="X3:AI3"/>
    <mergeCell ref="EB3:EM3"/>
    <mergeCell ref="B3:C3"/>
    <mergeCell ref="DD3:DO3"/>
    <mergeCell ref="E3:E4"/>
    <mergeCell ref="AV3:BG3"/>
    <mergeCell ref="AO3:AU3"/>
    <mergeCell ref="I3:I4"/>
    <mergeCell ref="J3:J4"/>
    <mergeCell ref="L3:W3"/>
    <mergeCell ref="F3:F4"/>
    <mergeCell ref="BT3:CE3"/>
    <mergeCell ref="BH3:BS3"/>
    <mergeCell ref="H3:H4"/>
  </mergeCells>
  <phoneticPr fontId="0" type="noConversion"/>
  <hyperlinks>
    <hyperlink ref="M142" r:id="rId1" display="=@REDONDEAR(+(L66+N66)/2;2)"/>
    <hyperlink ref="M107" r:id="rId2" display="=@REDONDEAR(+(L66+N66)/2;2)"/>
    <hyperlink ref="M70" r:id="rId3" display="=@REDONDEAR(+(L66+N66)/2;2)"/>
    <hyperlink ref="M342" r:id="rId4" display="A:\comunes\aviso.asp"/>
    <hyperlink ref="L342" r:id="rId5" display="A:\mapa\mapae.asp"/>
    <hyperlink ref="K342" r:id="rId6" display="A:\english\default.asp"/>
    <hyperlink ref="J342" r:id="rId7" display="A:\comunes\p0004.asp"/>
  </hyperlinks>
  <printOptions horizontalCentered="1"/>
  <pageMargins left="0.19685039370078741" right="0.19685039370078741" top="0.98425196850393704" bottom="0.78740157480314965" header="0.59055118110236227" footer="0.19685039370078741"/>
  <pageSetup paperSize="5" scale="55" fitToHeight="6" orientation="landscape" r:id="rId8"/>
  <headerFooter alignWithMargins="0">
    <oddHeader>&amp;C&amp;11COMISIÓN PERMANENTE DE ENCUESTA Y SEGUIMIENTO DE PRECIOSREDETERMINACIÓN DE PRECIOS s/DECRETO ACUERDO Nº 23/3(S.O.)-2002  y  Res. Nº 795/3(S.O.)</oddHeader>
    <oddFooter>&amp;CPágina &amp;P de &amp;N</oddFooter>
  </headerFooter>
  <rowBreaks count="6" manualBreakCount="6">
    <brk id="46" min="1" max="176" man="1"/>
    <brk id="82" min="1" max="176" man="1"/>
    <brk id="123" min="1" max="176" man="1"/>
    <brk id="162" min="1" max="176" man="1"/>
    <brk id="192" min="1" max="176" man="1"/>
    <brk id="219" min="1" max="17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60"/>
  </sheetPr>
  <dimension ref="B1:EJ75"/>
  <sheetViews>
    <sheetView showGridLines="0" view="pageBreakPreview" zoomScale="70" zoomScaleNormal="65" zoomScaleSheetLayoutView="70" workbookViewId="0">
      <selection activeCell="EL81" sqref="EL81"/>
    </sheetView>
  </sheetViews>
  <sheetFormatPr baseColWidth="10" defaultColWidth="11.42578125" defaultRowHeight="15.75"/>
  <cols>
    <col min="1" max="1" width="11.42578125" style="2"/>
    <col min="2" max="2" width="5.5703125" style="2" customWidth="1"/>
    <col min="3" max="3" width="52.5703125" style="132" customWidth="1"/>
    <col min="4" max="4" width="11.28515625" style="132" customWidth="1"/>
    <col min="5" max="5" width="10.5703125" style="132" hidden="1" customWidth="1"/>
    <col min="6" max="7" width="9.7109375" style="132" hidden="1" customWidth="1"/>
    <col min="8" max="11" width="10.5703125" style="132" hidden="1" customWidth="1"/>
    <col min="12" max="12" width="10.28515625" style="132" hidden="1" customWidth="1"/>
    <col min="13" max="15" width="10.5703125" style="132" hidden="1" customWidth="1"/>
    <col min="16" max="16" width="10.28515625" style="132" hidden="1" customWidth="1"/>
    <col min="17" max="17" width="10.5703125" style="132" hidden="1" customWidth="1"/>
    <col min="18" max="18" width="11.85546875" style="132" hidden="1" customWidth="1"/>
    <col min="19" max="23" width="10.5703125" style="132" hidden="1" customWidth="1"/>
    <col min="24" max="25" width="10.42578125" style="132" hidden="1" customWidth="1"/>
    <col min="26" max="26" width="10.5703125" style="132" hidden="1" customWidth="1"/>
    <col min="27" max="28" width="12.85546875" style="132" hidden="1" customWidth="1"/>
    <col min="29" max="33" width="13" style="132" hidden="1" customWidth="1"/>
    <col min="34" max="36" width="9.85546875" style="132" hidden="1" customWidth="1"/>
    <col min="37" max="38" width="9" style="132" hidden="1" customWidth="1"/>
    <col min="39" max="39" width="9.5703125" style="132" hidden="1" customWidth="1"/>
    <col min="40" max="40" width="9" style="132" hidden="1" customWidth="1"/>
    <col min="41" max="42" width="9.42578125" style="132" hidden="1" customWidth="1"/>
    <col min="43" max="44" width="9.28515625" style="132" hidden="1" customWidth="1"/>
    <col min="45" max="45" width="8.85546875" style="132" hidden="1" customWidth="1"/>
    <col min="46" max="46" width="9.140625" style="132" hidden="1" customWidth="1"/>
    <col min="47" max="51" width="9.28515625" style="132" hidden="1" customWidth="1"/>
    <col min="52" max="52" width="9.7109375" style="132" hidden="1" customWidth="1"/>
    <col min="53" max="53" width="9.140625" style="132" hidden="1" customWidth="1"/>
    <col min="54" max="54" width="10.28515625" style="132" hidden="1" customWidth="1"/>
    <col min="55" max="57" width="9.5703125" style="132" hidden="1" customWidth="1"/>
    <col min="58" max="65" width="11.42578125" style="132" hidden="1" customWidth="1"/>
    <col min="66" max="67" width="9" style="132" hidden="1" customWidth="1"/>
    <col min="68" max="68" width="9.42578125" style="132" hidden="1" customWidth="1"/>
    <col min="69" max="69" width="9.5703125" style="132" hidden="1" customWidth="1"/>
    <col min="70" max="70" width="9.85546875" style="132" hidden="1" customWidth="1"/>
    <col min="71" max="71" width="8.28515625" style="132" hidden="1" customWidth="1"/>
    <col min="72" max="72" width="9.42578125" style="132" hidden="1" customWidth="1"/>
    <col min="73" max="73" width="8.7109375" style="132" hidden="1" customWidth="1"/>
    <col min="74" max="74" width="8.5703125" style="132" hidden="1" customWidth="1"/>
    <col min="75" max="75" width="9" style="132" hidden="1" customWidth="1"/>
    <col min="76" max="76" width="10" style="132" hidden="1" customWidth="1"/>
    <col min="77" max="77" width="8.85546875" style="132" hidden="1" customWidth="1"/>
    <col min="78" max="78" width="9" style="132" hidden="1" customWidth="1"/>
    <col min="79" max="79" width="8.5703125" style="132" hidden="1" customWidth="1"/>
    <col min="80" max="80" width="8.85546875" style="132" hidden="1" customWidth="1"/>
    <col min="81" max="82" width="8.7109375" style="132" hidden="1" customWidth="1"/>
    <col min="83" max="83" width="9.140625" style="132" hidden="1" customWidth="1"/>
    <col min="84" max="84" width="9" style="132" hidden="1" customWidth="1"/>
    <col min="85" max="87" width="8.5703125" style="132" hidden="1" customWidth="1"/>
    <col min="88" max="88" width="8.85546875" style="132" hidden="1" customWidth="1"/>
    <col min="89" max="89" width="7.85546875" style="2" hidden="1" customWidth="1"/>
    <col min="90" max="90" width="8.7109375" style="2" hidden="1" customWidth="1"/>
    <col min="91" max="91" width="8.5703125" style="2" hidden="1" customWidth="1"/>
    <col min="92" max="92" width="8.140625" style="2" hidden="1" customWidth="1"/>
    <col min="93" max="93" width="8.85546875" style="2" hidden="1" customWidth="1"/>
    <col min="94" max="95" width="7.5703125" style="2" hidden="1" customWidth="1"/>
    <col min="96" max="96" width="8" style="2" hidden="1" customWidth="1"/>
    <col min="97" max="97" width="8.140625" style="2" hidden="1" customWidth="1"/>
    <col min="98" max="98" width="8.28515625" style="2" hidden="1" customWidth="1"/>
    <col min="99" max="99" width="8.140625" style="2" hidden="1" customWidth="1"/>
    <col min="100" max="100" width="8.5703125" style="2" hidden="1" customWidth="1"/>
    <col min="101" max="101" width="8.140625" style="2" hidden="1" customWidth="1"/>
    <col min="102" max="102" width="7.7109375" style="2" hidden="1" customWidth="1"/>
    <col min="103" max="103" width="7.85546875" style="2" hidden="1" customWidth="1"/>
    <col min="104" max="104" width="8.7109375" style="2" hidden="1" customWidth="1"/>
    <col min="105" max="106" width="8.5703125" style="2" hidden="1" customWidth="1"/>
    <col min="107" max="107" width="8.140625" style="2" hidden="1" customWidth="1"/>
    <col min="108" max="110" width="8.85546875" style="2" hidden="1" customWidth="1"/>
    <col min="111" max="111" width="9.42578125" style="2" hidden="1" customWidth="1"/>
    <col min="112" max="112" width="9" style="2" hidden="1" customWidth="1"/>
    <col min="113" max="113" width="8.7109375" style="2" hidden="1" customWidth="1"/>
    <col min="114" max="114" width="9.5703125" style="2" hidden="1" customWidth="1"/>
    <col min="115" max="117" width="10.140625" style="2" hidden="1" customWidth="1"/>
    <col min="118" max="118" width="10.85546875" style="2" hidden="1" customWidth="1"/>
    <col min="119" max="119" width="10.28515625" style="2" hidden="1" customWidth="1"/>
    <col min="120" max="120" width="11.85546875" style="2" hidden="1" customWidth="1"/>
    <col min="121" max="121" width="10.7109375" style="2" hidden="1" customWidth="1"/>
    <col min="122" max="122" width="9.5703125" style="2" hidden="1" customWidth="1"/>
    <col min="123" max="123" width="8.7109375" style="2" hidden="1" customWidth="1"/>
    <col min="124" max="126" width="10" style="2" hidden="1" customWidth="1"/>
    <col min="127" max="127" width="9.85546875" style="2" hidden="1" customWidth="1"/>
    <col min="128" max="128" width="9" style="2" customWidth="1"/>
    <col min="129" max="129" width="9.140625" style="2" customWidth="1"/>
    <col min="130" max="130" width="9.5703125" style="2" customWidth="1"/>
    <col min="131" max="131" width="8.85546875" style="2" customWidth="1"/>
    <col min="132" max="132" width="10.140625" style="2" customWidth="1"/>
    <col min="133" max="133" width="9.140625" style="2" customWidth="1"/>
    <col min="134" max="134" width="9.5703125" style="2" customWidth="1"/>
    <col min="135" max="135" width="8.85546875" style="2" customWidth="1"/>
    <col min="136" max="136" width="9" style="2" customWidth="1"/>
    <col min="137" max="137" width="9.140625" style="2" customWidth="1"/>
    <col min="138" max="138" width="9" style="2" customWidth="1"/>
    <col min="139" max="139" width="9.140625" style="2" customWidth="1"/>
    <col min="140" max="140" width="10" style="2" customWidth="1"/>
    <col min="141" max="141" width="3.42578125" style="2" customWidth="1"/>
    <col min="142" max="16384" width="11.42578125" style="2"/>
  </cols>
  <sheetData>
    <row r="1" spans="3:140" ht="23.25" customHeight="1">
      <c r="C1" s="132" t="s">
        <v>591</v>
      </c>
      <c r="D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3:140">
      <c r="C2" s="132" t="s">
        <v>593</v>
      </c>
      <c r="D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3:140">
      <c r="C3" s="132" t="s">
        <v>595</v>
      </c>
    </row>
    <row r="4" spans="3:140">
      <c r="D4" s="364" t="s">
        <v>596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</row>
    <row r="6" spans="3:140">
      <c r="C6" s="3" t="s">
        <v>601</v>
      </c>
    </row>
    <row r="7" spans="3:140" ht="6" customHeight="1">
      <c r="C7" s="3"/>
    </row>
    <row r="8" spans="3:140">
      <c r="C8" s="132" t="s">
        <v>602</v>
      </c>
    </row>
    <row r="9" spans="3:140">
      <c r="C9" s="132" t="s">
        <v>603</v>
      </c>
    </row>
    <row r="10" spans="3:140" ht="6" customHeight="1"/>
    <row r="11" spans="3:140" ht="12.95" customHeight="1"/>
    <row r="12" spans="3:140">
      <c r="C12" s="291" t="s">
        <v>604</v>
      </c>
      <c r="D12" s="409"/>
      <c r="E12" s="409"/>
      <c r="F12" s="409"/>
      <c r="G12" s="409"/>
      <c r="H12" s="409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3">
        <v>0.7</v>
      </c>
      <c r="AA12" s="292"/>
      <c r="AB12" s="410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410"/>
      <c r="AN12" s="292"/>
      <c r="AO12" s="292"/>
      <c r="AP12" s="292"/>
      <c r="AQ12" s="410"/>
      <c r="CB12" s="445"/>
      <c r="CC12" s="445"/>
      <c r="CN12" s="914"/>
      <c r="CO12" s="914"/>
      <c r="CP12" s="914"/>
      <c r="CQ12" s="914"/>
      <c r="CR12" s="914"/>
      <c r="CS12" s="983"/>
      <c r="CV12" s="914"/>
      <c r="CW12" s="914"/>
      <c r="CZ12" s="914"/>
      <c r="DB12" s="914"/>
      <c r="DC12" s="914"/>
      <c r="DD12" s="914"/>
      <c r="DF12" s="914"/>
      <c r="DH12" s="991"/>
      <c r="DI12" s="914"/>
      <c r="DJ12" s="983"/>
      <c r="DL12" s="983"/>
      <c r="DQ12" s="914"/>
      <c r="DX12" s="914"/>
    </row>
    <row r="13" spans="3:140" ht="13.5" customHeight="1">
      <c r="C13" s="2937" t="s">
        <v>140</v>
      </c>
      <c r="D13" s="2938"/>
      <c r="E13" s="2938"/>
      <c r="F13" s="2938"/>
      <c r="G13" s="2938"/>
      <c r="H13" s="2938"/>
      <c r="I13" s="2938"/>
      <c r="J13" s="2938"/>
      <c r="K13" s="2938"/>
      <c r="L13" s="2938"/>
      <c r="M13" s="2938"/>
      <c r="N13" s="2938"/>
      <c r="O13" s="2938"/>
      <c r="P13" s="2938"/>
      <c r="Q13" s="2938"/>
      <c r="R13" s="2938"/>
      <c r="S13" s="2938"/>
      <c r="T13" s="2938"/>
      <c r="U13" s="2938"/>
      <c r="V13" s="2938"/>
      <c r="W13" s="2938"/>
      <c r="X13" s="2938"/>
      <c r="Y13" s="2938"/>
      <c r="Z13" s="2938"/>
      <c r="AA13" s="2938"/>
      <c r="AB13" s="2939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411"/>
      <c r="AN13" s="318"/>
      <c r="AO13" s="318"/>
      <c r="AP13" s="318"/>
      <c r="AQ13" s="411"/>
      <c r="CB13" s="445"/>
      <c r="CC13" s="445"/>
      <c r="CN13" s="914"/>
      <c r="CO13" s="914"/>
      <c r="CP13" s="914"/>
      <c r="CQ13" s="914"/>
      <c r="CR13" s="914"/>
      <c r="CS13" s="984"/>
      <c r="CV13" s="914"/>
      <c r="CW13" s="914"/>
      <c r="CZ13" s="914"/>
      <c r="DB13" s="914"/>
      <c r="DC13" s="914"/>
      <c r="DD13" s="914"/>
      <c r="DF13" s="914"/>
      <c r="DH13" s="991"/>
      <c r="DI13" s="914"/>
      <c r="DJ13" s="984"/>
      <c r="DL13" s="984"/>
      <c r="DQ13" s="914"/>
      <c r="DX13" s="914"/>
    </row>
    <row r="14" spans="3:140" ht="14.1" customHeight="1" thickBot="1">
      <c r="C14" s="294"/>
      <c r="D14" s="295"/>
      <c r="E14" s="295"/>
      <c r="F14" s="295"/>
      <c r="G14" s="295"/>
      <c r="H14" s="295"/>
      <c r="I14" s="296"/>
    </row>
    <row r="15" spans="3:140" ht="22.5" customHeight="1" thickBot="1">
      <c r="D15" s="286">
        <v>2001</v>
      </c>
      <c r="E15" s="2934">
        <v>2002</v>
      </c>
      <c r="F15" s="2660"/>
      <c r="G15" s="2660"/>
      <c r="H15" s="2682">
        <v>2003</v>
      </c>
      <c r="I15" s="2683"/>
      <c r="J15" s="2683"/>
      <c r="K15" s="2683"/>
      <c r="L15" s="2683"/>
      <c r="M15" s="2683"/>
      <c r="N15" s="2683"/>
      <c r="O15" s="2683"/>
      <c r="P15" s="2683"/>
      <c r="Q15" s="2683"/>
      <c r="R15" s="2683"/>
      <c r="S15" s="2688"/>
      <c r="T15" s="2935">
        <v>2004</v>
      </c>
      <c r="U15" s="2936"/>
      <c r="V15" s="2936"/>
      <c r="W15" s="2936"/>
      <c r="X15" s="2936"/>
      <c r="Y15" s="2936"/>
      <c r="Z15" s="375"/>
      <c r="AA15" s="375">
        <v>2004</v>
      </c>
      <c r="AB15" s="375"/>
      <c r="AC15" s="375"/>
      <c r="AD15" s="375"/>
      <c r="AE15" s="376"/>
      <c r="AF15" s="2636">
        <v>2005</v>
      </c>
      <c r="AG15" s="2637"/>
      <c r="AH15" s="2637"/>
      <c r="AI15" s="2637"/>
      <c r="AJ15" s="2637"/>
      <c r="AK15" s="2637"/>
      <c r="AL15" s="2637"/>
      <c r="AM15" s="2637"/>
      <c r="AN15" s="2637"/>
      <c r="AO15" s="2637"/>
      <c r="AP15" s="2637"/>
      <c r="AQ15" s="2638"/>
      <c r="AR15" s="2636">
        <v>2006</v>
      </c>
      <c r="AS15" s="2637"/>
      <c r="AT15" s="2637"/>
      <c r="AU15" s="2637"/>
      <c r="AV15" s="2637"/>
      <c r="AW15" s="2637"/>
      <c r="AX15" s="2637"/>
      <c r="AY15" s="2637"/>
      <c r="AZ15" s="2637"/>
      <c r="BA15" s="2637"/>
      <c r="BB15" s="2637"/>
      <c r="BC15" s="2638"/>
      <c r="BD15" s="2636">
        <v>2007</v>
      </c>
      <c r="BE15" s="2637"/>
      <c r="BF15" s="2637"/>
      <c r="BG15" s="2637"/>
      <c r="BH15" s="2637"/>
      <c r="BI15" s="2637"/>
      <c r="BJ15" s="2637"/>
      <c r="BK15" s="2923"/>
      <c r="BL15" s="2923"/>
      <c r="BM15" s="2923"/>
      <c r="BN15" s="2923"/>
      <c r="BO15" s="2924"/>
      <c r="BP15" s="2636">
        <v>2008</v>
      </c>
      <c r="BQ15" s="2637"/>
      <c r="BR15" s="2637"/>
      <c r="BS15" s="2637"/>
      <c r="BT15" s="2637"/>
      <c r="BU15" s="2637"/>
      <c r="BV15" s="2637"/>
      <c r="BW15" s="2637"/>
      <c r="BX15" s="2637"/>
      <c r="BY15" s="2637"/>
      <c r="BZ15" s="2637"/>
      <c r="CA15" s="2637"/>
      <c r="CB15" s="2636">
        <v>2009</v>
      </c>
      <c r="CC15" s="2940"/>
      <c r="CD15" s="2940"/>
      <c r="CE15" s="2940"/>
      <c r="CF15" s="2940"/>
      <c r="CG15" s="2940"/>
      <c r="CH15" s="2940"/>
      <c r="CI15" s="2940"/>
      <c r="CJ15" s="2940"/>
      <c r="CK15" s="2940"/>
      <c r="CL15" s="2940"/>
      <c r="CM15" s="2941"/>
      <c r="CN15" s="2931">
        <v>2010</v>
      </c>
      <c r="CO15" s="2932"/>
      <c r="CP15" s="2932"/>
      <c r="CQ15" s="2932"/>
      <c r="CR15" s="2932"/>
      <c r="CS15" s="2932"/>
      <c r="CT15" s="2932"/>
      <c r="CU15" s="2932"/>
      <c r="CV15" s="2932"/>
      <c r="CW15" s="2932"/>
      <c r="CX15" s="2932"/>
      <c r="CY15" s="981"/>
      <c r="CZ15" s="2925">
        <v>2011</v>
      </c>
      <c r="DA15" s="2926"/>
      <c r="DB15" s="2926"/>
      <c r="DC15" s="2926"/>
      <c r="DD15" s="2926"/>
      <c r="DE15" s="2926"/>
      <c r="DF15" s="2926"/>
      <c r="DG15" s="2926"/>
      <c r="DH15" s="2926"/>
      <c r="DI15" s="2926"/>
      <c r="DJ15" s="2926"/>
      <c r="DK15" s="2927"/>
      <c r="DL15" s="2928">
        <v>2012</v>
      </c>
      <c r="DM15" s="2929"/>
      <c r="DN15" s="2929"/>
      <c r="DO15" s="2929"/>
      <c r="DP15" s="2929"/>
      <c r="DQ15" s="2929"/>
      <c r="DR15" s="2929"/>
      <c r="DS15" s="2929"/>
      <c r="DT15" s="2929"/>
      <c r="DU15" s="2929"/>
      <c r="DV15" s="2929"/>
      <c r="DW15" s="2930"/>
      <c r="DX15" s="2925">
        <v>2013</v>
      </c>
      <c r="DY15" s="2926"/>
      <c r="DZ15" s="2926"/>
      <c r="EA15" s="2926"/>
      <c r="EB15" s="2926"/>
      <c r="EC15" s="2926"/>
      <c r="ED15" s="2926"/>
      <c r="EE15" s="2926"/>
      <c r="EF15" s="2926"/>
      <c r="EG15" s="2926"/>
      <c r="EH15" s="2926"/>
      <c r="EI15" s="1432"/>
      <c r="EJ15" s="1433">
        <v>2014</v>
      </c>
    </row>
    <row r="16" spans="3:140" ht="18" customHeight="1" thickBot="1">
      <c r="C16" s="122"/>
      <c r="D16" s="297" t="s">
        <v>577</v>
      </c>
      <c r="E16" s="282" t="s">
        <v>590</v>
      </c>
      <c r="F16" s="282" t="s">
        <v>586</v>
      </c>
      <c r="G16" s="282" t="s">
        <v>577</v>
      </c>
      <c r="H16" s="298" t="s">
        <v>578</v>
      </c>
      <c r="I16" s="299" t="s">
        <v>579</v>
      </c>
      <c r="J16" s="412" t="s">
        <v>580</v>
      </c>
      <c r="K16" s="300" t="s">
        <v>581</v>
      </c>
      <c r="L16" s="299" t="s">
        <v>582</v>
      </c>
      <c r="M16" s="412" t="s">
        <v>583</v>
      </c>
      <c r="N16" s="412" t="s">
        <v>587</v>
      </c>
      <c r="O16" s="413" t="s">
        <v>588</v>
      </c>
      <c r="P16" s="413" t="s">
        <v>589</v>
      </c>
      <c r="Q16" s="414" t="s">
        <v>590</v>
      </c>
      <c r="R16" s="415" t="s">
        <v>586</v>
      </c>
      <c r="S16" s="415" t="s">
        <v>577</v>
      </c>
      <c r="T16" s="414" t="s">
        <v>578</v>
      </c>
      <c r="U16" s="414" t="s">
        <v>579</v>
      </c>
      <c r="V16" s="414" t="s">
        <v>580</v>
      </c>
      <c r="W16" s="414" t="s">
        <v>581</v>
      </c>
      <c r="X16" s="414" t="s">
        <v>582</v>
      </c>
      <c r="Y16" s="414" t="s">
        <v>583</v>
      </c>
      <c r="Z16" s="414" t="s">
        <v>605</v>
      </c>
      <c r="AA16" s="414" t="s">
        <v>588</v>
      </c>
      <c r="AB16" s="414" t="s">
        <v>891</v>
      </c>
      <c r="AC16" s="414" t="s">
        <v>455</v>
      </c>
      <c r="AD16" s="414" t="s">
        <v>586</v>
      </c>
      <c r="AE16" s="414" t="s">
        <v>577</v>
      </c>
      <c r="AF16" s="416" t="s">
        <v>578</v>
      </c>
      <c r="AG16" s="414" t="s">
        <v>579</v>
      </c>
      <c r="AH16" s="414" t="s">
        <v>580</v>
      </c>
      <c r="AI16" s="414" t="s">
        <v>581</v>
      </c>
      <c r="AJ16" s="414" t="s">
        <v>582</v>
      </c>
      <c r="AK16" s="414" t="s">
        <v>583</v>
      </c>
      <c r="AL16" s="414" t="s">
        <v>605</v>
      </c>
      <c r="AM16" s="414" t="s">
        <v>588</v>
      </c>
      <c r="AN16" s="414" t="s">
        <v>891</v>
      </c>
      <c r="AO16" s="414" t="s">
        <v>455</v>
      </c>
      <c r="AP16" s="414" t="s">
        <v>586</v>
      </c>
      <c r="AQ16" s="298" t="s">
        <v>577</v>
      </c>
      <c r="AR16" s="414" t="s">
        <v>578</v>
      </c>
      <c r="AS16" s="414" t="s">
        <v>579</v>
      </c>
      <c r="AT16" s="414" t="s">
        <v>580</v>
      </c>
      <c r="AU16" s="414" t="s">
        <v>581</v>
      </c>
      <c r="AV16" s="414" t="s">
        <v>582</v>
      </c>
      <c r="AW16" s="414" t="s">
        <v>583</v>
      </c>
      <c r="AX16" s="414" t="s">
        <v>903</v>
      </c>
      <c r="AY16" s="414" t="s">
        <v>904</v>
      </c>
      <c r="AZ16" s="414" t="s">
        <v>507</v>
      </c>
      <c r="BA16" s="414" t="s">
        <v>621</v>
      </c>
      <c r="BB16" s="414" t="s">
        <v>622</v>
      </c>
      <c r="BC16" s="414" t="s">
        <v>778</v>
      </c>
      <c r="BD16" s="416" t="s">
        <v>469</v>
      </c>
      <c r="BE16" s="414" t="s">
        <v>498</v>
      </c>
      <c r="BF16" s="414" t="s">
        <v>465</v>
      </c>
      <c r="BG16" s="414" t="s">
        <v>466</v>
      </c>
      <c r="BH16" s="414" t="s">
        <v>467</v>
      </c>
      <c r="BI16" s="414" t="s">
        <v>902</v>
      </c>
      <c r="BJ16" s="414" t="s">
        <v>903</v>
      </c>
      <c r="BK16" s="414" t="s">
        <v>904</v>
      </c>
      <c r="BL16" s="414" t="s">
        <v>351</v>
      </c>
      <c r="BM16" s="414" t="s">
        <v>621</v>
      </c>
      <c r="BN16" s="401" t="s">
        <v>610</v>
      </c>
      <c r="BO16" s="417" t="s">
        <v>778</v>
      </c>
      <c r="BP16" s="418" t="s">
        <v>469</v>
      </c>
      <c r="BQ16" s="419" t="s">
        <v>498</v>
      </c>
      <c r="BR16" s="419" t="s">
        <v>465</v>
      </c>
      <c r="BS16" s="419" t="s">
        <v>466</v>
      </c>
      <c r="BT16" s="419" t="s">
        <v>467</v>
      </c>
      <c r="BU16" s="419" t="s">
        <v>902</v>
      </c>
      <c r="BV16" s="419" t="s">
        <v>903</v>
      </c>
      <c r="BW16" s="419" t="s">
        <v>904</v>
      </c>
      <c r="BX16" s="419" t="s">
        <v>891</v>
      </c>
      <c r="BY16" s="419" t="s">
        <v>621</v>
      </c>
      <c r="BZ16" s="419" t="s">
        <v>610</v>
      </c>
      <c r="CA16" s="420" t="s">
        <v>778</v>
      </c>
      <c r="CB16" s="795" t="s">
        <v>469</v>
      </c>
      <c r="CC16" s="464" t="s">
        <v>498</v>
      </c>
      <c r="CD16" s="464" t="s">
        <v>465</v>
      </c>
      <c r="CE16" s="800" t="s">
        <v>466</v>
      </c>
      <c r="CF16" s="464" t="s">
        <v>467</v>
      </c>
      <c r="CG16" s="464" t="s">
        <v>902</v>
      </c>
      <c r="CH16" s="464" t="s">
        <v>903</v>
      </c>
      <c r="CI16" s="464" t="s">
        <v>904</v>
      </c>
      <c r="CJ16" s="464" t="s">
        <v>891</v>
      </c>
      <c r="CK16" s="464" t="s">
        <v>621</v>
      </c>
      <c r="CL16" s="464" t="s">
        <v>610</v>
      </c>
      <c r="CM16" s="867" t="s">
        <v>611</v>
      </c>
      <c r="CN16" s="463" t="s">
        <v>469</v>
      </c>
      <c r="CO16" s="464" t="s">
        <v>498</v>
      </c>
      <c r="CP16" s="464" t="s">
        <v>465</v>
      </c>
      <c r="CQ16" s="800" t="s">
        <v>466</v>
      </c>
      <c r="CR16" s="800" t="s">
        <v>467</v>
      </c>
      <c r="CS16" s="464" t="s">
        <v>902</v>
      </c>
      <c r="CT16" s="464" t="s">
        <v>903</v>
      </c>
      <c r="CU16" s="904" t="s">
        <v>904</v>
      </c>
      <c r="CV16" s="800" t="s">
        <v>891</v>
      </c>
      <c r="CW16" s="464" t="s">
        <v>609</v>
      </c>
      <c r="CX16" s="800" t="s">
        <v>610</v>
      </c>
      <c r="CY16" s="468" t="s">
        <v>611</v>
      </c>
      <c r="CZ16" s="795" t="s">
        <v>469</v>
      </c>
      <c r="DA16" s="800" t="s">
        <v>513</v>
      </c>
      <c r="DB16" s="800" t="s">
        <v>139</v>
      </c>
      <c r="DC16" s="800" t="s">
        <v>514</v>
      </c>
      <c r="DD16" s="800" t="s">
        <v>534</v>
      </c>
      <c r="DE16" s="464" t="s">
        <v>503</v>
      </c>
      <c r="DF16" s="800" t="s">
        <v>457</v>
      </c>
      <c r="DG16" s="800" t="s">
        <v>372</v>
      </c>
      <c r="DH16" s="800" t="s">
        <v>356</v>
      </c>
      <c r="DI16" s="800" t="s">
        <v>609</v>
      </c>
      <c r="DJ16" s="800" t="s">
        <v>610</v>
      </c>
      <c r="DK16" s="476" t="s">
        <v>611</v>
      </c>
      <c r="DL16" s="795" t="s">
        <v>511</v>
      </c>
      <c r="DM16" s="800" t="s">
        <v>513</v>
      </c>
      <c r="DN16" s="1112" t="s">
        <v>139</v>
      </c>
      <c r="DO16" s="1112" t="s">
        <v>514</v>
      </c>
      <c r="DP16" s="1112" t="s">
        <v>582</v>
      </c>
      <c r="DQ16" s="1112" t="s">
        <v>583</v>
      </c>
      <c r="DR16" s="1112" t="s">
        <v>869</v>
      </c>
      <c r="DS16" s="1112" t="s">
        <v>372</v>
      </c>
      <c r="DT16" s="1117" t="s">
        <v>765</v>
      </c>
      <c r="DU16" s="1131" t="s">
        <v>609</v>
      </c>
      <c r="DV16" s="1137" t="s">
        <v>610</v>
      </c>
      <c r="DW16" s="1138" t="s">
        <v>611</v>
      </c>
      <c r="DX16" s="1112" t="s">
        <v>511</v>
      </c>
      <c r="DY16" s="1112" t="s">
        <v>513</v>
      </c>
      <c r="DZ16" s="1112" t="s">
        <v>139</v>
      </c>
      <c r="EA16" s="1112" t="s">
        <v>514</v>
      </c>
      <c r="EB16" s="1112" t="s">
        <v>534</v>
      </c>
      <c r="EC16" s="1112" t="s">
        <v>503</v>
      </c>
      <c r="ED16" s="1370" t="s">
        <v>457</v>
      </c>
      <c r="EE16" s="1370" t="s">
        <v>573</v>
      </c>
      <c r="EF16" s="1112" t="s">
        <v>891</v>
      </c>
      <c r="EG16" s="1112" t="s">
        <v>609</v>
      </c>
      <c r="EH16" s="1117" t="s">
        <v>610</v>
      </c>
      <c r="EI16" s="1143" t="s">
        <v>577</v>
      </c>
      <c r="EJ16" s="1434">
        <v>41640</v>
      </c>
    </row>
    <row r="17" spans="2:140" ht="30" customHeight="1">
      <c r="B17" s="2">
        <v>87</v>
      </c>
      <c r="C17" s="155" t="s">
        <v>620</v>
      </c>
      <c r="D17" s="825">
        <v>86.98</v>
      </c>
      <c r="E17" s="302">
        <v>270.97000000000003</v>
      </c>
      <c r="F17" s="302">
        <v>249.68</v>
      </c>
      <c r="G17" s="302">
        <v>246.56</v>
      </c>
      <c r="H17" s="302">
        <v>235.25</v>
      </c>
      <c r="I17" s="302">
        <v>232.29</v>
      </c>
      <c r="J17" s="302">
        <v>219.12</v>
      </c>
      <c r="K17" s="302">
        <v>208.84</v>
      </c>
      <c r="L17" s="302">
        <v>201.61</v>
      </c>
      <c r="M17" s="302">
        <v>199.82</v>
      </c>
      <c r="N17" s="302">
        <v>195.1</v>
      </c>
      <c r="O17" s="302">
        <v>200.55</v>
      </c>
      <c r="P17" s="302">
        <v>200.67</v>
      </c>
      <c r="Q17" s="302">
        <v>197.49</v>
      </c>
      <c r="R17" s="302">
        <v>198.58</v>
      </c>
      <c r="S17" s="302">
        <v>203.2</v>
      </c>
      <c r="T17" s="302">
        <v>201.71</v>
      </c>
      <c r="U17" s="302">
        <v>202.78</v>
      </c>
      <c r="V17" s="302">
        <v>201.87</v>
      </c>
      <c r="W17" s="302">
        <v>197.8</v>
      </c>
      <c r="X17" s="302">
        <v>201.36</v>
      </c>
      <c r="Y17" s="302">
        <v>203.29</v>
      </c>
      <c r="Z17" s="302">
        <v>202</v>
      </c>
      <c r="AA17" s="302">
        <v>205.35</v>
      </c>
      <c r="AB17" s="302">
        <v>201.39</v>
      </c>
      <c r="AC17" s="302">
        <v>200.73</v>
      </c>
      <c r="AD17" s="302">
        <v>200.83</v>
      </c>
      <c r="AE17" s="303">
        <v>202.68</v>
      </c>
      <c r="AF17" s="304">
        <f>+'TABLA FINAL '!AV107</f>
        <v>201.91</v>
      </c>
      <c r="AG17" s="304">
        <f>+'TABLA FINAL '!AW107</f>
        <v>200.03</v>
      </c>
      <c r="AH17" s="304">
        <f>+'TABLA FINAL '!AX107</f>
        <v>201.18</v>
      </c>
      <c r="AI17" s="304">
        <f>+'TABLA FINAL '!AY107</f>
        <v>201.25</v>
      </c>
      <c r="AJ17" s="304">
        <f>+'TABLA FINAL '!AZ107</f>
        <v>201.16</v>
      </c>
      <c r="AK17" s="304">
        <f>+'TABLA FINAL '!BA107</f>
        <v>199.75</v>
      </c>
      <c r="AL17" s="304">
        <f>+'TABLA FINAL '!BB107</f>
        <v>199.21</v>
      </c>
      <c r="AM17" s="304">
        <f>+'TABLA FINAL '!BC107</f>
        <v>200.06</v>
      </c>
      <c r="AN17" s="304">
        <f>+'TABLA FINAL '!BD107</f>
        <v>200.96</v>
      </c>
      <c r="AO17" s="304">
        <f>+'TABLA FINAL '!BE107</f>
        <v>202.99</v>
      </c>
      <c r="AP17" s="304">
        <f>+'TABLA FINAL '!BF107</f>
        <v>203.01</v>
      </c>
      <c r="AQ17" s="305">
        <f>+'TABLA FINAL '!BG107</f>
        <v>205.3</v>
      </c>
      <c r="AR17" s="306">
        <f>+'TABLA FINAL '!BH107</f>
        <v>207.32</v>
      </c>
      <c r="AS17" s="304">
        <f>+'TABLA FINAL '!BI107</f>
        <v>208.67</v>
      </c>
      <c r="AT17" s="304">
        <f>+'TABLA FINAL '!BJ107</f>
        <v>210.06</v>
      </c>
      <c r="AU17" s="304">
        <f>+'TABLA FINAL '!BK107</f>
        <v>205.17</v>
      </c>
      <c r="AV17" s="304">
        <f>+'TABLA FINAL '!BL107</f>
        <v>205.6</v>
      </c>
      <c r="AW17" s="304">
        <f>+'TABLA FINAL '!BM107</f>
        <v>205.98</v>
      </c>
      <c r="AX17" s="304">
        <f>+'TABLA FINAL '!BN107</f>
        <v>207.15</v>
      </c>
      <c r="AY17" s="304">
        <f>+'TABLA FINAL '!BO107</f>
        <v>210.4</v>
      </c>
      <c r="AZ17" s="304">
        <f>+'TABLA FINAL '!BP107</f>
        <v>211.75</v>
      </c>
      <c r="BA17" s="304">
        <f>+'TABLA FINAL '!BQ107</f>
        <v>209.37</v>
      </c>
      <c r="BB17" s="304">
        <f>+'TABLA FINAL '!BR107</f>
        <v>205.57</v>
      </c>
      <c r="BC17" s="288">
        <f>+'TABLA FINAL '!BS107</f>
        <v>205.82</v>
      </c>
      <c r="BD17" s="304">
        <f>+'TABLA FINAL '!BT107</f>
        <v>206.59</v>
      </c>
      <c r="BE17" s="304">
        <f>+'TABLA FINAL '!BU107</f>
        <v>209</v>
      </c>
      <c r="BF17" s="304">
        <f>+'TABLA FINAL '!BV107</f>
        <v>207.55</v>
      </c>
      <c r="BG17" s="304">
        <f>+'TABLA FINAL '!BW107</f>
        <v>208.09</v>
      </c>
      <c r="BH17" s="304">
        <f>+'TABLA FINAL '!BX107</f>
        <v>210.07</v>
      </c>
      <c r="BI17" s="304">
        <f>+'TABLA FINAL '!BY107</f>
        <v>210.61</v>
      </c>
      <c r="BJ17" s="304">
        <f>+'TABLA FINAL '!BZ107</f>
        <v>211.83</v>
      </c>
      <c r="BK17" s="421">
        <f>+'TABLA FINAL '!CA107</f>
        <v>214.05</v>
      </c>
      <c r="BL17" s="421">
        <f>+'TABLA FINAL '!CB107</f>
        <v>213.93</v>
      </c>
      <c r="BM17" s="421">
        <f>+'TABLA FINAL '!CC107</f>
        <v>215.54</v>
      </c>
      <c r="BN17" s="421">
        <f>+'TABLA FINAL '!CD107</f>
        <v>215.07</v>
      </c>
      <c r="BO17" s="422">
        <f>+'TABLA FINAL '!CE107</f>
        <v>217.04</v>
      </c>
      <c r="BP17" s="423">
        <f>+'TABLA FINAL '!CF107</f>
        <v>215.69</v>
      </c>
      <c r="BQ17" s="421">
        <f>+'TABLA FINAL '!CG107</f>
        <v>220.42</v>
      </c>
      <c r="BR17" s="421">
        <f>+'TABLA FINAL '!CH107</f>
        <v>221.77</v>
      </c>
      <c r="BS17" s="421">
        <f>+'TABLA FINAL '!CI107</f>
        <v>225.23</v>
      </c>
      <c r="BT17" s="421">
        <f>+'TABLA FINAL '!CJ107</f>
        <v>226.13</v>
      </c>
      <c r="BU17" s="421">
        <f>+'TABLA FINAL '!CK107</f>
        <v>224.52</v>
      </c>
      <c r="BV17" s="421">
        <f>+'TABLA FINAL '!CL107</f>
        <v>224.32</v>
      </c>
      <c r="BW17" s="421">
        <f>+'TABLA FINAL '!CM107</f>
        <v>225.54</v>
      </c>
      <c r="BX17" s="421">
        <f>+'TABLA FINAL '!CN107</f>
        <v>225.71</v>
      </c>
      <c r="BY17" s="421">
        <f>+'TABLA FINAL '!CO107</f>
        <v>230.59</v>
      </c>
      <c r="BZ17" s="421">
        <f>+'TABLA FINAL '!CP107</f>
        <v>231.96</v>
      </c>
      <c r="CA17" s="424">
        <f>+'TABLA FINAL '!CQ107</f>
        <v>235.11</v>
      </c>
      <c r="CB17" s="806">
        <f>+'TABLA FINAL '!CR107</f>
        <v>236.1</v>
      </c>
      <c r="CC17" s="564">
        <f>+'TABLA FINAL '!CS107</f>
        <v>239.19</v>
      </c>
      <c r="CD17" s="807">
        <f>+'TABLA FINAL '!CT107</f>
        <v>243.08</v>
      </c>
      <c r="CE17" s="564">
        <f>+'TABLA FINAL '!CU107</f>
        <v>246.93</v>
      </c>
      <c r="CF17" s="564">
        <f>+'TABLA FINAL '!CV107</f>
        <v>248.53</v>
      </c>
      <c r="CG17" s="564">
        <f>+'TABLA FINAL '!CW107</f>
        <v>248.84</v>
      </c>
      <c r="CH17" s="564">
        <f>+'TABLA FINAL '!CX107</f>
        <v>250.02</v>
      </c>
      <c r="CI17" s="564">
        <f>+'TABLA FINAL '!CY107</f>
        <v>253.12</v>
      </c>
      <c r="CJ17" s="564">
        <f>+'TABLA FINAL '!CZ107</f>
        <v>254.32</v>
      </c>
      <c r="CK17" s="564">
        <f>+'TABLA FINAL '!DA107</f>
        <v>255.29</v>
      </c>
      <c r="CL17" s="807">
        <f>+'TABLA FINAL '!DB107</f>
        <v>255.08</v>
      </c>
      <c r="CM17" s="808">
        <f>+'TABLA FINAL '!DC107</f>
        <v>255.21</v>
      </c>
      <c r="CN17" s="308">
        <f>+'TABLA FINAL '!DD107</f>
        <v>256.14</v>
      </c>
      <c r="CO17" s="142">
        <f>+'TABLA FINAL '!DE107</f>
        <v>258.68</v>
      </c>
      <c r="CP17" s="142">
        <f>+'TABLA FINAL '!DF107</f>
        <v>259.64</v>
      </c>
      <c r="CQ17" s="330">
        <f>+'TABLA FINAL '!DG107</f>
        <v>260.64</v>
      </c>
      <c r="CR17" s="330">
        <f>+'TABLA FINAL '!DH107</f>
        <v>263.70999999999998</v>
      </c>
      <c r="CS17" s="307">
        <f>+'TABLA FINAL '!DI107</f>
        <v>263.48</v>
      </c>
      <c r="CT17" s="307">
        <f>+'TABLA FINAL '!DJ107</f>
        <v>265.2</v>
      </c>
      <c r="CU17" s="334">
        <f>+'TABLA FINAL '!DK107</f>
        <v>265.69</v>
      </c>
      <c r="CV17" s="330">
        <f>+'TABLA FINAL '!DL107</f>
        <v>267.23</v>
      </c>
      <c r="CW17" s="307">
        <f>+'TABLA FINAL  NO'!DM112</f>
        <v>271.48</v>
      </c>
      <c r="CX17" s="330">
        <f>+'TABLA FINAL  NO'!DN112</f>
        <v>271.63</v>
      </c>
      <c r="CY17" s="332">
        <f>+'TABLA FINAL  NO'!DO112</f>
        <v>272.07</v>
      </c>
      <c r="CZ17" s="335">
        <f>+'TABLA FINAL  NO'!DP112</f>
        <v>273.76</v>
      </c>
      <c r="DA17" s="330">
        <f>+'TABLA FINAL  NO'!DQ112</f>
        <v>275.47000000000003</v>
      </c>
      <c r="DB17" s="330">
        <f>+'TABLA FINAL  NO'!DR112</f>
        <v>274.87</v>
      </c>
      <c r="DC17" s="330">
        <f>+'TABLA FINAL  NO'!DS112</f>
        <v>277.68</v>
      </c>
      <c r="DD17" s="330">
        <f>+'TABLA FINAL  NO'!DT112</f>
        <v>278.39999999999998</v>
      </c>
      <c r="DE17" s="307">
        <f>+'TABLA FINAL  NO'!DU112</f>
        <v>280.92</v>
      </c>
      <c r="DF17" s="330">
        <f>+'TABLA FINAL  NO'!DV112</f>
        <v>283.97000000000003</v>
      </c>
      <c r="DG17" s="330">
        <f>+'TABLA FINAL  NO'!DW112</f>
        <v>285.57</v>
      </c>
      <c r="DH17" s="330">
        <f>+'TABLA FINAL  NO'!DX112</f>
        <v>286.70999999999998</v>
      </c>
      <c r="DI17" s="330">
        <f>+'TABLA FINAL  NO'!DY112</f>
        <v>287.63</v>
      </c>
      <c r="DJ17" s="330">
        <f>+'TABLA FINAL  NO'!DZ112</f>
        <v>287.57</v>
      </c>
      <c r="DK17" s="332">
        <f>+'TABLA FINAL  NO'!EA112</f>
        <v>290.86</v>
      </c>
      <c r="DL17" s="335">
        <f>+'TABLA FINAL  NO'!EB112</f>
        <v>292.23</v>
      </c>
      <c r="DM17" s="330">
        <f>+'TABLA FINAL  NO'!EC112</f>
        <v>292.87</v>
      </c>
      <c r="DN17" s="330">
        <f>+'TABLA FINAL  NO'!ED112</f>
        <v>298.32</v>
      </c>
      <c r="DO17" s="330">
        <f>+'TABLA FINAL  NO'!EE112</f>
        <v>301.19</v>
      </c>
      <c r="DP17" s="330">
        <f>+'TABLA FINAL  NO'!EF112</f>
        <v>302.73</v>
      </c>
      <c r="DQ17" s="330">
        <f>+'TABLA FINAL  NO'!EG112</f>
        <v>304.72000000000003</v>
      </c>
      <c r="DR17" s="330">
        <f>+'TABLA FINAL  NO'!EH112</f>
        <v>310.02999999999997</v>
      </c>
      <c r="DS17" s="330">
        <f>+'TABLA FINAL  NO'!EI112</f>
        <v>312.56</v>
      </c>
      <c r="DT17" s="330">
        <f>+'TABLA FINAL  NO'!EJ112</f>
        <v>315.41000000000003</v>
      </c>
      <c r="DU17" s="307">
        <f>+'TABLA FINAL  NO'!EK112</f>
        <v>317.06</v>
      </c>
      <c r="DV17" s="334">
        <f>+'TABLA FINAL  NO'!EL112</f>
        <v>319.25</v>
      </c>
      <c r="DW17" s="332">
        <f>+'TABLA FINAL  NO'!EM112</f>
        <v>321.04000000000002</v>
      </c>
      <c r="DX17" s="330">
        <f>+'TABLA FINAL  NO'!EN112</f>
        <v>325.05</v>
      </c>
      <c r="DY17" s="330">
        <f>+'TABLA FINAL  NO'!EO112</f>
        <v>328.3</v>
      </c>
      <c r="DZ17" s="330">
        <f>+'TABLA FINAL  NO'!EP112</f>
        <v>331.02</v>
      </c>
      <c r="EA17" s="330">
        <f>+'TABLA FINAL  NO'!EQ112</f>
        <v>335.58</v>
      </c>
      <c r="EB17" s="330">
        <f>+'TABLA FINAL  NO'!ER112</f>
        <v>339.63</v>
      </c>
      <c r="EC17" s="330">
        <f>+'TABLA FINAL  NO'!ES112</f>
        <v>342.3</v>
      </c>
      <c r="ED17" s="330">
        <f>+'TABLA FINAL  NO'!ET112</f>
        <v>344.58</v>
      </c>
      <c r="EE17" s="330">
        <f>+'TABLA FINAL  NO'!EU112</f>
        <v>347.78</v>
      </c>
      <c r="EF17" s="330">
        <f>+'TABLA FINAL  NO'!EV112</f>
        <v>351.2</v>
      </c>
      <c r="EG17" s="330">
        <f>+'TABLA FINAL  NO'!EW112</f>
        <v>352.67</v>
      </c>
      <c r="EH17" s="330">
        <f>+'TABLA FINAL  NO'!EX112</f>
        <v>355.11</v>
      </c>
      <c r="EI17" s="332">
        <f>+'TABLA FINAL  NO'!EY112</f>
        <v>363.37</v>
      </c>
      <c r="EJ17" s="332">
        <f>+'TABLA FINAL  NO'!EZ112</f>
        <v>373.45</v>
      </c>
    </row>
    <row r="18" spans="2:140" ht="25.5" customHeight="1">
      <c r="C18" s="155" t="s">
        <v>829</v>
      </c>
      <c r="D18" s="331">
        <f t="shared" ref="D18:AE18" si="0">ROUND(100*D17/$D$17,2)</f>
        <v>100</v>
      </c>
      <c r="E18" s="142">
        <f t="shared" si="0"/>
        <v>311.52999999999997</v>
      </c>
      <c r="F18" s="142">
        <f t="shared" si="0"/>
        <v>287.05</v>
      </c>
      <c r="G18" s="142">
        <f t="shared" si="0"/>
        <v>283.47000000000003</v>
      </c>
      <c r="H18" s="142">
        <f t="shared" si="0"/>
        <v>270.45999999999998</v>
      </c>
      <c r="I18" s="142">
        <f t="shared" si="0"/>
        <v>267.06</v>
      </c>
      <c r="J18" s="142">
        <f t="shared" si="0"/>
        <v>251.92</v>
      </c>
      <c r="K18" s="142">
        <f t="shared" si="0"/>
        <v>240.1</v>
      </c>
      <c r="L18" s="142">
        <f t="shared" si="0"/>
        <v>231.79</v>
      </c>
      <c r="M18" s="142">
        <f t="shared" si="0"/>
        <v>229.73</v>
      </c>
      <c r="N18" s="142">
        <f t="shared" si="0"/>
        <v>224.3</v>
      </c>
      <c r="O18" s="142">
        <f t="shared" si="0"/>
        <v>230.57</v>
      </c>
      <c r="P18" s="142">
        <f t="shared" si="0"/>
        <v>230.71</v>
      </c>
      <c r="Q18" s="142">
        <f t="shared" si="0"/>
        <v>227.05</v>
      </c>
      <c r="R18" s="142">
        <f t="shared" si="0"/>
        <v>228.31</v>
      </c>
      <c r="S18" s="142">
        <f t="shared" si="0"/>
        <v>233.62</v>
      </c>
      <c r="T18" s="142">
        <f t="shared" si="0"/>
        <v>231.9</v>
      </c>
      <c r="U18" s="142">
        <f t="shared" si="0"/>
        <v>233.13</v>
      </c>
      <c r="V18" s="142">
        <f t="shared" si="0"/>
        <v>232.09</v>
      </c>
      <c r="W18" s="142">
        <f t="shared" si="0"/>
        <v>227.41</v>
      </c>
      <c r="X18" s="142">
        <f t="shared" si="0"/>
        <v>231.5</v>
      </c>
      <c r="Y18" s="142">
        <f t="shared" si="0"/>
        <v>233.72</v>
      </c>
      <c r="Z18" s="142">
        <f t="shared" si="0"/>
        <v>232.24</v>
      </c>
      <c r="AA18" s="142">
        <f t="shared" si="0"/>
        <v>236.09</v>
      </c>
      <c r="AB18" s="142">
        <f t="shared" si="0"/>
        <v>231.54</v>
      </c>
      <c r="AC18" s="142">
        <f t="shared" si="0"/>
        <v>230.78</v>
      </c>
      <c r="AD18" s="142">
        <f t="shared" si="0"/>
        <v>230.89</v>
      </c>
      <c r="AE18" s="288">
        <f t="shared" si="0"/>
        <v>233.02</v>
      </c>
      <c r="AF18" s="289">
        <f t="shared" ref="AF18:EJ18" si="1">ROUND(100*AF17/$D$17,2)</f>
        <v>232.13</v>
      </c>
      <c r="AG18" s="142">
        <f t="shared" si="1"/>
        <v>229.97</v>
      </c>
      <c r="AH18" s="142">
        <f t="shared" si="1"/>
        <v>231.29</v>
      </c>
      <c r="AI18" s="142">
        <f t="shared" si="1"/>
        <v>231.38</v>
      </c>
      <c r="AJ18" s="142">
        <f t="shared" si="1"/>
        <v>231.27</v>
      </c>
      <c r="AK18" s="142">
        <f t="shared" si="1"/>
        <v>229.65</v>
      </c>
      <c r="AL18" s="142">
        <f t="shared" si="1"/>
        <v>229.03</v>
      </c>
      <c r="AM18" s="142">
        <f t="shared" si="1"/>
        <v>230.01</v>
      </c>
      <c r="AN18" s="142">
        <f t="shared" si="1"/>
        <v>231.04</v>
      </c>
      <c r="AO18" s="142">
        <f t="shared" si="1"/>
        <v>233.38</v>
      </c>
      <c r="AP18" s="142">
        <f t="shared" si="1"/>
        <v>233.4</v>
      </c>
      <c r="AQ18" s="287">
        <f t="shared" si="1"/>
        <v>236.03</v>
      </c>
      <c r="AR18" s="308">
        <f t="shared" si="1"/>
        <v>238.35</v>
      </c>
      <c r="AS18" s="142">
        <f t="shared" si="1"/>
        <v>239.91</v>
      </c>
      <c r="AT18" s="142">
        <f t="shared" si="1"/>
        <v>241.5</v>
      </c>
      <c r="AU18" s="142">
        <f t="shared" si="1"/>
        <v>235.88</v>
      </c>
      <c r="AV18" s="142">
        <f t="shared" si="1"/>
        <v>236.38</v>
      </c>
      <c r="AW18" s="142">
        <f t="shared" si="1"/>
        <v>236.81</v>
      </c>
      <c r="AX18" s="142">
        <f t="shared" si="1"/>
        <v>238.16</v>
      </c>
      <c r="AY18" s="142">
        <f t="shared" si="1"/>
        <v>241.89</v>
      </c>
      <c r="AZ18" s="142">
        <f t="shared" si="1"/>
        <v>243.45</v>
      </c>
      <c r="BA18" s="142">
        <f t="shared" si="1"/>
        <v>240.71</v>
      </c>
      <c r="BB18" s="142">
        <f t="shared" si="1"/>
        <v>236.34</v>
      </c>
      <c r="BC18" s="288">
        <f t="shared" si="1"/>
        <v>236.63</v>
      </c>
      <c r="BD18" s="289">
        <f t="shared" si="1"/>
        <v>237.51</v>
      </c>
      <c r="BE18" s="142">
        <f t="shared" si="1"/>
        <v>240.29</v>
      </c>
      <c r="BF18" s="142">
        <f t="shared" si="1"/>
        <v>238.62</v>
      </c>
      <c r="BG18" s="142">
        <f t="shared" si="1"/>
        <v>239.24</v>
      </c>
      <c r="BH18" s="142">
        <f t="shared" si="1"/>
        <v>241.52</v>
      </c>
      <c r="BI18" s="142">
        <f t="shared" si="1"/>
        <v>242.14</v>
      </c>
      <c r="BJ18" s="142">
        <f t="shared" si="1"/>
        <v>243.54</v>
      </c>
      <c r="BK18" s="142">
        <f t="shared" si="1"/>
        <v>246.09</v>
      </c>
      <c r="BL18" s="142">
        <f t="shared" si="1"/>
        <v>245.95</v>
      </c>
      <c r="BM18" s="142">
        <f t="shared" si="1"/>
        <v>247.8</v>
      </c>
      <c r="BN18" s="142">
        <f t="shared" si="1"/>
        <v>247.26</v>
      </c>
      <c r="BO18" s="288">
        <f t="shared" si="1"/>
        <v>249.53</v>
      </c>
      <c r="BP18" s="308">
        <f t="shared" si="1"/>
        <v>247.98</v>
      </c>
      <c r="BQ18" s="142">
        <f t="shared" si="1"/>
        <v>253.41</v>
      </c>
      <c r="BR18" s="142">
        <f t="shared" si="1"/>
        <v>254.97</v>
      </c>
      <c r="BS18" s="142">
        <f t="shared" si="1"/>
        <v>258.94</v>
      </c>
      <c r="BT18" s="142">
        <f t="shared" si="1"/>
        <v>259.98</v>
      </c>
      <c r="BU18" s="142">
        <f t="shared" si="1"/>
        <v>258.13</v>
      </c>
      <c r="BV18" s="142">
        <f t="shared" si="1"/>
        <v>257.89999999999998</v>
      </c>
      <c r="BW18" s="142">
        <f t="shared" si="1"/>
        <v>259.3</v>
      </c>
      <c r="BX18" s="142">
        <f t="shared" si="1"/>
        <v>259.5</v>
      </c>
      <c r="BY18" s="142">
        <f t="shared" si="1"/>
        <v>265.11</v>
      </c>
      <c r="BZ18" s="142">
        <f t="shared" si="1"/>
        <v>266.68</v>
      </c>
      <c r="CA18" s="287">
        <f t="shared" si="1"/>
        <v>270.3</v>
      </c>
      <c r="CB18" s="803">
        <f t="shared" si="1"/>
        <v>271.44</v>
      </c>
      <c r="CC18" s="142">
        <f t="shared" si="1"/>
        <v>274.99</v>
      </c>
      <c r="CD18" s="287">
        <f t="shared" si="1"/>
        <v>279.47000000000003</v>
      </c>
      <c r="CE18" s="142">
        <f t="shared" si="1"/>
        <v>283.89</v>
      </c>
      <c r="CF18" s="142">
        <f t="shared" si="1"/>
        <v>285.73</v>
      </c>
      <c r="CG18" s="142">
        <f t="shared" si="1"/>
        <v>286.08999999999997</v>
      </c>
      <c r="CH18" s="142">
        <f t="shared" si="1"/>
        <v>287.45</v>
      </c>
      <c r="CI18" s="142">
        <f t="shared" si="1"/>
        <v>291.01</v>
      </c>
      <c r="CJ18" s="142">
        <f t="shared" si="1"/>
        <v>292.39</v>
      </c>
      <c r="CK18" s="142">
        <f t="shared" si="1"/>
        <v>293.5</v>
      </c>
      <c r="CL18" s="287">
        <f t="shared" si="1"/>
        <v>293.26</v>
      </c>
      <c r="CM18" s="288">
        <f t="shared" si="1"/>
        <v>293.41000000000003</v>
      </c>
      <c r="CN18" s="308">
        <f t="shared" si="1"/>
        <v>294.48</v>
      </c>
      <c r="CO18" s="142">
        <f t="shared" si="1"/>
        <v>297.39999999999998</v>
      </c>
      <c r="CP18" s="142">
        <f t="shared" si="1"/>
        <v>298.51</v>
      </c>
      <c r="CQ18" s="330">
        <f t="shared" si="1"/>
        <v>299.66000000000003</v>
      </c>
      <c r="CR18" s="330">
        <f t="shared" si="1"/>
        <v>303.18</v>
      </c>
      <c r="CS18" s="307">
        <f t="shared" si="1"/>
        <v>302.92</v>
      </c>
      <c r="CT18" s="307">
        <f t="shared" si="1"/>
        <v>304.89999999999998</v>
      </c>
      <c r="CU18" s="334">
        <f t="shared" si="1"/>
        <v>305.45999999999998</v>
      </c>
      <c r="CV18" s="330">
        <f t="shared" si="1"/>
        <v>307.23</v>
      </c>
      <c r="CW18" s="307">
        <f t="shared" si="1"/>
        <v>312.12</v>
      </c>
      <c r="CX18" s="330">
        <f t="shared" si="1"/>
        <v>312.29000000000002</v>
      </c>
      <c r="CY18" s="332">
        <f t="shared" si="1"/>
        <v>312.8</v>
      </c>
      <c r="CZ18" s="335">
        <f t="shared" si="1"/>
        <v>314.74</v>
      </c>
      <c r="DA18" s="330">
        <f t="shared" si="1"/>
        <v>316.7</v>
      </c>
      <c r="DB18" s="330">
        <f t="shared" si="1"/>
        <v>316.02</v>
      </c>
      <c r="DC18" s="330">
        <f t="shared" si="1"/>
        <v>319.25</v>
      </c>
      <c r="DD18" s="330">
        <f t="shared" si="1"/>
        <v>320.07</v>
      </c>
      <c r="DE18" s="307">
        <f t="shared" si="1"/>
        <v>322.97000000000003</v>
      </c>
      <c r="DF18" s="330">
        <f t="shared" si="1"/>
        <v>326.48</v>
      </c>
      <c r="DG18" s="330">
        <f t="shared" si="1"/>
        <v>328.32</v>
      </c>
      <c r="DH18" s="330">
        <f t="shared" si="1"/>
        <v>329.63</v>
      </c>
      <c r="DI18" s="330">
        <f t="shared" si="1"/>
        <v>330.69</v>
      </c>
      <c r="DJ18" s="330">
        <f t="shared" si="1"/>
        <v>330.62</v>
      </c>
      <c r="DK18" s="332">
        <f t="shared" si="1"/>
        <v>334.4</v>
      </c>
      <c r="DL18" s="335">
        <f t="shared" si="1"/>
        <v>335.97</v>
      </c>
      <c r="DM18" s="330">
        <f t="shared" si="1"/>
        <v>336.71</v>
      </c>
      <c r="DN18" s="330">
        <f t="shared" si="1"/>
        <v>342.98</v>
      </c>
      <c r="DO18" s="330">
        <f t="shared" si="1"/>
        <v>346.28</v>
      </c>
      <c r="DP18" s="330">
        <f t="shared" si="1"/>
        <v>348.05</v>
      </c>
      <c r="DQ18" s="330">
        <f t="shared" si="1"/>
        <v>350.33</v>
      </c>
      <c r="DR18" s="330">
        <f t="shared" si="1"/>
        <v>356.44</v>
      </c>
      <c r="DS18" s="330">
        <f t="shared" si="1"/>
        <v>359.35</v>
      </c>
      <c r="DT18" s="330">
        <f t="shared" si="1"/>
        <v>362.62</v>
      </c>
      <c r="DU18" s="307">
        <f t="shared" si="1"/>
        <v>364.52</v>
      </c>
      <c r="DV18" s="334">
        <f t="shared" si="1"/>
        <v>367.04</v>
      </c>
      <c r="DW18" s="332">
        <f t="shared" si="1"/>
        <v>369.1</v>
      </c>
      <c r="DX18" s="330">
        <f t="shared" si="1"/>
        <v>373.71</v>
      </c>
      <c r="DY18" s="330">
        <f t="shared" si="1"/>
        <v>377.44</v>
      </c>
      <c r="DZ18" s="330">
        <f t="shared" si="1"/>
        <v>380.57</v>
      </c>
      <c r="EA18" s="330">
        <f t="shared" si="1"/>
        <v>385.81</v>
      </c>
      <c r="EB18" s="330">
        <f t="shared" si="1"/>
        <v>390.47</v>
      </c>
      <c r="EC18" s="330">
        <f t="shared" si="1"/>
        <v>393.54</v>
      </c>
      <c r="ED18" s="330">
        <f t="shared" si="1"/>
        <v>396.16</v>
      </c>
      <c r="EE18" s="330">
        <f t="shared" si="1"/>
        <v>399.84</v>
      </c>
      <c r="EF18" s="330">
        <f t="shared" si="1"/>
        <v>403.77</v>
      </c>
      <c r="EG18" s="330">
        <f t="shared" si="1"/>
        <v>405.46</v>
      </c>
      <c r="EH18" s="330">
        <f t="shared" si="1"/>
        <v>408.27</v>
      </c>
      <c r="EI18" s="332">
        <f t="shared" si="1"/>
        <v>417.76</v>
      </c>
      <c r="EJ18" s="332">
        <f t="shared" si="1"/>
        <v>429.35</v>
      </c>
    </row>
    <row r="19" spans="2:140">
      <c r="D19" s="826"/>
      <c r="E19" s="120"/>
      <c r="F19" s="120"/>
      <c r="G19" s="120"/>
      <c r="N19" s="137"/>
      <c r="O19" s="137"/>
      <c r="P19" s="137"/>
      <c r="AE19" s="361"/>
      <c r="AR19" s="425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426"/>
      <c r="BN19" s="368"/>
      <c r="BO19" s="361"/>
      <c r="BP19" s="425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372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428"/>
      <c r="CN19" s="372"/>
      <c r="CO19" s="285"/>
      <c r="CP19" s="285"/>
      <c r="CQ19" s="821"/>
      <c r="CR19" s="821"/>
      <c r="CS19" s="870"/>
      <c r="CT19" s="870"/>
      <c r="CU19" s="907"/>
      <c r="CV19" s="821"/>
      <c r="CW19" s="870"/>
      <c r="CX19" s="821"/>
      <c r="CY19" s="911"/>
      <c r="CZ19" s="988"/>
      <c r="DA19" s="821"/>
      <c r="DB19" s="821"/>
      <c r="DC19" s="821"/>
      <c r="DD19" s="821"/>
      <c r="DE19" s="870"/>
      <c r="DF19" s="821"/>
      <c r="DG19" s="821"/>
      <c r="DH19" s="821"/>
      <c r="DI19" s="821"/>
      <c r="DJ19" s="821"/>
      <c r="DK19" s="911"/>
      <c r="DL19" s="988"/>
      <c r="DM19" s="821"/>
      <c r="DN19" s="821"/>
      <c r="DO19" s="821"/>
      <c r="DP19" s="821"/>
      <c r="DQ19" s="821"/>
      <c r="DR19" s="821"/>
      <c r="DS19" s="821"/>
      <c r="DT19" s="821"/>
      <c r="DU19" s="870"/>
      <c r="DV19" s="907"/>
      <c r="DW19" s="911"/>
      <c r="DX19" s="821"/>
      <c r="DY19" s="821"/>
      <c r="DZ19" s="821"/>
      <c r="EA19" s="821"/>
      <c r="EB19" s="821"/>
      <c r="EC19" s="821"/>
      <c r="ED19" s="821"/>
      <c r="EE19" s="821"/>
      <c r="EF19" s="821"/>
      <c r="EG19" s="821"/>
      <c r="EH19" s="821"/>
      <c r="EI19" s="911"/>
      <c r="EJ19" s="911"/>
    </row>
    <row r="20" spans="2:140" ht="20.25" customHeight="1">
      <c r="C20" s="155" t="s">
        <v>375</v>
      </c>
      <c r="D20" s="331">
        <v>100.22</v>
      </c>
      <c r="E20" s="142">
        <v>223.02</v>
      </c>
      <c r="F20" s="142">
        <v>219.32</v>
      </c>
      <c r="G20" s="142">
        <v>218.44</v>
      </c>
      <c r="H20" s="285">
        <v>219.36</v>
      </c>
      <c r="I20" s="285">
        <v>220.21</v>
      </c>
      <c r="J20" s="142">
        <v>218.7</v>
      </c>
      <c r="K20" s="285">
        <v>214.7</v>
      </c>
      <c r="L20" s="285">
        <v>213.33</v>
      </c>
      <c r="M20" s="427">
        <v>213.04</v>
      </c>
      <c r="N20" s="285">
        <v>212.96</v>
      </c>
      <c r="O20" s="285">
        <v>215.87</v>
      </c>
      <c r="P20" s="285">
        <v>215.5</v>
      </c>
      <c r="Q20" s="285">
        <v>216.65</v>
      </c>
      <c r="R20" s="285">
        <v>218.9</v>
      </c>
      <c r="S20" s="285">
        <v>222.71</v>
      </c>
      <c r="T20" s="285">
        <v>221.96</v>
      </c>
      <c r="U20" s="285">
        <v>225.05</v>
      </c>
      <c r="V20" s="285">
        <v>226.03</v>
      </c>
      <c r="W20" s="285">
        <v>227.84</v>
      </c>
      <c r="X20" s="285">
        <v>230.77</v>
      </c>
      <c r="Y20" s="285">
        <v>231.29</v>
      </c>
      <c r="Z20" s="285">
        <v>233.5</v>
      </c>
      <c r="AA20" s="285">
        <v>239.2</v>
      </c>
      <c r="AB20" s="285">
        <v>239.74</v>
      </c>
      <c r="AC20" s="285">
        <v>241.15</v>
      </c>
      <c r="AD20" s="285">
        <v>237.98</v>
      </c>
      <c r="AE20" s="428">
        <v>240.34</v>
      </c>
      <c r="AF20" s="429">
        <v>237.57</v>
      </c>
      <c r="AG20" s="285">
        <v>240.41</v>
      </c>
      <c r="AH20" s="285">
        <v>245.55</v>
      </c>
      <c r="AI20" s="285">
        <v>248.9</v>
      </c>
      <c r="AJ20" s="285">
        <v>248.81</v>
      </c>
      <c r="AK20" s="285">
        <v>248.79</v>
      </c>
      <c r="AL20" s="285">
        <v>252.35</v>
      </c>
      <c r="AM20" s="285">
        <v>255.47</v>
      </c>
      <c r="AN20" s="285">
        <v>259.87</v>
      </c>
      <c r="AO20" s="285">
        <v>263.18</v>
      </c>
      <c r="AP20" s="285">
        <v>263.57</v>
      </c>
      <c r="AQ20" s="379">
        <v>266.02999999999997</v>
      </c>
      <c r="AR20" s="372">
        <v>269.16000000000003</v>
      </c>
      <c r="AS20" s="285">
        <v>269.16000000000003</v>
      </c>
      <c r="AT20" s="285">
        <v>272.14</v>
      </c>
      <c r="AU20" s="285">
        <v>276.12</v>
      </c>
      <c r="AV20" s="285">
        <v>276.83999999999997</v>
      </c>
      <c r="AW20" s="285">
        <v>279.16000000000003</v>
      </c>
      <c r="AX20" s="285">
        <v>281.14999999999998</v>
      </c>
      <c r="AY20" s="285">
        <v>281.14999999999998</v>
      </c>
      <c r="AZ20" s="285">
        <v>282.76</v>
      </c>
      <c r="BA20" s="285">
        <v>282.92</v>
      </c>
      <c r="BB20" s="285">
        <v>282.92</v>
      </c>
      <c r="BC20" s="428">
        <v>284.69</v>
      </c>
      <c r="BD20" s="429">
        <v>285.70999999999998</v>
      </c>
      <c r="BE20" s="285">
        <v>287.98</v>
      </c>
      <c r="BF20" s="285">
        <v>289.67</v>
      </c>
      <c r="BG20" s="285">
        <v>294.87</v>
      </c>
      <c r="BH20" s="285">
        <v>299.31</v>
      </c>
      <c r="BI20" s="285">
        <v>305.23</v>
      </c>
      <c r="BJ20" s="285">
        <v>311.79000000000002</v>
      </c>
      <c r="BK20" s="285">
        <v>314.41000000000003</v>
      </c>
      <c r="BL20" s="285">
        <v>317.49</v>
      </c>
      <c r="BM20" s="285">
        <v>320.95999999999998</v>
      </c>
      <c r="BN20" s="285">
        <v>323.86</v>
      </c>
      <c r="BO20" s="428">
        <v>325.95999999999998</v>
      </c>
      <c r="BP20" s="372">
        <v>328.67</v>
      </c>
      <c r="BQ20" s="285">
        <v>328.67</v>
      </c>
      <c r="BR20" s="285">
        <v>328.67</v>
      </c>
      <c r="BS20" s="285">
        <v>328.67</v>
      </c>
      <c r="BT20" s="285">
        <v>328.67</v>
      </c>
      <c r="BU20" s="285">
        <v>328.67</v>
      </c>
      <c r="BV20" s="285">
        <v>328.67</v>
      </c>
      <c r="BW20" s="285">
        <v>328.67</v>
      </c>
      <c r="BX20" s="285">
        <v>328.67</v>
      </c>
      <c r="BY20" s="285">
        <v>328.67</v>
      </c>
      <c r="BZ20" s="285">
        <v>327</v>
      </c>
      <c r="CA20" s="379">
        <v>327</v>
      </c>
      <c r="CB20" s="368">
        <v>328.5</v>
      </c>
      <c r="CC20" s="285">
        <v>328.5</v>
      </c>
      <c r="CD20" s="379">
        <v>328.5</v>
      </c>
      <c r="CE20" s="285">
        <v>332.4</v>
      </c>
      <c r="CF20" s="429">
        <f>+'TABLA FINAL '!CV201</f>
        <v>334.4</v>
      </c>
      <c r="CG20" s="285">
        <f>+'TABLA FINAL '!CW201</f>
        <v>343.4</v>
      </c>
      <c r="CH20" s="285">
        <f>+'TABLA FINAL '!CX201</f>
        <v>346.2</v>
      </c>
      <c r="CI20" s="285">
        <f>+'TABLA FINAL '!CY201</f>
        <v>348.5</v>
      </c>
      <c r="CJ20" s="285">
        <f>+'TABLA FINAL '!CZ201</f>
        <v>349.6</v>
      </c>
      <c r="CK20" s="285">
        <f>+'TABLA FINAL '!DA201</f>
        <v>358.9</v>
      </c>
      <c r="CL20" s="744">
        <f>+'TABLA FINAL '!DB201</f>
        <v>363</v>
      </c>
      <c r="CM20" s="427">
        <f>+'TABLA FINAL '!DC201</f>
        <v>364.4</v>
      </c>
      <c r="CN20" s="801">
        <f>+'TABLA FINAL '!DD201</f>
        <v>366.2</v>
      </c>
      <c r="CO20" s="802">
        <f>+'TABLA FINAL '!DE201</f>
        <v>373.2</v>
      </c>
      <c r="CP20" s="802">
        <f>+'TABLA FINAL '!DF201</f>
        <v>386.1</v>
      </c>
      <c r="CQ20" s="440">
        <f>+'TABLA FINAL '!DG201</f>
        <v>376.6</v>
      </c>
      <c r="CR20" s="440">
        <f>+'TABLA FINAL '!DH201</f>
        <v>394.3</v>
      </c>
      <c r="CS20" s="439">
        <f>+'TABLA FINAL '!DI201</f>
        <v>398.3</v>
      </c>
      <c r="CT20" s="439">
        <f>+'TABLA FINAL '!DJ201</f>
        <v>403.7</v>
      </c>
      <c r="CU20" s="908">
        <f>+'TABLA FINAL '!DK201</f>
        <v>411.2</v>
      </c>
      <c r="CV20" s="440">
        <f>+'TABLA FINAL '!DL201</f>
        <v>415.1</v>
      </c>
      <c r="CW20" s="439">
        <f>+'TABLA FINAL  NO'!DM206</f>
        <v>420.2</v>
      </c>
      <c r="CX20" s="440">
        <f>+'TABLA FINAL  NO'!DN206</f>
        <v>423.2</v>
      </c>
      <c r="CY20" s="442">
        <f>+'TABLA FINAL  NO'!DO206</f>
        <v>434.5</v>
      </c>
      <c r="CZ20" s="989">
        <f>+'TABLA FINAL  NO'!DP206</f>
        <v>451.9</v>
      </c>
      <c r="DA20" s="440">
        <f>+'TABLA FINAL  NO'!DQ206</f>
        <v>458.5</v>
      </c>
      <c r="DB20" s="440">
        <f>+'TABLA FINAL  NO'!DR206</f>
        <v>463.1</v>
      </c>
      <c r="DC20" s="440">
        <f>+'TABLA FINAL  NO'!DS206</f>
        <v>469</v>
      </c>
      <c r="DD20" s="440">
        <f>+'TABLA FINAL  NO'!DT206</f>
        <v>472.2</v>
      </c>
      <c r="DE20" s="439">
        <f>+'TABLA FINAL  NO'!DU206</f>
        <v>471.2</v>
      </c>
      <c r="DF20" s="440">
        <f>+'TABLA FINAL  NO'!DV206</f>
        <v>479</v>
      </c>
      <c r="DG20" s="440">
        <f>+'TABLA FINAL  NO'!DW206</f>
        <v>488.4</v>
      </c>
      <c r="DH20" s="440">
        <f>+'TABLA FINAL  NO'!DX206</f>
        <v>495.2</v>
      </c>
      <c r="DI20" s="440">
        <f>+'TABLA FINAL  NO'!DY206</f>
        <v>503.4</v>
      </c>
      <c r="DJ20" s="440">
        <f>+'TABLA FINAL  NO'!DZ206</f>
        <v>513.79999999999995</v>
      </c>
      <c r="DK20" s="442">
        <f>+'TABLA FINAL  NO'!EA206</f>
        <v>520.1</v>
      </c>
      <c r="DL20" s="989">
        <f>+'TABLA FINAL  NO'!EB206</f>
        <v>544.20000000000005</v>
      </c>
      <c r="DM20" s="440">
        <f>+'TABLA FINAL  NO'!EC206</f>
        <v>549.20000000000005</v>
      </c>
      <c r="DN20" s="440">
        <f>+'TABLA FINAL  NO'!ED206</f>
        <v>554.1</v>
      </c>
      <c r="DO20" s="440">
        <f>+'TABLA FINAL  NO'!EE206</f>
        <v>559.5</v>
      </c>
      <c r="DP20" s="440">
        <f>+'TABLA FINAL  NO'!EF206</f>
        <v>538.1</v>
      </c>
      <c r="DQ20" s="440">
        <f>+'TABLA FINAL  NO'!EG206</f>
        <v>607.70000000000005</v>
      </c>
      <c r="DR20" s="440">
        <f>+'TABLA FINAL  NO'!EH206</f>
        <v>618.5</v>
      </c>
      <c r="DS20" s="440">
        <f>+'TABLA FINAL  NO'!EI206</f>
        <v>627.6</v>
      </c>
      <c r="DT20" s="440">
        <f>+'TABLA FINAL  NO'!EJ206</f>
        <v>630.9</v>
      </c>
      <c r="DU20" s="439">
        <f>+'TABLA FINAL  NO'!EK206</f>
        <v>633.79999999999995</v>
      </c>
      <c r="DV20" s="908">
        <f>+'TABLA FINAL  NO'!EL206</f>
        <v>647</v>
      </c>
      <c r="DW20" s="442">
        <f>+'TABLA FINAL  NO'!EM206</f>
        <v>648.29999999999995</v>
      </c>
      <c r="DX20" s="440">
        <f>+'TABLA FINAL  NO'!EN206</f>
        <v>651.29999999999995</v>
      </c>
      <c r="DY20" s="440">
        <f>+'TABLA FINAL  NO'!EO206</f>
        <v>656.4</v>
      </c>
      <c r="DZ20" s="440">
        <f>+'TABLA FINAL  NO'!EP206</f>
        <v>665.1</v>
      </c>
      <c r="EA20" s="440">
        <f>+'TABLA FINAL  NO'!EQ206</f>
        <v>683.8</v>
      </c>
      <c r="EB20" s="440">
        <f>+'TABLA FINAL  NO'!ER206</f>
        <v>687.5</v>
      </c>
      <c r="EC20" s="440">
        <f>+'TABLA FINAL  NO'!ES206</f>
        <v>737.4</v>
      </c>
      <c r="ED20" s="440">
        <f>+'TABLA FINAL  NO'!ET206</f>
        <v>737</v>
      </c>
      <c r="EE20" s="440">
        <f>+'TABLA FINAL  NO'!EU206</f>
        <v>744</v>
      </c>
      <c r="EF20" s="440">
        <f>+'TABLA FINAL  NO'!EV206</f>
        <v>769.2</v>
      </c>
      <c r="EG20" s="440">
        <f>+'TABLA FINAL  NO'!EW206</f>
        <v>773.8</v>
      </c>
      <c r="EH20" s="440">
        <f>+'TABLA FINAL  NO'!EX206</f>
        <v>778.1</v>
      </c>
      <c r="EI20" s="442">
        <f>+'TABLA FINAL  NO'!EY206</f>
        <v>788.2</v>
      </c>
      <c r="EJ20" s="442">
        <f>+'TABLA FINAL  NO'!EZ206</f>
        <v>801.6</v>
      </c>
    </row>
    <row r="21" spans="2:140" ht="21.75" customHeight="1">
      <c r="C21" s="155" t="s">
        <v>830</v>
      </c>
      <c r="D21" s="331">
        <f t="shared" ref="D21:AE21" si="2">ROUND(100*D20/$D$20,2)</f>
        <v>100</v>
      </c>
      <c r="E21" s="283">
        <f t="shared" si="2"/>
        <v>222.53</v>
      </c>
      <c r="F21" s="283">
        <f t="shared" si="2"/>
        <v>218.84</v>
      </c>
      <c r="G21" s="283">
        <f t="shared" si="2"/>
        <v>217.96</v>
      </c>
      <c r="H21" s="283">
        <f t="shared" si="2"/>
        <v>218.88</v>
      </c>
      <c r="I21" s="283">
        <f t="shared" si="2"/>
        <v>219.73</v>
      </c>
      <c r="J21" s="283">
        <f t="shared" si="2"/>
        <v>218.22</v>
      </c>
      <c r="K21" s="283">
        <f t="shared" si="2"/>
        <v>214.23</v>
      </c>
      <c r="L21" s="283">
        <f t="shared" si="2"/>
        <v>212.86</v>
      </c>
      <c r="M21" s="283">
        <f t="shared" si="2"/>
        <v>212.57</v>
      </c>
      <c r="N21" s="283">
        <f t="shared" si="2"/>
        <v>212.49</v>
      </c>
      <c r="O21" s="283">
        <f t="shared" si="2"/>
        <v>215.4</v>
      </c>
      <c r="P21" s="283">
        <f t="shared" si="2"/>
        <v>215.03</v>
      </c>
      <c r="Q21" s="283">
        <f t="shared" si="2"/>
        <v>216.17</v>
      </c>
      <c r="R21" s="283">
        <f t="shared" si="2"/>
        <v>218.42</v>
      </c>
      <c r="S21" s="283">
        <f t="shared" si="2"/>
        <v>222.22</v>
      </c>
      <c r="T21" s="283">
        <f t="shared" si="2"/>
        <v>221.47</v>
      </c>
      <c r="U21" s="283">
        <f t="shared" si="2"/>
        <v>224.56</v>
      </c>
      <c r="V21" s="283">
        <f t="shared" si="2"/>
        <v>225.53</v>
      </c>
      <c r="W21" s="283">
        <f t="shared" si="2"/>
        <v>227.34</v>
      </c>
      <c r="X21" s="283">
        <f t="shared" si="2"/>
        <v>230.26</v>
      </c>
      <c r="Y21" s="283">
        <f t="shared" si="2"/>
        <v>230.78</v>
      </c>
      <c r="Z21" s="127">
        <f t="shared" si="2"/>
        <v>232.99</v>
      </c>
      <c r="AA21" s="127">
        <f t="shared" si="2"/>
        <v>238.67</v>
      </c>
      <c r="AB21" s="127">
        <f t="shared" si="2"/>
        <v>239.21</v>
      </c>
      <c r="AC21" s="127">
        <f t="shared" si="2"/>
        <v>240.62</v>
      </c>
      <c r="AD21" s="127">
        <f t="shared" si="2"/>
        <v>237.46</v>
      </c>
      <c r="AE21" s="130">
        <f t="shared" si="2"/>
        <v>239.81</v>
      </c>
      <c r="AF21" s="281">
        <f t="shared" ref="AF21:EJ21" si="3">ROUND(100*AF20/$D$20,2)</f>
        <v>237.05</v>
      </c>
      <c r="AG21" s="283">
        <f t="shared" si="3"/>
        <v>239.88</v>
      </c>
      <c r="AH21" s="283">
        <f t="shared" si="3"/>
        <v>245.01</v>
      </c>
      <c r="AI21" s="283">
        <f t="shared" si="3"/>
        <v>248.35</v>
      </c>
      <c r="AJ21" s="283">
        <f t="shared" si="3"/>
        <v>248.26</v>
      </c>
      <c r="AK21" s="283">
        <f t="shared" si="3"/>
        <v>248.24</v>
      </c>
      <c r="AL21" s="127">
        <f t="shared" si="3"/>
        <v>251.8</v>
      </c>
      <c r="AM21" s="127">
        <f t="shared" si="3"/>
        <v>254.91</v>
      </c>
      <c r="AN21" s="140">
        <f t="shared" si="3"/>
        <v>259.3</v>
      </c>
      <c r="AO21" s="127">
        <f t="shared" si="3"/>
        <v>262.60000000000002</v>
      </c>
      <c r="AP21" s="127">
        <f t="shared" si="3"/>
        <v>262.99</v>
      </c>
      <c r="AQ21" s="129">
        <f t="shared" si="3"/>
        <v>265.45</v>
      </c>
      <c r="AR21" s="309">
        <f t="shared" si="3"/>
        <v>268.57</v>
      </c>
      <c r="AS21" s="127">
        <f t="shared" si="3"/>
        <v>268.57</v>
      </c>
      <c r="AT21" s="127">
        <f t="shared" si="3"/>
        <v>271.54000000000002</v>
      </c>
      <c r="AU21" s="127">
        <f t="shared" si="3"/>
        <v>275.51</v>
      </c>
      <c r="AV21" s="127">
        <f t="shared" si="3"/>
        <v>276.23</v>
      </c>
      <c r="AW21" s="127">
        <f t="shared" si="3"/>
        <v>278.55</v>
      </c>
      <c r="AX21" s="127">
        <f t="shared" si="3"/>
        <v>280.52999999999997</v>
      </c>
      <c r="AY21" s="127">
        <f t="shared" si="3"/>
        <v>280.52999999999997</v>
      </c>
      <c r="AZ21" s="127">
        <f t="shared" si="3"/>
        <v>282.14</v>
      </c>
      <c r="BA21" s="127">
        <f t="shared" si="3"/>
        <v>282.3</v>
      </c>
      <c r="BB21" s="127">
        <f t="shared" si="3"/>
        <v>282.3</v>
      </c>
      <c r="BC21" s="130">
        <f t="shared" si="3"/>
        <v>284.07</v>
      </c>
      <c r="BD21" s="310">
        <f t="shared" si="3"/>
        <v>285.08</v>
      </c>
      <c r="BE21" s="127">
        <f t="shared" si="3"/>
        <v>287.35000000000002</v>
      </c>
      <c r="BF21" s="127">
        <f t="shared" si="3"/>
        <v>289.02999999999997</v>
      </c>
      <c r="BG21" s="127">
        <f t="shared" si="3"/>
        <v>294.22000000000003</v>
      </c>
      <c r="BH21" s="127">
        <f t="shared" si="3"/>
        <v>298.64999999999998</v>
      </c>
      <c r="BI21" s="127">
        <f t="shared" si="3"/>
        <v>304.56</v>
      </c>
      <c r="BJ21" s="127">
        <f t="shared" si="3"/>
        <v>311.11</v>
      </c>
      <c r="BK21" s="127">
        <f t="shared" si="3"/>
        <v>313.72000000000003</v>
      </c>
      <c r="BL21" s="127">
        <f t="shared" si="3"/>
        <v>316.79000000000002</v>
      </c>
      <c r="BM21" s="127">
        <f t="shared" si="3"/>
        <v>320.26</v>
      </c>
      <c r="BN21" s="127">
        <f t="shared" si="3"/>
        <v>323.14999999999998</v>
      </c>
      <c r="BO21" s="130">
        <f t="shared" si="3"/>
        <v>325.24</v>
      </c>
      <c r="BP21" s="309">
        <f t="shared" si="3"/>
        <v>327.95</v>
      </c>
      <c r="BQ21" s="127">
        <f t="shared" si="3"/>
        <v>327.95</v>
      </c>
      <c r="BR21" s="127">
        <f t="shared" si="3"/>
        <v>327.95</v>
      </c>
      <c r="BS21" s="127">
        <f t="shared" si="3"/>
        <v>327.95</v>
      </c>
      <c r="BT21" s="127">
        <f t="shared" si="3"/>
        <v>327.95</v>
      </c>
      <c r="BU21" s="127">
        <f t="shared" si="3"/>
        <v>327.95</v>
      </c>
      <c r="BV21" s="127">
        <f t="shared" si="3"/>
        <v>327.95</v>
      </c>
      <c r="BW21" s="127">
        <f t="shared" si="3"/>
        <v>327.95</v>
      </c>
      <c r="BX21" s="127">
        <f t="shared" si="3"/>
        <v>327.95</v>
      </c>
      <c r="BY21" s="127">
        <f t="shared" si="3"/>
        <v>327.95</v>
      </c>
      <c r="BZ21" s="127">
        <f t="shared" si="3"/>
        <v>326.27999999999997</v>
      </c>
      <c r="CA21" s="129">
        <f t="shared" si="3"/>
        <v>326.27999999999997</v>
      </c>
      <c r="CB21" s="804">
        <f t="shared" si="3"/>
        <v>327.78</v>
      </c>
      <c r="CC21" s="127">
        <f t="shared" si="3"/>
        <v>327.78</v>
      </c>
      <c r="CD21" s="129">
        <f t="shared" si="3"/>
        <v>327.78</v>
      </c>
      <c r="CE21" s="127">
        <f t="shared" si="3"/>
        <v>331.67</v>
      </c>
      <c r="CF21" s="310">
        <f t="shared" si="3"/>
        <v>333.67</v>
      </c>
      <c r="CG21" s="127">
        <f t="shared" si="3"/>
        <v>342.65</v>
      </c>
      <c r="CH21" s="127">
        <f t="shared" si="3"/>
        <v>345.44</v>
      </c>
      <c r="CI21" s="127">
        <f t="shared" si="3"/>
        <v>347.73</v>
      </c>
      <c r="CJ21" s="127">
        <f t="shared" si="3"/>
        <v>348.83</v>
      </c>
      <c r="CK21" s="127">
        <f t="shared" si="3"/>
        <v>358.11</v>
      </c>
      <c r="CL21" s="129">
        <f t="shared" si="3"/>
        <v>362.2</v>
      </c>
      <c r="CM21" s="130">
        <f t="shared" si="3"/>
        <v>363.6</v>
      </c>
      <c r="CN21" s="309">
        <f t="shared" si="3"/>
        <v>365.4</v>
      </c>
      <c r="CO21" s="127">
        <f t="shared" si="3"/>
        <v>372.38</v>
      </c>
      <c r="CP21" s="127">
        <f t="shared" si="3"/>
        <v>385.25</v>
      </c>
      <c r="CQ21" s="280">
        <f t="shared" si="3"/>
        <v>375.77</v>
      </c>
      <c r="CR21" s="280">
        <f t="shared" si="3"/>
        <v>393.43</v>
      </c>
      <c r="CS21" s="283">
        <f t="shared" si="3"/>
        <v>397.43</v>
      </c>
      <c r="CT21" s="283">
        <f t="shared" si="3"/>
        <v>402.81</v>
      </c>
      <c r="CU21" s="333">
        <f t="shared" si="3"/>
        <v>410.3</v>
      </c>
      <c r="CV21" s="280">
        <f t="shared" si="3"/>
        <v>414.19</v>
      </c>
      <c r="CW21" s="283">
        <f t="shared" si="3"/>
        <v>419.28</v>
      </c>
      <c r="CX21" s="280">
        <f t="shared" si="3"/>
        <v>422.27</v>
      </c>
      <c r="CY21" s="329">
        <f t="shared" si="3"/>
        <v>433.55</v>
      </c>
      <c r="CZ21" s="826">
        <f t="shared" si="3"/>
        <v>450.91</v>
      </c>
      <c r="DA21" s="280">
        <f t="shared" si="3"/>
        <v>457.49</v>
      </c>
      <c r="DB21" s="280">
        <f t="shared" si="3"/>
        <v>462.08</v>
      </c>
      <c r="DC21" s="280">
        <f t="shared" si="3"/>
        <v>467.97</v>
      </c>
      <c r="DD21" s="280">
        <f t="shared" si="3"/>
        <v>471.16</v>
      </c>
      <c r="DE21" s="283">
        <f t="shared" si="3"/>
        <v>470.17</v>
      </c>
      <c r="DF21" s="280">
        <f t="shared" si="3"/>
        <v>477.95</v>
      </c>
      <c r="DG21" s="280">
        <f t="shared" si="3"/>
        <v>487.33</v>
      </c>
      <c r="DH21" s="280">
        <f t="shared" si="3"/>
        <v>494.11</v>
      </c>
      <c r="DI21" s="280">
        <f t="shared" si="3"/>
        <v>502.29</v>
      </c>
      <c r="DJ21" s="280">
        <f t="shared" si="3"/>
        <v>512.66999999999996</v>
      </c>
      <c r="DK21" s="329">
        <f t="shared" si="3"/>
        <v>518.96</v>
      </c>
      <c r="DL21" s="826">
        <f t="shared" si="3"/>
        <v>543.01</v>
      </c>
      <c r="DM21" s="280">
        <f t="shared" si="3"/>
        <v>547.99</v>
      </c>
      <c r="DN21" s="280">
        <f t="shared" si="3"/>
        <v>552.88</v>
      </c>
      <c r="DO21" s="280">
        <f t="shared" si="3"/>
        <v>558.27</v>
      </c>
      <c r="DP21" s="280">
        <f t="shared" si="3"/>
        <v>536.91999999999996</v>
      </c>
      <c r="DQ21" s="280">
        <f t="shared" si="3"/>
        <v>606.37</v>
      </c>
      <c r="DR21" s="280">
        <f t="shared" si="3"/>
        <v>617.14</v>
      </c>
      <c r="DS21" s="280">
        <f t="shared" si="3"/>
        <v>626.22</v>
      </c>
      <c r="DT21" s="280">
        <f t="shared" si="3"/>
        <v>629.52</v>
      </c>
      <c r="DU21" s="283">
        <f t="shared" si="3"/>
        <v>632.41</v>
      </c>
      <c r="DV21" s="333">
        <f t="shared" si="3"/>
        <v>645.58000000000004</v>
      </c>
      <c r="DW21" s="329">
        <f t="shared" si="3"/>
        <v>646.88</v>
      </c>
      <c r="DX21" s="280">
        <f t="shared" si="3"/>
        <v>649.87</v>
      </c>
      <c r="DY21" s="280">
        <f t="shared" si="3"/>
        <v>654.96</v>
      </c>
      <c r="DZ21" s="280">
        <f t="shared" si="3"/>
        <v>663.64</v>
      </c>
      <c r="EA21" s="280">
        <f t="shared" si="3"/>
        <v>682.3</v>
      </c>
      <c r="EB21" s="280">
        <f t="shared" si="3"/>
        <v>685.99</v>
      </c>
      <c r="EC21" s="280">
        <f t="shared" si="3"/>
        <v>735.78</v>
      </c>
      <c r="ED21" s="280">
        <f t="shared" si="3"/>
        <v>735.38</v>
      </c>
      <c r="EE21" s="280">
        <f t="shared" si="3"/>
        <v>742.37</v>
      </c>
      <c r="EF21" s="280">
        <f t="shared" si="3"/>
        <v>767.51</v>
      </c>
      <c r="EG21" s="280">
        <f t="shared" si="3"/>
        <v>772.1</v>
      </c>
      <c r="EH21" s="280">
        <f t="shared" si="3"/>
        <v>776.39</v>
      </c>
      <c r="EI21" s="329">
        <f t="shared" si="3"/>
        <v>786.47</v>
      </c>
      <c r="EJ21" s="329">
        <f t="shared" si="3"/>
        <v>799.84</v>
      </c>
    </row>
    <row r="22" spans="2:140" ht="8.25" customHeight="1" thickBot="1">
      <c r="D22" s="369"/>
      <c r="H22" s="122"/>
      <c r="I22" s="122"/>
      <c r="N22" s="265"/>
      <c r="O22" s="265"/>
      <c r="P22" s="265"/>
      <c r="AE22" s="361"/>
      <c r="AR22" s="425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361"/>
      <c r="BN22" s="122"/>
      <c r="BO22" s="361"/>
      <c r="BP22" s="425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472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805"/>
      <c r="CN22" s="373"/>
      <c r="CO22" s="380"/>
      <c r="CP22" s="380"/>
      <c r="CQ22" s="822"/>
      <c r="CR22" s="822"/>
      <c r="CS22" s="871"/>
      <c r="CT22" s="871"/>
      <c r="CU22" s="909"/>
      <c r="CV22" s="822"/>
      <c r="CW22" s="871"/>
      <c r="CX22" s="822"/>
      <c r="CY22" s="912"/>
      <c r="CZ22" s="990"/>
      <c r="DA22" s="822"/>
      <c r="DB22" s="822"/>
      <c r="DC22" s="822"/>
      <c r="DD22" s="822"/>
      <c r="DE22" s="871"/>
      <c r="DF22" s="822"/>
      <c r="DG22" s="822"/>
      <c r="DH22" s="822"/>
      <c r="DI22" s="822"/>
      <c r="DJ22" s="822"/>
      <c r="DK22" s="912"/>
      <c r="DL22" s="990"/>
      <c r="DM22" s="822"/>
      <c r="DN22" s="822"/>
      <c r="DO22" s="822"/>
      <c r="DP22" s="822"/>
      <c r="DQ22" s="1116"/>
      <c r="DR22" s="1116"/>
      <c r="DS22" s="1116"/>
      <c r="DT22" s="1116"/>
      <c r="DU22" s="1132"/>
      <c r="DV22" s="999"/>
      <c r="DW22" s="912"/>
      <c r="DX22" s="822"/>
      <c r="DY22" s="822"/>
      <c r="DZ22" s="822"/>
      <c r="EA22" s="822"/>
      <c r="EB22" s="822"/>
      <c r="EC22" s="822"/>
      <c r="ED22" s="822"/>
      <c r="EE22" s="822"/>
      <c r="EF22" s="822"/>
      <c r="EG22" s="822"/>
      <c r="EH22" s="822"/>
      <c r="EI22" s="912"/>
      <c r="EJ22" s="912"/>
    </row>
    <row r="23" spans="2:140" ht="33" customHeight="1" thickBot="1">
      <c r="C23" s="311" t="s">
        <v>525</v>
      </c>
      <c r="D23" s="312">
        <f t="shared" ref="D23:Z23" si="4">0.7*D18+0.3*D21</f>
        <v>100</v>
      </c>
      <c r="E23" s="312">
        <f t="shared" si="4"/>
        <v>284.83</v>
      </c>
      <c r="F23" s="312">
        <f t="shared" si="4"/>
        <v>266.58699999999999</v>
      </c>
      <c r="G23" s="312">
        <f t="shared" si="4"/>
        <v>263.81700000000001</v>
      </c>
      <c r="H23" s="312">
        <f t="shared" si="4"/>
        <v>254.98599999999999</v>
      </c>
      <c r="I23" s="312">
        <f t="shared" si="4"/>
        <v>252.86099999999999</v>
      </c>
      <c r="J23" s="312">
        <f t="shared" si="4"/>
        <v>241.81</v>
      </c>
      <c r="K23" s="312">
        <f t="shared" si="4"/>
        <v>232.339</v>
      </c>
      <c r="L23" s="312">
        <f t="shared" si="4"/>
        <v>226.11099999999999</v>
      </c>
      <c r="M23" s="312">
        <f t="shared" si="4"/>
        <v>224.58199999999997</v>
      </c>
      <c r="N23" s="312">
        <f t="shared" si="4"/>
        <v>220.75700000000001</v>
      </c>
      <c r="O23" s="312">
        <f t="shared" si="4"/>
        <v>226.01899999999998</v>
      </c>
      <c r="P23" s="312">
        <f t="shared" si="4"/>
        <v>226.00599999999997</v>
      </c>
      <c r="Q23" s="312">
        <f t="shared" si="4"/>
        <v>223.786</v>
      </c>
      <c r="R23" s="312">
        <f t="shared" si="4"/>
        <v>225.34299999999996</v>
      </c>
      <c r="S23" s="312">
        <f t="shared" si="4"/>
        <v>230.2</v>
      </c>
      <c r="T23" s="312">
        <f t="shared" si="4"/>
        <v>228.77099999999999</v>
      </c>
      <c r="U23" s="312">
        <f t="shared" si="4"/>
        <v>230.55899999999997</v>
      </c>
      <c r="V23" s="312">
        <f t="shared" si="4"/>
        <v>230.12199999999999</v>
      </c>
      <c r="W23" s="312">
        <f t="shared" si="4"/>
        <v>227.38899999999998</v>
      </c>
      <c r="X23" s="312">
        <f t="shared" si="4"/>
        <v>231.12799999999999</v>
      </c>
      <c r="Y23" s="312">
        <f t="shared" si="4"/>
        <v>232.83799999999997</v>
      </c>
      <c r="Z23" s="312">
        <f t="shared" si="4"/>
        <v>232.46499999999997</v>
      </c>
      <c r="AA23" s="312">
        <f>0.7*AA18+0.3*AA21</f>
        <v>236.864</v>
      </c>
      <c r="AB23" s="312">
        <f>0.7*AB18+0.3*AB21</f>
        <v>233.84099999999998</v>
      </c>
      <c r="AC23" s="312">
        <f>0.7*AC18+0.3*AC21</f>
        <v>233.73199999999997</v>
      </c>
      <c r="AD23" s="312">
        <f>0.7*AD18+0.3*AD21</f>
        <v>232.86099999999999</v>
      </c>
      <c r="AE23" s="312">
        <f>0.7*AE18+0.3*AE21</f>
        <v>235.05700000000002</v>
      </c>
      <c r="AF23" s="313">
        <f t="shared" ref="AF23:AL23" si="5">0.7*AF18+0.3*AF21</f>
        <v>233.60599999999999</v>
      </c>
      <c r="AG23" s="312">
        <f t="shared" si="5"/>
        <v>232.94299999999998</v>
      </c>
      <c r="AH23" s="312">
        <f t="shared" si="5"/>
        <v>235.40600000000001</v>
      </c>
      <c r="AI23" s="312">
        <f t="shared" si="5"/>
        <v>236.47099999999998</v>
      </c>
      <c r="AJ23" s="312">
        <f t="shared" si="5"/>
        <v>236.36700000000002</v>
      </c>
      <c r="AK23" s="312">
        <f t="shared" si="5"/>
        <v>235.22699999999998</v>
      </c>
      <c r="AL23" s="312">
        <f t="shared" si="5"/>
        <v>235.86099999999999</v>
      </c>
      <c r="AM23" s="312">
        <f t="shared" ref="AM23:AR23" si="6">0.7*AM18+0.3*AM21</f>
        <v>237.47999999999996</v>
      </c>
      <c r="AN23" s="312">
        <f t="shared" si="6"/>
        <v>239.51799999999997</v>
      </c>
      <c r="AO23" s="312">
        <f t="shared" si="6"/>
        <v>242.14599999999999</v>
      </c>
      <c r="AP23" s="312">
        <f t="shared" si="6"/>
        <v>242.27699999999999</v>
      </c>
      <c r="AQ23" s="314">
        <f t="shared" si="6"/>
        <v>244.85599999999999</v>
      </c>
      <c r="AR23" s="312">
        <f t="shared" si="6"/>
        <v>247.416</v>
      </c>
      <c r="AS23" s="312">
        <f t="shared" ref="AS23:AX23" si="7">0.7*AS18+0.3*AS21</f>
        <v>248.50799999999998</v>
      </c>
      <c r="AT23" s="312">
        <f t="shared" si="7"/>
        <v>250.512</v>
      </c>
      <c r="AU23" s="312">
        <f t="shared" si="7"/>
        <v>247.76899999999998</v>
      </c>
      <c r="AV23" s="312">
        <f t="shared" si="7"/>
        <v>248.33499999999998</v>
      </c>
      <c r="AW23" s="312">
        <f t="shared" si="7"/>
        <v>249.33199999999999</v>
      </c>
      <c r="AX23" s="312">
        <f t="shared" si="7"/>
        <v>250.87099999999998</v>
      </c>
      <c r="AY23" s="312">
        <f t="shared" ref="AY23:BD23" si="8">0.7*AY18+0.3*AY21</f>
        <v>253.48199999999997</v>
      </c>
      <c r="AZ23" s="312">
        <f t="shared" si="8"/>
        <v>255.05699999999999</v>
      </c>
      <c r="BA23" s="312">
        <f t="shared" si="8"/>
        <v>253.18699999999998</v>
      </c>
      <c r="BB23" s="312">
        <f t="shared" si="8"/>
        <v>250.12799999999999</v>
      </c>
      <c r="BC23" s="312">
        <f t="shared" si="8"/>
        <v>250.86199999999997</v>
      </c>
      <c r="BD23" s="313">
        <f t="shared" si="8"/>
        <v>251.78099999999995</v>
      </c>
      <c r="BE23" s="312">
        <f t="shared" ref="BE23:BK23" si="9">0.7*BE18+0.3*BE21</f>
        <v>254.40799999999996</v>
      </c>
      <c r="BF23" s="312">
        <f t="shared" si="9"/>
        <v>253.74299999999999</v>
      </c>
      <c r="BG23" s="312">
        <f t="shared" si="9"/>
        <v>255.73399999999998</v>
      </c>
      <c r="BH23" s="312">
        <f t="shared" si="9"/>
        <v>258.65899999999999</v>
      </c>
      <c r="BI23" s="312">
        <f t="shared" si="9"/>
        <v>260.86599999999999</v>
      </c>
      <c r="BJ23" s="312">
        <f t="shared" si="9"/>
        <v>263.81099999999998</v>
      </c>
      <c r="BK23" s="312">
        <f t="shared" si="9"/>
        <v>266.37900000000002</v>
      </c>
      <c r="BL23" s="312">
        <f t="shared" ref="BL23:BQ23" si="10">0.7*BL18+0.3*BL21</f>
        <v>267.202</v>
      </c>
      <c r="BM23" s="312">
        <f t="shared" si="10"/>
        <v>269.53800000000001</v>
      </c>
      <c r="BN23" s="312">
        <f t="shared" si="10"/>
        <v>270.02699999999999</v>
      </c>
      <c r="BO23" s="312">
        <f t="shared" si="10"/>
        <v>272.24299999999999</v>
      </c>
      <c r="BP23" s="312">
        <f t="shared" si="10"/>
        <v>271.971</v>
      </c>
      <c r="BQ23" s="312">
        <f t="shared" si="10"/>
        <v>275.77199999999999</v>
      </c>
      <c r="BR23" s="312">
        <f t="shared" ref="BR23:BW23" si="11">0.7*BR18+0.3*BR21</f>
        <v>276.86399999999998</v>
      </c>
      <c r="BS23" s="312">
        <f t="shared" si="11"/>
        <v>279.64299999999997</v>
      </c>
      <c r="BT23" s="312">
        <f t="shared" si="11"/>
        <v>280.37099999999998</v>
      </c>
      <c r="BU23" s="312">
        <f t="shared" si="11"/>
        <v>279.07599999999996</v>
      </c>
      <c r="BV23" s="312">
        <f t="shared" si="11"/>
        <v>278.91499999999996</v>
      </c>
      <c r="BW23" s="312">
        <f t="shared" si="11"/>
        <v>279.89499999999998</v>
      </c>
      <c r="BX23" s="312">
        <f t="shared" ref="BX23:CC23" si="12">0.7*BX18+0.3*BX21</f>
        <v>280.03499999999997</v>
      </c>
      <c r="BY23" s="312">
        <f t="shared" si="12"/>
        <v>283.96199999999999</v>
      </c>
      <c r="BZ23" s="312">
        <f t="shared" si="12"/>
        <v>284.55999999999995</v>
      </c>
      <c r="CA23" s="314">
        <f t="shared" si="12"/>
        <v>287.09399999999999</v>
      </c>
      <c r="CB23" s="314">
        <f t="shared" si="12"/>
        <v>288.34199999999998</v>
      </c>
      <c r="CC23" s="357">
        <f t="shared" si="12"/>
        <v>290.827</v>
      </c>
      <c r="CD23" s="353">
        <f t="shared" ref="CD23:CI23" si="13">0.7*CD18+0.3*CD21</f>
        <v>293.96300000000002</v>
      </c>
      <c r="CE23" s="357">
        <f t="shared" si="13"/>
        <v>298.22399999999999</v>
      </c>
      <c r="CF23" s="357">
        <f t="shared" si="13"/>
        <v>300.11199999999997</v>
      </c>
      <c r="CG23" s="357">
        <f t="shared" si="13"/>
        <v>303.05799999999999</v>
      </c>
      <c r="CH23" s="355">
        <f t="shared" si="13"/>
        <v>304.84699999999998</v>
      </c>
      <c r="CI23" s="355">
        <f t="shared" si="13"/>
        <v>308.02600000000001</v>
      </c>
      <c r="CJ23" s="355">
        <f t="shared" ref="CJ23:CO23" si="14">0.7*CJ18+0.3*CJ21</f>
        <v>309.32199999999995</v>
      </c>
      <c r="CK23" s="355">
        <f t="shared" si="14"/>
        <v>312.88299999999998</v>
      </c>
      <c r="CL23" s="355">
        <f t="shared" si="14"/>
        <v>313.94200000000001</v>
      </c>
      <c r="CM23" s="355">
        <f t="shared" si="14"/>
        <v>314.46699999999998</v>
      </c>
      <c r="CN23" s="816">
        <f t="shared" si="14"/>
        <v>315.75599999999997</v>
      </c>
      <c r="CO23" s="357">
        <f t="shared" si="14"/>
        <v>319.89400000000001</v>
      </c>
      <c r="CP23" s="357">
        <f t="shared" ref="CP23:CU23" si="15">0.7*CP18+0.3*CP21</f>
        <v>324.53199999999998</v>
      </c>
      <c r="CQ23" s="353">
        <f t="shared" si="15"/>
        <v>322.49299999999999</v>
      </c>
      <c r="CR23" s="353">
        <f t="shared" si="15"/>
        <v>330.255</v>
      </c>
      <c r="CS23" s="357">
        <f t="shared" si="15"/>
        <v>331.27300000000002</v>
      </c>
      <c r="CT23" s="357">
        <f t="shared" si="15"/>
        <v>334.27299999999997</v>
      </c>
      <c r="CU23" s="910">
        <f t="shared" si="15"/>
        <v>336.91199999999998</v>
      </c>
      <c r="CV23" s="353">
        <f t="shared" ref="CV23:DA23" si="16">0.7*CV18+0.3*CV21</f>
        <v>339.31799999999998</v>
      </c>
      <c r="CW23" s="357">
        <f t="shared" si="16"/>
        <v>344.26799999999997</v>
      </c>
      <c r="CX23" s="353">
        <f t="shared" si="16"/>
        <v>345.28399999999999</v>
      </c>
      <c r="CY23" s="355">
        <f t="shared" si="16"/>
        <v>349.02499999999998</v>
      </c>
      <c r="CZ23" s="314">
        <f t="shared" si="16"/>
        <v>355.59100000000001</v>
      </c>
      <c r="DA23" s="353">
        <f t="shared" si="16"/>
        <v>358.93699999999995</v>
      </c>
      <c r="DB23" s="353">
        <f t="shared" ref="DB23:DG23" si="17">0.7*DB18+0.3*DB21</f>
        <v>359.83799999999997</v>
      </c>
      <c r="DC23" s="353">
        <f t="shared" si="17"/>
        <v>363.86599999999999</v>
      </c>
      <c r="DD23" s="353">
        <f t="shared" si="17"/>
        <v>365.39699999999999</v>
      </c>
      <c r="DE23" s="357">
        <f t="shared" si="17"/>
        <v>367.13</v>
      </c>
      <c r="DF23" s="353">
        <f t="shared" si="17"/>
        <v>371.92099999999999</v>
      </c>
      <c r="DG23" s="353">
        <f t="shared" si="17"/>
        <v>376.02299999999997</v>
      </c>
      <c r="DH23" s="353">
        <f t="shared" ref="DH23:DM23" si="18">0.7*DH18+0.3*DH21</f>
        <v>378.97399999999999</v>
      </c>
      <c r="DI23" s="353">
        <f t="shared" si="18"/>
        <v>382.16999999999996</v>
      </c>
      <c r="DJ23" s="353">
        <f t="shared" si="18"/>
        <v>385.23500000000001</v>
      </c>
      <c r="DK23" s="355">
        <f t="shared" si="18"/>
        <v>389.76799999999997</v>
      </c>
      <c r="DL23" s="314">
        <f>0.7*DL18+0.3*DL21</f>
        <v>398.08199999999999</v>
      </c>
      <c r="DM23" s="353">
        <f t="shared" si="18"/>
        <v>400.09399999999994</v>
      </c>
      <c r="DN23" s="353">
        <f t="shared" ref="DN23:DS23" si="19">0.7*DN18+0.3*DN21</f>
        <v>405.95</v>
      </c>
      <c r="DO23" s="353">
        <f t="shared" si="19"/>
        <v>409.87699999999995</v>
      </c>
      <c r="DP23" s="353">
        <f t="shared" si="19"/>
        <v>404.71100000000001</v>
      </c>
      <c r="DQ23" s="353">
        <f t="shared" si="19"/>
        <v>427.14199999999994</v>
      </c>
      <c r="DR23" s="353">
        <f t="shared" si="19"/>
        <v>434.65</v>
      </c>
      <c r="DS23" s="353">
        <f t="shared" si="19"/>
        <v>439.411</v>
      </c>
      <c r="DT23" s="353">
        <f t="shared" ref="DT23:DY23" si="20">0.7*DT18+0.3*DT21</f>
        <v>442.68999999999994</v>
      </c>
      <c r="DU23" s="357">
        <f t="shared" si="20"/>
        <v>444.88699999999994</v>
      </c>
      <c r="DV23" s="910">
        <f t="shared" si="20"/>
        <v>450.60199999999998</v>
      </c>
      <c r="DW23" s="355">
        <f t="shared" si="20"/>
        <v>452.43399999999997</v>
      </c>
      <c r="DX23" s="353">
        <f t="shared" si="20"/>
        <v>456.55799999999999</v>
      </c>
      <c r="DY23" s="353">
        <f t="shared" si="20"/>
        <v>460.69599999999997</v>
      </c>
      <c r="DZ23" s="353">
        <f t="shared" ref="DZ23:EE23" si="21">0.7*DZ18+0.3*DZ21</f>
        <v>465.49099999999999</v>
      </c>
      <c r="EA23" s="353">
        <f t="shared" si="21"/>
        <v>474.75699999999995</v>
      </c>
      <c r="EB23" s="353">
        <f t="shared" si="21"/>
        <v>479.12599999999998</v>
      </c>
      <c r="EC23" s="353">
        <f t="shared" si="21"/>
        <v>496.21199999999999</v>
      </c>
      <c r="ED23" s="353">
        <f t="shared" si="21"/>
        <v>497.92600000000004</v>
      </c>
      <c r="EE23" s="353">
        <f t="shared" si="21"/>
        <v>502.59899999999993</v>
      </c>
      <c r="EF23" s="353">
        <f>0.7*EF18+0.3*EF21</f>
        <v>512.89199999999994</v>
      </c>
      <c r="EG23" s="353">
        <f>0.7*EG18+0.3*EG21</f>
        <v>515.452</v>
      </c>
      <c r="EH23" s="353">
        <f>0.7*EH18+0.3*EH21</f>
        <v>518.7059999999999</v>
      </c>
      <c r="EI23" s="355">
        <f>0.7*EI18+0.3*EI21</f>
        <v>528.37299999999993</v>
      </c>
      <c r="EJ23" s="355">
        <f>0.7*EJ18+0.3*EJ21</f>
        <v>540.49700000000007</v>
      </c>
    </row>
    <row r="24" spans="2:140">
      <c r="C24" s="269"/>
      <c r="D24" s="138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2:140">
      <c r="C25" s="3" t="s">
        <v>606</v>
      </c>
    </row>
    <row r="26" spans="2:140" ht="6" customHeight="1"/>
    <row r="27" spans="2:140">
      <c r="C27" s="291" t="s">
        <v>607</v>
      </c>
      <c r="D27" s="315"/>
      <c r="E27" s="315"/>
      <c r="F27" s="315"/>
      <c r="G27" s="315"/>
      <c r="H27" s="315"/>
      <c r="I27" s="316">
        <v>0.7</v>
      </c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410"/>
      <c r="AN27" s="292"/>
      <c r="AO27" s="292"/>
      <c r="AP27" s="292"/>
      <c r="AQ27" s="410"/>
      <c r="AR27" s="292"/>
      <c r="AS27" s="410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410"/>
      <c r="CC27" s="410"/>
      <c r="CD27" s="122"/>
      <c r="CE27" s="122"/>
      <c r="CF27" s="122"/>
      <c r="CG27" s="122"/>
      <c r="CH27" s="122"/>
      <c r="CI27" s="122"/>
      <c r="CJ27" s="122"/>
      <c r="CK27" s="9"/>
      <c r="CL27" s="9"/>
      <c r="CM27" s="9"/>
      <c r="CN27" s="999"/>
      <c r="CO27" s="999"/>
      <c r="CP27" s="999"/>
      <c r="CQ27" s="999"/>
      <c r="CR27" s="999"/>
      <c r="CS27" s="983"/>
      <c r="CT27" s="9"/>
      <c r="CU27" s="9"/>
      <c r="CV27" s="999"/>
      <c r="CW27" s="983"/>
      <c r="CX27" s="9"/>
      <c r="CY27" s="9"/>
      <c r="CZ27" s="983"/>
      <c r="DA27" s="9"/>
      <c r="DB27" s="9"/>
      <c r="DC27" s="999"/>
      <c r="DD27" s="983"/>
      <c r="DF27" s="983"/>
      <c r="DH27" s="999"/>
      <c r="DI27" s="999"/>
      <c r="DJ27" s="983"/>
      <c r="DL27" s="983"/>
      <c r="DQ27" s="983"/>
      <c r="DX27" s="983"/>
    </row>
    <row r="28" spans="2:140">
      <c r="C28" s="317" t="s">
        <v>608</v>
      </c>
      <c r="D28" s="318"/>
      <c r="E28" s="318"/>
      <c r="F28" s="318"/>
      <c r="G28" s="318"/>
      <c r="H28" s="318"/>
      <c r="I28" s="319">
        <v>0.3</v>
      </c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411"/>
      <c r="AN28" s="318"/>
      <c r="AO28" s="318"/>
      <c r="AP28" s="318"/>
      <c r="AQ28" s="411"/>
      <c r="AR28" s="318"/>
      <c r="AS28" s="411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411"/>
      <c r="CC28" s="411"/>
      <c r="CD28" s="122"/>
      <c r="CE28" s="122"/>
      <c r="CF28" s="122"/>
      <c r="CG28" s="122"/>
      <c r="CH28" s="122"/>
      <c r="CI28" s="122"/>
      <c r="CJ28" s="122"/>
      <c r="CK28" s="9"/>
      <c r="CL28" s="9"/>
      <c r="CM28" s="9"/>
      <c r="CN28" s="1000"/>
      <c r="CO28" s="1000"/>
      <c r="CP28" s="1000"/>
      <c r="CQ28" s="1000"/>
      <c r="CR28" s="1000"/>
      <c r="CS28" s="984"/>
      <c r="CT28" s="9"/>
      <c r="CU28" s="9"/>
      <c r="CV28" s="1000"/>
      <c r="CW28" s="984"/>
      <c r="CX28" s="9"/>
      <c r="CY28" s="9"/>
      <c r="CZ28" s="984"/>
      <c r="DA28" s="9"/>
      <c r="DB28" s="9"/>
      <c r="DC28" s="1000"/>
      <c r="DD28" s="984"/>
      <c r="DF28" s="984"/>
      <c r="DH28" s="1000"/>
      <c r="DI28" s="1000"/>
      <c r="DJ28" s="984"/>
      <c r="DL28" s="984"/>
      <c r="DQ28" s="984"/>
      <c r="DX28" s="984"/>
    </row>
    <row r="29" spans="2:140" ht="6" customHeight="1" thickBot="1"/>
    <row r="30" spans="2:140" ht="18.75" customHeight="1" thickBot="1">
      <c r="D30" s="286">
        <v>2001</v>
      </c>
      <c r="E30" s="2934">
        <v>2002</v>
      </c>
      <c r="F30" s="2660"/>
      <c r="G30" s="2660"/>
      <c r="H30" s="2682">
        <v>2003</v>
      </c>
      <c r="I30" s="2683"/>
      <c r="J30" s="2683"/>
      <c r="K30" s="2683"/>
      <c r="L30" s="2683"/>
      <c r="M30" s="2683"/>
      <c r="N30" s="2683"/>
      <c r="O30" s="2683"/>
      <c r="P30" s="2683"/>
      <c r="Q30" s="2683"/>
      <c r="R30" s="2683"/>
      <c r="S30" s="2688"/>
      <c r="T30" s="2935">
        <v>2004</v>
      </c>
      <c r="U30" s="2936"/>
      <c r="V30" s="2936"/>
      <c r="W30" s="2936"/>
      <c r="X30" s="2936"/>
      <c r="Y30" s="2936"/>
      <c r="Z30" s="375"/>
      <c r="AA30" s="375">
        <v>2004</v>
      </c>
      <c r="AB30" s="375"/>
      <c r="AC30" s="375"/>
      <c r="AD30" s="375"/>
      <c r="AE30" s="376"/>
      <c r="AF30" s="2636">
        <v>2005</v>
      </c>
      <c r="AG30" s="2637"/>
      <c r="AH30" s="2637"/>
      <c r="AI30" s="2637"/>
      <c r="AJ30" s="2637"/>
      <c r="AK30" s="2637"/>
      <c r="AL30" s="2637"/>
      <c r="AM30" s="2637"/>
      <c r="AN30" s="2637"/>
      <c r="AO30" s="2637"/>
      <c r="AP30" s="2637"/>
      <c r="AQ30" s="2638"/>
      <c r="AR30" s="404">
        <v>2006</v>
      </c>
      <c r="AS30" s="2636">
        <v>2006</v>
      </c>
      <c r="AT30" s="2637"/>
      <c r="AU30" s="2637"/>
      <c r="AV30" s="2637"/>
      <c r="AW30" s="2637"/>
      <c r="AX30" s="2637"/>
      <c r="AY30" s="2637"/>
      <c r="AZ30" s="2637"/>
      <c r="BA30" s="2637"/>
      <c r="BB30" s="2637"/>
      <c r="BC30" s="2638"/>
      <c r="BD30" s="2636">
        <v>2007</v>
      </c>
      <c r="BE30" s="2637"/>
      <c r="BF30" s="2637"/>
      <c r="BG30" s="2637"/>
      <c r="BH30" s="2637"/>
      <c r="BI30" s="2637"/>
      <c r="BJ30" s="2637"/>
      <c r="BK30" s="2923"/>
      <c r="BL30" s="2923"/>
      <c r="BM30" s="2923"/>
      <c r="BN30" s="2923"/>
      <c r="BO30" s="2924"/>
      <c r="BP30" s="2636">
        <v>2008</v>
      </c>
      <c r="BQ30" s="2637"/>
      <c r="BR30" s="2637"/>
      <c r="BS30" s="2637"/>
      <c r="BT30" s="2637"/>
      <c r="BU30" s="2637"/>
      <c r="BV30" s="2637"/>
      <c r="BW30" s="2637"/>
      <c r="BX30" s="2637"/>
      <c r="BY30" s="2637"/>
      <c r="BZ30" s="2637"/>
      <c r="CA30" s="2638"/>
      <c r="CB30" s="2636">
        <v>2009</v>
      </c>
      <c r="CC30" s="2637"/>
      <c r="CD30" s="2637"/>
      <c r="CE30" s="2637"/>
      <c r="CF30" s="2637"/>
      <c r="CG30" s="2637"/>
      <c r="CH30" s="2637"/>
      <c r="CI30" s="2637"/>
      <c r="CJ30" s="2637"/>
      <c r="CK30" s="2637"/>
      <c r="CL30" s="2637"/>
      <c r="CM30" s="2637"/>
      <c r="CN30" s="2931">
        <v>2010</v>
      </c>
      <c r="CO30" s="2932"/>
      <c r="CP30" s="2932"/>
      <c r="CQ30" s="2932"/>
      <c r="CR30" s="2932"/>
      <c r="CS30" s="2932"/>
      <c r="CT30" s="2932"/>
      <c r="CU30" s="2932"/>
      <c r="CV30" s="2932"/>
      <c r="CW30" s="2932"/>
      <c r="CX30" s="2932"/>
      <c r="CY30" s="981"/>
      <c r="CZ30" s="2925">
        <v>2011</v>
      </c>
      <c r="DA30" s="2926"/>
      <c r="DB30" s="2926"/>
      <c r="DC30" s="2926"/>
      <c r="DD30" s="2926"/>
      <c r="DE30" s="2926"/>
      <c r="DF30" s="2926"/>
      <c r="DG30" s="2926"/>
      <c r="DH30" s="2926"/>
      <c r="DI30" s="2926"/>
      <c r="DJ30" s="2926"/>
      <c r="DK30" s="2927"/>
      <c r="DL30" s="2931">
        <v>2012</v>
      </c>
      <c r="DM30" s="2932"/>
      <c r="DN30" s="2932"/>
      <c r="DO30" s="2932"/>
      <c r="DP30" s="2932"/>
      <c r="DQ30" s="2932"/>
      <c r="DR30" s="2932"/>
      <c r="DS30" s="2932"/>
      <c r="DT30" s="2932"/>
      <c r="DU30" s="2932"/>
      <c r="DV30" s="2932"/>
      <c r="DW30" s="2933"/>
      <c r="DX30" s="2925">
        <v>2013</v>
      </c>
      <c r="DY30" s="2926"/>
      <c r="DZ30" s="2926"/>
      <c r="EA30" s="2926"/>
      <c r="EB30" s="2926"/>
      <c r="EC30" s="2926"/>
      <c r="ED30" s="2926"/>
      <c r="EE30" s="2926"/>
      <c r="EF30" s="2926"/>
      <c r="EG30" s="2926"/>
      <c r="EH30" s="2926"/>
      <c r="EI30" s="1432"/>
      <c r="EJ30" s="1451"/>
    </row>
    <row r="31" spans="2:140" ht="16.5" customHeight="1" thickBot="1">
      <c r="D31" s="298" t="s">
        <v>577</v>
      </c>
      <c r="E31" s="282" t="s">
        <v>590</v>
      </c>
      <c r="F31" s="282" t="s">
        <v>586</v>
      </c>
      <c r="G31" s="320" t="s">
        <v>577</v>
      </c>
      <c r="H31" s="298" t="s">
        <v>578</v>
      </c>
      <c r="I31" s="299" t="s">
        <v>579</v>
      </c>
      <c r="J31" s="413" t="s">
        <v>580</v>
      </c>
      <c r="K31" s="299" t="s">
        <v>581</v>
      </c>
      <c r="L31" s="299" t="s">
        <v>582</v>
      </c>
      <c r="M31" s="413" t="s">
        <v>583</v>
      </c>
      <c r="N31" s="413" t="s">
        <v>587</v>
      </c>
      <c r="O31" s="413" t="s">
        <v>588</v>
      </c>
      <c r="P31" s="413" t="s">
        <v>589</v>
      </c>
      <c r="Q31" s="414" t="s">
        <v>609</v>
      </c>
      <c r="R31" s="415" t="s">
        <v>610</v>
      </c>
      <c r="S31" s="415" t="s">
        <v>611</v>
      </c>
      <c r="T31" s="415" t="s">
        <v>578</v>
      </c>
      <c r="U31" s="415" t="s">
        <v>579</v>
      </c>
      <c r="V31" s="415" t="s">
        <v>580</v>
      </c>
      <c r="W31" s="415" t="s">
        <v>581</v>
      </c>
      <c r="X31" s="415" t="s">
        <v>582</v>
      </c>
      <c r="Y31" s="415" t="s">
        <v>583</v>
      </c>
      <c r="Z31" s="415" t="s">
        <v>587</v>
      </c>
      <c r="AA31" s="415" t="s">
        <v>588</v>
      </c>
      <c r="AB31" s="415" t="s">
        <v>891</v>
      </c>
      <c r="AC31" s="414" t="s">
        <v>455</v>
      </c>
      <c r="AD31" s="414" t="s">
        <v>586</v>
      </c>
      <c r="AE31" s="414" t="s">
        <v>577</v>
      </c>
      <c r="AF31" s="415" t="s">
        <v>578</v>
      </c>
      <c r="AG31" s="415" t="s">
        <v>579</v>
      </c>
      <c r="AH31" s="415" t="s">
        <v>580</v>
      </c>
      <c r="AI31" s="415" t="s">
        <v>581</v>
      </c>
      <c r="AJ31" s="415" t="s">
        <v>582</v>
      </c>
      <c r="AK31" s="415" t="s">
        <v>583</v>
      </c>
      <c r="AL31" s="415" t="s">
        <v>587</v>
      </c>
      <c r="AM31" s="415" t="s">
        <v>588</v>
      </c>
      <c r="AN31" s="415" t="s">
        <v>891</v>
      </c>
      <c r="AO31" s="414" t="s">
        <v>455</v>
      </c>
      <c r="AP31" s="414" t="s">
        <v>586</v>
      </c>
      <c r="AQ31" s="414" t="s">
        <v>577</v>
      </c>
      <c r="AR31" s="298" t="s">
        <v>578</v>
      </c>
      <c r="AS31" s="414" t="s">
        <v>579</v>
      </c>
      <c r="AT31" s="414" t="s">
        <v>580</v>
      </c>
      <c r="AU31" s="414" t="s">
        <v>581</v>
      </c>
      <c r="AV31" s="414" t="s">
        <v>582</v>
      </c>
      <c r="AW31" s="414" t="s">
        <v>583</v>
      </c>
      <c r="AX31" s="414" t="s">
        <v>903</v>
      </c>
      <c r="AY31" s="414" t="s">
        <v>904</v>
      </c>
      <c r="AZ31" s="414" t="s">
        <v>507</v>
      </c>
      <c r="BA31" s="414" t="s">
        <v>621</v>
      </c>
      <c r="BB31" s="414" t="s">
        <v>622</v>
      </c>
      <c r="BC31" s="414" t="s">
        <v>778</v>
      </c>
      <c r="BD31" s="416" t="s">
        <v>469</v>
      </c>
      <c r="BE31" s="414" t="s">
        <v>498</v>
      </c>
      <c r="BF31" s="414" t="s">
        <v>465</v>
      </c>
      <c r="BG31" s="414" t="s">
        <v>466</v>
      </c>
      <c r="BH31" s="414" t="s">
        <v>467</v>
      </c>
      <c r="BI31" s="414" t="s">
        <v>902</v>
      </c>
      <c r="BJ31" s="414" t="s">
        <v>903</v>
      </c>
      <c r="BK31" s="414" t="s">
        <v>904</v>
      </c>
      <c r="BL31" s="414" t="s">
        <v>351</v>
      </c>
      <c r="BM31" s="414" t="s">
        <v>621</v>
      </c>
      <c r="BN31" s="401" t="s">
        <v>610</v>
      </c>
      <c r="BO31" s="417" t="s">
        <v>778</v>
      </c>
      <c r="BP31" s="418" t="s">
        <v>469</v>
      </c>
      <c r="BQ31" s="419" t="s">
        <v>498</v>
      </c>
      <c r="BR31" s="419" t="s">
        <v>465</v>
      </c>
      <c r="BS31" s="419" t="s">
        <v>466</v>
      </c>
      <c r="BT31" s="419" t="s">
        <v>467</v>
      </c>
      <c r="BU31" s="419" t="s">
        <v>902</v>
      </c>
      <c r="BV31" s="419" t="s">
        <v>903</v>
      </c>
      <c r="BW31" s="419" t="s">
        <v>904</v>
      </c>
      <c r="BX31" s="419" t="s">
        <v>891</v>
      </c>
      <c r="BY31" s="419" t="s">
        <v>621</v>
      </c>
      <c r="BZ31" s="419" t="s">
        <v>610</v>
      </c>
      <c r="CA31" s="417" t="s">
        <v>778</v>
      </c>
      <c r="CB31" s="298" t="s">
        <v>469</v>
      </c>
      <c r="CC31" s="412" t="s">
        <v>498</v>
      </c>
      <c r="CD31" s="412" t="s">
        <v>465</v>
      </c>
      <c r="CE31" s="299" t="s">
        <v>466</v>
      </c>
      <c r="CF31" s="412" t="s">
        <v>467</v>
      </c>
      <c r="CG31" s="412" t="s">
        <v>902</v>
      </c>
      <c r="CH31" s="412" t="s">
        <v>903</v>
      </c>
      <c r="CI31" s="412" t="s">
        <v>904</v>
      </c>
      <c r="CJ31" s="412" t="s">
        <v>891</v>
      </c>
      <c r="CK31" s="299" t="s">
        <v>621</v>
      </c>
      <c r="CL31" s="417" t="s">
        <v>610</v>
      </c>
      <c r="CM31" s="299" t="s">
        <v>611</v>
      </c>
      <c r="CN31" s="418" t="s">
        <v>469</v>
      </c>
      <c r="CO31" s="419" t="s">
        <v>498</v>
      </c>
      <c r="CP31" s="419" t="s">
        <v>465</v>
      </c>
      <c r="CQ31" s="420" t="s">
        <v>466</v>
      </c>
      <c r="CR31" s="367" t="s">
        <v>467</v>
      </c>
      <c r="CS31" s="464" t="s">
        <v>902</v>
      </c>
      <c r="CT31" s="904" t="s">
        <v>903</v>
      </c>
      <c r="CU31" s="464" t="s">
        <v>904</v>
      </c>
      <c r="CV31" s="420" t="s">
        <v>891</v>
      </c>
      <c r="CW31" s="419" t="s">
        <v>609</v>
      </c>
      <c r="CX31" s="419" t="s">
        <v>610</v>
      </c>
      <c r="CY31" s="417" t="s">
        <v>611</v>
      </c>
      <c r="CZ31" s="996" t="s">
        <v>469</v>
      </c>
      <c r="DA31" s="367" t="s">
        <v>513</v>
      </c>
      <c r="DB31" s="367" t="s">
        <v>139</v>
      </c>
      <c r="DC31" s="800" t="s">
        <v>514</v>
      </c>
      <c r="DD31" s="464" t="s">
        <v>534</v>
      </c>
      <c r="DE31" s="464" t="s">
        <v>503</v>
      </c>
      <c r="DF31" s="800" t="s">
        <v>457</v>
      </c>
      <c r="DG31" s="800" t="s">
        <v>372</v>
      </c>
      <c r="DH31" s="464" t="s">
        <v>356</v>
      </c>
      <c r="DI31" s="800" t="s">
        <v>609</v>
      </c>
      <c r="DJ31" s="800" t="s">
        <v>610</v>
      </c>
      <c r="DK31" s="476" t="s">
        <v>611</v>
      </c>
      <c r="DL31" s="795" t="s">
        <v>511</v>
      </c>
      <c r="DM31" s="800" t="s">
        <v>513</v>
      </c>
      <c r="DN31" s="1113" t="s">
        <v>139</v>
      </c>
      <c r="DO31" s="1114" t="s">
        <v>514</v>
      </c>
      <c r="DP31" s="1113" t="s">
        <v>582</v>
      </c>
      <c r="DQ31" s="1113" t="s">
        <v>583</v>
      </c>
      <c r="DR31" s="1113" t="s">
        <v>457</v>
      </c>
      <c r="DS31" s="1113" t="s">
        <v>372</v>
      </c>
      <c r="DT31" s="1113" t="s">
        <v>765</v>
      </c>
      <c r="DU31" s="1131" t="s">
        <v>609</v>
      </c>
      <c r="DV31" s="1137" t="s">
        <v>610</v>
      </c>
      <c r="DW31" s="1141" t="s">
        <v>611</v>
      </c>
      <c r="DX31" s="1174" t="s">
        <v>511</v>
      </c>
      <c r="DY31" s="1113" t="s">
        <v>513</v>
      </c>
      <c r="DZ31" s="1117" t="s">
        <v>139</v>
      </c>
      <c r="EA31" s="1112" t="s">
        <v>514</v>
      </c>
      <c r="EB31" s="1112" t="s">
        <v>534</v>
      </c>
      <c r="EC31" s="1112" t="s">
        <v>503</v>
      </c>
      <c r="ED31" s="1112" t="s">
        <v>457</v>
      </c>
      <c r="EE31" s="1426" t="s">
        <v>573</v>
      </c>
      <c r="EF31" s="1112" t="s">
        <v>891</v>
      </c>
      <c r="EG31" s="1112" t="s">
        <v>609</v>
      </c>
      <c r="EH31" s="1113" t="s">
        <v>610</v>
      </c>
      <c r="EI31" s="1143" t="s">
        <v>577</v>
      </c>
      <c r="EJ31" s="1434">
        <v>41640</v>
      </c>
    </row>
    <row r="32" spans="2:140" ht="6" customHeight="1">
      <c r="D32" s="425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N32" s="431"/>
      <c r="BO32" s="430"/>
      <c r="BP32" s="122"/>
      <c r="BQ32" s="122"/>
      <c r="BR32" s="122"/>
      <c r="BS32" s="122"/>
      <c r="BT32" s="122"/>
      <c r="BU32" s="122"/>
      <c r="BV32" s="122"/>
      <c r="BW32" s="430"/>
      <c r="BX32" s="430"/>
      <c r="BY32" s="430"/>
      <c r="BZ32" s="430"/>
      <c r="CA32" s="430"/>
      <c r="CB32" s="432"/>
      <c r="CC32" s="432"/>
      <c r="CD32" s="432"/>
      <c r="CE32" s="432"/>
      <c r="CF32" s="432"/>
      <c r="CG32" s="432"/>
      <c r="CH32" s="432"/>
      <c r="CI32" s="432"/>
      <c r="CJ32" s="432"/>
      <c r="CN32" s="814"/>
      <c r="CO32" s="815"/>
      <c r="CP32" s="815"/>
      <c r="CQ32" s="823"/>
      <c r="CR32" s="828"/>
      <c r="CS32" s="812"/>
      <c r="CT32" s="913"/>
      <c r="CU32" s="812"/>
      <c r="CV32" s="914"/>
      <c r="CW32" s="967"/>
      <c r="CX32" s="967"/>
      <c r="CY32" s="973"/>
      <c r="CZ32" s="1002"/>
      <c r="DA32" s="828"/>
      <c r="DB32" s="828"/>
      <c r="DC32" s="828"/>
      <c r="DD32" s="812"/>
      <c r="DE32" s="812"/>
      <c r="DF32" s="828"/>
      <c r="DG32" s="828"/>
      <c r="DH32" s="812"/>
      <c r="DI32" s="828"/>
      <c r="DJ32" s="828"/>
      <c r="DK32" s="993"/>
      <c r="DL32" s="997"/>
      <c r="DM32" s="828"/>
      <c r="DN32" s="828"/>
      <c r="DO32" s="812"/>
      <c r="DP32" s="828"/>
      <c r="DQ32" s="828"/>
      <c r="DR32" s="828"/>
      <c r="DS32" s="828"/>
      <c r="DT32" s="828"/>
      <c r="DU32" s="812"/>
      <c r="DV32" s="913"/>
      <c r="DW32" s="1140"/>
      <c r="DX32" s="823"/>
      <c r="DY32" s="823"/>
      <c r="DZ32" s="828"/>
      <c r="EA32" s="828"/>
      <c r="EB32" s="828"/>
      <c r="EC32" s="828"/>
      <c r="ED32" s="828"/>
      <c r="EE32" s="828"/>
      <c r="EF32" s="828"/>
      <c r="EG32" s="828"/>
      <c r="EH32" s="828"/>
      <c r="EI32" s="993"/>
      <c r="EJ32" s="993"/>
    </row>
    <row r="33" spans="2:140" ht="18.75" customHeight="1">
      <c r="C33" s="121" t="s">
        <v>612</v>
      </c>
      <c r="D33" s="331">
        <f t="shared" ref="D33:Z33" si="22">+D23</f>
        <v>100</v>
      </c>
      <c r="E33" s="321">
        <f t="shared" si="22"/>
        <v>284.83</v>
      </c>
      <c r="F33" s="321">
        <f t="shared" si="22"/>
        <v>266.58699999999999</v>
      </c>
      <c r="G33" s="321">
        <f t="shared" si="22"/>
        <v>263.81700000000001</v>
      </c>
      <c r="H33" s="321">
        <f t="shared" si="22"/>
        <v>254.98599999999999</v>
      </c>
      <c r="I33" s="321">
        <f t="shared" si="22"/>
        <v>252.86099999999999</v>
      </c>
      <c r="J33" s="321">
        <f t="shared" si="22"/>
        <v>241.81</v>
      </c>
      <c r="K33" s="142">
        <f t="shared" si="22"/>
        <v>232.339</v>
      </c>
      <c r="L33" s="142">
        <f t="shared" si="22"/>
        <v>226.11099999999999</v>
      </c>
      <c r="M33" s="142">
        <f t="shared" si="22"/>
        <v>224.58199999999997</v>
      </c>
      <c r="N33" s="142">
        <f t="shared" si="22"/>
        <v>220.75700000000001</v>
      </c>
      <c r="O33" s="142">
        <f t="shared" si="22"/>
        <v>226.01899999999998</v>
      </c>
      <c r="P33" s="142">
        <f t="shared" si="22"/>
        <v>226.00599999999997</v>
      </c>
      <c r="Q33" s="142">
        <f t="shared" si="22"/>
        <v>223.786</v>
      </c>
      <c r="R33" s="142">
        <f t="shared" si="22"/>
        <v>225.34299999999996</v>
      </c>
      <c r="S33" s="142">
        <f t="shared" si="22"/>
        <v>230.2</v>
      </c>
      <c r="T33" s="142">
        <f t="shared" si="22"/>
        <v>228.77099999999999</v>
      </c>
      <c r="U33" s="142">
        <f t="shared" si="22"/>
        <v>230.55899999999997</v>
      </c>
      <c r="V33" s="142">
        <f t="shared" si="22"/>
        <v>230.12199999999999</v>
      </c>
      <c r="W33" s="142">
        <f t="shared" si="22"/>
        <v>227.38899999999998</v>
      </c>
      <c r="X33" s="142">
        <f t="shared" si="22"/>
        <v>231.12799999999999</v>
      </c>
      <c r="Y33" s="142">
        <f t="shared" si="22"/>
        <v>232.83799999999997</v>
      </c>
      <c r="Z33" s="142">
        <f t="shared" si="22"/>
        <v>232.46499999999997</v>
      </c>
      <c r="AA33" s="142">
        <f>+AA23</f>
        <v>236.864</v>
      </c>
      <c r="AB33" s="142">
        <f>+AB23</f>
        <v>233.84099999999998</v>
      </c>
      <c r="AC33" s="142">
        <f>+AC23</f>
        <v>233.73199999999997</v>
      </c>
      <c r="AD33" s="142">
        <f>+AD23</f>
        <v>232.86099999999999</v>
      </c>
      <c r="AE33" s="142">
        <f>+AE23</f>
        <v>235.05700000000002</v>
      </c>
      <c r="AF33" s="142">
        <f t="shared" ref="AF33:AL33" si="23">+AF23</f>
        <v>233.60599999999999</v>
      </c>
      <c r="AG33" s="142">
        <f t="shared" si="23"/>
        <v>232.94299999999998</v>
      </c>
      <c r="AH33" s="142">
        <f t="shared" si="23"/>
        <v>235.40600000000001</v>
      </c>
      <c r="AI33" s="142">
        <f t="shared" si="23"/>
        <v>236.47099999999998</v>
      </c>
      <c r="AJ33" s="142">
        <f t="shared" si="23"/>
        <v>236.36700000000002</v>
      </c>
      <c r="AK33" s="142">
        <f t="shared" si="23"/>
        <v>235.22699999999998</v>
      </c>
      <c r="AL33" s="142">
        <f t="shared" si="23"/>
        <v>235.86099999999999</v>
      </c>
      <c r="AM33" s="142">
        <f t="shared" ref="AM33:AR33" si="24">+AM23</f>
        <v>237.47999999999996</v>
      </c>
      <c r="AN33" s="142">
        <f t="shared" si="24"/>
        <v>239.51799999999997</v>
      </c>
      <c r="AO33" s="142">
        <f t="shared" si="24"/>
        <v>242.14599999999999</v>
      </c>
      <c r="AP33" s="142">
        <f t="shared" si="24"/>
        <v>242.27699999999999</v>
      </c>
      <c r="AQ33" s="142">
        <f t="shared" si="24"/>
        <v>244.85599999999999</v>
      </c>
      <c r="AR33" s="287">
        <f t="shared" si="24"/>
        <v>247.416</v>
      </c>
      <c r="AS33" s="308">
        <f t="shared" ref="AS33:AX33" si="25">+AS23</f>
        <v>248.50799999999998</v>
      </c>
      <c r="AT33" s="142">
        <f t="shared" si="25"/>
        <v>250.512</v>
      </c>
      <c r="AU33" s="142">
        <f t="shared" si="25"/>
        <v>247.76899999999998</v>
      </c>
      <c r="AV33" s="142">
        <f t="shared" si="25"/>
        <v>248.33499999999998</v>
      </c>
      <c r="AW33" s="142">
        <f t="shared" si="25"/>
        <v>249.33199999999999</v>
      </c>
      <c r="AX33" s="142">
        <f t="shared" si="25"/>
        <v>250.87099999999998</v>
      </c>
      <c r="AY33" s="142">
        <f t="shared" ref="AY33:BD33" si="26">+AY23</f>
        <v>253.48199999999997</v>
      </c>
      <c r="AZ33" s="142">
        <f t="shared" si="26"/>
        <v>255.05699999999999</v>
      </c>
      <c r="BA33" s="142">
        <f t="shared" si="26"/>
        <v>253.18699999999998</v>
      </c>
      <c r="BB33" s="142">
        <f t="shared" si="26"/>
        <v>250.12799999999999</v>
      </c>
      <c r="BC33" s="288">
        <f t="shared" si="26"/>
        <v>250.86199999999997</v>
      </c>
      <c r="BD33" s="289">
        <f t="shared" si="26"/>
        <v>251.78099999999995</v>
      </c>
      <c r="BE33" s="142">
        <f t="shared" ref="BE33:BJ33" si="27">+BE23</f>
        <v>254.40799999999996</v>
      </c>
      <c r="BF33" s="142">
        <f t="shared" si="27"/>
        <v>253.74299999999999</v>
      </c>
      <c r="BG33" s="142">
        <f t="shared" si="27"/>
        <v>255.73399999999998</v>
      </c>
      <c r="BH33" s="142">
        <f t="shared" si="27"/>
        <v>258.65899999999999</v>
      </c>
      <c r="BI33" s="142">
        <f t="shared" si="27"/>
        <v>260.86599999999999</v>
      </c>
      <c r="BJ33" s="142">
        <f t="shared" si="27"/>
        <v>263.81099999999998</v>
      </c>
      <c r="BK33" s="142">
        <f t="shared" ref="BK33:BP33" si="28">+BK23</f>
        <v>266.37900000000002</v>
      </c>
      <c r="BL33" s="142">
        <f t="shared" si="28"/>
        <v>267.202</v>
      </c>
      <c r="BM33" s="142">
        <f t="shared" si="28"/>
        <v>269.53800000000001</v>
      </c>
      <c r="BN33" s="142">
        <f t="shared" si="28"/>
        <v>270.02699999999999</v>
      </c>
      <c r="BO33" s="288">
        <f t="shared" si="28"/>
        <v>272.24299999999999</v>
      </c>
      <c r="BP33" s="308">
        <f t="shared" si="28"/>
        <v>271.971</v>
      </c>
      <c r="BQ33" s="142">
        <f t="shared" ref="BQ33:BV33" si="29">+BQ23</f>
        <v>275.77199999999999</v>
      </c>
      <c r="BR33" s="142">
        <f t="shared" si="29"/>
        <v>276.86399999999998</v>
      </c>
      <c r="BS33" s="142">
        <f t="shared" si="29"/>
        <v>279.64299999999997</v>
      </c>
      <c r="BT33" s="142">
        <f t="shared" si="29"/>
        <v>280.37099999999998</v>
      </c>
      <c r="BU33" s="142">
        <f t="shared" si="29"/>
        <v>279.07599999999996</v>
      </c>
      <c r="BV33" s="142">
        <f t="shared" si="29"/>
        <v>278.91499999999996</v>
      </c>
      <c r="BW33" s="142">
        <f t="shared" ref="BW33:CB33" si="30">+BW23</f>
        <v>279.89499999999998</v>
      </c>
      <c r="BX33" s="142">
        <f t="shared" si="30"/>
        <v>280.03499999999997</v>
      </c>
      <c r="BY33" s="142">
        <f t="shared" si="30"/>
        <v>283.96199999999999</v>
      </c>
      <c r="BZ33" s="142">
        <f t="shared" si="30"/>
        <v>284.55999999999995</v>
      </c>
      <c r="CA33" s="288">
        <f t="shared" si="30"/>
        <v>287.09399999999999</v>
      </c>
      <c r="CB33" s="287">
        <f t="shared" si="30"/>
        <v>288.34199999999998</v>
      </c>
      <c r="CC33" s="142">
        <f t="shared" ref="CC33:CH33" si="31">+CC23</f>
        <v>290.827</v>
      </c>
      <c r="CD33" s="287">
        <f t="shared" si="31"/>
        <v>293.96300000000002</v>
      </c>
      <c r="CE33" s="287">
        <f t="shared" si="31"/>
        <v>298.22399999999999</v>
      </c>
      <c r="CF33" s="142">
        <f t="shared" si="31"/>
        <v>300.11199999999997</v>
      </c>
      <c r="CG33" s="142">
        <f t="shared" si="31"/>
        <v>303.05799999999999</v>
      </c>
      <c r="CH33" s="287">
        <f t="shared" si="31"/>
        <v>304.84699999999998</v>
      </c>
      <c r="CI33" s="142">
        <f t="shared" ref="CI33:CN33" si="32">+CI23</f>
        <v>308.02600000000001</v>
      </c>
      <c r="CJ33" s="142">
        <f t="shared" si="32"/>
        <v>309.32199999999995</v>
      </c>
      <c r="CK33" s="142">
        <f t="shared" si="32"/>
        <v>312.88299999999998</v>
      </c>
      <c r="CL33" s="745">
        <f t="shared" si="32"/>
        <v>313.94200000000001</v>
      </c>
      <c r="CM33" s="287">
        <f t="shared" si="32"/>
        <v>314.46699999999998</v>
      </c>
      <c r="CN33" s="308">
        <f t="shared" si="32"/>
        <v>315.75599999999997</v>
      </c>
      <c r="CO33" s="142">
        <f t="shared" ref="CO33:CT33" si="33">+CO23</f>
        <v>319.89400000000001</v>
      </c>
      <c r="CP33" s="142">
        <f t="shared" si="33"/>
        <v>324.53199999999998</v>
      </c>
      <c r="CQ33" s="287">
        <f t="shared" si="33"/>
        <v>322.49299999999999</v>
      </c>
      <c r="CR33" s="287">
        <f t="shared" si="33"/>
        <v>330.255</v>
      </c>
      <c r="CS33" s="142">
        <f t="shared" si="33"/>
        <v>331.27300000000002</v>
      </c>
      <c r="CT33" s="745">
        <f t="shared" si="33"/>
        <v>334.27299999999997</v>
      </c>
      <c r="CU33" s="142">
        <f t="shared" ref="CU33:CZ33" si="34">+CU23</f>
        <v>336.91199999999998</v>
      </c>
      <c r="CV33" s="287">
        <f t="shared" si="34"/>
        <v>339.31799999999998</v>
      </c>
      <c r="CW33" s="142">
        <f t="shared" si="34"/>
        <v>344.26799999999997</v>
      </c>
      <c r="CX33" s="307">
        <f t="shared" si="34"/>
        <v>345.28399999999999</v>
      </c>
      <c r="CY33" s="332">
        <f t="shared" si="34"/>
        <v>349.02499999999998</v>
      </c>
      <c r="CZ33" s="335">
        <f t="shared" si="34"/>
        <v>355.59100000000001</v>
      </c>
      <c r="DA33" s="330">
        <f t="shared" ref="DA33:DF33" si="35">+DA23</f>
        <v>358.93699999999995</v>
      </c>
      <c r="DB33" s="330">
        <f t="shared" si="35"/>
        <v>359.83799999999997</v>
      </c>
      <c r="DC33" s="330">
        <f t="shared" si="35"/>
        <v>363.86599999999999</v>
      </c>
      <c r="DD33" s="307">
        <f t="shared" si="35"/>
        <v>365.39699999999999</v>
      </c>
      <c r="DE33" s="307">
        <f t="shared" si="35"/>
        <v>367.13</v>
      </c>
      <c r="DF33" s="330">
        <f t="shared" si="35"/>
        <v>371.92099999999999</v>
      </c>
      <c r="DG33" s="330">
        <f t="shared" ref="DG33:DM33" si="36">+DG23</f>
        <v>376.02299999999997</v>
      </c>
      <c r="DH33" s="307">
        <f t="shared" si="36"/>
        <v>378.97399999999999</v>
      </c>
      <c r="DI33" s="330">
        <f t="shared" si="36"/>
        <v>382.16999999999996</v>
      </c>
      <c r="DJ33" s="330">
        <f t="shared" si="36"/>
        <v>385.23500000000001</v>
      </c>
      <c r="DK33" s="332">
        <f t="shared" si="36"/>
        <v>389.76799999999997</v>
      </c>
      <c r="DL33" s="335">
        <f t="shared" si="36"/>
        <v>398.08199999999999</v>
      </c>
      <c r="DM33" s="330">
        <f t="shared" si="36"/>
        <v>400.09399999999994</v>
      </c>
      <c r="DN33" s="330">
        <f t="shared" ref="DN33:DS33" si="37">+DN23</f>
        <v>405.95</v>
      </c>
      <c r="DO33" s="307">
        <f t="shared" si="37"/>
        <v>409.87699999999995</v>
      </c>
      <c r="DP33" s="330">
        <f t="shared" si="37"/>
        <v>404.71100000000001</v>
      </c>
      <c r="DQ33" s="330">
        <f t="shared" si="37"/>
        <v>427.14199999999994</v>
      </c>
      <c r="DR33" s="330">
        <f t="shared" si="37"/>
        <v>434.65</v>
      </c>
      <c r="DS33" s="330">
        <f t="shared" si="37"/>
        <v>439.411</v>
      </c>
      <c r="DT33" s="330">
        <f t="shared" ref="DT33:DY33" si="38">+DT23</f>
        <v>442.68999999999994</v>
      </c>
      <c r="DU33" s="307">
        <f t="shared" si="38"/>
        <v>444.88699999999994</v>
      </c>
      <c r="DV33" s="334">
        <f t="shared" si="38"/>
        <v>450.60199999999998</v>
      </c>
      <c r="DW33" s="332">
        <f t="shared" si="38"/>
        <v>452.43399999999997</v>
      </c>
      <c r="DX33" s="330">
        <f t="shared" si="38"/>
        <v>456.55799999999999</v>
      </c>
      <c r="DY33" s="330">
        <f t="shared" si="38"/>
        <v>460.69599999999997</v>
      </c>
      <c r="DZ33" s="330">
        <f t="shared" ref="DZ33:EE33" si="39">+DZ23</f>
        <v>465.49099999999999</v>
      </c>
      <c r="EA33" s="330">
        <f t="shared" si="39"/>
        <v>474.75699999999995</v>
      </c>
      <c r="EB33" s="330">
        <f t="shared" si="39"/>
        <v>479.12599999999998</v>
      </c>
      <c r="EC33" s="330">
        <f t="shared" si="39"/>
        <v>496.21199999999999</v>
      </c>
      <c r="ED33" s="330">
        <f t="shared" si="39"/>
        <v>497.92600000000004</v>
      </c>
      <c r="EE33" s="330">
        <f t="shared" si="39"/>
        <v>502.59899999999993</v>
      </c>
      <c r="EF33" s="330">
        <f>+EF23</f>
        <v>512.89199999999994</v>
      </c>
      <c r="EG33" s="330">
        <f>+EG23</f>
        <v>515.452</v>
      </c>
      <c r="EH33" s="330">
        <f>+EH23</f>
        <v>518.7059999999999</v>
      </c>
      <c r="EI33" s="332">
        <f>+EI23</f>
        <v>528.37299999999993</v>
      </c>
      <c r="EJ33" s="332">
        <f>+EJ23</f>
        <v>540.49700000000007</v>
      </c>
    </row>
    <row r="34" spans="2:140" ht="19.5" customHeight="1">
      <c r="B34" s="2">
        <v>410</v>
      </c>
      <c r="C34" s="155" t="s">
        <v>613</v>
      </c>
      <c r="D34" s="827">
        <v>93.2</v>
      </c>
      <c r="E34" s="302">
        <v>103.7</v>
      </c>
      <c r="F34" s="302">
        <v>103.8</v>
      </c>
      <c r="G34" s="302">
        <v>103.2</v>
      </c>
      <c r="H34" s="302">
        <v>104.1</v>
      </c>
      <c r="I34" s="302">
        <v>105.5</v>
      </c>
      <c r="J34" s="302">
        <v>106.6</v>
      </c>
      <c r="K34" s="302">
        <v>105.4</v>
      </c>
      <c r="L34" s="302">
        <v>108.7</v>
      </c>
      <c r="M34" s="302">
        <v>108.7</v>
      </c>
      <c r="N34" s="302">
        <v>110.8</v>
      </c>
      <c r="O34" s="302">
        <v>114.2</v>
      </c>
      <c r="P34" s="302">
        <v>116.2</v>
      </c>
      <c r="Q34" s="302">
        <v>119</v>
      </c>
      <c r="R34" s="302">
        <v>120.5</v>
      </c>
      <c r="S34" s="302">
        <v>122.2</v>
      </c>
      <c r="T34" s="302">
        <v>127.4</v>
      </c>
      <c r="U34" s="302">
        <v>130.19999999999999</v>
      </c>
      <c r="V34" s="302">
        <v>130.5</v>
      </c>
      <c r="W34" s="302">
        <v>130.80000000000001</v>
      </c>
      <c r="X34" s="302">
        <v>130.5</v>
      </c>
      <c r="Y34" s="302">
        <v>130</v>
      </c>
      <c r="Z34" s="302">
        <v>133.5</v>
      </c>
      <c r="AA34" s="302">
        <v>132.4</v>
      </c>
      <c r="AB34" s="302">
        <v>132</v>
      </c>
      <c r="AC34" s="302">
        <v>133</v>
      </c>
      <c r="AD34" s="302">
        <v>132.80000000000001</v>
      </c>
      <c r="AE34" s="302">
        <v>133</v>
      </c>
      <c r="AF34" s="302">
        <f>+'TABLA FINAL '!AV195</f>
        <v>140.30000000000001</v>
      </c>
      <c r="AG34" s="302">
        <f>+'TABLA FINAL '!AW195</f>
        <v>140.6</v>
      </c>
      <c r="AH34" s="302">
        <f>+'TABLA FINAL '!AX195</f>
        <v>141.19999999999999</v>
      </c>
      <c r="AI34" s="302">
        <f>+'TABLA FINAL '!AY195</f>
        <v>152.6</v>
      </c>
      <c r="AJ34" s="302">
        <f>+'TABLA FINAL '!AZ195</f>
        <v>154.80000000000001</v>
      </c>
      <c r="AK34" s="302">
        <f>+'TABLA FINAL '!BA195</f>
        <v>156.1</v>
      </c>
      <c r="AL34" s="302">
        <f>+'TABLA FINAL '!BB195</f>
        <v>156.9</v>
      </c>
      <c r="AM34" s="302">
        <f>+'TABLA FINAL '!BC195</f>
        <v>158.30000000000001</v>
      </c>
      <c r="AN34" s="302">
        <f>+'TABLA FINAL '!BD195</f>
        <v>158.9</v>
      </c>
      <c r="AO34" s="302">
        <f>+'TABLA FINAL '!BE195</f>
        <v>161.80000000000001</v>
      </c>
      <c r="AP34" s="302">
        <f>+'TABLA FINAL '!BF195</f>
        <v>170.6</v>
      </c>
      <c r="AQ34" s="302">
        <f>+'TABLA FINAL '!BG195</f>
        <v>171.7</v>
      </c>
      <c r="AR34" s="322">
        <f>+'TABLA FINAL '!BH195</f>
        <v>177.7</v>
      </c>
      <c r="AS34" s="306">
        <f>+'TABLA FINAL '!BI195</f>
        <v>184.1</v>
      </c>
      <c r="AT34" s="302">
        <f>+'TABLA FINAL '!BJ195</f>
        <v>185.5</v>
      </c>
      <c r="AU34" s="302">
        <f>+'TABLA FINAL '!BK195</f>
        <v>189.8</v>
      </c>
      <c r="AV34" s="302">
        <f>+'TABLA FINAL '!BL195</f>
        <v>191.6</v>
      </c>
      <c r="AW34" s="302">
        <f>+'TABLA FINAL '!BM195</f>
        <v>204.5</v>
      </c>
      <c r="AX34" s="302">
        <f>+'TABLA FINAL '!BN195</f>
        <v>206.3</v>
      </c>
      <c r="AY34" s="302">
        <f>+'TABLA FINAL '!BO195</f>
        <v>207.1</v>
      </c>
      <c r="AZ34" s="302">
        <f>+'TABLA FINAL '!BP195</f>
        <v>216.5</v>
      </c>
      <c r="BA34" s="302">
        <f>+'TABLA FINAL '!BQ195</f>
        <v>219.4</v>
      </c>
      <c r="BB34" s="302">
        <f>+'TABLA FINAL '!BR195</f>
        <v>220.8</v>
      </c>
      <c r="BC34" s="303">
        <f>+'TABLA FINAL '!BS195</f>
        <v>223.6</v>
      </c>
      <c r="BD34" s="304">
        <f>+'TABLA FINAL '!BT195</f>
        <v>232.5</v>
      </c>
      <c r="BE34" s="302">
        <f>+'TABLA FINAL '!BU195</f>
        <v>233.1</v>
      </c>
      <c r="BF34" s="302">
        <f>+'TABLA FINAL '!BV195</f>
        <v>232.7</v>
      </c>
      <c r="BG34" s="302">
        <f>+'TABLA FINAL '!BW195</f>
        <v>236.3</v>
      </c>
      <c r="BH34" s="302">
        <f>+'TABLA FINAL '!BX195</f>
        <v>248.7</v>
      </c>
      <c r="BI34" s="302">
        <f>+'TABLA FINAL '!BY195</f>
        <v>251.9</v>
      </c>
      <c r="BJ34" s="302">
        <f>+'TABLA FINAL '!BZ195</f>
        <v>262</v>
      </c>
      <c r="BK34" s="302">
        <f>+'TABLA FINAL '!CA195</f>
        <v>263.3</v>
      </c>
      <c r="BL34" s="302">
        <f>+'TABLA FINAL '!CB195</f>
        <v>265.60000000000002</v>
      </c>
      <c r="BM34" s="302">
        <f>+'TABLA FINAL '!CC195</f>
        <v>277.7</v>
      </c>
      <c r="BN34" s="302">
        <f>+'TABLA FINAL '!CD195</f>
        <v>272.60000000000002</v>
      </c>
      <c r="BO34" s="303">
        <f>+'TABLA FINAL '!CE195</f>
        <v>275</v>
      </c>
      <c r="BP34" s="306">
        <f>+'TABLA FINAL '!CF195</f>
        <v>275</v>
      </c>
      <c r="BQ34" s="302">
        <f>+'TABLA FINAL '!CG195</f>
        <v>275.89999999999998</v>
      </c>
      <c r="BR34" s="302">
        <f>+'TABLA FINAL '!CH195</f>
        <v>276.60000000000002</v>
      </c>
      <c r="BS34" s="302">
        <f>+'TABLA FINAL '!CI195</f>
        <v>277.5</v>
      </c>
      <c r="BT34" s="302">
        <f>+'TABLA FINAL '!CJ195</f>
        <v>302.3</v>
      </c>
      <c r="BU34" s="302">
        <f>+'TABLA FINAL '!CK195</f>
        <v>297.39999999999998</v>
      </c>
      <c r="BV34" s="302">
        <f>+'TABLA FINAL '!CL195</f>
        <v>312.39999999999998</v>
      </c>
      <c r="BW34" s="302">
        <f>+'TABLA FINAL '!CM195</f>
        <v>310.39999999999998</v>
      </c>
      <c r="BX34" s="302">
        <f>+'TABLA FINAL '!CN195</f>
        <v>318.7</v>
      </c>
      <c r="BY34" s="302">
        <f>+'TABLA FINAL '!CO195</f>
        <v>319.7</v>
      </c>
      <c r="BZ34" s="302">
        <f>+'TABLA FINAL '!CP195</f>
        <v>320.10000000000002</v>
      </c>
      <c r="CA34" s="303">
        <f>+'TABLA FINAL '!CQ195</f>
        <v>320.2</v>
      </c>
      <c r="CB34" s="322">
        <f>+'TABLA FINAL '!CR195</f>
        <v>322.5</v>
      </c>
      <c r="CC34" s="302">
        <f>+'TABLA FINAL '!CS195</f>
        <v>324.39999999999998</v>
      </c>
      <c r="CD34" s="322">
        <f>+'TABLA FINAL '!CT195</f>
        <v>324.2</v>
      </c>
      <c r="CE34" s="322">
        <f>+'TABLA FINAL '!CU195</f>
        <v>327.2</v>
      </c>
      <c r="CF34" s="302">
        <f>+'TABLA FINAL '!CV195</f>
        <v>329.9</v>
      </c>
      <c r="CG34" s="302">
        <f>+'TABLA FINAL '!CW195</f>
        <v>347.3</v>
      </c>
      <c r="CH34" s="322">
        <f>+'TABLA FINAL '!CX195</f>
        <v>351.2</v>
      </c>
      <c r="CI34" s="302">
        <f>+'TABLA FINAL '!CY195</f>
        <v>352</v>
      </c>
      <c r="CJ34" s="302">
        <f>+'TABLA FINAL '!CZ195</f>
        <v>351.2</v>
      </c>
      <c r="CK34" s="302">
        <f>+'TABLA FINAL '!DA195</f>
        <v>367.5</v>
      </c>
      <c r="CL34" s="305">
        <f>+'TABLA FINAL '!DB195</f>
        <v>373.2</v>
      </c>
      <c r="CM34" s="322">
        <f>+'TABLA FINAL '!DC195</f>
        <v>374.6</v>
      </c>
      <c r="CN34" s="809">
        <f>+'TABLA FINAL '!DD195</f>
        <v>375.2</v>
      </c>
      <c r="CO34" s="810">
        <f>+'TABLA FINAL '!DE195</f>
        <v>385.6</v>
      </c>
      <c r="CP34" s="810">
        <f>+'TABLA FINAL '!DF195</f>
        <v>407.9</v>
      </c>
      <c r="CQ34" s="824">
        <f>+'TABLA FINAL '!DG195</f>
        <v>384.3</v>
      </c>
      <c r="CR34" s="824">
        <f>+'TABLA FINAL '!DH195</f>
        <v>416.4</v>
      </c>
      <c r="CS34" s="810">
        <f>+'TABLA FINAL '!DI195</f>
        <v>420.2</v>
      </c>
      <c r="CT34" s="915">
        <f>+'TABLA FINAL '!DJ195</f>
        <v>428.4</v>
      </c>
      <c r="CU34" s="810">
        <f>+'TABLA FINAL '!DK195</f>
        <v>440.5</v>
      </c>
      <c r="CV34" s="824">
        <f>+'TABLA FINAL '!DL195</f>
        <v>445.4</v>
      </c>
      <c r="CW34" s="810">
        <f>+'TABLA FINAL  NO'!DM200</f>
        <v>450.6</v>
      </c>
      <c r="CX34" s="321">
        <f>+'TABLA FINAL  NO'!DN200</f>
        <v>453.1</v>
      </c>
      <c r="CY34" s="982">
        <f>+'TABLA FINAL  NO'!DO200</f>
        <v>472.5</v>
      </c>
      <c r="CZ34" s="992">
        <f>+'TABLA FINAL  NO'!DP200</f>
        <v>503.1</v>
      </c>
      <c r="DA34" s="1003">
        <f>+'TABLA FINAL  NO'!DQ200</f>
        <v>512.9</v>
      </c>
      <c r="DB34" s="1003">
        <f>+'TABLA FINAL  NO'!DR200</f>
        <v>518.6</v>
      </c>
      <c r="DC34" s="1003">
        <f>+'TABLA FINAL  NO'!DS200</f>
        <v>526.4</v>
      </c>
      <c r="DD34" s="321">
        <f>+'TABLA FINAL  NO'!DT200</f>
        <v>528.20000000000005</v>
      </c>
      <c r="DE34" s="321">
        <f>+'TABLA FINAL  NO'!DU200</f>
        <v>521.79999999999995</v>
      </c>
      <c r="DF34" s="1003">
        <f>+'TABLA FINAL  NO'!DV200</f>
        <v>532.29999999999995</v>
      </c>
      <c r="DG34" s="1003">
        <f>+'TABLA FINAL  NO'!DW200</f>
        <v>547.29999999999995</v>
      </c>
      <c r="DH34" s="321">
        <f>+'TABLA FINAL  NO'!DX200</f>
        <v>555.29999999999995</v>
      </c>
      <c r="DI34" s="1003">
        <f>+'TABLA FINAL  NO'!DY200</f>
        <v>567.4</v>
      </c>
      <c r="DJ34" s="1003">
        <f>+'TABLA FINAL  NO'!DZ200</f>
        <v>585.29999999999995</v>
      </c>
      <c r="DK34" s="982">
        <f>+'TABLA FINAL  NO'!EA200</f>
        <v>589.6</v>
      </c>
      <c r="DL34" s="992">
        <f>+'TABLA FINAL  NO'!EB200</f>
        <v>631</v>
      </c>
      <c r="DM34" s="1003">
        <f>+'TABLA FINAL  NO'!EC200</f>
        <v>635.4</v>
      </c>
      <c r="DN34" s="1003">
        <f>+'TABLA FINAL  NO'!ED200</f>
        <v>639.9</v>
      </c>
      <c r="DO34" s="321">
        <f>+'TABLA FINAL  NO'!EE200</f>
        <v>643.20000000000005</v>
      </c>
      <c r="DP34" s="1003">
        <f>+'TABLA FINAL  NO'!EF200</f>
        <v>595</v>
      </c>
      <c r="DQ34" s="1003">
        <f>+'TABLA FINAL  NO'!EG200</f>
        <v>595</v>
      </c>
      <c r="DR34" s="1003">
        <f>+'TABLA FINAL  NO'!EH200</f>
        <v>748.4</v>
      </c>
      <c r="DS34" s="1003">
        <f>+'TABLA FINAL  NO'!EI200</f>
        <v>759.7</v>
      </c>
      <c r="DT34" s="1003">
        <f>+'TABLA FINAL  NO'!EJ200</f>
        <v>760.3</v>
      </c>
      <c r="DU34" s="321">
        <f>+'TABLA FINAL  NO'!EK200</f>
        <v>760.2</v>
      </c>
      <c r="DV34" s="1139">
        <f>+'TABLA FINAL  NO'!EL200</f>
        <v>782.4</v>
      </c>
      <c r="DW34" s="982">
        <f>+'TABLA FINAL  NO'!EM200</f>
        <v>779.5</v>
      </c>
      <c r="DX34" s="1003">
        <f>+'TABLA FINAL  NO'!EN200</f>
        <v>780.4</v>
      </c>
      <c r="DY34" s="1003">
        <f>+'TABLA FINAL  NO'!EO200</f>
        <v>782</v>
      </c>
      <c r="DZ34" s="1003">
        <f>+'TABLA FINAL  NO'!EP200</f>
        <v>793.2</v>
      </c>
      <c r="EA34" s="1003">
        <f>+'TABLA FINAL  NO'!EQ200</f>
        <v>822.5</v>
      </c>
      <c r="EB34" s="1003">
        <f>+'TABLA FINAL  NO'!ER200</f>
        <v>820.2</v>
      </c>
      <c r="EC34" s="1003">
        <f>+'TABLA FINAL  NO'!ES200</f>
        <v>914.7</v>
      </c>
      <c r="ED34" s="1003">
        <f>+'TABLA FINAL  NO'!ET200</f>
        <v>909.7</v>
      </c>
      <c r="EE34" s="1003">
        <f>+'TABLA FINAL  NO'!EU200</f>
        <v>915</v>
      </c>
      <c r="EF34" s="1003">
        <f>+'TABLA FINAL  NO'!EV200</f>
        <v>960</v>
      </c>
      <c r="EG34" s="1003">
        <f>+'TABLA FINAL  NO'!EW200</f>
        <v>961.2</v>
      </c>
      <c r="EH34" s="1003">
        <f>+'TABLA FINAL  NO'!EX200</f>
        <v>960.9</v>
      </c>
      <c r="EI34" s="982">
        <f>+'TABLA FINAL  NO'!EY200</f>
        <v>963.7</v>
      </c>
      <c r="EJ34" s="982">
        <f>+'TABLA FINAL  NO'!EZ200</f>
        <v>965.5</v>
      </c>
    </row>
    <row r="35" spans="2:140" ht="21" customHeight="1" thickBot="1">
      <c r="C35" s="155" t="s">
        <v>141</v>
      </c>
      <c r="D35" s="331">
        <f t="shared" ref="D35:AE35" si="40">ROUND(100*D34/$D$34,2)</f>
        <v>100</v>
      </c>
      <c r="E35" s="323">
        <f t="shared" si="40"/>
        <v>111.27</v>
      </c>
      <c r="F35" s="323">
        <f t="shared" si="40"/>
        <v>111.37</v>
      </c>
      <c r="G35" s="323">
        <f t="shared" si="40"/>
        <v>110.73</v>
      </c>
      <c r="H35" s="283">
        <f t="shared" si="40"/>
        <v>111.7</v>
      </c>
      <c r="I35" s="283">
        <f t="shared" si="40"/>
        <v>113.2</v>
      </c>
      <c r="J35" s="283">
        <f t="shared" si="40"/>
        <v>114.38</v>
      </c>
      <c r="K35" s="283">
        <f t="shared" si="40"/>
        <v>113.09</v>
      </c>
      <c r="L35" s="283">
        <f t="shared" si="40"/>
        <v>116.63</v>
      </c>
      <c r="M35" s="283">
        <f t="shared" si="40"/>
        <v>116.63</v>
      </c>
      <c r="N35" s="283">
        <f t="shared" si="40"/>
        <v>118.88</v>
      </c>
      <c r="O35" s="283">
        <f t="shared" si="40"/>
        <v>122.53</v>
      </c>
      <c r="P35" s="283">
        <f t="shared" si="40"/>
        <v>124.68</v>
      </c>
      <c r="Q35" s="283">
        <f t="shared" si="40"/>
        <v>127.68</v>
      </c>
      <c r="R35" s="283">
        <f t="shared" si="40"/>
        <v>129.29</v>
      </c>
      <c r="S35" s="283">
        <f t="shared" si="40"/>
        <v>131.12</v>
      </c>
      <c r="T35" s="283">
        <f t="shared" si="40"/>
        <v>136.69999999999999</v>
      </c>
      <c r="U35" s="283">
        <f t="shared" si="40"/>
        <v>139.69999999999999</v>
      </c>
      <c r="V35" s="283">
        <f t="shared" si="40"/>
        <v>140.02000000000001</v>
      </c>
      <c r="W35" s="283">
        <f t="shared" si="40"/>
        <v>140.34</v>
      </c>
      <c r="X35" s="283">
        <f t="shared" si="40"/>
        <v>140.02000000000001</v>
      </c>
      <c r="Y35" s="283">
        <f t="shared" si="40"/>
        <v>139.47999999999999</v>
      </c>
      <c r="Z35" s="283">
        <f t="shared" si="40"/>
        <v>143.24</v>
      </c>
      <c r="AA35" s="127">
        <f t="shared" si="40"/>
        <v>142.06</v>
      </c>
      <c r="AB35" s="127">
        <f t="shared" si="40"/>
        <v>141.63</v>
      </c>
      <c r="AC35" s="127">
        <f t="shared" si="40"/>
        <v>142.69999999999999</v>
      </c>
      <c r="AD35" s="127">
        <f t="shared" si="40"/>
        <v>142.49</v>
      </c>
      <c r="AE35" s="127">
        <f t="shared" si="40"/>
        <v>142.69999999999999</v>
      </c>
      <c r="AF35" s="283">
        <f t="shared" ref="AF35:EJ35" si="41">ROUND(100*AF34/$D$34,2)</f>
        <v>150.54</v>
      </c>
      <c r="AG35" s="283">
        <f t="shared" si="41"/>
        <v>150.86000000000001</v>
      </c>
      <c r="AH35" s="283">
        <f t="shared" si="41"/>
        <v>151.5</v>
      </c>
      <c r="AI35" s="283">
        <f t="shared" si="41"/>
        <v>163.72999999999999</v>
      </c>
      <c r="AJ35" s="283">
        <f t="shared" si="41"/>
        <v>166.09</v>
      </c>
      <c r="AK35" s="283">
        <f t="shared" si="41"/>
        <v>167.49</v>
      </c>
      <c r="AL35" s="283">
        <f t="shared" si="41"/>
        <v>168.35</v>
      </c>
      <c r="AM35" s="127">
        <f t="shared" si="41"/>
        <v>169.85</v>
      </c>
      <c r="AN35" s="127">
        <f t="shared" si="41"/>
        <v>170.49</v>
      </c>
      <c r="AO35" s="127">
        <f t="shared" si="41"/>
        <v>173.61</v>
      </c>
      <c r="AP35" s="127">
        <f t="shared" si="41"/>
        <v>183.05</v>
      </c>
      <c r="AQ35" s="127">
        <f t="shared" si="41"/>
        <v>184.23</v>
      </c>
      <c r="AR35" s="129">
        <f t="shared" si="41"/>
        <v>190.67</v>
      </c>
      <c r="AS35" s="309">
        <f t="shared" si="41"/>
        <v>197.53</v>
      </c>
      <c r="AT35" s="127">
        <f t="shared" si="41"/>
        <v>199.03</v>
      </c>
      <c r="AU35" s="127">
        <f t="shared" si="41"/>
        <v>203.65</v>
      </c>
      <c r="AV35" s="127">
        <f t="shared" si="41"/>
        <v>205.58</v>
      </c>
      <c r="AW35" s="127">
        <f t="shared" si="41"/>
        <v>219.42</v>
      </c>
      <c r="AX35" s="127">
        <f t="shared" si="41"/>
        <v>221.35</v>
      </c>
      <c r="AY35" s="127">
        <f t="shared" si="41"/>
        <v>222.21</v>
      </c>
      <c r="AZ35" s="127">
        <f t="shared" si="41"/>
        <v>232.3</v>
      </c>
      <c r="BA35" s="127">
        <f t="shared" si="41"/>
        <v>235.41</v>
      </c>
      <c r="BB35" s="127">
        <f t="shared" si="41"/>
        <v>236.91</v>
      </c>
      <c r="BC35" s="130">
        <f t="shared" si="41"/>
        <v>239.91</v>
      </c>
      <c r="BD35" s="310">
        <f t="shared" si="41"/>
        <v>249.46</v>
      </c>
      <c r="BE35" s="127">
        <f t="shared" si="41"/>
        <v>250.11</v>
      </c>
      <c r="BF35" s="127">
        <f t="shared" si="41"/>
        <v>249.68</v>
      </c>
      <c r="BG35" s="127">
        <f t="shared" si="41"/>
        <v>253.54</v>
      </c>
      <c r="BH35" s="127">
        <f t="shared" si="41"/>
        <v>266.85000000000002</v>
      </c>
      <c r="BI35" s="127">
        <f t="shared" si="41"/>
        <v>270.27999999999997</v>
      </c>
      <c r="BJ35" s="127">
        <f t="shared" si="41"/>
        <v>281.12</v>
      </c>
      <c r="BK35" s="140">
        <f t="shared" si="41"/>
        <v>282.51</v>
      </c>
      <c r="BL35" s="140">
        <f t="shared" si="41"/>
        <v>284.98</v>
      </c>
      <c r="BM35" s="140">
        <f t="shared" si="41"/>
        <v>297.95999999999998</v>
      </c>
      <c r="BN35" s="140">
        <f t="shared" si="41"/>
        <v>292.49</v>
      </c>
      <c r="BO35" s="141">
        <f t="shared" si="41"/>
        <v>295.06</v>
      </c>
      <c r="BP35" s="324">
        <f t="shared" si="41"/>
        <v>295.06</v>
      </c>
      <c r="BQ35" s="140">
        <f t="shared" si="41"/>
        <v>296.02999999999997</v>
      </c>
      <c r="BR35" s="140">
        <f t="shared" si="41"/>
        <v>296.77999999999997</v>
      </c>
      <c r="BS35" s="140">
        <f t="shared" si="41"/>
        <v>297.75</v>
      </c>
      <c r="BT35" s="140">
        <f t="shared" si="41"/>
        <v>324.36</v>
      </c>
      <c r="BU35" s="140">
        <f t="shared" si="41"/>
        <v>319.10000000000002</v>
      </c>
      <c r="BV35" s="140">
        <f t="shared" si="41"/>
        <v>335.19</v>
      </c>
      <c r="BW35" s="140">
        <f t="shared" si="41"/>
        <v>333.05</v>
      </c>
      <c r="BX35" s="140">
        <f t="shared" si="41"/>
        <v>341.95</v>
      </c>
      <c r="BY35" s="140">
        <f t="shared" si="41"/>
        <v>343.03</v>
      </c>
      <c r="BZ35" s="140">
        <f t="shared" si="41"/>
        <v>343.45</v>
      </c>
      <c r="CA35" s="141">
        <f t="shared" si="41"/>
        <v>343.56</v>
      </c>
      <c r="CB35" s="139">
        <f t="shared" si="41"/>
        <v>346.03</v>
      </c>
      <c r="CC35" s="350">
        <f t="shared" si="41"/>
        <v>348.07</v>
      </c>
      <c r="CD35" s="352">
        <f t="shared" si="41"/>
        <v>347.85</v>
      </c>
      <c r="CE35" s="352">
        <f t="shared" si="41"/>
        <v>351.07</v>
      </c>
      <c r="CF35" s="350">
        <f t="shared" si="41"/>
        <v>353.97</v>
      </c>
      <c r="CG35" s="350">
        <f t="shared" si="41"/>
        <v>372.64</v>
      </c>
      <c r="CH35" s="352">
        <f t="shared" si="41"/>
        <v>376.82</v>
      </c>
      <c r="CI35" s="350">
        <f t="shared" si="41"/>
        <v>377.68</v>
      </c>
      <c r="CJ35" s="350">
        <f t="shared" si="41"/>
        <v>376.82</v>
      </c>
      <c r="CK35" s="350">
        <f t="shared" si="41"/>
        <v>394.31</v>
      </c>
      <c r="CL35" s="746">
        <f t="shared" si="41"/>
        <v>400.43</v>
      </c>
      <c r="CM35" s="352">
        <f t="shared" si="41"/>
        <v>401.93</v>
      </c>
      <c r="CN35" s="324">
        <f t="shared" si="41"/>
        <v>402.58</v>
      </c>
      <c r="CO35" s="350">
        <f t="shared" si="41"/>
        <v>413.73</v>
      </c>
      <c r="CP35" s="350">
        <f t="shared" si="41"/>
        <v>437.66</v>
      </c>
      <c r="CQ35" s="352">
        <f t="shared" si="41"/>
        <v>412.34</v>
      </c>
      <c r="CR35" s="352">
        <f t="shared" si="41"/>
        <v>446.78</v>
      </c>
      <c r="CS35" s="350">
        <f t="shared" si="41"/>
        <v>450.86</v>
      </c>
      <c r="CT35" s="746">
        <f t="shared" si="41"/>
        <v>459.66</v>
      </c>
      <c r="CU35" s="350">
        <f t="shared" si="41"/>
        <v>472.64</v>
      </c>
      <c r="CV35" s="352">
        <f t="shared" si="41"/>
        <v>477.9</v>
      </c>
      <c r="CW35" s="350">
        <f t="shared" si="41"/>
        <v>483.48</v>
      </c>
      <c r="CX35" s="470">
        <f t="shared" si="41"/>
        <v>486.16</v>
      </c>
      <c r="CY35" s="478">
        <f t="shared" si="41"/>
        <v>506.97</v>
      </c>
      <c r="CZ35" s="514">
        <f t="shared" si="41"/>
        <v>539.80999999999995</v>
      </c>
      <c r="DA35" s="477">
        <f t="shared" si="41"/>
        <v>550.32000000000005</v>
      </c>
      <c r="DB35" s="477">
        <f t="shared" si="41"/>
        <v>556.44000000000005</v>
      </c>
      <c r="DC35" s="477">
        <f t="shared" si="41"/>
        <v>564.80999999999995</v>
      </c>
      <c r="DD35" s="470">
        <f t="shared" si="41"/>
        <v>566.74</v>
      </c>
      <c r="DE35" s="470">
        <f t="shared" si="41"/>
        <v>559.87</v>
      </c>
      <c r="DF35" s="477">
        <f t="shared" si="41"/>
        <v>571.14</v>
      </c>
      <c r="DG35" s="477">
        <f t="shared" si="41"/>
        <v>587.23</v>
      </c>
      <c r="DH35" s="470">
        <f t="shared" si="41"/>
        <v>595.82000000000005</v>
      </c>
      <c r="DI35" s="477">
        <f t="shared" si="41"/>
        <v>608.79999999999995</v>
      </c>
      <c r="DJ35" s="477">
        <f t="shared" si="41"/>
        <v>628</v>
      </c>
      <c r="DK35" s="478">
        <f t="shared" si="41"/>
        <v>632.62</v>
      </c>
      <c r="DL35" s="514">
        <f t="shared" si="41"/>
        <v>677.04</v>
      </c>
      <c r="DM35" s="477">
        <f t="shared" si="41"/>
        <v>681.76</v>
      </c>
      <c r="DN35" s="477">
        <f t="shared" si="41"/>
        <v>686.59</v>
      </c>
      <c r="DO35" s="470">
        <f t="shared" si="41"/>
        <v>690.13</v>
      </c>
      <c r="DP35" s="477">
        <f t="shared" si="41"/>
        <v>638.41</v>
      </c>
      <c r="DQ35" s="477">
        <f t="shared" si="41"/>
        <v>638.41</v>
      </c>
      <c r="DR35" s="477">
        <f t="shared" si="41"/>
        <v>803</v>
      </c>
      <c r="DS35" s="477">
        <f t="shared" si="41"/>
        <v>815.13</v>
      </c>
      <c r="DT35" s="477">
        <f t="shared" si="41"/>
        <v>815.77</v>
      </c>
      <c r="DU35" s="470">
        <f t="shared" si="41"/>
        <v>815.67</v>
      </c>
      <c r="DV35" s="747">
        <f t="shared" si="41"/>
        <v>839.48</v>
      </c>
      <c r="DW35" s="478">
        <f t="shared" si="41"/>
        <v>836.37</v>
      </c>
      <c r="DX35" s="477">
        <f t="shared" si="41"/>
        <v>837.34</v>
      </c>
      <c r="DY35" s="477">
        <f t="shared" si="41"/>
        <v>839.06</v>
      </c>
      <c r="DZ35" s="477">
        <f t="shared" si="41"/>
        <v>851.07</v>
      </c>
      <c r="EA35" s="477">
        <f t="shared" si="41"/>
        <v>882.51</v>
      </c>
      <c r="EB35" s="477">
        <f t="shared" si="41"/>
        <v>880.04</v>
      </c>
      <c r="EC35" s="477">
        <f t="shared" si="41"/>
        <v>981.44</v>
      </c>
      <c r="ED35" s="477">
        <f t="shared" si="41"/>
        <v>976.07</v>
      </c>
      <c r="EE35" s="477">
        <f t="shared" si="41"/>
        <v>981.76</v>
      </c>
      <c r="EF35" s="477">
        <f t="shared" si="41"/>
        <v>1030.04</v>
      </c>
      <c r="EG35" s="477">
        <f t="shared" si="41"/>
        <v>1031.33</v>
      </c>
      <c r="EH35" s="477">
        <f t="shared" si="41"/>
        <v>1031.01</v>
      </c>
      <c r="EI35" s="478">
        <f t="shared" si="41"/>
        <v>1034.01</v>
      </c>
      <c r="EJ35" s="478">
        <f t="shared" si="41"/>
        <v>1035.94</v>
      </c>
    </row>
    <row r="36" spans="2:140" ht="21" customHeight="1" thickBot="1">
      <c r="C36" s="284" t="s">
        <v>549</v>
      </c>
      <c r="D36" s="312">
        <f t="shared" ref="D36:AE36" si="42">ROUND(+$I$27*D33+$I$28*D35,2)</f>
        <v>100</v>
      </c>
      <c r="E36" s="312">
        <f t="shared" si="42"/>
        <v>232.76</v>
      </c>
      <c r="F36" s="312">
        <f t="shared" si="42"/>
        <v>220.02</v>
      </c>
      <c r="G36" s="312">
        <f t="shared" si="42"/>
        <v>217.89</v>
      </c>
      <c r="H36" s="312">
        <f t="shared" si="42"/>
        <v>212</v>
      </c>
      <c r="I36" s="312">
        <f t="shared" si="42"/>
        <v>210.96</v>
      </c>
      <c r="J36" s="312">
        <f t="shared" si="42"/>
        <v>203.58</v>
      </c>
      <c r="K36" s="312">
        <f t="shared" si="42"/>
        <v>196.56</v>
      </c>
      <c r="L36" s="312">
        <f t="shared" si="42"/>
        <v>193.27</v>
      </c>
      <c r="M36" s="312">
        <f t="shared" si="42"/>
        <v>192.2</v>
      </c>
      <c r="N36" s="312">
        <f t="shared" si="42"/>
        <v>190.19</v>
      </c>
      <c r="O36" s="312">
        <f t="shared" si="42"/>
        <v>194.97</v>
      </c>
      <c r="P36" s="312">
        <f t="shared" si="42"/>
        <v>195.61</v>
      </c>
      <c r="Q36" s="312">
        <f t="shared" si="42"/>
        <v>194.95</v>
      </c>
      <c r="R36" s="312">
        <f t="shared" si="42"/>
        <v>196.53</v>
      </c>
      <c r="S36" s="312">
        <f t="shared" si="42"/>
        <v>200.48</v>
      </c>
      <c r="T36" s="312">
        <f t="shared" si="42"/>
        <v>201.15</v>
      </c>
      <c r="U36" s="312">
        <f t="shared" si="42"/>
        <v>203.3</v>
      </c>
      <c r="V36" s="312">
        <f t="shared" si="42"/>
        <v>203.09</v>
      </c>
      <c r="W36" s="312">
        <f t="shared" si="42"/>
        <v>201.27</v>
      </c>
      <c r="X36" s="312">
        <f t="shared" si="42"/>
        <v>203.8</v>
      </c>
      <c r="Y36" s="312">
        <f t="shared" si="42"/>
        <v>204.83</v>
      </c>
      <c r="Z36" s="312">
        <f t="shared" si="42"/>
        <v>205.7</v>
      </c>
      <c r="AA36" s="312">
        <f t="shared" si="42"/>
        <v>208.42</v>
      </c>
      <c r="AB36" s="312">
        <f t="shared" si="42"/>
        <v>206.18</v>
      </c>
      <c r="AC36" s="312">
        <f t="shared" si="42"/>
        <v>206.42</v>
      </c>
      <c r="AD36" s="312">
        <f t="shared" si="42"/>
        <v>205.75</v>
      </c>
      <c r="AE36" s="312">
        <f t="shared" si="42"/>
        <v>207.35</v>
      </c>
      <c r="AF36" s="312">
        <f t="shared" ref="AF36:EJ36" si="43">ROUND(+$I$27*AF33+$I$28*AF35,2)</f>
        <v>208.69</v>
      </c>
      <c r="AG36" s="312">
        <f t="shared" si="43"/>
        <v>208.32</v>
      </c>
      <c r="AH36" s="312">
        <f t="shared" si="43"/>
        <v>210.23</v>
      </c>
      <c r="AI36" s="312">
        <f t="shared" si="43"/>
        <v>214.65</v>
      </c>
      <c r="AJ36" s="312">
        <f t="shared" si="43"/>
        <v>215.28</v>
      </c>
      <c r="AK36" s="312">
        <f t="shared" si="43"/>
        <v>214.91</v>
      </c>
      <c r="AL36" s="312">
        <f t="shared" si="43"/>
        <v>215.61</v>
      </c>
      <c r="AM36" s="312">
        <f t="shared" si="43"/>
        <v>217.19</v>
      </c>
      <c r="AN36" s="312">
        <f t="shared" si="43"/>
        <v>218.81</v>
      </c>
      <c r="AO36" s="312">
        <f t="shared" si="43"/>
        <v>221.59</v>
      </c>
      <c r="AP36" s="312">
        <f t="shared" si="43"/>
        <v>224.51</v>
      </c>
      <c r="AQ36" s="312">
        <f t="shared" si="43"/>
        <v>226.67</v>
      </c>
      <c r="AR36" s="312">
        <f t="shared" si="43"/>
        <v>230.39</v>
      </c>
      <c r="AS36" s="312">
        <f t="shared" si="43"/>
        <v>233.21</v>
      </c>
      <c r="AT36" s="312">
        <f t="shared" si="43"/>
        <v>235.07</v>
      </c>
      <c r="AU36" s="312">
        <f t="shared" si="43"/>
        <v>234.53</v>
      </c>
      <c r="AV36" s="312">
        <f t="shared" si="43"/>
        <v>235.51</v>
      </c>
      <c r="AW36" s="312">
        <f t="shared" si="43"/>
        <v>240.36</v>
      </c>
      <c r="AX36" s="312">
        <f t="shared" si="43"/>
        <v>242.01</v>
      </c>
      <c r="AY36" s="312">
        <f t="shared" si="43"/>
        <v>244.1</v>
      </c>
      <c r="AZ36" s="312">
        <f t="shared" si="43"/>
        <v>248.23</v>
      </c>
      <c r="BA36" s="312">
        <f t="shared" si="43"/>
        <v>247.85</v>
      </c>
      <c r="BB36" s="312">
        <f t="shared" si="43"/>
        <v>246.16</v>
      </c>
      <c r="BC36" s="312">
        <f t="shared" si="43"/>
        <v>247.58</v>
      </c>
      <c r="BD36" s="312">
        <f t="shared" si="43"/>
        <v>251.08</v>
      </c>
      <c r="BE36" s="312">
        <f t="shared" si="43"/>
        <v>253.12</v>
      </c>
      <c r="BF36" s="312">
        <f t="shared" si="43"/>
        <v>252.52</v>
      </c>
      <c r="BG36" s="312">
        <f t="shared" si="43"/>
        <v>255.08</v>
      </c>
      <c r="BH36" s="312">
        <f t="shared" si="43"/>
        <v>261.12</v>
      </c>
      <c r="BI36" s="312">
        <f t="shared" si="43"/>
        <v>263.69</v>
      </c>
      <c r="BJ36" s="312">
        <f t="shared" si="43"/>
        <v>269</v>
      </c>
      <c r="BK36" s="312">
        <f t="shared" si="43"/>
        <v>271.22000000000003</v>
      </c>
      <c r="BL36" s="312">
        <f t="shared" si="43"/>
        <v>272.54000000000002</v>
      </c>
      <c r="BM36" s="312">
        <f t="shared" si="43"/>
        <v>278.06</v>
      </c>
      <c r="BN36" s="312">
        <f t="shared" si="43"/>
        <v>276.77</v>
      </c>
      <c r="BO36" s="312">
        <f t="shared" si="43"/>
        <v>279.08999999999997</v>
      </c>
      <c r="BP36" s="312">
        <f t="shared" si="43"/>
        <v>278.89999999999998</v>
      </c>
      <c r="BQ36" s="312">
        <f t="shared" si="43"/>
        <v>281.85000000000002</v>
      </c>
      <c r="BR36" s="312">
        <f t="shared" si="43"/>
        <v>282.83999999999997</v>
      </c>
      <c r="BS36" s="312">
        <f t="shared" si="43"/>
        <v>285.08</v>
      </c>
      <c r="BT36" s="312">
        <f t="shared" si="43"/>
        <v>293.57</v>
      </c>
      <c r="BU36" s="312">
        <f t="shared" si="43"/>
        <v>291.08</v>
      </c>
      <c r="BV36" s="312">
        <f t="shared" si="43"/>
        <v>295.8</v>
      </c>
      <c r="BW36" s="312">
        <f t="shared" si="43"/>
        <v>295.83999999999997</v>
      </c>
      <c r="BX36" s="312">
        <f t="shared" si="43"/>
        <v>298.61</v>
      </c>
      <c r="BY36" s="312">
        <f t="shared" si="43"/>
        <v>301.68</v>
      </c>
      <c r="BZ36" s="312">
        <f t="shared" si="43"/>
        <v>302.23</v>
      </c>
      <c r="CA36" s="312">
        <f t="shared" si="43"/>
        <v>304.02999999999997</v>
      </c>
      <c r="CB36" s="312">
        <f t="shared" si="43"/>
        <v>305.64999999999998</v>
      </c>
      <c r="CC36" s="312">
        <f t="shared" si="43"/>
        <v>308</v>
      </c>
      <c r="CD36" s="312">
        <f t="shared" si="43"/>
        <v>310.13</v>
      </c>
      <c r="CE36" s="312">
        <f t="shared" si="43"/>
        <v>314.08</v>
      </c>
      <c r="CF36" s="312">
        <f t="shared" si="43"/>
        <v>316.27</v>
      </c>
      <c r="CG36" s="312">
        <f t="shared" si="43"/>
        <v>323.93</v>
      </c>
      <c r="CH36" s="312">
        <f t="shared" si="43"/>
        <v>326.44</v>
      </c>
      <c r="CI36" s="312">
        <f t="shared" si="43"/>
        <v>328.92</v>
      </c>
      <c r="CJ36" s="312">
        <f t="shared" si="43"/>
        <v>329.57</v>
      </c>
      <c r="CK36" s="312">
        <f t="shared" si="43"/>
        <v>337.31</v>
      </c>
      <c r="CL36" s="312">
        <f t="shared" si="43"/>
        <v>339.89</v>
      </c>
      <c r="CM36" s="314">
        <f t="shared" si="43"/>
        <v>340.71</v>
      </c>
      <c r="CN36" s="816">
        <f t="shared" si="43"/>
        <v>341.8</v>
      </c>
      <c r="CO36" s="357">
        <f t="shared" si="43"/>
        <v>348.04</v>
      </c>
      <c r="CP36" s="357">
        <f t="shared" si="43"/>
        <v>358.47</v>
      </c>
      <c r="CQ36" s="353">
        <f t="shared" si="43"/>
        <v>349.45</v>
      </c>
      <c r="CR36" s="353">
        <f t="shared" si="43"/>
        <v>365.21</v>
      </c>
      <c r="CS36" s="357">
        <f t="shared" si="43"/>
        <v>367.15</v>
      </c>
      <c r="CT36" s="910">
        <f t="shared" si="43"/>
        <v>371.89</v>
      </c>
      <c r="CU36" s="357">
        <f t="shared" si="43"/>
        <v>377.63</v>
      </c>
      <c r="CV36" s="353">
        <f t="shared" si="43"/>
        <v>380.89</v>
      </c>
      <c r="CW36" s="357">
        <f t="shared" si="43"/>
        <v>386.03</v>
      </c>
      <c r="CX36" s="357">
        <f t="shared" si="43"/>
        <v>387.55</v>
      </c>
      <c r="CY36" s="355">
        <f t="shared" si="43"/>
        <v>396.41</v>
      </c>
      <c r="CZ36" s="314">
        <f t="shared" si="43"/>
        <v>410.86</v>
      </c>
      <c r="DA36" s="353">
        <f t="shared" si="43"/>
        <v>416.35</v>
      </c>
      <c r="DB36" s="353">
        <f t="shared" si="43"/>
        <v>418.82</v>
      </c>
      <c r="DC36" s="353">
        <f t="shared" si="43"/>
        <v>424.15</v>
      </c>
      <c r="DD36" s="357">
        <f t="shared" si="43"/>
        <v>425.8</v>
      </c>
      <c r="DE36" s="357">
        <f t="shared" si="43"/>
        <v>424.95</v>
      </c>
      <c r="DF36" s="353">
        <f t="shared" si="43"/>
        <v>431.69</v>
      </c>
      <c r="DG36" s="353">
        <f t="shared" si="43"/>
        <v>439.39</v>
      </c>
      <c r="DH36" s="357">
        <f t="shared" si="43"/>
        <v>444.03</v>
      </c>
      <c r="DI36" s="353">
        <f t="shared" si="43"/>
        <v>450.16</v>
      </c>
      <c r="DJ36" s="353">
        <f t="shared" si="43"/>
        <v>458.06</v>
      </c>
      <c r="DK36" s="355">
        <f t="shared" si="43"/>
        <v>462.62</v>
      </c>
      <c r="DL36" s="314">
        <f t="shared" si="43"/>
        <v>481.77</v>
      </c>
      <c r="DM36" s="353">
        <f t="shared" si="43"/>
        <v>484.59</v>
      </c>
      <c r="DN36" s="353">
        <f t="shared" si="43"/>
        <v>490.14</v>
      </c>
      <c r="DO36" s="357">
        <f t="shared" si="43"/>
        <v>493.95</v>
      </c>
      <c r="DP36" s="353">
        <f t="shared" si="43"/>
        <v>474.82</v>
      </c>
      <c r="DQ36" s="353">
        <f t="shared" si="43"/>
        <v>490.52</v>
      </c>
      <c r="DR36" s="353">
        <f t="shared" si="43"/>
        <v>545.16</v>
      </c>
      <c r="DS36" s="353">
        <f t="shared" si="43"/>
        <v>552.13</v>
      </c>
      <c r="DT36" s="353">
        <f t="shared" si="43"/>
        <v>554.61</v>
      </c>
      <c r="DU36" s="357">
        <f t="shared" si="43"/>
        <v>556.12</v>
      </c>
      <c r="DV36" s="910">
        <f t="shared" si="43"/>
        <v>567.27</v>
      </c>
      <c r="DW36" s="355">
        <f t="shared" si="43"/>
        <v>567.61</v>
      </c>
      <c r="DX36" s="353">
        <f t="shared" si="43"/>
        <v>570.79</v>
      </c>
      <c r="DY36" s="353">
        <f t="shared" si="43"/>
        <v>574.21</v>
      </c>
      <c r="DZ36" s="353">
        <f t="shared" si="43"/>
        <v>581.16</v>
      </c>
      <c r="EA36" s="353">
        <f t="shared" si="43"/>
        <v>597.08000000000004</v>
      </c>
      <c r="EB36" s="353">
        <f t="shared" si="43"/>
        <v>599.4</v>
      </c>
      <c r="EC36" s="353">
        <f t="shared" si="43"/>
        <v>641.78</v>
      </c>
      <c r="ED36" s="353">
        <f t="shared" si="43"/>
        <v>641.37</v>
      </c>
      <c r="EE36" s="353">
        <f t="shared" si="43"/>
        <v>646.35</v>
      </c>
      <c r="EF36" s="353">
        <f t="shared" si="43"/>
        <v>668.04</v>
      </c>
      <c r="EG36" s="353">
        <f t="shared" si="43"/>
        <v>670.22</v>
      </c>
      <c r="EH36" s="353">
        <f t="shared" si="43"/>
        <v>672.4</v>
      </c>
      <c r="EI36" s="355">
        <f t="shared" si="43"/>
        <v>680.06</v>
      </c>
      <c r="EJ36" s="355">
        <f t="shared" si="43"/>
        <v>689.13</v>
      </c>
    </row>
    <row r="37" spans="2:140" ht="15.75" customHeight="1">
      <c r="C37" s="28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F37" s="325"/>
      <c r="AG37" s="325"/>
      <c r="AH37" s="325"/>
      <c r="AI37" s="325"/>
      <c r="AJ37" s="325"/>
      <c r="AK37" s="325"/>
      <c r="AL37" s="325"/>
      <c r="CN37" s="9"/>
      <c r="CO37" s="9"/>
      <c r="CP37" s="9"/>
      <c r="CQ37" s="9"/>
      <c r="CR37" s="9"/>
      <c r="CS37" s="866"/>
      <c r="CT37" s="866"/>
      <c r="CU37" s="866"/>
    </row>
    <row r="39" spans="2:140">
      <c r="C39" s="3" t="s">
        <v>616</v>
      </c>
    </row>
    <row r="40" spans="2:140">
      <c r="C40" s="132" t="s">
        <v>526</v>
      </c>
    </row>
    <row r="41" spans="2:140">
      <c r="C41" s="132" t="s">
        <v>528</v>
      </c>
    </row>
    <row r="42" spans="2:140" ht="6" customHeight="1">
      <c r="C42" s="3"/>
    </row>
    <row r="43" spans="2:140">
      <c r="C43" s="291" t="s">
        <v>617</v>
      </c>
      <c r="D43" s="315"/>
      <c r="E43" s="315"/>
      <c r="F43" s="315"/>
      <c r="G43" s="315"/>
      <c r="H43" s="315"/>
      <c r="I43" s="316">
        <v>0.85</v>
      </c>
      <c r="J43" s="326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999"/>
      <c r="CL43" s="999"/>
      <c r="CM43" s="999"/>
      <c r="CN43" s="999"/>
      <c r="CO43" s="999"/>
      <c r="CP43" s="999"/>
      <c r="CQ43" s="999"/>
      <c r="CR43" s="999"/>
      <c r="CS43" s="983"/>
      <c r="CT43" s="999"/>
      <c r="CU43" s="999"/>
      <c r="CV43" s="999"/>
      <c r="CW43" s="983"/>
      <c r="CZ43" s="983"/>
      <c r="DB43" s="983"/>
      <c r="DC43" s="1116"/>
      <c r="DD43" s="983"/>
      <c r="DF43" s="983"/>
      <c r="DH43" s="999"/>
      <c r="DI43" s="999"/>
      <c r="DJ43" s="983"/>
      <c r="DL43" s="983"/>
      <c r="DQ43" s="983"/>
      <c r="DX43" s="983"/>
    </row>
    <row r="44" spans="2:140" ht="17.25" customHeight="1">
      <c r="C44" s="317" t="s">
        <v>618</v>
      </c>
      <c r="D44" s="318"/>
      <c r="E44" s="318"/>
      <c r="F44" s="318"/>
      <c r="G44" s="318"/>
      <c r="H44" s="318"/>
      <c r="I44" s="319">
        <v>0.15</v>
      </c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1000"/>
      <c r="CL44" s="1000"/>
      <c r="CM44" s="1000"/>
      <c r="CN44" s="1000"/>
      <c r="CO44" s="1000"/>
      <c r="CP44" s="1000"/>
      <c r="CQ44" s="1000"/>
      <c r="CR44" s="1000"/>
      <c r="CS44" s="984"/>
      <c r="CT44" s="1000"/>
      <c r="CU44" s="1000"/>
      <c r="CV44" s="1000"/>
      <c r="CW44" s="984"/>
      <c r="CZ44" s="984"/>
      <c r="DB44" s="984"/>
      <c r="DC44" s="823"/>
      <c r="DD44" s="984"/>
      <c r="DF44" s="984"/>
      <c r="DH44" s="1000"/>
      <c r="DI44" s="1000"/>
      <c r="DJ44" s="984"/>
      <c r="DL44" s="984"/>
      <c r="DQ44" s="984"/>
      <c r="DX44" s="984"/>
    </row>
    <row r="45" spans="2:140" ht="17.25" customHeight="1" thickBot="1">
      <c r="C45" s="122"/>
      <c r="D45" s="122"/>
      <c r="E45" s="122"/>
      <c r="F45" s="122"/>
      <c r="G45" s="122"/>
      <c r="H45" s="122"/>
      <c r="I45" s="327"/>
    </row>
    <row r="46" spans="2:140" ht="18" customHeight="1" thickBot="1">
      <c r="D46" s="286">
        <v>2001</v>
      </c>
      <c r="E46" s="2934">
        <v>2002</v>
      </c>
      <c r="F46" s="2660"/>
      <c r="G46" s="2660"/>
      <c r="H46" s="2682">
        <v>2003</v>
      </c>
      <c r="I46" s="2683"/>
      <c r="J46" s="2683"/>
      <c r="K46" s="2683"/>
      <c r="L46" s="2683"/>
      <c r="M46" s="2683"/>
      <c r="N46" s="2683"/>
      <c r="O46" s="2683"/>
      <c r="P46" s="2683"/>
      <c r="Q46" s="2683"/>
      <c r="R46" s="2683"/>
      <c r="S46" s="2688"/>
      <c r="T46" s="2935">
        <v>2004</v>
      </c>
      <c r="U46" s="2936"/>
      <c r="V46" s="2936"/>
      <c r="W46" s="2936"/>
      <c r="X46" s="2936"/>
      <c r="Y46" s="2936"/>
      <c r="Z46" s="375"/>
      <c r="AA46" s="375">
        <v>2004</v>
      </c>
      <c r="AB46" s="375"/>
      <c r="AC46" s="375"/>
      <c r="AD46" s="375"/>
      <c r="AE46" s="376"/>
      <c r="AF46" s="2636">
        <v>2005</v>
      </c>
      <c r="AG46" s="2637"/>
      <c r="AH46" s="2637"/>
      <c r="AI46" s="2637"/>
      <c r="AJ46" s="2637"/>
      <c r="AK46" s="2637"/>
      <c r="AL46" s="2637"/>
      <c r="AM46" s="2637"/>
      <c r="AN46" s="2637"/>
      <c r="AO46" s="2637"/>
      <c r="AP46" s="2637"/>
      <c r="AQ46" s="2638"/>
      <c r="AR46" s="404">
        <v>2006</v>
      </c>
      <c r="AS46" s="2636">
        <v>2006</v>
      </c>
      <c r="AT46" s="2637"/>
      <c r="AU46" s="2637"/>
      <c r="AV46" s="2637"/>
      <c r="AW46" s="2637"/>
      <c r="AX46" s="2637"/>
      <c r="AY46" s="2637"/>
      <c r="AZ46" s="2637"/>
      <c r="BA46" s="2637"/>
      <c r="BB46" s="2637"/>
      <c r="BC46" s="2638"/>
      <c r="BD46" s="2636">
        <v>2007</v>
      </c>
      <c r="BE46" s="2637"/>
      <c r="BF46" s="2637"/>
      <c r="BG46" s="2637"/>
      <c r="BH46" s="2637"/>
      <c r="BI46" s="2637"/>
      <c r="BJ46" s="2637"/>
      <c r="BK46" s="2923"/>
      <c r="BL46" s="2923"/>
      <c r="BM46" s="2923"/>
      <c r="BN46" s="2923"/>
      <c r="BO46" s="2924"/>
      <c r="BP46" s="2636">
        <v>2008</v>
      </c>
      <c r="BQ46" s="2637"/>
      <c r="BR46" s="2637"/>
      <c r="BS46" s="2637"/>
      <c r="BT46" s="2637"/>
      <c r="BU46" s="2637"/>
      <c r="BV46" s="2637"/>
      <c r="BW46" s="2637"/>
      <c r="BX46" s="2637"/>
      <c r="BY46" s="2637"/>
      <c r="BZ46" s="2637"/>
      <c r="CA46" s="2638"/>
      <c r="CB46" s="2636">
        <v>2009</v>
      </c>
      <c r="CC46" s="2637"/>
      <c r="CD46" s="2637"/>
      <c r="CE46" s="2637"/>
      <c r="CF46" s="2637"/>
      <c r="CG46" s="2637"/>
      <c r="CH46" s="2637"/>
      <c r="CI46" s="2637"/>
      <c r="CJ46" s="2637"/>
      <c r="CK46" s="2637"/>
      <c r="CL46" s="2637"/>
      <c r="CM46" s="2638"/>
      <c r="CN46" s="2931">
        <v>2010</v>
      </c>
      <c r="CO46" s="2932"/>
      <c r="CP46" s="2932"/>
      <c r="CQ46" s="2932"/>
      <c r="CR46" s="2932"/>
      <c r="CS46" s="2932"/>
      <c r="CT46" s="2932"/>
      <c r="CU46" s="2932"/>
      <c r="CV46" s="2932"/>
      <c r="CW46" s="2932"/>
      <c r="CX46" s="2932"/>
      <c r="CY46" s="981"/>
      <c r="CZ46" s="2925">
        <v>2011</v>
      </c>
      <c r="DA46" s="2926"/>
      <c r="DB46" s="2926"/>
      <c r="DC46" s="2926"/>
      <c r="DD46" s="2926"/>
      <c r="DE46" s="2926"/>
      <c r="DF46" s="2926"/>
      <c r="DG46" s="2926"/>
      <c r="DH46" s="2926"/>
      <c r="DI46" s="2926"/>
      <c r="DJ46" s="2926"/>
      <c r="DK46" s="2927"/>
      <c r="DL46" s="2931">
        <v>2012</v>
      </c>
      <c r="DM46" s="2932"/>
      <c r="DN46" s="2932"/>
      <c r="DO46" s="2932"/>
      <c r="DP46" s="2932"/>
      <c r="DQ46" s="2932"/>
      <c r="DR46" s="2932"/>
      <c r="DS46" s="2932"/>
      <c r="DT46" s="2932"/>
      <c r="DU46" s="2932"/>
      <c r="DV46" s="2932"/>
      <c r="DW46" s="2933"/>
      <c r="DX46" s="2925">
        <v>2013</v>
      </c>
      <c r="DY46" s="2926"/>
      <c r="DZ46" s="2926"/>
      <c r="EA46" s="2926"/>
      <c r="EB46" s="2926"/>
      <c r="EC46" s="2926"/>
      <c r="ED46" s="2926"/>
      <c r="EE46" s="2926"/>
      <c r="EF46" s="2926"/>
      <c r="EG46" s="2926"/>
      <c r="EH46" s="2926"/>
      <c r="EI46" s="1432"/>
      <c r="EJ46" s="1451"/>
    </row>
    <row r="47" spans="2:140" ht="15.75" customHeight="1" thickBot="1">
      <c r="D47" s="298" t="s">
        <v>577</v>
      </c>
      <c r="E47" s="282" t="s">
        <v>590</v>
      </c>
      <c r="F47" s="282" t="s">
        <v>586</v>
      </c>
      <c r="G47" s="320" t="s">
        <v>577</v>
      </c>
      <c r="H47" s="298" t="s">
        <v>578</v>
      </c>
      <c r="I47" s="299" t="s">
        <v>579</v>
      </c>
      <c r="J47" s="413" t="s">
        <v>580</v>
      </c>
      <c r="K47" s="299" t="s">
        <v>581</v>
      </c>
      <c r="L47" s="299" t="s">
        <v>582</v>
      </c>
      <c r="M47" s="413" t="s">
        <v>583</v>
      </c>
      <c r="N47" s="413" t="s">
        <v>587</v>
      </c>
      <c r="O47" s="413" t="s">
        <v>588</v>
      </c>
      <c r="P47" s="413" t="s">
        <v>589</v>
      </c>
      <c r="Q47" s="414" t="s">
        <v>609</v>
      </c>
      <c r="R47" s="415" t="s">
        <v>610</v>
      </c>
      <c r="S47" s="415" t="s">
        <v>611</v>
      </c>
      <c r="T47" s="415" t="s">
        <v>578</v>
      </c>
      <c r="U47" s="415" t="s">
        <v>579</v>
      </c>
      <c r="V47" s="415" t="s">
        <v>580</v>
      </c>
      <c r="W47" s="415" t="s">
        <v>581</v>
      </c>
      <c r="X47" s="415" t="s">
        <v>582</v>
      </c>
      <c r="Y47" s="415" t="s">
        <v>583</v>
      </c>
      <c r="Z47" s="415" t="s">
        <v>587</v>
      </c>
      <c r="AA47" s="415" t="s">
        <v>588</v>
      </c>
      <c r="AB47" s="415" t="s">
        <v>891</v>
      </c>
      <c r="AC47" s="414" t="s">
        <v>455</v>
      </c>
      <c r="AD47" s="414" t="s">
        <v>586</v>
      </c>
      <c r="AE47" s="414" t="s">
        <v>577</v>
      </c>
      <c r="AF47" s="415" t="s">
        <v>578</v>
      </c>
      <c r="AG47" s="415" t="s">
        <v>579</v>
      </c>
      <c r="AH47" s="415" t="s">
        <v>580</v>
      </c>
      <c r="AI47" s="415" t="s">
        <v>581</v>
      </c>
      <c r="AJ47" s="415" t="s">
        <v>582</v>
      </c>
      <c r="AK47" s="415" t="s">
        <v>583</v>
      </c>
      <c r="AL47" s="415" t="s">
        <v>587</v>
      </c>
      <c r="AM47" s="415" t="s">
        <v>588</v>
      </c>
      <c r="AN47" s="415" t="s">
        <v>891</v>
      </c>
      <c r="AO47" s="414" t="s">
        <v>455</v>
      </c>
      <c r="AP47" s="414" t="s">
        <v>586</v>
      </c>
      <c r="AQ47" s="414" t="s">
        <v>577</v>
      </c>
      <c r="AR47" s="298" t="s">
        <v>578</v>
      </c>
      <c r="AS47" s="414" t="s">
        <v>579</v>
      </c>
      <c r="AT47" s="414" t="s">
        <v>580</v>
      </c>
      <c r="AU47" s="414" t="s">
        <v>581</v>
      </c>
      <c r="AV47" s="414" t="s">
        <v>582</v>
      </c>
      <c r="AW47" s="414" t="s">
        <v>583</v>
      </c>
      <c r="AX47" s="414" t="s">
        <v>903</v>
      </c>
      <c r="AY47" s="414" t="s">
        <v>904</v>
      </c>
      <c r="AZ47" s="414" t="s">
        <v>507</v>
      </c>
      <c r="BA47" s="414" t="s">
        <v>621</v>
      </c>
      <c r="BB47" s="414" t="s">
        <v>622</v>
      </c>
      <c r="BC47" s="414" t="s">
        <v>778</v>
      </c>
      <c r="BD47" s="416" t="s">
        <v>469</v>
      </c>
      <c r="BE47" s="414" t="s">
        <v>498</v>
      </c>
      <c r="BF47" s="414" t="s">
        <v>465</v>
      </c>
      <c r="BG47" s="414" t="s">
        <v>466</v>
      </c>
      <c r="BH47" s="414" t="s">
        <v>467</v>
      </c>
      <c r="BI47" s="414" t="s">
        <v>902</v>
      </c>
      <c r="BJ47" s="414" t="s">
        <v>903</v>
      </c>
      <c r="BK47" s="414" t="s">
        <v>904</v>
      </c>
      <c r="BL47" s="414" t="s">
        <v>351</v>
      </c>
      <c r="BM47" s="414" t="s">
        <v>621</v>
      </c>
      <c r="BN47" s="401" t="s">
        <v>610</v>
      </c>
      <c r="BO47" s="417" t="s">
        <v>778</v>
      </c>
      <c r="BP47" s="418" t="s">
        <v>469</v>
      </c>
      <c r="BQ47" s="419" t="s">
        <v>498</v>
      </c>
      <c r="BR47" s="419" t="s">
        <v>465</v>
      </c>
      <c r="BS47" s="419" t="s">
        <v>466</v>
      </c>
      <c r="BT47" s="419" t="s">
        <v>467</v>
      </c>
      <c r="BU47" s="419" t="s">
        <v>902</v>
      </c>
      <c r="BV47" s="419" t="s">
        <v>903</v>
      </c>
      <c r="BW47" s="419" t="s">
        <v>904</v>
      </c>
      <c r="BX47" s="419" t="s">
        <v>891</v>
      </c>
      <c r="BY47" s="419" t="s">
        <v>621</v>
      </c>
      <c r="BZ47" s="419" t="s">
        <v>610</v>
      </c>
      <c r="CA47" s="417" t="s">
        <v>778</v>
      </c>
      <c r="CB47" s="298" t="s">
        <v>469</v>
      </c>
      <c r="CC47" s="412" t="s">
        <v>498</v>
      </c>
      <c r="CD47" s="412" t="s">
        <v>465</v>
      </c>
      <c r="CE47" s="299" t="s">
        <v>466</v>
      </c>
      <c r="CF47" s="412" t="s">
        <v>467</v>
      </c>
      <c r="CG47" s="412" t="s">
        <v>902</v>
      </c>
      <c r="CH47" s="412" t="s">
        <v>903</v>
      </c>
      <c r="CI47" s="412" t="s">
        <v>904</v>
      </c>
      <c r="CJ47" s="412" t="s">
        <v>891</v>
      </c>
      <c r="CK47" s="299" t="s">
        <v>621</v>
      </c>
      <c r="CL47" s="417" t="s">
        <v>610</v>
      </c>
      <c r="CM47" s="413" t="s">
        <v>611</v>
      </c>
      <c r="CN47" s="418" t="s">
        <v>469</v>
      </c>
      <c r="CO47" s="419" t="s">
        <v>498</v>
      </c>
      <c r="CP47" s="419" t="s">
        <v>465</v>
      </c>
      <c r="CQ47" s="800" t="s">
        <v>466</v>
      </c>
      <c r="CR47" s="420" t="s">
        <v>467</v>
      </c>
      <c r="CS47" s="464" t="s">
        <v>902</v>
      </c>
      <c r="CT47" s="464" t="s">
        <v>903</v>
      </c>
      <c r="CU47" s="904" t="s">
        <v>904</v>
      </c>
      <c r="CV47" s="420" t="s">
        <v>891</v>
      </c>
      <c r="CW47" s="419" t="s">
        <v>609</v>
      </c>
      <c r="CX47" s="419" t="s">
        <v>610</v>
      </c>
      <c r="CY47" s="417" t="s">
        <v>611</v>
      </c>
      <c r="CZ47" s="401" t="s">
        <v>469</v>
      </c>
      <c r="DA47" s="367" t="s">
        <v>513</v>
      </c>
      <c r="DB47" s="367" t="s">
        <v>139</v>
      </c>
      <c r="DC47" s="367" t="s">
        <v>514</v>
      </c>
      <c r="DD47" s="872" t="s">
        <v>534</v>
      </c>
      <c r="DE47" s="464" t="s">
        <v>503</v>
      </c>
      <c r="DF47" s="800" t="s">
        <v>457</v>
      </c>
      <c r="DG47" s="800" t="s">
        <v>372</v>
      </c>
      <c r="DH47" s="800" t="s">
        <v>356</v>
      </c>
      <c r="DI47" s="367" t="s">
        <v>609</v>
      </c>
      <c r="DJ47" s="800" t="s">
        <v>610</v>
      </c>
      <c r="DK47" s="468" t="s">
        <v>611</v>
      </c>
      <c r="DL47" s="795" t="s">
        <v>578</v>
      </c>
      <c r="DM47" s="800" t="s">
        <v>579</v>
      </c>
      <c r="DN47" s="1113" t="s">
        <v>139</v>
      </c>
      <c r="DO47" s="1113" t="s">
        <v>514</v>
      </c>
      <c r="DP47" s="1113" t="s">
        <v>582</v>
      </c>
      <c r="DQ47" s="1113" t="s">
        <v>583</v>
      </c>
      <c r="DR47" s="1113" t="s">
        <v>457</v>
      </c>
      <c r="DS47" s="1113" t="s">
        <v>372</v>
      </c>
      <c r="DT47" s="1113" t="s">
        <v>765</v>
      </c>
      <c r="DU47" s="1131" t="s">
        <v>609</v>
      </c>
      <c r="DV47" s="1137" t="s">
        <v>610</v>
      </c>
      <c r="DW47" s="1143" t="s">
        <v>611</v>
      </c>
      <c r="DX47" s="1174" t="s">
        <v>511</v>
      </c>
      <c r="DY47" s="1113" t="s">
        <v>513</v>
      </c>
      <c r="DZ47" s="1113" t="s">
        <v>139</v>
      </c>
      <c r="EA47" s="1113" t="s">
        <v>514</v>
      </c>
      <c r="EB47" s="1117" t="s">
        <v>534</v>
      </c>
      <c r="EC47" s="1112" t="s">
        <v>503</v>
      </c>
      <c r="ED47" s="1117" t="s">
        <v>457</v>
      </c>
      <c r="EE47" s="1426" t="s">
        <v>573</v>
      </c>
      <c r="EF47" s="1112" t="s">
        <v>891</v>
      </c>
      <c r="EG47" s="1112" t="s">
        <v>609</v>
      </c>
      <c r="EH47" s="1113" t="s">
        <v>610</v>
      </c>
      <c r="EI47" s="1143" t="s">
        <v>577</v>
      </c>
      <c r="EJ47" s="1434">
        <v>41640</v>
      </c>
    </row>
    <row r="48" spans="2:140" ht="8.25" customHeight="1">
      <c r="D48" s="120"/>
      <c r="E48" s="120"/>
      <c r="F48" s="120"/>
      <c r="G48" s="120"/>
      <c r="H48" s="120"/>
      <c r="K48" s="138"/>
      <c r="L48" s="138"/>
      <c r="M48" s="138"/>
      <c r="N48" s="138"/>
      <c r="O48" s="138"/>
      <c r="P48" s="138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430"/>
      <c r="BP48" s="431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432"/>
      <c r="CC48" s="432"/>
      <c r="CD48" s="432"/>
      <c r="CE48" s="432"/>
      <c r="CF48" s="432"/>
      <c r="CG48" s="432"/>
      <c r="CH48" s="430"/>
      <c r="CI48" s="430"/>
      <c r="CJ48" s="122"/>
      <c r="CN48" s="811"/>
      <c r="CO48" s="812"/>
      <c r="CP48" s="812"/>
      <c r="CQ48" s="828"/>
      <c r="CR48" s="828"/>
      <c r="CS48" s="812"/>
      <c r="CT48" s="812"/>
      <c r="CU48" s="913"/>
      <c r="CV48" s="914"/>
      <c r="CW48" s="967"/>
      <c r="CX48" s="967"/>
      <c r="CY48" s="35"/>
      <c r="CZ48" s="991"/>
      <c r="DA48" s="828"/>
      <c r="DB48" s="828"/>
      <c r="DC48" s="828"/>
      <c r="DD48" s="812"/>
      <c r="DE48" s="812"/>
      <c r="DF48" s="828"/>
      <c r="DG48" s="828"/>
      <c r="DH48" s="828"/>
      <c r="DI48" s="828"/>
      <c r="DJ48" s="828"/>
      <c r="DK48" s="993"/>
      <c r="DL48" s="997"/>
      <c r="DM48" s="828"/>
      <c r="DN48" s="828"/>
      <c r="DO48" s="823"/>
      <c r="DP48" s="823"/>
      <c r="DQ48" s="1010"/>
      <c r="DR48" s="1010"/>
      <c r="DS48" s="1010"/>
      <c r="DT48" s="1010"/>
      <c r="DU48" s="1133"/>
      <c r="DV48" s="866"/>
      <c r="DW48" s="1009"/>
      <c r="DX48" s="997"/>
      <c r="DY48" s="828"/>
      <c r="DZ48" s="914"/>
      <c r="EA48" s="914"/>
      <c r="EB48" s="828"/>
      <c r="EC48" s="828"/>
      <c r="ED48" s="828"/>
      <c r="EE48" s="828"/>
      <c r="EF48" s="828"/>
      <c r="EG48" s="828"/>
      <c r="EH48" s="828"/>
      <c r="EI48" s="993"/>
      <c r="EJ48" s="993"/>
    </row>
    <row r="49" spans="3:140">
      <c r="C49" s="301" t="s">
        <v>142</v>
      </c>
      <c r="D49" s="283">
        <v>96.16</v>
      </c>
      <c r="E49" s="283">
        <v>180.08</v>
      </c>
      <c r="F49" s="307">
        <v>181.2</v>
      </c>
      <c r="G49" s="283">
        <v>181.61</v>
      </c>
      <c r="H49" s="283">
        <v>179.75</v>
      </c>
      <c r="I49" s="283">
        <v>178.21</v>
      </c>
      <c r="J49" s="283">
        <v>178.79</v>
      </c>
      <c r="K49" s="283">
        <v>177.8</v>
      </c>
      <c r="L49" s="283">
        <v>177.01</v>
      </c>
      <c r="M49" s="283">
        <v>176.74</v>
      </c>
      <c r="N49" s="283">
        <v>177.32</v>
      </c>
      <c r="O49" s="283">
        <v>177.84</v>
      </c>
      <c r="P49" s="283">
        <v>176.99</v>
      </c>
      <c r="Q49" s="283">
        <v>176.61</v>
      </c>
      <c r="R49" s="283">
        <v>177.07</v>
      </c>
      <c r="S49" s="283">
        <v>178.31</v>
      </c>
      <c r="T49" s="283">
        <v>179.53</v>
      </c>
      <c r="U49" s="283">
        <v>183.2</v>
      </c>
      <c r="V49" s="283">
        <v>187.02</v>
      </c>
      <c r="W49" s="283">
        <v>189.58</v>
      </c>
      <c r="X49" s="283">
        <v>191.94</v>
      </c>
      <c r="Y49" s="283">
        <v>194.23</v>
      </c>
      <c r="Z49" s="283">
        <v>194.62</v>
      </c>
      <c r="AA49" s="283">
        <v>195.96</v>
      </c>
      <c r="AB49" s="283">
        <v>197.29</v>
      </c>
      <c r="AC49" s="283">
        <v>198.53</v>
      </c>
      <c r="AD49" s="283">
        <v>199.67</v>
      </c>
      <c r="AE49" s="283">
        <v>202.07</v>
      </c>
      <c r="AF49" s="283">
        <f>+'TABLA FINAL '!AV106</f>
        <v>195.51</v>
      </c>
      <c r="AG49" s="283">
        <f>+'TABLA FINAL '!AW106</f>
        <v>209.24</v>
      </c>
      <c r="AH49" s="283">
        <f>+'TABLA FINAL '!AX106</f>
        <v>211.66</v>
      </c>
      <c r="AI49" s="283">
        <f>+'TABLA FINAL '!AY106</f>
        <v>213.48</v>
      </c>
      <c r="AJ49" s="283">
        <f>+'TABLA FINAL '!AZ106</f>
        <v>214.66</v>
      </c>
      <c r="AK49" s="283">
        <f>+'TABLA FINAL '!BA106</f>
        <v>215.77</v>
      </c>
      <c r="AL49" s="283">
        <f>+'TABLA FINAL '!BB106</f>
        <v>218.33</v>
      </c>
      <c r="AM49" s="283">
        <f>+'TABLA FINAL '!BC106</f>
        <v>219.75</v>
      </c>
      <c r="AN49" s="283">
        <f>+'TABLA FINAL '!BD106</f>
        <v>222.96</v>
      </c>
      <c r="AO49" s="283">
        <f>+'TABLA FINAL '!BE106</f>
        <v>225.73</v>
      </c>
      <c r="AP49" s="283">
        <f>+'TABLA FINAL '!BF106</f>
        <v>226.17</v>
      </c>
      <c r="AQ49" s="283">
        <f>+'TABLA FINAL '!BG106</f>
        <v>230.75</v>
      </c>
      <c r="AR49" s="280">
        <f>+'TABLA FINAL '!BH106</f>
        <v>234.31</v>
      </c>
      <c r="AS49" s="328">
        <f>+'TABLA FINAL '!BI106</f>
        <v>235.93</v>
      </c>
      <c r="AT49" s="283">
        <f>+'TABLA FINAL '!BJ106</f>
        <v>238.18</v>
      </c>
      <c r="AU49" s="283">
        <f>+'TABLA FINAL '!BK106</f>
        <v>239.48</v>
      </c>
      <c r="AV49" s="283">
        <f>+'TABLA FINAL '!BL106</f>
        <v>241.79</v>
      </c>
      <c r="AW49" s="283">
        <f>+'TABLA FINAL '!BM106</f>
        <v>245.25</v>
      </c>
      <c r="AX49" s="283">
        <f>+'TABLA FINAL '!BN106</f>
        <v>248.01</v>
      </c>
      <c r="AY49" s="283">
        <f>+'TABLA FINAL '!BO106</f>
        <v>251.87</v>
      </c>
      <c r="AZ49" s="283">
        <f>+'TABLA FINAL '!BP106</f>
        <v>254.65</v>
      </c>
      <c r="BA49" s="283">
        <f>+'TABLA FINAL '!BQ106</f>
        <v>255.77</v>
      </c>
      <c r="BB49" s="283">
        <f>+'TABLA FINAL '!BR106</f>
        <v>255.88</v>
      </c>
      <c r="BC49" s="329">
        <f>+'TABLA FINAL '!BS106</f>
        <v>256.83</v>
      </c>
      <c r="BD49" s="328">
        <f>+'TABLA FINAL '!BT106</f>
        <v>257.47000000000003</v>
      </c>
      <c r="BE49" s="283">
        <f>+'TABLA FINAL '!BU106</f>
        <v>260.14999999999998</v>
      </c>
      <c r="BF49" s="283">
        <f>+'TABLA FINAL '!BV106</f>
        <v>262.92</v>
      </c>
      <c r="BG49" s="283">
        <f>+'TABLA FINAL '!BW106</f>
        <v>266.02999999999997</v>
      </c>
      <c r="BH49" s="283">
        <f>+'TABLA FINAL '!BX106</f>
        <v>269.98</v>
      </c>
      <c r="BI49" s="283">
        <f>+'TABLA FINAL '!BY106</f>
        <v>276.5</v>
      </c>
      <c r="BJ49" s="283">
        <f>+'TABLA FINAL '!BZ106</f>
        <v>278.31</v>
      </c>
      <c r="BK49" s="307">
        <f>+'TABLA FINAL '!CA106</f>
        <v>285.3</v>
      </c>
      <c r="BL49" s="307">
        <f>+'TABLA FINAL '!CB106</f>
        <v>287.25</v>
      </c>
      <c r="BM49" s="307">
        <f>+'TABLA FINAL '!CC106</f>
        <v>290.82</v>
      </c>
      <c r="BN49" s="307">
        <f>+'TABLA FINAL '!CD106</f>
        <v>294.52</v>
      </c>
      <c r="BO49" s="332">
        <f>+'TABLA FINAL '!CE106</f>
        <v>297.51</v>
      </c>
      <c r="BP49" s="331">
        <f>+'TABLA FINAL '!CF106</f>
        <v>302.06</v>
      </c>
      <c r="BQ49" s="307">
        <f>+'TABLA FINAL '!CG106</f>
        <v>305.85000000000002</v>
      </c>
      <c r="BR49" s="307">
        <f>+'TABLA FINAL '!CH106</f>
        <v>311.14999999999998</v>
      </c>
      <c r="BS49" s="307">
        <f>+'TABLA FINAL '!CI106</f>
        <v>316.32</v>
      </c>
      <c r="BT49" s="307">
        <f>+'TABLA FINAL '!CJ106</f>
        <v>318.14</v>
      </c>
      <c r="BU49" s="307">
        <f>+'TABLA FINAL '!CK106</f>
        <v>325.26</v>
      </c>
      <c r="BV49" s="307">
        <f>+'TABLA FINAL '!CL106</f>
        <v>330.42</v>
      </c>
      <c r="BW49" s="307">
        <f>+'TABLA FINAL '!CM106</f>
        <v>333.56</v>
      </c>
      <c r="BX49" s="307">
        <f>+'TABLA FINAL '!CN106</f>
        <v>336.4</v>
      </c>
      <c r="BY49" s="307">
        <f>+'TABLA FINAL '!CO106</f>
        <v>339.07</v>
      </c>
      <c r="BZ49" s="307">
        <f>+'TABLA FINAL '!CP106</f>
        <v>341.77</v>
      </c>
      <c r="CA49" s="332">
        <f>'TABLA FINAL '!CQ106</f>
        <v>342.65</v>
      </c>
      <c r="CB49" s="330">
        <f>'TABLA FINAL '!CR106</f>
        <v>344.18</v>
      </c>
      <c r="CC49" s="307">
        <f>'TABLA FINAL '!CS106</f>
        <v>344.29</v>
      </c>
      <c r="CD49" s="330">
        <f>'TABLA FINAL '!CT106</f>
        <v>345.6</v>
      </c>
      <c r="CE49" s="307">
        <f>'TABLA FINAL '!CU106</f>
        <v>347.1</v>
      </c>
      <c r="CF49" s="307">
        <f>'TABLA FINAL '!CV106</f>
        <v>351.16</v>
      </c>
      <c r="CG49" s="307">
        <f>'TABLA FINAL '!CW106</f>
        <v>353.79</v>
      </c>
      <c r="CH49" s="307">
        <f>'TABLA FINAL '!CX106</f>
        <v>355.96</v>
      </c>
      <c r="CI49" s="307">
        <f>'TABLA FINAL '!CY106</f>
        <v>358.57</v>
      </c>
      <c r="CJ49" s="307">
        <f>'TABLA FINAL '!CZ106</f>
        <v>360.64</v>
      </c>
      <c r="CK49" s="307">
        <f>'TABLA FINAL '!DA106</f>
        <v>366.56</v>
      </c>
      <c r="CL49" s="330">
        <f>'TABLA FINAL '!DB106</f>
        <v>370.8</v>
      </c>
      <c r="CM49" s="330">
        <f>'TABLA FINAL '!DC106</f>
        <v>372.58</v>
      </c>
      <c r="CN49" s="331">
        <f>'TABLA FINAL '!DD106</f>
        <v>375.32</v>
      </c>
      <c r="CO49" s="307">
        <f>'TABLA FINAL '!DE106</f>
        <v>381.66</v>
      </c>
      <c r="CP49" s="307">
        <f>'TABLA FINAL '!DF106</f>
        <v>387.71</v>
      </c>
      <c r="CQ49" s="330">
        <f>'TABLA FINAL '!DG106</f>
        <v>393.72</v>
      </c>
      <c r="CR49" s="330">
        <f>'TABLA FINAL '!DH106</f>
        <v>400.1</v>
      </c>
      <c r="CS49" s="307">
        <f>'TABLA FINAL '!DI106</f>
        <v>406.34</v>
      </c>
      <c r="CT49" s="307">
        <f>'TABLA FINAL '!DJ106</f>
        <v>409.68</v>
      </c>
      <c r="CU49" s="334">
        <f>'TABLA FINAL '!DK106</f>
        <v>413.44</v>
      </c>
      <c r="CV49" s="330">
        <f>'TABLA FINAL '!DL106</f>
        <v>418.29</v>
      </c>
      <c r="CW49" s="307">
        <f>+'TABLA FINAL  NO'!DM111</f>
        <v>423.56</v>
      </c>
      <c r="CX49" s="307">
        <f>+'TABLA FINAL  NO'!DN111</f>
        <v>428.2</v>
      </c>
      <c r="CY49" s="332">
        <f>+'TABLA FINAL  NO'!DO111</f>
        <v>433.09</v>
      </c>
      <c r="CZ49" s="335">
        <f>+'TABLA FINAL  NO'!DP111</f>
        <v>436.64</v>
      </c>
      <c r="DA49" s="330">
        <f>+'TABLA FINAL  NO'!DQ111</f>
        <v>441.57</v>
      </c>
      <c r="DB49" s="330">
        <f>+'TABLA FINAL  NO'!DR111</f>
        <v>445.29</v>
      </c>
      <c r="DC49" s="330">
        <f>+'TABLA FINAL  NO'!DS111</f>
        <v>451.31</v>
      </c>
      <c r="DD49" s="307">
        <f>+'TABLA FINAL  NO'!DT111</f>
        <v>460.7</v>
      </c>
      <c r="DE49" s="307">
        <f>+'TABLA FINAL  NO'!DU111</f>
        <v>469.05</v>
      </c>
      <c r="DF49" s="330">
        <f>+'TABLA FINAL  NO'!DV111</f>
        <v>477.92</v>
      </c>
      <c r="DG49" s="330">
        <f>+'TABLA FINAL  NO'!DW111</f>
        <v>480.47</v>
      </c>
      <c r="DH49" s="330">
        <f>+'TABLA FINAL  NO'!DX111</f>
        <v>490.71</v>
      </c>
      <c r="DI49" s="330">
        <f>+'TABLA FINAL  NO'!DY111</f>
        <v>498.65</v>
      </c>
      <c r="DJ49" s="330">
        <f>+'TABLA FINAL  NO'!DZ111</f>
        <v>505.93</v>
      </c>
      <c r="DK49" s="332">
        <f>+'TABLA FINAL  NO'!EA111</f>
        <v>513.14</v>
      </c>
      <c r="DL49" s="335">
        <f>+'TABLA FINAL  NO'!EB111</f>
        <v>512.16999999999996</v>
      </c>
      <c r="DM49" s="330">
        <f>+'TABLA FINAL  NO'!EC111</f>
        <v>518.04</v>
      </c>
      <c r="DN49" s="330">
        <f>+'TABLA FINAL  NO'!ED111</f>
        <v>521.73</v>
      </c>
      <c r="DO49" s="330">
        <f>+'TABLA FINAL  NO'!EE111</f>
        <v>524.71</v>
      </c>
      <c r="DP49" s="330">
        <f>+'TABLA FINAL  NO'!EF111</f>
        <v>535.71</v>
      </c>
      <c r="DQ49" s="330">
        <f>+'TABLA FINAL  NO'!EG111</f>
        <v>541.21</v>
      </c>
      <c r="DR49" s="330">
        <f>+'TABLA FINAL  NO'!EH111</f>
        <v>549.09</v>
      </c>
      <c r="DS49" s="330">
        <f>+'TABLA FINAL  NO'!EI111</f>
        <v>553.22</v>
      </c>
      <c r="DT49" s="330">
        <f>+'TABLA FINAL  NO'!EJ111</f>
        <v>559.66</v>
      </c>
      <c r="DU49" s="307">
        <f>+'TABLA FINAL  NO'!EK111</f>
        <v>567.66999999999996</v>
      </c>
      <c r="DV49" s="334">
        <f>+'TABLA FINAL  NO'!EL111</f>
        <v>575.41</v>
      </c>
      <c r="DW49" s="332">
        <f>+'TABLA FINAL  NO'!EM111</f>
        <v>582.27</v>
      </c>
      <c r="DX49" s="330">
        <f>+'TABLA FINAL  NO'!EN111</f>
        <v>585.5</v>
      </c>
      <c r="DY49" s="330">
        <f>+'TABLA FINAL  NO'!EO111</f>
        <v>590.44000000000005</v>
      </c>
      <c r="DZ49" s="330">
        <f>+'TABLA FINAL  NO'!EP111</f>
        <v>595.26</v>
      </c>
      <c r="EA49" s="330">
        <f>+'TABLA FINAL  NO'!EQ111</f>
        <v>603.30999999999995</v>
      </c>
      <c r="EB49" s="330">
        <f>+'TABLA FINAL  NO'!ER111</f>
        <v>610.41</v>
      </c>
      <c r="EC49" s="330">
        <f>+'TABLA FINAL  NO'!ES111</f>
        <v>620.32000000000005</v>
      </c>
      <c r="ED49" s="330">
        <f>+'TABLA FINAL  NO'!ET111</f>
        <v>633.65</v>
      </c>
      <c r="EE49" s="330">
        <f>+'TABLA FINAL  NO'!EU111</f>
        <v>641.38</v>
      </c>
      <c r="EF49" s="330">
        <f>+'TABLA FINAL  NO'!EV111</f>
        <v>649.63</v>
      </c>
      <c r="EG49" s="330">
        <f>+'TABLA FINAL  NO'!EW111</f>
        <v>655.08000000000004</v>
      </c>
      <c r="EH49" s="330">
        <f>+'TABLA FINAL  NO'!EX111</f>
        <v>661.61</v>
      </c>
      <c r="EI49" s="332">
        <f>+'TABLA FINAL  NO'!EY111</f>
        <v>671.05</v>
      </c>
      <c r="EJ49" s="332">
        <f>+'TABLA FINAL  NO'!EZ111</f>
        <v>699.99</v>
      </c>
    </row>
    <row r="50" spans="3:140" ht="18.75" customHeight="1">
      <c r="C50" s="301" t="s">
        <v>0</v>
      </c>
      <c r="D50" s="283">
        <v>100.22</v>
      </c>
      <c r="E50" s="283">
        <v>223.02</v>
      </c>
      <c r="F50" s="307">
        <v>219.32</v>
      </c>
      <c r="G50" s="283">
        <v>218.44</v>
      </c>
      <c r="H50" s="283">
        <v>219.36</v>
      </c>
      <c r="I50" s="283">
        <v>220.21</v>
      </c>
      <c r="J50" s="307">
        <v>218.7</v>
      </c>
      <c r="K50" s="283">
        <v>214.7</v>
      </c>
      <c r="L50" s="283">
        <v>213.33</v>
      </c>
      <c r="M50" s="283">
        <v>213.04</v>
      </c>
      <c r="N50" s="283">
        <v>212.96</v>
      </c>
      <c r="O50" s="283">
        <v>215.87</v>
      </c>
      <c r="P50" s="283">
        <v>215.5</v>
      </c>
      <c r="Q50" s="283">
        <v>216.65</v>
      </c>
      <c r="R50" s="283">
        <v>218.92</v>
      </c>
      <c r="S50" s="283">
        <v>222.71</v>
      </c>
      <c r="T50" s="283">
        <v>221.96</v>
      </c>
      <c r="U50" s="283">
        <v>225.05</v>
      </c>
      <c r="V50" s="283">
        <v>226.03</v>
      </c>
      <c r="W50" s="283">
        <v>227.84</v>
      </c>
      <c r="X50" s="283">
        <v>230.77</v>
      </c>
      <c r="Y50" s="283">
        <v>231.29</v>
      </c>
      <c r="Z50" s="283">
        <v>233.5</v>
      </c>
      <c r="AA50" s="283">
        <f t="shared" ref="AA50:AR50" si="44">+AA20</f>
        <v>239.2</v>
      </c>
      <c r="AB50" s="283">
        <f t="shared" si="44"/>
        <v>239.74</v>
      </c>
      <c r="AC50" s="283">
        <f t="shared" si="44"/>
        <v>241.15</v>
      </c>
      <c r="AD50" s="283">
        <f t="shared" si="44"/>
        <v>237.98</v>
      </c>
      <c r="AE50" s="283">
        <f t="shared" si="44"/>
        <v>240.34</v>
      </c>
      <c r="AF50" s="283">
        <f t="shared" si="44"/>
        <v>237.57</v>
      </c>
      <c r="AG50" s="283">
        <f t="shared" si="44"/>
        <v>240.41</v>
      </c>
      <c r="AH50" s="283">
        <f t="shared" si="44"/>
        <v>245.55</v>
      </c>
      <c r="AI50" s="283">
        <f t="shared" si="44"/>
        <v>248.9</v>
      </c>
      <c r="AJ50" s="283">
        <f t="shared" si="44"/>
        <v>248.81</v>
      </c>
      <c r="AK50" s="283">
        <f t="shared" si="44"/>
        <v>248.79</v>
      </c>
      <c r="AL50" s="283">
        <f t="shared" si="44"/>
        <v>252.35</v>
      </c>
      <c r="AM50" s="283">
        <f t="shared" si="44"/>
        <v>255.47</v>
      </c>
      <c r="AN50" s="283">
        <f t="shared" si="44"/>
        <v>259.87</v>
      </c>
      <c r="AO50" s="283">
        <f t="shared" si="44"/>
        <v>263.18</v>
      </c>
      <c r="AP50" s="283">
        <f t="shared" si="44"/>
        <v>263.57</v>
      </c>
      <c r="AQ50" s="283">
        <f t="shared" si="44"/>
        <v>266.02999999999997</v>
      </c>
      <c r="AR50" s="280">
        <f t="shared" si="44"/>
        <v>269.16000000000003</v>
      </c>
      <c r="AS50" s="328">
        <f t="shared" ref="AS50:AX50" si="45">+AS20</f>
        <v>269.16000000000003</v>
      </c>
      <c r="AT50" s="283">
        <f t="shared" si="45"/>
        <v>272.14</v>
      </c>
      <c r="AU50" s="283">
        <f t="shared" si="45"/>
        <v>276.12</v>
      </c>
      <c r="AV50" s="283">
        <f t="shared" si="45"/>
        <v>276.83999999999997</v>
      </c>
      <c r="AW50" s="283">
        <f t="shared" si="45"/>
        <v>279.16000000000003</v>
      </c>
      <c r="AX50" s="283">
        <f t="shared" si="45"/>
        <v>281.14999999999998</v>
      </c>
      <c r="AY50" s="283">
        <f t="shared" ref="AY50:BD50" si="46">+AY20</f>
        <v>281.14999999999998</v>
      </c>
      <c r="AZ50" s="283">
        <f t="shared" si="46"/>
        <v>282.76</v>
      </c>
      <c r="BA50" s="283">
        <f t="shared" si="46"/>
        <v>282.92</v>
      </c>
      <c r="BB50" s="283">
        <f t="shared" si="46"/>
        <v>282.92</v>
      </c>
      <c r="BC50" s="329">
        <f t="shared" si="46"/>
        <v>284.69</v>
      </c>
      <c r="BD50" s="328">
        <f t="shared" si="46"/>
        <v>285.70999999999998</v>
      </c>
      <c r="BE50" s="283">
        <f t="shared" ref="BE50:BJ50" si="47">+BE20</f>
        <v>287.98</v>
      </c>
      <c r="BF50" s="283">
        <f t="shared" si="47"/>
        <v>289.67</v>
      </c>
      <c r="BG50" s="283">
        <f t="shared" si="47"/>
        <v>294.87</v>
      </c>
      <c r="BH50" s="283">
        <f t="shared" si="47"/>
        <v>299.31</v>
      </c>
      <c r="BI50" s="283">
        <f t="shared" si="47"/>
        <v>305.23</v>
      </c>
      <c r="BJ50" s="283">
        <f t="shared" si="47"/>
        <v>311.79000000000002</v>
      </c>
      <c r="BK50" s="307">
        <f t="shared" ref="BK50:BP50" si="48">+BK20</f>
        <v>314.41000000000003</v>
      </c>
      <c r="BL50" s="307">
        <f t="shared" si="48"/>
        <v>317.49</v>
      </c>
      <c r="BM50" s="307">
        <f t="shared" si="48"/>
        <v>320.95999999999998</v>
      </c>
      <c r="BN50" s="307">
        <f t="shared" si="48"/>
        <v>323.86</v>
      </c>
      <c r="BO50" s="332">
        <f t="shared" si="48"/>
        <v>325.95999999999998</v>
      </c>
      <c r="BP50" s="331">
        <f t="shared" si="48"/>
        <v>328.67</v>
      </c>
      <c r="BQ50" s="307">
        <f t="shared" ref="BQ50:BV50" si="49">+BQ20</f>
        <v>328.67</v>
      </c>
      <c r="BR50" s="307">
        <f t="shared" si="49"/>
        <v>328.67</v>
      </c>
      <c r="BS50" s="307">
        <f t="shared" si="49"/>
        <v>328.67</v>
      </c>
      <c r="BT50" s="307">
        <f t="shared" si="49"/>
        <v>328.67</v>
      </c>
      <c r="BU50" s="307">
        <f t="shared" si="49"/>
        <v>328.67</v>
      </c>
      <c r="BV50" s="307">
        <f t="shared" si="49"/>
        <v>328.67</v>
      </c>
      <c r="BW50" s="307">
        <f>+BW20</f>
        <v>328.67</v>
      </c>
      <c r="BX50" s="307">
        <f>+BX20</f>
        <v>328.67</v>
      </c>
      <c r="BY50" s="307">
        <f>+BY20</f>
        <v>328.67</v>
      </c>
      <c r="BZ50" s="307">
        <f>+BZ20</f>
        <v>327</v>
      </c>
      <c r="CA50" s="332">
        <f t="shared" ref="CA50:CF50" si="50">CA20</f>
        <v>327</v>
      </c>
      <c r="CB50" s="330">
        <f t="shared" si="50"/>
        <v>328.5</v>
      </c>
      <c r="CC50" s="307">
        <f t="shared" si="50"/>
        <v>328.5</v>
      </c>
      <c r="CD50" s="330">
        <f t="shared" si="50"/>
        <v>328.5</v>
      </c>
      <c r="CE50" s="307">
        <f t="shared" si="50"/>
        <v>332.4</v>
      </c>
      <c r="CF50" s="307">
        <f t="shared" si="50"/>
        <v>334.4</v>
      </c>
      <c r="CG50" s="307">
        <f t="shared" ref="CG50:CL50" si="51">CG20</f>
        <v>343.4</v>
      </c>
      <c r="CH50" s="307">
        <f t="shared" si="51"/>
        <v>346.2</v>
      </c>
      <c r="CI50" s="307">
        <f t="shared" si="51"/>
        <v>348.5</v>
      </c>
      <c r="CJ50" s="307">
        <f t="shared" si="51"/>
        <v>349.6</v>
      </c>
      <c r="CK50" s="307">
        <f t="shared" si="51"/>
        <v>358.9</v>
      </c>
      <c r="CL50" s="330">
        <f t="shared" si="51"/>
        <v>363</v>
      </c>
      <c r="CM50" s="330">
        <f t="shared" ref="CM50:CR50" si="52">CM20</f>
        <v>364.4</v>
      </c>
      <c r="CN50" s="331">
        <f t="shared" si="52"/>
        <v>366.2</v>
      </c>
      <c r="CO50" s="307">
        <f t="shared" si="52"/>
        <v>373.2</v>
      </c>
      <c r="CP50" s="307">
        <f t="shared" si="52"/>
        <v>386.1</v>
      </c>
      <c r="CQ50" s="330">
        <f t="shared" si="52"/>
        <v>376.6</v>
      </c>
      <c r="CR50" s="330">
        <f t="shared" si="52"/>
        <v>394.3</v>
      </c>
      <c r="CS50" s="307">
        <f t="shared" ref="CS50:CX50" si="53">CS20</f>
        <v>398.3</v>
      </c>
      <c r="CT50" s="307">
        <f t="shared" si="53"/>
        <v>403.7</v>
      </c>
      <c r="CU50" s="334">
        <f t="shared" si="53"/>
        <v>411.2</v>
      </c>
      <c r="CV50" s="330">
        <f t="shared" si="53"/>
        <v>415.1</v>
      </c>
      <c r="CW50" s="307">
        <f t="shared" si="53"/>
        <v>420.2</v>
      </c>
      <c r="CX50" s="307">
        <f t="shared" si="53"/>
        <v>423.2</v>
      </c>
      <c r="CY50" s="332">
        <f t="shared" ref="CY50:DD50" si="54">CY20</f>
        <v>434.5</v>
      </c>
      <c r="CZ50" s="335">
        <f t="shared" si="54"/>
        <v>451.9</v>
      </c>
      <c r="DA50" s="330">
        <f t="shared" si="54"/>
        <v>458.5</v>
      </c>
      <c r="DB50" s="330">
        <f t="shared" si="54"/>
        <v>463.1</v>
      </c>
      <c r="DC50" s="330">
        <f t="shared" si="54"/>
        <v>469</v>
      </c>
      <c r="DD50" s="307">
        <f t="shared" si="54"/>
        <v>472.2</v>
      </c>
      <c r="DE50" s="307">
        <f t="shared" ref="DE50:DJ50" si="55">DE20</f>
        <v>471.2</v>
      </c>
      <c r="DF50" s="330">
        <f t="shared" si="55"/>
        <v>479</v>
      </c>
      <c r="DG50" s="330">
        <f t="shared" si="55"/>
        <v>488.4</v>
      </c>
      <c r="DH50" s="330">
        <f t="shared" si="55"/>
        <v>495.2</v>
      </c>
      <c r="DI50" s="330">
        <f t="shared" si="55"/>
        <v>503.4</v>
      </c>
      <c r="DJ50" s="330">
        <f t="shared" si="55"/>
        <v>513.79999999999995</v>
      </c>
      <c r="DK50" s="332">
        <f t="shared" ref="DK50:DP50" si="56">DK20</f>
        <v>520.1</v>
      </c>
      <c r="DL50" s="335">
        <f t="shared" si="56"/>
        <v>544.20000000000005</v>
      </c>
      <c r="DM50" s="330">
        <f t="shared" si="56"/>
        <v>549.20000000000005</v>
      </c>
      <c r="DN50" s="330">
        <f t="shared" si="56"/>
        <v>554.1</v>
      </c>
      <c r="DO50" s="330">
        <f t="shared" si="56"/>
        <v>559.5</v>
      </c>
      <c r="DP50" s="330">
        <f t="shared" si="56"/>
        <v>538.1</v>
      </c>
      <c r="DQ50" s="330">
        <f t="shared" ref="DQ50:DV50" si="57">DQ20</f>
        <v>607.70000000000005</v>
      </c>
      <c r="DR50" s="330">
        <f t="shared" si="57"/>
        <v>618.5</v>
      </c>
      <c r="DS50" s="330">
        <f t="shared" si="57"/>
        <v>627.6</v>
      </c>
      <c r="DT50" s="330">
        <f t="shared" si="57"/>
        <v>630.9</v>
      </c>
      <c r="DU50" s="307">
        <f t="shared" si="57"/>
        <v>633.79999999999995</v>
      </c>
      <c r="DV50" s="334">
        <f t="shared" si="57"/>
        <v>647</v>
      </c>
      <c r="DW50" s="332">
        <f t="shared" ref="DW50:EB50" si="58">DW20</f>
        <v>648.29999999999995</v>
      </c>
      <c r="DX50" s="330">
        <f t="shared" si="58"/>
        <v>651.29999999999995</v>
      </c>
      <c r="DY50" s="330">
        <f t="shared" si="58"/>
        <v>656.4</v>
      </c>
      <c r="DZ50" s="330">
        <f t="shared" si="58"/>
        <v>665.1</v>
      </c>
      <c r="EA50" s="330">
        <f t="shared" si="58"/>
        <v>683.8</v>
      </c>
      <c r="EB50" s="330">
        <f t="shared" si="58"/>
        <v>687.5</v>
      </c>
      <c r="EC50" s="330">
        <f t="shared" ref="EC50:EH50" si="59">EC20</f>
        <v>737.4</v>
      </c>
      <c r="ED50" s="330">
        <f t="shared" si="59"/>
        <v>737</v>
      </c>
      <c r="EE50" s="330">
        <f t="shared" si="59"/>
        <v>744</v>
      </c>
      <c r="EF50" s="330">
        <f t="shared" si="59"/>
        <v>769.2</v>
      </c>
      <c r="EG50" s="330">
        <f t="shared" si="59"/>
        <v>773.8</v>
      </c>
      <c r="EH50" s="330">
        <f t="shared" si="59"/>
        <v>778.1</v>
      </c>
      <c r="EI50" s="332">
        <f>EI20</f>
        <v>788.2</v>
      </c>
      <c r="EJ50" s="332">
        <f>EJ20</f>
        <v>801.6</v>
      </c>
    </row>
    <row r="51" spans="3:140" ht="6" customHeight="1">
      <c r="K51" s="138"/>
      <c r="L51" s="138"/>
      <c r="M51" s="138"/>
      <c r="N51" s="138"/>
      <c r="O51" s="138"/>
      <c r="P51" s="138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0"/>
      <c r="AQ51" s="333"/>
      <c r="AR51" s="333"/>
      <c r="AS51" s="328"/>
      <c r="AT51" s="283"/>
      <c r="AU51" s="283"/>
      <c r="AV51" s="283"/>
      <c r="AW51" s="283"/>
      <c r="AX51" s="283"/>
      <c r="AY51" s="283"/>
      <c r="AZ51" s="283"/>
      <c r="BA51" s="283"/>
      <c r="BB51" s="280"/>
      <c r="BC51" s="333"/>
      <c r="BD51" s="333"/>
      <c r="BE51" s="333"/>
      <c r="BF51" s="333"/>
      <c r="BG51" s="333"/>
      <c r="BH51" s="333"/>
      <c r="BI51" s="333"/>
      <c r="BJ51" s="333"/>
      <c r="BK51" s="334"/>
      <c r="BL51" s="334"/>
      <c r="BM51" s="334"/>
      <c r="BN51" s="334"/>
      <c r="BO51" s="336"/>
      <c r="BP51" s="335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56"/>
      <c r="CC51" s="356"/>
      <c r="CD51" s="356"/>
      <c r="CE51" s="356"/>
      <c r="CF51" s="446"/>
      <c r="CG51" s="139"/>
      <c r="CH51" s="139"/>
      <c r="CI51" s="139"/>
      <c r="CJ51" s="139"/>
      <c r="CK51" s="139"/>
      <c r="CL51" s="356"/>
      <c r="CM51" s="356"/>
      <c r="CN51" s="688"/>
      <c r="CO51" s="140"/>
      <c r="CP51" s="140"/>
      <c r="CQ51" s="139"/>
      <c r="CR51" s="139"/>
      <c r="CS51" s="140"/>
      <c r="CT51" s="140"/>
      <c r="CU51" s="356"/>
      <c r="CV51" s="139"/>
      <c r="CW51" s="140"/>
      <c r="CX51" s="140"/>
      <c r="CY51" s="141"/>
      <c r="CZ51" s="537"/>
      <c r="DA51" s="139"/>
      <c r="DB51" s="139"/>
      <c r="DC51" s="139"/>
      <c r="DD51" s="140"/>
      <c r="DE51" s="140"/>
      <c r="DF51" s="139"/>
      <c r="DG51" s="139"/>
      <c r="DH51" s="139"/>
      <c r="DI51" s="139"/>
      <c r="DJ51" s="139"/>
      <c r="DK51" s="141"/>
      <c r="DL51" s="537"/>
      <c r="DM51" s="139"/>
      <c r="DN51" s="139"/>
      <c r="DO51" s="139"/>
      <c r="DP51" s="139"/>
      <c r="DQ51" s="139"/>
      <c r="DR51" s="139"/>
      <c r="DS51" s="139"/>
      <c r="DT51" s="139"/>
      <c r="DU51" s="140"/>
      <c r="DV51" s="356"/>
      <c r="DW51" s="141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41"/>
      <c r="EJ51" s="141"/>
    </row>
    <row r="52" spans="3:140" ht="22.5" customHeight="1">
      <c r="C52" s="301" t="s">
        <v>623</v>
      </c>
      <c r="D52" s="307">
        <f t="shared" ref="D52:Z52" si="60">ROUND(100*D49/$D$49,2)</f>
        <v>100</v>
      </c>
      <c r="E52" s="283">
        <f t="shared" si="60"/>
        <v>187.27</v>
      </c>
      <c r="F52" s="283">
        <f t="shared" si="60"/>
        <v>188.44</v>
      </c>
      <c r="G52" s="283">
        <f t="shared" si="60"/>
        <v>188.86</v>
      </c>
      <c r="H52" s="283">
        <f t="shared" si="60"/>
        <v>186.93</v>
      </c>
      <c r="I52" s="283">
        <f t="shared" si="60"/>
        <v>185.33</v>
      </c>
      <c r="J52" s="283">
        <f t="shared" si="60"/>
        <v>185.93</v>
      </c>
      <c r="K52" s="283">
        <f t="shared" si="60"/>
        <v>184.9</v>
      </c>
      <c r="L52" s="283">
        <f t="shared" si="60"/>
        <v>184.08</v>
      </c>
      <c r="M52" s="283">
        <f t="shared" si="60"/>
        <v>183.8</v>
      </c>
      <c r="N52" s="283">
        <f t="shared" si="60"/>
        <v>184.4</v>
      </c>
      <c r="O52" s="283">
        <f t="shared" si="60"/>
        <v>184.94</v>
      </c>
      <c r="P52" s="283">
        <f t="shared" si="60"/>
        <v>184.06</v>
      </c>
      <c r="Q52" s="283">
        <f t="shared" si="60"/>
        <v>183.66</v>
      </c>
      <c r="R52" s="283">
        <f t="shared" si="60"/>
        <v>184.14</v>
      </c>
      <c r="S52" s="283">
        <f t="shared" si="60"/>
        <v>185.43</v>
      </c>
      <c r="T52" s="283">
        <f t="shared" si="60"/>
        <v>186.7</v>
      </c>
      <c r="U52" s="283">
        <f t="shared" si="60"/>
        <v>190.52</v>
      </c>
      <c r="V52" s="283">
        <f t="shared" si="60"/>
        <v>194.49</v>
      </c>
      <c r="W52" s="283">
        <f t="shared" si="60"/>
        <v>197.15</v>
      </c>
      <c r="X52" s="283">
        <f t="shared" si="60"/>
        <v>199.6</v>
      </c>
      <c r="Y52" s="283">
        <f t="shared" si="60"/>
        <v>201.99</v>
      </c>
      <c r="Z52" s="283">
        <f t="shared" si="60"/>
        <v>202.39</v>
      </c>
      <c r="AA52" s="283">
        <f>ROUND(100*AA49/$D$49,2)</f>
        <v>203.79</v>
      </c>
      <c r="AB52" s="283">
        <f>ROUND(100*AB49/$D$49,2)</f>
        <v>205.17</v>
      </c>
      <c r="AC52" s="283">
        <f>ROUND(100*AC49/$D$49,2)</f>
        <v>206.46</v>
      </c>
      <c r="AD52" s="283">
        <f>ROUND(100*AD49/$D$49,2)</f>
        <v>207.64</v>
      </c>
      <c r="AE52" s="283">
        <f>ROUND(100*AE49/$D$49,2)</f>
        <v>210.14</v>
      </c>
      <c r="AF52" s="283">
        <f t="shared" ref="AF52:AL52" si="61">ROUND(100*AF49/$D$49,2)</f>
        <v>203.32</v>
      </c>
      <c r="AG52" s="283">
        <f t="shared" si="61"/>
        <v>217.6</v>
      </c>
      <c r="AH52" s="283">
        <f t="shared" si="61"/>
        <v>220.11</v>
      </c>
      <c r="AI52" s="283">
        <f t="shared" si="61"/>
        <v>222</v>
      </c>
      <c r="AJ52" s="283">
        <f t="shared" si="61"/>
        <v>223.23</v>
      </c>
      <c r="AK52" s="283">
        <f t="shared" si="61"/>
        <v>224.39</v>
      </c>
      <c r="AL52" s="283">
        <f t="shared" si="61"/>
        <v>227.05</v>
      </c>
      <c r="AM52" s="283">
        <f t="shared" ref="AM52:AR52" si="62">ROUND(100*AM49/$D$49,2)</f>
        <v>228.53</v>
      </c>
      <c r="AN52" s="283">
        <f t="shared" si="62"/>
        <v>231.86</v>
      </c>
      <c r="AO52" s="283">
        <f t="shared" si="62"/>
        <v>234.74</v>
      </c>
      <c r="AP52" s="283">
        <f t="shared" si="62"/>
        <v>235.2</v>
      </c>
      <c r="AQ52" s="283">
        <f t="shared" si="62"/>
        <v>239.96</v>
      </c>
      <c r="AR52" s="280">
        <f t="shared" si="62"/>
        <v>243.67</v>
      </c>
      <c r="AS52" s="328">
        <f t="shared" ref="AS52:AX52" si="63">ROUND(100*AS49/$D$49,2)</f>
        <v>245.35</v>
      </c>
      <c r="AT52" s="283">
        <f t="shared" si="63"/>
        <v>247.69</v>
      </c>
      <c r="AU52" s="283">
        <f t="shared" si="63"/>
        <v>249.04</v>
      </c>
      <c r="AV52" s="283">
        <f t="shared" si="63"/>
        <v>251.45</v>
      </c>
      <c r="AW52" s="283">
        <f t="shared" si="63"/>
        <v>255.04</v>
      </c>
      <c r="AX52" s="283">
        <f t="shared" si="63"/>
        <v>257.91000000000003</v>
      </c>
      <c r="AY52" s="283">
        <f t="shared" ref="AY52:BD52" si="64">ROUND(100*AY49/$D$49,2)</f>
        <v>261.93</v>
      </c>
      <c r="AZ52" s="283">
        <f t="shared" si="64"/>
        <v>264.82</v>
      </c>
      <c r="BA52" s="283">
        <f t="shared" si="64"/>
        <v>265.98</v>
      </c>
      <c r="BB52" s="283">
        <f t="shared" si="64"/>
        <v>266.10000000000002</v>
      </c>
      <c r="BC52" s="329">
        <f t="shared" si="64"/>
        <v>267.08999999999997</v>
      </c>
      <c r="BD52" s="328">
        <f t="shared" si="64"/>
        <v>267.75</v>
      </c>
      <c r="BE52" s="283">
        <f t="shared" ref="BE52:BJ52" si="65">ROUND(100*BE49/$D$49,2)</f>
        <v>270.54000000000002</v>
      </c>
      <c r="BF52" s="283">
        <f t="shared" si="65"/>
        <v>273.42</v>
      </c>
      <c r="BG52" s="283">
        <f t="shared" si="65"/>
        <v>276.64999999999998</v>
      </c>
      <c r="BH52" s="283">
        <f t="shared" si="65"/>
        <v>280.76</v>
      </c>
      <c r="BI52" s="283">
        <f t="shared" si="65"/>
        <v>287.54000000000002</v>
      </c>
      <c r="BJ52" s="283">
        <f t="shared" si="65"/>
        <v>289.42</v>
      </c>
      <c r="BK52" s="307">
        <f t="shared" ref="BK52:BP52" si="66">ROUND(100*BK49/$D$49,2)</f>
        <v>296.69</v>
      </c>
      <c r="BL52" s="307">
        <f t="shared" si="66"/>
        <v>298.72000000000003</v>
      </c>
      <c r="BM52" s="307">
        <f t="shared" si="66"/>
        <v>302.43</v>
      </c>
      <c r="BN52" s="307">
        <f t="shared" si="66"/>
        <v>306.27999999999997</v>
      </c>
      <c r="BO52" s="332">
        <f t="shared" si="66"/>
        <v>309.39</v>
      </c>
      <c r="BP52" s="331">
        <f t="shared" si="66"/>
        <v>314.12</v>
      </c>
      <c r="BQ52" s="307">
        <f t="shared" ref="BQ52:BV52" si="67">ROUND(100*BQ49/$D$49,2)</f>
        <v>318.06</v>
      </c>
      <c r="BR52" s="307">
        <f t="shared" si="67"/>
        <v>323.58</v>
      </c>
      <c r="BS52" s="307">
        <f t="shared" si="67"/>
        <v>328.95</v>
      </c>
      <c r="BT52" s="307">
        <f t="shared" si="67"/>
        <v>330.84</v>
      </c>
      <c r="BU52" s="307">
        <f t="shared" si="67"/>
        <v>338.25</v>
      </c>
      <c r="BV52" s="307">
        <f t="shared" si="67"/>
        <v>343.61</v>
      </c>
      <c r="BW52" s="307">
        <f t="shared" ref="BW52:CB52" si="68">ROUND(100*BW49/$D$49,2)</f>
        <v>346.88</v>
      </c>
      <c r="BX52" s="307">
        <f t="shared" si="68"/>
        <v>349.83</v>
      </c>
      <c r="BY52" s="307">
        <f t="shared" si="68"/>
        <v>352.61</v>
      </c>
      <c r="BZ52" s="307">
        <f t="shared" si="68"/>
        <v>355.42</v>
      </c>
      <c r="CA52" s="332">
        <f t="shared" si="68"/>
        <v>356.33</v>
      </c>
      <c r="CB52" s="330">
        <f t="shared" si="68"/>
        <v>357.92</v>
      </c>
      <c r="CC52" s="307">
        <f t="shared" ref="CC52:CH52" si="69">ROUND(100*CC49/$D$49,2)</f>
        <v>358.04</v>
      </c>
      <c r="CD52" s="330">
        <f t="shared" si="69"/>
        <v>359.4</v>
      </c>
      <c r="CE52" s="307">
        <f t="shared" si="69"/>
        <v>360.96</v>
      </c>
      <c r="CF52" s="307">
        <f t="shared" si="69"/>
        <v>365.18</v>
      </c>
      <c r="CG52" s="307">
        <f t="shared" si="69"/>
        <v>367.92</v>
      </c>
      <c r="CH52" s="307">
        <f t="shared" si="69"/>
        <v>370.17</v>
      </c>
      <c r="CI52" s="307">
        <f t="shared" ref="CI52:CN52" si="70">ROUND(100*CI49/$D$49,2)</f>
        <v>372.89</v>
      </c>
      <c r="CJ52" s="307">
        <f t="shared" si="70"/>
        <v>375.04</v>
      </c>
      <c r="CK52" s="307">
        <f t="shared" si="70"/>
        <v>381.2</v>
      </c>
      <c r="CL52" s="330">
        <f t="shared" si="70"/>
        <v>385.61</v>
      </c>
      <c r="CM52" s="330">
        <f t="shared" si="70"/>
        <v>387.46</v>
      </c>
      <c r="CN52" s="331">
        <f t="shared" si="70"/>
        <v>390.31</v>
      </c>
      <c r="CO52" s="307">
        <f t="shared" ref="CO52:CT52" si="71">ROUND(100*CO49/$D$49,2)</f>
        <v>396.9</v>
      </c>
      <c r="CP52" s="307">
        <f t="shared" si="71"/>
        <v>403.19</v>
      </c>
      <c r="CQ52" s="330">
        <f t="shared" si="71"/>
        <v>409.44</v>
      </c>
      <c r="CR52" s="330">
        <f t="shared" si="71"/>
        <v>416.08</v>
      </c>
      <c r="CS52" s="307">
        <f t="shared" si="71"/>
        <v>422.57</v>
      </c>
      <c r="CT52" s="307">
        <f t="shared" si="71"/>
        <v>426.04</v>
      </c>
      <c r="CU52" s="334">
        <f t="shared" ref="CU52:CZ52" si="72">ROUND(100*CU49/$D$49,2)</f>
        <v>429.95</v>
      </c>
      <c r="CV52" s="330">
        <f t="shared" si="72"/>
        <v>434.99</v>
      </c>
      <c r="CW52" s="307">
        <f t="shared" si="72"/>
        <v>440.47</v>
      </c>
      <c r="CX52" s="307">
        <f t="shared" si="72"/>
        <v>445.3</v>
      </c>
      <c r="CY52" s="332">
        <f t="shared" si="72"/>
        <v>450.38</v>
      </c>
      <c r="CZ52" s="335">
        <f t="shared" si="72"/>
        <v>454.08</v>
      </c>
      <c r="DA52" s="330">
        <f t="shared" ref="DA52:DF52" si="73">ROUND(100*DA49/$D$49,2)</f>
        <v>459.2</v>
      </c>
      <c r="DB52" s="330">
        <f t="shared" si="73"/>
        <v>463.07</v>
      </c>
      <c r="DC52" s="330">
        <f t="shared" si="73"/>
        <v>469.33</v>
      </c>
      <c r="DD52" s="307">
        <f t="shared" si="73"/>
        <v>479.1</v>
      </c>
      <c r="DE52" s="307">
        <f t="shared" si="73"/>
        <v>487.78</v>
      </c>
      <c r="DF52" s="330">
        <f t="shared" si="73"/>
        <v>497</v>
      </c>
      <c r="DG52" s="330">
        <f t="shared" ref="DG52:DM52" si="74">ROUND(100*DG49/$D$49,2)</f>
        <v>499.66</v>
      </c>
      <c r="DH52" s="330">
        <f t="shared" si="74"/>
        <v>510.31</v>
      </c>
      <c r="DI52" s="330">
        <f t="shared" si="74"/>
        <v>518.55999999999995</v>
      </c>
      <c r="DJ52" s="330">
        <f t="shared" si="74"/>
        <v>526.13</v>
      </c>
      <c r="DK52" s="332">
        <f t="shared" si="74"/>
        <v>533.63</v>
      </c>
      <c r="DL52" s="335">
        <f t="shared" si="74"/>
        <v>532.62</v>
      </c>
      <c r="DM52" s="330">
        <f t="shared" si="74"/>
        <v>538.73</v>
      </c>
      <c r="DN52" s="330">
        <f t="shared" ref="DN52:DS52" si="75">ROUND(100*DN49/$D$49,2)</f>
        <v>542.55999999999995</v>
      </c>
      <c r="DO52" s="330">
        <f t="shared" si="75"/>
        <v>545.66</v>
      </c>
      <c r="DP52" s="330">
        <f t="shared" si="75"/>
        <v>557.1</v>
      </c>
      <c r="DQ52" s="330">
        <f t="shared" si="75"/>
        <v>562.82000000000005</v>
      </c>
      <c r="DR52" s="330">
        <f t="shared" si="75"/>
        <v>571.02</v>
      </c>
      <c r="DS52" s="330">
        <f t="shared" si="75"/>
        <v>575.30999999999995</v>
      </c>
      <c r="DT52" s="330">
        <f t="shared" ref="DT52:DY52" si="76">ROUND(100*DT49/$D$49,2)</f>
        <v>582.01</v>
      </c>
      <c r="DU52" s="307">
        <f t="shared" si="76"/>
        <v>590.34</v>
      </c>
      <c r="DV52" s="334">
        <f t="shared" si="76"/>
        <v>598.39</v>
      </c>
      <c r="DW52" s="332">
        <f t="shared" si="76"/>
        <v>605.52</v>
      </c>
      <c r="DX52" s="330">
        <f t="shared" si="76"/>
        <v>608.88</v>
      </c>
      <c r="DY52" s="330">
        <f t="shared" si="76"/>
        <v>614.02</v>
      </c>
      <c r="DZ52" s="330">
        <f t="shared" ref="DZ52:EE52" si="77">ROUND(100*DZ49/$D$49,2)</f>
        <v>619.03</v>
      </c>
      <c r="EA52" s="330">
        <f t="shared" si="77"/>
        <v>627.4</v>
      </c>
      <c r="EB52" s="330">
        <f t="shared" si="77"/>
        <v>634.79</v>
      </c>
      <c r="EC52" s="330">
        <f t="shared" si="77"/>
        <v>645.09</v>
      </c>
      <c r="ED52" s="330">
        <f t="shared" si="77"/>
        <v>658.95</v>
      </c>
      <c r="EE52" s="330">
        <f t="shared" si="77"/>
        <v>666.99</v>
      </c>
      <c r="EF52" s="330">
        <f>ROUND(100*EF49/$D$49,2)</f>
        <v>675.57</v>
      </c>
      <c r="EG52" s="330">
        <f>ROUND(100*EG49/$D$49,2)</f>
        <v>681.24</v>
      </c>
      <c r="EH52" s="330">
        <f>ROUND(100*EH49/$D$49,2)</f>
        <v>688.03</v>
      </c>
      <c r="EI52" s="332">
        <f>ROUND(100*EI49/$D$49,2)</f>
        <v>697.85</v>
      </c>
      <c r="EJ52" s="332">
        <f>ROUND(100*EJ49/$D$49,2)</f>
        <v>727.94</v>
      </c>
    </row>
    <row r="53" spans="3:140" ht="19.5" customHeight="1">
      <c r="C53" s="301" t="s">
        <v>624</v>
      </c>
      <c r="D53" s="307">
        <f t="shared" ref="D53:Z53" si="78">ROUND(100*D50/$D$50,2)</f>
        <v>100</v>
      </c>
      <c r="E53" s="283">
        <f t="shared" si="78"/>
        <v>222.53</v>
      </c>
      <c r="F53" s="283">
        <f t="shared" si="78"/>
        <v>218.84</v>
      </c>
      <c r="G53" s="283">
        <f t="shared" si="78"/>
        <v>217.96</v>
      </c>
      <c r="H53" s="283">
        <f t="shared" si="78"/>
        <v>218.88</v>
      </c>
      <c r="I53" s="283">
        <f t="shared" si="78"/>
        <v>219.73</v>
      </c>
      <c r="J53" s="283">
        <f t="shared" si="78"/>
        <v>218.22</v>
      </c>
      <c r="K53" s="283">
        <f t="shared" si="78"/>
        <v>214.23</v>
      </c>
      <c r="L53" s="283">
        <f t="shared" si="78"/>
        <v>212.86</v>
      </c>
      <c r="M53" s="283">
        <f t="shared" si="78"/>
        <v>212.57</v>
      </c>
      <c r="N53" s="283">
        <f t="shared" si="78"/>
        <v>212.49</v>
      </c>
      <c r="O53" s="283">
        <f t="shared" si="78"/>
        <v>215.4</v>
      </c>
      <c r="P53" s="283">
        <f t="shared" si="78"/>
        <v>215.03</v>
      </c>
      <c r="Q53" s="283">
        <f t="shared" si="78"/>
        <v>216.17</v>
      </c>
      <c r="R53" s="283">
        <f t="shared" si="78"/>
        <v>218.44</v>
      </c>
      <c r="S53" s="283">
        <f t="shared" si="78"/>
        <v>222.22</v>
      </c>
      <c r="T53" s="283">
        <f t="shared" si="78"/>
        <v>221.47</v>
      </c>
      <c r="U53" s="283">
        <f t="shared" si="78"/>
        <v>224.56</v>
      </c>
      <c r="V53" s="283">
        <f t="shared" si="78"/>
        <v>225.53</v>
      </c>
      <c r="W53" s="283">
        <f t="shared" si="78"/>
        <v>227.34</v>
      </c>
      <c r="X53" s="283">
        <f t="shared" si="78"/>
        <v>230.26</v>
      </c>
      <c r="Y53" s="283">
        <f t="shared" si="78"/>
        <v>230.78</v>
      </c>
      <c r="Z53" s="283">
        <f t="shared" si="78"/>
        <v>232.99</v>
      </c>
      <c r="AA53" s="283">
        <f>ROUND(100*AA50/$D$50,2)</f>
        <v>238.67</v>
      </c>
      <c r="AB53" s="283">
        <f>ROUND(100*AB50/$D$50,2)</f>
        <v>239.21</v>
      </c>
      <c r="AC53" s="283">
        <f>ROUND(100*AC50/$D$50,2)</f>
        <v>240.62</v>
      </c>
      <c r="AD53" s="283">
        <f>ROUND(100*AD50/$D$50,2)</f>
        <v>237.46</v>
      </c>
      <c r="AE53" s="283">
        <f>ROUND(100*AE50/$D$50,2)</f>
        <v>239.81</v>
      </c>
      <c r="AF53" s="283">
        <f t="shared" ref="AF53:AL53" si="79">ROUND(100*AF50/$D$50,2)</f>
        <v>237.05</v>
      </c>
      <c r="AG53" s="283">
        <f t="shared" si="79"/>
        <v>239.88</v>
      </c>
      <c r="AH53" s="283">
        <f t="shared" si="79"/>
        <v>245.01</v>
      </c>
      <c r="AI53" s="283">
        <f t="shared" si="79"/>
        <v>248.35</v>
      </c>
      <c r="AJ53" s="283">
        <f t="shared" si="79"/>
        <v>248.26</v>
      </c>
      <c r="AK53" s="283">
        <f t="shared" si="79"/>
        <v>248.24</v>
      </c>
      <c r="AL53" s="283">
        <f t="shared" si="79"/>
        <v>251.8</v>
      </c>
      <c r="AM53" s="283">
        <f t="shared" ref="AM53:AR53" si="80">ROUND(100*AM50/$D$50,2)</f>
        <v>254.91</v>
      </c>
      <c r="AN53" s="283">
        <f t="shared" si="80"/>
        <v>259.3</v>
      </c>
      <c r="AO53" s="283">
        <f t="shared" si="80"/>
        <v>262.60000000000002</v>
      </c>
      <c r="AP53" s="283">
        <f t="shared" si="80"/>
        <v>262.99</v>
      </c>
      <c r="AQ53" s="283">
        <f t="shared" si="80"/>
        <v>265.45</v>
      </c>
      <c r="AR53" s="280">
        <f t="shared" si="80"/>
        <v>268.57</v>
      </c>
      <c r="AS53" s="328">
        <f t="shared" ref="AS53:AX53" si="81">ROUND(100*AS50/$D$50,2)</f>
        <v>268.57</v>
      </c>
      <c r="AT53" s="283">
        <f t="shared" si="81"/>
        <v>271.54000000000002</v>
      </c>
      <c r="AU53" s="283">
        <f t="shared" si="81"/>
        <v>275.51</v>
      </c>
      <c r="AV53" s="283">
        <f t="shared" si="81"/>
        <v>276.23</v>
      </c>
      <c r="AW53" s="283">
        <f t="shared" si="81"/>
        <v>278.55</v>
      </c>
      <c r="AX53" s="283">
        <f t="shared" si="81"/>
        <v>280.52999999999997</v>
      </c>
      <c r="AY53" s="283">
        <f t="shared" ref="AY53:BD53" si="82">ROUND(100*AY50/$D$50,2)</f>
        <v>280.52999999999997</v>
      </c>
      <c r="AZ53" s="283">
        <f t="shared" si="82"/>
        <v>282.14</v>
      </c>
      <c r="BA53" s="283">
        <f t="shared" si="82"/>
        <v>282.3</v>
      </c>
      <c r="BB53" s="283">
        <f t="shared" si="82"/>
        <v>282.3</v>
      </c>
      <c r="BC53" s="329">
        <f t="shared" si="82"/>
        <v>284.07</v>
      </c>
      <c r="BD53" s="328">
        <f t="shared" si="82"/>
        <v>285.08</v>
      </c>
      <c r="BE53" s="283">
        <f t="shared" ref="BE53:BJ53" si="83">ROUND(100*BE50/$D$50,2)</f>
        <v>287.35000000000002</v>
      </c>
      <c r="BF53" s="283">
        <f t="shared" si="83"/>
        <v>289.02999999999997</v>
      </c>
      <c r="BG53" s="283">
        <f t="shared" si="83"/>
        <v>294.22000000000003</v>
      </c>
      <c r="BH53" s="283">
        <f t="shared" si="83"/>
        <v>298.64999999999998</v>
      </c>
      <c r="BI53" s="283">
        <f t="shared" si="83"/>
        <v>304.56</v>
      </c>
      <c r="BJ53" s="283">
        <f t="shared" si="83"/>
        <v>311.11</v>
      </c>
      <c r="BK53" s="307">
        <f t="shared" ref="BK53:BP53" si="84">ROUND(100*BK50/$D$50,2)</f>
        <v>313.72000000000003</v>
      </c>
      <c r="BL53" s="307">
        <f t="shared" si="84"/>
        <v>316.79000000000002</v>
      </c>
      <c r="BM53" s="307">
        <f t="shared" si="84"/>
        <v>320.26</v>
      </c>
      <c r="BN53" s="307">
        <f t="shared" si="84"/>
        <v>323.14999999999998</v>
      </c>
      <c r="BO53" s="332">
        <f t="shared" si="84"/>
        <v>325.24</v>
      </c>
      <c r="BP53" s="331">
        <f t="shared" si="84"/>
        <v>327.95</v>
      </c>
      <c r="BQ53" s="307">
        <f t="shared" ref="BQ53:BV53" si="85">ROUND(100*BQ50/$D$50,2)</f>
        <v>327.95</v>
      </c>
      <c r="BR53" s="307">
        <f t="shared" si="85"/>
        <v>327.95</v>
      </c>
      <c r="BS53" s="307">
        <f t="shared" si="85"/>
        <v>327.95</v>
      </c>
      <c r="BT53" s="307">
        <f t="shared" si="85"/>
        <v>327.95</v>
      </c>
      <c r="BU53" s="307">
        <f t="shared" si="85"/>
        <v>327.95</v>
      </c>
      <c r="BV53" s="307">
        <f t="shared" si="85"/>
        <v>327.95</v>
      </c>
      <c r="BW53" s="307">
        <f t="shared" ref="BW53:CB53" si="86">ROUND(100*BW50/$D$50,2)</f>
        <v>327.95</v>
      </c>
      <c r="BX53" s="307">
        <f t="shared" si="86"/>
        <v>327.95</v>
      </c>
      <c r="BY53" s="307">
        <f t="shared" si="86"/>
        <v>327.95</v>
      </c>
      <c r="BZ53" s="307">
        <f t="shared" si="86"/>
        <v>326.27999999999997</v>
      </c>
      <c r="CA53" s="332">
        <f t="shared" si="86"/>
        <v>326.27999999999997</v>
      </c>
      <c r="CB53" s="330">
        <f t="shared" si="86"/>
        <v>327.78</v>
      </c>
      <c r="CC53" s="307">
        <f t="shared" ref="CC53:CH53" si="87">ROUND(100*CC50/$D$50,2)</f>
        <v>327.78</v>
      </c>
      <c r="CD53" s="330">
        <f t="shared" si="87"/>
        <v>327.78</v>
      </c>
      <c r="CE53" s="307">
        <f t="shared" si="87"/>
        <v>331.67</v>
      </c>
      <c r="CF53" s="307">
        <f t="shared" si="87"/>
        <v>333.67</v>
      </c>
      <c r="CG53" s="307">
        <f t="shared" si="87"/>
        <v>342.65</v>
      </c>
      <c r="CH53" s="307">
        <f t="shared" si="87"/>
        <v>345.44</v>
      </c>
      <c r="CI53" s="307">
        <f t="shared" ref="CI53:CN53" si="88">ROUND(100*CI50/$D$50,2)</f>
        <v>347.73</v>
      </c>
      <c r="CJ53" s="307">
        <f t="shared" si="88"/>
        <v>348.83</v>
      </c>
      <c r="CK53" s="307">
        <f t="shared" si="88"/>
        <v>358.11</v>
      </c>
      <c r="CL53" s="330">
        <f t="shared" si="88"/>
        <v>362.2</v>
      </c>
      <c r="CM53" s="330">
        <f t="shared" si="88"/>
        <v>363.6</v>
      </c>
      <c r="CN53" s="331">
        <f t="shared" si="88"/>
        <v>365.4</v>
      </c>
      <c r="CO53" s="307">
        <f t="shared" ref="CO53:CT53" si="89">ROUND(100*CO50/$D$50,2)</f>
        <v>372.38</v>
      </c>
      <c r="CP53" s="307">
        <f t="shared" si="89"/>
        <v>385.25</v>
      </c>
      <c r="CQ53" s="330">
        <f t="shared" si="89"/>
        <v>375.77</v>
      </c>
      <c r="CR53" s="330">
        <f t="shared" si="89"/>
        <v>393.43</v>
      </c>
      <c r="CS53" s="307">
        <f t="shared" si="89"/>
        <v>397.43</v>
      </c>
      <c r="CT53" s="307">
        <f t="shared" si="89"/>
        <v>402.81</v>
      </c>
      <c r="CU53" s="334">
        <f t="shared" ref="CU53:CZ53" si="90">ROUND(100*CU50/$D$50,2)</f>
        <v>410.3</v>
      </c>
      <c r="CV53" s="330">
        <f t="shared" si="90"/>
        <v>414.19</v>
      </c>
      <c r="CW53" s="307">
        <f t="shared" si="90"/>
        <v>419.28</v>
      </c>
      <c r="CX53" s="307">
        <f t="shared" si="90"/>
        <v>422.27</v>
      </c>
      <c r="CY53" s="332">
        <f t="shared" si="90"/>
        <v>433.55</v>
      </c>
      <c r="CZ53" s="335">
        <f t="shared" si="90"/>
        <v>450.91</v>
      </c>
      <c r="DA53" s="330">
        <f t="shared" ref="DA53:DF53" si="91">ROUND(100*DA50/$D$50,2)</f>
        <v>457.49</v>
      </c>
      <c r="DB53" s="330">
        <f t="shared" si="91"/>
        <v>462.08</v>
      </c>
      <c r="DC53" s="330">
        <f t="shared" si="91"/>
        <v>467.97</v>
      </c>
      <c r="DD53" s="307">
        <f t="shared" si="91"/>
        <v>471.16</v>
      </c>
      <c r="DE53" s="307">
        <f t="shared" si="91"/>
        <v>470.17</v>
      </c>
      <c r="DF53" s="330">
        <f t="shared" si="91"/>
        <v>477.95</v>
      </c>
      <c r="DG53" s="330">
        <f t="shared" ref="DG53:DM53" si="92">ROUND(100*DG50/$D$50,2)</f>
        <v>487.33</v>
      </c>
      <c r="DH53" s="330">
        <f t="shared" si="92"/>
        <v>494.11</v>
      </c>
      <c r="DI53" s="330">
        <f t="shared" si="92"/>
        <v>502.29</v>
      </c>
      <c r="DJ53" s="330">
        <f t="shared" si="92"/>
        <v>512.66999999999996</v>
      </c>
      <c r="DK53" s="332">
        <f t="shared" si="92"/>
        <v>518.96</v>
      </c>
      <c r="DL53" s="335">
        <f t="shared" si="92"/>
        <v>543.01</v>
      </c>
      <c r="DM53" s="330">
        <f t="shared" si="92"/>
        <v>547.99</v>
      </c>
      <c r="DN53" s="330">
        <f t="shared" ref="DN53:DS53" si="93">ROUND(100*DN50/$D$50,2)</f>
        <v>552.88</v>
      </c>
      <c r="DO53" s="330">
        <f t="shared" si="93"/>
        <v>558.27</v>
      </c>
      <c r="DP53" s="330">
        <f t="shared" si="93"/>
        <v>536.91999999999996</v>
      </c>
      <c r="DQ53" s="330">
        <f t="shared" si="93"/>
        <v>606.37</v>
      </c>
      <c r="DR53" s="330">
        <f t="shared" si="93"/>
        <v>617.14</v>
      </c>
      <c r="DS53" s="330">
        <f t="shared" si="93"/>
        <v>626.22</v>
      </c>
      <c r="DT53" s="330">
        <f t="shared" ref="DT53:DY53" si="94">ROUND(100*DT50/$D$50,2)</f>
        <v>629.52</v>
      </c>
      <c r="DU53" s="307">
        <f t="shared" si="94"/>
        <v>632.41</v>
      </c>
      <c r="DV53" s="334">
        <f t="shared" si="94"/>
        <v>645.58000000000004</v>
      </c>
      <c r="DW53" s="332">
        <f t="shared" si="94"/>
        <v>646.88</v>
      </c>
      <c r="DX53" s="330">
        <f t="shared" si="94"/>
        <v>649.87</v>
      </c>
      <c r="DY53" s="330">
        <f t="shared" si="94"/>
        <v>654.96</v>
      </c>
      <c r="DZ53" s="330">
        <f t="shared" ref="DZ53:EE53" si="95">ROUND(100*DZ50/$D$50,2)</f>
        <v>663.64</v>
      </c>
      <c r="EA53" s="330">
        <f t="shared" si="95"/>
        <v>682.3</v>
      </c>
      <c r="EB53" s="330">
        <f t="shared" si="95"/>
        <v>685.99</v>
      </c>
      <c r="EC53" s="330">
        <f t="shared" si="95"/>
        <v>735.78</v>
      </c>
      <c r="ED53" s="330">
        <f t="shared" si="95"/>
        <v>735.38</v>
      </c>
      <c r="EE53" s="330">
        <f t="shared" si="95"/>
        <v>742.37</v>
      </c>
      <c r="EF53" s="330">
        <f>ROUND(100*EF50/$D$50,2)</f>
        <v>767.51</v>
      </c>
      <c r="EG53" s="330">
        <f>ROUND(100*EG50/$D$50,2)</f>
        <v>772.1</v>
      </c>
      <c r="EH53" s="330">
        <f>ROUND(100*EH50/$D$50,2)</f>
        <v>776.39</v>
      </c>
      <c r="EI53" s="332">
        <f>ROUND(100*EI50/$D$50,2)</f>
        <v>786.47</v>
      </c>
      <c r="EJ53" s="332">
        <f>ROUND(100*EJ50/$D$50,2)</f>
        <v>799.84</v>
      </c>
    </row>
    <row r="54" spans="3:140" ht="6" customHeight="1" thickBot="1">
      <c r="C54" s="3"/>
      <c r="D54" s="120"/>
      <c r="E54" s="120"/>
      <c r="F54" s="120"/>
      <c r="G54" s="120"/>
      <c r="H54" s="120"/>
      <c r="I54" s="120"/>
      <c r="J54" s="120"/>
      <c r="K54" s="138"/>
      <c r="L54" s="138"/>
      <c r="M54" s="138"/>
      <c r="N54" s="138"/>
      <c r="O54" s="138"/>
      <c r="P54" s="138"/>
      <c r="AS54" s="425"/>
      <c r="AT54" s="122"/>
      <c r="AU54" s="122"/>
      <c r="AV54" s="122"/>
      <c r="AW54" s="122"/>
      <c r="AX54" s="122"/>
      <c r="AY54" s="122"/>
      <c r="AZ54" s="122"/>
      <c r="BA54" s="122"/>
      <c r="BB54" s="122"/>
      <c r="BC54" s="436"/>
      <c r="BD54" s="122"/>
      <c r="BE54" s="122"/>
      <c r="BF54" s="122"/>
      <c r="BG54" s="122"/>
      <c r="BH54" s="122"/>
      <c r="BI54" s="122"/>
      <c r="BJ54" s="122"/>
      <c r="BK54" s="265"/>
      <c r="BL54" s="265"/>
      <c r="BM54" s="265"/>
      <c r="BN54" s="265"/>
      <c r="BO54" s="437"/>
      <c r="BP54" s="265"/>
      <c r="BQ54" s="265"/>
      <c r="BR54" s="265"/>
      <c r="BS54" s="265"/>
      <c r="BT54" s="265"/>
      <c r="BU54" s="265"/>
      <c r="BV54" s="265"/>
      <c r="BW54" s="265"/>
      <c r="BX54" s="265"/>
      <c r="BY54" s="265"/>
      <c r="BZ54" s="265"/>
      <c r="CA54" s="265"/>
      <c r="CB54" s="437"/>
      <c r="CC54" s="437"/>
      <c r="CD54" s="437"/>
      <c r="CE54" s="437"/>
      <c r="CF54" s="437"/>
      <c r="CG54" s="437"/>
      <c r="CH54" s="437"/>
      <c r="CI54" s="437"/>
      <c r="CJ54" s="437"/>
      <c r="CK54" s="437"/>
      <c r="CL54" s="437"/>
      <c r="CM54" s="437"/>
      <c r="CN54" s="692"/>
      <c r="CO54" s="447"/>
      <c r="CP54" s="447"/>
      <c r="CQ54" s="448"/>
      <c r="CR54" s="448"/>
      <c r="CS54" s="447"/>
      <c r="CT54" s="447"/>
      <c r="CU54" s="437"/>
      <c r="CV54" s="448"/>
      <c r="CW54" s="447"/>
      <c r="CX54" s="447"/>
      <c r="CY54" s="131"/>
      <c r="CZ54" s="994"/>
      <c r="DA54" s="1004"/>
      <c r="DB54" s="1004"/>
      <c r="DC54" s="1004"/>
      <c r="DD54" s="1030"/>
      <c r="DE54" s="1030"/>
      <c r="DF54" s="1004"/>
      <c r="DG54" s="1004"/>
      <c r="DH54" s="1004"/>
      <c r="DI54" s="1004"/>
      <c r="DJ54" s="1004"/>
      <c r="DK54" s="995"/>
      <c r="DL54" s="1110"/>
      <c r="DM54" s="1004"/>
      <c r="DN54" s="1004"/>
      <c r="DO54" s="1004"/>
      <c r="DP54" s="1004"/>
      <c r="DQ54" s="1004"/>
      <c r="DR54" s="1004"/>
      <c r="DS54" s="1004"/>
      <c r="DT54" s="1004"/>
      <c r="DU54" s="1030"/>
      <c r="DV54" s="1142"/>
      <c r="DW54" s="995"/>
      <c r="DX54" s="1004"/>
      <c r="DY54" s="1004"/>
      <c r="DZ54" s="1004"/>
      <c r="EA54" s="1004"/>
      <c r="EB54" s="1004"/>
      <c r="EC54" s="1004"/>
      <c r="ED54" s="1004"/>
      <c r="EE54" s="1004"/>
      <c r="EF54" s="1004"/>
      <c r="EG54" s="1004"/>
      <c r="EH54" s="1004"/>
      <c r="EI54" s="995"/>
      <c r="EJ54" s="995"/>
    </row>
    <row r="55" spans="3:140" ht="19.5" customHeight="1" thickBot="1">
      <c r="C55" s="284" t="s">
        <v>551</v>
      </c>
      <c r="D55" s="135">
        <f t="shared" ref="D55:Z55" si="96">ROUND(+$I$43*D52+$I$44*D53,2)</f>
        <v>100</v>
      </c>
      <c r="E55" s="337">
        <f t="shared" si="96"/>
        <v>192.56</v>
      </c>
      <c r="F55" s="337">
        <f t="shared" si="96"/>
        <v>193</v>
      </c>
      <c r="G55" s="337">
        <f t="shared" si="96"/>
        <v>193.23</v>
      </c>
      <c r="H55" s="338">
        <f t="shared" si="96"/>
        <v>191.72</v>
      </c>
      <c r="I55" s="338">
        <f t="shared" si="96"/>
        <v>190.49</v>
      </c>
      <c r="J55" s="338">
        <f t="shared" si="96"/>
        <v>190.77</v>
      </c>
      <c r="K55" s="338">
        <f t="shared" si="96"/>
        <v>189.3</v>
      </c>
      <c r="L55" s="338">
        <f t="shared" si="96"/>
        <v>188.4</v>
      </c>
      <c r="M55" s="338">
        <f t="shared" si="96"/>
        <v>188.12</v>
      </c>
      <c r="N55" s="338">
        <f t="shared" si="96"/>
        <v>188.61</v>
      </c>
      <c r="O55" s="338">
        <f t="shared" si="96"/>
        <v>189.51</v>
      </c>
      <c r="P55" s="338">
        <f t="shared" si="96"/>
        <v>188.71</v>
      </c>
      <c r="Q55" s="338">
        <f t="shared" si="96"/>
        <v>188.54</v>
      </c>
      <c r="R55" s="338">
        <f t="shared" si="96"/>
        <v>189.29</v>
      </c>
      <c r="S55" s="338">
        <f t="shared" si="96"/>
        <v>190.95</v>
      </c>
      <c r="T55" s="338">
        <f t="shared" si="96"/>
        <v>191.92</v>
      </c>
      <c r="U55" s="338">
        <f t="shared" si="96"/>
        <v>195.63</v>
      </c>
      <c r="V55" s="338">
        <f t="shared" si="96"/>
        <v>199.15</v>
      </c>
      <c r="W55" s="338">
        <f t="shared" si="96"/>
        <v>201.68</v>
      </c>
      <c r="X55" s="338">
        <f t="shared" si="96"/>
        <v>204.2</v>
      </c>
      <c r="Y55" s="338">
        <f t="shared" si="96"/>
        <v>206.31</v>
      </c>
      <c r="Z55" s="338">
        <f t="shared" si="96"/>
        <v>206.98</v>
      </c>
      <c r="AA55" s="338">
        <f>ROUND(+$I$43*AA52+$I$44*AA53,2)</f>
        <v>209.02</v>
      </c>
      <c r="AB55" s="338">
        <f>ROUND(+$I$43*AB52+$I$44*AB53,2)</f>
        <v>210.28</v>
      </c>
      <c r="AC55" s="338">
        <f>ROUND(+$I$43*AC52+$I$44*AC53,2)</f>
        <v>211.58</v>
      </c>
      <c r="AD55" s="338">
        <f>ROUND(+$I$43*AD52+$I$44*AD53,2)</f>
        <v>212.11</v>
      </c>
      <c r="AE55" s="338">
        <f>ROUND(+$I$43*AE52+$I$44*AE53,2)</f>
        <v>214.59</v>
      </c>
      <c r="AF55" s="338">
        <f t="shared" ref="AF55:AL55" si="97">ROUND(+$I$43*AF52+$I$44*AF53,2)</f>
        <v>208.38</v>
      </c>
      <c r="AG55" s="338">
        <f t="shared" si="97"/>
        <v>220.94</v>
      </c>
      <c r="AH55" s="338">
        <f t="shared" si="97"/>
        <v>223.85</v>
      </c>
      <c r="AI55" s="338">
        <f t="shared" si="97"/>
        <v>225.95</v>
      </c>
      <c r="AJ55" s="338">
        <f t="shared" si="97"/>
        <v>226.98</v>
      </c>
      <c r="AK55" s="338">
        <f t="shared" si="97"/>
        <v>227.97</v>
      </c>
      <c r="AL55" s="338">
        <f t="shared" si="97"/>
        <v>230.76</v>
      </c>
      <c r="AM55" s="338">
        <f t="shared" ref="AM55:AR55" si="98">ROUND(+$I$43*AM52+$I$44*AM53,2)</f>
        <v>232.49</v>
      </c>
      <c r="AN55" s="338">
        <f t="shared" si="98"/>
        <v>235.98</v>
      </c>
      <c r="AO55" s="338">
        <f t="shared" si="98"/>
        <v>238.92</v>
      </c>
      <c r="AP55" s="338">
        <f t="shared" si="98"/>
        <v>239.37</v>
      </c>
      <c r="AQ55" s="338">
        <f t="shared" si="98"/>
        <v>243.78</v>
      </c>
      <c r="AR55" s="339">
        <f t="shared" si="98"/>
        <v>247.41</v>
      </c>
      <c r="AS55" s="136">
        <f t="shared" ref="AS55:AX55" si="99">ROUND(+$I$43*AS52+$I$44*AS53,2)</f>
        <v>248.83</v>
      </c>
      <c r="AT55" s="338">
        <f t="shared" si="99"/>
        <v>251.27</v>
      </c>
      <c r="AU55" s="338">
        <f t="shared" si="99"/>
        <v>253.01</v>
      </c>
      <c r="AV55" s="338">
        <f t="shared" si="99"/>
        <v>255.17</v>
      </c>
      <c r="AW55" s="338">
        <f t="shared" si="99"/>
        <v>258.57</v>
      </c>
      <c r="AX55" s="338">
        <f t="shared" si="99"/>
        <v>261.3</v>
      </c>
      <c r="AY55" s="338">
        <f t="shared" ref="AY55:BD55" si="100">ROUND(+$I$43*AY52+$I$44*AY53,2)</f>
        <v>264.72000000000003</v>
      </c>
      <c r="AZ55" s="338">
        <f t="shared" si="100"/>
        <v>267.42</v>
      </c>
      <c r="BA55" s="338">
        <f t="shared" si="100"/>
        <v>268.43</v>
      </c>
      <c r="BB55" s="338">
        <f t="shared" si="100"/>
        <v>268.52999999999997</v>
      </c>
      <c r="BC55" s="338">
        <f t="shared" si="100"/>
        <v>269.64</v>
      </c>
      <c r="BD55" s="136">
        <f t="shared" si="100"/>
        <v>270.35000000000002</v>
      </c>
      <c r="BE55" s="338">
        <f t="shared" ref="BE55:BJ55" si="101">ROUND(+$I$43*BE52+$I$44*BE53,2)</f>
        <v>273.06</v>
      </c>
      <c r="BF55" s="338">
        <f t="shared" si="101"/>
        <v>275.76</v>
      </c>
      <c r="BG55" s="338">
        <f t="shared" si="101"/>
        <v>279.29000000000002</v>
      </c>
      <c r="BH55" s="338">
        <f t="shared" si="101"/>
        <v>283.44</v>
      </c>
      <c r="BI55" s="338">
        <f t="shared" si="101"/>
        <v>290.08999999999997</v>
      </c>
      <c r="BJ55" s="338">
        <f t="shared" si="101"/>
        <v>292.67</v>
      </c>
      <c r="BK55" s="338">
        <f t="shared" ref="BK55:BP55" si="102">ROUND(+$I$43*BK52+$I$44*BK53,2)</f>
        <v>299.24</v>
      </c>
      <c r="BL55" s="338">
        <f t="shared" si="102"/>
        <v>301.43</v>
      </c>
      <c r="BM55" s="338">
        <f t="shared" si="102"/>
        <v>305.10000000000002</v>
      </c>
      <c r="BN55" s="338">
        <f t="shared" si="102"/>
        <v>308.81</v>
      </c>
      <c r="BO55" s="338">
        <f t="shared" si="102"/>
        <v>311.77</v>
      </c>
      <c r="BP55" s="136">
        <f t="shared" si="102"/>
        <v>316.19</v>
      </c>
      <c r="BQ55" s="338">
        <f t="shared" ref="BQ55:BV55" si="103">ROUND(+$I$43*BQ52+$I$44*BQ53,2)</f>
        <v>319.54000000000002</v>
      </c>
      <c r="BR55" s="338">
        <f t="shared" si="103"/>
        <v>324.24</v>
      </c>
      <c r="BS55" s="338">
        <f t="shared" si="103"/>
        <v>328.8</v>
      </c>
      <c r="BT55" s="338">
        <f t="shared" si="103"/>
        <v>330.41</v>
      </c>
      <c r="BU55" s="338">
        <f t="shared" si="103"/>
        <v>336.71</v>
      </c>
      <c r="BV55" s="338">
        <f t="shared" si="103"/>
        <v>341.26</v>
      </c>
      <c r="BW55" s="338">
        <f t="shared" ref="BW55:CB55" si="104">ROUND(+$I$43*BW52+$I$44*BW53,2)</f>
        <v>344.04</v>
      </c>
      <c r="BX55" s="338">
        <f t="shared" si="104"/>
        <v>346.55</v>
      </c>
      <c r="BY55" s="338">
        <f t="shared" si="104"/>
        <v>348.91</v>
      </c>
      <c r="BZ55" s="338">
        <f t="shared" si="104"/>
        <v>351.05</v>
      </c>
      <c r="CA55" s="338">
        <f t="shared" si="104"/>
        <v>351.82</v>
      </c>
      <c r="CB55" s="338">
        <f t="shared" si="104"/>
        <v>353.4</v>
      </c>
      <c r="CC55" s="339">
        <f t="shared" ref="CC55:CH55" si="105">ROUND(+$I$43*CC52+$I$44*CC53,2)</f>
        <v>353.5</v>
      </c>
      <c r="CD55" s="136">
        <f t="shared" si="105"/>
        <v>354.66</v>
      </c>
      <c r="CE55" s="347">
        <f t="shared" si="105"/>
        <v>356.57</v>
      </c>
      <c r="CF55" s="387">
        <f t="shared" si="105"/>
        <v>360.45</v>
      </c>
      <c r="CG55" s="136">
        <f t="shared" si="105"/>
        <v>364.13</v>
      </c>
      <c r="CH55" s="347">
        <f t="shared" si="105"/>
        <v>366.46</v>
      </c>
      <c r="CI55" s="338">
        <f t="shared" ref="CI55:CN55" si="106">ROUND(+$I$43*CI52+$I$44*CI53,2)</f>
        <v>369.12</v>
      </c>
      <c r="CJ55" s="338">
        <f t="shared" si="106"/>
        <v>371.11</v>
      </c>
      <c r="CK55" s="338">
        <f t="shared" si="106"/>
        <v>377.74</v>
      </c>
      <c r="CL55" s="338">
        <f t="shared" si="106"/>
        <v>382.1</v>
      </c>
      <c r="CM55" s="338">
        <f t="shared" si="106"/>
        <v>383.88</v>
      </c>
      <c r="CN55" s="135">
        <f t="shared" si="106"/>
        <v>386.57</v>
      </c>
      <c r="CO55" s="337">
        <f t="shared" ref="CO55:CT55" si="107">ROUND(+$I$43*CO52+$I$44*CO53,2)</f>
        <v>393.22</v>
      </c>
      <c r="CP55" s="337">
        <f t="shared" si="107"/>
        <v>400.5</v>
      </c>
      <c r="CQ55" s="339">
        <f t="shared" si="107"/>
        <v>404.39</v>
      </c>
      <c r="CR55" s="339">
        <f t="shared" si="107"/>
        <v>412.68</v>
      </c>
      <c r="CS55" s="337">
        <f t="shared" si="107"/>
        <v>418.8</v>
      </c>
      <c r="CT55" s="337">
        <f t="shared" si="107"/>
        <v>422.56</v>
      </c>
      <c r="CU55" s="386">
        <f t="shared" ref="CU55:CZ55" si="108">ROUND(+$I$43*CU52+$I$44*CU53,2)</f>
        <v>427</v>
      </c>
      <c r="CV55" s="339">
        <f t="shared" si="108"/>
        <v>431.87</v>
      </c>
      <c r="CW55" s="337">
        <f t="shared" si="108"/>
        <v>437.29</v>
      </c>
      <c r="CX55" s="337">
        <f t="shared" si="108"/>
        <v>441.85</v>
      </c>
      <c r="CY55" s="338">
        <f t="shared" si="108"/>
        <v>447.86</v>
      </c>
      <c r="CZ55" s="813">
        <f t="shared" si="108"/>
        <v>453.6</v>
      </c>
      <c r="DA55" s="339">
        <f t="shared" ref="DA55:DF55" si="109">ROUND(+$I$43*DA52+$I$44*DA53,2)</f>
        <v>458.94</v>
      </c>
      <c r="DB55" s="339">
        <f t="shared" si="109"/>
        <v>462.92</v>
      </c>
      <c r="DC55" s="339">
        <f t="shared" si="109"/>
        <v>469.13</v>
      </c>
      <c r="DD55" s="337">
        <f t="shared" si="109"/>
        <v>477.91</v>
      </c>
      <c r="DE55" s="337">
        <f t="shared" si="109"/>
        <v>485.14</v>
      </c>
      <c r="DF55" s="339">
        <f t="shared" si="109"/>
        <v>494.14</v>
      </c>
      <c r="DG55" s="339">
        <f t="shared" ref="DG55:DM55" si="110">ROUND(+$I$43*DG52+$I$44*DG53,2)</f>
        <v>497.81</v>
      </c>
      <c r="DH55" s="339">
        <f t="shared" si="110"/>
        <v>507.88</v>
      </c>
      <c r="DI55" s="339">
        <f t="shared" si="110"/>
        <v>516.12</v>
      </c>
      <c r="DJ55" s="339">
        <f t="shared" si="110"/>
        <v>524.11</v>
      </c>
      <c r="DK55" s="338">
        <f t="shared" si="110"/>
        <v>531.42999999999995</v>
      </c>
      <c r="DL55" s="813">
        <f t="shared" si="110"/>
        <v>534.17999999999995</v>
      </c>
      <c r="DM55" s="339">
        <f t="shared" si="110"/>
        <v>540.12</v>
      </c>
      <c r="DN55" s="339">
        <f t="shared" ref="DN55:DS55" si="111">ROUND(+$I$43*DN52+$I$44*DN53,2)</f>
        <v>544.11</v>
      </c>
      <c r="DO55" s="339">
        <f t="shared" si="111"/>
        <v>547.54999999999995</v>
      </c>
      <c r="DP55" s="339">
        <f t="shared" si="111"/>
        <v>554.07000000000005</v>
      </c>
      <c r="DQ55" s="339">
        <f t="shared" si="111"/>
        <v>569.35</v>
      </c>
      <c r="DR55" s="339">
        <f t="shared" si="111"/>
        <v>577.94000000000005</v>
      </c>
      <c r="DS55" s="339">
        <f t="shared" si="111"/>
        <v>582.95000000000005</v>
      </c>
      <c r="DT55" s="339">
        <f t="shared" ref="DT55:DY55" si="112">ROUND(+$I$43*DT52+$I$44*DT53,2)</f>
        <v>589.14</v>
      </c>
      <c r="DU55" s="337">
        <f t="shared" si="112"/>
        <v>596.65</v>
      </c>
      <c r="DV55" s="386">
        <f t="shared" si="112"/>
        <v>605.47</v>
      </c>
      <c r="DW55" s="338">
        <f t="shared" si="112"/>
        <v>611.72</v>
      </c>
      <c r="DX55" s="339">
        <f t="shared" si="112"/>
        <v>615.03</v>
      </c>
      <c r="DY55" s="339">
        <f t="shared" si="112"/>
        <v>620.16</v>
      </c>
      <c r="DZ55" s="339">
        <f t="shared" ref="DZ55:EE55" si="113">ROUND(+$I$43*DZ52+$I$44*DZ53,2)</f>
        <v>625.72</v>
      </c>
      <c r="EA55" s="339">
        <f t="shared" si="113"/>
        <v>635.64</v>
      </c>
      <c r="EB55" s="339">
        <f t="shared" si="113"/>
        <v>642.47</v>
      </c>
      <c r="EC55" s="339">
        <f t="shared" si="113"/>
        <v>658.69</v>
      </c>
      <c r="ED55" s="339">
        <f t="shared" si="113"/>
        <v>670.41</v>
      </c>
      <c r="EE55" s="339">
        <f t="shared" si="113"/>
        <v>678.3</v>
      </c>
      <c r="EF55" s="339">
        <f>ROUND(+$I$43*EF52+$I$44*EF53,2)</f>
        <v>689.36</v>
      </c>
      <c r="EG55" s="339">
        <f>ROUND(+$I$43*EG52+$I$44*EG53,2)</f>
        <v>694.87</v>
      </c>
      <c r="EH55" s="339">
        <f>ROUND(+$I$43*EH52+$I$44*EH53,2)</f>
        <v>701.28</v>
      </c>
      <c r="EI55" s="338">
        <f>ROUND(+$I$43*EI52+$I$44*EI53,2)</f>
        <v>711.14</v>
      </c>
      <c r="EJ55" s="338">
        <f>ROUND(+$I$43*EJ52+$I$44*EJ53,2)</f>
        <v>738.73</v>
      </c>
    </row>
    <row r="56" spans="3:140">
      <c r="C56" s="3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W56" s="138"/>
      <c r="AF56" s="138"/>
      <c r="AI56" s="138"/>
    </row>
    <row r="57" spans="3:140">
      <c r="C57" s="269"/>
      <c r="D57" s="265"/>
      <c r="E57" s="265"/>
      <c r="F57" s="340"/>
      <c r="G57" s="265"/>
      <c r="H57" s="265"/>
      <c r="I57" s="265"/>
      <c r="J57" s="265"/>
      <c r="K57" s="265"/>
      <c r="L57" s="265"/>
      <c r="M57" s="265"/>
      <c r="N57" s="265"/>
      <c r="O57" s="123"/>
      <c r="P57" s="123"/>
      <c r="Q57" s="123"/>
      <c r="R57" s="123"/>
      <c r="S57" s="123"/>
      <c r="T57" s="122"/>
      <c r="U57" s="265"/>
      <c r="V57" s="265"/>
      <c r="W57" s="122"/>
      <c r="X57" s="265"/>
      <c r="Y57" s="265"/>
      <c r="AF57" s="122"/>
      <c r="AG57" s="265"/>
      <c r="AH57" s="265"/>
      <c r="AI57" s="122"/>
      <c r="AJ57" s="265"/>
      <c r="AK57" s="265"/>
    </row>
    <row r="58" spans="3:140">
      <c r="D58" s="438"/>
    </row>
    <row r="59" spans="3:140">
      <c r="C59" s="3" t="s">
        <v>625</v>
      </c>
    </row>
    <row r="61" spans="3:140">
      <c r="C61" s="291" t="s">
        <v>626</v>
      </c>
      <c r="D61" s="341" t="s">
        <v>627</v>
      </c>
      <c r="E61" s="341"/>
      <c r="F61" s="341"/>
      <c r="G61" s="341"/>
      <c r="H61" s="341"/>
      <c r="I61" s="342">
        <v>0.7</v>
      </c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433"/>
      <c r="AB61" s="292"/>
      <c r="AC61" s="292"/>
      <c r="AD61" s="433"/>
      <c r="AE61" s="292"/>
      <c r="AF61" s="292"/>
      <c r="AG61" s="292"/>
      <c r="AH61" s="433"/>
      <c r="AI61" s="292"/>
      <c r="AJ61" s="292"/>
      <c r="AK61" s="292"/>
      <c r="AL61" s="410"/>
      <c r="AM61" s="292"/>
      <c r="AN61" s="292"/>
      <c r="AO61" s="292"/>
      <c r="AP61" s="292"/>
      <c r="AQ61" s="292"/>
      <c r="AR61" s="292"/>
      <c r="AS61" s="292"/>
      <c r="AT61" s="410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410"/>
      <c r="BO61" s="410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410"/>
      <c r="CO61" s="999"/>
      <c r="CP61" s="999"/>
      <c r="CQ61" s="999"/>
      <c r="CR61" s="999"/>
      <c r="CS61" s="983"/>
      <c r="CT61" s="999"/>
      <c r="CU61" s="999"/>
      <c r="CV61" s="999"/>
      <c r="CW61" s="983"/>
      <c r="CX61" s="999"/>
      <c r="CY61" s="999"/>
      <c r="CZ61" s="999"/>
      <c r="DA61" s="999"/>
      <c r="DB61" s="999"/>
      <c r="DC61" s="999"/>
      <c r="DD61" s="999"/>
      <c r="DE61" s="999"/>
      <c r="DF61" s="999"/>
      <c r="DG61" s="983"/>
      <c r="DH61" s="1116"/>
      <c r="DI61" s="999"/>
      <c r="DJ61" s="999"/>
      <c r="DK61" s="999"/>
      <c r="DL61" s="999"/>
      <c r="DM61" s="983"/>
      <c r="DN61" s="1132"/>
      <c r="DQ61" s="999"/>
      <c r="DR61" s="999"/>
      <c r="DS61" s="999"/>
      <c r="DT61" s="983"/>
      <c r="DX61" s="999"/>
      <c r="DY61" s="999"/>
      <c r="DZ61" s="999"/>
      <c r="EA61" s="983"/>
    </row>
    <row r="62" spans="3:140">
      <c r="C62" s="317" t="s">
        <v>628</v>
      </c>
      <c r="D62" s="318" t="s">
        <v>629</v>
      </c>
      <c r="E62" s="318"/>
      <c r="F62" s="318"/>
      <c r="G62" s="318"/>
      <c r="H62" s="318"/>
      <c r="I62" s="343">
        <v>0.3</v>
      </c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434"/>
      <c r="AB62" s="318"/>
      <c r="AC62" s="318"/>
      <c r="AD62" s="434"/>
      <c r="AE62" s="318"/>
      <c r="AF62" s="318"/>
      <c r="AG62" s="318"/>
      <c r="AH62" s="434"/>
      <c r="AI62" s="318"/>
      <c r="AJ62" s="318"/>
      <c r="AK62" s="318"/>
      <c r="AL62" s="411"/>
      <c r="AM62" s="318"/>
      <c r="AN62" s="318"/>
      <c r="AO62" s="318"/>
      <c r="AP62" s="318"/>
      <c r="AQ62" s="318"/>
      <c r="AR62" s="318"/>
      <c r="AS62" s="318"/>
      <c r="AT62" s="411"/>
      <c r="AU62" s="318"/>
      <c r="AV62" s="318"/>
      <c r="AW62" s="318"/>
      <c r="AX62" s="318"/>
      <c r="AY62" s="318"/>
      <c r="AZ62" s="318"/>
      <c r="BA62" s="318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411"/>
      <c r="BP62" s="318"/>
      <c r="BQ62" s="318"/>
      <c r="BR62" s="318"/>
      <c r="BS62" s="318"/>
      <c r="BT62" s="318"/>
      <c r="BU62" s="318"/>
      <c r="BV62" s="318"/>
      <c r="BW62" s="318"/>
      <c r="BX62" s="318"/>
      <c r="BY62" s="318"/>
      <c r="BZ62" s="318"/>
      <c r="CA62" s="318"/>
      <c r="CB62" s="318"/>
      <c r="CC62" s="318"/>
      <c r="CD62" s="318"/>
      <c r="CE62" s="411"/>
      <c r="CO62" s="1000"/>
      <c r="CP62" s="1000"/>
      <c r="CQ62" s="1000"/>
      <c r="CR62" s="1000"/>
      <c r="CS62" s="984"/>
      <c r="CT62" s="1000"/>
      <c r="CU62" s="1000"/>
      <c r="CV62" s="1000"/>
      <c r="CW62" s="984"/>
      <c r="CX62" s="1000"/>
      <c r="CY62" s="1000"/>
      <c r="CZ62" s="1000"/>
      <c r="DA62" s="1000"/>
      <c r="DB62" s="1000"/>
      <c r="DC62" s="1000"/>
      <c r="DD62" s="1000"/>
      <c r="DE62" s="1000"/>
      <c r="DF62" s="1000"/>
      <c r="DG62" s="984"/>
      <c r="DH62" s="823"/>
      <c r="DI62" s="1000"/>
      <c r="DJ62" s="1000"/>
      <c r="DK62" s="1000"/>
      <c r="DL62" s="1000"/>
      <c r="DM62" s="984"/>
      <c r="DN62" s="815"/>
      <c r="DQ62" s="1000"/>
      <c r="DR62" s="1000"/>
      <c r="DS62" s="1000"/>
      <c r="DT62" s="984"/>
      <c r="DX62" s="1000"/>
      <c r="DY62" s="1000"/>
      <c r="DZ62" s="1000"/>
      <c r="EA62" s="984"/>
    </row>
    <row r="63" spans="3:140" ht="16.5" thickBot="1"/>
    <row r="64" spans="3:140" ht="18" customHeight="1" thickBot="1">
      <c r="D64" s="286">
        <v>2001</v>
      </c>
      <c r="E64" s="2934">
        <v>2002</v>
      </c>
      <c r="F64" s="2660"/>
      <c r="G64" s="2660"/>
      <c r="H64" s="2682">
        <v>2003</v>
      </c>
      <c r="I64" s="2683"/>
      <c r="J64" s="2683"/>
      <c r="K64" s="2683"/>
      <c r="L64" s="2683"/>
      <c r="M64" s="2683"/>
      <c r="N64" s="2683"/>
      <c r="O64" s="2683"/>
      <c r="P64" s="2683"/>
      <c r="Q64" s="2683"/>
      <c r="R64" s="2683"/>
      <c r="S64" s="2688"/>
      <c r="T64" s="2935">
        <v>2004</v>
      </c>
      <c r="U64" s="2936"/>
      <c r="V64" s="2936"/>
      <c r="W64" s="2936"/>
      <c r="X64" s="2936"/>
      <c r="Y64" s="2936"/>
      <c r="Z64" s="375"/>
      <c r="AA64" s="375">
        <v>2004</v>
      </c>
      <c r="AB64" s="375"/>
      <c r="AC64" s="375"/>
      <c r="AD64" s="375"/>
      <c r="AE64" s="376"/>
      <c r="AF64" s="2636">
        <v>2005</v>
      </c>
      <c r="AG64" s="2637"/>
      <c r="AH64" s="2637"/>
      <c r="AI64" s="2637"/>
      <c r="AJ64" s="2637"/>
      <c r="AK64" s="2637"/>
      <c r="AL64" s="2637"/>
      <c r="AM64" s="2637"/>
      <c r="AN64" s="2637"/>
      <c r="AO64" s="2637"/>
      <c r="AP64" s="2637"/>
      <c r="AQ64" s="2638"/>
      <c r="AR64" s="404">
        <v>2006</v>
      </c>
      <c r="AS64" s="2636">
        <v>2006</v>
      </c>
      <c r="AT64" s="2637"/>
      <c r="AU64" s="2637"/>
      <c r="AV64" s="2637"/>
      <c r="AW64" s="2637"/>
      <c r="AX64" s="2637"/>
      <c r="AY64" s="2637"/>
      <c r="AZ64" s="2637"/>
      <c r="BA64" s="2637"/>
      <c r="BB64" s="2637"/>
      <c r="BC64" s="2638"/>
      <c r="BD64" s="2636">
        <v>2007</v>
      </c>
      <c r="BE64" s="2637"/>
      <c r="BF64" s="2637"/>
      <c r="BG64" s="2637"/>
      <c r="BH64" s="2637"/>
      <c r="BI64" s="2637"/>
      <c r="BJ64" s="2637"/>
      <c r="BK64" s="2923"/>
      <c r="BL64" s="2923"/>
      <c r="BM64" s="2923"/>
      <c r="BN64" s="2923"/>
      <c r="BO64" s="2924"/>
      <c r="BP64" s="2636">
        <v>2008</v>
      </c>
      <c r="BQ64" s="2637"/>
      <c r="BR64" s="2637"/>
      <c r="BS64" s="2637"/>
      <c r="BT64" s="2637"/>
      <c r="BU64" s="2637"/>
      <c r="BV64" s="2637"/>
      <c r="BW64" s="2637"/>
      <c r="BX64" s="2637"/>
      <c r="BY64" s="2637"/>
      <c r="BZ64" s="2637"/>
      <c r="CA64" s="2638"/>
      <c r="CB64" s="2636">
        <v>2009</v>
      </c>
      <c r="CC64" s="2637"/>
      <c r="CD64" s="2637"/>
      <c r="CE64" s="2637"/>
      <c r="CF64" s="2637"/>
      <c r="CG64" s="2637"/>
      <c r="CH64" s="2637"/>
      <c r="CI64" s="2637"/>
      <c r="CJ64" s="2637"/>
      <c r="CK64" s="2637"/>
      <c r="CL64" s="2637"/>
      <c r="CM64" s="2637"/>
      <c r="CN64" s="2931">
        <v>2010</v>
      </c>
      <c r="CO64" s="2932"/>
      <c r="CP64" s="2932"/>
      <c r="CQ64" s="2932"/>
      <c r="CR64" s="2932"/>
      <c r="CS64" s="2932"/>
      <c r="CT64" s="2932"/>
      <c r="CU64" s="2932"/>
      <c r="CV64" s="2932"/>
      <c r="CW64" s="2932"/>
      <c r="CX64" s="2932"/>
      <c r="CY64" s="985"/>
      <c r="CZ64" s="2925">
        <v>2011</v>
      </c>
      <c r="DA64" s="2926"/>
      <c r="DB64" s="2926"/>
      <c r="DC64" s="2926"/>
      <c r="DD64" s="2926"/>
      <c r="DE64" s="2926"/>
      <c r="DF64" s="2926"/>
      <c r="DG64" s="2926"/>
      <c r="DH64" s="2926"/>
      <c r="DI64" s="2926"/>
      <c r="DJ64" s="2926"/>
      <c r="DK64" s="2927"/>
      <c r="DL64" s="2931">
        <v>2012</v>
      </c>
      <c r="DM64" s="2932"/>
      <c r="DN64" s="2932"/>
      <c r="DO64" s="2932"/>
      <c r="DP64" s="2932"/>
      <c r="DQ64" s="2932"/>
      <c r="DR64" s="2932"/>
      <c r="DS64" s="2932"/>
      <c r="DT64" s="2932"/>
      <c r="DU64" s="2932"/>
      <c r="DV64" s="2932"/>
      <c r="DW64" s="2933"/>
      <c r="DX64" s="2925">
        <v>2013</v>
      </c>
      <c r="DY64" s="2926"/>
      <c r="DZ64" s="2926"/>
      <c r="EA64" s="2926"/>
      <c r="EB64" s="2926"/>
      <c r="EC64" s="2926"/>
      <c r="ED64" s="2926"/>
      <c r="EE64" s="2926"/>
      <c r="EF64" s="2926"/>
      <c r="EG64" s="2926"/>
      <c r="EH64" s="2926"/>
      <c r="EI64" s="2926"/>
      <c r="EJ64" s="981"/>
    </row>
    <row r="65" spans="3:140" ht="16.5" customHeight="1" thickBot="1">
      <c r="D65" s="298" t="s">
        <v>577</v>
      </c>
      <c r="E65" s="282" t="s">
        <v>590</v>
      </c>
      <c r="F65" s="282" t="s">
        <v>586</v>
      </c>
      <c r="G65" s="320" t="s">
        <v>577</v>
      </c>
      <c r="H65" s="298" t="s">
        <v>578</v>
      </c>
      <c r="I65" s="299" t="s">
        <v>579</v>
      </c>
      <c r="J65" s="413" t="s">
        <v>580</v>
      </c>
      <c r="K65" s="299" t="s">
        <v>581</v>
      </c>
      <c r="L65" s="299" t="s">
        <v>582</v>
      </c>
      <c r="M65" s="413" t="s">
        <v>583</v>
      </c>
      <c r="N65" s="413" t="s">
        <v>587</v>
      </c>
      <c r="O65" s="413" t="s">
        <v>588</v>
      </c>
      <c r="P65" s="413" t="s">
        <v>589</v>
      </c>
      <c r="Q65" s="414" t="s">
        <v>609</v>
      </c>
      <c r="R65" s="415" t="s">
        <v>610</v>
      </c>
      <c r="S65" s="415" t="s">
        <v>611</v>
      </c>
      <c r="T65" s="415" t="s">
        <v>578</v>
      </c>
      <c r="U65" s="415" t="s">
        <v>579</v>
      </c>
      <c r="V65" s="415" t="s">
        <v>580</v>
      </c>
      <c r="W65" s="415" t="s">
        <v>581</v>
      </c>
      <c r="X65" s="415" t="s">
        <v>582</v>
      </c>
      <c r="Y65" s="415" t="s">
        <v>583</v>
      </c>
      <c r="Z65" s="415" t="s">
        <v>587</v>
      </c>
      <c r="AA65" s="415" t="s">
        <v>588</v>
      </c>
      <c r="AB65" s="415" t="s">
        <v>891</v>
      </c>
      <c r="AC65" s="414" t="s">
        <v>455</v>
      </c>
      <c r="AD65" s="414" t="s">
        <v>586</v>
      </c>
      <c r="AE65" s="414" t="s">
        <v>577</v>
      </c>
      <c r="AF65" s="415" t="s">
        <v>578</v>
      </c>
      <c r="AG65" s="415" t="s">
        <v>579</v>
      </c>
      <c r="AH65" s="415" t="s">
        <v>580</v>
      </c>
      <c r="AI65" s="415" t="s">
        <v>581</v>
      </c>
      <c r="AJ65" s="415" t="s">
        <v>582</v>
      </c>
      <c r="AK65" s="415" t="s">
        <v>583</v>
      </c>
      <c r="AL65" s="415" t="s">
        <v>587</v>
      </c>
      <c r="AM65" s="415" t="s">
        <v>588</v>
      </c>
      <c r="AN65" s="415" t="s">
        <v>891</v>
      </c>
      <c r="AO65" s="414" t="s">
        <v>455</v>
      </c>
      <c r="AP65" s="414" t="s">
        <v>586</v>
      </c>
      <c r="AQ65" s="414" t="s">
        <v>577</v>
      </c>
      <c r="AR65" s="298" t="s">
        <v>578</v>
      </c>
      <c r="AS65" s="414" t="s">
        <v>579</v>
      </c>
      <c r="AT65" s="414" t="s">
        <v>580</v>
      </c>
      <c r="AU65" s="414" t="s">
        <v>581</v>
      </c>
      <c r="AV65" s="414" t="s">
        <v>582</v>
      </c>
      <c r="AW65" s="414" t="s">
        <v>583</v>
      </c>
      <c r="AX65" s="414" t="s">
        <v>903</v>
      </c>
      <c r="AY65" s="414" t="s">
        <v>904</v>
      </c>
      <c r="AZ65" s="414" t="s">
        <v>507</v>
      </c>
      <c r="BA65" s="414" t="s">
        <v>621</v>
      </c>
      <c r="BB65" s="414" t="s">
        <v>622</v>
      </c>
      <c r="BC65" s="414" t="s">
        <v>778</v>
      </c>
      <c r="BD65" s="416" t="s">
        <v>469</v>
      </c>
      <c r="BE65" s="414" t="s">
        <v>498</v>
      </c>
      <c r="BF65" s="414" t="s">
        <v>465</v>
      </c>
      <c r="BG65" s="414" t="s">
        <v>466</v>
      </c>
      <c r="BH65" s="414" t="s">
        <v>467</v>
      </c>
      <c r="BI65" s="414" t="s">
        <v>902</v>
      </c>
      <c r="BJ65" s="414" t="s">
        <v>903</v>
      </c>
      <c r="BK65" s="414" t="s">
        <v>904</v>
      </c>
      <c r="BL65" s="414" t="s">
        <v>351</v>
      </c>
      <c r="BM65" s="414" t="s">
        <v>621</v>
      </c>
      <c r="BN65" s="401" t="s">
        <v>610</v>
      </c>
      <c r="BO65" s="417" t="s">
        <v>778</v>
      </c>
      <c r="BP65" s="418" t="s">
        <v>469</v>
      </c>
      <c r="BQ65" s="419" t="s">
        <v>498</v>
      </c>
      <c r="BR65" s="419" t="s">
        <v>465</v>
      </c>
      <c r="BS65" s="419" t="s">
        <v>466</v>
      </c>
      <c r="BT65" s="419" t="s">
        <v>467</v>
      </c>
      <c r="BU65" s="419" t="s">
        <v>902</v>
      </c>
      <c r="BV65" s="419" t="s">
        <v>903</v>
      </c>
      <c r="BW65" s="419" t="s">
        <v>904</v>
      </c>
      <c r="BX65" s="419" t="s">
        <v>891</v>
      </c>
      <c r="BY65" s="419" t="s">
        <v>621</v>
      </c>
      <c r="BZ65" s="419" t="s">
        <v>610</v>
      </c>
      <c r="CA65" s="417" t="s">
        <v>778</v>
      </c>
      <c r="CB65" s="298" t="s">
        <v>469</v>
      </c>
      <c r="CC65" s="412" t="s">
        <v>498</v>
      </c>
      <c r="CD65" s="412" t="s">
        <v>465</v>
      </c>
      <c r="CE65" s="299" t="s">
        <v>466</v>
      </c>
      <c r="CF65" s="412" t="s">
        <v>467</v>
      </c>
      <c r="CG65" s="412" t="s">
        <v>902</v>
      </c>
      <c r="CH65" s="412" t="s">
        <v>903</v>
      </c>
      <c r="CI65" s="412" t="s">
        <v>904</v>
      </c>
      <c r="CJ65" s="412" t="s">
        <v>891</v>
      </c>
      <c r="CK65" s="299" t="s">
        <v>621</v>
      </c>
      <c r="CL65" s="417" t="s">
        <v>610</v>
      </c>
      <c r="CM65" s="299" t="s">
        <v>611</v>
      </c>
      <c r="CN65" s="418" t="s">
        <v>469</v>
      </c>
      <c r="CO65" s="419" t="s">
        <v>498</v>
      </c>
      <c r="CP65" s="419" t="s">
        <v>465</v>
      </c>
      <c r="CQ65" s="420" t="s">
        <v>466</v>
      </c>
      <c r="CR65" s="420" t="s">
        <v>467</v>
      </c>
      <c r="CS65" s="872" t="s">
        <v>902</v>
      </c>
      <c r="CT65" s="464" t="s">
        <v>903</v>
      </c>
      <c r="CU65" s="904" t="s">
        <v>904</v>
      </c>
      <c r="CV65" s="420" t="s">
        <v>891</v>
      </c>
      <c r="CW65" s="872" t="s">
        <v>609</v>
      </c>
      <c r="CX65" s="420" t="s">
        <v>610</v>
      </c>
      <c r="CY65" s="420" t="s">
        <v>611</v>
      </c>
      <c r="CZ65" s="996" t="s">
        <v>469</v>
      </c>
      <c r="DA65" s="420" t="s">
        <v>513</v>
      </c>
      <c r="DB65" s="367" t="s">
        <v>139</v>
      </c>
      <c r="DC65" s="872" t="s">
        <v>514</v>
      </c>
      <c r="DD65" s="872" t="s">
        <v>534</v>
      </c>
      <c r="DE65" s="464" t="s">
        <v>503</v>
      </c>
      <c r="DF65" s="800" t="s">
        <v>457</v>
      </c>
      <c r="DG65" s="800" t="s">
        <v>372</v>
      </c>
      <c r="DH65" s="800" t="s">
        <v>356</v>
      </c>
      <c r="DI65" s="367" t="s">
        <v>609</v>
      </c>
      <c r="DJ65" s="420" t="s">
        <v>610</v>
      </c>
      <c r="DK65" s="417" t="s">
        <v>611</v>
      </c>
      <c r="DL65" s="401" t="s">
        <v>578</v>
      </c>
      <c r="DM65" s="420" t="s">
        <v>579</v>
      </c>
      <c r="DN65" s="1113" t="s">
        <v>139</v>
      </c>
      <c r="DO65" s="1113" t="s">
        <v>514</v>
      </c>
      <c r="DP65" s="1117" t="s">
        <v>582</v>
      </c>
      <c r="DQ65" s="1113" t="s">
        <v>583</v>
      </c>
      <c r="DR65" s="1113" t="s">
        <v>457</v>
      </c>
      <c r="DS65" s="1113" t="s">
        <v>372</v>
      </c>
      <c r="DT65" s="1113" t="s">
        <v>765</v>
      </c>
      <c r="DU65" s="1131" t="s">
        <v>609</v>
      </c>
      <c r="DV65" s="1137" t="s">
        <v>610</v>
      </c>
      <c r="DW65" s="1143" t="s">
        <v>611</v>
      </c>
      <c r="DX65" s="1178" t="s">
        <v>511</v>
      </c>
      <c r="DY65" s="1179" t="s">
        <v>513</v>
      </c>
      <c r="DZ65" s="1113" t="s">
        <v>139</v>
      </c>
      <c r="EA65" s="1112" t="s">
        <v>514</v>
      </c>
      <c r="EB65" s="1117" t="s">
        <v>534</v>
      </c>
      <c r="EC65" s="1112" t="s">
        <v>503</v>
      </c>
      <c r="ED65" s="1117" t="s">
        <v>457</v>
      </c>
      <c r="EE65" s="1426" t="s">
        <v>573</v>
      </c>
      <c r="EF65" s="1112" t="s">
        <v>891</v>
      </c>
      <c r="EG65" s="1113" t="s">
        <v>609</v>
      </c>
      <c r="EH65" s="1113" t="s">
        <v>610</v>
      </c>
      <c r="EI65" s="1143" t="s">
        <v>577</v>
      </c>
      <c r="EJ65" s="1434">
        <v>41640</v>
      </c>
    </row>
    <row r="66" spans="3:140" ht="6" customHeight="1">
      <c r="K66" s="138"/>
      <c r="L66" s="138"/>
      <c r="M66" s="138"/>
      <c r="N66" s="138"/>
      <c r="O66" s="138"/>
      <c r="P66" s="138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O66" s="430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432"/>
      <c r="CC66" s="432"/>
      <c r="CD66" s="432"/>
      <c r="CE66" s="432"/>
      <c r="CF66" s="432"/>
      <c r="CG66" s="432"/>
      <c r="CN66" s="814"/>
      <c r="CO66" s="815"/>
      <c r="CP66" s="815"/>
      <c r="CQ66" s="823"/>
      <c r="CR66" s="823"/>
      <c r="CS66" s="812"/>
      <c r="CT66" s="812"/>
      <c r="CU66" s="913"/>
      <c r="CV66" s="914"/>
      <c r="CW66" s="812"/>
      <c r="CX66" s="828"/>
      <c r="CY66" s="914"/>
      <c r="CZ66" s="997"/>
      <c r="DA66" s="821"/>
      <c r="DB66" s="828"/>
      <c r="DC66" s="812"/>
      <c r="DD66" s="812"/>
      <c r="DE66" s="812"/>
      <c r="DF66" s="828"/>
      <c r="DG66" s="828"/>
      <c r="DH66" s="828"/>
      <c r="DI66" s="828"/>
      <c r="DJ66" s="828"/>
      <c r="DK66" s="993"/>
      <c r="DL66" s="997"/>
      <c r="DM66" s="828"/>
      <c r="DN66" s="828"/>
      <c r="DO66" s="828"/>
      <c r="DP66" s="828"/>
      <c r="DQ66" s="828"/>
      <c r="DR66" s="828"/>
      <c r="DS66" s="828"/>
      <c r="DT66" s="828"/>
      <c r="DU66" s="812"/>
      <c r="DV66" s="913"/>
      <c r="DW66" s="993"/>
      <c r="DX66" s="811"/>
      <c r="DY66" s="812"/>
      <c r="DZ66" s="828"/>
      <c r="EA66" s="828"/>
      <c r="EB66" s="828"/>
      <c r="EC66" s="828"/>
      <c r="ED66" s="828"/>
      <c r="EE66" s="828"/>
      <c r="EF66" s="828"/>
      <c r="EG66" s="828"/>
      <c r="EH66" s="828"/>
      <c r="EI66" s="993"/>
      <c r="EJ66" s="993"/>
    </row>
    <row r="67" spans="3:140" ht="22.5" customHeight="1">
      <c r="C67" s="301" t="s">
        <v>623</v>
      </c>
      <c r="D67" s="307">
        <f t="shared" ref="D67:Z67" si="114">+D52</f>
        <v>100</v>
      </c>
      <c r="E67" s="283">
        <f t="shared" si="114"/>
        <v>187.27</v>
      </c>
      <c r="F67" s="283">
        <f t="shared" si="114"/>
        <v>188.44</v>
      </c>
      <c r="G67" s="283">
        <f t="shared" si="114"/>
        <v>188.86</v>
      </c>
      <c r="H67" s="283">
        <f t="shared" si="114"/>
        <v>186.93</v>
      </c>
      <c r="I67" s="283">
        <f t="shared" si="114"/>
        <v>185.33</v>
      </c>
      <c r="J67" s="283">
        <f t="shared" si="114"/>
        <v>185.93</v>
      </c>
      <c r="K67" s="283">
        <f t="shared" si="114"/>
        <v>184.9</v>
      </c>
      <c r="L67" s="283">
        <f t="shared" si="114"/>
        <v>184.08</v>
      </c>
      <c r="M67" s="283">
        <f t="shared" si="114"/>
        <v>183.8</v>
      </c>
      <c r="N67" s="283">
        <f t="shared" si="114"/>
        <v>184.4</v>
      </c>
      <c r="O67" s="283">
        <f t="shared" si="114"/>
        <v>184.94</v>
      </c>
      <c r="P67" s="283">
        <f t="shared" si="114"/>
        <v>184.06</v>
      </c>
      <c r="Q67" s="283">
        <f t="shared" si="114"/>
        <v>183.66</v>
      </c>
      <c r="R67" s="283">
        <f t="shared" si="114"/>
        <v>184.14</v>
      </c>
      <c r="S67" s="283">
        <f t="shared" si="114"/>
        <v>185.43</v>
      </c>
      <c r="T67" s="283">
        <f t="shared" si="114"/>
        <v>186.7</v>
      </c>
      <c r="U67" s="283">
        <f t="shared" si="114"/>
        <v>190.52</v>
      </c>
      <c r="V67" s="283">
        <f t="shared" si="114"/>
        <v>194.49</v>
      </c>
      <c r="W67" s="283">
        <f t="shared" si="114"/>
        <v>197.15</v>
      </c>
      <c r="X67" s="283">
        <f t="shared" si="114"/>
        <v>199.6</v>
      </c>
      <c r="Y67" s="283">
        <f t="shared" si="114"/>
        <v>201.99</v>
      </c>
      <c r="Z67" s="283">
        <f t="shared" si="114"/>
        <v>202.39</v>
      </c>
      <c r="AA67" s="283">
        <f>+AA52</f>
        <v>203.79</v>
      </c>
      <c r="AB67" s="283">
        <f>+AB52</f>
        <v>205.17</v>
      </c>
      <c r="AC67" s="283">
        <f>+AC52</f>
        <v>206.46</v>
      </c>
      <c r="AD67" s="283">
        <f>+AD52</f>
        <v>207.64</v>
      </c>
      <c r="AE67" s="283">
        <f>+AE52</f>
        <v>210.14</v>
      </c>
      <c r="AF67" s="283">
        <f t="shared" ref="AF67:AL67" si="115">+AF52</f>
        <v>203.32</v>
      </c>
      <c r="AG67" s="283">
        <f t="shared" si="115"/>
        <v>217.6</v>
      </c>
      <c r="AH67" s="283">
        <f t="shared" si="115"/>
        <v>220.11</v>
      </c>
      <c r="AI67" s="283">
        <f t="shared" si="115"/>
        <v>222</v>
      </c>
      <c r="AJ67" s="283">
        <f t="shared" si="115"/>
        <v>223.23</v>
      </c>
      <c r="AK67" s="283">
        <f t="shared" si="115"/>
        <v>224.39</v>
      </c>
      <c r="AL67" s="283">
        <f t="shared" si="115"/>
        <v>227.05</v>
      </c>
      <c r="AM67" s="283">
        <f t="shared" ref="AM67:AR67" si="116">+AM52</f>
        <v>228.53</v>
      </c>
      <c r="AN67" s="283">
        <f t="shared" si="116"/>
        <v>231.86</v>
      </c>
      <c r="AO67" s="283">
        <f t="shared" si="116"/>
        <v>234.74</v>
      </c>
      <c r="AP67" s="283">
        <f t="shared" si="116"/>
        <v>235.2</v>
      </c>
      <c r="AQ67" s="283">
        <f t="shared" si="116"/>
        <v>239.96</v>
      </c>
      <c r="AR67" s="280">
        <f t="shared" si="116"/>
        <v>243.67</v>
      </c>
      <c r="AS67" s="328">
        <f t="shared" ref="AS67:AX67" si="117">+AS52</f>
        <v>245.35</v>
      </c>
      <c r="AT67" s="283">
        <f t="shared" si="117"/>
        <v>247.69</v>
      </c>
      <c r="AU67" s="283">
        <f t="shared" si="117"/>
        <v>249.04</v>
      </c>
      <c r="AV67" s="283">
        <f t="shared" si="117"/>
        <v>251.45</v>
      </c>
      <c r="AW67" s="283">
        <f t="shared" si="117"/>
        <v>255.04</v>
      </c>
      <c r="AX67" s="283">
        <f t="shared" si="117"/>
        <v>257.91000000000003</v>
      </c>
      <c r="AY67" s="283">
        <f t="shared" ref="AY67:BD67" si="118">+AY52</f>
        <v>261.93</v>
      </c>
      <c r="AZ67" s="283">
        <f t="shared" si="118"/>
        <v>264.82</v>
      </c>
      <c r="BA67" s="283">
        <f t="shared" si="118"/>
        <v>265.98</v>
      </c>
      <c r="BB67" s="283">
        <f t="shared" si="118"/>
        <v>266.10000000000002</v>
      </c>
      <c r="BC67" s="329">
        <f t="shared" si="118"/>
        <v>267.08999999999997</v>
      </c>
      <c r="BD67" s="281">
        <f t="shared" si="118"/>
        <v>267.75</v>
      </c>
      <c r="BE67" s="283">
        <f t="shared" ref="BE67:BJ67" si="119">+BE52</f>
        <v>270.54000000000002</v>
      </c>
      <c r="BF67" s="283">
        <f t="shared" si="119"/>
        <v>273.42</v>
      </c>
      <c r="BG67" s="283">
        <f t="shared" si="119"/>
        <v>276.64999999999998</v>
      </c>
      <c r="BH67" s="283">
        <f t="shared" si="119"/>
        <v>280.76</v>
      </c>
      <c r="BI67" s="283">
        <f t="shared" si="119"/>
        <v>287.54000000000002</v>
      </c>
      <c r="BJ67" s="283">
        <f t="shared" si="119"/>
        <v>289.42</v>
      </c>
      <c r="BK67" s="307">
        <f t="shared" ref="BK67:BP67" si="120">+BK52</f>
        <v>296.69</v>
      </c>
      <c r="BL67" s="307">
        <f t="shared" si="120"/>
        <v>298.72000000000003</v>
      </c>
      <c r="BM67" s="307">
        <f t="shared" si="120"/>
        <v>302.43</v>
      </c>
      <c r="BN67" s="307">
        <f t="shared" si="120"/>
        <v>306.27999999999997</v>
      </c>
      <c r="BO67" s="332">
        <f t="shared" si="120"/>
        <v>309.39</v>
      </c>
      <c r="BP67" s="331">
        <f t="shared" si="120"/>
        <v>314.12</v>
      </c>
      <c r="BQ67" s="307">
        <f t="shared" ref="BQ67:BV67" si="121">+BQ52</f>
        <v>318.06</v>
      </c>
      <c r="BR67" s="307">
        <f t="shared" si="121"/>
        <v>323.58</v>
      </c>
      <c r="BS67" s="307">
        <f t="shared" si="121"/>
        <v>328.95</v>
      </c>
      <c r="BT67" s="307">
        <f t="shared" si="121"/>
        <v>330.84</v>
      </c>
      <c r="BU67" s="307">
        <f t="shared" si="121"/>
        <v>338.25</v>
      </c>
      <c r="BV67" s="307">
        <f t="shared" si="121"/>
        <v>343.61</v>
      </c>
      <c r="BW67" s="307">
        <f t="shared" ref="BW67:CB67" si="122">+BW52</f>
        <v>346.88</v>
      </c>
      <c r="BX67" s="307">
        <f t="shared" si="122"/>
        <v>349.83</v>
      </c>
      <c r="BY67" s="307">
        <f t="shared" si="122"/>
        <v>352.61</v>
      </c>
      <c r="BZ67" s="307">
        <f t="shared" si="122"/>
        <v>355.42</v>
      </c>
      <c r="CA67" s="332">
        <f t="shared" si="122"/>
        <v>356.33</v>
      </c>
      <c r="CB67" s="330">
        <f t="shared" si="122"/>
        <v>357.92</v>
      </c>
      <c r="CC67" s="307">
        <f t="shared" ref="CC67:CH67" si="123">+CC52</f>
        <v>358.04</v>
      </c>
      <c r="CD67" s="330">
        <f t="shared" si="123"/>
        <v>359.4</v>
      </c>
      <c r="CE67" s="307">
        <f t="shared" si="123"/>
        <v>360.96</v>
      </c>
      <c r="CF67" s="345">
        <f t="shared" si="123"/>
        <v>365.18</v>
      </c>
      <c r="CG67" s="307">
        <f t="shared" si="123"/>
        <v>367.92</v>
      </c>
      <c r="CH67" s="307">
        <f t="shared" si="123"/>
        <v>370.17</v>
      </c>
      <c r="CI67" s="307">
        <f t="shared" ref="CI67:CN67" si="124">+CI52</f>
        <v>372.89</v>
      </c>
      <c r="CJ67" s="307">
        <f t="shared" si="124"/>
        <v>375.04</v>
      </c>
      <c r="CK67" s="307">
        <f t="shared" si="124"/>
        <v>381.2</v>
      </c>
      <c r="CL67" s="330">
        <f t="shared" si="124"/>
        <v>385.61</v>
      </c>
      <c r="CM67" s="330">
        <f t="shared" si="124"/>
        <v>387.46</v>
      </c>
      <c r="CN67" s="331">
        <f t="shared" si="124"/>
        <v>390.31</v>
      </c>
      <c r="CO67" s="307">
        <f t="shared" ref="CO67:CT67" si="125">+CO52</f>
        <v>396.9</v>
      </c>
      <c r="CP67" s="307">
        <f t="shared" si="125"/>
        <v>403.19</v>
      </c>
      <c r="CQ67" s="330">
        <f t="shared" si="125"/>
        <v>409.44</v>
      </c>
      <c r="CR67" s="330">
        <f t="shared" si="125"/>
        <v>416.08</v>
      </c>
      <c r="CS67" s="307">
        <f t="shared" si="125"/>
        <v>422.57</v>
      </c>
      <c r="CT67" s="307">
        <f t="shared" si="125"/>
        <v>426.04</v>
      </c>
      <c r="CU67" s="334">
        <f t="shared" ref="CU67:CZ67" si="126">+CU52</f>
        <v>429.95</v>
      </c>
      <c r="CV67" s="330">
        <f t="shared" si="126"/>
        <v>434.99</v>
      </c>
      <c r="CW67" s="307">
        <f t="shared" si="126"/>
        <v>440.47</v>
      </c>
      <c r="CX67" s="330">
        <f t="shared" si="126"/>
        <v>445.3</v>
      </c>
      <c r="CY67" s="330">
        <f t="shared" si="126"/>
        <v>450.38</v>
      </c>
      <c r="CZ67" s="998">
        <f t="shared" si="126"/>
        <v>454.08</v>
      </c>
      <c r="DA67" s="330">
        <f t="shared" ref="DA67:DF67" si="127">+DA52</f>
        <v>459.2</v>
      </c>
      <c r="DB67" s="330">
        <f t="shared" si="127"/>
        <v>463.07</v>
      </c>
      <c r="DC67" s="307">
        <f t="shared" si="127"/>
        <v>469.33</v>
      </c>
      <c r="DD67" s="307">
        <f t="shared" si="127"/>
        <v>479.1</v>
      </c>
      <c r="DE67" s="307">
        <f t="shared" si="127"/>
        <v>487.78</v>
      </c>
      <c r="DF67" s="330">
        <f t="shared" si="127"/>
        <v>497</v>
      </c>
      <c r="DG67" s="330">
        <f t="shared" ref="DG67:DM67" si="128">+DG52</f>
        <v>499.66</v>
      </c>
      <c r="DH67" s="330">
        <f t="shared" si="128"/>
        <v>510.31</v>
      </c>
      <c r="DI67" s="330">
        <f t="shared" si="128"/>
        <v>518.55999999999995</v>
      </c>
      <c r="DJ67" s="330">
        <f t="shared" si="128"/>
        <v>526.13</v>
      </c>
      <c r="DK67" s="332">
        <f t="shared" si="128"/>
        <v>533.63</v>
      </c>
      <c r="DL67" s="335">
        <f t="shared" si="128"/>
        <v>532.62</v>
      </c>
      <c r="DM67" s="330">
        <f t="shared" si="128"/>
        <v>538.73</v>
      </c>
      <c r="DN67" s="330">
        <f t="shared" ref="DN67:DS67" si="129">+DN52</f>
        <v>542.55999999999995</v>
      </c>
      <c r="DO67" s="330">
        <f t="shared" si="129"/>
        <v>545.66</v>
      </c>
      <c r="DP67" s="330">
        <f t="shared" si="129"/>
        <v>557.1</v>
      </c>
      <c r="DQ67" s="330">
        <f t="shared" si="129"/>
        <v>562.82000000000005</v>
      </c>
      <c r="DR67" s="330">
        <f t="shared" si="129"/>
        <v>571.02</v>
      </c>
      <c r="DS67" s="330">
        <f t="shared" si="129"/>
        <v>575.30999999999995</v>
      </c>
      <c r="DT67" s="330">
        <f t="shared" ref="DT67:DY67" si="130">+DT52</f>
        <v>582.01</v>
      </c>
      <c r="DU67" s="307">
        <f t="shared" si="130"/>
        <v>590.34</v>
      </c>
      <c r="DV67" s="334">
        <f t="shared" si="130"/>
        <v>598.39</v>
      </c>
      <c r="DW67" s="332">
        <f t="shared" si="130"/>
        <v>605.52</v>
      </c>
      <c r="DX67" s="331">
        <f t="shared" si="130"/>
        <v>608.88</v>
      </c>
      <c r="DY67" s="307">
        <f t="shared" si="130"/>
        <v>614.02</v>
      </c>
      <c r="DZ67" s="330">
        <f t="shared" ref="DZ67:EE67" si="131">+DZ52</f>
        <v>619.03</v>
      </c>
      <c r="EA67" s="330">
        <f t="shared" si="131"/>
        <v>627.4</v>
      </c>
      <c r="EB67" s="330">
        <f t="shared" si="131"/>
        <v>634.79</v>
      </c>
      <c r="EC67" s="330">
        <f t="shared" si="131"/>
        <v>645.09</v>
      </c>
      <c r="ED67" s="330">
        <f t="shared" si="131"/>
        <v>658.95</v>
      </c>
      <c r="EE67" s="330">
        <f t="shared" si="131"/>
        <v>666.99</v>
      </c>
      <c r="EF67" s="330">
        <f>+EF52</f>
        <v>675.57</v>
      </c>
      <c r="EG67" s="330">
        <f>+EG52</f>
        <v>681.24</v>
      </c>
      <c r="EH67" s="330">
        <f>+EH52</f>
        <v>688.03</v>
      </c>
      <c r="EI67" s="332">
        <f>+EI52</f>
        <v>697.85</v>
      </c>
      <c r="EJ67" s="332">
        <f>+EJ52</f>
        <v>727.94</v>
      </c>
    </row>
    <row r="68" spans="3:140" ht="18.75" customHeight="1">
      <c r="C68" s="301" t="s">
        <v>630</v>
      </c>
      <c r="D68" s="307">
        <v>93.2</v>
      </c>
      <c r="E68" s="283">
        <v>102.9</v>
      </c>
      <c r="F68" s="283">
        <v>101.5</v>
      </c>
      <c r="G68" s="283">
        <v>101.6</v>
      </c>
      <c r="H68" s="283">
        <v>104.1</v>
      </c>
      <c r="I68" s="344">
        <v>105.5</v>
      </c>
      <c r="J68" s="344">
        <v>106.6</v>
      </c>
      <c r="K68" s="283">
        <v>105.4</v>
      </c>
      <c r="L68" s="283">
        <v>108.7</v>
      </c>
      <c r="M68" s="283">
        <v>108.7</v>
      </c>
      <c r="N68" s="283">
        <v>110.8</v>
      </c>
      <c r="O68" s="283">
        <v>114.2</v>
      </c>
      <c r="P68" s="283">
        <v>116.2</v>
      </c>
      <c r="Q68" s="283">
        <v>119</v>
      </c>
      <c r="R68" s="439">
        <v>120.5</v>
      </c>
      <c r="S68" s="439">
        <v>122.2</v>
      </c>
      <c r="T68" s="439">
        <v>127.4</v>
      </c>
      <c r="U68" s="439">
        <v>130.19999999999999</v>
      </c>
      <c r="V68" s="439">
        <v>130.5</v>
      </c>
      <c r="W68" s="439">
        <v>130.80000000000001</v>
      </c>
      <c r="X68" s="439">
        <v>130.5</v>
      </c>
      <c r="Y68" s="439">
        <v>130</v>
      </c>
      <c r="Z68" s="439">
        <v>133.5</v>
      </c>
      <c r="AA68" s="439">
        <f t="shared" ref="AA68:AR68" si="132">+AA34</f>
        <v>132.4</v>
      </c>
      <c r="AB68" s="439">
        <f t="shared" si="132"/>
        <v>132</v>
      </c>
      <c r="AC68" s="439">
        <f t="shared" si="132"/>
        <v>133</v>
      </c>
      <c r="AD68" s="439">
        <f t="shared" si="132"/>
        <v>132.80000000000001</v>
      </c>
      <c r="AE68" s="439">
        <f t="shared" si="132"/>
        <v>133</v>
      </c>
      <c r="AF68" s="439">
        <f t="shared" si="132"/>
        <v>140.30000000000001</v>
      </c>
      <c r="AG68" s="439">
        <f t="shared" si="132"/>
        <v>140.6</v>
      </c>
      <c r="AH68" s="439">
        <f t="shared" si="132"/>
        <v>141.19999999999999</v>
      </c>
      <c r="AI68" s="439">
        <f t="shared" si="132"/>
        <v>152.6</v>
      </c>
      <c r="AJ68" s="439">
        <f t="shared" si="132"/>
        <v>154.80000000000001</v>
      </c>
      <c r="AK68" s="439">
        <f t="shared" si="132"/>
        <v>156.1</v>
      </c>
      <c r="AL68" s="439">
        <f t="shared" si="132"/>
        <v>156.9</v>
      </c>
      <c r="AM68" s="439">
        <f t="shared" si="132"/>
        <v>158.30000000000001</v>
      </c>
      <c r="AN68" s="439">
        <f t="shared" si="132"/>
        <v>158.9</v>
      </c>
      <c r="AO68" s="439">
        <f t="shared" si="132"/>
        <v>161.80000000000001</v>
      </c>
      <c r="AP68" s="439">
        <f t="shared" si="132"/>
        <v>170.6</v>
      </c>
      <c r="AQ68" s="439">
        <f t="shared" si="132"/>
        <v>171.7</v>
      </c>
      <c r="AR68" s="440">
        <f t="shared" si="132"/>
        <v>177.7</v>
      </c>
      <c r="AS68" s="441">
        <f t="shared" ref="AS68:AX68" si="133">+AS34</f>
        <v>184.1</v>
      </c>
      <c r="AT68" s="439">
        <f t="shared" si="133"/>
        <v>185.5</v>
      </c>
      <c r="AU68" s="439">
        <f t="shared" si="133"/>
        <v>189.8</v>
      </c>
      <c r="AV68" s="439">
        <f t="shared" si="133"/>
        <v>191.6</v>
      </c>
      <c r="AW68" s="439">
        <f t="shared" si="133"/>
        <v>204.5</v>
      </c>
      <c r="AX68" s="439">
        <f t="shared" si="133"/>
        <v>206.3</v>
      </c>
      <c r="AY68" s="439">
        <f t="shared" ref="AY68:BD68" si="134">+AY34</f>
        <v>207.1</v>
      </c>
      <c r="AZ68" s="439">
        <f t="shared" si="134"/>
        <v>216.5</v>
      </c>
      <c r="BA68" s="439">
        <f t="shared" si="134"/>
        <v>219.4</v>
      </c>
      <c r="BB68" s="439">
        <f t="shared" si="134"/>
        <v>220.8</v>
      </c>
      <c r="BC68" s="442">
        <f t="shared" si="134"/>
        <v>223.6</v>
      </c>
      <c r="BD68" s="443">
        <f t="shared" si="134"/>
        <v>232.5</v>
      </c>
      <c r="BE68" s="439">
        <f t="shared" ref="BE68:BJ68" si="135">+BE34</f>
        <v>233.1</v>
      </c>
      <c r="BF68" s="439">
        <f t="shared" si="135"/>
        <v>232.7</v>
      </c>
      <c r="BG68" s="439">
        <f t="shared" si="135"/>
        <v>236.3</v>
      </c>
      <c r="BH68" s="439">
        <f t="shared" si="135"/>
        <v>248.7</v>
      </c>
      <c r="BI68" s="439">
        <f t="shared" si="135"/>
        <v>251.9</v>
      </c>
      <c r="BJ68" s="439">
        <f t="shared" si="135"/>
        <v>262</v>
      </c>
      <c r="BK68" s="307">
        <f t="shared" ref="BK68:BP68" si="136">+BK34</f>
        <v>263.3</v>
      </c>
      <c r="BL68" s="307">
        <f t="shared" si="136"/>
        <v>265.60000000000002</v>
      </c>
      <c r="BM68" s="307">
        <f t="shared" si="136"/>
        <v>277.7</v>
      </c>
      <c r="BN68" s="307">
        <f t="shared" si="136"/>
        <v>272.60000000000002</v>
      </c>
      <c r="BO68" s="332">
        <f t="shared" si="136"/>
        <v>275</v>
      </c>
      <c r="BP68" s="331">
        <f t="shared" si="136"/>
        <v>275</v>
      </c>
      <c r="BQ68" s="307">
        <f t="shared" ref="BQ68:BV68" si="137">+BQ34</f>
        <v>275.89999999999998</v>
      </c>
      <c r="BR68" s="307">
        <f t="shared" si="137"/>
        <v>276.60000000000002</v>
      </c>
      <c r="BS68" s="307">
        <f t="shared" si="137"/>
        <v>277.5</v>
      </c>
      <c r="BT68" s="307">
        <f t="shared" si="137"/>
        <v>302.3</v>
      </c>
      <c r="BU68" s="307">
        <f t="shared" si="137"/>
        <v>297.39999999999998</v>
      </c>
      <c r="BV68" s="307">
        <f t="shared" si="137"/>
        <v>312.39999999999998</v>
      </c>
      <c r="BW68" s="307">
        <f t="shared" ref="BW68:CB68" si="138">+BW34</f>
        <v>310.39999999999998</v>
      </c>
      <c r="BX68" s="307">
        <f t="shared" si="138"/>
        <v>318.7</v>
      </c>
      <c r="BY68" s="307">
        <f t="shared" si="138"/>
        <v>319.7</v>
      </c>
      <c r="BZ68" s="307">
        <f t="shared" si="138"/>
        <v>320.10000000000002</v>
      </c>
      <c r="CA68" s="332">
        <f t="shared" si="138"/>
        <v>320.2</v>
      </c>
      <c r="CB68" s="330">
        <f t="shared" si="138"/>
        <v>322.5</v>
      </c>
      <c r="CC68" s="307">
        <f t="shared" ref="CC68:CH68" si="139">+CC34</f>
        <v>324.39999999999998</v>
      </c>
      <c r="CD68" s="330">
        <f t="shared" si="139"/>
        <v>324.2</v>
      </c>
      <c r="CE68" s="307">
        <f t="shared" si="139"/>
        <v>327.2</v>
      </c>
      <c r="CF68" s="345">
        <f t="shared" si="139"/>
        <v>329.9</v>
      </c>
      <c r="CG68" s="307">
        <f t="shared" si="139"/>
        <v>347.3</v>
      </c>
      <c r="CH68" s="307">
        <f t="shared" si="139"/>
        <v>351.2</v>
      </c>
      <c r="CI68" s="307">
        <f t="shared" ref="CI68:CN68" si="140">+CI34</f>
        <v>352</v>
      </c>
      <c r="CJ68" s="307">
        <f t="shared" si="140"/>
        <v>351.2</v>
      </c>
      <c r="CK68" s="307">
        <f t="shared" si="140"/>
        <v>367.5</v>
      </c>
      <c r="CL68" s="330">
        <f t="shared" si="140"/>
        <v>373.2</v>
      </c>
      <c r="CM68" s="330">
        <f t="shared" si="140"/>
        <v>374.6</v>
      </c>
      <c r="CN68" s="331">
        <f t="shared" si="140"/>
        <v>375.2</v>
      </c>
      <c r="CO68" s="307">
        <f t="shared" ref="CO68:CT68" si="141">+CO34</f>
        <v>385.6</v>
      </c>
      <c r="CP68" s="307">
        <f t="shared" si="141"/>
        <v>407.9</v>
      </c>
      <c r="CQ68" s="330">
        <f t="shared" si="141"/>
        <v>384.3</v>
      </c>
      <c r="CR68" s="330">
        <f t="shared" si="141"/>
        <v>416.4</v>
      </c>
      <c r="CS68" s="307">
        <f t="shared" si="141"/>
        <v>420.2</v>
      </c>
      <c r="CT68" s="307">
        <f t="shared" si="141"/>
        <v>428.4</v>
      </c>
      <c r="CU68" s="334">
        <f t="shared" ref="CU68:CZ68" si="142">+CU34</f>
        <v>440.5</v>
      </c>
      <c r="CV68" s="330">
        <f t="shared" si="142"/>
        <v>445.4</v>
      </c>
      <c r="CW68" s="307">
        <f t="shared" si="142"/>
        <v>450.6</v>
      </c>
      <c r="CX68" s="330">
        <f t="shared" si="142"/>
        <v>453.1</v>
      </c>
      <c r="CY68" s="330">
        <f t="shared" si="142"/>
        <v>472.5</v>
      </c>
      <c r="CZ68" s="335">
        <f t="shared" si="142"/>
        <v>503.1</v>
      </c>
      <c r="DA68" s="330">
        <f t="shared" ref="DA68:DF68" si="143">+DA34</f>
        <v>512.9</v>
      </c>
      <c r="DB68" s="330">
        <f t="shared" si="143"/>
        <v>518.6</v>
      </c>
      <c r="DC68" s="307">
        <f t="shared" si="143"/>
        <v>526.4</v>
      </c>
      <c r="DD68" s="307">
        <f t="shared" si="143"/>
        <v>528.20000000000005</v>
      </c>
      <c r="DE68" s="307">
        <f t="shared" si="143"/>
        <v>521.79999999999995</v>
      </c>
      <c r="DF68" s="330">
        <f t="shared" si="143"/>
        <v>532.29999999999995</v>
      </c>
      <c r="DG68" s="330">
        <f t="shared" ref="DG68:DM68" si="144">+DG34</f>
        <v>547.29999999999995</v>
      </c>
      <c r="DH68" s="330">
        <f t="shared" si="144"/>
        <v>555.29999999999995</v>
      </c>
      <c r="DI68" s="330">
        <f t="shared" si="144"/>
        <v>567.4</v>
      </c>
      <c r="DJ68" s="330">
        <f t="shared" si="144"/>
        <v>585.29999999999995</v>
      </c>
      <c r="DK68" s="332">
        <f t="shared" si="144"/>
        <v>589.6</v>
      </c>
      <c r="DL68" s="335">
        <f>+DL34</f>
        <v>631</v>
      </c>
      <c r="DM68" s="330">
        <f t="shared" si="144"/>
        <v>635.4</v>
      </c>
      <c r="DN68" s="330">
        <f t="shared" ref="DN68:DS68" si="145">+DN34</f>
        <v>639.9</v>
      </c>
      <c r="DO68" s="330">
        <f t="shared" si="145"/>
        <v>643.20000000000005</v>
      </c>
      <c r="DP68" s="330">
        <f t="shared" si="145"/>
        <v>595</v>
      </c>
      <c r="DQ68" s="330">
        <f t="shared" si="145"/>
        <v>595</v>
      </c>
      <c r="DR68" s="330">
        <f t="shared" si="145"/>
        <v>748.4</v>
      </c>
      <c r="DS68" s="330">
        <f t="shared" si="145"/>
        <v>759.7</v>
      </c>
      <c r="DT68" s="330">
        <f t="shared" ref="DT68:DY68" si="146">+DT34</f>
        <v>760.3</v>
      </c>
      <c r="DU68" s="307">
        <f t="shared" si="146"/>
        <v>760.2</v>
      </c>
      <c r="DV68" s="334">
        <f t="shared" si="146"/>
        <v>782.4</v>
      </c>
      <c r="DW68" s="332">
        <f t="shared" si="146"/>
        <v>779.5</v>
      </c>
      <c r="DX68" s="331">
        <f t="shared" si="146"/>
        <v>780.4</v>
      </c>
      <c r="DY68" s="307">
        <f t="shared" si="146"/>
        <v>782</v>
      </c>
      <c r="DZ68" s="330">
        <f t="shared" ref="DZ68:EE68" si="147">+DZ34</f>
        <v>793.2</v>
      </c>
      <c r="EA68" s="330">
        <f t="shared" si="147"/>
        <v>822.5</v>
      </c>
      <c r="EB68" s="330">
        <f t="shared" si="147"/>
        <v>820.2</v>
      </c>
      <c r="EC68" s="330">
        <f t="shared" si="147"/>
        <v>914.7</v>
      </c>
      <c r="ED68" s="330">
        <f t="shared" si="147"/>
        <v>909.7</v>
      </c>
      <c r="EE68" s="330">
        <f t="shared" si="147"/>
        <v>915</v>
      </c>
      <c r="EF68" s="330">
        <f>+EF34</f>
        <v>960</v>
      </c>
      <c r="EG68" s="330">
        <f>+EG34</f>
        <v>961.2</v>
      </c>
      <c r="EH68" s="330">
        <f>+EH34</f>
        <v>960.9</v>
      </c>
      <c r="EI68" s="332">
        <f>+EI34</f>
        <v>963.7</v>
      </c>
      <c r="EJ68" s="332">
        <f>+EJ34</f>
        <v>965.5</v>
      </c>
    </row>
    <row r="69" spans="3:140" ht="18" customHeight="1">
      <c r="C69" s="301" t="s">
        <v>631</v>
      </c>
      <c r="D69" s="307">
        <f t="shared" ref="D69:AE69" si="148">ROUND(100*D68/$D$34,2)</f>
        <v>100</v>
      </c>
      <c r="E69" s="307">
        <f t="shared" si="148"/>
        <v>110.41</v>
      </c>
      <c r="F69" s="307">
        <f t="shared" si="148"/>
        <v>108.91</v>
      </c>
      <c r="G69" s="307">
        <f t="shared" si="148"/>
        <v>109.01</v>
      </c>
      <c r="H69" s="307">
        <f t="shared" si="148"/>
        <v>111.7</v>
      </c>
      <c r="I69" s="307">
        <f t="shared" si="148"/>
        <v>113.2</v>
      </c>
      <c r="J69" s="307">
        <f t="shared" si="148"/>
        <v>114.38</v>
      </c>
      <c r="K69" s="307">
        <f t="shared" si="148"/>
        <v>113.09</v>
      </c>
      <c r="L69" s="307">
        <f t="shared" si="148"/>
        <v>116.63</v>
      </c>
      <c r="M69" s="307">
        <f t="shared" si="148"/>
        <v>116.63</v>
      </c>
      <c r="N69" s="307">
        <f t="shared" si="148"/>
        <v>118.88</v>
      </c>
      <c r="O69" s="307">
        <f t="shared" si="148"/>
        <v>122.53</v>
      </c>
      <c r="P69" s="307">
        <f t="shared" si="148"/>
        <v>124.68</v>
      </c>
      <c r="Q69" s="307">
        <f t="shared" si="148"/>
        <v>127.68</v>
      </c>
      <c r="R69" s="307">
        <f t="shared" si="148"/>
        <v>129.29</v>
      </c>
      <c r="S69" s="307">
        <f t="shared" si="148"/>
        <v>131.12</v>
      </c>
      <c r="T69" s="307">
        <f t="shared" si="148"/>
        <v>136.69999999999999</v>
      </c>
      <c r="U69" s="307">
        <f t="shared" si="148"/>
        <v>139.69999999999999</v>
      </c>
      <c r="V69" s="307">
        <f t="shared" si="148"/>
        <v>140.02000000000001</v>
      </c>
      <c r="W69" s="307">
        <f t="shared" si="148"/>
        <v>140.34</v>
      </c>
      <c r="X69" s="307">
        <f t="shared" si="148"/>
        <v>140.02000000000001</v>
      </c>
      <c r="Y69" s="307">
        <f t="shared" si="148"/>
        <v>139.47999999999999</v>
      </c>
      <c r="Z69" s="307">
        <f t="shared" si="148"/>
        <v>143.24</v>
      </c>
      <c r="AA69" s="307">
        <f t="shared" si="148"/>
        <v>142.06</v>
      </c>
      <c r="AB69" s="307">
        <f t="shared" si="148"/>
        <v>141.63</v>
      </c>
      <c r="AC69" s="307">
        <f t="shared" si="148"/>
        <v>142.69999999999999</v>
      </c>
      <c r="AD69" s="307">
        <f t="shared" si="148"/>
        <v>142.49</v>
      </c>
      <c r="AE69" s="307">
        <f t="shared" si="148"/>
        <v>142.69999999999999</v>
      </c>
      <c r="AF69" s="307">
        <f t="shared" ref="AF69:EJ69" si="149">ROUND(100*AF68/$D$34,2)</f>
        <v>150.54</v>
      </c>
      <c r="AG69" s="307">
        <f t="shared" si="149"/>
        <v>150.86000000000001</v>
      </c>
      <c r="AH69" s="307">
        <f t="shared" si="149"/>
        <v>151.5</v>
      </c>
      <c r="AI69" s="307">
        <f t="shared" si="149"/>
        <v>163.72999999999999</v>
      </c>
      <c r="AJ69" s="307">
        <f t="shared" si="149"/>
        <v>166.09</v>
      </c>
      <c r="AK69" s="307">
        <f t="shared" si="149"/>
        <v>167.49</v>
      </c>
      <c r="AL69" s="307">
        <f t="shared" si="149"/>
        <v>168.35</v>
      </c>
      <c r="AM69" s="307">
        <f t="shared" si="149"/>
        <v>169.85</v>
      </c>
      <c r="AN69" s="307">
        <f t="shared" si="149"/>
        <v>170.49</v>
      </c>
      <c r="AO69" s="307">
        <f t="shared" si="149"/>
        <v>173.61</v>
      </c>
      <c r="AP69" s="307">
        <f t="shared" si="149"/>
        <v>183.05</v>
      </c>
      <c r="AQ69" s="307">
        <f t="shared" si="149"/>
        <v>184.23</v>
      </c>
      <c r="AR69" s="330">
        <f t="shared" si="149"/>
        <v>190.67</v>
      </c>
      <c r="AS69" s="331">
        <f t="shared" si="149"/>
        <v>197.53</v>
      </c>
      <c r="AT69" s="307">
        <f t="shared" si="149"/>
        <v>199.03</v>
      </c>
      <c r="AU69" s="307">
        <f t="shared" si="149"/>
        <v>203.65</v>
      </c>
      <c r="AV69" s="307">
        <f t="shared" si="149"/>
        <v>205.58</v>
      </c>
      <c r="AW69" s="307">
        <f t="shared" si="149"/>
        <v>219.42</v>
      </c>
      <c r="AX69" s="307">
        <f t="shared" si="149"/>
        <v>221.35</v>
      </c>
      <c r="AY69" s="307">
        <f t="shared" si="149"/>
        <v>222.21</v>
      </c>
      <c r="AZ69" s="307">
        <f t="shared" si="149"/>
        <v>232.3</v>
      </c>
      <c r="BA69" s="307">
        <f t="shared" si="149"/>
        <v>235.41</v>
      </c>
      <c r="BB69" s="307">
        <f t="shared" si="149"/>
        <v>236.91</v>
      </c>
      <c r="BC69" s="332">
        <f t="shared" si="149"/>
        <v>239.91</v>
      </c>
      <c r="BD69" s="345">
        <f t="shared" si="149"/>
        <v>249.46</v>
      </c>
      <c r="BE69" s="307">
        <f t="shared" si="149"/>
        <v>250.11</v>
      </c>
      <c r="BF69" s="307">
        <f t="shared" si="149"/>
        <v>249.68</v>
      </c>
      <c r="BG69" s="307">
        <f t="shared" si="149"/>
        <v>253.54</v>
      </c>
      <c r="BH69" s="307">
        <f t="shared" si="149"/>
        <v>266.85000000000002</v>
      </c>
      <c r="BI69" s="307">
        <f t="shared" si="149"/>
        <v>270.27999999999997</v>
      </c>
      <c r="BJ69" s="307">
        <f t="shared" si="149"/>
        <v>281.12</v>
      </c>
      <c r="BK69" s="307">
        <f t="shared" si="149"/>
        <v>282.51</v>
      </c>
      <c r="BL69" s="307">
        <f t="shared" si="149"/>
        <v>284.98</v>
      </c>
      <c r="BM69" s="307">
        <f t="shared" si="149"/>
        <v>297.95999999999998</v>
      </c>
      <c r="BN69" s="307">
        <f t="shared" si="149"/>
        <v>292.49</v>
      </c>
      <c r="BO69" s="332">
        <f t="shared" si="149"/>
        <v>295.06</v>
      </c>
      <c r="BP69" s="331">
        <f t="shared" si="149"/>
        <v>295.06</v>
      </c>
      <c r="BQ69" s="307">
        <f t="shared" si="149"/>
        <v>296.02999999999997</v>
      </c>
      <c r="BR69" s="307">
        <f t="shared" si="149"/>
        <v>296.77999999999997</v>
      </c>
      <c r="BS69" s="307">
        <f t="shared" si="149"/>
        <v>297.75</v>
      </c>
      <c r="BT69" s="307">
        <f t="shared" si="149"/>
        <v>324.36</v>
      </c>
      <c r="BU69" s="307">
        <f t="shared" si="149"/>
        <v>319.10000000000002</v>
      </c>
      <c r="BV69" s="307">
        <f t="shared" si="149"/>
        <v>335.19</v>
      </c>
      <c r="BW69" s="307">
        <f t="shared" si="149"/>
        <v>333.05</v>
      </c>
      <c r="BX69" s="307">
        <f t="shared" si="149"/>
        <v>341.95</v>
      </c>
      <c r="BY69" s="307">
        <f t="shared" si="149"/>
        <v>343.03</v>
      </c>
      <c r="BZ69" s="307">
        <f t="shared" si="149"/>
        <v>343.45</v>
      </c>
      <c r="CA69" s="332">
        <f t="shared" si="149"/>
        <v>343.56</v>
      </c>
      <c r="CB69" s="330">
        <f t="shared" si="149"/>
        <v>346.03</v>
      </c>
      <c r="CC69" s="307">
        <f t="shared" si="149"/>
        <v>348.07</v>
      </c>
      <c r="CD69" s="330">
        <f t="shared" si="149"/>
        <v>347.85</v>
      </c>
      <c r="CE69" s="307">
        <f t="shared" si="149"/>
        <v>351.07</v>
      </c>
      <c r="CF69" s="345">
        <f t="shared" si="149"/>
        <v>353.97</v>
      </c>
      <c r="CG69" s="307">
        <f t="shared" si="149"/>
        <v>372.64</v>
      </c>
      <c r="CH69" s="307">
        <f t="shared" si="149"/>
        <v>376.82</v>
      </c>
      <c r="CI69" s="307">
        <f t="shared" si="149"/>
        <v>377.68</v>
      </c>
      <c r="CJ69" s="307">
        <f t="shared" si="149"/>
        <v>376.82</v>
      </c>
      <c r="CK69" s="307">
        <f t="shared" si="149"/>
        <v>394.31</v>
      </c>
      <c r="CL69" s="330">
        <f t="shared" si="149"/>
        <v>400.43</v>
      </c>
      <c r="CM69" s="330">
        <f t="shared" si="149"/>
        <v>401.93</v>
      </c>
      <c r="CN69" s="331">
        <f t="shared" si="149"/>
        <v>402.58</v>
      </c>
      <c r="CO69" s="307">
        <f t="shared" si="149"/>
        <v>413.73</v>
      </c>
      <c r="CP69" s="307">
        <f t="shared" si="149"/>
        <v>437.66</v>
      </c>
      <c r="CQ69" s="330">
        <f t="shared" si="149"/>
        <v>412.34</v>
      </c>
      <c r="CR69" s="330">
        <f t="shared" si="149"/>
        <v>446.78</v>
      </c>
      <c r="CS69" s="307">
        <f t="shared" si="149"/>
        <v>450.86</v>
      </c>
      <c r="CT69" s="307">
        <f t="shared" si="149"/>
        <v>459.66</v>
      </c>
      <c r="CU69" s="334">
        <f t="shared" si="149"/>
        <v>472.64</v>
      </c>
      <c r="CV69" s="330">
        <f t="shared" si="149"/>
        <v>477.9</v>
      </c>
      <c r="CW69" s="307">
        <f t="shared" si="149"/>
        <v>483.48</v>
      </c>
      <c r="CX69" s="330">
        <f t="shared" si="149"/>
        <v>486.16</v>
      </c>
      <c r="CY69" s="330">
        <f t="shared" si="149"/>
        <v>506.97</v>
      </c>
      <c r="CZ69" s="335">
        <f t="shared" si="149"/>
        <v>539.80999999999995</v>
      </c>
      <c r="DA69" s="330">
        <f t="shared" si="149"/>
        <v>550.32000000000005</v>
      </c>
      <c r="DB69" s="330">
        <f t="shared" si="149"/>
        <v>556.44000000000005</v>
      </c>
      <c r="DC69" s="307">
        <f t="shared" si="149"/>
        <v>564.80999999999995</v>
      </c>
      <c r="DD69" s="307">
        <f t="shared" si="149"/>
        <v>566.74</v>
      </c>
      <c r="DE69" s="307">
        <f t="shared" si="149"/>
        <v>559.87</v>
      </c>
      <c r="DF69" s="330">
        <f t="shared" si="149"/>
        <v>571.14</v>
      </c>
      <c r="DG69" s="330">
        <f t="shared" si="149"/>
        <v>587.23</v>
      </c>
      <c r="DH69" s="330">
        <f t="shared" si="149"/>
        <v>595.82000000000005</v>
      </c>
      <c r="DI69" s="330">
        <f t="shared" si="149"/>
        <v>608.79999999999995</v>
      </c>
      <c r="DJ69" s="330">
        <f t="shared" si="149"/>
        <v>628</v>
      </c>
      <c r="DK69" s="332">
        <f t="shared" si="149"/>
        <v>632.62</v>
      </c>
      <c r="DL69" s="335">
        <f t="shared" si="149"/>
        <v>677.04</v>
      </c>
      <c r="DM69" s="330">
        <f t="shared" si="149"/>
        <v>681.76</v>
      </c>
      <c r="DN69" s="330">
        <f t="shared" si="149"/>
        <v>686.59</v>
      </c>
      <c r="DO69" s="330">
        <f t="shared" si="149"/>
        <v>690.13</v>
      </c>
      <c r="DP69" s="330">
        <f t="shared" si="149"/>
        <v>638.41</v>
      </c>
      <c r="DQ69" s="330">
        <f t="shared" si="149"/>
        <v>638.41</v>
      </c>
      <c r="DR69" s="330">
        <f t="shared" si="149"/>
        <v>803</v>
      </c>
      <c r="DS69" s="330">
        <f t="shared" si="149"/>
        <v>815.13</v>
      </c>
      <c r="DT69" s="330">
        <f t="shared" si="149"/>
        <v>815.77</v>
      </c>
      <c r="DU69" s="307">
        <f t="shared" si="149"/>
        <v>815.67</v>
      </c>
      <c r="DV69" s="334">
        <f t="shared" si="149"/>
        <v>839.48</v>
      </c>
      <c r="DW69" s="332">
        <f t="shared" si="149"/>
        <v>836.37</v>
      </c>
      <c r="DX69" s="331">
        <f t="shared" si="149"/>
        <v>837.34</v>
      </c>
      <c r="DY69" s="307">
        <f t="shared" si="149"/>
        <v>839.06</v>
      </c>
      <c r="DZ69" s="330">
        <f t="shared" si="149"/>
        <v>851.07</v>
      </c>
      <c r="EA69" s="330">
        <f t="shared" si="149"/>
        <v>882.51</v>
      </c>
      <c r="EB69" s="330">
        <f t="shared" si="149"/>
        <v>880.04</v>
      </c>
      <c r="EC69" s="330">
        <f t="shared" si="149"/>
        <v>981.44</v>
      </c>
      <c r="ED69" s="330">
        <f t="shared" si="149"/>
        <v>976.07</v>
      </c>
      <c r="EE69" s="330">
        <f t="shared" si="149"/>
        <v>981.76</v>
      </c>
      <c r="EF69" s="330">
        <f t="shared" si="149"/>
        <v>1030.04</v>
      </c>
      <c r="EG69" s="330">
        <f t="shared" si="149"/>
        <v>1031.33</v>
      </c>
      <c r="EH69" s="330">
        <f t="shared" si="149"/>
        <v>1031.01</v>
      </c>
      <c r="EI69" s="332">
        <f t="shared" si="149"/>
        <v>1034.01</v>
      </c>
      <c r="EJ69" s="332">
        <f t="shared" si="149"/>
        <v>1035.94</v>
      </c>
    </row>
    <row r="70" spans="3:140" ht="6" customHeight="1" thickBot="1">
      <c r="D70" s="120"/>
      <c r="E70" s="273"/>
      <c r="F70" s="273"/>
      <c r="G70" s="273"/>
      <c r="H70" s="273"/>
      <c r="K70" s="138"/>
      <c r="L70" s="138"/>
      <c r="M70" s="138"/>
      <c r="N70" s="138"/>
      <c r="O70" s="138"/>
      <c r="P70" s="138"/>
      <c r="AS70" s="436"/>
      <c r="AT70" s="436"/>
      <c r="AU70" s="436"/>
      <c r="AV70" s="436"/>
      <c r="AW70" s="436"/>
      <c r="AX70" s="436"/>
      <c r="AY70" s="436"/>
      <c r="AZ70" s="436"/>
      <c r="BA70" s="436"/>
      <c r="BB70" s="436"/>
      <c r="BC70" s="436"/>
      <c r="BK70" s="438"/>
      <c r="BL70" s="438"/>
      <c r="BM70" s="438"/>
      <c r="BN70" s="438"/>
      <c r="BO70" s="437"/>
      <c r="BP70" s="265"/>
      <c r="BQ70" s="265"/>
      <c r="BR70" s="265"/>
      <c r="BS70" s="265"/>
      <c r="BT70" s="265"/>
      <c r="BU70" s="265"/>
      <c r="BV70" s="265"/>
      <c r="BW70" s="265"/>
      <c r="BX70" s="265"/>
      <c r="BY70" s="265"/>
      <c r="BZ70" s="265"/>
      <c r="CA70" s="265"/>
      <c r="CB70" s="437"/>
      <c r="CC70" s="437"/>
      <c r="CD70" s="437"/>
      <c r="CE70" s="437"/>
      <c r="CF70" s="437"/>
      <c r="CG70" s="437"/>
      <c r="CH70" s="437"/>
      <c r="CI70" s="437"/>
      <c r="CJ70" s="437"/>
      <c r="CK70" s="437"/>
      <c r="CL70" s="437"/>
      <c r="CM70" s="437"/>
      <c r="CN70" s="692"/>
      <c r="CO70" s="447"/>
      <c r="CP70" s="447"/>
      <c r="CQ70" s="822"/>
      <c r="CR70" s="822"/>
      <c r="CS70" s="871"/>
      <c r="CT70" s="871"/>
      <c r="CU70" s="909"/>
      <c r="CV70" s="822"/>
      <c r="CW70" s="871"/>
      <c r="CX70" s="822"/>
      <c r="CY70" s="822"/>
      <c r="CZ70" s="990"/>
      <c r="DA70" s="822"/>
      <c r="DB70" s="822"/>
      <c r="DC70" s="871"/>
      <c r="DD70" s="871"/>
      <c r="DE70" s="871"/>
      <c r="DF70" s="822"/>
      <c r="DG70" s="822"/>
      <c r="DH70" s="822"/>
      <c r="DI70" s="822"/>
      <c r="DJ70" s="822"/>
      <c r="DK70" s="912"/>
      <c r="DL70" s="990"/>
      <c r="DM70" s="822"/>
      <c r="DN70" s="822"/>
      <c r="DO70" s="822"/>
      <c r="DP70" s="822"/>
      <c r="DQ70" s="822"/>
      <c r="DR70" s="822"/>
      <c r="DS70" s="822"/>
      <c r="DT70" s="822"/>
      <c r="DU70" s="871"/>
      <c r="DV70" s="909"/>
      <c r="DW70" s="912"/>
      <c r="DX70" s="1180"/>
      <c r="DY70" s="871"/>
      <c r="DZ70" s="822"/>
      <c r="EA70" s="822"/>
      <c r="EB70" s="822"/>
      <c r="EC70" s="822"/>
      <c r="ED70" s="822"/>
      <c r="EE70" s="822"/>
      <c r="EF70" s="822"/>
      <c r="EG70" s="822"/>
      <c r="EH70" s="822"/>
      <c r="EI70" s="912"/>
      <c r="EJ70" s="912"/>
    </row>
    <row r="71" spans="3:140" ht="28.5" customHeight="1" thickBot="1">
      <c r="C71" s="346" t="s">
        <v>550</v>
      </c>
      <c r="D71" s="136">
        <f t="shared" ref="D71:Z71" si="150">ROUND(+$I$27*D67+$I$28*D69,2)</f>
        <v>100</v>
      </c>
      <c r="E71" s="136">
        <f t="shared" si="150"/>
        <v>164.21</v>
      </c>
      <c r="F71" s="136">
        <f t="shared" si="150"/>
        <v>164.58</v>
      </c>
      <c r="G71" s="136">
        <f t="shared" si="150"/>
        <v>164.91</v>
      </c>
      <c r="H71" s="136">
        <f t="shared" si="150"/>
        <v>164.36</v>
      </c>
      <c r="I71" s="136">
        <f t="shared" si="150"/>
        <v>163.69</v>
      </c>
      <c r="J71" s="136">
        <f t="shared" si="150"/>
        <v>164.47</v>
      </c>
      <c r="K71" s="136">
        <f t="shared" si="150"/>
        <v>163.36000000000001</v>
      </c>
      <c r="L71" s="136">
        <f t="shared" si="150"/>
        <v>163.85</v>
      </c>
      <c r="M71" s="136">
        <f t="shared" si="150"/>
        <v>163.65</v>
      </c>
      <c r="N71" s="136">
        <f t="shared" si="150"/>
        <v>164.74</v>
      </c>
      <c r="O71" s="136">
        <f t="shared" si="150"/>
        <v>166.22</v>
      </c>
      <c r="P71" s="136">
        <f t="shared" si="150"/>
        <v>166.25</v>
      </c>
      <c r="Q71" s="136">
        <f t="shared" si="150"/>
        <v>166.87</v>
      </c>
      <c r="R71" s="136">
        <f t="shared" si="150"/>
        <v>167.69</v>
      </c>
      <c r="S71" s="136">
        <f t="shared" si="150"/>
        <v>169.14</v>
      </c>
      <c r="T71" s="136">
        <f t="shared" si="150"/>
        <v>171.7</v>
      </c>
      <c r="U71" s="136">
        <f t="shared" si="150"/>
        <v>175.27</v>
      </c>
      <c r="V71" s="136">
        <f t="shared" si="150"/>
        <v>178.15</v>
      </c>
      <c r="W71" s="136">
        <f t="shared" si="150"/>
        <v>180.11</v>
      </c>
      <c r="X71" s="136">
        <f t="shared" si="150"/>
        <v>181.73</v>
      </c>
      <c r="Y71" s="136">
        <f t="shared" si="150"/>
        <v>183.24</v>
      </c>
      <c r="Z71" s="136">
        <f t="shared" si="150"/>
        <v>184.65</v>
      </c>
      <c r="AA71" s="136">
        <f>ROUND(+$I$27*AA67+$I$28*AA69,2)</f>
        <v>185.27</v>
      </c>
      <c r="AB71" s="136">
        <f>ROUND(+$I$27*AB67+$I$28*AB69,2)</f>
        <v>186.11</v>
      </c>
      <c r="AC71" s="136">
        <f>ROUND(+$I$27*AC67+$I$28*AC69,2)</f>
        <v>187.33</v>
      </c>
      <c r="AD71" s="136">
        <f>ROUND(+$I$27*AD67+$I$28*AD69,2)</f>
        <v>188.1</v>
      </c>
      <c r="AE71" s="136">
        <f>ROUND(+$I$27*AE67+$I$28*AE69,2)</f>
        <v>189.91</v>
      </c>
      <c r="AF71" s="136">
        <f t="shared" ref="AF71:AL71" si="151">ROUND(+$I$27*AF67+$I$28*AF69,2)</f>
        <v>187.49</v>
      </c>
      <c r="AG71" s="136">
        <f t="shared" si="151"/>
        <v>197.58</v>
      </c>
      <c r="AH71" s="136">
        <f t="shared" si="151"/>
        <v>199.53</v>
      </c>
      <c r="AI71" s="136">
        <f t="shared" si="151"/>
        <v>204.52</v>
      </c>
      <c r="AJ71" s="136">
        <f t="shared" si="151"/>
        <v>206.09</v>
      </c>
      <c r="AK71" s="136">
        <f t="shared" si="151"/>
        <v>207.32</v>
      </c>
      <c r="AL71" s="136">
        <f t="shared" si="151"/>
        <v>209.44</v>
      </c>
      <c r="AM71" s="136">
        <f t="shared" ref="AM71:AR71" si="152">ROUND(+$I$27*AM67+$I$28*AM69,2)</f>
        <v>210.93</v>
      </c>
      <c r="AN71" s="136">
        <f t="shared" si="152"/>
        <v>213.45</v>
      </c>
      <c r="AO71" s="136">
        <f t="shared" si="152"/>
        <v>216.4</v>
      </c>
      <c r="AP71" s="136">
        <f t="shared" si="152"/>
        <v>219.56</v>
      </c>
      <c r="AQ71" s="136">
        <f t="shared" si="152"/>
        <v>223.24</v>
      </c>
      <c r="AR71" s="136">
        <f t="shared" si="152"/>
        <v>227.77</v>
      </c>
      <c r="AS71" s="136">
        <f t="shared" ref="AS71:AX71" si="153">ROUND(+$I$27*AS67+$I$28*AS69,2)</f>
        <v>231</v>
      </c>
      <c r="AT71" s="136">
        <f t="shared" si="153"/>
        <v>233.09</v>
      </c>
      <c r="AU71" s="136">
        <f t="shared" si="153"/>
        <v>235.42</v>
      </c>
      <c r="AV71" s="136">
        <f t="shared" si="153"/>
        <v>237.69</v>
      </c>
      <c r="AW71" s="136">
        <f t="shared" si="153"/>
        <v>244.35</v>
      </c>
      <c r="AX71" s="136">
        <f t="shared" si="153"/>
        <v>246.94</v>
      </c>
      <c r="AY71" s="136">
        <f t="shared" ref="AY71:BD71" si="154">ROUND(+$I$27*AY67+$I$28*AY69,2)</f>
        <v>250.01</v>
      </c>
      <c r="AZ71" s="136">
        <f t="shared" si="154"/>
        <v>255.06</v>
      </c>
      <c r="BA71" s="136">
        <f t="shared" si="154"/>
        <v>256.81</v>
      </c>
      <c r="BB71" s="136">
        <f t="shared" si="154"/>
        <v>257.33999999999997</v>
      </c>
      <c r="BC71" s="136">
        <f t="shared" si="154"/>
        <v>258.94</v>
      </c>
      <c r="BD71" s="136">
        <f t="shared" si="154"/>
        <v>262.26</v>
      </c>
      <c r="BE71" s="136">
        <f t="shared" ref="BE71:BJ71" si="155">ROUND(+$I$27*BE67+$I$28*BE69,2)</f>
        <v>264.41000000000003</v>
      </c>
      <c r="BF71" s="136">
        <f t="shared" si="155"/>
        <v>266.3</v>
      </c>
      <c r="BG71" s="136">
        <f t="shared" si="155"/>
        <v>269.72000000000003</v>
      </c>
      <c r="BH71" s="136">
        <f t="shared" si="155"/>
        <v>276.58999999999997</v>
      </c>
      <c r="BI71" s="136">
        <f t="shared" si="155"/>
        <v>282.36</v>
      </c>
      <c r="BJ71" s="136">
        <f t="shared" si="155"/>
        <v>286.93</v>
      </c>
      <c r="BK71" s="136">
        <f t="shared" ref="BK71:BP71" si="156">ROUND(+$I$27*BK67+$I$28*BK69,2)</f>
        <v>292.44</v>
      </c>
      <c r="BL71" s="136">
        <f t="shared" si="156"/>
        <v>294.60000000000002</v>
      </c>
      <c r="BM71" s="136">
        <f t="shared" si="156"/>
        <v>301.08999999999997</v>
      </c>
      <c r="BN71" s="136">
        <f t="shared" si="156"/>
        <v>302.14</v>
      </c>
      <c r="BO71" s="136">
        <f t="shared" si="156"/>
        <v>305.08999999999997</v>
      </c>
      <c r="BP71" s="136">
        <f t="shared" si="156"/>
        <v>308.39999999999998</v>
      </c>
      <c r="BQ71" s="136">
        <f t="shared" ref="BQ71:BV71" si="157">ROUND(+$I$27*BQ67+$I$28*BQ69,2)</f>
        <v>311.45</v>
      </c>
      <c r="BR71" s="136">
        <f t="shared" si="157"/>
        <v>315.54000000000002</v>
      </c>
      <c r="BS71" s="136">
        <f t="shared" si="157"/>
        <v>319.58999999999997</v>
      </c>
      <c r="BT71" s="136">
        <f t="shared" si="157"/>
        <v>328.9</v>
      </c>
      <c r="BU71" s="136">
        <f t="shared" si="157"/>
        <v>332.51</v>
      </c>
      <c r="BV71" s="136">
        <f t="shared" si="157"/>
        <v>341.08</v>
      </c>
      <c r="BW71" s="136">
        <f t="shared" ref="BW71:CD71" si="158">ROUND(+$I$27*BW67+$I$28*BW69,2)</f>
        <v>342.73</v>
      </c>
      <c r="BX71" s="136">
        <f t="shared" si="158"/>
        <v>347.47</v>
      </c>
      <c r="BY71" s="136">
        <f t="shared" si="158"/>
        <v>349.74</v>
      </c>
      <c r="BZ71" s="136">
        <f t="shared" si="158"/>
        <v>351.83</v>
      </c>
      <c r="CA71" s="136">
        <f t="shared" si="158"/>
        <v>352.5</v>
      </c>
      <c r="CB71" s="136">
        <f t="shared" si="158"/>
        <v>354.35</v>
      </c>
      <c r="CC71" s="136">
        <f t="shared" si="158"/>
        <v>355.05</v>
      </c>
      <c r="CD71" s="136">
        <f t="shared" si="158"/>
        <v>355.94</v>
      </c>
      <c r="CE71" s="136">
        <f t="shared" ref="CE71:CJ71" si="159">ROUND(+$I$27*CE67+$I$28*CE69,2)</f>
        <v>357.99</v>
      </c>
      <c r="CF71" s="136">
        <f t="shared" si="159"/>
        <v>361.82</v>
      </c>
      <c r="CG71" s="136">
        <f t="shared" si="159"/>
        <v>369.34</v>
      </c>
      <c r="CH71" s="136">
        <f t="shared" si="159"/>
        <v>372.17</v>
      </c>
      <c r="CI71" s="136">
        <f t="shared" si="159"/>
        <v>374.33</v>
      </c>
      <c r="CJ71" s="136">
        <f t="shared" si="159"/>
        <v>375.57</v>
      </c>
      <c r="CK71" s="136">
        <f t="shared" ref="CK71:CQ71" si="160">ROUND(+$I$27*CK67+$I$28*CK69,2)</f>
        <v>385.13</v>
      </c>
      <c r="CL71" s="136">
        <f t="shared" si="160"/>
        <v>390.06</v>
      </c>
      <c r="CM71" s="813">
        <f t="shared" si="160"/>
        <v>391.8</v>
      </c>
      <c r="CN71" s="385">
        <f t="shared" si="160"/>
        <v>393.99</v>
      </c>
      <c r="CO71" s="386">
        <f t="shared" si="160"/>
        <v>401.95</v>
      </c>
      <c r="CP71" s="782">
        <f t="shared" si="160"/>
        <v>413.53</v>
      </c>
      <c r="CQ71" s="387">
        <f t="shared" si="160"/>
        <v>410.31</v>
      </c>
      <c r="CR71" s="339">
        <f t="shared" ref="CR71:CW71" si="161">ROUND(+$I$27*CR67+$I$28*CR69,2)</f>
        <v>425.29</v>
      </c>
      <c r="CS71" s="337">
        <f t="shared" si="161"/>
        <v>431.06</v>
      </c>
      <c r="CT71" s="337">
        <f t="shared" si="161"/>
        <v>436.13</v>
      </c>
      <c r="CU71" s="386">
        <f t="shared" si="161"/>
        <v>442.76</v>
      </c>
      <c r="CV71" s="339">
        <f t="shared" si="161"/>
        <v>447.86</v>
      </c>
      <c r="CW71" s="337">
        <f t="shared" si="161"/>
        <v>453.37</v>
      </c>
      <c r="CX71" s="339">
        <f t="shared" ref="CX71:DC71" si="162">ROUND(+$I$27*CX67+$I$28*CX69,2)</f>
        <v>457.56</v>
      </c>
      <c r="CY71" s="339">
        <f t="shared" si="162"/>
        <v>467.36</v>
      </c>
      <c r="CZ71" s="813">
        <f t="shared" si="162"/>
        <v>479.8</v>
      </c>
      <c r="DA71" s="339">
        <f t="shared" si="162"/>
        <v>486.54</v>
      </c>
      <c r="DB71" s="339">
        <f t="shared" si="162"/>
        <v>491.08</v>
      </c>
      <c r="DC71" s="337">
        <f t="shared" si="162"/>
        <v>497.97</v>
      </c>
      <c r="DD71" s="337">
        <f t="shared" ref="DD71:DI71" si="163">ROUND(+$I$27*DD67+$I$28*DD69,2)</f>
        <v>505.39</v>
      </c>
      <c r="DE71" s="337">
        <f t="shared" si="163"/>
        <v>509.41</v>
      </c>
      <c r="DF71" s="339">
        <f t="shared" si="163"/>
        <v>519.24</v>
      </c>
      <c r="DG71" s="339">
        <f t="shared" si="163"/>
        <v>525.92999999999995</v>
      </c>
      <c r="DH71" s="339">
        <f t="shared" si="163"/>
        <v>535.96</v>
      </c>
      <c r="DI71" s="339">
        <f t="shared" si="163"/>
        <v>545.63</v>
      </c>
      <c r="DJ71" s="339">
        <f t="shared" ref="DJ71:DO71" si="164">ROUND(+$I$27*DJ67+$I$28*DJ69,2)</f>
        <v>556.69000000000005</v>
      </c>
      <c r="DK71" s="338">
        <f t="shared" si="164"/>
        <v>563.33000000000004</v>
      </c>
      <c r="DL71" s="813">
        <f t="shared" si="164"/>
        <v>575.95000000000005</v>
      </c>
      <c r="DM71" s="339">
        <f t="shared" si="164"/>
        <v>581.64</v>
      </c>
      <c r="DN71" s="339">
        <f t="shared" si="164"/>
        <v>585.77</v>
      </c>
      <c r="DO71" s="339">
        <f t="shared" si="164"/>
        <v>589</v>
      </c>
      <c r="DP71" s="339">
        <f t="shared" ref="DP71:DU71" si="165">ROUND(+$I$27*DP67+$I$28*DP69,2)</f>
        <v>581.49</v>
      </c>
      <c r="DQ71" s="339">
        <f t="shared" si="165"/>
        <v>585.5</v>
      </c>
      <c r="DR71" s="339">
        <f t="shared" si="165"/>
        <v>640.61</v>
      </c>
      <c r="DS71" s="339">
        <f t="shared" si="165"/>
        <v>647.26</v>
      </c>
      <c r="DT71" s="339">
        <f t="shared" si="165"/>
        <v>652.14</v>
      </c>
      <c r="DU71" s="337">
        <f t="shared" si="165"/>
        <v>657.94</v>
      </c>
      <c r="DV71" s="386">
        <f t="shared" ref="DV71:EA71" si="166">ROUND(+$I$27*DV67+$I$28*DV69,2)</f>
        <v>670.72</v>
      </c>
      <c r="DW71" s="338">
        <f t="shared" si="166"/>
        <v>674.78</v>
      </c>
      <c r="DX71" s="135">
        <f t="shared" si="166"/>
        <v>677.42</v>
      </c>
      <c r="DY71" s="337">
        <f t="shared" si="166"/>
        <v>681.53</v>
      </c>
      <c r="DZ71" s="339">
        <f t="shared" si="166"/>
        <v>688.64</v>
      </c>
      <c r="EA71" s="339">
        <f t="shared" si="166"/>
        <v>703.93</v>
      </c>
      <c r="EB71" s="339">
        <f t="shared" ref="EB71:EG71" si="167">ROUND(+$I$27*EB67+$I$28*EB69,2)</f>
        <v>708.37</v>
      </c>
      <c r="EC71" s="339">
        <f t="shared" si="167"/>
        <v>746</v>
      </c>
      <c r="ED71" s="339">
        <f t="shared" si="167"/>
        <v>754.09</v>
      </c>
      <c r="EE71" s="339">
        <f t="shared" si="167"/>
        <v>761.42</v>
      </c>
      <c r="EF71" s="339">
        <f t="shared" si="167"/>
        <v>781.91</v>
      </c>
      <c r="EG71" s="339">
        <f t="shared" si="167"/>
        <v>786.27</v>
      </c>
      <c r="EH71" s="339">
        <f>ROUND(+$I$27*EH67+$I$28*EH69,2)</f>
        <v>790.92</v>
      </c>
      <c r="EI71" s="338">
        <f>ROUND(+$I$27*EI67+$I$28*EI69,2)</f>
        <v>798.7</v>
      </c>
      <c r="EJ71" s="338">
        <f>ROUND(+$I$27*EJ67+$I$28*EJ69,2)</f>
        <v>820.34</v>
      </c>
    </row>
    <row r="72" spans="3:140">
      <c r="C72" s="3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W72" s="138"/>
      <c r="AF72" s="138"/>
      <c r="AI72" s="138"/>
    </row>
    <row r="75" spans="3:140">
      <c r="BP75" s="444"/>
      <c r="BQ75" s="444"/>
    </row>
  </sheetData>
  <mergeCells count="49">
    <mergeCell ref="CN15:CX15"/>
    <mergeCell ref="CN30:CX30"/>
    <mergeCell ref="CN46:CX46"/>
    <mergeCell ref="CN64:CX64"/>
    <mergeCell ref="AF15:AQ15"/>
    <mergeCell ref="AF30:AQ30"/>
    <mergeCell ref="AF46:AQ46"/>
    <mergeCell ref="BD15:BO15"/>
    <mergeCell ref="BD30:BO30"/>
    <mergeCell ref="AF64:AQ64"/>
    <mergeCell ref="CB15:CM15"/>
    <mergeCell ref="CB30:CM30"/>
    <mergeCell ref="CB46:CM46"/>
    <mergeCell ref="CB64:CM64"/>
    <mergeCell ref="BP15:CA15"/>
    <mergeCell ref="BP30:CA30"/>
    <mergeCell ref="E15:G15"/>
    <mergeCell ref="H15:S15"/>
    <mergeCell ref="C13:AB13"/>
    <mergeCell ref="T15:Y15"/>
    <mergeCell ref="T30:Y30"/>
    <mergeCell ref="H30:S30"/>
    <mergeCell ref="E30:G30"/>
    <mergeCell ref="E46:G46"/>
    <mergeCell ref="T46:Y46"/>
    <mergeCell ref="BP46:CA46"/>
    <mergeCell ref="BP64:CA64"/>
    <mergeCell ref="AS64:BC64"/>
    <mergeCell ref="T64:Y64"/>
    <mergeCell ref="E64:G64"/>
    <mergeCell ref="H46:S46"/>
    <mergeCell ref="H64:S64"/>
    <mergeCell ref="DX15:EH15"/>
    <mergeCell ref="DX30:EH30"/>
    <mergeCell ref="DX46:EH46"/>
    <mergeCell ref="DX64:EI64"/>
    <mergeCell ref="CZ15:DK15"/>
    <mergeCell ref="CZ30:DK30"/>
    <mergeCell ref="CZ46:DK46"/>
    <mergeCell ref="CZ64:DK64"/>
    <mergeCell ref="DL15:DW15"/>
    <mergeCell ref="DL46:DW46"/>
    <mergeCell ref="DL64:DW64"/>
    <mergeCell ref="DL30:DW30"/>
    <mergeCell ref="AR15:BC15"/>
    <mergeCell ref="AS30:BC30"/>
    <mergeCell ref="AS46:BC46"/>
    <mergeCell ref="BD64:BO64"/>
    <mergeCell ref="BD46:BO46"/>
  </mergeCells>
  <phoneticPr fontId="0" type="noConversion"/>
  <printOptions horizontalCentered="1"/>
  <pageMargins left="0.39370078740157483" right="0.39370078740157483" top="0.70866141732283472" bottom="0.39370078740157483" header="0" footer="0"/>
  <pageSetup paperSize="5" scale="60" firstPageNumber="7" fitToHeight="5" orientation="landscape" useFirstPageNumber="1" r:id="rId1"/>
  <headerFooter alignWithMargins="0"/>
  <rowBreaks count="1" manualBreakCount="1">
    <brk id="37" min="1" max="140" man="1"/>
  </rowBreaks>
  <ignoredErrors>
    <ignoredError sqref="AU21" emptyCellReferenc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60"/>
  </sheetPr>
  <dimension ref="B1:CC19"/>
  <sheetViews>
    <sheetView view="pageBreakPreview" zoomScale="75" zoomScaleNormal="75" zoomScaleSheetLayoutView="75" workbookViewId="0">
      <selection activeCell="CA22" sqref="CA22"/>
    </sheetView>
  </sheetViews>
  <sheetFormatPr baseColWidth="10" defaultRowHeight="15.75"/>
  <cols>
    <col min="1" max="1" width="5.5703125" customWidth="1"/>
    <col min="2" max="2" width="7.140625" style="143" customWidth="1"/>
    <col min="3" max="3" width="17.28515625" style="143" customWidth="1"/>
    <col min="4" max="4" width="21" style="143" customWidth="1"/>
    <col min="5" max="5" width="7.5703125" style="143" customWidth="1"/>
    <col min="6" max="6" width="17" style="143" customWidth="1"/>
    <col min="7" max="7" width="14.7109375" style="143" customWidth="1"/>
    <col min="8" max="8" width="6.85546875" style="143" hidden="1" customWidth="1"/>
    <col min="9" max="9" width="12.28515625" style="143" hidden="1" customWidth="1"/>
    <col min="10" max="10" width="21" style="143" hidden="1" customWidth="1"/>
    <col min="11" max="11" width="9" style="143" customWidth="1"/>
    <col min="12" max="12" width="9.28515625" style="1279" customWidth="1"/>
    <col min="13" max="13" width="9.28515625" style="1279" hidden="1" customWidth="1"/>
    <col min="14" max="14" width="9.5703125" style="1280" hidden="1" customWidth="1"/>
    <col min="15" max="15" width="9.28515625" style="1280" hidden="1" customWidth="1"/>
    <col min="16" max="16" width="9.140625" style="1280" hidden="1" customWidth="1"/>
    <col min="17" max="17" width="9.28515625" style="1280" hidden="1" customWidth="1"/>
    <col min="18" max="18" width="9.140625" style="1280" hidden="1" customWidth="1"/>
    <col min="19" max="19" width="9.28515625" style="1280" hidden="1" customWidth="1"/>
    <col min="20" max="20" width="9" style="1280" hidden="1" customWidth="1"/>
    <col min="21" max="29" width="9.140625" style="1280" hidden="1" customWidth="1"/>
    <col min="30" max="30" width="10.140625" style="1280" hidden="1" customWidth="1"/>
    <col min="31" max="31" width="9.7109375" style="1280" hidden="1" customWidth="1"/>
    <col min="32" max="32" width="10.28515625" style="1280" hidden="1" customWidth="1"/>
    <col min="33" max="33" width="8.42578125" style="1280" hidden="1" customWidth="1"/>
    <col min="34" max="34" width="9.5703125" style="1280" hidden="1" customWidth="1"/>
    <col min="35" max="35" width="9" style="1280" hidden="1" customWidth="1"/>
    <col min="36" max="36" width="8.7109375" style="1280" hidden="1" customWidth="1"/>
    <col min="37" max="39" width="9.7109375" style="1280" hidden="1" customWidth="1"/>
    <col min="40" max="40" width="9.140625" style="1280" hidden="1" customWidth="1"/>
    <col min="41" max="42" width="9.7109375" style="1280" hidden="1" customWidth="1"/>
    <col min="43" max="43" width="9.85546875" style="1280" hidden="1" customWidth="1"/>
    <col min="44" max="44" width="9.28515625" style="1280" hidden="1" customWidth="1"/>
    <col min="45" max="45" width="9.5703125" style="1280" hidden="1" customWidth="1"/>
    <col min="46" max="46" width="9.28515625" style="1280" hidden="1" customWidth="1"/>
    <col min="47" max="48" width="9.140625" style="1280" hidden="1" customWidth="1"/>
    <col min="49" max="49" width="9.28515625" style="1280" hidden="1" customWidth="1"/>
    <col min="50" max="50" width="9.140625" style="1280" hidden="1" customWidth="1"/>
    <col min="51" max="51" width="8.28515625" style="1280" hidden="1" customWidth="1"/>
    <col min="52" max="52" width="8.5703125" style="1280" hidden="1" customWidth="1"/>
    <col min="53" max="53" width="9" style="1280" hidden="1" customWidth="1"/>
    <col min="54" max="55" width="8.5703125" style="1280" hidden="1" customWidth="1"/>
    <col min="56" max="56" width="9.7109375" style="1280" hidden="1" customWidth="1"/>
    <col min="57" max="57" width="11" style="1280" hidden="1" customWidth="1"/>
    <col min="58" max="58" width="9.28515625" style="1280" hidden="1" customWidth="1"/>
    <col min="59" max="59" width="10.140625" style="1280" hidden="1" customWidth="1"/>
    <col min="60" max="60" width="8.85546875" style="1280" hidden="1" customWidth="1"/>
    <col min="61" max="61" width="10.28515625" style="1280" hidden="1" customWidth="1"/>
    <col min="62" max="62" width="9.140625" style="1280" hidden="1" customWidth="1"/>
    <col min="63" max="63" width="9" style="1280" hidden="1" customWidth="1"/>
    <col min="64" max="64" width="8.85546875" style="1280" hidden="1" customWidth="1"/>
    <col min="65" max="65" width="9.7109375" style="1280" hidden="1" customWidth="1"/>
    <col min="66" max="67" width="10.5703125" style="1280" hidden="1" customWidth="1"/>
    <col min="68" max="68" width="10.28515625" style="1280" hidden="1" customWidth="1"/>
    <col min="69" max="69" width="9.140625" style="1280" customWidth="1"/>
    <col min="70" max="70" width="8.42578125" style="1280" customWidth="1"/>
    <col min="71" max="71" width="9" style="1280" customWidth="1"/>
    <col min="72" max="72" width="8.85546875" style="1280" customWidth="1"/>
    <col min="73" max="73" width="9" style="1280" customWidth="1"/>
    <col min="74" max="74" width="8.140625" customWidth="1"/>
    <col min="75" max="75" width="8.42578125" customWidth="1"/>
    <col min="76" max="76" width="8" customWidth="1"/>
    <col min="77" max="77" width="8.5703125" customWidth="1"/>
    <col min="78" max="78" width="8.7109375" customWidth="1"/>
    <col min="79" max="79" width="8.42578125" customWidth="1"/>
    <col min="80" max="80" width="8.5703125" customWidth="1"/>
    <col min="81" max="81" width="9" customWidth="1"/>
    <col min="82" max="82" width="2.7109375" customWidth="1"/>
  </cols>
  <sheetData>
    <row r="1" spans="2:81" ht="24" customHeight="1"/>
    <row r="2" spans="2:81" ht="24" customHeight="1"/>
    <row r="3" spans="2:81" ht="18" customHeight="1">
      <c r="C3" s="3" t="s">
        <v>598</v>
      </c>
      <c r="H3" s="406"/>
      <c r="K3" s="363"/>
    </row>
    <row r="4" spans="2:81" ht="36" customHeight="1">
      <c r="C4" s="962" t="s">
        <v>450</v>
      </c>
      <c r="E4" s="792"/>
      <c r="F4" s="792"/>
      <c r="AK4" s="792"/>
      <c r="AL4" s="792"/>
      <c r="AM4" s="792"/>
      <c r="AN4" s="792"/>
      <c r="AP4" s="792"/>
      <c r="AX4" s="1033"/>
      <c r="BA4" s="1033"/>
      <c r="BB4" s="1033"/>
      <c r="BC4" s="1033"/>
      <c r="BL4" s="1033"/>
      <c r="BW4" s="2954" t="s">
        <v>867</v>
      </c>
      <c r="BX4" s="2954"/>
      <c r="BY4" s="2954"/>
      <c r="BZ4" s="2954"/>
      <c r="CA4" s="2954"/>
      <c r="CB4" s="2954"/>
      <c r="CC4" s="2954"/>
    </row>
    <row r="5" spans="2:81">
      <c r="G5" s="152"/>
      <c r="H5" s="152"/>
      <c r="I5" s="152"/>
      <c r="J5" s="152"/>
    </row>
    <row r="6" spans="2:81">
      <c r="B6" s="132"/>
      <c r="D6" s="364"/>
      <c r="E6" s="364"/>
      <c r="F6" s="364"/>
      <c r="G6" s="364"/>
      <c r="H6" s="364"/>
      <c r="I6" s="364"/>
      <c r="J6" s="364"/>
      <c r="K6" s="364"/>
    </row>
    <row r="7" spans="2:81">
      <c r="B7" s="132"/>
      <c r="C7" s="1281" t="s">
        <v>475</v>
      </c>
    </row>
    <row r="8" spans="2:81">
      <c r="B8" s="132"/>
      <c r="C8" s="3" t="s">
        <v>597</v>
      </c>
    </row>
    <row r="9" spans="2:81" ht="16.5" thickBot="1">
      <c r="B9" s="582"/>
      <c r="C9" s="582"/>
      <c r="D9" s="582"/>
      <c r="E9" s="582"/>
      <c r="F9" s="582"/>
      <c r="G9" s="582"/>
      <c r="H9" s="583"/>
      <c r="I9" s="584"/>
      <c r="J9" s="584"/>
      <c r="K9" s="585"/>
    </row>
    <row r="10" spans="2:81" ht="16.5" thickBot="1">
      <c r="B10" s="2949" t="s">
        <v>600</v>
      </c>
      <c r="C10" s="2950"/>
      <c r="D10" s="2942" t="s">
        <v>894</v>
      </c>
      <c r="E10" s="2942" t="s">
        <v>895</v>
      </c>
      <c r="F10" s="2942" t="s">
        <v>599</v>
      </c>
      <c r="G10" s="2942" t="s">
        <v>896</v>
      </c>
      <c r="H10" s="2944" t="s">
        <v>897</v>
      </c>
      <c r="I10" s="2902" t="s">
        <v>898</v>
      </c>
      <c r="J10" s="2957" t="s">
        <v>899</v>
      </c>
      <c r="K10" s="1282">
        <v>2001</v>
      </c>
      <c r="L10" s="2946">
        <v>2008</v>
      </c>
      <c r="M10" s="2947"/>
      <c r="N10" s="2947"/>
      <c r="O10" s="2947"/>
      <c r="P10" s="2947"/>
      <c r="Q10" s="2947"/>
      <c r="R10" s="2947"/>
      <c r="S10" s="2947"/>
      <c r="T10" s="2948"/>
      <c r="U10" s="2951">
        <v>2009</v>
      </c>
      <c r="V10" s="2952"/>
      <c r="W10" s="2952"/>
      <c r="X10" s="2952"/>
      <c r="Y10" s="2952"/>
      <c r="Z10" s="2952"/>
      <c r="AA10" s="2952"/>
      <c r="AB10" s="2952"/>
      <c r="AC10" s="2952"/>
      <c r="AD10" s="2952"/>
      <c r="AE10" s="2952"/>
      <c r="AF10" s="2953"/>
      <c r="AG10" s="2955">
        <v>2010</v>
      </c>
      <c r="AH10" s="2956"/>
      <c r="AI10" s="2956"/>
      <c r="AJ10" s="2956"/>
      <c r="AK10" s="2956"/>
      <c r="AL10" s="2956"/>
      <c r="AM10" s="2956"/>
      <c r="AN10" s="2956"/>
      <c r="AO10" s="2956"/>
      <c r="AP10" s="2956"/>
      <c r="AQ10" s="2956"/>
      <c r="AR10" s="2959"/>
      <c r="AS10" s="2960">
        <v>2011</v>
      </c>
      <c r="AT10" s="2961"/>
      <c r="AU10" s="2961"/>
      <c r="AV10" s="2961"/>
      <c r="AW10" s="2961"/>
      <c r="AX10" s="2961"/>
      <c r="AY10" s="2961"/>
      <c r="AZ10" s="2961"/>
      <c r="BA10" s="2961"/>
      <c r="BB10" s="2961"/>
      <c r="BC10" s="2961"/>
      <c r="BD10" s="2962"/>
      <c r="BE10" s="2955">
        <v>2012</v>
      </c>
      <c r="BF10" s="2956"/>
      <c r="BG10" s="2956"/>
      <c r="BH10" s="2956"/>
      <c r="BI10" s="2956"/>
      <c r="BJ10" s="2956"/>
      <c r="BK10" s="2956"/>
      <c r="BL10" s="2956"/>
      <c r="BM10" s="2956"/>
      <c r="BN10" s="2956"/>
      <c r="BO10" s="2956"/>
      <c r="BP10" s="1150"/>
      <c r="BQ10" s="2951">
        <v>2013</v>
      </c>
      <c r="BR10" s="2952"/>
      <c r="BS10" s="2952"/>
      <c r="BT10" s="2952"/>
      <c r="BU10" s="2952"/>
      <c r="BV10" s="2952"/>
      <c r="BW10" s="2952"/>
      <c r="BX10" s="2952"/>
      <c r="BY10" s="2952"/>
      <c r="BZ10" s="2952"/>
      <c r="CA10" s="2952"/>
      <c r="CB10" s="2953"/>
      <c r="CC10" s="1496">
        <v>2014</v>
      </c>
    </row>
    <row r="11" spans="2:81" ht="16.5" thickBot="1">
      <c r="B11" s="1283" t="s">
        <v>900</v>
      </c>
      <c r="C11" s="1284" t="s">
        <v>901</v>
      </c>
      <c r="D11" s="2943"/>
      <c r="E11" s="2943"/>
      <c r="F11" s="2943"/>
      <c r="G11" s="2943"/>
      <c r="H11" s="2945"/>
      <c r="I11" s="2903"/>
      <c r="J11" s="2958"/>
      <c r="K11" s="1285" t="s">
        <v>611</v>
      </c>
      <c r="L11" s="1286" t="s">
        <v>514</v>
      </c>
      <c r="M11" s="1287" t="s">
        <v>534</v>
      </c>
      <c r="N11" s="1288" t="s">
        <v>503</v>
      </c>
      <c r="O11" s="1288" t="s">
        <v>457</v>
      </c>
      <c r="P11" s="1288" t="s">
        <v>392</v>
      </c>
      <c r="Q11" s="1288" t="s">
        <v>356</v>
      </c>
      <c r="R11" s="1288" t="s">
        <v>609</v>
      </c>
      <c r="S11" s="1289" t="s">
        <v>610</v>
      </c>
      <c r="T11" s="1290" t="s">
        <v>611</v>
      </c>
      <c r="U11" s="1291" t="s">
        <v>511</v>
      </c>
      <c r="V11" s="1292" t="s">
        <v>513</v>
      </c>
      <c r="W11" s="1292" t="s">
        <v>139</v>
      </c>
      <c r="X11" s="1292" t="s">
        <v>514</v>
      </c>
      <c r="Y11" s="1292" t="s">
        <v>534</v>
      </c>
      <c r="Z11" s="1292" t="s">
        <v>503</v>
      </c>
      <c r="AA11" s="1292" t="s">
        <v>457</v>
      </c>
      <c r="AB11" s="1293" t="s">
        <v>392</v>
      </c>
      <c r="AC11" s="1294" t="s">
        <v>356</v>
      </c>
      <c r="AD11" s="1294" t="s">
        <v>609</v>
      </c>
      <c r="AE11" s="1289" t="s">
        <v>610</v>
      </c>
      <c r="AF11" s="1295" t="s">
        <v>611</v>
      </c>
      <c r="AG11" s="1296" t="s">
        <v>511</v>
      </c>
      <c r="AH11" s="1234" t="s">
        <v>513</v>
      </c>
      <c r="AI11" s="1297" t="s">
        <v>139</v>
      </c>
      <c r="AJ11" s="1297" t="s">
        <v>514</v>
      </c>
      <c r="AK11" s="1298">
        <v>40299</v>
      </c>
      <c r="AL11" s="1299">
        <v>40330</v>
      </c>
      <c r="AM11" s="1300">
        <v>40360</v>
      </c>
      <c r="AN11" s="1301">
        <v>40391</v>
      </c>
      <c r="AO11" s="1302">
        <v>40422</v>
      </c>
      <c r="AP11" s="1300">
        <v>40452</v>
      </c>
      <c r="AQ11" s="1302">
        <v>40483</v>
      </c>
      <c r="AR11" s="1298">
        <v>40513</v>
      </c>
      <c r="AS11" s="1303">
        <v>40544</v>
      </c>
      <c r="AT11" s="1302">
        <v>40575</v>
      </c>
      <c r="AU11" s="1302">
        <v>40603</v>
      </c>
      <c r="AV11" s="1298">
        <v>40634</v>
      </c>
      <c r="AW11" s="1298">
        <v>40664</v>
      </c>
      <c r="AX11" s="1298">
        <v>40695</v>
      </c>
      <c r="AY11" s="1298">
        <v>40725</v>
      </c>
      <c r="AZ11" s="1302">
        <v>40756</v>
      </c>
      <c r="BA11" s="1298">
        <v>40787</v>
      </c>
      <c r="BB11" s="1302">
        <v>40817</v>
      </c>
      <c r="BC11" s="1298">
        <v>40848</v>
      </c>
      <c r="BD11" s="1304">
        <v>40878</v>
      </c>
      <c r="BE11" s="1298">
        <v>40909</v>
      </c>
      <c r="BF11" s="1298">
        <v>40940</v>
      </c>
      <c r="BG11" s="1298">
        <v>40969</v>
      </c>
      <c r="BH11" s="1298">
        <v>41000</v>
      </c>
      <c r="BI11" s="1298">
        <v>41030</v>
      </c>
      <c r="BJ11" s="1302">
        <v>41061</v>
      </c>
      <c r="BK11" s="1298">
        <v>41091</v>
      </c>
      <c r="BL11" s="1302">
        <v>41122</v>
      </c>
      <c r="BM11" s="1298">
        <v>41153</v>
      </c>
      <c r="BN11" s="1298">
        <v>41183</v>
      </c>
      <c r="BO11" s="1298">
        <v>41214</v>
      </c>
      <c r="BP11" s="1298">
        <v>41244</v>
      </c>
      <c r="BQ11" s="1305">
        <v>41275</v>
      </c>
      <c r="BR11" s="1298">
        <v>41306</v>
      </c>
      <c r="BS11" s="1354">
        <v>41334</v>
      </c>
      <c r="BT11" s="1354">
        <v>41365</v>
      </c>
      <c r="BU11" s="1361">
        <v>41395</v>
      </c>
      <c r="BV11" s="1298">
        <v>41426</v>
      </c>
      <c r="BW11" s="1298">
        <v>41456</v>
      </c>
      <c r="BX11" s="1361">
        <v>41487</v>
      </c>
      <c r="BY11" s="1298">
        <v>41518</v>
      </c>
      <c r="BZ11" s="1298">
        <v>41548</v>
      </c>
      <c r="CA11" s="1298">
        <v>41579</v>
      </c>
      <c r="CB11" s="1304">
        <v>41609</v>
      </c>
      <c r="CC11" s="1304">
        <v>41640</v>
      </c>
    </row>
    <row r="12" spans="2:81">
      <c r="B12" s="1306"/>
      <c r="C12" s="1307"/>
      <c r="D12" s="1307"/>
      <c r="E12" s="1307"/>
      <c r="F12" s="1307"/>
      <c r="G12" s="1307"/>
      <c r="H12" s="1307"/>
      <c r="I12" s="1307"/>
      <c r="J12" s="1308"/>
      <c r="K12" s="1309"/>
      <c r="L12" s="1310"/>
      <c r="M12" s="1311"/>
      <c r="N12" s="1312"/>
      <c r="O12" s="1312"/>
      <c r="P12" s="1312"/>
      <c r="Q12" s="1312"/>
      <c r="R12" s="1312"/>
      <c r="S12" s="1312"/>
      <c r="T12" s="1313"/>
      <c r="U12" s="1314"/>
      <c r="V12" s="1312"/>
      <c r="W12" s="1312"/>
      <c r="X12" s="1312"/>
      <c r="Y12" s="1312"/>
      <c r="Z12" s="1312"/>
      <c r="AA12" s="1312"/>
      <c r="AB12" s="1315"/>
      <c r="AC12" s="1316"/>
      <c r="AD12" s="1316"/>
      <c r="AE12" s="1312"/>
      <c r="AF12" s="1317"/>
      <c r="AG12" s="1314"/>
      <c r="AH12" s="1315"/>
      <c r="AI12" s="1316"/>
      <c r="AJ12" s="1316"/>
      <c r="AK12" s="1316"/>
      <c r="AL12" s="1318"/>
      <c r="AM12" s="1315"/>
      <c r="AN12" s="1319"/>
      <c r="AO12" s="1312"/>
      <c r="AP12" s="1315"/>
      <c r="AQ12" s="1320"/>
      <c r="AR12" s="1313"/>
      <c r="AS12" s="1320"/>
      <c r="AT12" s="1321"/>
      <c r="AU12" s="1321"/>
      <c r="AV12" s="1320"/>
      <c r="AW12" s="1322"/>
      <c r="AX12" s="1320"/>
      <c r="AY12" s="1320"/>
      <c r="AZ12" s="1320"/>
      <c r="BA12" s="1323"/>
      <c r="BB12" s="1324"/>
      <c r="BC12" s="1324"/>
      <c r="BD12" s="1325"/>
      <c r="BE12" s="1324"/>
      <c r="BF12" s="1322"/>
      <c r="BG12" s="1322"/>
      <c r="BH12" s="1324"/>
      <c r="BI12" s="1322"/>
      <c r="BJ12" s="1312"/>
      <c r="BK12" s="1316"/>
      <c r="BL12" s="1316"/>
      <c r="BM12" s="1324"/>
      <c r="BN12" s="1322"/>
      <c r="BO12" s="1322"/>
      <c r="BP12" s="1316"/>
      <c r="BQ12" s="1326"/>
      <c r="BR12" s="1324"/>
      <c r="BS12" s="1312"/>
      <c r="BT12" s="1312"/>
      <c r="BU12" s="1316"/>
      <c r="BV12" s="1363"/>
      <c r="BW12" s="1369"/>
      <c r="BX12" s="1363"/>
      <c r="BY12" s="1427"/>
      <c r="BZ12" s="1427"/>
      <c r="CA12" s="1498"/>
      <c r="CB12" s="1430"/>
      <c r="CC12" s="1497"/>
    </row>
    <row r="13" spans="2:81" ht="34.5" customHeight="1">
      <c r="B13" s="1231">
        <v>120</v>
      </c>
      <c r="C13" s="1237" t="s">
        <v>300</v>
      </c>
      <c r="D13" s="1327" t="s">
        <v>301</v>
      </c>
      <c r="E13" s="1237" t="s">
        <v>918</v>
      </c>
      <c r="F13" s="1327" t="s">
        <v>705</v>
      </c>
      <c r="G13" s="1237" t="s">
        <v>302</v>
      </c>
      <c r="H13" s="1237"/>
      <c r="I13" s="390"/>
      <c r="J13" s="651" t="s">
        <v>303</v>
      </c>
      <c r="K13" s="1328">
        <v>100.94</v>
      </c>
      <c r="L13" s="1329">
        <v>198.49</v>
      </c>
      <c r="M13" s="1330">
        <f t="shared" ref="M13:AV13" si="0">+M14/$L$14*$L$13</f>
        <v>201.36810500000001</v>
      </c>
      <c r="N13" s="1330">
        <f t="shared" si="0"/>
        <v>200.83218200000002</v>
      </c>
      <c r="O13" s="1330">
        <f t="shared" si="0"/>
        <v>201.64599100000001</v>
      </c>
      <c r="P13" s="1330">
        <f t="shared" si="0"/>
        <v>202.85678000000001</v>
      </c>
      <c r="Q13" s="1330">
        <f t="shared" si="0"/>
        <v>203.353005</v>
      </c>
      <c r="R13" s="1330">
        <f t="shared" si="0"/>
        <v>205.67533800000001</v>
      </c>
      <c r="S13" s="1330">
        <f t="shared" si="0"/>
        <v>205.695187</v>
      </c>
      <c r="T13" s="1331">
        <f t="shared" si="0"/>
        <v>205.55624400000002</v>
      </c>
      <c r="U13" s="1329">
        <f t="shared" si="0"/>
        <v>215.04406600000004</v>
      </c>
      <c r="V13" s="1330">
        <f t="shared" si="0"/>
        <v>223.89671999999999</v>
      </c>
      <c r="W13" s="1330">
        <f t="shared" si="0"/>
        <v>224.43264300000001</v>
      </c>
      <c r="X13" s="1330">
        <f t="shared" si="0"/>
        <v>225.48463999999998</v>
      </c>
      <c r="Y13" s="1330">
        <f t="shared" si="0"/>
        <v>225.56403600000002</v>
      </c>
      <c r="Z13" s="1330">
        <f t="shared" si="0"/>
        <v>226.85422100000002</v>
      </c>
      <c r="AA13" s="1330">
        <f t="shared" si="0"/>
        <v>229.55368500000003</v>
      </c>
      <c r="AB13" s="1332">
        <f t="shared" si="0"/>
        <v>230.20870199999999</v>
      </c>
      <c r="AC13" s="1331">
        <f t="shared" si="0"/>
        <v>231.37979300000001</v>
      </c>
      <c r="AD13" s="1331">
        <f t="shared" si="0"/>
        <v>232.63028</v>
      </c>
      <c r="AE13" s="1330">
        <f t="shared" si="0"/>
        <v>233.82122000000001</v>
      </c>
      <c r="AF13" s="1332">
        <f t="shared" si="0"/>
        <v>235.36944199999999</v>
      </c>
      <c r="AG13" s="1329">
        <f t="shared" si="0"/>
        <v>236.61992899999998</v>
      </c>
      <c r="AH13" s="1332">
        <f t="shared" si="0"/>
        <v>237.31464400000002</v>
      </c>
      <c r="AI13" s="1331">
        <f t="shared" si="0"/>
        <v>238.664376</v>
      </c>
      <c r="AJ13" s="1331">
        <f t="shared" si="0"/>
        <v>240.609578</v>
      </c>
      <c r="AK13" s="1331">
        <f t="shared" si="0"/>
        <v>241.56233000000003</v>
      </c>
      <c r="AL13" s="1333">
        <f t="shared" si="0"/>
        <v>243.24949500000002</v>
      </c>
      <c r="AM13" s="1332">
        <f t="shared" si="0"/>
        <v>244.559529</v>
      </c>
      <c r="AN13" s="1334">
        <f t="shared" si="0"/>
        <v>244.99620700000006</v>
      </c>
      <c r="AO13" s="1330">
        <f t="shared" si="0"/>
        <v>245.75046900000001</v>
      </c>
      <c r="AP13" s="1332">
        <f t="shared" si="0"/>
        <v>248.27129199999999</v>
      </c>
      <c r="AQ13" s="1331">
        <f t="shared" si="0"/>
        <v>249.91875899999999</v>
      </c>
      <c r="AR13" s="1335">
        <f t="shared" si="0"/>
        <v>251.68532000000002</v>
      </c>
      <c r="AS13" s="1331">
        <f t="shared" si="0"/>
        <v>253.37248500000001</v>
      </c>
      <c r="AT13" s="1330">
        <f t="shared" si="0"/>
        <v>254.98025400000006</v>
      </c>
      <c r="AU13" s="1330">
        <f t="shared" si="0"/>
        <v>256.68726800000002</v>
      </c>
      <c r="AV13" s="1331">
        <f t="shared" si="0"/>
        <v>258.47367800000001</v>
      </c>
      <c r="AW13" s="1331">
        <f t="shared" ref="AW13:CC13" si="1">+AW14/$L$14*$L$13</f>
        <v>259.66461800000002</v>
      </c>
      <c r="AX13" s="1331">
        <f t="shared" si="1"/>
        <v>262.20528999999999</v>
      </c>
      <c r="AY13" s="1331">
        <f t="shared" si="1"/>
        <v>263.67411600000003</v>
      </c>
      <c r="AZ13" s="1331">
        <f t="shared" si="1"/>
        <v>265.73841199999998</v>
      </c>
      <c r="BA13" s="1331">
        <f t="shared" si="1"/>
        <v>267.56452000000002</v>
      </c>
      <c r="BB13" s="1331">
        <f t="shared" si="1"/>
        <v>267.92180200000001</v>
      </c>
      <c r="BC13" s="1331">
        <f t="shared" si="1"/>
        <v>268.834856</v>
      </c>
      <c r="BD13" s="1335">
        <f t="shared" si="1"/>
        <v>271.83205500000003</v>
      </c>
      <c r="BE13" s="1331">
        <f t="shared" si="1"/>
        <v>278.28298000000001</v>
      </c>
      <c r="BF13" s="1331">
        <f t="shared" si="1"/>
        <v>281.816102</v>
      </c>
      <c r="BG13" s="1331">
        <f t="shared" si="1"/>
        <v>282.72915599999999</v>
      </c>
      <c r="BH13" s="1336">
        <f t="shared" si="1"/>
        <v>284.019341</v>
      </c>
      <c r="BI13" s="1336">
        <f t="shared" si="1"/>
        <v>285.42862000000002</v>
      </c>
      <c r="BJ13" s="1337">
        <f t="shared" si="1"/>
        <v>286.16303299999998</v>
      </c>
      <c r="BK13" s="1336">
        <f t="shared" si="1"/>
        <v>287.65170799999999</v>
      </c>
      <c r="BL13" s="1336">
        <f t="shared" si="1"/>
        <v>296.46466400000003</v>
      </c>
      <c r="BM13" s="1336">
        <f t="shared" si="1"/>
        <v>299.02518500000002</v>
      </c>
      <c r="BN13" s="1336">
        <f t="shared" si="1"/>
        <v>300.73219899999998</v>
      </c>
      <c r="BO13" s="1336">
        <f t="shared" si="1"/>
        <v>302.69725</v>
      </c>
      <c r="BP13" s="1336">
        <f t="shared" si="1"/>
        <v>316.353362</v>
      </c>
      <c r="BQ13" s="1338">
        <f t="shared" si="1"/>
        <v>341.16461199999998</v>
      </c>
      <c r="BR13" s="1336">
        <f t="shared" si="1"/>
        <v>342.73268300000001</v>
      </c>
      <c r="BS13" s="1330">
        <f t="shared" si="1"/>
        <v>343.98317000000003</v>
      </c>
      <c r="BT13" s="1330">
        <f t="shared" si="1"/>
        <v>348.86602399999998</v>
      </c>
      <c r="BU13" s="1331">
        <f t="shared" si="1"/>
        <v>350.116511</v>
      </c>
      <c r="BV13" s="1331">
        <f t="shared" si="1"/>
        <v>352.33959900000002</v>
      </c>
      <c r="BW13" s="1331">
        <f t="shared" si="1"/>
        <v>354.50314000000003</v>
      </c>
      <c r="BX13" s="1331">
        <f t="shared" si="1"/>
        <v>356.78577500000006</v>
      </c>
      <c r="BY13" s="1331">
        <f t="shared" si="1"/>
        <v>358.15535600000004</v>
      </c>
      <c r="BZ13" s="1331">
        <f t="shared" si="1"/>
        <v>359.72342699999996</v>
      </c>
      <c r="CA13" s="1331">
        <f t="shared" si="1"/>
        <v>363.89171700000003</v>
      </c>
      <c r="CB13" s="1335">
        <f t="shared" si="1"/>
        <v>369.72732300000001</v>
      </c>
      <c r="CC13" s="1335">
        <f t="shared" si="1"/>
        <v>0</v>
      </c>
    </row>
    <row r="14" spans="2:81" ht="31.5" customHeight="1" thickBot="1">
      <c r="B14" s="1230">
        <v>120</v>
      </c>
      <c r="C14" s="1238" t="s">
        <v>300</v>
      </c>
      <c r="D14" s="1339" t="s">
        <v>301</v>
      </c>
      <c r="E14" s="1238" t="s">
        <v>918</v>
      </c>
      <c r="F14" s="1339" t="s">
        <v>651</v>
      </c>
      <c r="G14" s="1238" t="s">
        <v>302</v>
      </c>
      <c r="H14" s="1340"/>
      <c r="I14" s="1340"/>
      <c r="J14" s="1341"/>
      <c r="K14" s="1342"/>
      <c r="L14" s="1343">
        <v>100</v>
      </c>
      <c r="M14" s="1344">
        <v>101.45</v>
      </c>
      <c r="N14" s="1239">
        <v>101.18</v>
      </c>
      <c r="O14" s="1239">
        <v>101.59</v>
      </c>
      <c r="P14" s="1345">
        <v>102.2</v>
      </c>
      <c r="Q14" s="1345">
        <v>102.45</v>
      </c>
      <c r="R14" s="1345">
        <v>103.62</v>
      </c>
      <c r="S14" s="698">
        <v>103.63</v>
      </c>
      <c r="T14" s="1346">
        <v>103.56</v>
      </c>
      <c r="U14" s="697">
        <v>108.34</v>
      </c>
      <c r="V14" s="698">
        <v>112.8</v>
      </c>
      <c r="W14" s="698">
        <v>113.07</v>
      </c>
      <c r="X14" s="698">
        <v>113.6</v>
      </c>
      <c r="Y14" s="698">
        <v>113.64</v>
      </c>
      <c r="Z14" s="698">
        <v>114.29</v>
      </c>
      <c r="AA14" s="698">
        <v>115.65</v>
      </c>
      <c r="AB14" s="1347">
        <v>115.98</v>
      </c>
      <c r="AC14" s="1348">
        <v>116.57</v>
      </c>
      <c r="AD14" s="1348">
        <v>117.2</v>
      </c>
      <c r="AE14" s="698">
        <v>117.8</v>
      </c>
      <c r="AF14" s="1349">
        <v>118.58</v>
      </c>
      <c r="AG14" s="697">
        <v>119.21</v>
      </c>
      <c r="AH14" s="1347">
        <v>119.56</v>
      </c>
      <c r="AI14" s="1348">
        <v>120.24</v>
      </c>
      <c r="AJ14" s="1348">
        <v>121.22</v>
      </c>
      <c r="AK14" s="1348">
        <v>121.7</v>
      </c>
      <c r="AL14" s="1350">
        <v>122.55</v>
      </c>
      <c r="AM14" s="1347">
        <v>123.21</v>
      </c>
      <c r="AN14" s="1351">
        <v>123.43</v>
      </c>
      <c r="AO14" s="698">
        <v>123.81</v>
      </c>
      <c r="AP14" s="1347">
        <v>125.08</v>
      </c>
      <c r="AQ14" s="1348">
        <v>125.91</v>
      </c>
      <c r="AR14" s="1346">
        <v>126.8</v>
      </c>
      <c r="AS14" s="1348">
        <v>127.65</v>
      </c>
      <c r="AT14" s="698">
        <v>128.46</v>
      </c>
      <c r="AU14" s="698">
        <v>129.32</v>
      </c>
      <c r="AV14" s="1348">
        <v>130.22</v>
      </c>
      <c r="AW14" s="1348">
        <v>130.82</v>
      </c>
      <c r="AX14" s="1348">
        <v>132.1</v>
      </c>
      <c r="AY14" s="1348">
        <v>132.84</v>
      </c>
      <c r="AZ14" s="1348">
        <v>133.88</v>
      </c>
      <c r="BA14" s="1348">
        <v>134.80000000000001</v>
      </c>
      <c r="BB14" s="1348">
        <v>134.97999999999999</v>
      </c>
      <c r="BC14" s="1348">
        <v>135.44</v>
      </c>
      <c r="BD14" s="1346">
        <v>136.94999999999999</v>
      </c>
      <c r="BE14" s="1348">
        <v>140.19999999999999</v>
      </c>
      <c r="BF14" s="1348">
        <v>141.97999999999999</v>
      </c>
      <c r="BG14" s="1348">
        <v>142.44</v>
      </c>
      <c r="BH14" s="1348">
        <v>143.09</v>
      </c>
      <c r="BI14" s="1348">
        <v>143.80000000000001</v>
      </c>
      <c r="BJ14" s="698">
        <v>144.16999999999999</v>
      </c>
      <c r="BK14" s="1348">
        <v>144.91999999999999</v>
      </c>
      <c r="BL14" s="1348">
        <v>149.36000000000001</v>
      </c>
      <c r="BM14" s="1348">
        <v>150.65</v>
      </c>
      <c r="BN14" s="1348">
        <v>151.51</v>
      </c>
      <c r="BO14" s="1348">
        <v>152.5</v>
      </c>
      <c r="BP14" s="1348">
        <v>159.38</v>
      </c>
      <c r="BQ14" s="1352">
        <v>171.88</v>
      </c>
      <c r="BR14" s="1348">
        <v>172.67</v>
      </c>
      <c r="BS14" s="698">
        <v>173.3</v>
      </c>
      <c r="BT14" s="698">
        <v>175.76</v>
      </c>
      <c r="BU14" s="1348">
        <v>176.39</v>
      </c>
      <c r="BV14" s="1348">
        <v>177.51</v>
      </c>
      <c r="BW14" s="1348">
        <v>178.6</v>
      </c>
      <c r="BX14" s="1348">
        <v>179.75</v>
      </c>
      <c r="BY14" s="1348">
        <v>180.44</v>
      </c>
      <c r="BZ14" s="1348">
        <v>181.23</v>
      </c>
      <c r="CA14" s="1348">
        <v>183.33</v>
      </c>
      <c r="CB14" s="1346">
        <v>186.27</v>
      </c>
      <c r="CC14" s="1346">
        <v>0</v>
      </c>
    </row>
    <row r="15" spans="2:81">
      <c r="BQ15" s="1353"/>
    </row>
    <row r="19" spans="52:52">
      <c r="AZ19" s="1280" t="s">
        <v>136</v>
      </c>
    </row>
  </sheetData>
  <mergeCells count="15">
    <mergeCell ref="BQ10:CB10"/>
    <mergeCell ref="BW4:CC4"/>
    <mergeCell ref="BE10:BO10"/>
    <mergeCell ref="J10:J11"/>
    <mergeCell ref="U10:AF10"/>
    <mergeCell ref="AG10:AR10"/>
    <mergeCell ref="AS10:BD10"/>
    <mergeCell ref="G10:G11"/>
    <mergeCell ref="H10:H11"/>
    <mergeCell ref="L10:T10"/>
    <mergeCell ref="I10:I11"/>
    <mergeCell ref="B10:C10"/>
    <mergeCell ref="D10:D11"/>
    <mergeCell ref="E10:E11"/>
    <mergeCell ref="F10:F11"/>
  </mergeCells>
  <phoneticPr fontId="24" type="noConversion"/>
  <printOptions horizontalCentered="1"/>
  <pageMargins left="0.19685039370078741" right="0.19685039370078741" top="1.4960629921259843" bottom="0.98425196850393704" header="0" footer="0"/>
  <pageSetup paperSize="5" scale="5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Y39"/>
  <sheetViews>
    <sheetView view="pageBreakPreview" topLeftCell="A16" zoomScale="70" zoomScaleSheetLayoutView="70" workbookViewId="0">
      <selection activeCell="D39" sqref="D39"/>
    </sheetView>
  </sheetViews>
  <sheetFormatPr baseColWidth="10" defaultColWidth="11.42578125" defaultRowHeight="12.75"/>
  <cols>
    <col min="1" max="1" width="3.28515625" style="2023" customWidth="1"/>
    <col min="2" max="2" width="57.5703125" style="2023" customWidth="1"/>
    <col min="3" max="3" width="13.7109375" style="2023" customWidth="1"/>
    <col min="4" max="4" width="14.140625" style="2023" customWidth="1"/>
    <col min="5" max="6" width="14.28515625" style="2023" bestFit="1" customWidth="1"/>
    <col min="7" max="7" width="14.140625" style="2023" customWidth="1"/>
    <col min="8" max="8" width="13.28515625" style="2023" customWidth="1"/>
    <col min="9" max="9" width="12.85546875" style="2023" customWidth="1"/>
    <col min="10" max="10" width="12.42578125" style="2023" customWidth="1"/>
    <col min="11" max="12" width="12.85546875" style="2023" customWidth="1"/>
    <col min="13" max="13" width="12.42578125" style="2023" customWidth="1"/>
    <col min="14" max="14" width="13.85546875" style="2023" customWidth="1"/>
    <col min="15" max="15" width="4.28515625" style="2023" customWidth="1"/>
    <col min="16" max="16" width="11.5703125" style="2023" bestFit="1" customWidth="1"/>
    <col min="17" max="16384" width="11.42578125" style="2023"/>
  </cols>
  <sheetData>
    <row r="1" spans="2:25" s="1996" customFormat="1" ht="15.75">
      <c r="B1" s="1994" t="s">
        <v>591</v>
      </c>
      <c r="C1" s="1994"/>
      <c r="D1" s="2585" t="s">
        <v>592</v>
      </c>
      <c r="E1" s="2585"/>
      <c r="F1" s="2585"/>
      <c r="G1" s="2585"/>
      <c r="H1" s="2585"/>
      <c r="I1" s="2585"/>
      <c r="J1" s="2585"/>
      <c r="K1" s="2585"/>
      <c r="L1" s="2585"/>
      <c r="M1" s="2585"/>
      <c r="N1" s="2585"/>
      <c r="O1" s="2585"/>
      <c r="P1" s="1995"/>
      <c r="Q1" s="1995"/>
    </row>
    <row r="2" spans="2:25" s="1996" customFormat="1" ht="15.75">
      <c r="B2" s="1994" t="s">
        <v>593</v>
      </c>
      <c r="C2" s="1994"/>
      <c r="D2" s="2585" t="s">
        <v>594</v>
      </c>
      <c r="E2" s="2585"/>
      <c r="F2" s="2585"/>
      <c r="G2" s="2585"/>
      <c r="H2" s="2585"/>
      <c r="I2" s="2585"/>
      <c r="J2" s="2585"/>
      <c r="K2" s="2585"/>
      <c r="L2" s="2585"/>
      <c r="M2" s="2585"/>
      <c r="N2" s="2585"/>
      <c r="O2" s="2585"/>
      <c r="P2" s="1995"/>
      <c r="Q2" s="1995"/>
    </row>
    <row r="3" spans="2:25" s="1996" customFormat="1" ht="16.5" thickBot="1">
      <c r="B3" s="1994" t="s">
        <v>595</v>
      </c>
      <c r="C3" s="1994"/>
      <c r="D3" s="1994"/>
      <c r="E3" s="1994"/>
      <c r="F3" s="1994"/>
      <c r="G3" s="1994"/>
      <c r="H3" s="1994"/>
      <c r="I3" s="1994"/>
      <c r="J3" s="1994"/>
      <c r="K3" s="1994"/>
      <c r="L3" s="1994"/>
      <c r="M3" s="1994"/>
      <c r="N3" s="1994"/>
      <c r="O3" s="1995"/>
      <c r="P3" s="1995"/>
      <c r="Q3" s="1995"/>
    </row>
    <row r="4" spans="2:25" s="1996" customFormat="1" ht="18">
      <c r="B4" s="2586" t="s">
        <v>1297</v>
      </c>
      <c r="C4" s="2586"/>
      <c r="D4" s="2586"/>
      <c r="E4" s="2586"/>
      <c r="F4" s="2586"/>
      <c r="G4" s="2586"/>
      <c r="H4" s="2586"/>
      <c r="I4" s="2586"/>
      <c r="J4" s="2586"/>
      <c r="K4" s="2586"/>
      <c r="L4" s="2586"/>
      <c r="M4" s="2586"/>
      <c r="N4" s="2586"/>
      <c r="O4" s="2586"/>
      <c r="P4" s="1997"/>
      <c r="Q4" s="1997"/>
      <c r="S4" s="2587" t="s">
        <v>728</v>
      </c>
      <c r="T4" s="2588"/>
      <c r="U4" s="2588"/>
      <c r="V4" s="2589"/>
      <c r="X4" s="1998">
        <v>37956</v>
      </c>
      <c r="Y4" s="1999">
        <v>2.9897999999999998</v>
      </c>
    </row>
    <row r="5" spans="2:25" s="1996" customFormat="1" ht="15.75">
      <c r="B5" s="2000" t="s">
        <v>1298</v>
      </c>
      <c r="C5" s="2000"/>
      <c r="D5" s="2000"/>
      <c r="E5" s="1994"/>
      <c r="F5" s="1994"/>
      <c r="G5" s="1994"/>
      <c r="H5" s="1994"/>
      <c r="I5" s="1994"/>
      <c r="J5" s="1994"/>
      <c r="K5" s="1994"/>
      <c r="L5" s="1994"/>
      <c r="M5" s="1994"/>
      <c r="N5" s="1994"/>
      <c r="O5" s="1995"/>
      <c r="P5" s="1995"/>
      <c r="Q5" s="1995"/>
      <c r="S5" s="2590" t="s">
        <v>711</v>
      </c>
      <c r="T5" s="2591"/>
      <c r="U5" s="2591"/>
      <c r="V5" s="2001">
        <v>2.86</v>
      </c>
      <c r="X5" s="2002">
        <v>37958</v>
      </c>
      <c r="Y5" s="2003">
        <v>2.98</v>
      </c>
    </row>
    <row r="9" spans="2:25" s="1996" customFormat="1" ht="15.75">
      <c r="B9" s="2579" t="s">
        <v>1299</v>
      </c>
      <c r="C9" s="2581">
        <v>2020</v>
      </c>
      <c r="D9" s="2582"/>
      <c r="E9" s="2582"/>
      <c r="F9" s="2582"/>
      <c r="G9" s="2582"/>
      <c r="H9" s="2582"/>
      <c r="I9" s="2582"/>
      <c r="J9" s="2582"/>
      <c r="K9" s="2582"/>
      <c r="L9" s="2582"/>
      <c r="M9" s="2583"/>
      <c r="N9" s="2584"/>
    </row>
    <row r="10" spans="2:25" s="1996" customFormat="1" ht="16.5" thickBot="1">
      <c r="B10" s="2580"/>
      <c r="C10" s="2004" t="s">
        <v>578</v>
      </c>
      <c r="D10" s="2004" t="s">
        <v>579</v>
      </c>
      <c r="E10" s="2004" t="s">
        <v>580</v>
      </c>
      <c r="F10" s="2004" t="s">
        <v>581</v>
      </c>
      <c r="G10" s="2004" t="s">
        <v>582</v>
      </c>
      <c r="H10" s="2004" t="s">
        <v>583</v>
      </c>
      <c r="I10" s="2004" t="s">
        <v>587</v>
      </c>
      <c r="J10" s="2004" t="s">
        <v>588</v>
      </c>
      <c r="K10" s="2004" t="s">
        <v>589</v>
      </c>
      <c r="L10" s="2004" t="s">
        <v>590</v>
      </c>
      <c r="M10" s="2004" t="s">
        <v>586</v>
      </c>
      <c r="N10" s="2005" t="s">
        <v>577</v>
      </c>
    </row>
    <row r="11" spans="2:25" s="1996" customFormat="1" ht="15.75">
      <c r="B11" s="2006" t="s">
        <v>1300</v>
      </c>
      <c r="C11" s="2007">
        <v>552.25601272112885</v>
      </c>
      <c r="D11" s="2007">
        <v>552.25601272112885</v>
      </c>
      <c r="E11" s="2007">
        <v>552.25601272112885</v>
      </c>
      <c r="F11" s="2007">
        <v>607.47366328761655</v>
      </c>
      <c r="G11" s="2007">
        <v>607.47366328761655</v>
      </c>
      <c r="H11" s="2007">
        <v>640.0914331146887</v>
      </c>
      <c r="I11" s="2007">
        <v>640.0914331146887</v>
      </c>
      <c r="J11" s="2007">
        <v>692.74498111707385</v>
      </c>
      <c r="K11" s="2007">
        <v>707.29477241105121</v>
      </c>
      <c r="L11" s="2007">
        <v>745.91532498509207</v>
      </c>
      <c r="M11" s="2007">
        <v>750.16895249453353</v>
      </c>
      <c r="N11" s="2008">
        <v>772.90797058238888</v>
      </c>
    </row>
    <row r="12" spans="2:25" s="1996" customFormat="1" ht="31.5">
      <c r="B12" s="2009" t="s">
        <v>1301</v>
      </c>
      <c r="C12" s="2010">
        <v>426.5930757651783</v>
      </c>
      <c r="D12" s="2010">
        <v>426.5930757651783</v>
      </c>
      <c r="E12" s="2010">
        <v>426.5930757651783</v>
      </c>
      <c r="F12" s="2010">
        <v>469.24234821876587</v>
      </c>
      <c r="G12" s="2010">
        <v>472.80481685900662</v>
      </c>
      <c r="H12" s="2010">
        <v>488.55995985950841</v>
      </c>
      <c r="I12" s="2010">
        <v>495.45910687405933</v>
      </c>
      <c r="J12" s="2010">
        <v>530.08028098344221</v>
      </c>
      <c r="K12" s="2010">
        <v>552.15755143000513</v>
      </c>
      <c r="L12" s="2010">
        <v>581.58554942298042</v>
      </c>
      <c r="M12" s="2010">
        <v>593.05067737079776</v>
      </c>
      <c r="N12" s="2011">
        <v>609.35775213246359</v>
      </c>
    </row>
    <row r="13" spans="2:25" s="1996" customFormat="1" ht="15.75">
      <c r="B13" s="2012" t="s">
        <v>996</v>
      </c>
      <c r="C13" s="2013">
        <v>1</v>
      </c>
      <c r="D13" s="2013">
        <f t="shared" ref="D13:N13" si="0">(+D11/C11+D12/C12)/2</f>
        <v>1</v>
      </c>
      <c r="E13" s="2013">
        <f t="shared" si="0"/>
        <v>1</v>
      </c>
      <c r="F13" s="2013">
        <f t="shared" si="0"/>
        <v>1.0999810396740712</v>
      </c>
      <c r="G13" s="2013">
        <f t="shared" si="0"/>
        <v>1.0037959794696321</v>
      </c>
      <c r="H13" s="2013">
        <f t="shared" si="0"/>
        <v>1.0435084254835603</v>
      </c>
      <c r="I13" s="2013">
        <f t="shared" si="0"/>
        <v>1.0070606963130326</v>
      </c>
      <c r="J13" s="2013">
        <f t="shared" si="0"/>
        <v>1.0760681863098749</v>
      </c>
      <c r="K13" s="2013">
        <f t="shared" si="0"/>
        <v>1.0313260086829128</v>
      </c>
      <c r="L13" s="2013">
        <f t="shared" si="0"/>
        <v>1.0539497856000946</v>
      </c>
      <c r="M13" s="2013">
        <f t="shared" si="0"/>
        <v>1.0127080658484142</v>
      </c>
      <c r="N13" s="2014">
        <f t="shared" si="0"/>
        <v>1.0289043977325854</v>
      </c>
    </row>
    <row r="14" spans="2:25" s="1996" customFormat="1" ht="16.5" thickBot="1">
      <c r="B14" s="2015"/>
      <c r="C14" s="2016"/>
      <c r="D14" s="2016"/>
      <c r="E14" s="2016"/>
      <c r="F14" s="2016"/>
      <c r="G14" s="2016"/>
      <c r="H14" s="2016"/>
      <c r="I14" s="2016"/>
      <c r="J14" s="2016"/>
      <c r="K14" s="2016"/>
      <c r="L14" s="2016"/>
      <c r="M14" s="2016"/>
      <c r="N14" s="2017"/>
    </row>
    <row r="15" spans="2:25" s="1996" customFormat="1" ht="16.5" thickBot="1">
      <c r="B15" s="2018" t="s">
        <v>1302</v>
      </c>
      <c r="C15" s="2019">
        <v>100</v>
      </c>
      <c r="D15" s="2019">
        <f t="shared" ref="D15:N15" si="1">+D13*C15</f>
        <v>100</v>
      </c>
      <c r="E15" s="2019">
        <f t="shared" si="1"/>
        <v>100</v>
      </c>
      <c r="F15" s="2019">
        <f t="shared" si="1"/>
        <v>109.99810396740712</v>
      </c>
      <c r="G15" s="2019">
        <f t="shared" si="1"/>
        <v>110.41565451176585</v>
      </c>
      <c r="H15" s="2019">
        <f t="shared" si="1"/>
        <v>115.21966578830956</v>
      </c>
      <c r="I15" s="2019">
        <f t="shared" si="1"/>
        <v>116.03319685772992</v>
      </c>
      <c r="J15" s="2019">
        <f t="shared" si="1"/>
        <v>124.85963169443411</v>
      </c>
      <c r="K15" s="2019">
        <f t="shared" si="1"/>
        <v>128.77098560103926</v>
      </c>
      <c r="L15" s="2019">
        <f t="shared" si="1"/>
        <v>135.71815266572818</v>
      </c>
      <c r="M15" s="2019">
        <f t="shared" si="1"/>
        <v>137.44286788662939</v>
      </c>
      <c r="N15" s="2022">
        <f t="shared" si="1"/>
        <v>141.41557120553171</v>
      </c>
      <c r="P15" s="2020"/>
      <c r="Q15" s="2020"/>
      <c r="R15" s="2020"/>
      <c r="S15" s="2020"/>
      <c r="T15" s="2020"/>
      <c r="U15" s="2020"/>
    </row>
    <row r="16" spans="2:25" s="1996" customFormat="1" ht="16.5" thickBot="1">
      <c r="B16" s="1994"/>
      <c r="C16" s="1994"/>
      <c r="D16" s="1994"/>
      <c r="E16" s="1994"/>
      <c r="F16" s="1994"/>
      <c r="G16" s="1994"/>
      <c r="H16" s="1994"/>
      <c r="I16" s="1994"/>
      <c r="J16" s="1994"/>
      <c r="K16" s="1994"/>
      <c r="L16" s="1994"/>
      <c r="M16" s="1994"/>
      <c r="N16" s="1994"/>
    </row>
    <row r="17" spans="2:17" s="1996" customFormat="1" ht="15.75">
      <c r="B17" s="2579" t="s">
        <v>1299</v>
      </c>
      <c r="C17" s="2581">
        <v>2021</v>
      </c>
      <c r="D17" s="2582"/>
      <c r="E17" s="2582"/>
      <c r="F17" s="2582"/>
      <c r="G17" s="2582"/>
      <c r="H17" s="2582"/>
      <c r="I17" s="2582"/>
      <c r="J17" s="2582"/>
      <c r="K17" s="2582"/>
      <c r="L17" s="2582"/>
      <c r="M17" s="2583"/>
      <c r="N17" s="2584"/>
    </row>
    <row r="18" spans="2:17" s="1996" customFormat="1" ht="16.5" thickBot="1">
      <c r="B18" s="2580"/>
      <c r="C18" s="2004" t="s">
        <v>578</v>
      </c>
      <c r="D18" s="2004" t="s">
        <v>579</v>
      </c>
      <c r="E18" s="2004" t="s">
        <v>580</v>
      </c>
      <c r="F18" s="2004" t="s">
        <v>581</v>
      </c>
      <c r="G18" s="2004" t="s">
        <v>582</v>
      </c>
      <c r="H18" s="2004" t="s">
        <v>583</v>
      </c>
      <c r="I18" s="2004" t="s">
        <v>587</v>
      </c>
      <c r="J18" s="2004" t="s">
        <v>588</v>
      </c>
      <c r="K18" s="2004" t="s">
        <v>589</v>
      </c>
      <c r="L18" s="2004" t="s">
        <v>590</v>
      </c>
      <c r="M18" s="2004" t="s">
        <v>586</v>
      </c>
      <c r="N18" s="2005" t="s">
        <v>577</v>
      </c>
    </row>
    <row r="19" spans="2:17" s="1996" customFormat="1" ht="15.75">
      <c r="B19" s="2006" t="s">
        <v>1300</v>
      </c>
      <c r="C19" s="2007">
        <v>772.88809381832607</v>
      </c>
      <c r="D19" s="2007">
        <v>820.35380640031769</v>
      </c>
      <c r="E19" s="2007">
        <v>820.35380640031769</v>
      </c>
      <c r="F19" s="2021">
        <v>832.43887895050659</v>
      </c>
      <c r="G19" s="2007">
        <v>878.73186245279237</v>
      </c>
      <c r="H19" s="2007">
        <v>886.36453985291166</v>
      </c>
      <c r="I19" s="2007">
        <v>928.24488173325335</v>
      </c>
      <c r="J19" s="2007">
        <v>936.09620353806349</v>
      </c>
      <c r="K19" s="2007">
        <v>966.34863844166114</v>
      </c>
      <c r="L19" s="2007">
        <v>986.12601868415754</v>
      </c>
      <c r="M19" s="2007">
        <v>1040.66785927251</v>
      </c>
      <c r="N19" s="2008">
        <v>1116.1399324190015</v>
      </c>
    </row>
    <row r="20" spans="2:17" s="1996" customFormat="1" ht="31.5">
      <c r="B20" s="2009" t="s">
        <v>1301</v>
      </c>
      <c r="C20" s="2010">
        <v>621.29954841946812</v>
      </c>
      <c r="D20" s="2010">
        <v>653.23632714500752</v>
      </c>
      <c r="E20" s="2010">
        <v>666.00602107375801</v>
      </c>
      <c r="F20" s="2010">
        <v>671.65077772202687</v>
      </c>
      <c r="G20" s="2010">
        <v>716.53286502759636</v>
      </c>
      <c r="H20" s="2010">
        <v>720.09533366783728</v>
      </c>
      <c r="I20" s="2010">
        <v>751.15403913697912</v>
      </c>
      <c r="J20" s="2010">
        <v>755.74510787757117</v>
      </c>
      <c r="K20" s="2010">
        <v>791.26944305067695</v>
      </c>
      <c r="L20" s="2010">
        <v>810.58705469141955</v>
      </c>
      <c r="M20" s="2010">
        <v>841.21926743602569</v>
      </c>
      <c r="N20" s="2011">
        <v>899.99999999999966</v>
      </c>
    </row>
    <row r="21" spans="2:17" s="1996" customFormat="1" ht="15.75">
      <c r="B21" s="2012" t="s">
        <v>996</v>
      </c>
      <c r="C21" s="2013">
        <f>(+C19/N11+C20/N12)/2</f>
        <v>1.0097858158683068</v>
      </c>
      <c r="D21" s="2013">
        <f t="shared" ref="D21:N21" si="2">(+D19/C19+D20/C20)/2</f>
        <v>1.0564083124088373</v>
      </c>
      <c r="E21" s="2013">
        <f t="shared" si="2"/>
        <v>1.0097741762040093</v>
      </c>
      <c r="F21" s="2013">
        <f t="shared" si="2"/>
        <v>1.011603535539118</v>
      </c>
      <c r="G21" s="2013">
        <f t="shared" si="2"/>
        <v>1.0612174086427379</v>
      </c>
      <c r="H21" s="2013">
        <f t="shared" si="2"/>
        <v>1.0068289144361913</v>
      </c>
      <c r="I21" s="2013">
        <f t="shared" si="2"/>
        <v>1.0451904741565099</v>
      </c>
      <c r="J21" s="2013">
        <f t="shared" si="2"/>
        <v>1.007285132208976</v>
      </c>
      <c r="K21" s="2013">
        <f t="shared" si="2"/>
        <v>1.0396616827676026</v>
      </c>
      <c r="L21" s="2013">
        <f t="shared" si="2"/>
        <v>1.0224397676771848</v>
      </c>
      <c r="M21" s="2013">
        <f t="shared" si="2"/>
        <v>1.0465496786165567</v>
      </c>
      <c r="N21" s="2014">
        <f t="shared" si="2"/>
        <v>1.0711991832394478</v>
      </c>
      <c r="Q21" s="1996">
        <v>161</v>
      </c>
    </row>
    <row r="22" spans="2:17" s="1996" customFormat="1" ht="16.5" thickBot="1">
      <c r="B22" s="2015"/>
      <c r="C22" s="2016"/>
      <c r="D22" s="2016"/>
      <c r="E22" s="2016"/>
      <c r="F22" s="2016"/>
      <c r="G22" s="2016"/>
      <c r="H22" s="2016"/>
      <c r="I22" s="2016"/>
      <c r="J22" s="2016"/>
      <c r="K22" s="2016"/>
      <c r="L22" s="2016"/>
      <c r="M22" s="2016"/>
      <c r="N22" s="2017"/>
    </row>
    <row r="23" spans="2:17" s="1996" customFormat="1" ht="16.5" thickBot="1">
      <c r="B23" s="2018" t="s">
        <v>1302</v>
      </c>
      <c r="C23" s="2019">
        <f>+N15*C21</f>
        <v>142.79943794626047</v>
      </c>
      <c r="D23" s="2019">
        <f t="shared" ref="D23:N23" si="3">+C23*D21</f>
        <v>150.8545132537395</v>
      </c>
      <c r="E23" s="2019">
        <f t="shared" si="3"/>
        <v>152.32899184745162</v>
      </c>
      <c r="F23" s="2019">
        <f t="shared" si="3"/>
        <v>154.09654671799154</v>
      </c>
      <c r="G23" s="2019">
        <f t="shared" si="3"/>
        <v>163.5299379888616</v>
      </c>
      <c r="H23" s="2019">
        <f t="shared" si="3"/>
        <v>164.64666994314319</v>
      </c>
      <c r="I23" s="2019">
        <f t="shared" si="3"/>
        <v>172.08713102616423</v>
      </c>
      <c r="J23" s="2019">
        <f t="shared" si="3"/>
        <v>173.3408085271532</v>
      </c>
      <c r="K23" s="2019">
        <f t="shared" si="3"/>
        <v>180.21579668563689</v>
      </c>
      <c r="L23" s="2019">
        <f t="shared" si="3"/>
        <v>184.25979729502134</v>
      </c>
      <c r="M23" s="2019">
        <f t="shared" si="3"/>
        <v>192.83703164105646</v>
      </c>
      <c r="N23" s="2022">
        <f t="shared" si="3"/>
        <v>206.56687079221925</v>
      </c>
    </row>
    <row r="24" spans="2:17" ht="13.5" thickBot="1"/>
    <row r="25" spans="2:17" s="1996" customFormat="1" ht="15.75">
      <c r="B25" s="2579" t="s">
        <v>1299</v>
      </c>
      <c r="C25" s="2581">
        <v>2022</v>
      </c>
      <c r="D25" s="2582"/>
      <c r="E25" s="2582"/>
      <c r="F25" s="2582"/>
      <c r="G25" s="2582"/>
      <c r="H25" s="2582"/>
      <c r="I25" s="2582"/>
      <c r="J25" s="2582"/>
      <c r="K25" s="2582"/>
      <c r="L25" s="2582"/>
      <c r="M25" s="2583"/>
      <c r="N25" s="2584"/>
    </row>
    <row r="26" spans="2:17" s="1996" customFormat="1" ht="16.5" thickBot="1">
      <c r="B26" s="2580"/>
      <c r="C26" s="2004" t="s">
        <v>578</v>
      </c>
      <c r="D26" s="2004" t="s">
        <v>579</v>
      </c>
      <c r="E26" s="2004" t="s">
        <v>580</v>
      </c>
      <c r="F26" s="2004" t="s">
        <v>581</v>
      </c>
      <c r="G26" s="2004" t="s">
        <v>582</v>
      </c>
      <c r="H26" s="2004" t="s">
        <v>583</v>
      </c>
      <c r="I26" s="2004" t="s">
        <v>587</v>
      </c>
      <c r="J26" s="2004" t="s">
        <v>588</v>
      </c>
      <c r="K26" s="2004" t="s">
        <v>589</v>
      </c>
      <c r="L26" s="2004" t="s">
        <v>590</v>
      </c>
      <c r="M26" s="2004" t="s">
        <v>586</v>
      </c>
      <c r="N26" s="2005" t="s">
        <v>577</v>
      </c>
    </row>
    <row r="27" spans="2:17" s="1996" customFormat="1" ht="15.75">
      <c r="B27" s="2006" t="s">
        <v>1300</v>
      </c>
      <c r="C27" s="2007">
        <v>1172.0731464917503</v>
      </c>
      <c r="D27" s="2007">
        <v>1180.6400318028218</v>
      </c>
      <c r="E27" s="2007">
        <v>1225.0049691910149</v>
      </c>
      <c r="F27" s="2007">
        <v>1236.513615583382</v>
      </c>
      <c r="G27" s="2007">
        <v>1295.4000000000001</v>
      </c>
      <c r="H27" s="2007">
        <v>1436.3</v>
      </c>
      <c r="I27" s="2007">
        <v>1695</v>
      </c>
      <c r="J27" s="2007">
        <v>1787.8</v>
      </c>
      <c r="K27" s="2007">
        <v>1940.9</v>
      </c>
      <c r="L27" s="2007">
        <v>2157.8000000000002</v>
      </c>
      <c r="M27" s="2007">
        <v>2277.5790101371481</v>
      </c>
      <c r="N27" s="2008">
        <v>2277.6</v>
      </c>
    </row>
    <row r="28" spans="2:17" s="1996" customFormat="1" ht="31.5">
      <c r="B28" s="2009" t="s">
        <v>1301</v>
      </c>
      <c r="C28" s="2010">
        <v>953.26141495233276</v>
      </c>
      <c r="D28" s="2010">
        <v>956.72353236327103</v>
      </c>
      <c r="E28" s="2010">
        <v>1021.1490215755139</v>
      </c>
      <c r="F28" s="2010">
        <v>1025.5644756648264</v>
      </c>
      <c r="G28" s="2010">
        <v>1071.5</v>
      </c>
      <c r="H28" s="2010">
        <v>1130.2</v>
      </c>
      <c r="I28" s="2010">
        <v>1219.4000000000001</v>
      </c>
      <c r="J28" s="2010">
        <v>1291.0999999999999</v>
      </c>
      <c r="K28" s="2010">
        <v>1381</v>
      </c>
      <c r="L28" s="2010">
        <v>1473.6</v>
      </c>
      <c r="M28" s="2010">
        <v>1532.0120421475156</v>
      </c>
      <c r="N28" s="2011">
        <v>1640.9</v>
      </c>
    </row>
    <row r="29" spans="2:17" s="1996" customFormat="1" ht="15.75">
      <c r="B29" s="2012" t="s">
        <v>996</v>
      </c>
      <c r="C29" s="2013">
        <f>(+C27/N19+C28/N20)/2</f>
        <v>1.0546462169214106</v>
      </c>
      <c r="D29" s="2013">
        <f t="shared" ref="D29:N29" si="4">(+D27/C27+D28/C28)/2</f>
        <v>1.0054705193004181</v>
      </c>
      <c r="E29" s="2013">
        <f t="shared" si="4"/>
        <v>1.052458368484356</v>
      </c>
      <c r="F29" s="2013">
        <f t="shared" si="4"/>
        <v>1.0068593904366678</v>
      </c>
      <c r="G29" s="2013">
        <f t="shared" si="4"/>
        <v>1.0462066977587225</v>
      </c>
      <c r="H29" s="2013">
        <f t="shared" si="4"/>
        <v>1.081776253257245</v>
      </c>
      <c r="I29" s="2013">
        <f t="shared" si="4"/>
        <v>1.1295198294867661</v>
      </c>
      <c r="J29" s="2013">
        <f t="shared" si="4"/>
        <v>1.0567743360412756</v>
      </c>
      <c r="K29" s="2013">
        <f t="shared" si="4"/>
        <v>1.0776332623868647</v>
      </c>
      <c r="L29" s="2013">
        <f t="shared" si="4"/>
        <v>1.0894025700581809</v>
      </c>
      <c r="M29" s="2013">
        <f t="shared" si="4"/>
        <v>1.0475743955739862</v>
      </c>
      <c r="N29" s="2013">
        <f t="shared" si="4"/>
        <v>1.0355421738452679</v>
      </c>
      <c r="Q29" s="1996">
        <v>161</v>
      </c>
    </row>
    <row r="30" spans="2:17" s="1996" customFormat="1" ht="16.5" thickBot="1">
      <c r="B30" s="2015"/>
      <c r="C30" s="2016"/>
      <c r="D30" s="2016"/>
      <c r="E30" s="2016"/>
      <c r="F30" s="2016"/>
      <c r="G30" s="2016"/>
      <c r="H30" s="2016"/>
      <c r="I30" s="2016"/>
      <c r="J30" s="2016"/>
      <c r="K30" s="2016"/>
      <c r="L30" s="2016"/>
      <c r="M30" s="2016"/>
      <c r="N30" s="2016"/>
    </row>
    <row r="31" spans="2:17" s="1996" customFormat="1" ht="16.5" thickBot="1">
      <c r="B31" s="2018" t="s">
        <v>1302</v>
      </c>
      <c r="C31" s="2019">
        <f>+N23*C29</f>
        <v>217.85496882230785</v>
      </c>
      <c r="D31" s="2019">
        <f t="shared" ref="D31:N31" si="5">+C31*D29</f>
        <v>219.04674863394226</v>
      </c>
      <c r="E31" s="2019">
        <f t="shared" si="5"/>
        <v>230.53758368908171</v>
      </c>
      <c r="F31" s="2019">
        <f t="shared" si="5"/>
        <v>232.11893098593112</v>
      </c>
      <c r="G31" s="2019">
        <f t="shared" si="5"/>
        <v>242.8443802740758</v>
      </c>
      <c r="H31" s="2019">
        <f t="shared" si="5"/>
        <v>262.70328381746737</v>
      </c>
      <c r="I31" s="2019">
        <f t="shared" si="5"/>
        <v>296.72856834311926</v>
      </c>
      <c r="J31" s="2019">
        <f t="shared" si="5"/>
        <v>313.57513579527813</v>
      </c>
      <c r="K31" s="2019">
        <f t="shared" si="5"/>
        <v>337.9189965904697</v>
      </c>
      <c r="L31" s="2019">
        <f t="shared" si="5"/>
        <v>368.12982335713934</v>
      </c>
      <c r="M31" s="2019">
        <f t="shared" si="5"/>
        <v>385.64337719611359</v>
      </c>
      <c r="N31" s="2019">
        <f t="shared" si="5"/>
        <v>399.34998115069408</v>
      </c>
    </row>
    <row r="32" spans="2:17" ht="13.5" thickBot="1"/>
    <row r="33" spans="2:17" s="1996" customFormat="1" ht="15.75">
      <c r="B33" s="2579" t="s">
        <v>1299</v>
      </c>
      <c r="C33" s="2581">
        <v>2023</v>
      </c>
      <c r="D33" s="2582"/>
      <c r="E33" s="2582"/>
      <c r="F33" s="2582"/>
      <c r="G33" s="2582"/>
      <c r="H33" s="2582"/>
      <c r="I33" s="2582"/>
      <c r="J33" s="2582"/>
      <c r="K33" s="2582"/>
      <c r="L33" s="2582"/>
      <c r="M33" s="2583"/>
      <c r="N33" s="2584"/>
    </row>
    <row r="34" spans="2:17" s="1996" customFormat="1" ht="16.5" thickBot="1">
      <c r="B34" s="2580"/>
      <c r="C34" s="2004" t="s">
        <v>578</v>
      </c>
      <c r="D34" s="2004" t="s">
        <v>579</v>
      </c>
      <c r="E34" s="2004" t="s">
        <v>580</v>
      </c>
      <c r="F34" s="2004" t="s">
        <v>581</v>
      </c>
      <c r="G34" s="2004" t="s">
        <v>582</v>
      </c>
      <c r="H34" s="2004" t="s">
        <v>583</v>
      </c>
      <c r="I34" s="2004" t="s">
        <v>587</v>
      </c>
      <c r="J34" s="2004" t="s">
        <v>588</v>
      </c>
      <c r="K34" s="2004" t="s">
        <v>589</v>
      </c>
      <c r="L34" s="2004" t="s">
        <v>590</v>
      </c>
      <c r="M34" s="2004" t="s">
        <v>586</v>
      </c>
      <c r="N34" s="2005" t="s">
        <v>577</v>
      </c>
    </row>
    <row r="35" spans="2:17" s="1996" customFormat="1" ht="15.75">
      <c r="B35" s="2006" t="s">
        <v>1300</v>
      </c>
      <c r="C35" s="2007">
        <v>2370</v>
      </c>
      <c r="D35" s="2007">
        <v>2444</v>
      </c>
      <c r="E35" s="2007"/>
      <c r="F35" s="2007"/>
      <c r="G35" s="2007"/>
      <c r="H35" s="2007"/>
      <c r="I35" s="2007"/>
      <c r="J35" s="2007"/>
      <c r="K35" s="2007"/>
      <c r="L35" s="2007"/>
      <c r="M35" s="2007"/>
      <c r="N35" s="2008"/>
    </row>
    <row r="36" spans="2:17" s="1996" customFormat="1" ht="31.5">
      <c r="B36" s="2009" t="s">
        <v>1301</v>
      </c>
      <c r="C36" s="2010">
        <v>1664.2</v>
      </c>
      <c r="D36" s="2010">
        <v>1737.1</v>
      </c>
      <c r="E36" s="2010"/>
      <c r="F36" s="2010"/>
      <c r="G36" s="2010"/>
      <c r="H36" s="2010"/>
      <c r="I36" s="2010"/>
      <c r="J36" s="2010"/>
      <c r="K36" s="2010"/>
      <c r="L36" s="2010"/>
      <c r="M36" s="2010"/>
      <c r="N36" s="2011"/>
    </row>
    <row r="37" spans="2:17" s="1996" customFormat="1" ht="15.75">
      <c r="B37" s="2012" t="s">
        <v>996</v>
      </c>
      <c r="C37" s="2013">
        <f>(+C35/N27+C36/N28)/2</f>
        <v>1.0273842723360904</v>
      </c>
      <c r="D37" s="2013">
        <f t="shared" ref="D37" si="6">(+D35/C35+D36/C36)/2</f>
        <v>1.0375142299210425</v>
      </c>
      <c r="E37" s="2013"/>
      <c r="F37" s="2013"/>
      <c r="G37" s="2013"/>
      <c r="H37" s="2013"/>
      <c r="I37" s="2013"/>
      <c r="J37" s="2013"/>
      <c r="K37" s="2013"/>
      <c r="L37" s="2013"/>
      <c r="M37" s="2013"/>
      <c r="N37" s="2013"/>
      <c r="Q37" s="1996">
        <v>161</v>
      </c>
    </row>
    <row r="38" spans="2:17" s="1996" customFormat="1" ht="16.5" thickBot="1">
      <c r="B38" s="2015"/>
      <c r="C38" s="2016"/>
      <c r="D38" s="2016"/>
      <c r="E38" s="2016"/>
      <c r="F38" s="2016"/>
      <c r="G38" s="2016"/>
      <c r="H38" s="2016"/>
      <c r="I38" s="2016"/>
      <c r="J38" s="2016"/>
      <c r="K38" s="2016"/>
      <c r="L38" s="2016"/>
      <c r="M38" s="2016"/>
      <c r="N38" s="2016"/>
    </row>
    <row r="39" spans="2:17" s="1996" customFormat="1" ht="16.5" thickBot="1">
      <c r="B39" s="2018" t="s">
        <v>1302</v>
      </c>
      <c r="C39" s="2019">
        <f>+N31*C37</f>
        <v>410.28588979193728</v>
      </c>
      <c r="D39" s="2019">
        <f t="shared" ref="D39" si="7">+C39*D37</f>
        <v>425.67744899495153</v>
      </c>
      <c r="E39" s="2019">
        <f t="shared" ref="E39" si="8">+D39*E37</f>
        <v>0</v>
      </c>
      <c r="F39" s="2019">
        <f t="shared" ref="F39" si="9">+E39*F37</f>
        <v>0</v>
      </c>
      <c r="G39" s="2019">
        <f t="shared" ref="G39" si="10">+F39*G37</f>
        <v>0</v>
      </c>
      <c r="H39" s="2019">
        <f t="shared" ref="H39" si="11">+G39*H37</f>
        <v>0</v>
      </c>
      <c r="I39" s="2019">
        <f t="shared" ref="I39" si="12">+H39*I37</f>
        <v>0</v>
      </c>
      <c r="J39" s="2019">
        <f t="shared" ref="J39" si="13">+I39*J37</f>
        <v>0</v>
      </c>
      <c r="K39" s="2019">
        <f t="shared" ref="K39" si="14">+J39*K37</f>
        <v>0</v>
      </c>
      <c r="L39" s="2019">
        <f t="shared" ref="L39" si="15">+K39*L37</f>
        <v>0</v>
      </c>
      <c r="M39" s="2019">
        <f t="shared" ref="M39" si="16">+L39*M37</f>
        <v>0</v>
      </c>
      <c r="N39" s="2019">
        <f t="shared" ref="N39" si="17">+M39*N37</f>
        <v>0</v>
      </c>
    </row>
  </sheetData>
  <mergeCells count="13">
    <mergeCell ref="S4:V4"/>
    <mergeCell ref="S5:U5"/>
    <mergeCell ref="B9:B10"/>
    <mergeCell ref="C9:N9"/>
    <mergeCell ref="B17:B18"/>
    <mergeCell ref="C17:N17"/>
    <mergeCell ref="B33:B34"/>
    <mergeCell ref="C33:N33"/>
    <mergeCell ref="B25:B26"/>
    <mergeCell ref="C25:N25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60"/>
  </sheetPr>
  <dimension ref="B1:DC30"/>
  <sheetViews>
    <sheetView showGridLines="0" view="pageBreakPreview" zoomScale="75" zoomScaleNormal="75" zoomScaleSheetLayoutView="75" workbookViewId="0">
      <selection activeCell="I44" sqref="I44"/>
    </sheetView>
  </sheetViews>
  <sheetFormatPr baseColWidth="10" defaultRowHeight="15.75"/>
  <cols>
    <col min="1" max="1" width="4.5703125" customWidth="1"/>
    <col min="2" max="2" width="7" style="143" customWidth="1"/>
    <col min="3" max="3" width="8.7109375" style="143" customWidth="1"/>
    <col min="4" max="4" width="48.28515625" style="143" customWidth="1"/>
    <col min="5" max="5" width="7.42578125" style="143" customWidth="1"/>
    <col min="6" max="6" width="16.7109375" style="143" customWidth="1"/>
    <col min="7" max="7" width="10.42578125" style="143" customWidth="1"/>
    <col min="8" max="8" width="4.5703125" style="143" customWidth="1"/>
    <col min="9" max="9" width="25.5703125" style="143" customWidth="1"/>
    <col min="10" max="10" width="11" style="143" customWidth="1"/>
    <col min="11" max="11" width="8.28515625" style="143" customWidth="1"/>
    <col min="12" max="70" width="0" style="143" hidden="1" customWidth="1"/>
    <col min="71" max="71" width="8.7109375" style="132" hidden="1" customWidth="1"/>
    <col min="72" max="72" width="9.28515625" style="143" hidden="1" customWidth="1"/>
    <col min="73" max="74" width="8.7109375" style="143" hidden="1" customWidth="1"/>
    <col min="75" max="75" width="8" style="143" hidden="1" customWidth="1"/>
    <col min="76" max="76" width="9.42578125" style="143" hidden="1" customWidth="1"/>
    <col min="77" max="77" width="9" style="143" hidden="1" customWidth="1"/>
    <col min="78" max="78" width="9.5703125" style="144" hidden="1" customWidth="1"/>
    <col min="79" max="79" width="9.5703125" style="143" hidden="1" customWidth="1"/>
    <col min="80" max="80" width="0" style="143" hidden="1" customWidth="1"/>
    <col min="81" max="81" width="10.85546875" style="144" hidden="1" customWidth="1"/>
    <col min="82" max="83" width="0" style="143" hidden="1" customWidth="1"/>
    <col min="84" max="93" width="9.28515625" style="143" hidden="1" customWidth="1"/>
    <col min="94" max="94" width="9.28515625" style="143" customWidth="1"/>
    <col min="95" max="95" width="9.28515625" style="650" customWidth="1"/>
    <col min="96" max="96" width="8.85546875" style="143" customWidth="1"/>
    <col min="97" max="97" width="9.28515625" style="143" customWidth="1"/>
    <col min="98" max="98" width="9.140625" style="143" customWidth="1"/>
    <col min="99" max="99" width="9.28515625" style="143" customWidth="1"/>
    <col min="100" max="100" width="8.5703125" style="143" customWidth="1"/>
    <col min="101" max="101" width="8.7109375" style="143" customWidth="1"/>
    <col min="102" max="104" width="9.28515625" customWidth="1"/>
  </cols>
  <sheetData>
    <row r="1" spans="2:107">
      <c r="B1" s="132" t="s">
        <v>591</v>
      </c>
      <c r="G1" s="363" t="s">
        <v>592</v>
      </c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</row>
    <row r="2" spans="2:107">
      <c r="B2" s="132" t="s">
        <v>593</v>
      </c>
      <c r="F2" s="363" t="s">
        <v>594</v>
      </c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</row>
    <row r="3" spans="2:107">
      <c r="B3" s="132"/>
    </row>
    <row r="4" spans="2:107">
      <c r="B4" s="132"/>
      <c r="D4" s="2690" t="s">
        <v>474</v>
      </c>
      <c r="E4" s="2690"/>
      <c r="F4" s="2690"/>
      <c r="G4" s="2690"/>
      <c r="H4" s="2690"/>
      <c r="I4" s="2690"/>
      <c r="J4" s="2690"/>
      <c r="K4" s="2690"/>
      <c r="L4" s="2690"/>
      <c r="M4" s="2690"/>
      <c r="N4" s="2690"/>
      <c r="O4" s="2690"/>
      <c r="P4" s="2690"/>
      <c r="Q4" s="2690"/>
      <c r="R4" s="2690"/>
      <c r="S4" s="2690"/>
      <c r="T4" s="2690"/>
      <c r="U4" s="2690"/>
      <c r="V4" s="2690"/>
      <c r="W4" s="2690"/>
      <c r="X4" s="2690"/>
      <c r="Y4" s="2690"/>
      <c r="Z4" s="2690"/>
      <c r="AA4" s="2690"/>
      <c r="AB4" s="2690"/>
      <c r="AC4" s="2690"/>
      <c r="AD4" s="2690"/>
      <c r="AE4" s="2690"/>
      <c r="AF4" s="2690"/>
      <c r="AG4" s="2690"/>
      <c r="AH4" s="2690"/>
      <c r="AI4" s="2690"/>
      <c r="AJ4" s="2690"/>
      <c r="AK4" s="2690"/>
      <c r="AL4" s="2690"/>
      <c r="AM4" s="2690"/>
      <c r="AN4" s="2690"/>
      <c r="AO4" s="2690"/>
      <c r="AP4" s="2690"/>
      <c r="AQ4" s="2690"/>
      <c r="AR4" s="2690"/>
      <c r="AS4" s="2690"/>
      <c r="AT4" s="2690"/>
      <c r="AU4" s="2690"/>
      <c r="AV4" s="2690"/>
      <c r="AW4" s="2690"/>
      <c r="AX4" s="2690"/>
      <c r="AY4" s="2690"/>
      <c r="AZ4" s="2690"/>
      <c r="BA4" s="2690"/>
      <c r="BB4" s="2690"/>
      <c r="BC4" s="2690"/>
      <c r="BD4" s="2690"/>
      <c r="BE4" s="2690"/>
      <c r="BF4" s="2690"/>
      <c r="BG4" s="2690"/>
      <c r="BH4" s="2690"/>
      <c r="BI4" s="2690"/>
      <c r="BJ4" s="2690"/>
      <c r="BK4" s="2690"/>
      <c r="BL4" s="2690"/>
      <c r="BM4" s="2690"/>
      <c r="BN4" s="2690"/>
      <c r="BO4" s="2690"/>
      <c r="BP4" s="2690"/>
      <c r="BQ4" s="2690"/>
      <c r="BR4" s="2690"/>
      <c r="BS4" s="2690"/>
    </row>
    <row r="5" spans="2:107" s="64" customFormat="1" ht="14.25" customHeight="1">
      <c r="B5" s="13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32"/>
      <c r="BT5" s="143"/>
      <c r="BU5" s="143"/>
      <c r="BV5" s="143"/>
      <c r="BW5" s="143"/>
      <c r="BX5" s="143"/>
      <c r="BY5" s="143"/>
      <c r="BZ5" s="144"/>
      <c r="CA5" s="143"/>
      <c r="CB5" s="143"/>
      <c r="CC5" s="144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650"/>
      <c r="CR5" s="143"/>
      <c r="CS5" s="143"/>
      <c r="CT5" s="143"/>
      <c r="CU5" s="143"/>
      <c r="CV5" s="143"/>
      <c r="CW5" s="143"/>
    </row>
    <row r="6" spans="2:107" s="99" customFormat="1">
      <c r="B6" s="132"/>
      <c r="C6" s="143"/>
      <c r="D6" s="3" t="s">
        <v>532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32"/>
      <c r="BT6" s="143"/>
      <c r="BU6" s="143"/>
      <c r="BV6" s="143"/>
      <c r="BW6" s="581"/>
      <c r="BX6" s="581"/>
      <c r="BY6" s="143"/>
      <c r="BZ6" s="144"/>
      <c r="CA6" s="143"/>
      <c r="CB6" s="143"/>
      <c r="CC6" s="144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650"/>
      <c r="CR6" s="143"/>
      <c r="CS6" s="143"/>
      <c r="CT6" s="143"/>
      <c r="CU6" s="143"/>
      <c r="CV6" s="143"/>
      <c r="CW6" s="143"/>
    </row>
    <row r="7" spans="2:107" s="99" customFormat="1" ht="16.5" thickBot="1">
      <c r="B7" s="582"/>
      <c r="C7" s="582"/>
      <c r="D7" s="582"/>
      <c r="E7" s="582"/>
      <c r="F7" s="582"/>
      <c r="G7" s="582"/>
      <c r="H7" s="583"/>
      <c r="I7" s="584"/>
      <c r="J7" s="584"/>
      <c r="K7" s="585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7"/>
      <c r="AL7" s="587"/>
      <c r="AM7" s="587"/>
      <c r="AN7" s="587"/>
      <c r="AO7" s="587"/>
      <c r="AP7" s="587"/>
      <c r="AQ7" s="587"/>
      <c r="AR7" s="586"/>
      <c r="AS7" s="586"/>
      <c r="AT7" s="586"/>
      <c r="AU7" s="586"/>
      <c r="AV7" s="586"/>
      <c r="AW7" s="586"/>
      <c r="AX7" s="586"/>
      <c r="AY7" s="588"/>
      <c r="AZ7" s="588"/>
      <c r="BA7" s="588"/>
      <c r="BB7" s="588"/>
      <c r="BC7" s="588"/>
      <c r="BD7" s="588"/>
      <c r="BE7" s="588"/>
      <c r="BF7" s="588"/>
      <c r="BG7" s="588"/>
      <c r="BH7" s="588"/>
      <c r="BI7" s="588"/>
      <c r="BJ7" s="588"/>
      <c r="BK7" s="588"/>
      <c r="BL7" s="588"/>
      <c r="BM7" s="588"/>
      <c r="BN7" s="588"/>
      <c r="BO7" s="588"/>
      <c r="BP7" s="588"/>
      <c r="BQ7" s="588"/>
      <c r="BR7" s="588"/>
      <c r="BS7" s="588"/>
      <c r="BT7" s="589"/>
      <c r="BU7" s="589"/>
      <c r="BV7" s="589"/>
      <c r="BW7" s="589"/>
      <c r="BX7" s="590"/>
      <c r="BY7" s="143"/>
      <c r="BZ7" s="144"/>
      <c r="CA7" s="143"/>
      <c r="CB7" s="143"/>
      <c r="CC7" s="144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650"/>
      <c r="CR7" s="143"/>
      <c r="CS7" s="143"/>
      <c r="CT7" s="143"/>
      <c r="CU7" s="143"/>
      <c r="CV7" s="143"/>
      <c r="CW7" s="143"/>
    </row>
    <row r="8" spans="2:107" s="99" customFormat="1" ht="18" customHeight="1" thickBot="1">
      <c r="B8" s="2949" t="s">
        <v>479</v>
      </c>
      <c r="C8" s="2950"/>
      <c r="D8" s="2942" t="s">
        <v>894</v>
      </c>
      <c r="E8" s="2942" t="s">
        <v>895</v>
      </c>
      <c r="F8" s="2942" t="s">
        <v>522</v>
      </c>
      <c r="G8" s="2942" t="s">
        <v>896</v>
      </c>
      <c r="H8" s="2944" t="s">
        <v>897</v>
      </c>
      <c r="I8" s="2902" t="s">
        <v>898</v>
      </c>
      <c r="J8" s="2957" t="s">
        <v>533</v>
      </c>
      <c r="K8" s="682">
        <v>2001</v>
      </c>
      <c r="L8" s="2976">
        <v>2002</v>
      </c>
      <c r="M8" s="2973"/>
      <c r="N8" s="2973"/>
      <c r="O8" s="2973"/>
      <c r="P8" s="2973"/>
      <c r="Q8" s="2973"/>
      <c r="R8" s="2973"/>
      <c r="S8" s="2973"/>
      <c r="T8" s="2973"/>
      <c r="U8" s="2973"/>
      <c r="V8" s="2973"/>
      <c r="W8" s="2973"/>
      <c r="X8" s="2944">
        <v>2003</v>
      </c>
      <c r="Y8" s="2944"/>
      <c r="Z8" s="2944"/>
      <c r="AA8" s="2944"/>
      <c r="AB8" s="2944"/>
      <c r="AC8" s="2944"/>
      <c r="AD8" s="2944"/>
      <c r="AE8" s="2944"/>
      <c r="AF8" s="2944"/>
      <c r="AG8" s="2944"/>
      <c r="AH8" s="2977"/>
      <c r="AI8" s="2977"/>
      <c r="AJ8" s="591"/>
      <c r="AK8" s="591"/>
      <c r="AL8" s="591"/>
      <c r="AM8" s="591"/>
      <c r="AN8" s="591"/>
      <c r="AO8" s="2944">
        <v>2004</v>
      </c>
      <c r="AP8" s="2944"/>
      <c r="AQ8" s="2944"/>
      <c r="AR8" s="2944"/>
      <c r="AS8" s="2944"/>
      <c r="AT8" s="2944"/>
      <c r="AU8" s="2944"/>
      <c r="AV8" s="2944">
        <v>2005</v>
      </c>
      <c r="AW8" s="2944"/>
      <c r="AX8" s="2944"/>
      <c r="AY8" s="2944"/>
      <c r="AZ8" s="2944"/>
      <c r="BA8" s="2944"/>
      <c r="BB8" s="2944"/>
      <c r="BC8" s="2944"/>
      <c r="BD8" s="2944"/>
      <c r="BE8" s="2944"/>
      <c r="BF8" s="2944"/>
      <c r="BG8" s="2971"/>
      <c r="BH8" s="2972">
        <v>2006</v>
      </c>
      <c r="BI8" s="2973"/>
      <c r="BJ8" s="2973"/>
      <c r="BK8" s="2973"/>
      <c r="BL8" s="2973"/>
      <c r="BM8" s="2973"/>
      <c r="BN8" s="2973"/>
      <c r="BO8" s="2973"/>
      <c r="BP8" s="2973"/>
      <c r="BQ8" s="2973"/>
      <c r="BR8" s="2973"/>
      <c r="BS8" s="2974"/>
      <c r="BT8" s="2966">
        <v>2007</v>
      </c>
      <c r="BU8" s="2967"/>
      <c r="BV8" s="2967"/>
      <c r="BW8" s="2967"/>
      <c r="BX8" s="2967"/>
      <c r="BY8" s="2967"/>
      <c r="BZ8" s="2967"/>
      <c r="CA8" s="2967"/>
      <c r="CB8" s="2967"/>
      <c r="CC8" s="2967"/>
      <c r="CD8" s="2967"/>
      <c r="CE8" s="2968"/>
      <c r="CF8" s="2969">
        <v>2008</v>
      </c>
      <c r="CG8" s="2970"/>
      <c r="CH8" s="2970"/>
      <c r="CI8" s="2970"/>
      <c r="CJ8" s="2970"/>
      <c r="CK8" s="2970"/>
      <c r="CL8" s="2970"/>
      <c r="CM8" s="2970"/>
      <c r="CN8" s="2970"/>
      <c r="CO8" s="2970"/>
      <c r="CP8" s="2970"/>
      <c r="CQ8" s="2970"/>
      <c r="CR8" s="2960">
        <v>2009</v>
      </c>
      <c r="CS8" s="2961"/>
      <c r="CT8" s="2961"/>
      <c r="CU8" s="2961"/>
      <c r="CV8" s="2961"/>
      <c r="CW8" s="2961"/>
      <c r="CX8" s="2961"/>
      <c r="CY8" s="2961"/>
      <c r="CZ8" s="2961"/>
      <c r="DA8" s="2961"/>
      <c r="DB8" s="2961"/>
      <c r="DC8" s="2962"/>
    </row>
    <row r="9" spans="2:107" s="99" customFormat="1" ht="18" customHeight="1">
      <c r="B9" s="592" t="s">
        <v>900</v>
      </c>
      <c r="C9" s="593" t="s">
        <v>901</v>
      </c>
      <c r="D9" s="2963"/>
      <c r="E9" s="2963"/>
      <c r="F9" s="2963"/>
      <c r="G9" s="2963"/>
      <c r="H9" s="2964"/>
      <c r="I9" s="2965"/>
      <c r="J9" s="2975"/>
      <c r="K9" s="382" t="s">
        <v>611</v>
      </c>
      <c r="L9" s="680" t="s">
        <v>578</v>
      </c>
      <c r="M9" s="594" t="s">
        <v>579</v>
      </c>
      <c r="N9" s="594" t="s">
        <v>580</v>
      </c>
      <c r="O9" s="594" t="s">
        <v>581</v>
      </c>
      <c r="P9" s="594" t="s">
        <v>582</v>
      </c>
      <c r="Q9" s="594" t="s">
        <v>583</v>
      </c>
      <c r="R9" s="594" t="s">
        <v>587</v>
      </c>
      <c r="S9" s="594" t="s">
        <v>588</v>
      </c>
      <c r="T9" s="594" t="s">
        <v>589</v>
      </c>
      <c r="U9" s="594" t="s">
        <v>590</v>
      </c>
      <c r="V9" s="594" t="s">
        <v>586</v>
      </c>
      <c r="W9" s="594" t="s">
        <v>577</v>
      </c>
      <c r="X9" s="595" t="s">
        <v>578</v>
      </c>
      <c r="Y9" s="595" t="s">
        <v>579</v>
      </c>
      <c r="Z9" s="595" t="s">
        <v>580</v>
      </c>
      <c r="AA9" s="595" t="s">
        <v>581</v>
      </c>
      <c r="AB9" s="595" t="s">
        <v>582</v>
      </c>
      <c r="AC9" s="595" t="s">
        <v>583</v>
      </c>
      <c r="AD9" s="595" t="s">
        <v>587</v>
      </c>
      <c r="AE9" s="595" t="s">
        <v>588</v>
      </c>
      <c r="AF9" s="595" t="s">
        <v>589</v>
      </c>
      <c r="AG9" s="595" t="s">
        <v>590</v>
      </c>
      <c r="AH9" s="595" t="s">
        <v>586</v>
      </c>
      <c r="AI9" s="596" t="s">
        <v>577</v>
      </c>
      <c r="AJ9" s="595" t="s">
        <v>578</v>
      </c>
      <c r="AK9" s="595" t="s">
        <v>579</v>
      </c>
      <c r="AL9" s="595" t="s">
        <v>580</v>
      </c>
      <c r="AM9" s="595" t="s">
        <v>581</v>
      </c>
      <c r="AN9" s="595" t="s">
        <v>582</v>
      </c>
      <c r="AO9" s="595" t="s">
        <v>902</v>
      </c>
      <c r="AP9" s="596" t="s">
        <v>903</v>
      </c>
      <c r="AQ9" s="596" t="s">
        <v>904</v>
      </c>
      <c r="AR9" s="595" t="s">
        <v>589</v>
      </c>
      <c r="AS9" s="595" t="s">
        <v>590</v>
      </c>
      <c r="AT9" s="595" t="s">
        <v>586</v>
      </c>
      <c r="AU9" s="595" t="s">
        <v>577</v>
      </c>
      <c r="AV9" s="595" t="s">
        <v>578</v>
      </c>
      <c r="AW9" s="595" t="s">
        <v>579</v>
      </c>
      <c r="AX9" s="596" t="s">
        <v>580</v>
      </c>
      <c r="AY9" s="596" t="s">
        <v>581</v>
      </c>
      <c r="AZ9" s="596" t="s">
        <v>582</v>
      </c>
      <c r="BA9" s="595" t="s">
        <v>902</v>
      </c>
      <c r="BB9" s="595" t="s">
        <v>903</v>
      </c>
      <c r="BC9" s="596" t="s">
        <v>904</v>
      </c>
      <c r="BD9" s="596" t="s">
        <v>891</v>
      </c>
      <c r="BE9" s="596" t="s">
        <v>609</v>
      </c>
      <c r="BF9" s="596" t="s">
        <v>586</v>
      </c>
      <c r="BG9" s="654" t="s">
        <v>577</v>
      </c>
      <c r="BH9" s="657" t="s">
        <v>469</v>
      </c>
      <c r="BI9" s="596" t="s">
        <v>498</v>
      </c>
      <c r="BJ9" s="596" t="s">
        <v>465</v>
      </c>
      <c r="BK9" s="596" t="s">
        <v>466</v>
      </c>
      <c r="BL9" s="596" t="s">
        <v>467</v>
      </c>
      <c r="BM9" s="596" t="s">
        <v>902</v>
      </c>
      <c r="BN9" s="596" t="s">
        <v>903</v>
      </c>
      <c r="BO9" s="596" t="s">
        <v>904</v>
      </c>
      <c r="BP9" s="596" t="s">
        <v>891</v>
      </c>
      <c r="BQ9" s="596" t="s">
        <v>609</v>
      </c>
      <c r="BR9" s="596" t="s">
        <v>586</v>
      </c>
      <c r="BS9" s="597" t="s">
        <v>611</v>
      </c>
      <c r="BT9" s="598" t="s">
        <v>511</v>
      </c>
      <c r="BU9" s="599" t="s">
        <v>513</v>
      </c>
      <c r="BV9" s="599" t="s">
        <v>139</v>
      </c>
      <c r="BW9" s="599" t="s">
        <v>514</v>
      </c>
      <c r="BX9" s="599" t="s">
        <v>534</v>
      </c>
      <c r="BY9" s="599" t="s">
        <v>503</v>
      </c>
      <c r="BZ9" s="600" t="s">
        <v>457</v>
      </c>
      <c r="CA9" s="600" t="s">
        <v>392</v>
      </c>
      <c r="CB9" s="600" t="s">
        <v>356</v>
      </c>
      <c r="CC9" s="600" t="s">
        <v>609</v>
      </c>
      <c r="CD9" s="601" t="s">
        <v>610</v>
      </c>
      <c r="CE9" s="602" t="s">
        <v>611</v>
      </c>
      <c r="CF9" s="603" t="s">
        <v>511</v>
      </c>
      <c r="CG9" s="600" t="s">
        <v>513</v>
      </c>
      <c r="CH9" s="600" t="s">
        <v>139</v>
      </c>
      <c r="CI9" s="600" t="s">
        <v>514</v>
      </c>
      <c r="CJ9" s="604" t="s">
        <v>534</v>
      </c>
      <c r="CK9" s="604" t="s">
        <v>503</v>
      </c>
      <c r="CL9" s="604" t="s">
        <v>457</v>
      </c>
      <c r="CM9" s="604" t="s">
        <v>392</v>
      </c>
      <c r="CN9" s="604" t="s">
        <v>356</v>
      </c>
      <c r="CO9" s="604" t="s">
        <v>609</v>
      </c>
      <c r="CP9" s="604" t="s">
        <v>610</v>
      </c>
      <c r="CQ9" s="605" t="s">
        <v>611</v>
      </c>
      <c r="CR9" s="707" t="s">
        <v>511</v>
      </c>
      <c r="CS9" s="708" t="s">
        <v>513</v>
      </c>
      <c r="CT9" s="708" t="s">
        <v>139</v>
      </c>
      <c r="CU9" s="708" t="s">
        <v>514</v>
      </c>
      <c r="CV9" s="708" t="s">
        <v>534</v>
      </c>
      <c r="CW9" s="709" t="s">
        <v>503</v>
      </c>
      <c r="CX9" s="709" t="s">
        <v>457</v>
      </c>
      <c r="CY9" s="709" t="s">
        <v>392</v>
      </c>
      <c r="CZ9" s="709" t="s">
        <v>356</v>
      </c>
      <c r="DA9" s="708" t="s">
        <v>609</v>
      </c>
      <c r="DB9" s="710" t="s">
        <v>610</v>
      </c>
      <c r="DC9" s="710" t="s">
        <v>611</v>
      </c>
    </row>
    <row r="10" spans="2:107" s="99" customFormat="1" ht="30" customHeight="1">
      <c r="B10" s="283">
        <v>53</v>
      </c>
      <c r="C10" s="389" t="s">
        <v>81</v>
      </c>
      <c r="D10" s="285" t="s">
        <v>82</v>
      </c>
      <c r="E10" s="283" t="s">
        <v>918</v>
      </c>
      <c r="F10" s="285" t="s">
        <v>705</v>
      </c>
      <c r="G10" s="283" t="s">
        <v>515</v>
      </c>
      <c r="H10" s="283"/>
      <c r="I10" s="390" t="s">
        <v>460</v>
      </c>
      <c r="J10" s="681" t="s">
        <v>516</v>
      </c>
      <c r="K10" s="519">
        <v>100</v>
      </c>
      <c r="L10" s="522">
        <v>133</v>
      </c>
      <c r="M10" s="391">
        <v>167</v>
      </c>
      <c r="N10" s="391">
        <v>209</v>
      </c>
      <c r="O10" s="391">
        <v>229</v>
      </c>
      <c r="P10" s="391">
        <v>273</v>
      </c>
      <c r="Q10" s="391">
        <v>285</v>
      </c>
      <c r="R10" s="391">
        <v>285</v>
      </c>
      <c r="S10" s="391">
        <v>279</v>
      </c>
      <c r="T10" s="391">
        <v>285</v>
      </c>
      <c r="U10" s="391">
        <v>275</v>
      </c>
      <c r="V10" s="391">
        <v>277</v>
      </c>
      <c r="W10" s="391">
        <v>272</v>
      </c>
      <c r="X10" s="391">
        <v>267</v>
      </c>
      <c r="Y10" s="391">
        <v>256</v>
      </c>
      <c r="Z10" s="391">
        <v>250</v>
      </c>
      <c r="AA10" s="391">
        <v>245</v>
      </c>
      <c r="AB10" s="391">
        <v>241</v>
      </c>
      <c r="AC10" s="391">
        <v>238</v>
      </c>
      <c r="AD10" s="391">
        <v>238</v>
      </c>
      <c r="AE10" s="391">
        <v>276</v>
      </c>
      <c r="AF10" s="391">
        <v>276</v>
      </c>
      <c r="AG10" s="391">
        <v>276</v>
      </c>
      <c r="AH10" s="391">
        <v>251</v>
      </c>
      <c r="AI10" s="391">
        <v>253</v>
      </c>
      <c r="AJ10" s="391">
        <v>280</v>
      </c>
      <c r="AK10" s="391">
        <v>285</v>
      </c>
      <c r="AL10" s="391">
        <v>252.8</v>
      </c>
      <c r="AM10" s="391">
        <v>245.5</v>
      </c>
      <c r="AN10" s="391">
        <v>258.8</v>
      </c>
      <c r="AO10" s="391">
        <v>268.8</v>
      </c>
      <c r="AP10" s="391">
        <v>276.3</v>
      </c>
      <c r="AQ10" s="391">
        <v>280</v>
      </c>
      <c r="AR10" s="391">
        <v>282.5</v>
      </c>
      <c r="AS10" s="391">
        <v>282.5</v>
      </c>
      <c r="AT10" s="391">
        <v>283.3</v>
      </c>
      <c r="AU10" s="391">
        <v>283.8</v>
      </c>
      <c r="AV10" s="392">
        <v>286.8</v>
      </c>
      <c r="AW10" s="392">
        <v>285.8</v>
      </c>
      <c r="AX10" s="392">
        <v>289.3</v>
      </c>
      <c r="AY10" s="392">
        <v>286</v>
      </c>
      <c r="AZ10" s="392">
        <v>281.7</v>
      </c>
      <c r="BA10" s="392">
        <v>286.8</v>
      </c>
      <c r="BB10" s="392">
        <v>286.8</v>
      </c>
      <c r="BC10" s="393">
        <v>327.3</v>
      </c>
      <c r="BD10" s="392">
        <v>331.9</v>
      </c>
      <c r="BE10" s="393">
        <v>296.8</v>
      </c>
      <c r="BF10" s="393">
        <v>332.1</v>
      </c>
      <c r="BG10" s="655">
        <v>332.1</v>
      </c>
      <c r="BH10" s="653">
        <v>397.8</v>
      </c>
      <c r="BI10" s="394">
        <v>319.2</v>
      </c>
      <c r="BJ10" s="394">
        <v>326.60000000000002</v>
      </c>
      <c r="BK10" s="394">
        <v>406.3</v>
      </c>
      <c r="BL10" s="394">
        <v>468</v>
      </c>
      <c r="BM10" s="394">
        <v>477.3</v>
      </c>
      <c r="BN10" s="394">
        <v>477.3</v>
      </c>
      <c r="BO10" s="394">
        <v>487</v>
      </c>
      <c r="BP10" s="394">
        <v>488</v>
      </c>
      <c r="BQ10" s="394">
        <v>488</v>
      </c>
      <c r="BR10" s="394">
        <v>488</v>
      </c>
      <c r="BS10" s="658">
        <v>488</v>
      </c>
      <c r="BT10" s="653">
        <v>488</v>
      </c>
      <c r="BU10" s="394">
        <v>488</v>
      </c>
      <c r="BV10" s="394">
        <f>+BV11/100*BS10</f>
        <v>487.85360000000003</v>
      </c>
      <c r="BW10" s="394">
        <v>487.85399999999998</v>
      </c>
      <c r="BX10" s="394">
        <f t="shared" ref="BX10:CI10" si="0">BX11/100*$BS$10</f>
        <v>493.02639999999997</v>
      </c>
      <c r="BY10" s="394">
        <f t="shared" si="0"/>
        <v>511.03359999999998</v>
      </c>
      <c r="BZ10" s="395">
        <f t="shared" si="0"/>
        <v>514.88880000000006</v>
      </c>
      <c r="CA10" s="395">
        <f t="shared" si="0"/>
        <v>532.26160000000004</v>
      </c>
      <c r="CB10" s="395">
        <f t="shared" si="0"/>
        <v>539.43520000000012</v>
      </c>
      <c r="CC10" s="395">
        <f t="shared" si="0"/>
        <v>548.2192</v>
      </c>
      <c r="CD10" s="395">
        <f t="shared" si="0"/>
        <v>548.2192</v>
      </c>
      <c r="CE10" s="576">
        <f t="shared" si="0"/>
        <v>558.80880000000002</v>
      </c>
      <c r="CF10" s="579">
        <f t="shared" si="0"/>
        <v>576.62080000000003</v>
      </c>
      <c r="CG10" s="395">
        <f t="shared" si="0"/>
        <v>582.57439999999997</v>
      </c>
      <c r="CH10" s="395">
        <f t="shared" si="0"/>
        <v>588.47919999999999</v>
      </c>
      <c r="CI10" s="576">
        <f t="shared" si="0"/>
        <v>604.7296</v>
      </c>
      <c r="CJ10" s="395">
        <f t="shared" ref="CJ10:DC10" si="1">CJ11/100*$BS$10</f>
        <v>610.48799999999994</v>
      </c>
      <c r="CK10" s="395">
        <f t="shared" si="1"/>
        <v>620.24799999999993</v>
      </c>
      <c r="CL10" s="395">
        <f t="shared" si="1"/>
        <v>620.88239999999996</v>
      </c>
      <c r="CM10" s="395">
        <f t="shared" si="1"/>
        <v>634.79040000000009</v>
      </c>
      <c r="CN10" s="395">
        <f t="shared" si="1"/>
        <v>637.18159999999989</v>
      </c>
      <c r="CO10" s="395">
        <f t="shared" si="1"/>
        <v>637.18159999999989</v>
      </c>
      <c r="CP10" s="395">
        <f t="shared" si="1"/>
        <v>637.18159999999989</v>
      </c>
      <c r="CQ10" s="576">
        <f t="shared" si="1"/>
        <v>659.72719999999993</v>
      </c>
      <c r="CR10" s="579">
        <f t="shared" si="1"/>
        <v>659.72719999999993</v>
      </c>
      <c r="CS10" s="395">
        <f t="shared" si="1"/>
        <v>661.19119999999998</v>
      </c>
      <c r="CT10" s="395">
        <f t="shared" si="1"/>
        <v>661.19119999999998</v>
      </c>
      <c r="CU10" s="395">
        <f t="shared" si="1"/>
        <v>661.19119999999998</v>
      </c>
      <c r="CV10" s="395">
        <f t="shared" si="1"/>
        <v>661.19119999999998</v>
      </c>
      <c r="CW10" s="395">
        <f t="shared" si="1"/>
        <v>661.19119999999998</v>
      </c>
      <c r="CX10" s="395">
        <f t="shared" si="1"/>
        <v>661.19119999999998</v>
      </c>
      <c r="CY10" s="395">
        <f t="shared" si="1"/>
        <v>661.19119999999998</v>
      </c>
      <c r="CZ10" s="395">
        <f t="shared" si="1"/>
        <v>661.19119999999998</v>
      </c>
      <c r="DA10" s="395">
        <f t="shared" si="1"/>
        <v>661.19119999999998</v>
      </c>
      <c r="DB10" s="711">
        <f t="shared" si="1"/>
        <v>661.19119999999998</v>
      </c>
      <c r="DC10" s="711">
        <f t="shared" si="1"/>
        <v>661.19119999999998</v>
      </c>
    </row>
    <row r="11" spans="2:107" s="99" customFormat="1" ht="15.75" customHeight="1">
      <c r="B11" s="283"/>
      <c r="C11" s="283" t="s">
        <v>81</v>
      </c>
      <c r="D11" s="285" t="s">
        <v>82</v>
      </c>
      <c r="E11" s="283" t="s">
        <v>918</v>
      </c>
      <c r="F11" s="285" t="s">
        <v>706</v>
      </c>
      <c r="G11" s="283" t="s">
        <v>515</v>
      </c>
      <c r="H11" s="283"/>
      <c r="I11" s="396"/>
      <c r="J11" s="681"/>
      <c r="K11" s="519"/>
      <c r="L11" s="522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2"/>
      <c r="AW11" s="392"/>
      <c r="AX11" s="392"/>
      <c r="AY11" s="392"/>
      <c r="AZ11" s="392"/>
      <c r="BA11" s="392"/>
      <c r="BB11" s="392"/>
      <c r="BC11" s="393"/>
      <c r="BD11" s="392"/>
      <c r="BE11" s="393"/>
      <c r="BF11" s="393"/>
      <c r="BG11" s="655"/>
      <c r="BH11" s="653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658"/>
      <c r="BT11" s="653"/>
      <c r="BU11" s="394"/>
      <c r="BV11" s="394">
        <v>99.97</v>
      </c>
      <c r="BW11" s="394">
        <v>99.97</v>
      </c>
      <c r="BX11" s="394">
        <v>101.03</v>
      </c>
      <c r="BY11" s="394">
        <v>104.72</v>
      </c>
      <c r="BZ11" s="397">
        <v>105.51</v>
      </c>
      <c r="CA11" s="398">
        <v>109.07</v>
      </c>
      <c r="CB11" s="398">
        <v>110.54</v>
      </c>
      <c r="CC11" s="398">
        <v>112.34</v>
      </c>
      <c r="CD11" s="398">
        <v>112.34</v>
      </c>
      <c r="CE11" s="577">
        <v>114.51</v>
      </c>
      <c r="CF11" s="653">
        <v>118.16</v>
      </c>
      <c r="CG11" s="398">
        <v>119.38</v>
      </c>
      <c r="CH11" s="398">
        <v>120.59</v>
      </c>
      <c r="CI11" s="577">
        <v>123.92</v>
      </c>
      <c r="CJ11" s="398">
        <v>125.1</v>
      </c>
      <c r="CK11" s="399">
        <v>127.1</v>
      </c>
      <c r="CL11" s="399">
        <v>127.23</v>
      </c>
      <c r="CM11" s="399">
        <v>130.08000000000001</v>
      </c>
      <c r="CN11" s="399">
        <v>130.57</v>
      </c>
      <c r="CO11" s="399">
        <v>130.57</v>
      </c>
      <c r="CP11" s="399">
        <v>130.57</v>
      </c>
      <c r="CQ11" s="700">
        <v>135.19</v>
      </c>
      <c r="CR11" s="653">
        <v>135.19</v>
      </c>
      <c r="CS11" s="394">
        <v>135.49</v>
      </c>
      <c r="CT11" s="394">
        <v>135.49</v>
      </c>
      <c r="CU11" s="394">
        <v>135.49</v>
      </c>
      <c r="CV11" s="394">
        <v>135.49</v>
      </c>
      <c r="CW11" s="394">
        <v>135.49</v>
      </c>
      <c r="CX11" s="394">
        <v>135.49</v>
      </c>
      <c r="CY11" s="394">
        <v>135.49</v>
      </c>
      <c r="CZ11" s="394">
        <v>135.49</v>
      </c>
      <c r="DA11" s="394">
        <v>135.49</v>
      </c>
      <c r="DB11" s="658">
        <v>135.49</v>
      </c>
      <c r="DC11" s="658">
        <v>135.49</v>
      </c>
    </row>
    <row r="12" spans="2:107" s="99" customFormat="1" ht="16.5" customHeight="1">
      <c r="B12" s="283">
        <v>71</v>
      </c>
      <c r="C12" s="389" t="s">
        <v>174</v>
      </c>
      <c r="D12" s="285" t="s">
        <v>175</v>
      </c>
      <c r="E12" s="283" t="s">
        <v>918</v>
      </c>
      <c r="F12" s="285" t="s">
        <v>705</v>
      </c>
      <c r="G12" s="283" t="s">
        <v>515</v>
      </c>
      <c r="H12" s="283"/>
      <c r="I12" s="396" t="s">
        <v>83</v>
      </c>
      <c r="J12" s="681" t="s">
        <v>517</v>
      </c>
      <c r="K12" s="519">
        <v>100</v>
      </c>
      <c r="L12" s="522">
        <v>133</v>
      </c>
      <c r="M12" s="391">
        <v>167</v>
      </c>
      <c r="N12" s="391">
        <v>241</v>
      </c>
      <c r="O12" s="391">
        <v>242</v>
      </c>
      <c r="P12" s="391">
        <v>301</v>
      </c>
      <c r="Q12" s="391">
        <v>318</v>
      </c>
      <c r="R12" s="391">
        <v>303</v>
      </c>
      <c r="S12" s="391">
        <v>298</v>
      </c>
      <c r="T12" s="391">
        <v>305</v>
      </c>
      <c r="U12" s="391">
        <v>293</v>
      </c>
      <c r="V12" s="391">
        <v>299</v>
      </c>
      <c r="W12" s="391">
        <v>282</v>
      </c>
      <c r="X12" s="391">
        <v>270</v>
      </c>
      <c r="Y12" s="391">
        <v>269</v>
      </c>
      <c r="Z12" s="391">
        <v>255</v>
      </c>
      <c r="AA12" s="391">
        <v>255</v>
      </c>
      <c r="AB12" s="391">
        <v>246</v>
      </c>
      <c r="AC12" s="391">
        <v>243</v>
      </c>
      <c r="AD12" s="391">
        <v>250</v>
      </c>
      <c r="AE12" s="391">
        <v>253</v>
      </c>
      <c r="AF12" s="391">
        <v>250</v>
      </c>
      <c r="AG12" s="391">
        <v>250</v>
      </c>
      <c r="AH12" s="391">
        <v>250</v>
      </c>
      <c r="AI12" s="391">
        <v>250</v>
      </c>
      <c r="AJ12" s="391">
        <v>277</v>
      </c>
      <c r="AK12" s="391">
        <v>277</v>
      </c>
      <c r="AL12" s="391">
        <v>272.8</v>
      </c>
      <c r="AM12" s="391">
        <v>273.39999999999998</v>
      </c>
      <c r="AN12" s="391">
        <v>273.39999999999998</v>
      </c>
      <c r="AO12" s="391">
        <v>273.39999999999998</v>
      </c>
      <c r="AP12" s="391">
        <v>291.2</v>
      </c>
      <c r="AQ12" s="391">
        <v>291.2</v>
      </c>
      <c r="AR12" s="391">
        <v>302.3</v>
      </c>
      <c r="AS12" s="391">
        <v>302.3</v>
      </c>
      <c r="AT12" s="391">
        <v>302.3</v>
      </c>
      <c r="AU12" s="391">
        <v>302.3</v>
      </c>
      <c r="AV12" s="392">
        <v>312.8</v>
      </c>
      <c r="AW12" s="392">
        <v>312.8</v>
      </c>
      <c r="AX12" s="392">
        <v>337.8</v>
      </c>
      <c r="AY12" s="392">
        <v>345.8</v>
      </c>
      <c r="AZ12" s="392">
        <v>345.8</v>
      </c>
      <c r="BA12" s="392">
        <v>321</v>
      </c>
      <c r="BB12" s="392">
        <v>321</v>
      </c>
      <c r="BC12" s="393">
        <v>379.3</v>
      </c>
      <c r="BD12" s="392">
        <v>389.6</v>
      </c>
      <c r="BE12" s="393">
        <v>389.6</v>
      </c>
      <c r="BF12" s="393">
        <v>417.7</v>
      </c>
      <c r="BG12" s="655">
        <v>417.7</v>
      </c>
      <c r="BH12" s="653">
        <v>394.7</v>
      </c>
      <c r="BI12" s="394">
        <v>377.8</v>
      </c>
      <c r="BJ12" s="394">
        <v>379.6</v>
      </c>
      <c r="BK12" s="394">
        <v>384.8</v>
      </c>
      <c r="BL12" s="394">
        <v>384.8</v>
      </c>
      <c r="BM12" s="394">
        <v>453.3</v>
      </c>
      <c r="BN12" s="394">
        <v>453.3</v>
      </c>
      <c r="BO12" s="394">
        <v>457</v>
      </c>
      <c r="BP12" s="394">
        <v>457</v>
      </c>
      <c r="BQ12" s="394">
        <v>582.70000000000005</v>
      </c>
      <c r="BR12" s="394">
        <v>582.70000000000005</v>
      </c>
      <c r="BS12" s="658">
        <v>582.70000000000005</v>
      </c>
      <c r="BT12" s="653">
        <v>582.70000000000005</v>
      </c>
      <c r="BU12" s="394">
        <v>582.70000000000005</v>
      </c>
      <c r="BV12" s="394">
        <f>BV13/100*BS12</f>
        <v>581.12671000000012</v>
      </c>
      <c r="BW12" s="394">
        <v>581.12699999999995</v>
      </c>
      <c r="BX12" s="394">
        <f t="shared" ref="BX12:DC12" si="2">BX13/100*$BS$12</f>
        <v>589.34278000000006</v>
      </c>
      <c r="BY12" s="394">
        <f t="shared" si="2"/>
        <v>622.73149000000001</v>
      </c>
      <c r="BZ12" s="395">
        <f t="shared" si="2"/>
        <v>627.33482000000004</v>
      </c>
      <c r="CA12" s="395">
        <f t="shared" si="2"/>
        <v>650.46800999999994</v>
      </c>
      <c r="CB12" s="395">
        <f t="shared" si="2"/>
        <v>664.33627000000013</v>
      </c>
      <c r="CC12" s="395">
        <f t="shared" si="2"/>
        <v>680.76841000000002</v>
      </c>
      <c r="CD12" s="395">
        <f t="shared" si="2"/>
        <v>680.76841000000002</v>
      </c>
      <c r="CE12" s="576">
        <f t="shared" si="2"/>
        <v>705.18353999999999</v>
      </c>
      <c r="CF12" s="579">
        <f t="shared" si="2"/>
        <v>736.99896000000012</v>
      </c>
      <c r="CG12" s="395">
        <f t="shared" si="2"/>
        <v>746.73005000000012</v>
      </c>
      <c r="CH12" s="395">
        <f t="shared" si="2"/>
        <v>754.88785000000007</v>
      </c>
      <c r="CI12" s="576">
        <f t="shared" si="2"/>
        <v>794.04529000000002</v>
      </c>
      <c r="CJ12" s="395">
        <f t="shared" si="2"/>
        <v>811.8176400000001</v>
      </c>
      <c r="CK12" s="395">
        <f t="shared" si="2"/>
        <v>833.14446000000009</v>
      </c>
      <c r="CL12" s="395">
        <f t="shared" si="2"/>
        <v>847.53715</v>
      </c>
      <c r="CM12" s="395">
        <f t="shared" si="2"/>
        <v>862.86216000000013</v>
      </c>
      <c r="CN12" s="395">
        <f t="shared" si="2"/>
        <v>867.87338000000011</v>
      </c>
      <c r="CO12" s="395">
        <f t="shared" si="2"/>
        <v>867.87338000000011</v>
      </c>
      <c r="CP12" s="395">
        <f t="shared" si="2"/>
        <v>867.87338000000011</v>
      </c>
      <c r="CQ12" s="576">
        <f t="shared" si="2"/>
        <v>881.97472000000005</v>
      </c>
      <c r="CR12" s="579">
        <f t="shared" si="2"/>
        <v>881.97472000000005</v>
      </c>
      <c r="CS12" s="395">
        <f t="shared" si="2"/>
        <v>862.45427000000007</v>
      </c>
      <c r="CT12" s="395">
        <f t="shared" si="2"/>
        <v>862.45427000000007</v>
      </c>
      <c r="CU12" s="395">
        <f t="shared" si="2"/>
        <v>862.45427000000007</v>
      </c>
      <c r="CV12" s="395">
        <f t="shared" si="2"/>
        <v>862.45427000000007</v>
      </c>
      <c r="CW12" s="395">
        <f t="shared" si="2"/>
        <v>862.45427000000007</v>
      </c>
      <c r="CX12" s="395">
        <f t="shared" si="2"/>
        <v>862.45427000000007</v>
      </c>
      <c r="CY12" s="395">
        <f t="shared" si="2"/>
        <v>862.45427000000007</v>
      </c>
      <c r="CZ12" s="395">
        <f t="shared" si="2"/>
        <v>862.45427000000007</v>
      </c>
      <c r="DA12" s="395">
        <f t="shared" si="2"/>
        <v>862.45427000000007</v>
      </c>
      <c r="DB12" s="711">
        <f t="shared" si="2"/>
        <v>862.45427000000007</v>
      </c>
      <c r="DC12" s="711">
        <f t="shared" si="2"/>
        <v>862.45427000000007</v>
      </c>
    </row>
    <row r="13" spans="2:107" s="99" customFormat="1" ht="15.75" customHeight="1">
      <c r="B13" s="283"/>
      <c r="C13" s="389" t="s">
        <v>174</v>
      </c>
      <c r="D13" s="285" t="s">
        <v>175</v>
      </c>
      <c r="E13" s="283" t="s">
        <v>918</v>
      </c>
      <c r="F13" s="285" t="s">
        <v>706</v>
      </c>
      <c r="G13" s="283" t="s">
        <v>515</v>
      </c>
      <c r="H13" s="283"/>
      <c r="I13" s="396"/>
      <c r="J13" s="681"/>
      <c r="K13" s="519"/>
      <c r="L13" s="522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2"/>
      <c r="AW13" s="392"/>
      <c r="AX13" s="392"/>
      <c r="AY13" s="392"/>
      <c r="AZ13" s="392"/>
      <c r="BA13" s="392"/>
      <c r="BB13" s="392"/>
      <c r="BC13" s="393"/>
      <c r="BD13" s="392"/>
      <c r="BE13" s="393"/>
      <c r="BF13" s="393"/>
      <c r="BG13" s="655"/>
      <c r="BH13" s="653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658"/>
      <c r="BT13" s="653"/>
      <c r="BU13" s="394"/>
      <c r="BV13" s="394">
        <v>99.73</v>
      </c>
      <c r="BW13" s="394">
        <v>99.73</v>
      </c>
      <c r="BX13" s="394">
        <v>101.14</v>
      </c>
      <c r="BY13" s="394">
        <v>106.87</v>
      </c>
      <c r="BZ13" s="398">
        <v>107.66</v>
      </c>
      <c r="CA13" s="398">
        <v>111.63</v>
      </c>
      <c r="CB13" s="398">
        <v>114.01</v>
      </c>
      <c r="CC13" s="398">
        <v>116.83</v>
      </c>
      <c r="CD13" s="398">
        <v>116.83</v>
      </c>
      <c r="CE13" s="577">
        <v>121.02</v>
      </c>
      <c r="CF13" s="653">
        <v>126.48</v>
      </c>
      <c r="CG13" s="398">
        <v>128.15</v>
      </c>
      <c r="CH13" s="398">
        <v>129.55000000000001</v>
      </c>
      <c r="CI13" s="577">
        <v>136.27000000000001</v>
      </c>
      <c r="CJ13" s="398">
        <v>139.32</v>
      </c>
      <c r="CK13" s="398">
        <v>142.97999999999999</v>
      </c>
      <c r="CL13" s="398">
        <v>145.44999999999999</v>
      </c>
      <c r="CM13" s="398">
        <v>148.08000000000001</v>
      </c>
      <c r="CN13" s="398">
        <v>148.94</v>
      </c>
      <c r="CO13" s="398">
        <v>148.94</v>
      </c>
      <c r="CP13" s="398">
        <v>148.94</v>
      </c>
      <c r="CQ13" s="700">
        <v>151.36000000000001</v>
      </c>
      <c r="CR13" s="653">
        <v>151.36000000000001</v>
      </c>
      <c r="CS13" s="394">
        <v>148.01</v>
      </c>
      <c r="CT13" s="394">
        <v>148.01</v>
      </c>
      <c r="CU13" s="394">
        <v>148.01</v>
      </c>
      <c r="CV13" s="394">
        <v>148.01</v>
      </c>
      <c r="CW13" s="394">
        <v>148.01</v>
      </c>
      <c r="CX13" s="394">
        <v>148.01</v>
      </c>
      <c r="CY13" s="394">
        <v>148.01</v>
      </c>
      <c r="CZ13" s="394">
        <v>148.01</v>
      </c>
      <c r="DA13" s="394">
        <v>148.01</v>
      </c>
      <c r="DB13" s="658">
        <v>148.01</v>
      </c>
      <c r="DC13" s="658">
        <v>148.01</v>
      </c>
    </row>
    <row r="14" spans="2:107" s="99" customFormat="1" ht="20.25" customHeight="1">
      <c r="B14" s="283">
        <v>84</v>
      </c>
      <c r="C14" s="389" t="s">
        <v>225</v>
      </c>
      <c r="D14" s="285" t="s">
        <v>226</v>
      </c>
      <c r="E14" s="283" t="s">
        <v>918</v>
      </c>
      <c r="F14" s="285" t="s">
        <v>705</v>
      </c>
      <c r="G14" s="283" t="s">
        <v>515</v>
      </c>
      <c r="H14" s="283"/>
      <c r="I14" s="396" t="s">
        <v>83</v>
      </c>
      <c r="J14" s="681" t="s">
        <v>104</v>
      </c>
      <c r="K14" s="519">
        <v>100</v>
      </c>
      <c r="L14" s="522">
        <v>117</v>
      </c>
      <c r="M14" s="391">
        <v>134</v>
      </c>
      <c r="N14" s="391">
        <v>152</v>
      </c>
      <c r="O14" s="391">
        <v>188</v>
      </c>
      <c r="P14" s="391">
        <v>254</v>
      </c>
      <c r="Q14" s="391">
        <v>267</v>
      </c>
      <c r="R14" s="391">
        <v>273</v>
      </c>
      <c r="S14" s="391">
        <v>279</v>
      </c>
      <c r="T14" s="391">
        <v>284</v>
      </c>
      <c r="U14" s="391">
        <v>284</v>
      </c>
      <c r="V14" s="391">
        <v>284</v>
      </c>
      <c r="W14" s="391">
        <v>284</v>
      </c>
      <c r="X14" s="391">
        <v>284</v>
      </c>
      <c r="Y14" s="391">
        <v>284</v>
      </c>
      <c r="Z14" s="391">
        <v>284</v>
      </c>
      <c r="AA14" s="391">
        <v>284</v>
      </c>
      <c r="AB14" s="391">
        <v>284</v>
      </c>
      <c r="AC14" s="391">
        <v>284</v>
      </c>
      <c r="AD14" s="391">
        <v>284</v>
      </c>
      <c r="AE14" s="391">
        <v>284</v>
      </c>
      <c r="AF14" s="391">
        <v>284</v>
      </c>
      <c r="AG14" s="391">
        <v>284</v>
      </c>
      <c r="AH14" s="391">
        <v>284</v>
      </c>
      <c r="AI14" s="391">
        <v>284</v>
      </c>
      <c r="AJ14" s="391">
        <v>270</v>
      </c>
      <c r="AK14" s="391">
        <v>270</v>
      </c>
      <c r="AL14" s="391">
        <v>270</v>
      </c>
      <c r="AM14" s="391">
        <v>270</v>
      </c>
      <c r="AN14" s="391">
        <v>270</v>
      </c>
      <c r="AO14" s="391">
        <v>270</v>
      </c>
      <c r="AP14" s="391">
        <v>270</v>
      </c>
      <c r="AQ14" s="391">
        <v>270</v>
      </c>
      <c r="AR14" s="391">
        <v>270</v>
      </c>
      <c r="AS14" s="391">
        <v>270</v>
      </c>
      <c r="AT14" s="391">
        <v>270</v>
      </c>
      <c r="AU14" s="391">
        <v>270</v>
      </c>
      <c r="AV14" s="392">
        <v>270</v>
      </c>
      <c r="AW14" s="392">
        <v>270</v>
      </c>
      <c r="AX14" s="392">
        <v>270</v>
      </c>
      <c r="AY14" s="392">
        <v>270</v>
      </c>
      <c r="AZ14" s="392">
        <v>270</v>
      </c>
      <c r="BA14" s="392">
        <v>270</v>
      </c>
      <c r="BB14" s="392">
        <v>270</v>
      </c>
      <c r="BC14" s="393">
        <v>270</v>
      </c>
      <c r="BD14" s="392">
        <v>270</v>
      </c>
      <c r="BE14" s="393">
        <v>270</v>
      </c>
      <c r="BF14" s="393">
        <v>270</v>
      </c>
      <c r="BG14" s="655">
        <v>270</v>
      </c>
      <c r="BH14" s="653">
        <v>270</v>
      </c>
      <c r="BI14" s="394">
        <v>270</v>
      </c>
      <c r="BJ14" s="394">
        <v>270</v>
      </c>
      <c r="BK14" s="394">
        <v>270</v>
      </c>
      <c r="BL14" s="394">
        <v>270</v>
      </c>
      <c r="BM14" s="394">
        <v>270</v>
      </c>
      <c r="BN14" s="394">
        <v>270</v>
      </c>
      <c r="BO14" s="394">
        <v>270</v>
      </c>
      <c r="BP14" s="394">
        <v>270</v>
      </c>
      <c r="BQ14" s="394">
        <v>270</v>
      </c>
      <c r="BR14" s="394">
        <v>270</v>
      </c>
      <c r="BS14" s="658">
        <v>270</v>
      </c>
      <c r="BT14" s="653">
        <v>270</v>
      </c>
      <c r="BU14" s="394">
        <v>270</v>
      </c>
      <c r="BV14" s="394">
        <v>270</v>
      </c>
      <c r="BW14" s="394">
        <v>270</v>
      </c>
      <c r="BX14" s="394">
        <v>270</v>
      </c>
      <c r="BY14" s="394">
        <v>270</v>
      </c>
      <c r="BZ14" s="395">
        <v>270</v>
      </c>
      <c r="CA14" s="395">
        <v>270</v>
      </c>
      <c r="CB14" s="395">
        <v>270</v>
      </c>
      <c r="CC14" s="395">
        <v>270</v>
      </c>
      <c r="CD14" s="395">
        <v>270</v>
      </c>
      <c r="CE14" s="576">
        <v>270</v>
      </c>
      <c r="CF14" s="579">
        <v>270</v>
      </c>
      <c r="CG14" s="395">
        <v>270</v>
      </c>
      <c r="CH14" s="395">
        <v>270</v>
      </c>
      <c r="CI14" s="576">
        <v>270</v>
      </c>
      <c r="CJ14" s="395">
        <v>270</v>
      </c>
      <c r="CK14" s="395">
        <v>270</v>
      </c>
      <c r="CL14" s="395">
        <v>270</v>
      </c>
      <c r="CM14" s="395">
        <v>270</v>
      </c>
      <c r="CN14" s="395">
        <v>270</v>
      </c>
      <c r="CO14" s="395">
        <v>270</v>
      </c>
      <c r="CP14" s="395">
        <v>270</v>
      </c>
      <c r="CQ14" s="576">
        <v>270</v>
      </c>
      <c r="CR14" s="579">
        <v>270</v>
      </c>
      <c r="CS14" s="395">
        <v>270</v>
      </c>
      <c r="CT14" s="395">
        <v>270</v>
      </c>
      <c r="CU14" s="395">
        <v>270</v>
      </c>
      <c r="CV14" s="395">
        <v>270</v>
      </c>
      <c r="CW14" s="395">
        <v>270</v>
      </c>
      <c r="CX14" s="395">
        <v>270</v>
      </c>
      <c r="CY14" s="395">
        <v>270</v>
      </c>
      <c r="CZ14" s="395">
        <v>270</v>
      </c>
      <c r="DA14" s="395">
        <v>270</v>
      </c>
      <c r="DB14" s="711">
        <v>270</v>
      </c>
      <c r="DC14" s="711">
        <v>270</v>
      </c>
    </row>
    <row r="15" spans="2:107" s="99" customFormat="1" ht="16.5" customHeight="1">
      <c r="B15" s="283"/>
      <c r="C15" s="389" t="s">
        <v>225</v>
      </c>
      <c r="D15" s="285" t="s">
        <v>226</v>
      </c>
      <c r="E15" s="283" t="s">
        <v>918</v>
      </c>
      <c r="F15" s="285" t="s">
        <v>706</v>
      </c>
      <c r="G15" s="283" t="s">
        <v>515</v>
      </c>
      <c r="H15" s="283"/>
      <c r="I15" s="396"/>
      <c r="J15" s="681"/>
      <c r="K15" s="519"/>
      <c r="L15" s="522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2"/>
      <c r="AW15" s="392"/>
      <c r="AX15" s="392"/>
      <c r="AY15" s="392"/>
      <c r="AZ15" s="392"/>
      <c r="BA15" s="392"/>
      <c r="BB15" s="392"/>
      <c r="BC15" s="393"/>
      <c r="BD15" s="392"/>
      <c r="BE15" s="393"/>
      <c r="BF15" s="393"/>
      <c r="BG15" s="655"/>
      <c r="BH15" s="653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658"/>
      <c r="BT15" s="653"/>
      <c r="BU15" s="394"/>
      <c r="BV15" s="394" t="s">
        <v>521</v>
      </c>
      <c r="BW15" s="394" t="s">
        <v>521</v>
      </c>
      <c r="BX15" s="394" t="s">
        <v>521</v>
      </c>
      <c r="BY15" s="394" t="s">
        <v>521</v>
      </c>
      <c r="BZ15" s="394" t="s">
        <v>521</v>
      </c>
      <c r="CA15" s="398" t="s">
        <v>521</v>
      </c>
      <c r="CB15" s="398" t="s">
        <v>521</v>
      </c>
      <c r="CC15" s="398" t="s">
        <v>521</v>
      </c>
      <c r="CD15" s="398" t="s">
        <v>521</v>
      </c>
      <c r="CE15" s="577" t="s">
        <v>521</v>
      </c>
      <c r="CF15" s="653" t="s">
        <v>521</v>
      </c>
      <c r="CG15" s="398" t="s">
        <v>521</v>
      </c>
      <c r="CH15" s="398" t="s">
        <v>521</v>
      </c>
      <c r="CI15" s="577" t="s">
        <v>521</v>
      </c>
      <c r="CJ15" s="398" t="s">
        <v>521</v>
      </c>
      <c r="CK15" s="398" t="s">
        <v>521</v>
      </c>
      <c r="CL15" s="398" t="s">
        <v>521</v>
      </c>
      <c r="CM15" s="398" t="s">
        <v>521</v>
      </c>
      <c r="CN15" s="398" t="s">
        <v>521</v>
      </c>
      <c r="CO15" s="398" t="s">
        <v>521</v>
      </c>
      <c r="CP15" s="398" t="s">
        <v>521</v>
      </c>
      <c r="CQ15" s="577" t="s">
        <v>521</v>
      </c>
      <c r="CR15" s="580" t="s">
        <v>521</v>
      </c>
      <c r="CS15" s="398" t="s">
        <v>521</v>
      </c>
      <c r="CT15" s="398" t="s">
        <v>521</v>
      </c>
      <c r="CU15" s="398" t="s">
        <v>521</v>
      </c>
      <c r="CV15" s="398" t="s">
        <v>521</v>
      </c>
      <c r="CW15" s="398" t="s">
        <v>521</v>
      </c>
      <c r="CX15" s="398" t="s">
        <v>521</v>
      </c>
      <c r="CY15" s="398" t="s">
        <v>521</v>
      </c>
      <c r="CZ15" s="398" t="s">
        <v>521</v>
      </c>
      <c r="DA15" s="398" t="s">
        <v>521</v>
      </c>
      <c r="DB15" s="712" t="s">
        <v>521</v>
      </c>
      <c r="DC15" s="712" t="s">
        <v>521</v>
      </c>
    </row>
    <row r="16" spans="2:107" s="99" customFormat="1" ht="16.5" customHeight="1">
      <c r="B16" s="283">
        <v>89</v>
      </c>
      <c r="C16" s="389" t="s">
        <v>236</v>
      </c>
      <c r="D16" s="285" t="s">
        <v>237</v>
      </c>
      <c r="E16" s="283" t="s">
        <v>918</v>
      </c>
      <c r="F16" s="285" t="s">
        <v>705</v>
      </c>
      <c r="G16" s="283" t="s">
        <v>515</v>
      </c>
      <c r="H16" s="283"/>
      <c r="I16" s="396" t="s">
        <v>83</v>
      </c>
      <c r="J16" s="681" t="s">
        <v>531</v>
      </c>
      <c r="K16" s="519">
        <v>100</v>
      </c>
      <c r="L16" s="522">
        <v>134</v>
      </c>
      <c r="M16" s="391">
        <v>168</v>
      </c>
      <c r="N16" s="391">
        <v>217</v>
      </c>
      <c r="O16" s="391">
        <v>237</v>
      </c>
      <c r="P16" s="391">
        <v>273</v>
      </c>
      <c r="Q16" s="391">
        <v>294</v>
      </c>
      <c r="R16" s="391">
        <v>292</v>
      </c>
      <c r="S16" s="391">
        <v>291</v>
      </c>
      <c r="T16" s="391">
        <v>294</v>
      </c>
      <c r="U16" s="391">
        <v>286</v>
      </c>
      <c r="V16" s="391">
        <v>292</v>
      </c>
      <c r="W16" s="391">
        <v>282</v>
      </c>
      <c r="X16" s="391">
        <v>281</v>
      </c>
      <c r="Y16" s="391">
        <v>250</v>
      </c>
      <c r="Z16" s="391">
        <v>244</v>
      </c>
      <c r="AA16" s="391">
        <v>241</v>
      </c>
      <c r="AB16" s="391">
        <v>240</v>
      </c>
      <c r="AC16" s="391">
        <v>237</v>
      </c>
      <c r="AD16" s="391">
        <v>235</v>
      </c>
      <c r="AE16" s="391">
        <v>240</v>
      </c>
      <c r="AF16" s="391">
        <v>235</v>
      </c>
      <c r="AG16" s="391">
        <v>238</v>
      </c>
      <c r="AH16" s="391">
        <v>253</v>
      </c>
      <c r="AI16" s="391">
        <v>206</v>
      </c>
      <c r="AJ16" s="391">
        <v>269</v>
      </c>
      <c r="AK16" s="391">
        <v>269</v>
      </c>
      <c r="AL16" s="391">
        <v>250.6</v>
      </c>
      <c r="AM16" s="391">
        <v>255.1</v>
      </c>
      <c r="AN16" s="391">
        <v>260</v>
      </c>
      <c r="AO16" s="391">
        <v>261.8</v>
      </c>
      <c r="AP16" s="391">
        <v>262.10000000000002</v>
      </c>
      <c r="AQ16" s="391">
        <v>268.5</v>
      </c>
      <c r="AR16" s="391">
        <v>279.8</v>
      </c>
      <c r="AS16" s="391">
        <v>279.8</v>
      </c>
      <c r="AT16" s="391">
        <v>268.5</v>
      </c>
      <c r="AU16" s="391">
        <v>279</v>
      </c>
      <c r="AV16" s="392">
        <v>273.3</v>
      </c>
      <c r="AW16" s="392">
        <v>272.7</v>
      </c>
      <c r="AX16" s="392">
        <v>272.7</v>
      </c>
      <c r="AY16" s="392">
        <v>272</v>
      </c>
      <c r="AZ16" s="392">
        <v>273</v>
      </c>
      <c r="BA16" s="392">
        <v>265.8</v>
      </c>
      <c r="BB16" s="392">
        <v>265.8</v>
      </c>
      <c r="BC16" s="393">
        <v>316.5</v>
      </c>
      <c r="BD16" s="392">
        <v>320.60000000000002</v>
      </c>
      <c r="BE16" s="392">
        <v>314.39999999999998</v>
      </c>
      <c r="BF16" s="392">
        <v>278.3</v>
      </c>
      <c r="BG16" s="656">
        <v>320</v>
      </c>
      <c r="BH16" s="653">
        <v>325.7</v>
      </c>
      <c r="BI16" s="394">
        <v>307.55</v>
      </c>
      <c r="BJ16" s="394">
        <v>316.60000000000002</v>
      </c>
      <c r="BK16" s="394">
        <v>344.8</v>
      </c>
      <c r="BL16" s="394">
        <v>348.5</v>
      </c>
      <c r="BM16" s="394">
        <v>370</v>
      </c>
      <c r="BN16" s="394">
        <v>371</v>
      </c>
      <c r="BO16" s="394">
        <v>371.5</v>
      </c>
      <c r="BP16" s="394">
        <v>372</v>
      </c>
      <c r="BQ16" s="394">
        <v>393.2</v>
      </c>
      <c r="BR16" s="394">
        <v>393.2</v>
      </c>
      <c r="BS16" s="658">
        <v>393.2</v>
      </c>
      <c r="BT16" s="653">
        <v>393.2</v>
      </c>
      <c r="BU16" s="394">
        <v>393.2</v>
      </c>
      <c r="BV16" s="394">
        <f>BV17/100*BS16</f>
        <v>389.81848000000002</v>
      </c>
      <c r="BW16" s="394">
        <v>389.81799999999998</v>
      </c>
      <c r="BX16" s="394">
        <f t="shared" ref="BX16:DC16" si="3">BX17/100*$BS$16</f>
        <v>396.54219999999998</v>
      </c>
      <c r="BY16" s="394">
        <f t="shared" si="3"/>
        <v>417.65703999999999</v>
      </c>
      <c r="BZ16" s="395">
        <f t="shared" si="3"/>
        <v>420.88128</v>
      </c>
      <c r="CA16" s="395">
        <f t="shared" si="3"/>
        <v>436.76655999999997</v>
      </c>
      <c r="CB16" s="395">
        <f t="shared" si="3"/>
        <v>444.19803999999993</v>
      </c>
      <c r="CC16" s="395">
        <f t="shared" si="3"/>
        <v>451.66883999999999</v>
      </c>
      <c r="CD16" s="395">
        <f t="shared" si="3"/>
        <v>451.66883999999999</v>
      </c>
      <c r="CE16" s="576">
        <f t="shared" si="3"/>
        <v>463.77940000000001</v>
      </c>
      <c r="CF16" s="579">
        <f t="shared" si="3"/>
        <v>484.10784000000001</v>
      </c>
      <c r="CG16" s="395">
        <f t="shared" si="3"/>
        <v>492.95483999999999</v>
      </c>
      <c r="CH16" s="395">
        <f t="shared" si="3"/>
        <v>498.30236000000002</v>
      </c>
      <c r="CI16" s="576">
        <f t="shared" si="3"/>
        <v>518.8273999999999</v>
      </c>
      <c r="CJ16" s="395">
        <f t="shared" si="3"/>
        <v>527.87099999999998</v>
      </c>
      <c r="CK16" s="395">
        <f t="shared" si="3"/>
        <v>538.17283999999995</v>
      </c>
      <c r="CL16" s="395">
        <f t="shared" si="3"/>
        <v>543.52035999999998</v>
      </c>
      <c r="CM16" s="395">
        <f t="shared" si="3"/>
        <v>550.63727999999992</v>
      </c>
      <c r="CN16" s="395">
        <f t="shared" si="3"/>
        <v>551.62027999999987</v>
      </c>
      <c r="CO16" s="395">
        <f t="shared" si="3"/>
        <v>551.62027999999987</v>
      </c>
      <c r="CP16" s="395">
        <f t="shared" si="3"/>
        <v>551.62027999999987</v>
      </c>
      <c r="CQ16" s="576">
        <f t="shared" si="3"/>
        <v>565.81479999999999</v>
      </c>
      <c r="CR16" s="579">
        <f t="shared" si="3"/>
        <v>565.81479999999999</v>
      </c>
      <c r="CS16" s="395">
        <f t="shared" si="3"/>
        <v>550.55864000000008</v>
      </c>
      <c r="CT16" s="395">
        <f t="shared" si="3"/>
        <v>550.55864000000008</v>
      </c>
      <c r="CU16" s="395">
        <f t="shared" si="3"/>
        <v>550.55864000000008</v>
      </c>
      <c r="CV16" s="395">
        <f t="shared" si="3"/>
        <v>550.55864000000008</v>
      </c>
      <c r="CW16" s="395">
        <f t="shared" si="3"/>
        <v>550.55864000000008</v>
      </c>
      <c r="CX16" s="395">
        <f t="shared" si="3"/>
        <v>550.55864000000008</v>
      </c>
      <c r="CY16" s="395">
        <f t="shared" si="3"/>
        <v>550.55864000000008</v>
      </c>
      <c r="CZ16" s="395">
        <f t="shared" si="3"/>
        <v>550.55864000000008</v>
      </c>
      <c r="DA16" s="395">
        <f t="shared" si="3"/>
        <v>550.55864000000008</v>
      </c>
      <c r="DB16" s="711">
        <f t="shared" si="3"/>
        <v>550.55864000000008</v>
      </c>
      <c r="DC16" s="711">
        <f t="shared" si="3"/>
        <v>550.55864000000008</v>
      </c>
    </row>
    <row r="17" spans="2:107" s="99" customFormat="1" ht="18" customHeight="1">
      <c r="B17" s="283"/>
      <c r="C17" s="389" t="s">
        <v>236</v>
      </c>
      <c r="D17" s="285" t="s">
        <v>237</v>
      </c>
      <c r="E17" s="283" t="s">
        <v>918</v>
      </c>
      <c r="F17" s="285" t="s">
        <v>706</v>
      </c>
      <c r="G17" s="283" t="s">
        <v>515</v>
      </c>
      <c r="H17" s="283"/>
      <c r="I17" s="396"/>
      <c r="J17" s="681"/>
      <c r="K17" s="519"/>
      <c r="L17" s="522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2"/>
      <c r="AW17" s="392"/>
      <c r="AX17" s="392"/>
      <c r="AY17" s="392"/>
      <c r="AZ17" s="392"/>
      <c r="BA17" s="392"/>
      <c r="BB17" s="392"/>
      <c r="BC17" s="393"/>
      <c r="BD17" s="392"/>
      <c r="BE17" s="393"/>
      <c r="BF17" s="393"/>
      <c r="BG17" s="655"/>
      <c r="BH17" s="653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658"/>
      <c r="BT17" s="653"/>
      <c r="BU17" s="394"/>
      <c r="BV17" s="394">
        <v>99.14</v>
      </c>
      <c r="BW17" s="394">
        <v>99.14</v>
      </c>
      <c r="BX17" s="394">
        <v>100.85</v>
      </c>
      <c r="BY17" s="394">
        <v>106.22</v>
      </c>
      <c r="BZ17" s="398">
        <v>107.04</v>
      </c>
      <c r="CA17" s="398">
        <v>111.08</v>
      </c>
      <c r="CB17" s="398">
        <v>112.97</v>
      </c>
      <c r="CC17" s="398">
        <v>114.87</v>
      </c>
      <c r="CD17" s="398">
        <v>114.87</v>
      </c>
      <c r="CE17" s="577">
        <v>117.95</v>
      </c>
      <c r="CF17" s="653">
        <v>123.12</v>
      </c>
      <c r="CG17" s="398">
        <v>125.37</v>
      </c>
      <c r="CH17" s="398">
        <v>126.73</v>
      </c>
      <c r="CI17" s="577">
        <v>131.94999999999999</v>
      </c>
      <c r="CJ17" s="398">
        <v>134.25</v>
      </c>
      <c r="CK17" s="398">
        <v>136.87</v>
      </c>
      <c r="CL17" s="398">
        <v>138.22999999999999</v>
      </c>
      <c r="CM17" s="398">
        <v>140.04</v>
      </c>
      <c r="CN17" s="398">
        <v>140.29</v>
      </c>
      <c r="CO17" s="398">
        <v>140.29</v>
      </c>
      <c r="CP17" s="398">
        <v>140.29</v>
      </c>
      <c r="CQ17" s="700">
        <v>143.9</v>
      </c>
      <c r="CR17" s="653">
        <v>143.9</v>
      </c>
      <c r="CS17" s="394">
        <v>140.02000000000001</v>
      </c>
      <c r="CT17" s="394">
        <v>140.02000000000001</v>
      </c>
      <c r="CU17" s="394">
        <v>140.02000000000001</v>
      </c>
      <c r="CV17" s="394">
        <v>140.02000000000001</v>
      </c>
      <c r="CW17" s="394">
        <v>140.02000000000001</v>
      </c>
      <c r="CX17" s="394">
        <v>140.02000000000001</v>
      </c>
      <c r="CY17" s="394">
        <v>140.02000000000001</v>
      </c>
      <c r="CZ17" s="394">
        <v>140.02000000000001</v>
      </c>
      <c r="DA17" s="394">
        <v>140.02000000000001</v>
      </c>
      <c r="DB17" s="658">
        <v>140.02000000000001</v>
      </c>
      <c r="DC17" s="658">
        <v>140.02000000000001</v>
      </c>
    </row>
    <row r="18" spans="2:107" s="99" customFormat="1" ht="21" customHeight="1">
      <c r="B18" s="283">
        <v>94</v>
      </c>
      <c r="C18" s="283" t="s">
        <v>245</v>
      </c>
      <c r="D18" s="285" t="s">
        <v>246</v>
      </c>
      <c r="E18" s="283" t="s">
        <v>918</v>
      </c>
      <c r="F18" s="285" t="s">
        <v>705</v>
      </c>
      <c r="G18" s="283" t="s">
        <v>515</v>
      </c>
      <c r="H18" s="283"/>
      <c r="I18" s="396" t="s">
        <v>83</v>
      </c>
      <c r="J18" s="681" t="s">
        <v>303</v>
      </c>
      <c r="K18" s="519">
        <v>100</v>
      </c>
      <c r="L18" s="522">
        <v>131</v>
      </c>
      <c r="M18" s="391">
        <v>162</v>
      </c>
      <c r="N18" s="391">
        <v>172</v>
      </c>
      <c r="O18" s="391">
        <v>197</v>
      </c>
      <c r="P18" s="391">
        <v>233</v>
      </c>
      <c r="Q18" s="391">
        <v>245</v>
      </c>
      <c r="R18" s="391">
        <v>253</v>
      </c>
      <c r="S18" s="391">
        <v>252</v>
      </c>
      <c r="T18" s="391">
        <v>256</v>
      </c>
      <c r="U18" s="391">
        <v>254</v>
      </c>
      <c r="V18" s="391">
        <v>253</v>
      </c>
      <c r="W18" s="391">
        <v>253</v>
      </c>
      <c r="X18" s="391">
        <v>253</v>
      </c>
      <c r="Y18" s="391">
        <v>244</v>
      </c>
      <c r="Z18" s="391">
        <v>243</v>
      </c>
      <c r="AA18" s="391">
        <v>235</v>
      </c>
      <c r="AB18" s="391">
        <v>233</v>
      </c>
      <c r="AC18" s="391">
        <v>230</v>
      </c>
      <c r="AD18" s="391">
        <v>230</v>
      </c>
      <c r="AE18" s="391">
        <v>230</v>
      </c>
      <c r="AF18" s="391">
        <v>230</v>
      </c>
      <c r="AG18" s="391">
        <v>230</v>
      </c>
      <c r="AH18" s="391">
        <v>240</v>
      </c>
      <c r="AI18" s="391">
        <v>241</v>
      </c>
      <c r="AJ18" s="391">
        <v>250</v>
      </c>
      <c r="AK18" s="391">
        <v>259</v>
      </c>
      <c r="AL18" s="391">
        <v>258.8</v>
      </c>
      <c r="AM18" s="391">
        <v>260</v>
      </c>
      <c r="AN18" s="391">
        <v>268.2</v>
      </c>
      <c r="AO18" s="391">
        <v>279</v>
      </c>
      <c r="AP18" s="391">
        <v>279.2</v>
      </c>
      <c r="AQ18" s="391">
        <v>285</v>
      </c>
      <c r="AR18" s="391">
        <v>299.5</v>
      </c>
      <c r="AS18" s="391">
        <v>299.5</v>
      </c>
      <c r="AT18" s="391">
        <v>305.3</v>
      </c>
      <c r="AU18" s="391">
        <v>318.8</v>
      </c>
      <c r="AV18" s="392">
        <v>318.8</v>
      </c>
      <c r="AW18" s="392">
        <v>319</v>
      </c>
      <c r="AX18" s="392">
        <v>318.8</v>
      </c>
      <c r="AY18" s="392">
        <v>321.8</v>
      </c>
      <c r="AZ18" s="392">
        <v>321.8</v>
      </c>
      <c r="BA18" s="392">
        <v>321.8</v>
      </c>
      <c r="BB18" s="392">
        <v>321.8</v>
      </c>
      <c r="BC18" s="393">
        <v>334</v>
      </c>
      <c r="BD18" s="392">
        <v>347.4</v>
      </c>
      <c r="BE18" s="393">
        <v>347.4</v>
      </c>
      <c r="BF18" s="393">
        <v>354.3</v>
      </c>
      <c r="BG18" s="655">
        <v>355.3</v>
      </c>
      <c r="BH18" s="653">
        <v>396.1</v>
      </c>
      <c r="BI18" s="394">
        <v>387.08</v>
      </c>
      <c r="BJ18" s="394">
        <v>401.875</v>
      </c>
      <c r="BK18" s="394">
        <v>410.5</v>
      </c>
      <c r="BL18" s="394">
        <v>434.8</v>
      </c>
      <c r="BM18" s="394">
        <v>448.5</v>
      </c>
      <c r="BN18" s="394">
        <v>449</v>
      </c>
      <c r="BO18" s="394">
        <v>454.8</v>
      </c>
      <c r="BP18" s="394">
        <v>455.3</v>
      </c>
      <c r="BQ18" s="394">
        <v>457.2</v>
      </c>
      <c r="BR18" s="394">
        <v>457.2</v>
      </c>
      <c r="BS18" s="658">
        <v>457.2</v>
      </c>
      <c r="BT18" s="653">
        <v>457.2</v>
      </c>
      <c r="BU18" s="394">
        <v>457.2</v>
      </c>
      <c r="BV18" s="394">
        <f>BV19/100*BS18</f>
        <v>453.45096000000001</v>
      </c>
      <c r="BW18" s="394">
        <v>453.45100000000002</v>
      </c>
      <c r="BX18" s="394">
        <f t="shared" ref="BX18:DC18" si="4">BX19/100*$BS$18</f>
        <v>458.89164</v>
      </c>
      <c r="BY18" s="394">
        <f t="shared" si="4"/>
        <v>480.92868000000004</v>
      </c>
      <c r="BZ18" s="395">
        <f t="shared" si="4"/>
        <v>482.11739999999998</v>
      </c>
      <c r="CA18" s="395">
        <f t="shared" si="4"/>
        <v>501.68555999999995</v>
      </c>
      <c r="CB18" s="395">
        <f t="shared" si="4"/>
        <v>508.36067999999995</v>
      </c>
      <c r="CC18" s="395">
        <f t="shared" si="4"/>
        <v>516.72743999999989</v>
      </c>
      <c r="CD18" s="395">
        <f t="shared" si="4"/>
        <v>516.72743999999989</v>
      </c>
      <c r="CE18" s="576">
        <f t="shared" si="4"/>
        <v>525.78</v>
      </c>
      <c r="CF18" s="579">
        <f t="shared" si="4"/>
        <v>540.73043999999993</v>
      </c>
      <c r="CG18" s="395">
        <f t="shared" si="4"/>
        <v>546.39972</v>
      </c>
      <c r="CH18" s="395">
        <f t="shared" si="4"/>
        <v>552.5261999999999</v>
      </c>
      <c r="CI18" s="576">
        <f t="shared" si="4"/>
        <v>572.04863999999998</v>
      </c>
      <c r="CJ18" s="395">
        <f t="shared" si="4"/>
        <v>577.76364000000001</v>
      </c>
      <c r="CK18" s="395">
        <f t="shared" si="4"/>
        <v>587.31912000000011</v>
      </c>
      <c r="CL18" s="395">
        <f t="shared" si="4"/>
        <v>586.95335999999998</v>
      </c>
      <c r="CM18" s="395">
        <f t="shared" si="4"/>
        <v>600.25788</v>
      </c>
      <c r="CN18" s="395">
        <f t="shared" si="4"/>
        <v>600.44076000000007</v>
      </c>
      <c r="CO18" s="395">
        <f t="shared" si="4"/>
        <v>600.44076000000007</v>
      </c>
      <c r="CP18" s="395">
        <f t="shared" si="4"/>
        <v>600.44076000000007</v>
      </c>
      <c r="CQ18" s="576">
        <f t="shared" si="4"/>
        <v>614.2482</v>
      </c>
      <c r="CR18" s="579">
        <f t="shared" si="4"/>
        <v>614.2482</v>
      </c>
      <c r="CS18" s="395">
        <f t="shared" si="4"/>
        <v>609.03611999999998</v>
      </c>
      <c r="CT18" s="395">
        <f t="shared" si="4"/>
        <v>609.03611999999998</v>
      </c>
      <c r="CU18" s="395">
        <f t="shared" si="4"/>
        <v>609.03611999999998</v>
      </c>
      <c r="CV18" s="395">
        <f t="shared" si="4"/>
        <v>609.03611999999998</v>
      </c>
      <c r="CW18" s="395">
        <f t="shared" si="4"/>
        <v>609.03611999999998</v>
      </c>
      <c r="CX18" s="395">
        <f t="shared" si="4"/>
        <v>609.03611999999998</v>
      </c>
      <c r="CY18" s="395">
        <f t="shared" si="4"/>
        <v>609.03611999999998</v>
      </c>
      <c r="CZ18" s="395">
        <f t="shared" si="4"/>
        <v>609.03611999999998</v>
      </c>
      <c r="DA18" s="395">
        <f t="shared" si="4"/>
        <v>609.03611999999998</v>
      </c>
      <c r="DB18" s="711">
        <f t="shared" si="4"/>
        <v>609.03611999999998</v>
      </c>
      <c r="DC18" s="711">
        <f t="shared" si="4"/>
        <v>609.03611999999998</v>
      </c>
    </row>
    <row r="19" spans="2:107" s="99" customFormat="1" ht="17.25" customHeight="1">
      <c r="B19" s="283"/>
      <c r="C19" s="283" t="s">
        <v>245</v>
      </c>
      <c r="D19" s="285" t="s">
        <v>246</v>
      </c>
      <c r="E19" s="283" t="s">
        <v>918</v>
      </c>
      <c r="F19" s="285" t="s">
        <v>706</v>
      </c>
      <c r="G19" s="283" t="s">
        <v>515</v>
      </c>
      <c r="H19" s="283"/>
      <c r="I19" s="396" t="s">
        <v>488</v>
      </c>
      <c r="J19" s="681"/>
      <c r="K19" s="519"/>
      <c r="L19" s="522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2"/>
      <c r="AW19" s="392"/>
      <c r="AX19" s="392"/>
      <c r="AY19" s="392"/>
      <c r="AZ19" s="392"/>
      <c r="BA19" s="392"/>
      <c r="BB19" s="392"/>
      <c r="BC19" s="393"/>
      <c r="BD19" s="392"/>
      <c r="BE19" s="393"/>
      <c r="BF19" s="393"/>
      <c r="BG19" s="655"/>
      <c r="BH19" s="65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658"/>
      <c r="BT19" s="653"/>
      <c r="BU19" s="394"/>
      <c r="BV19" s="394">
        <v>99.18</v>
      </c>
      <c r="BW19" s="394">
        <v>99.18</v>
      </c>
      <c r="BX19" s="394">
        <v>100.37</v>
      </c>
      <c r="BY19" s="394">
        <v>105.19</v>
      </c>
      <c r="BZ19" s="398">
        <v>105.45</v>
      </c>
      <c r="CA19" s="398">
        <v>109.73</v>
      </c>
      <c r="CB19" s="398">
        <v>111.19</v>
      </c>
      <c r="CC19" s="398">
        <v>113.02</v>
      </c>
      <c r="CD19" s="398">
        <v>113.02</v>
      </c>
      <c r="CE19" s="578">
        <v>115</v>
      </c>
      <c r="CF19" s="653">
        <v>118.27</v>
      </c>
      <c r="CG19" s="399">
        <v>119.51</v>
      </c>
      <c r="CH19" s="399">
        <v>120.85</v>
      </c>
      <c r="CI19" s="578">
        <v>125.12</v>
      </c>
      <c r="CJ19" s="399">
        <v>126.37</v>
      </c>
      <c r="CK19" s="399">
        <v>128.46</v>
      </c>
      <c r="CL19" s="399">
        <v>128.38</v>
      </c>
      <c r="CM19" s="399">
        <v>131.29</v>
      </c>
      <c r="CN19" s="399">
        <v>131.33000000000001</v>
      </c>
      <c r="CO19" s="399">
        <v>131.33000000000001</v>
      </c>
      <c r="CP19" s="399">
        <v>131.33000000000001</v>
      </c>
      <c r="CQ19" s="700">
        <v>134.35</v>
      </c>
      <c r="CR19" s="653">
        <v>134.35</v>
      </c>
      <c r="CS19" s="394">
        <v>133.21</v>
      </c>
      <c r="CT19" s="394">
        <v>133.21</v>
      </c>
      <c r="CU19" s="394">
        <v>133.21</v>
      </c>
      <c r="CV19" s="394">
        <v>133.21</v>
      </c>
      <c r="CW19" s="394">
        <v>133.21</v>
      </c>
      <c r="CX19" s="394">
        <v>133.21</v>
      </c>
      <c r="CY19" s="394">
        <v>133.21</v>
      </c>
      <c r="CZ19" s="394">
        <v>133.21</v>
      </c>
      <c r="DA19" s="394">
        <v>133.21</v>
      </c>
      <c r="DB19" s="658">
        <v>133.21</v>
      </c>
      <c r="DC19" s="658">
        <v>133.21</v>
      </c>
    </row>
    <row r="20" spans="2:107" s="99" customFormat="1" ht="21" customHeight="1">
      <c r="B20" s="283">
        <v>111</v>
      </c>
      <c r="C20" s="389" t="s">
        <v>281</v>
      </c>
      <c r="D20" s="285" t="s">
        <v>282</v>
      </c>
      <c r="E20" s="283" t="s">
        <v>918</v>
      </c>
      <c r="F20" s="285" t="s">
        <v>705</v>
      </c>
      <c r="G20" s="283" t="s">
        <v>515</v>
      </c>
      <c r="H20" s="283"/>
      <c r="I20" s="396" t="s">
        <v>83</v>
      </c>
      <c r="J20" s="681" t="s">
        <v>518</v>
      </c>
      <c r="K20" s="519">
        <v>100</v>
      </c>
      <c r="L20" s="522">
        <v>134</v>
      </c>
      <c r="M20" s="391">
        <v>168</v>
      </c>
      <c r="N20" s="391">
        <v>214</v>
      </c>
      <c r="O20" s="391">
        <v>234</v>
      </c>
      <c r="P20" s="391">
        <v>255</v>
      </c>
      <c r="Q20" s="391">
        <v>272</v>
      </c>
      <c r="R20" s="391">
        <v>276</v>
      </c>
      <c r="S20" s="391">
        <v>272</v>
      </c>
      <c r="T20" s="391">
        <v>277</v>
      </c>
      <c r="U20" s="391">
        <v>270</v>
      </c>
      <c r="V20" s="391">
        <v>269</v>
      </c>
      <c r="W20" s="391">
        <v>260</v>
      </c>
      <c r="X20" s="391">
        <v>256</v>
      </c>
      <c r="Y20" s="391">
        <v>255</v>
      </c>
      <c r="Z20" s="391">
        <v>240</v>
      </c>
      <c r="AA20" s="391">
        <v>236</v>
      </c>
      <c r="AB20" s="391">
        <v>233</v>
      </c>
      <c r="AC20" s="391">
        <v>229</v>
      </c>
      <c r="AD20" s="391">
        <v>234</v>
      </c>
      <c r="AE20" s="391">
        <v>240</v>
      </c>
      <c r="AF20" s="391">
        <v>241</v>
      </c>
      <c r="AG20" s="391">
        <v>241</v>
      </c>
      <c r="AH20" s="391">
        <v>243</v>
      </c>
      <c r="AI20" s="391">
        <v>244</v>
      </c>
      <c r="AJ20" s="391">
        <v>260</v>
      </c>
      <c r="AK20" s="391">
        <v>263</v>
      </c>
      <c r="AL20" s="391">
        <v>265.60000000000002</v>
      </c>
      <c r="AM20" s="391">
        <v>270.2</v>
      </c>
      <c r="AN20" s="391">
        <v>277</v>
      </c>
      <c r="AO20" s="391">
        <v>278.39999999999998</v>
      </c>
      <c r="AP20" s="391">
        <v>279.8</v>
      </c>
      <c r="AQ20" s="391">
        <v>279.8</v>
      </c>
      <c r="AR20" s="391">
        <v>295.8</v>
      </c>
      <c r="AS20" s="391">
        <v>295.8</v>
      </c>
      <c r="AT20" s="391">
        <v>292.2</v>
      </c>
      <c r="AU20" s="391">
        <v>298.60000000000002</v>
      </c>
      <c r="AV20" s="392">
        <v>278.39999999999998</v>
      </c>
      <c r="AW20" s="392">
        <v>278.39999999999998</v>
      </c>
      <c r="AX20" s="392">
        <v>278.39999999999998</v>
      </c>
      <c r="AY20" s="392">
        <v>278.39999999999998</v>
      </c>
      <c r="AZ20" s="392">
        <v>278.39999999999998</v>
      </c>
      <c r="BA20" s="392">
        <v>278.39999999999998</v>
      </c>
      <c r="BB20" s="392">
        <v>278.39999999999998</v>
      </c>
      <c r="BC20" s="393">
        <v>325.8</v>
      </c>
      <c r="BD20" s="392">
        <v>335.8</v>
      </c>
      <c r="BE20" s="393">
        <v>335.8</v>
      </c>
      <c r="BF20" s="393">
        <v>336.4</v>
      </c>
      <c r="BG20" s="655">
        <v>336.4</v>
      </c>
      <c r="BH20" s="653">
        <v>391.5</v>
      </c>
      <c r="BI20" s="394">
        <v>391.5</v>
      </c>
      <c r="BJ20" s="394">
        <v>416.2</v>
      </c>
      <c r="BK20" s="394">
        <v>421.8</v>
      </c>
      <c r="BL20" s="394">
        <v>450.8</v>
      </c>
      <c r="BM20" s="394">
        <v>458.4</v>
      </c>
      <c r="BN20" s="394">
        <v>458.4</v>
      </c>
      <c r="BO20" s="394">
        <v>467</v>
      </c>
      <c r="BP20" s="394">
        <v>468</v>
      </c>
      <c r="BQ20" s="394">
        <v>468</v>
      </c>
      <c r="BR20" s="394">
        <v>468</v>
      </c>
      <c r="BS20" s="658">
        <v>468</v>
      </c>
      <c r="BT20" s="653">
        <v>468</v>
      </c>
      <c r="BU20" s="394">
        <v>468</v>
      </c>
      <c r="BV20" s="394">
        <f>BV21/100*BS20</f>
        <v>466.64279999999997</v>
      </c>
      <c r="BW20" s="394">
        <v>466.64299999999997</v>
      </c>
      <c r="BX20" s="394">
        <f t="shared" ref="BX20:DC20" si="5">BX21/100*$BS$20</f>
        <v>471.83760000000001</v>
      </c>
      <c r="BY20" s="394">
        <f t="shared" si="5"/>
        <v>492.33600000000001</v>
      </c>
      <c r="BZ20" s="395">
        <f t="shared" si="5"/>
        <v>495.84600000000006</v>
      </c>
      <c r="CA20" s="395">
        <f t="shared" si="5"/>
        <v>512.17920000000004</v>
      </c>
      <c r="CB20" s="395">
        <f t="shared" si="5"/>
        <v>519.24599999999998</v>
      </c>
      <c r="CC20" s="395">
        <f t="shared" si="5"/>
        <v>528.13799999999992</v>
      </c>
      <c r="CD20" s="395">
        <f t="shared" si="5"/>
        <v>528.13799999999992</v>
      </c>
      <c r="CE20" s="576">
        <f t="shared" si="5"/>
        <v>538.52759999999989</v>
      </c>
      <c r="CF20" s="579">
        <f t="shared" si="5"/>
        <v>555.51600000000008</v>
      </c>
      <c r="CG20" s="395">
        <f t="shared" si="5"/>
        <v>560.85120000000006</v>
      </c>
      <c r="CH20" s="395">
        <f t="shared" si="5"/>
        <v>566.37360000000001</v>
      </c>
      <c r="CI20" s="576">
        <f t="shared" si="5"/>
        <v>584.25119999999993</v>
      </c>
      <c r="CJ20" s="395">
        <f t="shared" si="5"/>
        <v>590.24160000000006</v>
      </c>
      <c r="CK20" s="395">
        <f t="shared" si="5"/>
        <v>599.27400000000011</v>
      </c>
      <c r="CL20" s="395">
        <f t="shared" si="5"/>
        <v>599.97599999999989</v>
      </c>
      <c r="CM20" s="395">
        <f t="shared" si="5"/>
        <v>613.17359999999996</v>
      </c>
      <c r="CN20" s="395">
        <f t="shared" si="5"/>
        <v>613.6884</v>
      </c>
      <c r="CO20" s="395">
        <f t="shared" si="5"/>
        <v>613.6884</v>
      </c>
      <c r="CP20" s="395">
        <f t="shared" si="5"/>
        <v>613.6884</v>
      </c>
      <c r="CQ20" s="576">
        <f t="shared" si="5"/>
        <v>632.64240000000007</v>
      </c>
      <c r="CR20" s="579">
        <f t="shared" si="5"/>
        <v>632.64240000000007</v>
      </c>
      <c r="CS20" s="395">
        <f t="shared" si="5"/>
        <v>631.14480000000015</v>
      </c>
      <c r="CT20" s="395">
        <f t="shared" si="5"/>
        <v>631.14480000000015</v>
      </c>
      <c r="CU20" s="395">
        <f t="shared" si="5"/>
        <v>631.14480000000015</v>
      </c>
      <c r="CV20" s="395">
        <f t="shared" si="5"/>
        <v>631.14480000000015</v>
      </c>
      <c r="CW20" s="395">
        <f t="shared" si="5"/>
        <v>631.14480000000015</v>
      </c>
      <c r="CX20" s="395">
        <f t="shared" si="5"/>
        <v>631.14480000000015</v>
      </c>
      <c r="CY20" s="395">
        <f t="shared" si="5"/>
        <v>631.14480000000015</v>
      </c>
      <c r="CZ20" s="395">
        <f t="shared" si="5"/>
        <v>631.14480000000015</v>
      </c>
      <c r="DA20" s="395">
        <f t="shared" si="5"/>
        <v>631.14480000000015</v>
      </c>
      <c r="DB20" s="711">
        <f t="shared" si="5"/>
        <v>631.14480000000015</v>
      </c>
      <c r="DC20" s="711">
        <f t="shared" si="5"/>
        <v>631.14480000000015</v>
      </c>
    </row>
    <row r="21" spans="2:107" s="99" customFormat="1" ht="18.75" customHeight="1">
      <c r="B21" s="283"/>
      <c r="C21" s="389" t="s">
        <v>281</v>
      </c>
      <c r="D21" s="285" t="s">
        <v>282</v>
      </c>
      <c r="E21" s="283" t="s">
        <v>918</v>
      </c>
      <c r="F21" s="285" t="s">
        <v>706</v>
      </c>
      <c r="G21" s="283" t="s">
        <v>515</v>
      </c>
      <c r="H21" s="283"/>
      <c r="I21" s="396"/>
      <c r="J21" s="681"/>
      <c r="K21" s="519"/>
      <c r="L21" s="522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2"/>
      <c r="AW21" s="392"/>
      <c r="AX21" s="392"/>
      <c r="AY21" s="392"/>
      <c r="AZ21" s="392"/>
      <c r="BA21" s="392"/>
      <c r="BB21" s="392"/>
      <c r="BC21" s="393"/>
      <c r="BD21" s="392"/>
      <c r="BE21" s="393"/>
      <c r="BF21" s="393"/>
      <c r="BG21" s="655"/>
      <c r="BH21" s="65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658"/>
      <c r="BT21" s="653"/>
      <c r="BU21" s="394"/>
      <c r="BV21" s="394">
        <v>99.71</v>
      </c>
      <c r="BW21" s="394">
        <v>99.71</v>
      </c>
      <c r="BX21" s="394">
        <v>100.82</v>
      </c>
      <c r="BY21" s="394">
        <v>105.2</v>
      </c>
      <c r="BZ21" s="398">
        <v>105.95</v>
      </c>
      <c r="CA21" s="398">
        <v>109.44</v>
      </c>
      <c r="CB21" s="398">
        <v>110.95</v>
      </c>
      <c r="CC21" s="398">
        <v>112.85</v>
      </c>
      <c r="CD21" s="398">
        <v>112.85</v>
      </c>
      <c r="CE21" s="577">
        <v>115.07</v>
      </c>
      <c r="CF21" s="653">
        <v>118.7</v>
      </c>
      <c r="CG21" s="398">
        <v>119.84</v>
      </c>
      <c r="CH21" s="398">
        <v>121.02</v>
      </c>
      <c r="CI21" s="577">
        <v>124.84</v>
      </c>
      <c r="CJ21" s="398">
        <v>126.12</v>
      </c>
      <c r="CK21" s="398">
        <v>128.05000000000001</v>
      </c>
      <c r="CL21" s="399">
        <v>128.19999999999999</v>
      </c>
      <c r="CM21" s="399">
        <v>131.02000000000001</v>
      </c>
      <c r="CN21" s="399">
        <v>131.13</v>
      </c>
      <c r="CO21" s="399">
        <v>131.13</v>
      </c>
      <c r="CP21" s="399">
        <v>131.13</v>
      </c>
      <c r="CQ21" s="700">
        <v>135.18</v>
      </c>
      <c r="CR21" s="653">
        <v>135.18</v>
      </c>
      <c r="CS21" s="394">
        <v>134.86000000000001</v>
      </c>
      <c r="CT21" s="394">
        <v>134.86000000000001</v>
      </c>
      <c r="CU21" s="394">
        <v>134.86000000000001</v>
      </c>
      <c r="CV21" s="394">
        <v>134.86000000000001</v>
      </c>
      <c r="CW21" s="394">
        <v>134.86000000000001</v>
      </c>
      <c r="CX21" s="394">
        <v>134.86000000000001</v>
      </c>
      <c r="CY21" s="394">
        <v>134.86000000000001</v>
      </c>
      <c r="CZ21" s="394">
        <v>134.86000000000001</v>
      </c>
      <c r="DA21" s="394">
        <v>134.86000000000001</v>
      </c>
      <c r="DB21" s="658">
        <v>134.86000000000001</v>
      </c>
      <c r="DC21" s="658">
        <v>134.86000000000001</v>
      </c>
    </row>
    <row r="22" spans="2:107" s="99" customFormat="1" ht="21" customHeight="1">
      <c r="B22" s="283">
        <v>114</v>
      </c>
      <c r="C22" s="389" t="s">
        <v>286</v>
      </c>
      <c r="D22" s="285" t="s">
        <v>287</v>
      </c>
      <c r="E22" s="283" t="s">
        <v>918</v>
      </c>
      <c r="F22" s="285" t="s">
        <v>705</v>
      </c>
      <c r="G22" s="283" t="s">
        <v>515</v>
      </c>
      <c r="H22" s="283"/>
      <c r="I22" s="396" t="s">
        <v>83</v>
      </c>
      <c r="J22" s="681" t="s">
        <v>519</v>
      </c>
      <c r="K22" s="519">
        <v>100</v>
      </c>
      <c r="L22" s="522">
        <v>130</v>
      </c>
      <c r="M22" s="391">
        <v>161</v>
      </c>
      <c r="N22" s="391">
        <v>199</v>
      </c>
      <c r="O22" s="391">
        <v>219</v>
      </c>
      <c r="P22" s="391">
        <v>251</v>
      </c>
      <c r="Q22" s="391">
        <v>262</v>
      </c>
      <c r="R22" s="391">
        <v>262</v>
      </c>
      <c r="S22" s="391">
        <v>260</v>
      </c>
      <c r="T22" s="391">
        <v>262</v>
      </c>
      <c r="U22" s="391">
        <v>259</v>
      </c>
      <c r="V22" s="391">
        <v>258</v>
      </c>
      <c r="W22" s="391">
        <v>253</v>
      </c>
      <c r="X22" s="391">
        <v>245</v>
      </c>
      <c r="Y22" s="391">
        <v>240</v>
      </c>
      <c r="Z22" s="391">
        <v>235</v>
      </c>
      <c r="AA22" s="391">
        <v>230</v>
      </c>
      <c r="AB22" s="391">
        <v>226</v>
      </c>
      <c r="AC22" s="391">
        <v>224</v>
      </c>
      <c r="AD22" s="391">
        <v>227</v>
      </c>
      <c r="AE22" s="391">
        <v>232</v>
      </c>
      <c r="AF22" s="391">
        <v>239</v>
      </c>
      <c r="AG22" s="391">
        <v>237</v>
      </c>
      <c r="AH22" s="391">
        <v>239</v>
      </c>
      <c r="AI22" s="391">
        <v>236</v>
      </c>
      <c r="AJ22" s="391">
        <v>268</v>
      </c>
      <c r="AK22" s="391">
        <v>271</v>
      </c>
      <c r="AL22" s="391">
        <v>257</v>
      </c>
      <c r="AM22" s="391">
        <v>259.39999999999998</v>
      </c>
      <c r="AN22" s="391">
        <v>259.60000000000002</v>
      </c>
      <c r="AO22" s="391">
        <v>260.39999999999998</v>
      </c>
      <c r="AP22" s="391">
        <v>262.89999999999998</v>
      </c>
      <c r="AQ22" s="391">
        <v>265.10000000000002</v>
      </c>
      <c r="AR22" s="391">
        <v>279.10000000000002</v>
      </c>
      <c r="AS22" s="391">
        <v>279.10000000000002</v>
      </c>
      <c r="AT22" s="391">
        <v>280.3</v>
      </c>
      <c r="AU22" s="391">
        <v>292.60000000000002</v>
      </c>
      <c r="AV22" s="392">
        <v>283.39999999999998</v>
      </c>
      <c r="AW22" s="392">
        <v>292.5</v>
      </c>
      <c r="AX22" s="392">
        <v>285.10000000000002</v>
      </c>
      <c r="AY22" s="392">
        <v>284.10000000000002</v>
      </c>
      <c r="AZ22" s="392">
        <v>284.89999999999998</v>
      </c>
      <c r="BA22" s="392">
        <v>295</v>
      </c>
      <c r="BB22" s="392">
        <v>301.3</v>
      </c>
      <c r="BC22" s="393">
        <v>324</v>
      </c>
      <c r="BD22" s="392">
        <v>333</v>
      </c>
      <c r="BE22" s="393">
        <v>314.3</v>
      </c>
      <c r="BF22" s="393">
        <v>333.5</v>
      </c>
      <c r="BG22" s="655">
        <v>333.5</v>
      </c>
      <c r="BH22" s="653">
        <v>381.8</v>
      </c>
      <c r="BI22" s="394">
        <v>346</v>
      </c>
      <c r="BJ22" s="394">
        <v>346</v>
      </c>
      <c r="BK22" s="394">
        <v>413</v>
      </c>
      <c r="BL22" s="394">
        <v>435.2</v>
      </c>
      <c r="BM22" s="394">
        <v>442</v>
      </c>
      <c r="BN22" s="394">
        <v>442</v>
      </c>
      <c r="BO22" s="394">
        <v>449.4</v>
      </c>
      <c r="BP22" s="394">
        <v>450.2</v>
      </c>
      <c r="BQ22" s="394">
        <v>458.9</v>
      </c>
      <c r="BR22" s="394">
        <v>458.9</v>
      </c>
      <c r="BS22" s="658">
        <v>458.9</v>
      </c>
      <c r="BT22" s="653">
        <v>458.9</v>
      </c>
      <c r="BU22" s="394">
        <v>458.9</v>
      </c>
      <c r="BV22" s="394">
        <f>BV23/100*BS22</f>
        <v>458.07397999999995</v>
      </c>
      <c r="BW22" s="394">
        <v>458.07400000000001</v>
      </c>
      <c r="BX22" s="394">
        <f t="shared" ref="BX22:DC22" si="6">BX23/100*$BS$22</f>
        <v>463.58077999999995</v>
      </c>
      <c r="BY22" s="394">
        <f t="shared" si="6"/>
        <v>483.95593999999994</v>
      </c>
      <c r="BZ22" s="395">
        <f t="shared" si="6"/>
        <v>488.40726999999998</v>
      </c>
      <c r="CA22" s="395">
        <f t="shared" si="6"/>
        <v>504.83589000000001</v>
      </c>
      <c r="CB22" s="395">
        <f t="shared" si="6"/>
        <v>513.50909999999999</v>
      </c>
      <c r="CC22" s="395">
        <f t="shared" si="6"/>
        <v>523.42133999999999</v>
      </c>
      <c r="CD22" s="395">
        <f t="shared" si="6"/>
        <v>523.42133999999999</v>
      </c>
      <c r="CE22" s="576">
        <f t="shared" si="6"/>
        <v>535.44452000000001</v>
      </c>
      <c r="CF22" s="579">
        <f t="shared" si="6"/>
        <v>554.81010000000003</v>
      </c>
      <c r="CG22" s="395">
        <f t="shared" si="6"/>
        <v>562.88673999999992</v>
      </c>
      <c r="CH22" s="395">
        <f t="shared" si="6"/>
        <v>568.48531999999989</v>
      </c>
      <c r="CI22" s="576">
        <f t="shared" si="6"/>
        <v>586.33653000000004</v>
      </c>
      <c r="CJ22" s="395">
        <f t="shared" si="6"/>
        <v>593.31180999999992</v>
      </c>
      <c r="CK22" s="395">
        <f t="shared" si="6"/>
        <v>603.68295000000001</v>
      </c>
      <c r="CL22" s="395">
        <f t="shared" si="6"/>
        <v>606.34456999999998</v>
      </c>
      <c r="CM22" s="395">
        <f t="shared" si="6"/>
        <v>619.19377000000009</v>
      </c>
      <c r="CN22" s="395">
        <f t="shared" si="6"/>
        <v>621.12114999999994</v>
      </c>
      <c r="CO22" s="395">
        <f t="shared" si="6"/>
        <v>621.12114999999994</v>
      </c>
      <c r="CP22" s="395">
        <f t="shared" si="6"/>
        <v>621.12114999999994</v>
      </c>
      <c r="CQ22" s="576">
        <f t="shared" si="6"/>
        <v>641.54219999999998</v>
      </c>
      <c r="CR22" s="579">
        <f t="shared" si="6"/>
        <v>641.54219999999998</v>
      </c>
      <c r="CS22" s="395">
        <f t="shared" si="6"/>
        <v>639.79837999999995</v>
      </c>
      <c r="CT22" s="395">
        <f t="shared" si="6"/>
        <v>639.79837999999995</v>
      </c>
      <c r="CU22" s="395">
        <f t="shared" si="6"/>
        <v>639.79837999999995</v>
      </c>
      <c r="CV22" s="395">
        <f t="shared" si="6"/>
        <v>639.79837999999995</v>
      </c>
      <c r="CW22" s="395">
        <f t="shared" si="6"/>
        <v>639.79837999999995</v>
      </c>
      <c r="CX22" s="395">
        <f t="shared" si="6"/>
        <v>639.79837999999995</v>
      </c>
      <c r="CY22" s="395">
        <f t="shared" si="6"/>
        <v>639.79837999999995</v>
      </c>
      <c r="CZ22" s="395">
        <f t="shared" si="6"/>
        <v>639.79837999999995</v>
      </c>
      <c r="DA22" s="395">
        <f t="shared" si="6"/>
        <v>639.79837999999995</v>
      </c>
      <c r="DB22" s="711">
        <f t="shared" si="6"/>
        <v>639.79837999999995</v>
      </c>
      <c r="DC22" s="711">
        <f t="shared" si="6"/>
        <v>639.79837999999995</v>
      </c>
    </row>
    <row r="23" spans="2:107" s="99" customFormat="1" ht="21" customHeight="1">
      <c r="B23" s="283"/>
      <c r="C23" s="389" t="s">
        <v>286</v>
      </c>
      <c r="D23" s="285" t="s">
        <v>287</v>
      </c>
      <c r="E23" s="283" t="s">
        <v>918</v>
      </c>
      <c r="F23" s="285" t="s">
        <v>706</v>
      </c>
      <c r="G23" s="283" t="s">
        <v>515</v>
      </c>
      <c r="H23" s="283"/>
      <c r="I23" s="396"/>
      <c r="J23" s="681"/>
      <c r="K23" s="519"/>
      <c r="L23" s="522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391"/>
      <c r="AR23" s="391"/>
      <c r="AS23" s="391"/>
      <c r="AT23" s="391"/>
      <c r="AU23" s="391"/>
      <c r="AV23" s="392"/>
      <c r="AW23" s="392"/>
      <c r="AX23" s="392"/>
      <c r="AY23" s="392"/>
      <c r="AZ23" s="392"/>
      <c r="BA23" s="392"/>
      <c r="BB23" s="392"/>
      <c r="BC23" s="393"/>
      <c r="BD23" s="392"/>
      <c r="BE23" s="393"/>
      <c r="BF23" s="393"/>
      <c r="BG23" s="655"/>
      <c r="BH23" s="65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658"/>
      <c r="BT23" s="653"/>
      <c r="BU23" s="394"/>
      <c r="BV23" s="394">
        <v>99.82</v>
      </c>
      <c r="BW23" s="394">
        <v>99.82</v>
      </c>
      <c r="BX23" s="394">
        <v>101.02</v>
      </c>
      <c r="BY23" s="394">
        <v>105.46</v>
      </c>
      <c r="BZ23" s="398">
        <v>106.43</v>
      </c>
      <c r="CA23" s="398">
        <v>110.01</v>
      </c>
      <c r="CB23" s="399">
        <v>111.9</v>
      </c>
      <c r="CC23" s="399">
        <v>114.06</v>
      </c>
      <c r="CD23" s="399">
        <v>114.06</v>
      </c>
      <c r="CE23" s="578">
        <v>116.68</v>
      </c>
      <c r="CF23" s="653">
        <v>120.9</v>
      </c>
      <c r="CG23" s="399">
        <v>122.66</v>
      </c>
      <c r="CH23" s="399">
        <v>123.88</v>
      </c>
      <c r="CI23" s="578">
        <v>127.77</v>
      </c>
      <c r="CJ23" s="399">
        <v>129.29</v>
      </c>
      <c r="CK23" s="399">
        <v>131.55000000000001</v>
      </c>
      <c r="CL23" s="399">
        <v>132.13</v>
      </c>
      <c r="CM23" s="399">
        <v>134.93</v>
      </c>
      <c r="CN23" s="399">
        <v>135.35</v>
      </c>
      <c r="CO23" s="399">
        <v>135.35</v>
      </c>
      <c r="CP23" s="399">
        <v>135.35</v>
      </c>
      <c r="CQ23" s="700">
        <v>139.80000000000001</v>
      </c>
      <c r="CR23" s="653">
        <v>139.80000000000001</v>
      </c>
      <c r="CS23" s="394">
        <v>139.41999999999999</v>
      </c>
      <c r="CT23" s="394">
        <v>139.41999999999999</v>
      </c>
      <c r="CU23" s="394">
        <v>139.41999999999999</v>
      </c>
      <c r="CV23" s="394">
        <v>139.41999999999999</v>
      </c>
      <c r="CW23" s="394">
        <v>139.41999999999999</v>
      </c>
      <c r="CX23" s="394">
        <v>139.41999999999999</v>
      </c>
      <c r="CY23" s="394">
        <v>139.41999999999999</v>
      </c>
      <c r="CZ23" s="394">
        <v>139.41999999999999</v>
      </c>
      <c r="DA23" s="394">
        <v>139.41999999999999</v>
      </c>
      <c r="DB23" s="658">
        <v>139.41999999999999</v>
      </c>
      <c r="DC23" s="658">
        <v>139.41999999999999</v>
      </c>
    </row>
    <row r="24" spans="2:107" s="99" customFormat="1" ht="21" customHeight="1">
      <c r="B24" s="283">
        <v>119</v>
      </c>
      <c r="C24" s="389" t="s">
        <v>297</v>
      </c>
      <c r="D24" s="285" t="s">
        <v>299</v>
      </c>
      <c r="E24" s="283" t="s">
        <v>918</v>
      </c>
      <c r="F24" s="285" t="s">
        <v>705</v>
      </c>
      <c r="G24" s="283" t="s">
        <v>515</v>
      </c>
      <c r="H24" s="283"/>
      <c r="I24" s="396" t="s">
        <v>83</v>
      </c>
      <c r="J24" s="681" t="s">
        <v>520</v>
      </c>
      <c r="K24" s="519">
        <v>100</v>
      </c>
      <c r="L24" s="522">
        <v>133</v>
      </c>
      <c r="M24" s="391">
        <v>167</v>
      </c>
      <c r="N24" s="391">
        <v>214</v>
      </c>
      <c r="O24" s="391">
        <v>231</v>
      </c>
      <c r="P24" s="391">
        <v>281</v>
      </c>
      <c r="Q24" s="391">
        <v>286</v>
      </c>
      <c r="R24" s="391">
        <v>284</v>
      </c>
      <c r="S24" s="391">
        <v>284</v>
      </c>
      <c r="T24" s="391">
        <v>284</v>
      </c>
      <c r="U24" s="391">
        <v>284</v>
      </c>
      <c r="V24" s="391">
        <v>284</v>
      </c>
      <c r="W24" s="391">
        <v>270</v>
      </c>
      <c r="X24" s="391">
        <v>262</v>
      </c>
      <c r="Y24" s="391">
        <v>255</v>
      </c>
      <c r="Z24" s="391">
        <v>251</v>
      </c>
      <c r="AA24" s="391">
        <v>246</v>
      </c>
      <c r="AB24" s="391">
        <v>244</v>
      </c>
      <c r="AC24" s="391">
        <v>240</v>
      </c>
      <c r="AD24" s="391">
        <v>246</v>
      </c>
      <c r="AE24" s="391">
        <v>250</v>
      </c>
      <c r="AF24" s="391">
        <v>249</v>
      </c>
      <c r="AG24" s="391">
        <v>249</v>
      </c>
      <c r="AH24" s="391">
        <v>253</v>
      </c>
      <c r="AI24" s="391">
        <v>251</v>
      </c>
      <c r="AJ24" s="391">
        <v>272</v>
      </c>
      <c r="AK24" s="391">
        <v>288</v>
      </c>
      <c r="AL24" s="391">
        <v>287.5</v>
      </c>
      <c r="AM24" s="391">
        <v>287.5</v>
      </c>
      <c r="AN24" s="391">
        <v>287.5</v>
      </c>
      <c r="AO24" s="391">
        <v>287.5</v>
      </c>
      <c r="AP24" s="391">
        <v>287.5</v>
      </c>
      <c r="AQ24" s="391">
        <v>287.5</v>
      </c>
      <c r="AR24" s="391">
        <v>313.5</v>
      </c>
      <c r="AS24" s="391">
        <v>313.5</v>
      </c>
      <c r="AT24" s="391">
        <v>315.89999999999998</v>
      </c>
      <c r="AU24" s="391">
        <v>315.60000000000002</v>
      </c>
      <c r="AV24" s="392">
        <v>318</v>
      </c>
      <c r="AW24" s="392">
        <v>318</v>
      </c>
      <c r="AX24" s="392">
        <v>330.9</v>
      </c>
      <c r="AY24" s="392">
        <v>346</v>
      </c>
      <c r="AZ24" s="392">
        <v>346</v>
      </c>
      <c r="BA24" s="392">
        <v>346</v>
      </c>
      <c r="BB24" s="392">
        <v>346</v>
      </c>
      <c r="BC24" s="393">
        <v>442.5</v>
      </c>
      <c r="BD24" s="392">
        <v>450.9</v>
      </c>
      <c r="BE24" s="393">
        <v>450.9</v>
      </c>
      <c r="BF24" s="393">
        <v>451.2</v>
      </c>
      <c r="BG24" s="655">
        <v>451.2</v>
      </c>
      <c r="BH24" s="653">
        <v>540.9</v>
      </c>
      <c r="BI24" s="394">
        <v>540.9</v>
      </c>
      <c r="BJ24" s="394">
        <v>621.4</v>
      </c>
      <c r="BK24" s="394">
        <v>634.4</v>
      </c>
      <c r="BL24" s="394">
        <v>665.1</v>
      </c>
      <c r="BM24" s="394">
        <v>669.8</v>
      </c>
      <c r="BN24" s="394">
        <v>669.8</v>
      </c>
      <c r="BO24" s="394">
        <v>681.8</v>
      </c>
      <c r="BP24" s="394">
        <v>682</v>
      </c>
      <c r="BQ24" s="394">
        <v>682</v>
      </c>
      <c r="BR24" s="394">
        <v>682</v>
      </c>
      <c r="BS24" s="658">
        <v>682</v>
      </c>
      <c r="BT24" s="653">
        <v>682</v>
      </c>
      <c r="BU24" s="394">
        <v>682</v>
      </c>
      <c r="BV24" s="394">
        <f>BV25/100*BS24</f>
        <v>682.40919999999994</v>
      </c>
      <c r="BW24" s="394">
        <v>682.40899999999999</v>
      </c>
      <c r="BX24" s="394">
        <f t="shared" ref="BX24:DC24" si="7">BX25/100*$BS$24</f>
        <v>702.18719999999985</v>
      </c>
      <c r="BY24" s="394">
        <f t="shared" si="7"/>
        <v>718.96440000000007</v>
      </c>
      <c r="BZ24" s="395">
        <f t="shared" si="7"/>
        <v>724.07940000000008</v>
      </c>
      <c r="CA24" s="395">
        <f t="shared" si="7"/>
        <v>739.01519999999994</v>
      </c>
      <c r="CB24" s="395">
        <f t="shared" si="7"/>
        <v>746.79</v>
      </c>
      <c r="CC24" s="395">
        <f t="shared" si="7"/>
        <v>765.95420000000001</v>
      </c>
      <c r="CD24" s="395">
        <f t="shared" si="7"/>
        <v>765.95420000000001</v>
      </c>
      <c r="CE24" s="576">
        <f t="shared" si="7"/>
        <v>779.52600000000007</v>
      </c>
      <c r="CF24" s="579">
        <f t="shared" si="7"/>
        <v>806.87419999999997</v>
      </c>
      <c r="CG24" s="395">
        <f t="shared" si="7"/>
        <v>813.69420000000002</v>
      </c>
      <c r="CH24" s="395">
        <f t="shared" si="7"/>
        <v>827.1296000000001</v>
      </c>
      <c r="CI24" s="576">
        <f t="shared" si="7"/>
        <v>863.88939999999991</v>
      </c>
      <c r="CJ24" s="395">
        <f t="shared" si="7"/>
        <v>917.76739999999995</v>
      </c>
      <c r="CK24" s="395">
        <f t="shared" si="7"/>
        <v>921.9276000000001</v>
      </c>
      <c r="CL24" s="395">
        <f t="shared" si="7"/>
        <v>934.13539999999989</v>
      </c>
      <c r="CM24" s="395">
        <f t="shared" si="7"/>
        <v>946.47959999999989</v>
      </c>
      <c r="CN24" s="395">
        <f t="shared" si="7"/>
        <v>948.9348</v>
      </c>
      <c r="CO24" s="395">
        <f t="shared" si="7"/>
        <v>948.9348</v>
      </c>
      <c r="CP24" s="395">
        <f t="shared" si="7"/>
        <v>948.9348</v>
      </c>
      <c r="CQ24" s="576">
        <f t="shared" si="7"/>
        <v>967.07600000000014</v>
      </c>
      <c r="CR24" s="579">
        <f t="shared" si="7"/>
        <v>967.07600000000014</v>
      </c>
      <c r="CS24" s="395">
        <f t="shared" si="7"/>
        <v>954.45899999999995</v>
      </c>
      <c r="CT24" s="395">
        <f t="shared" si="7"/>
        <v>954.45899999999995</v>
      </c>
      <c r="CU24" s="395">
        <f t="shared" si="7"/>
        <v>954.45899999999995</v>
      </c>
      <c r="CV24" s="395">
        <f t="shared" si="7"/>
        <v>954.45899999999995</v>
      </c>
      <c r="CW24" s="395">
        <f t="shared" si="7"/>
        <v>954.45899999999995</v>
      </c>
      <c r="CX24" s="395">
        <f t="shared" si="7"/>
        <v>954.45899999999995</v>
      </c>
      <c r="CY24" s="395">
        <f t="shared" si="7"/>
        <v>954.45899999999995</v>
      </c>
      <c r="CZ24" s="395">
        <f t="shared" si="7"/>
        <v>954.45899999999995</v>
      </c>
      <c r="DA24" s="395">
        <f t="shared" si="7"/>
        <v>954.45899999999995</v>
      </c>
      <c r="DB24" s="711">
        <f t="shared" si="7"/>
        <v>954.45899999999995</v>
      </c>
      <c r="DC24" s="711">
        <f t="shared" si="7"/>
        <v>954.45899999999995</v>
      </c>
    </row>
    <row r="25" spans="2:107" s="99" customFormat="1" ht="21" customHeight="1">
      <c r="B25" s="283"/>
      <c r="C25" s="389" t="s">
        <v>297</v>
      </c>
      <c r="D25" s="285" t="s">
        <v>299</v>
      </c>
      <c r="E25" s="283" t="s">
        <v>918</v>
      </c>
      <c r="F25" s="285" t="s">
        <v>706</v>
      </c>
      <c r="G25" s="283" t="s">
        <v>515</v>
      </c>
      <c r="H25" s="283"/>
      <c r="I25" s="396"/>
      <c r="J25" s="681"/>
      <c r="K25" s="519"/>
      <c r="L25" s="522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2"/>
      <c r="AW25" s="392"/>
      <c r="AX25" s="392"/>
      <c r="AY25" s="392"/>
      <c r="AZ25" s="392"/>
      <c r="BA25" s="392"/>
      <c r="BB25" s="392"/>
      <c r="BC25" s="393"/>
      <c r="BD25" s="392"/>
      <c r="BE25" s="393"/>
      <c r="BF25" s="393"/>
      <c r="BG25" s="655"/>
      <c r="BH25" s="65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658"/>
      <c r="BT25" s="653"/>
      <c r="BU25" s="394"/>
      <c r="BV25" s="394">
        <v>100.06</v>
      </c>
      <c r="BW25" s="394">
        <v>100.06</v>
      </c>
      <c r="BX25" s="394">
        <v>102.96</v>
      </c>
      <c r="BY25" s="394">
        <v>105.42</v>
      </c>
      <c r="BZ25" s="398">
        <v>106.17</v>
      </c>
      <c r="CA25" s="398">
        <v>108.36</v>
      </c>
      <c r="CB25" s="399">
        <v>109.5</v>
      </c>
      <c r="CC25" s="399">
        <v>112.31</v>
      </c>
      <c r="CD25" s="399">
        <v>112.31</v>
      </c>
      <c r="CE25" s="578">
        <v>114.3</v>
      </c>
      <c r="CF25" s="653">
        <v>118.31</v>
      </c>
      <c r="CG25" s="399">
        <v>119.31</v>
      </c>
      <c r="CH25" s="399">
        <v>121.28</v>
      </c>
      <c r="CI25" s="578">
        <v>126.67</v>
      </c>
      <c r="CJ25" s="399">
        <v>134.57</v>
      </c>
      <c r="CK25" s="399">
        <v>135.18</v>
      </c>
      <c r="CL25" s="399">
        <v>136.97</v>
      </c>
      <c r="CM25" s="399">
        <v>138.78</v>
      </c>
      <c r="CN25" s="399">
        <v>139.13999999999999</v>
      </c>
      <c r="CO25" s="399">
        <v>139.13999999999999</v>
      </c>
      <c r="CP25" s="399">
        <v>139.13999999999999</v>
      </c>
      <c r="CQ25" s="700">
        <v>141.80000000000001</v>
      </c>
      <c r="CR25" s="653">
        <v>141.80000000000001</v>
      </c>
      <c r="CS25" s="394">
        <v>139.94999999999999</v>
      </c>
      <c r="CT25" s="394">
        <v>139.94999999999999</v>
      </c>
      <c r="CU25" s="394">
        <v>139.94999999999999</v>
      </c>
      <c r="CV25" s="394">
        <v>139.94999999999999</v>
      </c>
      <c r="CW25" s="394">
        <v>139.94999999999999</v>
      </c>
      <c r="CX25" s="394">
        <v>139.94999999999999</v>
      </c>
      <c r="CY25" s="394">
        <v>139.94999999999999</v>
      </c>
      <c r="CZ25" s="394">
        <v>139.94999999999999</v>
      </c>
      <c r="DA25" s="394">
        <v>139.94999999999999</v>
      </c>
      <c r="DB25" s="658">
        <v>139.94999999999999</v>
      </c>
      <c r="DC25" s="658">
        <v>139.94999999999999</v>
      </c>
    </row>
    <row r="26" spans="2:107" s="99" customFormat="1" ht="21" customHeight="1">
      <c r="B26" s="283">
        <v>121</v>
      </c>
      <c r="C26" s="389" t="s">
        <v>304</v>
      </c>
      <c r="D26" s="285" t="s">
        <v>305</v>
      </c>
      <c r="E26" s="283" t="s">
        <v>918</v>
      </c>
      <c r="F26" s="285" t="s">
        <v>705</v>
      </c>
      <c r="G26" s="283" t="s">
        <v>515</v>
      </c>
      <c r="H26" s="283"/>
      <c r="I26" s="396" t="s">
        <v>306</v>
      </c>
      <c r="J26" s="681" t="s">
        <v>531</v>
      </c>
      <c r="K26" s="519">
        <v>100</v>
      </c>
      <c r="L26" s="522">
        <v>125</v>
      </c>
      <c r="M26" s="391">
        <v>150</v>
      </c>
      <c r="N26" s="391">
        <v>170</v>
      </c>
      <c r="O26" s="391">
        <v>210</v>
      </c>
      <c r="P26" s="391">
        <v>205</v>
      </c>
      <c r="Q26" s="391">
        <v>238</v>
      </c>
      <c r="R26" s="391">
        <v>238</v>
      </c>
      <c r="S26" s="391">
        <v>236</v>
      </c>
      <c r="T26" s="391">
        <v>237</v>
      </c>
      <c r="U26" s="391">
        <v>236</v>
      </c>
      <c r="V26" s="391">
        <v>236</v>
      </c>
      <c r="W26" s="391">
        <v>236</v>
      </c>
      <c r="X26" s="391">
        <v>225</v>
      </c>
      <c r="Y26" s="391">
        <v>225</v>
      </c>
      <c r="Z26" s="391">
        <v>218</v>
      </c>
      <c r="AA26" s="391">
        <v>211</v>
      </c>
      <c r="AB26" s="391">
        <v>205</v>
      </c>
      <c r="AC26" s="391">
        <v>208</v>
      </c>
      <c r="AD26" s="391">
        <v>204</v>
      </c>
      <c r="AE26" s="391">
        <v>208</v>
      </c>
      <c r="AF26" s="391">
        <v>208</v>
      </c>
      <c r="AG26" s="391">
        <v>208</v>
      </c>
      <c r="AH26" s="391">
        <v>229</v>
      </c>
      <c r="AI26" s="391">
        <v>229</v>
      </c>
      <c r="AJ26" s="391">
        <v>247</v>
      </c>
      <c r="AK26" s="391">
        <v>248</v>
      </c>
      <c r="AL26" s="391">
        <v>250.9</v>
      </c>
      <c r="AM26" s="391">
        <v>251.3</v>
      </c>
      <c r="AN26" s="391">
        <v>251.3</v>
      </c>
      <c r="AO26" s="391">
        <v>251.3</v>
      </c>
      <c r="AP26" s="391">
        <v>251.3</v>
      </c>
      <c r="AQ26" s="391">
        <v>251.3</v>
      </c>
      <c r="AR26" s="391">
        <v>276.7</v>
      </c>
      <c r="AS26" s="391">
        <v>276.7</v>
      </c>
      <c r="AT26" s="391">
        <v>285.7</v>
      </c>
      <c r="AU26" s="391">
        <v>284.3</v>
      </c>
      <c r="AV26" s="392">
        <v>313.7</v>
      </c>
      <c r="AW26" s="392">
        <v>313.7</v>
      </c>
      <c r="AX26" s="392">
        <v>315.3</v>
      </c>
      <c r="AY26" s="392">
        <v>315.7</v>
      </c>
      <c r="AZ26" s="392">
        <v>319</v>
      </c>
      <c r="BA26" s="392">
        <v>326.7</v>
      </c>
      <c r="BB26" s="392">
        <v>326.7</v>
      </c>
      <c r="BC26" s="393">
        <v>334</v>
      </c>
      <c r="BD26" s="392">
        <v>337.3</v>
      </c>
      <c r="BE26" s="393">
        <v>337.3</v>
      </c>
      <c r="BF26" s="393">
        <v>345.4</v>
      </c>
      <c r="BG26" s="655">
        <v>345.4</v>
      </c>
      <c r="BH26" s="653">
        <v>316.10000000000002</v>
      </c>
      <c r="BI26" s="394">
        <v>316.10000000000002</v>
      </c>
      <c r="BJ26" s="394">
        <v>365.5</v>
      </c>
      <c r="BK26" s="394">
        <v>359</v>
      </c>
      <c r="BL26" s="394">
        <v>364</v>
      </c>
      <c r="BM26" s="394">
        <v>364</v>
      </c>
      <c r="BN26" s="394">
        <v>375.7</v>
      </c>
      <c r="BO26" s="394">
        <v>375.7</v>
      </c>
      <c r="BP26" s="394">
        <v>385.7</v>
      </c>
      <c r="BQ26" s="394">
        <v>389</v>
      </c>
      <c r="BR26" s="394">
        <v>389</v>
      </c>
      <c r="BS26" s="658">
        <v>389</v>
      </c>
      <c r="BT26" s="653">
        <v>389</v>
      </c>
      <c r="BU26" s="394">
        <v>389</v>
      </c>
      <c r="BV26" s="394">
        <f>BV27/100*BS26</f>
        <v>393.4735</v>
      </c>
      <c r="BW26" s="394">
        <v>393.47399999999999</v>
      </c>
      <c r="BX26" s="394">
        <f t="shared" ref="BX26:DC26" si="8">BX27/100*$BS$26</f>
        <v>398.33600000000001</v>
      </c>
      <c r="BY26" s="394">
        <f t="shared" si="8"/>
        <v>415.452</v>
      </c>
      <c r="BZ26" s="395">
        <f t="shared" si="8"/>
        <v>425.76050000000004</v>
      </c>
      <c r="CA26" s="395">
        <f t="shared" si="8"/>
        <v>433.77389999999997</v>
      </c>
      <c r="CB26" s="395">
        <f t="shared" si="8"/>
        <v>446.57199999999995</v>
      </c>
      <c r="CC26" s="395">
        <f t="shared" si="8"/>
        <v>459.68129999999996</v>
      </c>
      <c r="CD26" s="395">
        <f t="shared" si="8"/>
        <v>459.68129999999996</v>
      </c>
      <c r="CE26" s="576">
        <f t="shared" si="8"/>
        <v>477.18630000000007</v>
      </c>
      <c r="CF26" s="579">
        <f t="shared" si="8"/>
        <v>508.65639999999996</v>
      </c>
      <c r="CG26" s="395">
        <f t="shared" si="8"/>
        <v>515.89179999999999</v>
      </c>
      <c r="CH26" s="395">
        <f t="shared" si="8"/>
        <v>520.05409999999995</v>
      </c>
      <c r="CI26" s="576">
        <f t="shared" si="8"/>
        <v>534.44709999999998</v>
      </c>
      <c r="CJ26" s="395">
        <f t="shared" si="8"/>
        <v>544.36659999999995</v>
      </c>
      <c r="CK26" s="395">
        <f t="shared" si="8"/>
        <v>555.18079999999998</v>
      </c>
      <c r="CL26" s="395">
        <f t="shared" si="8"/>
        <v>564.43899999999996</v>
      </c>
      <c r="CM26" s="395">
        <f t="shared" si="8"/>
        <v>575.05870000000004</v>
      </c>
      <c r="CN26" s="395">
        <f t="shared" si="8"/>
        <v>579.72669999999994</v>
      </c>
      <c r="CO26" s="395">
        <f t="shared" si="8"/>
        <v>579.72669999999994</v>
      </c>
      <c r="CP26" s="395">
        <f t="shared" si="8"/>
        <v>579.72669999999994</v>
      </c>
      <c r="CQ26" s="576">
        <f t="shared" si="8"/>
        <v>607.73469999999998</v>
      </c>
      <c r="CR26" s="579">
        <f t="shared" si="8"/>
        <v>607.73469999999998</v>
      </c>
      <c r="CS26" s="395">
        <f t="shared" si="8"/>
        <v>611.35239999999999</v>
      </c>
      <c r="CT26" s="395">
        <f t="shared" si="8"/>
        <v>611.35239999999999</v>
      </c>
      <c r="CU26" s="395">
        <f t="shared" si="8"/>
        <v>611.35239999999999</v>
      </c>
      <c r="CV26" s="395">
        <f t="shared" si="8"/>
        <v>611.35239999999999</v>
      </c>
      <c r="CW26" s="395">
        <f t="shared" si="8"/>
        <v>611.35239999999999</v>
      </c>
      <c r="CX26" s="395">
        <f t="shared" si="8"/>
        <v>611.35239999999999</v>
      </c>
      <c r="CY26" s="395">
        <f t="shared" si="8"/>
        <v>611.35239999999999</v>
      </c>
      <c r="CZ26" s="395">
        <f t="shared" si="8"/>
        <v>611.35239999999999</v>
      </c>
      <c r="DA26" s="395">
        <f t="shared" si="8"/>
        <v>611.35239999999999</v>
      </c>
      <c r="DB26" s="711">
        <f t="shared" si="8"/>
        <v>611.35239999999999</v>
      </c>
      <c r="DC26" s="711">
        <f t="shared" si="8"/>
        <v>611.35239999999999</v>
      </c>
    </row>
    <row r="27" spans="2:107" s="99" customFormat="1" ht="21" customHeight="1" thickBot="1">
      <c r="B27" s="283"/>
      <c r="C27" s="389" t="s">
        <v>304</v>
      </c>
      <c r="D27" s="285" t="s">
        <v>305</v>
      </c>
      <c r="E27" s="283" t="s">
        <v>918</v>
      </c>
      <c r="F27" s="285" t="s">
        <v>706</v>
      </c>
      <c r="G27" s="283" t="s">
        <v>515</v>
      </c>
      <c r="H27" s="283"/>
      <c r="I27" s="396"/>
      <c r="J27" s="681"/>
      <c r="K27" s="713"/>
      <c r="L27" s="714"/>
      <c r="M27" s="685"/>
      <c r="N27" s="685"/>
      <c r="O27" s="685"/>
      <c r="P27" s="685"/>
      <c r="Q27" s="685"/>
      <c r="R27" s="685"/>
      <c r="S27" s="685"/>
      <c r="T27" s="685"/>
      <c r="U27" s="685"/>
      <c r="V27" s="685"/>
      <c r="W27" s="685"/>
      <c r="X27" s="685"/>
      <c r="Y27" s="685"/>
      <c r="Z27" s="685"/>
      <c r="AA27" s="685"/>
      <c r="AB27" s="685"/>
      <c r="AC27" s="685"/>
      <c r="AD27" s="685"/>
      <c r="AE27" s="685"/>
      <c r="AF27" s="685"/>
      <c r="AG27" s="685"/>
      <c r="AH27" s="685"/>
      <c r="AI27" s="685"/>
      <c r="AJ27" s="685"/>
      <c r="AK27" s="685"/>
      <c r="AL27" s="685"/>
      <c r="AM27" s="685"/>
      <c r="AN27" s="685"/>
      <c r="AO27" s="685"/>
      <c r="AP27" s="685"/>
      <c r="AQ27" s="685"/>
      <c r="AR27" s="685"/>
      <c r="AS27" s="685"/>
      <c r="AT27" s="685"/>
      <c r="AU27" s="685"/>
      <c r="AV27" s="715"/>
      <c r="AW27" s="715"/>
      <c r="AX27" s="715"/>
      <c r="AY27" s="715"/>
      <c r="AZ27" s="715"/>
      <c r="BA27" s="715"/>
      <c r="BB27" s="715"/>
      <c r="BC27" s="716"/>
      <c r="BD27" s="715"/>
      <c r="BE27" s="716"/>
      <c r="BF27" s="716"/>
      <c r="BG27" s="717"/>
      <c r="BH27" s="718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20"/>
      <c r="BT27" s="718"/>
      <c r="BU27" s="719"/>
      <c r="BV27" s="719">
        <v>101.15</v>
      </c>
      <c r="BW27" s="719">
        <v>101.15</v>
      </c>
      <c r="BX27" s="719">
        <v>102.4</v>
      </c>
      <c r="BY27" s="719">
        <v>106.8</v>
      </c>
      <c r="BZ27" s="721">
        <v>109.45</v>
      </c>
      <c r="CA27" s="721">
        <v>111.51</v>
      </c>
      <c r="CB27" s="722">
        <v>114.8</v>
      </c>
      <c r="CC27" s="722">
        <v>118.17</v>
      </c>
      <c r="CD27" s="722">
        <v>118.17</v>
      </c>
      <c r="CE27" s="723">
        <v>122.67</v>
      </c>
      <c r="CF27" s="718">
        <v>130.76</v>
      </c>
      <c r="CG27" s="722">
        <v>132.62</v>
      </c>
      <c r="CH27" s="722">
        <v>133.69</v>
      </c>
      <c r="CI27" s="723">
        <v>137.38999999999999</v>
      </c>
      <c r="CJ27" s="722">
        <v>139.94</v>
      </c>
      <c r="CK27" s="722">
        <v>142.72</v>
      </c>
      <c r="CL27" s="722">
        <v>145.1</v>
      </c>
      <c r="CM27" s="722">
        <v>147.83000000000001</v>
      </c>
      <c r="CN27" s="722">
        <v>149.03</v>
      </c>
      <c r="CO27" s="722">
        <v>149.03</v>
      </c>
      <c r="CP27" s="722">
        <v>149.03</v>
      </c>
      <c r="CQ27" s="724">
        <v>156.22999999999999</v>
      </c>
      <c r="CR27" s="718">
        <v>156.22999999999999</v>
      </c>
      <c r="CS27" s="719">
        <v>157.16</v>
      </c>
      <c r="CT27" s="719">
        <v>157.16</v>
      </c>
      <c r="CU27" s="719">
        <v>157.16</v>
      </c>
      <c r="CV27" s="719">
        <v>157.16</v>
      </c>
      <c r="CW27" s="719">
        <v>157.16</v>
      </c>
      <c r="CX27" s="719">
        <v>157.16</v>
      </c>
      <c r="CY27" s="719">
        <v>157.16</v>
      </c>
      <c r="CZ27" s="719">
        <v>157.16</v>
      </c>
      <c r="DA27" s="719">
        <v>157.16</v>
      </c>
      <c r="DB27" s="720">
        <v>157.16</v>
      </c>
      <c r="DC27" s="720">
        <v>157.16</v>
      </c>
    </row>
    <row r="28" spans="2:107" s="99" customFormat="1">
      <c r="B28" s="143"/>
      <c r="C28" s="143"/>
      <c r="D28" s="143"/>
      <c r="E28" s="143"/>
      <c r="F28" s="144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32"/>
      <c r="BT28" s="143"/>
      <c r="BU28" s="143"/>
      <c r="BV28" s="143"/>
      <c r="BW28" s="143"/>
      <c r="BX28" s="143"/>
      <c r="BY28" s="143"/>
      <c r="BZ28" s="144"/>
      <c r="CA28" s="143"/>
      <c r="CB28" s="143"/>
      <c r="CC28" s="144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650"/>
      <c r="CR28" s="143"/>
      <c r="CS28" s="143"/>
      <c r="CT28" s="143"/>
      <c r="CU28" s="143"/>
      <c r="CV28" s="143"/>
      <c r="CW28" s="143"/>
    </row>
    <row r="30" spans="2:107">
      <c r="BY30" s="581"/>
    </row>
  </sheetData>
  <mergeCells count="17">
    <mergeCell ref="D4:BS4"/>
    <mergeCell ref="AO8:AU8"/>
    <mergeCell ref="AV8:BG8"/>
    <mergeCell ref="BH8:BS8"/>
    <mergeCell ref="J8:J9"/>
    <mergeCell ref="L8:W8"/>
    <mergeCell ref="X8:AI8"/>
    <mergeCell ref="CR8:DC8"/>
    <mergeCell ref="B8:C8"/>
    <mergeCell ref="G8:G9"/>
    <mergeCell ref="H8:H9"/>
    <mergeCell ref="I8:I9"/>
    <mergeCell ref="F8:F9"/>
    <mergeCell ref="E8:E9"/>
    <mergeCell ref="D8:D9"/>
    <mergeCell ref="BT8:CE8"/>
    <mergeCell ref="CF8:CQ8"/>
  </mergeCells>
  <phoneticPr fontId="24" type="noConversion"/>
  <printOptions horizontalCentered="1"/>
  <pageMargins left="0.19685039370078741" right="0.19685039370078741" top="0.78740157480314965" bottom="0.59055118110236227" header="0" footer="0"/>
  <pageSetup paperSize="5" scale="57" firstPageNumber="20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2:BD225"/>
  <sheetViews>
    <sheetView view="pageBreakPreview" topLeftCell="A4" zoomScale="75" workbookViewId="0">
      <pane xSplit="1" ySplit="4" topLeftCell="B8" activePane="bottomRight" state="frozen"/>
      <selection activeCell="A4" sqref="A4"/>
      <selection pane="topRight" activeCell="B4" sqref="B4"/>
      <selection pane="bottomLeft" activeCell="A8" sqref="A8"/>
      <selection pane="bottomRight" activeCell="A11" sqref="A11"/>
    </sheetView>
  </sheetViews>
  <sheetFormatPr baseColWidth="10" defaultColWidth="11.42578125" defaultRowHeight="12.75"/>
  <cols>
    <col min="1" max="1" width="4.7109375" style="64" customWidth="1"/>
    <col min="2" max="2" width="13" style="64" customWidth="1"/>
    <col min="3" max="3" width="51.140625" style="64" customWidth="1"/>
    <col min="4" max="14" width="6.7109375" style="66" hidden="1" customWidth="1"/>
    <col min="15" max="16" width="6.7109375" style="67" hidden="1" customWidth="1"/>
    <col min="17" max="17" width="6.7109375" style="64" hidden="1" customWidth="1"/>
    <col min="18" max="18" width="7.7109375" style="64" hidden="1" customWidth="1"/>
    <col min="19" max="19" width="6.7109375" style="64" hidden="1" customWidth="1"/>
    <col min="20" max="28" width="8.42578125" style="64" hidden="1" customWidth="1"/>
    <col min="29" max="30" width="8.5703125" style="64" hidden="1" customWidth="1"/>
    <col min="31" max="31" width="8.7109375" style="64" hidden="1" customWidth="1"/>
    <col min="32" max="33" width="0" style="64" hidden="1" customWidth="1"/>
    <col min="34" max="16384" width="11.42578125" style="64"/>
  </cols>
  <sheetData>
    <row r="2" spans="2:56">
      <c r="C2" s="65"/>
    </row>
    <row r="3" spans="2:56">
      <c r="B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P3" s="70"/>
      <c r="Q3" s="1"/>
      <c r="R3" s="1"/>
      <c r="S3" s="1"/>
    </row>
    <row r="4" spans="2:56" ht="24.75" customHeight="1">
      <c r="B4" s="58" t="s">
        <v>463</v>
      </c>
      <c r="C4" s="58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  <c r="R4" s="1"/>
      <c r="S4" s="1"/>
    </row>
    <row r="5" spans="2:56" ht="13.5" thickBot="1">
      <c r="B5" s="13"/>
      <c r="C5" s="1"/>
      <c r="D5" s="72">
        <v>10</v>
      </c>
      <c r="E5" s="72">
        <v>11</v>
      </c>
      <c r="F5" s="72">
        <v>12</v>
      </c>
      <c r="G5" s="72">
        <v>13</v>
      </c>
      <c r="H5" s="72">
        <v>14</v>
      </c>
      <c r="I5" s="72">
        <v>15</v>
      </c>
      <c r="J5" s="72">
        <v>16</v>
      </c>
      <c r="K5" s="72">
        <v>17</v>
      </c>
      <c r="L5" s="72">
        <v>18</v>
      </c>
      <c r="M5" s="72">
        <v>19</v>
      </c>
      <c r="N5" s="72">
        <v>20</v>
      </c>
      <c r="O5" s="73">
        <v>21</v>
      </c>
      <c r="P5" s="73">
        <v>22</v>
      </c>
      <c r="Q5" s="72">
        <v>23</v>
      </c>
      <c r="R5" s="72">
        <v>24</v>
      </c>
      <c r="S5" s="72">
        <v>25</v>
      </c>
      <c r="T5" s="74">
        <v>26</v>
      </c>
      <c r="U5" s="74">
        <v>27</v>
      </c>
      <c r="V5" s="74">
        <v>28</v>
      </c>
      <c r="W5" s="74">
        <v>29</v>
      </c>
      <c r="X5" s="74">
        <v>30</v>
      </c>
      <c r="Y5" s="74">
        <v>31</v>
      </c>
      <c r="Z5" s="74">
        <v>32</v>
      </c>
      <c r="AA5" s="74">
        <v>33</v>
      </c>
      <c r="AB5" s="74">
        <v>34</v>
      </c>
      <c r="AC5" s="64">
        <v>35</v>
      </c>
      <c r="AD5" s="64">
        <v>36</v>
      </c>
      <c r="AE5" s="64">
        <v>37</v>
      </c>
      <c r="AF5" s="64">
        <v>38</v>
      </c>
      <c r="AG5" s="64">
        <v>39</v>
      </c>
      <c r="AH5" s="64">
        <v>40</v>
      </c>
      <c r="AI5" s="64">
        <v>41</v>
      </c>
      <c r="AJ5" s="64">
        <v>42</v>
      </c>
      <c r="AK5" s="64">
        <v>43</v>
      </c>
      <c r="AL5" s="64">
        <v>44</v>
      </c>
      <c r="AM5" s="64">
        <v>45</v>
      </c>
      <c r="AN5" s="64">
        <v>46</v>
      </c>
      <c r="AO5" s="64">
        <v>47</v>
      </c>
      <c r="AP5" s="64">
        <v>48</v>
      </c>
      <c r="AQ5" s="64">
        <v>49</v>
      </c>
      <c r="AR5" s="64">
        <v>50</v>
      </c>
      <c r="AS5" s="64">
        <v>51</v>
      </c>
      <c r="AT5" s="64">
        <v>52</v>
      </c>
      <c r="AU5" s="64">
        <v>53</v>
      </c>
      <c r="AV5" s="64">
        <v>54</v>
      </c>
      <c r="AW5" s="64">
        <v>55</v>
      </c>
      <c r="AX5" s="64">
        <v>56</v>
      </c>
      <c r="AY5" s="64">
        <v>57</v>
      </c>
      <c r="AZ5" s="64">
        <v>58</v>
      </c>
      <c r="BA5" s="64">
        <v>59</v>
      </c>
      <c r="BB5" s="64">
        <v>60</v>
      </c>
      <c r="BC5" s="64">
        <v>61</v>
      </c>
      <c r="BD5" s="64">
        <v>62</v>
      </c>
    </row>
    <row r="6" spans="2:56" ht="29.25" customHeight="1" thickBot="1">
      <c r="B6" s="75" t="s">
        <v>893</v>
      </c>
      <c r="C6" s="76" t="s">
        <v>464</v>
      </c>
      <c r="D6" s="77">
        <v>2001</v>
      </c>
      <c r="E6" s="2978">
        <v>2002</v>
      </c>
      <c r="F6" s="2979"/>
      <c r="G6" s="2979"/>
      <c r="H6" s="2979"/>
      <c r="I6" s="2979"/>
      <c r="J6" s="2979"/>
      <c r="K6" s="2979"/>
      <c r="L6" s="2979"/>
      <c r="M6" s="2979"/>
      <c r="N6" s="2979"/>
      <c r="O6" s="2979"/>
      <c r="P6" s="2980"/>
      <c r="Q6" s="2981">
        <v>2003</v>
      </c>
      <c r="R6" s="2982"/>
      <c r="S6" s="2982"/>
      <c r="T6" s="2983"/>
      <c r="U6" s="2983"/>
      <c r="V6" s="2983"/>
      <c r="W6" s="2983"/>
      <c r="X6" s="2983"/>
      <c r="Y6" s="2983"/>
      <c r="Z6" s="2983"/>
      <c r="AA6" s="2983"/>
      <c r="AB6" s="2984"/>
      <c r="AC6" s="2985">
        <v>2004</v>
      </c>
      <c r="AD6" s="2986"/>
      <c r="AE6" s="2986"/>
      <c r="AF6" s="2986"/>
      <c r="AG6" s="2986"/>
      <c r="AH6" s="2986"/>
      <c r="AI6" s="2986"/>
      <c r="AJ6" s="2986"/>
      <c r="AK6" s="2986"/>
      <c r="AL6" s="2986"/>
      <c r="AM6" s="2986"/>
      <c r="AN6" s="2987"/>
      <c r="AO6" s="2985">
        <v>2005</v>
      </c>
      <c r="AP6" s="2986"/>
      <c r="AQ6" s="2986"/>
      <c r="AR6" s="2986"/>
      <c r="AS6" s="2986"/>
      <c r="AT6" s="2986"/>
      <c r="AU6" s="2986"/>
      <c r="AV6" s="2986"/>
      <c r="AW6" s="2986"/>
      <c r="AX6" s="2986"/>
      <c r="AY6" s="2986"/>
      <c r="AZ6" s="2987"/>
      <c r="BA6" s="95">
        <v>2006</v>
      </c>
    </row>
    <row r="7" spans="2:56" ht="13.5" customHeight="1" thickBot="1">
      <c r="B7" s="5" t="s">
        <v>900</v>
      </c>
      <c r="C7" s="78"/>
      <c r="D7" s="79" t="s">
        <v>577</v>
      </c>
      <c r="E7" s="19" t="s">
        <v>578</v>
      </c>
      <c r="F7" s="19" t="s">
        <v>579</v>
      </c>
      <c r="G7" s="19" t="s">
        <v>580</v>
      </c>
      <c r="H7" s="19" t="s">
        <v>581</v>
      </c>
      <c r="I7" s="19" t="s">
        <v>582</v>
      </c>
      <c r="J7" s="19" t="s">
        <v>583</v>
      </c>
      <c r="K7" s="19" t="s">
        <v>903</v>
      </c>
      <c r="L7" s="19" t="s">
        <v>588</v>
      </c>
      <c r="M7" s="19" t="s">
        <v>589</v>
      </c>
      <c r="N7" s="19" t="s">
        <v>590</v>
      </c>
      <c r="O7" s="19" t="s">
        <v>586</v>
      </c>
      <c r="P7" s="80" t="s">
        <v>577</v>
      </c>
      <c r="Q7" s="6" t="s">
        <v>578</v>
      </c>
      <c r="R7" s="6" t="s">
        <v>579</v>
      </c>
      <c r="S7" s="81" t="s">
        <v>465</v>
      </c>
      <c r="T7" s="81" t="s">
        <v>466</v>
      </c>
      <c r="U7" s="81" t="s">
        <v>467</v>
      </c>
      <c r="V7" s="81" t="s">
        <v>902</v>
      </c>
      <c r="W7" s="81" t="s">
        <v>903</v>
      </c>
      <c r="X7" s="81" t="s">
        <v>904</v>
      </c>
      <c r="Y7" s="81" t="s">
        <v>646</v>
      </c>
      <c r="Z7" s="81" t="s">
        <v>590</v>
      </c>
      <c r="AA7" s="81" t="s">
        <v>586</v>
      </c>
      <c r="AB7" s="81" t="s">
        <v>577</v>
      </c>
      <c r="AC7" s="81" t="s">
        <v>578</v>
      </c>
      <c r="AD7" s="81" t="s">
        <v>579</v>
      </c>
      <c r="AE7" s="81" t="s">
        <v>465</v>
      </c>
      <c r="AF7" s="64" t="s">
        <v>466</v>
      </c>
      <c r="AG7" s="81" t="s">
        <v>467</v>
      </c>
      <c r="AH7" s="96">
        <v>38139</v>
      </c>
      <c r="AI7" s="97">
        <v>38169</v>
      </c>
      <c r="AJ7" s="96">
        <v>38200</v>
      </c>
      <c r="AK7" s="97">
        <v>38231</v>
      </c>
      <c r="AL7" s="96">
        <v>38261</v>
      </c>
      <c r="AM7" s="97">
        <v>38292</v>
      </c>
      <c r="AN7" s="96">
        <v>38322</v>
      </c>
      <c r="AO7" s="98">
        <v>38353</v>
      </c>
      <c r="AP7" s="98">
        <v>38384</v>
      </c>
      <c r="AQ7" s="98">
        <v>38412</v>
      </c>
      <c r="AR7" s="98">
        <v>38443</v>
      </c>
      <c r="AS7" s="98">
        <v>38473</v>
      </c>
      <c r="AT7" s="98">
        <v>38504</v>
      </c>
      <c r="AU7" s="98">
        <v>38534</v>
      </c>
      <c r="AV7" s="98">
        <v>38565</v>
      </c>
      <c r="AW7" s="98">
        <v>38596</v>
      </c>
      <c r="AX7" s="98">
        <v>38626</v>
      </c>
      <c r="AY7" s="98">
        <v>38657</v>
      </c>
      <c r="AZ7" s="98">
        <v>38687</v>
      </c>
      <c r="BA7" s="98">
        <v>38718</v>
      </c>
    </row>
    <row r="8" spans="2:56" ht="15" customHeight="1">
      <c r="B8" s="82">
        <v>19</v>
      </c>
      <c r="C8" s="83" t="str">
        <f>(IF($B8&gt;0,VLOOKUP($B8,'TABLA FINAL '!$B$5:$AW$210,3,FALSE)))</f>
        <v>Acero aletado conformado, en barra</v>
      </c>
      <c r="D8" s="83">
        <f>(IF($B8&gt;0,(VLOOKUP($B8,'TABLA FINAL '!$B$5:$AW$210,10,FALSE)/VLOOKUP($B8,'TABLA FINAL '!$B$5:$AW$210,10,FALSE)*100)))</f>
        <v>100</v>
      </c>
      <c r="E8" s="83">
        <f>(IF($B8&gt;0,(VLOOKUP($B8,'TABLA FINAL '!$B$5:$AW$210,$E$5,FALSE)/VLOOKUP($B8,'TABLA FINAL '!$B$5:$AW$210,10,FALSE)*100)))</f>
        <v>112.68498942917549</v>
      </c>
      <c r="F8" s="83">
        <f>(IF($B8&gt;0,(VLOOKUP($B8,'TABLA FINAL '!$B$5:$AW$210,F$5,FALSE)/VLOOKUP($B8,'TABLA FINAL '!$B$5:$AW$210,10,FALSE)*100)))</f>
        <v>121.98731501057082</v>
      </c>
      <c r="G8" s="83">
        <f>(IF($B8&gt;0,(VLOOKUP($B8,'TABLA FINAL '!$B$5:$AW$210,G$5,FALSE)/VLOOKUP($B8,'TABLA FINAL '!$B$5:$AW$210,10,FALSE)*100)))</f>
        <v>130.33826638477802</v>
      </c>
      <c r="H8" s="83">
        <f>(IF($B8&gt;0,(VLOOKUP($B8,'TABLA FINAL '!$B$5:$AW$210,H$5,FALSE)/VLOOKUP($B8,'TABLA FINAL '!$B$5:$AW$210,10,FALSE)*100)))</f>
        <v>172.83298097251588</v>
      </c>
      <c r="I8" s="83">
        <f>(IF($B8&gt;0,(VLOOKUP($B8,'TABLA FINAL '!$B$5:$AW$210,I$5,FALSE)/VLOOKUP($B8,'TABLA FINAL '!$B$5:$AW$210,10,FALSE)*100)))</f>
        <v>193.12896405919662</v>
      </c>
      <c r="J8" s="83">
        <f>(IF($B8&gt;0,(VLOOKUP($B8,'TABLA FINAL '!$B$5:$AW$210,J$5,FALSE)/VLOOKUP($B8,'TABLA FINAL '!$B$5:$AW$210,10,FALSE)*100)))</f>
        <v>207.71670190274841</v>
      </c>
      <c r="K8" s="83">
        <f>(IF($B8&gt;0,(VLOOKUP($B8,'TABLA FINAL '!$B$5:$AW$210,K$5,FALSE)/VLOOKUP($B8,'TABLA FINAL '!$B$5:$AW$210,10,FALSE)*100)))</f>
        <v>249.26004228329813</v>
      </c>
      <c r="L8" s="83">
        <f>(IF($B8&gt;0,(VLOOKUP($B8,'TABLA FINAL '!$B$5:$AW$210,L$5,FALSE)/VLOOKUP($B8,'TABLA FINAL '!$B$5:$AW$210,10,FALSE)*100)))</f>
        <v>256.97674418604652</v>
      </c>
      <c r="M8" s="83">
        <f>(IF($B8&gt;0,(VLOOKUP($B8,'TABLA FINAL '!$B$5:$AW$210,M$5,FALSE)/VLOOKUP($B8,'TABLA FINAL '!$B$5:$AW$210,10,FALSE)*100)))</f>
        <v>258.45665961945031</v>
      </c>
      <c r="N8" s="83">
        <f>(IF($B8&gt;0,(VLOOKUP($B8,'TABLA FINAL '!$B$5:$AW$210,N$5,FALSE)/VLOOKUP($B8,'TABLA FINAL '!$B$5:$AW$210,10,FALSE)*100)))</f>
        <v>257.92811839323468</v>
      </c>
      <c r="O8" s="83">
        <f>(IF($B8&gt;0,(VLOOKUP($B8,'TABLA FINAL '!$B$5:$AW$210,O$5,FALSE)/VLOOKUP($B8,'TABLA FINAL '!$B$5:$AW$210,10,FALSE)*100)))</f>
        <v>255.49682875264273</v>
      </c>
      <c r="P8" s="83">
        <f>(IF($B8&gt;0,(VLOOKUP($B8,'TABLA FINAL '!$B$5:$AW$210,P$5,FALSE)/VLOOKUP($B8,'TABLA FINAL '!$B$5:$AW$210,10,FALSE)*100)))</f>
        <v>252.43128964059198</v>
      </c>
      <c r="Q8" s="83">
        <f>(IF($B8&gt;0,(VLOOKUP($B8,'TABLA FINAL '!$B$5:$AW$210,Q$5,FALSE)/VLOOKUP($B8,'TABLA FINAL '!$B$5:$AW$210,10,FALSE)*100)))</f>
        <v>252.8541226215645</v>
      </c>
      <c r="R8" s="83">
        <f>(IF($B8&gt;0,(VLOOKUP($B8,'TABLA FINAL '!$B$5:$AW$210,R$5,FALSE)/VLOOKUP($B8,'TABLA FINAL '!$B$5:$AW$210,10,FALSE)*100)))</f>
        <v>250.63424947145882</v>
      </c>
      <c r="S8" s="83">
        <f>(IF($B8&gt;0,(VLOOKUP($B8,'TABLA FINAL '!$B$5:$AW$210,S$5,FALSE)/VLOOKUP($B8,'TABLA FINAL '!$B$5:$AW$210,10,FALSE)*100)))</f>
        <v>252.74841437632136</v>
      </c>
      <c r="T8" s="83">
        <f>(IF($B8&gt;0,(VLOOKUP($B8,'TABLA FINAL '!$B$5:$AW$210,T$5,FALSE)/VLOOKUP($B8,'TABLA FINAL '!$B$5:$AW$210,10,FALSE)*100)))</f>
        <v>259.83086680761102</v>
      </c>
      <c r="U8" s="83">
        <f>(IF($B8&gt;0,(VLOOKUP($B8,'TABLA FINAL '!$B$5:$AW$210,U$5,FALSE)/VLOOKUP($B8,'TABLA FINAL '!$B$5:$AW$210,10,FALSE)*100)))</f>
        <v>260.88794926004232</v>
      </c>
      <c r="V8" s="83">
        <f>(IF($B8&gt;0,(VLOOKUP($B8,'TABLA FINAL '!$B$5:$AW$210,V$5,FALSE)/VLOOKUP($B8,'TABLA FINAL '!$B$5:$AW$210,10,FALSE)*100)))</f>
        <v>258.56236786469344</v>
      </c>
      <c r="W8" s="83">
        <f>(IF($B8&gt;0,(VLOOKUP($B8,'TABLA FINAL '!$B$5:$AW$210,W$5,FALSE)/VLOOKUP($B8,'TABLA FINAL '!$B$5:$AW$210,10,FALSE)*100)))</f>
        <v>258.13953488372096</v>
      </c>
      <c r="X8" s="83">
        <f>(IF($B8&gt;0,(VLOOKUP($B8,'TABLA FINAL '!$B$5:$AW$210,X$5,FALSE)/VLOOKUP($B8,'TABLA FINAL '!$B$5:$AW$210,10,FALSE)*100)))</f>
        <v>257.08245243128965</v>
      </c>
      <c r="Y8" s="83">
        <f>(IF($B8&gt;0,(VLOOKUP($B8,'TABLA FINAL '!$B$5:$AW$210,Y$5,FALSE)/VLOOKUP($B8,'TABLA FINAL '!$B$5:$AW$210,10,FALSE)*100)))</f>
        <v>257.08245243128965</v>
      </c>
      <c r="Z8" s="83">
        <f>(IF($B8&gt;0,(VLOOKUP($B8,'TABLA FINAL '!$B$5:$AW$210,Z$5,FALSE)/VLOOKUP($B8,'TABLA FINAL '!$B$5:$AW$210,10,FALSE)*100)))</f>
        <v>257.5052854122622</v>
      </c>
      <c r="AA8" s="83">
        <f>(IF($B8&gt;0,(VLOOKUP($B8,'TABLA FINAL '!$B$5:$AW$210,AA$5,FALSE)/VLOOKUP($B8,'TABLA FINAL '!$B$5:$AW$210,10,FALSE)*100)))</f>
        <v>261.73361522198729</v>
      </c>
      <c r="AB8" s="83">
        <f>(IF($B8&gt;0,(VLOOKUP($B8,'TABLA FINAL '!$B$5:$AW$210,AB$5,FALSE)/VLOOKUP($B8,'TABLA FINAL '!$B$5:$AW$210,10,FALSE)*100)))</f>
        <v>266.06765327695558</v>
      </c>
      <c r="AC8" s="83">
        <f>(IF($B8&gt;0,(VLOOKUP($B8,'TABLA FINAL '!$B$5:$AW$210,AC$5,FALSE)/VLOOKUP($B8,'TABLA FINAL '!$B$5:$AW$210,10,FALSE)*100)))</f>
        <v>274.41860465116281</v>
      </c>
      <c r="AD8" s="83">
        <f>(IF($B8&gt;0,(VLOOKUP($B8,'TABLA FINAL '!$B$5:$AW$210,AD$5,FALSE)/VLOOKUP($B8,'TABLA FINAL '!$B$5:$AW$210,10,FALSE)*100)))</f>
        <v>299.78858350951378</v>
      </c>
      <c r="AE8" s="83">
        <f>(IF($B8&gt;0,(VLOOKUP($B8,'TABLA FINAL '!$B$5:$AW$210,AE$5,FALSE)/VLOOKUP($B8,'TABLA FINAL '!$B$5:$AW$210,10,FALSE)*100)))</f>
        <v>341.01479915433413</v>
      </c>
      <c r="AF8" s="83">
        <f>(IF($B8&gt;0,(VLOOKUP($B8,'TABLA FINAL '!$B$5:$AW$210,AF$5,FALSE)/VLOOKUP($B8,'TABLA FINAL '!$B$5:$AW$210,10,FALSE)*100)))</f>
        <v>353.80549682875267</v>
      </c>
      <c r="AG8" s="83">
        <f>(IF($B8&gt;0,(VLOOKUP($B8,'TABLA FINAL '!$B$5:$AW$210,AG$5,FALSE)/VLOOKUP($B8,'TABLA FINAL '!$B$5:$AW$210,10,FALSE)*100)))</f>
        <v>361.41649048625794</v>
      </c>
      <c r="AH8" s="83">
        <f>(IF($B8&gt;0,(VLOOKUP($B8,'TABLA FINAL '!$B$5:$AW$210,AH$5,FALSE)/VLOOKUP($B8,'TABLA FINAL '!$B$5:$AW$210,10,FALSE)*100)))</f>
        <v>374.84143763213535</v>
      </c>
      <c r="AI8" s="83">
        <f>(IF($B8&gt;0,(VLOOKUP($B8,'TABLA FINAL '!$B$5:$AW$210,AI$5,FALSE)/VLOOKUP($B8,'TABLA FINAL '!$B$5:$AW$210,10,FALSE)*100)))</f>
        <v>374.20718816067654</v>
      </c>
      <c r="AJ8" s="83">
        <f>(IF($B8&gt;0,(VLOOKUP($B8,'TABLA FINAL '!$B$5:$AW$210,AJ$5,FALSE)/VLOOKUP($B8,'TABLA FINAL '!$B$5:$AW$210,10,FALSE)*100)))</f>
        <v>375.68710359408033</v>
      </c>
      <c r="AK8" s="83">
        <f>(IF($B8&gt;0,(VLOOKUP($B8,'TABLA FINAL '!$B$5:$AW$210,AK$5,FALSE)/VLOOKUP($B8,'TABLA FINAL '!$B$5:$AW$210,10,FALSE)*100)))</f>
        <v>373.99577167019032</v>
      </c>
      <c r="AL8" s="83">
        <f>(IF($B8&gt;0,(VLOOKUP($B8,'TABLA FINAL '!$B$5:$AW$210,AL$5,FALSE)/VLOOKUP($B8,'TABLA FINAL '!$B$5:$AW$210,10,FALSE)*100)))</f>
        <v>376.53276955602541</v>
      </c>
      <c r="AM8" s="83">
        <f>(IF($B8&gt;0,(VLOOKUP($B8,'TABLA FINAL '!$B$5:$AW$210,AM$5,FALSE)/VLOOKUP($B8,'TABLA FINAL '!$B$5:$AW$210,10,FALSE)*100)))</f>
        <v>381.50105708245241</v>
      </c>
      <c r="AN8" s="83">
        <f>(IF($B8&gt;0,(VLOOKUP($B8,'TABLA FINAL '!$B$5:$AW$210,AN$5,FALSE)/VLOOKUP($B8,'TABLA FINAL '!$B$5:$AW$210,10,FALSE)*100)))</f>
        <v>381.71247357293873</v>
      </c>
      <c r="AO8" s="83">
        <f>(IF($B8&gt;0,(VLOOKUP($B8,'TABLA FINAL '!$B$5:$AW$210,AO$5,FALSE)/VLOOKUP($B8,'TABLA FINAL '!$B$5:$AW$210,10,FALSE)*100)))</f>
        <v>380.65539112050743</v>
      </c>
      <c r="AP8" s="83">
        <f>(IF($B8&gt;0,(VLOOKUP($B8,'TABLA FINAL '!$B$5:$DQ$210,AP$5,FALSE)/VLOOKUP($B8,'TABLA FINAL '!$B$5:$DQ210,10,FALSE)*100)))</f>
        <v>387.73784355179708</v>
      </c>
      <c r="AQ8" s="83">
        <f>(IF($B8&gt;0,(VLOOKUP($B8,'TABLA FINAL '!$B$5:$DQ$210,AQ$5,FALSE)/VLOOKUP($B8,'TABLA FINAL '!$B$5:$DQ210,10,FALSE)*100)))</f>
        <v>388.68921775898519</v>
      </c>
      <c r="AR8" s="83">
        <f>(IF($B8&gt;0,(VLOOKUP($B8,'TABLA FINAL '!$B$5:$DQ$210,AR$5,FALSE)/VLOOKUP($B8,'TABLA FINAL '!$B$5:$DQ210,10,FALSE)*100)))</f>
        <v>389.7463002114165</v>
      </c>
      <c r="AS8" s="83">
        <f>(IF($B8&gt;0,(VLOOKUP($B8,'TABLA FINAL '!$B$5:$DQ$210,AS$5,FALSE)/VLOOKUP($B8,'TABLA FINAL '!$B$5:$DQ210,10,FALSE)*100)))</f>
        <v>389.21775898520087</v>
      </c>
      <c r="AT8" s="83">
        <f>(IF($B8&gt;0,(VLOOKUP($B8,'TABLA FINAL '!$B$5:$DQ$210,AT$5,FALSE)/VLOOKUP($B8,'TABLA FINAL '!$B$5:$DQ210,10,FALSE)*100)))</f>
        <v>389.11205073995779</v>
      </c>
      <c r="AU8" s="83">
        <f>(IF($B8&gt;0,(VLOOKUP($B8,'TABLA FINAL '!$B$5:$DQ$210,AU$5,FALSE)/VLOOKUP($B8,'TABLA FINAL '!$B$5:$DQ210,10,FALSE)*100)))</f>
        <v>389.0063424947146</v>
      </c>
      <c r="AV8" s="83">
        <f>(IF($B8&gt;0,(VLOOKUP($B8,'TABLA FINAL '!$B$5:$DQ$210,AV$5,FALSE)/VLOOKUP($B8,'TABLA FINAL '!$B$5:$DQ210,10,FALSE)*100)))</f>
        <v>389.0063424947146</v>
      </c>
      <c r="AW8" s="83">
        <f>(IF($B8&gt;0,(VLOOKUP($B8,'TABLA FINAL '!$B$5:$DQ$210,AW$5,FALSE)/VLOOKUP($B8,'TABLA FINAL '!$B$5:$DQ210,10,FALSE)*100)))</f>
        <v>389.0063424947146</v>
      </c>
      <c r="AX8" s="83">
        <f>(IF($B8&gt;0,(VLOOKUP($B8,'TABLA FINAL '!$B$5:$DQ$210,AX$5,FALSE)/VLOOKUP($B8,'TABLA FINAL '!$B$5:$DQ210,10,FALSE)*100)))</f>
        <v>387.63213530655395</v>
      </c>
      <c r="AY8" s="83">
        <f>(IF($B8&gt;0,(VLOOKUP($B8,'TABLA FINAL '!$B$5:$DQ$210,AY$5,FALSE)/VLOOKUP($B8,'TABLA FINAL '!$B$5:$DQ210,10,FALSE)*100)))</f>
        <v>388.16067653276957</v>
      </c>
      <c r="AZ8" s="83">
        <f>(IF($B8&gt;0,(VLOOKUP($B8,'TABLA FINAL '!$B$5:$DQ$210,AZ$5,FALSE)/VLOOKUP($B8,'TABLA FINAL '!$B$5:$DQ210,10,FALSE)*100)))</f>
        <v>389.95771670190271</v>
      </c>
      <c r="BA8" s="83">
        <f>(IF($B8&gt;0,(VLOOKUP($B8,'TABLA FINAL '!$B$5:$DQ$210,BA$5,FALSE)/VLOOKUP($B8,'TABLA FINAL '!$B$5:$DQ210,10,FALSE)*100)))</f>
        <v>393.6575052854123</v>
      </c>
    </row>
    <row r="9" spans="2:56" ht="15" customHeight="1">
      <c r="B9" s="82">
        <v>47</v>
      </c>
      <c r="C9" s="83" t="str">
        <f>(IF($B9&gt;0,VLOOKUP($B9,'TABLA FINAL '!$B$5:$AW$210,3,FALSE)))</f>
        <v>Caño de PVC de 0,110 m</v>
      </c>
      <c r="D9" s="83">
        <f>(IF($B9&gt;0,(VLOOKUP($B9,'TABLA FINAL '!$B$5:$AW$210,10,FALSE)/VLOOKUP($B9,'TABLA FINAL '!$B$5:$AW$210,10,FALSE)*100)))</f>
        <v>100</v>
      </c>
      <c r="E9" s="83">
        <f>(IF($B9&gt;0,(VLOOKUP($B9,'TABLA FINAL '!$B$5:$AW$210,$E$5,FALSE)/VLOOKUP($B9,'TABLA FINAL '!$B$5:$AW$210,10,FALSE)*100)))</f>
        <v>110.50420168067228</v>
      </c>
      <c r="F9" s="83">
        <f>(IF($B9&gt;0,(VLOOKUP($B9,'TABLA FINAL '!$B$5:$AW$210,F$5,FALSE)/VLOOKUP($B9,'TABLA FINAL '!$B$5:$AW$210,10,FALSE)*100)))</f>
        <v>139.9159663865546</v>
      </c>
      <c r="G9" s="83">
        <f>(IF($B9&gt;0,(VLOOKUP($B9,'TABLA FINAL '!$B$5:$AW$210,G$5,FALSE)/VLOOKUP($B9,'TABLA FINAL '!$B$5:$AW$210,10,FALSE)*100)))</f>
        <v>147.47899159663865</v>
      </c>
      <c r="H9" s="83">
        <f>(IF($B9&gt;0,(VLOOKUP($B9,'TABLA FINAL '!$B$5:$AW$210,H$5,FALSE)/VLOOKUP($B9,'TABLA FINAL '!$B$5:$AW$210,10,FALSE)*100)))</f>
        <v>182.56302521008405</v>
      </c>
      <c r="I9" s="83">
        <f>(IF($B9&gt;0,(VLOOKUP($B9,'TABLA FINAL '!$B$5:$AW$210,I$5,FALSE)/VLOOKUP($B9,'TABLA FINAL '!$B$5:$AW$210,10,FALSE)*100)))</f>
        <v>193.69747899159663</v>
      </c>
      <c r="J9" s="83">
        <f>(IF($B9&gt;0,(VLOOKUP($B9,'TABLA FINAL '!$B$5:$AW$210,J$5,FALSE)/VLOOKUP($B9,'TABLA FINAL '!$B$5:$AW$210,10,FALSE)*100)))</f>
        <v>210.0840336134454</v>
      </c>
      <c r="K9" s="83">
        <f>(IF($B9&gt;0,(VLOOKUP($B9,'TABLA FINAL '!$B$5:$AW$210,K$5,FALSE)/VLOOKUP($B9,'TABLA FINAL '!$B$5:$AW$210,10,FALSE)*100)))</f>
        <v>224.36974789915968</v>
      </c>
      <c r="L9" s="83">
        <f>(IF($B9&gt;0,(VLOOKUP($B9,'TABLA FINAL '!$B$5:$AW$210,L$5,FALSE)/VLOOKUP($B9,'TABLA FINAL '!$B$5:$AW$210,10,FALSE)*100)))</f>
        <v>240.33613445378151</v>
      </c>
      <c r="M9" s="83">
        <f>(IF($B9&gt;0,(VLOOKUP($B9,'TABLA FINAL '!$B$5:$AW$210,M$5,FALSE)/VLOOKUP($B9,'TABLA FINAL '!$B$5:$AW$210,10,FALSE)*100)))</f>
        <v>242.96218487394961</v>
      </c>
      <c r="N9" s="83">
        <f>(IF($B9&gt;0,(VLOOKUP($B9,'TABLA FINAL '!$B$5:$AW$210,N$5,FALSE)/VLOOKUP($B9,'TABLA FINAL '!$B$5:$AW$210,10,FALSE)*100)))</f>
        <v>243.90756302521007</v>
      </c>
      <c r="O9" s="83">
        <f>(IF($B9&gt;0,(VLOOKUP($B9,'TABLA FINAL '!$B$5:$AW$210,O$5,FALSE)/VLOOKUP($B9,'TABLA FINAL '!$B$5:$AW$210,10,FALSE)*100)))</f>
        <v>235.50420168067222</v>
      </c>
      <c r="P9" s="83">
        <f>(IF($B9&gt;0,(VLOOKUP($B9,'TABLA FINAL '!$B$5:$AW$210,P$5,FALSE)/VLOOKUP($B9,'TABLA FINAL '!$B$5:$AW$210,10,FALSE)*100)))</f>
        <v>228.57142857142856</v>
      </c>
      <c r="Q9" s="83">
        <f>(IF($B9&gt;0,(VLOOKUP($B9,'TABLA FINAL '!$B$5:$AW$210,Q$5,FALSE)/VLOOKUP($B9,'TABLA FINAL '!$B$5:$AW$210,10,FALSE)*100)))</f>
        <v>228.57142857142856</v>
      </c>
      <c r="R9" s="83">
        <f>(IF($B9&gt;0,(VLOOKUP($B9,'TABLA FINAL '!$B$5:$AW$210,R$5,FALSE)/VLOOKUP($B9,'TABLA FINAL '!$B$5:$AW$210,10,FALSE)*100)))</f>
        <v>226.78571428571428</v>
      </c>
      <c r="S9" s="83">
        <f>(IF($B9&gt;0,(VLOOKUP($B9,'TABLA FINAL '!$B$5:$AW$210,S$5,FALSE)/VLOOKUP($B9,'TABLA FINAL '!$B$5:$AW$210,10,FALSE)*100)))</f>
        <v>232.66806722689074</v>
      </c>
      <c r="T9" s="83">
        <f>(IF($B9&gt;0,(VLOOKUP($B9,'TABLA FINAL '!$B$5:$AW$210,T$5,FALSE)/VLOOKUP($B9,'TABLA FINAL '!$B$5:$AW$210,10,FALSE)*100)))</f>
        <v>233.40336134453779</v>
      </c>
      <c r="U9" s="83">
        <f>(IF($B9&gt;0,(VLOOKUP($B9,'TABLA FINAL '!$B$5:$AW$210,U$5,FALSE)/VLOOKUP($B9,'TABLA FINAL '!$B$5:$AW$210,10,FALSE)*100)))</f>
        <v>234.3487394957983</v>
      </c>
      <c r="V9" s="83">
        <f>(IF($B9&gt;0,(VLOOKUP($B9,'TABLA FINAL '!$B$5:$AW$210,V$5,FALSE)/VLOOKUP($B9,'TABLA FINAL '!$B$5:$AW$210,10,FALSE)*100)))</f>
        <v>232.45798319327733</v>
      </c>
      <c r="W9" s="83">
        <f>(IF($B9&gt;0,(VLOOKUP($B9,'TABLA FINAL '!$B$5:$AW$210,W$5,FALSE)/VLOOKUP($B9,'TABLA FINAL '!$B$5:$AW$210,10,FALSE)*100)))</f>
        <v>232.98319327731093</v>
      </c>
      <c r="X9" s="83">
        <f>(IF($B9&gt;0,(VLOOKUP($B9,'TABLA FINAL '!$B$5:$AW$210,X$5,FALSE)/VLOOKUP($B9,'TABLA FINAL '!$B$5:$AW$210,10,FALSE)*100)))</f>
        <v>233.50840336134456</v>
      </c>
      <c r="Y9" s="83">
        <f>(IF($B9&gt;0,(VLOOKUP($B9,'TABLA FINAL '!$B$5:$AW$210,Y$5,FALSE)/VLOOKUP($B9,'TABLA FINAL '!$B$5:$AW$210,10,FALSE)*100)))</f>
        <v>232.24789915966383</v>
      </c>
      <c r="Z9" s="83">
        <f>(IF($B9&gt;0,(VLOOKUP($B9,'TABLA FINAL '!$B$5:$AW$210,Z$5,FALSE)/VLOOKUP($B9,'TABLA FINAL '!$B$5:$AW$210,10,FALSE)*100)))</f>
        <v>232.45798319327733</v>
      </c>
      <c r="AA9" s="83">
        <f>(IF($B9&gt;0,(VLOOKUP($B9,'TABLA FINAL '!$B$5:$AW$210,AA$5,FALSE)/VLOOKUP($B9,'TABLA FINAL '!$B$5:$AW$210,10,FALSE)*100)))</f>
        <v>232.35294117647055</v>
      </c>
      <c r="AB9" s="83">
        <f>(IF($B9&gt;0,(VLOOKUP($B9,'TABLA FINAL '!$B$5:$AW$210,AB$5,FALSE)/VLOOKUP($B9,'TABLA FINAL '!$B$5:$AW$210,10,FALSE)*100)))</f>
        <v>229.83193277310926</v>
      </c>
      <c r="AC9" s="83">
        <f>(IF($B9&gt;0,(VLOOKUP($B9,'TABLA FINAL '!$B$5:$AW$210,AC$5,FALSE)/VLOOKUP($B9,'TABLA FINAL '!$B$5:$AW$210,10,FALSE)*100)))</f>
        <v>229.51680672268907</v>
      </c>
      <c r="AD9" s="83">
        <f>(IF($B9&gt;0,(VLOOKUP($B9,'TABLA FINAL '!$B$5:$AW$210,AD$5,FALSE)/VLOOKUP($B9,'TABLA FINAL '!$B$5:$AW$210,10,FALSE)*100)))</f>
        <v>237.39495798319328</v>
      </c>
      <c r="AE9" s="83">
        <f>(IF($B9&gt;0,(VLOOKUP($B9,'TABLA FINAL '!$B$5:$AW$210,AE$5,FALSE)/VLOOKUP($B9,'TABLA FINAL '!$B$5:$AW$210,10,FALSE)*100)))</f>
        <v>233.08823529411765</v>
      </c>
      <c r="AF9" s="83">
        <f>(IF($B9&gt;0,(VLOOKUP($B9,'TABLA FINAL '!$B$5:$AW$210,AF$5,FALSE)/VLOOKUP($B9,'TABLA FINAL '!$B$5:$AW$210,10,FALSE)*100)))</f>
        <v>231.30252100840335</v>
      </c>
      <c r="AG9" s="83">
        <f>(IF($B9&gt;0,(VLOOKUP($B9,'TABLA FINAL '!$B$5:$AW$210,AG$5,FALSE)/VLOOKUP($B9,'TABLA FINAL '!$B$5:$AW$210,10,FALSE)*100)))</f>
        <v>235.39915966386556</v>
      </c>
      <c r="AH9" s="83">
        <f>(IF($B9&gt;0,(VLOOKUP($B9,'TABLA FINAL '!$B$5:$AW$210,AH$5,FALSE)/VLOOKUP($B9,'TABLA FINAL '!$B$5:$AW$210,10,FALSE)*100)))</f>
        <v>235.39915966386556</v>
      </c>
      <c r="AI9" s="83">
        <f>(IF($B9&gt;0,(VLOOKUP($B9,'TABLA FINAL '!$B$5:$AW$210,AI$5,FALSE)/VLOOKUP($B9,'TABLA FINAL '!$B$5:$AW$210,10,FALSE)*100)))</f>
        <v>237.07983193277312</v>
      </c>
      <c r="AJ9" s="83">
        <f>(IF($B9&gt;0,(VLOOKUP($B9,'TABLA FINAL '!$B$5:$AW$210,AJ$5,FALSE)/VLOOKUP($B9,'TABLA FINAL '!$B$5:$AW$210,10,FALSE)*100)))</f>
        <v>240.12605042016807</v>
      </c>
      <c r="AK9" s="83">
        <f>(IF($B9&gt;0,(VLOOKUP($B9,'TABLA FINAL '!$B$5:$AW$210,AK$5,FALSE)/VLOOKUP($B9,'TABLA FINAL '!$B$5:$AW$210,10,FALSE)*100)))</f>
        <v>242.96218487394961</v>
      </c>
      <c r="AL9" s="83">
        <f>(IF($B9&gt;0,(VLOOKUP($B9,'TABLA FINAL '!$B$5:$AW$210,AL$5,FALSE)/VLOOKUP($B9,'TABLA FINAL '!$B$5:$AW$210,10,FALSE)*100)))</f>
        <v>259.66386554621846</v>
      </c>
      <c r="AM9" s="83">
        <f>(IF($B9&gt;0,(VLOOKUP($B9,'TABLA FINAL '!$B$5:$AW$210,AM$5,FALSE)/VLOOKUP($B9,'TABLA FINAL '!$B$5:$AW$210,10,FALSE)*100)))</f>
        <v>259.24369747899163</v>
      </c>
      <c r="AN9" s="83">
        <f>(IF($B9&gt;0,(VLOOKUP($B9,'TABLA FINAL '!$B$5:$AW$210,AN$5,FALSE)/VLOOKUP($B9,'TABLA FINAL '!$B$5:$AW$210,10,FALSE)*100)))</f>
        <v>259.24369747899163</v>
      </c>
      <c r="AO9" s="83">
        <f>(IF($B9&gt;0,(VLOOKUP($B9,'TABLA FINAL '!$B$5:$AW$210,AO$5,FALSE)/VLOOKUP($B9,'TABLA FINAL '!$B$5:$AW$210,10,FALSE)*100)))</f>
        <v>260.71428571428567</v>
      </c>
      <c r="AP9" s="83">
        <f>(IF($B9&gt;0,(VLOOKUP($B9,'TABLA FINAL '!$B$5:$AW$210,AP$5,FALSE)/VLOOKUP($B9,'TABLA FINAL '!$B$5:$AW$210,10,FALSE)*100)))</f>
        <v>273.10924369747897</v>
      </c>
      <c r="AQ9" s="83">
        <f>(IF($B9&gt;0,(VLOOKUP($B9,'TABLA FINAL '!$B$5:$DQ$210,AQ$5,FALSE)/VLOOKUP($B9,'TABLA FINAL '!$B$5:$DQ211,10,FALSE)*100)))</f>
        <v>281.40756302521004</v>
      </c>
      <c r="AR9" s="83">
        <f>(IF($B9&gt;0,(VLOOKUP($B9,'TABLA FINAL '!$B$5:$DQ$210,AR$5,FALSE)/VLOOKUP($B9,'TABLA FINAL '!$B$5:$DQ211,10,FALSE)*100)))</f>
        <v>281.40756302521004</v>
      </c>
      <c r="AS9" s="83">
        <f>(IF($B9&gt;0,(VLOOKUP($B9,'TABLA FINAL '!$B$5:$DQ$210,AS$5,FALSE)/VLOOKUP($B9,'TABLA FINAL '!$B$5:$DQ211,10,FALSE)*100)))</f>
        <v>283.61344537815125</v>
      </c>
      <c r="AT9" s="83">
        <f>(IF($B9&gt;0,(VLOOKUP($B9,'TABLA FINAL '!$B$5:$DQ$210,AT$5,FALSE)/VLOOKUP($B9,'TABLA FINAL '!$B$5:$DQ211,10,FALSE)*100)))</f>
        <v>283.61344537815125</v>
      </c>
      <c r="AU9" s="83">
        <f>(IF($B9&gt;0,(VLOOKUP($B9,'TABLA FINAL '!$B$5:$DQ$210,AU$5,FALSE)/VLOOKUP($B9,'TABLA FINAL '!$B$5:$DQ211,10,FALSE)*100)))</f>
        <v>289.81092436974785</v>
      </c>
      <c r="AV9" s="83">
        <f>(IF($B9&gt;0,(VLOOKUP($B9,'TABLA FINAL '!$B$5:$DQ$210,AV$5,FALSE)/VLOOKUP($B9,'TABLA FINAL '!$B$5:$DQ211,10,FALSE)*100)))</f>
        <v>289.81092436974785</v>
      </c>
      <c r="AW9" s="83">
        <f>(IF($B9&gt;0,(VLOOKUP($B9,'TABLA FINAL '!$B$5:$DQ$210,AW$5,FALSE)/VLOOKUP($B9,'TABLA FINAL '!$B$5:$DQ211,10,FALSE)*100)))</f>
        <v>287.81512605042019</v>
      </c>
      <c r="AX9" s="83">
        <f>(IF($B9&gt;0,(VLOOKUP($B9,'TABLA FINAL '!$B$5:$DQ$210,AX$5,FALSE)/VLOOKUP($B9,'TABLA FINAL '!$B$5:$DQ211,10,FALSE)*100)))</f>
        <v>294.64285714285711</v>
      </c>
      <c r="AY9" s="83">
        <f>(IF($B9&gt;0,(VLOOKUP($B9,'TABLA FINAL '!$B$5:$DQ$210,AY$5,FALSE)/VLOOKUP($B9,'TABLA FINAL '!$B$5:$DQ211,10,FALSE)*100)))</f>
        <v>322.47899159663865</v>
      </c>
      <c r="AZ9" s="83">
        <f>(IF($B9&gt;0,(VLOOKUP($B9,'TABLA FINAL '!$B$5:$DQ$210,AZ$5,FALSE)/VLOOKUP($B9,'TABLA FINAL '!$B$5:$DQ211,10,FALSE)*100)))</f>
        <v>322.47899159663865</v>
      </c>
      <c r="BA9" s="83">
        <f>(IF($B9&gt;0,(VLOOKUP($B9,'TABLA FINAL '!$B$5:$DQ$210,BA$5,FALSE)/VLOOKUP($B9,'TABLA FINAL '!$B$5:$DQ211,10,FALSE)*100)))</f>
        <v>334.24369747899158</v>
      </c>
    </row>
    <row r="10" spans="2:56" ht="15" customHeight="1">
      <c r="B10" s="82">
        <v>50</v>
      </c>
      <c r="C10" s="83" t="str">
        <f>(IF($B10&gt;0,VLOOKUP($B10,'TABLA FINAL '!$B$5:$AW$210,3,FALSE)))</f>
        <v>Cemento portland</v>
      </c>
      <c r="D10" s="83">
        <f>(IF($B10&gt;0,(VLOOKUP($B10,'TABLA FINAL '!$B$5:$AW$210,10,FALSE)/VLOOKUP($B10,'TABLA FINAL '!$B$5:$AW$210,10,FALSE)*100)))</f>
        <v>100</v>
      </c>
      <c r="E10" s="83">
        <f>(IF($B10&gt;0,(VLOOKUP($B10,'TABLA FINAL '!$B$5:$AW$210,$E$5,FALSE)/VLOOKUP($B10,'TABLA FINAL '!$B$5:$AW$210,10,FALSE)*100)))</f>
        <v>100</v>
      </c>
      <c r="F10" s="83">
        <f>(IF($B10&gt;0,(VLOOKUP($B10,'TABLA FINAL '!$B$5:$AW$210,F$5,FALSE)/VLOOKUP($B10,'TABLA FINAL '!$B$5:$AW$210,10,FALSE)*100)))</f>
        <v>108.99892550143267</v>
      </c>
      <c r="G10" s="83">
        <f>(IF($B10&gt;0,(VLOOKUP($B10,'TABLA FINAL '!$B$5:$AW$210,G$5,FALSE)/VLOOKUP($B10,'TABLA FINAL '!$B$5:$AW$210,10,FALSE)*100)))</f>
        <v>108.99892550143267</v>
      </c>
      <c r="H10" s="83">
        <f>(IF($B10&gt;0,(VLOOKUP($B10,'TABLA FINAL '!$B$5:$AW$210,H$5,FALSE)/VLOOKUP($B10,'TABLA FINAL '!$B$5:$AW$210,10,FALSE)*100)))</f>
        <v>119.56482808022922</v>
      </c>
      <c r="I10" s="83">
        <f>(IF($B10&gt;0,(VLOOKUP($B10,'TABLA FINAL '!$B$5:$AW$210,I$5,FALSE)/VLOOKUP($B10,'TABLA FINAL '!$B$5:$AW$210,10,FALSE)*100)))</f>
        <v>125.8506446991404</v>
      </c>
      <c r="J10" s="83">
        <f>(IF($B10&gt;0,(VLOOKUP($B10,'TABLA FINAL '!$B$5:$AW$210,J$5,FALSE)/VLOOKUP($B10,'TABLA FINAL '!$B$5:$AW$210,10,FALSE)*100)))</f>
        <v>145.95272206303724</v>
      </c>
      <c r="K10" s="83">
        <f>(IF($B10&gt;0,(VLOOKUP($B10,'TABLA FINAL '!$B$5:$AW$210,K$5,FALSE)/VLOOKUP($B10,'TABLA FINAL '!$B$5:$AW$210,10,FALSE)*100)))</f>
        <v>159.85852435530086</v>
      </c>
      <c r="L10" s="83">
        <f>(IF($B10&gt;0,(VLOOKUP($B10,'TABLA FINAL '!$B$5:$AW$210,L$5,FALSE)/VLOOKUP($B10,'TABLA FINAL '!$B$5:$AW$210,10,FALSE)*100)))</f>
        <v>183.18409742120343</v>
      </c>
      <c r="M10" s="83">
        <f>(IF($B10&gt;0,(VLOOKUP($B10,'TABLA FINAL '!$B$5:$AW$210,M$5,FALSE)/VLOOKUP($B10,'TABLA FINAL '!$B$5:$AW$210,10,FALSE)*100)))</f>
        <v>203.46525787965612</v>
      </c>
      <c r="N10" s="83">
        <f>(IF($B10&gt;0,(VLOOKUP($B10,'TABLA FINAL '!$B$5:$AW$210,N$5,FALSE)/VLOOKUP($B10,'TABLA FINAL '!$B$5:$AW$210,10,FALSE)*100)))</f>
        <v>218.14111747851004</v>
      </c>
      <c r="O10" s="83">
        <f>(IF($B10&gt;0,(VLOOKUP($B10,'TABLA FINAL '!$B$5:$AW$210,O$5,FALSE)/VLOOKUP($B10,'TABLA FINAL '!$B$5:$AW$210,10,FALSE)*100)))</f>
        <v>229.07414040114614</v>
      </c>
      <c r="P10" s="83">
        <f>(IF($B10&gt;0,(VLOOKUP($B10,'TABLA FINAL '!$B$5:$AW$210,P$5,FALSE)/VLOOKUP($B10,'TABLA FINAL '!$B$5:$AW$210,10,FALSE)*100)))</f>
        <v>233.19305157593124</v>
      </c>
      <c r="Q10" s="83">
        <f>(IF($B10&gt;0,(VLOOKUP($B10,'TABLA FINAL '!$B$5:$AW$210,Q$5,FALSE)/VLOOKUP($B10,'TABLA FINAL '!$B$5:$AW$210,10,FALSE)*100)))</f>
        <v>236.01361031518624</v>
      </c>
      <c r="R10" s="83">
        <f>(IF($B10&gt;0,(VLOOKUP($B10,'TABLA FINAL '!$B$5:$AW$210,R$5,FALSE)/VLOOKUP($B10,'TABLA FINAL '!$B$5:$AW$210,10,FALSE)*100)))</f>
        <v>235.92406876790832</v>
      </c>
      <c r="S10" s="83">
        <f>(IF($B10&gt;0,(VLOOKUP($B10,'TABLA FINAL '!$B$5:$AW$210,S$5,FALSE)/VLOOKUP($B10,'TABLA FINAL '!$B$5:$AW$210,10,FALSE)*100)))</f>
        <v>235.92406876790832</v>
      </c>
      <c r="T10" s="83">
        <f>(IF($B10&gt;0,(VLOOKUP($B10,'TABLA FINAL '!$B$5:$AW$210,T$5,FALSE)/VLOOKUP($B10,'TABLA FINAL '!$B$5:$AW$210,10,FALSE)*100)))</f>
        <v>235.92406876790832</v>
      </c>
      <c r="U10" s="83">
        <f>(IF($B10&gt;0,(VLOOKUP($B10,'TABLA FINAL '!$B$5:$AW$210,U$5,FALSE)/VLOOKUP($B10,'TABLA FINAL '!$B$5:$AW$210,10,FALSE)*100)))</f>
        <v>236.31805157593124</v>
      </c>
      <c r="V10" s="83">
        <f>(IF($B10&gt;0,(VLOOKUP($B10,'TABLA FINAL '!$B$5:$AW$210,V$5,FALSE)/VLOOKUP($B10,'TABLA FINAL '!$B$5:$AW$210,10,FALSE)*100)))</f>
        <v>236.45236389684814</v>
      </c>
      <c r="W10" s="83">
        <f>(IF($B10&gt;0,(VLOOKUP($B10,'TABLA FINAL '!$B$5:$AW$210,W$5,FALSE)/VLOOKUP($B10,'TABLA FINAL '!$B$5:$AW$210,10,FALSE)*100)))</f>
        <v>239.77435530085955</v>
      </c>
      <c r="X10" s="83">
        <f>(IF($B10&gt;0,(VLOOKUP($B10,'TABLA FINAL '!$B$5:$AW$210,X$5,FALSE)/VLOOKUP($B10,'TABLA FINAL '!$B$5:$AW$210,10,FALSE)*100)))</f>
        <v>239.97134670487105</v>
      </c>
      <c r="Y10" s="83">
        <f>(IF($B10&gt;0,(VLOOKUP($B10,'TABLA FINAL '!$B$5:$AW$210,Y$5,FALSE)/VLOOKUP($B10,'TABLA FINAL '!$B$5:$AW$210,10,FALSE)*100)))</f>
        <v>239.97134670487105</v>
      </c>
      <c r="Z10" s="83">
        <f>(IF($B10&gt;0,(VLOOKUP($B10,'TABLA FINAL '!$B$5:$AW$210,Z$5,FALSE)/VLOOKUP($B10,'TABLA FINAL '!$B$5:$AW$210,10,FALSE)*100)))</f>
        <v>239.97134670487105</v>
      </c>
      <c r="AA10" s="83">
        <f>(IF($B10&gt;0,(VLOOKUP($B10,'TABLA FINAL '!$B$5:$AW$210,AA$5,FALSE)/VLOOKUP($B10,'TABLA FINAL '!$B$5:$AW$210,10,FALSE)*100)))</f>
        <v>239.97134670487105</v>
      </c>
      <c r="AB10" s="83">
        <f>(IF($B10&gt;0,(VLOOKUP($B10,'TABLA FINAL '!$B$5:$AW$210,AB$5,FALSE)/VLOOKUP($B10,'TABLA FINAL '!$B$5:$AW$210,10,FALSE)*100)))</f>
        <v>239.97134670487105</v>
      </c>
      <c r="AC10" s="83">
        <f>(IF($B10&gt;0,(VLOOKUP($B10,'TABLA FINAL '!$B$5:$AW$210,AC$5,FALSE)/VLOOKUP($B10,'TABLA FINAL '!$B$5:$AW$210,10,FALSE)*100)))</f>
        <v>242.09348137535818</v>
      </c>
      <c r="AD10" s="83">
        <f>(IF($B10&gt;0,(VLOOKUP($B10,'TABLA FINAL '!$B$5:$AW$210,AD$5,FALSE)/VLOOKUP($B10,'TABLA FINAL '!$B$5:$AW$210,10,FALSE)*100)))</f>
        <v>244.43051575931233</v>
      </c>
      <c r="AE10" s="83">
        <f>(IF($B10&gt;0,(VLOOKUP($B10,'TABLA FINAL '!$B$5:$AW$210,AE$5,FALSE)/VLOOKUP($B10,'TABLA FINAL '!$B$5:$AW$210,10,FALSE)*100)))</f>
        <v>244.43051575931233</v>
      </c>
      <c r="AF10" s="83">
        <f>(IF($B10&gt;0,(VLOOKUP($B10,'TABLA FINAL '!$B$5:$AW$210,AF$5,FALSE)/VLOOKUP($B10,'TABLA FINAL '!$B$5:$AW$210,10,FALSE)*100)))</f>
        <v>244.43051575931233</v>
      </c>
      <c r="AG10" s="83">
        <f>(IF($B10&gt;0,(VLOOKUP($B10,'TABLA FINAL '!$B$5:$AW$210,AG$5,FALSE)/VLOOKUP($B10,'TABLA FINAL '!$B$5:$AW$210,10,FALSE)*100)))</f>
        <v>249.06876790830944</v>
      </c>
      <c r="AH10" s="83">
        <f>(IF($B10&gt;0,(VLOOKUP($B10,'TABLA FINAL '!$B$5:$AW$210,AH$5,FALSE)/VLOOKUP($B10,'TABLA FINAL '!$B$5:$AW$210,10,FALSE)*100)))</f>
        <v>252.20272206303727</v>
      </c>
      <c r="AI10" s="83">
        <f>(IF($B10&gt;0,(VLOOKUP($B10,'TABLA FINAL '!$B$5:$AW$210,AI$5,FALSE)/VLOOKUP($B10,'TABLA FINAL '!$B$5:$AW$210,10,FALSE)*100)))</f>
        <v>252.20272206303727</v>
      </c>
      <c r="AJ10" s="83">
        <f>(IF($B10&gt;0,(VLOOKUP($B10,'TABLA FINAL '!$B$5:$AW$210,AJ$5,FALSE)/VLOOKUP($B10,'TABLA FINAL '!$B$5:$AW$210,10,FALSE)*100)))</f>
        <v>252.20272206303727</v>
      </c>
      <c r="AK10" s="83">
        <f>(IF($B10&gt;0,(VLOOKUP($B10,'TABLA FINAL '!$B$5:$AW$210,AK$5,FALSE)/VLOOKUP($B10,'TABLA FINAL '!$B$5:$AW$210,10,FALSE)*100)))</f>
        <v>252.20272206303727</v>
      </c>
      <c r="AL10" s="83">
        <f>(IF($B10&gt;0,(VLOOKUP($B10,'TABLA FINAL '!$B$5:$AW$210,AL$5,FALSE)/VLOOKUP($B10,'TABLA FINAL '!$B$5:$AW$210,10,FALSE)*100)))</f>
        <v>252.20272206303727</v>
      </c>
      <c r="AM10" s="83">
        <f>(IF($B10&gt;0,(VLOOKUP($B10,'TABLA FINAL '!$B$5:$AW$210,AM$5,FALSE)/VLOOKUP($B10,'TABLA FINAL '!$B$5:$AW$210,10,FALSE)*100)))</f>
        <v>252.41762177650426</v>
      </c>
      <c r="AN10" s="83">
        <f>(IF($B10&gt;0,(VLOOKUP($B10,'TABLA FINAL '!$B$5:$AW$210,AN$5,FALSE)/VLOOKUP($B10,'TABLA FINAL '!$B$5:$AW$210,10,FALSE)*100)))</f>
        <v>252.41762177650426</v>
      </c>
      <c r="AO10" s="83">
        <f>(IF($B10&gt;0,(VLOOKUP($B10,'TABLA FINAL '!$B$5:$AW$210,AO$5,FALSE)/VLOOKUP($B10,'TABLA FINAL '!$B$5:$AW$210,10,FALSE)*100)))</f>
        <v>252.41762177650426</v>
      </c>
      <c r="AP10" s="83">
        <f>(IF($B10&gt;0,(VLOOKUP($B10,'TABLA FINAL '!$B$5:$AW$210,AP$5,FALSE)/VLOOKUP($B10,'TABLA FINAL '!$B$5:$AW$210,10,FALSE)*100)))</f>
        <v>252.41762177650426</v>
      </c>
      <c r="AQ10" s="83">
        <f>(IF($B10&gt;0,(VLOOKUP($B10,'TABLA FINAL '!$B$5:$DQ$210,AQ$5,FALSE)/VLOOKUP($B10,'TABLA FINAL '!$B$5:$DQ212,10,FALSE)*100)))</f>
        <v>252.41762177650426</v>
      </c>
      <c r="AR10" s="83">
        <f>(IF($B10&gt;0,(VLOOKUP($B10,'TABLA FINAL '!$B$5:$DQ$210,AR$5,FALSE)/VLOOKUP($B10,'TABLA FINAL '!$B$5:$DQ212,10,FALSE)*100)))</f>
        <v>252.6862464183381</v>
      </c>
      <c r="AS10" s="83">
        <f>(IF($B10&gt;0,(VLOOKUP($B10,'TABLA FINAL '!$B$5:$DQ$210,AS$5,FALSE)/VLOOKUP($B10,'TABLA FINAL '!$B$5:$DQ212,10,FALSE)*100)))</f>
        <v>252.6862464183381</v>
      </c>
      <c r="AT10" s="83">
        <f>(IF($B10&gt;0,(VLOOKUP($B10,'TABLA FINAL '!$B$5:$DQ$210,AT$5,FALSE)/VLOOKUP($B10,'TABLA FINAL '!$B$5:$DQ212,10,FALSE)*100)))</f>
        <v>252.6862464183381</v>
      </c>
      <c r="AU10" s="83">
        <f>(IF($B10&gt;0,(VLOOKUP($B10,'TABLA FINAL '!$B$5:$DQ$210,AU$5,FALSE)/VLOOKUP($B10,'TABLA FINAL '!$B$5:$DQ212,10,FALSE)*100)))</f>
        <v>252.6862464183381</v>
      </c>
      <c r="AV10" s="83">
        <f>(IF($B10&gt;0,(VLOOKUP($B10,'TABLA FINAL '!$B$5:$DQ$210,AV$5,FALSE)/VLOOKUP($B10,'TABLA FINAL '!$B$5:$DQ212,10,FALSE)*100)))</f>
        <v>252.6862464183381</v>
      </c>
      <c r="AW10" s="83">
        <f>(IF($B10&gt;0,(VLOOKUP($B10,'TABLA FINAL '!$B$5:$DQ$210,AW$5,FALSE)/VLOOKUP($B10,'TABLA FINAL '!$B$5:$DQ212,10,FALSE)*100)))</f>
        <v>252.6862464183381</v>
      </c>
      <c r="AX10" s="83">
        <f>(IF($B10&gt;0,(VLOOKUP($B10,'TABLA FINAL '!$B$5:$DQ$210,AX$5,FALSE)/VLOOKUP($B10,'TABLA FINAL '!$B$5:$DQ212,10,FALSE)*100)))</f>
        <v>252.86532951289394</v>
      </c>
      <c r="AY10" s="83">
        <f>(IF($B10&gt;0,(VLOOKUP($B10,'TABLA FINAL '!$B$5:$DQ$210,AY$5,FALSE)/VLOOKUP($B10,'TABLA FINAL '!$B$5:$DQ212,10,FALSE)*100)))</f>
        <v>252.86532951289394</v>
      </c>
      <c r="AZ10" s="83">
        <f>(IF($B10&gt;0,(VLOOKUP($B10,'TABLA FINAL '!$B$5:$DQ$210,AZ$5,FALSE)/VLOOKUP($B10,'TABLA FINAL '!$B$5:$DQ212,10,FALSE)*100)))</f>
        <v>252.86532951289394</v>
      </c>
      <c r="BA10" s="83">
        <f>(IF($B10&gt;0,(VLOOKUP($B10,'TABLA FINAL '!$B$5:$DQ$210,BA$5,FALSE)/VLOOKUP($B10,'TABLA FINAL '!$B$5:$DQ212,10,FALSE)*100)))</f>
        <v>252.86532951289394</v>
      </c>
    </row>
    <row r="11" spans="2:56" ht="15" customHeight="1">
      <c r="B11" s="82">
        <v>81</v>
      </c>
      <c r="C11" s="83" t="str">
        <f>(IF($B11&gt;0,VLOOKUP($B11,'TABLA FINAL '!$B$5:$AW$210,3,FALSE)))</f>
        <v>Madera para encofrado</v>
      </c>
      <c r="D11" s="83">
        <f>(IF($B11&gt;0,(VLOOKUP($B11,'TABLA FINAL '!$B$5:$AW$210,10,FALSE)/VLOOKUP($B11,'TABLA FINAL '!$B$5:$AW$210,10,FALSE)*100)))</f>
        <v>100</v>
      </c>
      <c r="E11" s="83">
        <f>(IF($B11&gt;0,(VLOOKUP($B11,'TABLA FINAL '!$B$5:$AW$210,$E$5,FALSE)/VLOOKUP($B11,'TABLA FINAL '!$B$5:$AW$210,10,FALSE)*100)))</f>
        <v>103.4274193548387</v>
      </c>
      <c r="F11" s="83">
        <f>(IF($B11&gt;0,(VLOOKUP($B11,'TABLA FINAL '!$B$5:$AW$210,F$5,FALSE)/VLOOKUP($B11,'TABLA FINAL '!$B$5:$AW$210,10,FALSE)*100)))</f>
        <v>105.14112903225805</v>
      </c>
      <c r="G11" s="83">
        <f>(IF($B11&gt;0,(VLOOKUP($B11,'TABLA FINAL '!$B$5:$AW$210,G$5,FALSE)/VLOOKUP($B11,'TABLA FINAL '!$B$5:$AW$210,10,FALSE)*100)))</f>
        <v>104.83870967741935</v>
      </c>
      <c r="H11" s="83">
        <f>(IF($B11&gt;0,(VLOOKUP($B11,'TABLA FINAL '!$B$5:$AW$210,H$5,FALSE)/VLOOKUP($B11,'TABLA FINAL '!$B$5:$AW$210,10,FALSE)*100)))</f>
        <v>115.9274193548387</v>
      </c>
      <c r="I11" s="83">
        <f>(IF($B11&gt;0,(VLOOKUP($B11,'TABLA FINAL '!$B$5:$AW$210,I$5,FALSE)/VLOOKUP($B11,'TABLA FINAL '!$B$5:$AW$210,10,FALSE)*100)))</f>
        <v>117.33870967741935</v>
      </c>
      <c r="J11" s="83">
        <f>(IF($B11&gt;0,(VLOOKUP($B11,'TABLA FINAL '!$B$5:$AW$210,J$5,FALSE)/VLOOKUP($B11,'TABLA FINAL '!$B$5:$AW$210,10,FALSE)*100)))</f>
        <v>124.59677419354837</v>
      </c>
      <c r="K11" s="83">
        <f>(IF($B11&gt;0,(VLOOKUP($B11,'TABLA FINAL '!$B$5:$AW$210,K$5,FALSE)/VLOOKUP($B11,'TABLA FINAL '!$B$5:$AW$210,10,FALSE)*100)))</f>
        <v>133.46774193548387</v>
      </c>
      <c r="L11" s="83">
        <f>(IF($B11&gt;0,(VLOOKUP($B11,'TABLA FINAL '!$B$5:$AW$210,L$5,FALSE)/VLOOKUP($B11,'TABLA FINAL '!$B$5:$AW$210,10,FALSE)*100)))</f>
        <v>148.38709677419354</v>
      </c>
      <c r="M11" s="83">
        <f>(IF($B11&gt;0,(VLOOKUP($B11,'TABLA FINAL '!$B$5:$AW$210,M$5,FALSE)/VLOOKUP($B11,'TABLA FINAL '!$B$5:$AW$210,10,FALSE)*100)))</f>
        <v>156.1491935483871</v>
      </c>
      <c r="N11" s="83">
        <f>(IF($B11&gt;0,(VLOOKUP($B11,'TABLA FINAL '!$B$5:$AW$210,N$5,FALSE)/VLOOKUP($B11,'TABLA FINAL '!$B$5:$AW$210,10,FALSE)*100)))</f>
        <v>158.97177419354838</v>
      </c>
      <c r="O11" s="83">
        <f>(IF($B11&gt;0,(VLOOKUP($B11,'TABLA FINAL '!$B$5:$AW$210,O$5,FALSE)/VLOOKUP($B11,'TABLA FINAL '!$B$5:$AW$210,10,FALSE)*100)))</f>
        <v>161.08870967741936</v>
      </c>
      <c r="P11" s="83">
        <f>(IF($B11&gt;0,(VLOOKUP($B11,'TABLA FINAL '!$B$5:$AW$210,P$5,FALSE)/VLOOKUP($B11,'TABLA FINAL '!$B$5:$AW$210,10,FALSE)*100)))</f>
        <v>161.18951612903226</v>
      </c>
      <c r="Q11" s="83">
        <f>(IF($B11&gt;0,(VLOOKUP($B11,'TABLA FINAL '!$B$5:$AW$210,Q$5,FALSE)/VLOOKUP($B11,'TABLA FINAL '!$B$5:$AW$210,10,FALSE)*100)))</f>
        <v>161.99596774193549</v>
      </c>
      <c r="R11" s="83">
        <f>(IF($B11&gt;0,(VLOOKUP($B11,'TABLA FINAL '!$B$5:$AW$210,R$5,FALSE)/VLOOKUP($B11,'TABLA FINAL '!$B$5:$AW$210,10,FALSE)*100)))</f>
        <v>162.6008064516129</v>
      </c>
      <c r="S11" s="83">
        <f>(IF($B11&gt;0,(VLOOKUP($B11,'TABLA FINAL '!$B$5:$AW$210,S$5,FALSE)/VLOOKUP($B11,'TABLA FINAL '!$B$5:$AW$210,10,FALSE)*100)))</f>
        <v>164.21370967741936</v>
      </c>
      <c r="T11" s="83">
        <f>(IF($B11&gt;0,(VLOOKUP($B11,'TABLA FINAL '!$B$5:$AW$210,T$5,FALSE)/VLOOKUP($B11,'TABLA FINAL '!$B$5:$AW$210,10,FALSE)*100)))</f>
        <v>165.52419354838707</v>
      </c>
      <c r="U11" s="83">
        <f>(IF($B11&gt;0,(VLOOKUP($B11,'TABLA FINAL '!$B$5:$AW$210,U$5,FALSE)/VLOOKUP($B11,'TABLA FINAL '!$B$5:$AW$210,10,FALSE)*100)))</f>
        <v>168.44758064516128</v>
      </c>
      <c r="V11" s="83">
        <f>(IF($B11&gt;0,(VLOOKUP($B11,'TABLA FINAL '!$B$5:$AW$210,V$5,FALSE)/VLOOKUP($B11,'TABLA FINAL '!$B$5:$AW$210,10,FALSE)*100)))</f>
        <v>171.37096774193549</v>
      </c>
      <c r="W11" s="83">
        <f>(IF($B11&gt;0,(VLOOKUP($B11,'TABLA FINAL '!$B$5:$AW$210,W$5,FALSE)/VLOOKUP($B11,'TABLA FINAL '!$B$5:$AW$210,10,FALSE)*100)))</f>
        <v>172.07661290322579</v>
      </c>
      <c r="X11" s="83">
        <f>(IF($B11&gt;0,(VLOOKUP($B11,'TABLA FINAL '!$B$5:$AW$210,X$5,FALSE)/VLOOKUP($B11,'TABLA FINAL '!$B$5:$AW$210,10,FALSE)*100)))</f>
        <v>171.57258064516128</v>
      </c>
      <c r="Y11" s="83">
        <f>(IF($B11&gt;0,(VLOOKUP($B11,'TABLA FINAL '!$B$5:$AW$210,Y$5,FALSE)/VLOOKUP($B11,'TABLA FINAL '!$B$5:$AW$210,10,FALSE)*100)))</f>
        <v>173.18548387096774</v>
      </c>
      <c r="Z11" s="83">
        <f>(IF($B11&gt;0,(VLOOKUP($B11,'TABLA FINAL '!$B$5:$AW$210,Z$5,FALSE)/VLOOKUP($B11,'TABLA FINAL '!$B$5:$AW$210,10,FALSE)*100)))</f>
        <v>177.01612903225805</v>
      </c>
      <c r="AA11" s="83">
        <f>(IF($B11&gt;0,(VLOOKUP($B11,'TABLA FINAL '!$B$5:$AW$210,AA$5,FALSE)/VLOOKUP($B11,'TABLA FINAL '!$B$5:$AW$210,10,FALSE)*100)))</f>
        <v>177.52016129032256</v>
      </c>
      <c r="AB11" s="83">
        <f>(IF($B11&gt;0,(VLOOKUP($B11,'TABLA FINAL '!$B$5:$AW$210,AB$5,FALSE)/VLOOKUP($B11,'TABLA FINAL '!$B$5:$AW$210,10,FALSE)*100)))</f>
        <v>178.83064516129033</v>
      </c>
      <c r="AC11" s="83">
        <f>(IF($B11&gt;0,(VLOOKUP($B11,'TABLA FINAL '!$B$5:$AW$210,AC$5,FALSE)/VLOOKUP($B11,'TABLA FINAL '!$B$5:$AW$210,10,FALSE)*100)))</f>
        <v>175.80645161290323</v>
      </c>
      <c r="AD11" s="83">
        <f>(IF($B11&gt;0,(VLOOKUP($B11,'TABLA FINAL '!$B$5:$AW$210,AD$5,FALSE)/VLOOKUP($B11,'TABLA FINAL '!$B$5:$AW$210,10,FALSE)*100)))</f>
        <v>176.71370967741936</v>
      </c>
      <c r="AE11" s="83">
        <f>(IF($B11&gt;0,(VLOOKUP($B11,'TABLA FINAL '!$B$5:$AW$210,AE$5,FALSE)/VLOOKUP($B11,'TABLA FINAL '!$B$5:$AW$210,10,FALSE)*100)))</f>
        <v>176.71370967741936</v>
      </c>
      <c r="AF11" s="83">
        <f>(IF($B11&gt;0,(VLOOKUP($B11,'TABLA FINAL '!$B$5:$AW$210,AF$5,FALSE)/VLOOKUP($B11,'TABLA FINAL '!$B$5:$AW$210,10,FALSE)*100)))</f>
        <v>179.53629032258064</v>
      </c>
      <c r="AG11" s="83">
        <f>(IF($B11&gt;0,(VLOOKUP($B11,'TABLA FINAL '!$B$5:$AW$210,AG$5,FALSE)/VLOOKUP($B11,'TABLA FINAL '!$B$5:$AW$210,10,FALSE)*100)))</f>
        <v>180.54435483870967</v>
      </c>
      <c r="AH11" s="83">
        <f>(IF($B11&gt;0,(VLOOKUP($B11,'TABLA FINAL '!$B$5:$AW$210,AH$5,FALSE)/VLOOKUP($B11,'TABLA FINAL '!$B$5:$AW$210,10,FALSE)*100)))</f>
        <v>181.04838709677418</v>
      </c>
      <c r="AI11" s="83">
        <f>(IF($B11&gt;0,(VLOOKUP($B11,'TABLA FINAL '!$B$5:$AW$210,AI$5,FALSE)/VLOOKUP($B11,'TABLA FINAL '!$B$5:$AW$210,10,FALSE)*100)))</f>
        <v>186.29032258064518</v>
      </c>
      <c r="AJ11" s="83">
        <f>(IF($B11&gt;0,(VLOOKUP($B11,'TABLA FINAL '!$B$5:$AW$210,AJ$5,FALSE)/VLOOKUP($B11,'TABLA FINAL '!$B$5:$AW$210,10,FALSE)*100)))</f>
        <v>185.98790322580646</v>
      </c>
      <c r="AK11" s="83">
        <f>(IF($B11&gt;0,(VLOOKUP($B11,'TABLA FINAL '!$B$5:$AW$210,AK$5,FALSE)/VLOOKUP($B11,'TABLA FINAL '!$B$5:$AW$210,10,FALSE)*100)))</f>
        <v>186.08870967741936</v>
      </c>
      <c r="AL11" s="83">
        <f>(IF($B11&gt;0,(VLOOKUP($B11,'TABLA FINAL '!$B$5:$AW$210,AL$5,FALSE)/VLOOKUP($B11,'TABLA FINAL '!$B$5:$AW$210,10,FALSE)*100)))</f>
        <v>186.39112903225808</v>
      </c>
      <c r="AM11" s="83">
        <f>(IF($B11&gt;0,(VLOOKUP($B11,'TABLA FINAL '!$B$5:$AW$210,AM$5,FALSE)/VLOOKUP($B11,'TABLA FINAL '!$B$5:$AW$210,10,FALSE)*100)))</f>
        <v>188.50806451612902</v>
      </c>
      <c r="AN11" s="83">
        <f>(IF($B11&gt;0,(VLOOKUP($B11,'TABLA FINAL '!$B$5:$AW$210,AN$5,FALSE)/VLOOKUP($B11,'TABLA FINAL '!$B$5:$AW$210,10,FALSE)*100)))</f>
        <v>194.45564516129033</v>
      </c>
      <c r="AO11" s="83">
        <f>(IF($B11&gt;0,(VLOOKUP($B11,'TABLA FINAL '!$B$5:$AW$210,AO$5,FALSE)/VLOOKUP($B11,'TABLA FINAL '!$B$5:$AW$210,10,FALSE)*100)))</f>
        <v>197.37903225806451</v>
      </c>
      <c r="AP11" s="83">
        <f>(IF($B11&gt;0,(VLOOKUP($B11,'TABLA FINAL '!$B$5:$AW$210,AP$5,FALSE)/VLOOKUP($B11,'TABLA FINAL '!$B$5:$AW$210,10,FALSE)*100)))</f>
        <v>205.04032258064515</v>
      </c>
      <c r="AQ11" s="83">
        <f>(IF($B11&gt;0,(VLOOKUP($B11,'TABLA FINAL '!$B$5:$DQ$210,AQ$5,FALSE)/VLOOKUP($B11,'TABLA FINAL '!$B$5:$DQ213,10,FALSE)*100)))</f>
        <v>211.89516129032256</v>
      </c>
      <c r="AR11" s="83">
        <f>(IF($B11&gt;0,(VLOOKUP($B11,'TABLA FINAL '!$B$5:$DQ$210,AR$5,FALSE)/VLOOKUP($B11,'TABLA FINAL '!$B$5:$DQ213,10,FALSE)*100)))</f>
        <v>215.22177419354841</v>
      </c>
      <c r="AS11" s="83">
        <f>(IF($B11&gt;0,(VLOOKUP($B11,'TABLA FINAL '!$B$5:$DQ$210,AS$5,FALSE)/VLOOKUP($B11,'TABLA FINAL '!$B$5:$DQ213,10,FALSE)*100)))</f>
        <v>214.01209677419354</v>
      </c>
      <c r="AT11" s="83">
        <f>(IF($B11&gt;0,(VLOOKUP($B11,'TABLA FINAL '!$B$5:$DQ$210,AT$5,FALSE)/VLOOKUP($B11,'TABLA FINAL '!$B$5:$DQ213,10,FALSE)*100)))</f>
        <v>216.12903225806451</v>
      </c>
      <c r="AU11" s="83">
        <f>(IF($B11&gt;0,(VLOOKUP($B11,'TABLA FINAL '!$B$5:$DQ$210,AU$5,FALSE)/VLOOKUP($B11,'TABLA FINAL '!$B$5:$DQ213,10,FALSE)*100)))</f>
        <v>218.34677419354836</v>
      </c>
      <c r="AV11" s="83">
        <f>(IF($B11&gt;0,(VLOOKUP($B11,'TABLA FINAL '!$B$5:$DQ$210,AV$5,FALSE)/VLOOKUP($B11,'TABLA FINAL '!$B$5:$DQ213,10,FALSE)*100)))</f>
        <v>222.7822580645161</v>
      </c>
      <c r="AW11" s="83">
        <f>(IF($B11&gt;0,(VLOOKUP($B11,'TABLA FINAL '!$B$5:$DQ$210,AW$5,FALSE)/VLOOKUP($B11,'TABLA FINAL '!$B$5:$DQ213,10,FALSE)*100)))</f>
        <v>223.89112903225805</v>
      </c>
      <c r="AX11" s="83">
        <f>(IF($B11&gt;0,(VLOOKUP($B11,'TABLA FINAL '!$B$5:$DQ$210,AX$5,FALSE)/VLOOKUP($B11,'TABLA FINAL '!$B$5:$DQ213,10,FALSE)*100)))</f>
        <v>226.91532258064515</v>
      </c>
      <c r="AY11" s="83">
        <f>(IF($B11&gt;0,(VLOOKUP($B11,'TABLA FINAL '!$B$5:$DQ$210,AY$5,FALSE)/VLOOKUP($B11,'TABLA FINAL '!$B$5:$DQ213,10,FALSE)*100)))</f>
        <v>230.44354838709674</v>
      </c>
      <c r="AZ11" s="83">
        <f>(IF($B11&gt;0,(VLOOKUP($B11,'TABLA FINAL '!$B$5:$DQ$210,AZ$5,FALSE)/VLOOKUP($B11,'TABLA FINAL '!$B$5:$DQ213,10,FALSE)*100)))</f>
        <v>231.65322580645159</v>
      </c>
      <c r="BA11" s="83">
        <f>(IF($B11&gt;0,(VLOOKUP($B11,'TABLA FINAL '!$B$5:$DQ$210,BA$5,FALSE)/VLOOKUP($B11,'TABLA FINAL '!$B$5:$DQ213,10,FALSE)*100)))</f>
        <v>230.74596774193549</v>
      </c>
    </row>
    <row r="12" spans="2:56" ht="15" customHeight="1">
      <c r="B12" s="82">
        <v>79</v>
      </c>
      <c r="C12" s="83" t="str">
        <f>(IF($B12&gt;0,VLOOKUP($B12,'TABLA FINAL '!$B$5:$AW$210,3,FALSE)))</f>
        <v>Ladrillo común</v>
      </c>
      <c r="D12" s="83">
        <f>(IF($B12&gt;0,(VLOOKUP($B12,'TABLA FINAL '!$B$5:$AW$210,10,FALSE)/VLOOKUP($B12,'TABLA FINAL '!$B$5:$AW$210,10,FALSE)*100)))</f>
        <v>100</v>
      </c>
      <c r="E12" s="83">
        <f>(IF($B12&gt;0,(VLOOKUP($B12,'TABLA FINAL '!$B$5:$AW$210,$E$5,FALSE)/VLOOKUP($B12,'TABLA FINAL '!$B$5:$AW$210,10,FALSE)*100)))</f>
        <v>100.89385474860335</v>
      </c>
      <c r="F12" s="83">
        <f>(IF($B12&gt;0,(VLOOKUP($B12,'TABLA FINAL '!$B$5:$AW$210,F$5,FALSE)/VLOOKUP($B12,'TABLA FINAL '!$B$5:$AW$210,10,FALSE)*100)))</f>
        <v>103.79888268156425</v>
      </c>
      <c r="G12" s="83">
        <f>(IF($B12&gt;0,(VLOOKUP($B12,'TABLA FINAL '!$B$5:$AW$210,G$5,FALSE)/VLOOKUP($B12,'TABLA FINAL '!$B$5:$AW$210,10,FALSE)*100)))</f>
        <v>103.79888268156425</v>
      </c>
      <c r="H12" s="83">
        <f>(IF($B12&gt;0,(VLOOKUP($B12,'TABLA FINAL '!$B$5:$AW$210,H$5,FALSE)/VLOOKUP($B12,'TABLA FINAL '!$B$5:$AW$210,10,FALSE)*100)))</f>
        <v>105.92178770949721</v>
      </c>
      <c r="I12" s="83">
        <f>(IF($B12&gt;0,(VLOOKUP($B12,'TABLA FINAL '!$B$5:$AW$210,I$5,FALSE)/VLOOKUP($B12,'TABLA FINAL '!$B$5:$AW$210,10,FALSE)*100)))</f>
        <v>110.39106145251397</v>
      </c>
      <c r="J12" s="83">
        <f>(IF($B12&gt;0,(VLOOKUP($B12,'TABLA FINAL '!$B$5:$AW$210,J$5,FALSE)/VLOOKUP($B12,'TABLA FINAL '!$B$5:$AW$210,10,FALSE)*100)))</f>
        <v>112.84916201117319</v>
      </c>
      <c r="K12" s="83">
        <f>(IF($B12&gt;0,(VLOOKUP($B12,'TABLA FINAL '!$B$5:$AW$210,K$5,FALSE)/VLOOKUP($B12,'TABLA FINAL '!$B$5:$AW$210,10,FALSE)*100)))</f>
        <v>117.98882681564244</v>
      </c>
      <c r="L12" s="83">
        <f>(IF($B12&gt;0,(VLOOKUP($B12,'TABLA FINAL '!$B$5:$AW$210,L$5,FALSE)/VLOOKUP($B12,'TABLA FINAL '!$B$5:$AW$210,10,FALSE)*100)))</f>
        <v>118.88268156424581</v>
      </c>
      <c r="M12" s="83">
        <f>(IF($B12&gt;0,(VLOOKUP($B12,'TABLA FINAL '!$B$5:$AW$210,M$5,FALSE)/VLOOKUP($B12,'TABLA FINAL '!$B$5:$AW$210,10,FALSE)*100)))</f>
        <v>119.10614525139664</v>
      </c>
      <c r="N12" s="83">
        <f>(IF($B12&gt;0,(VLOOKUP($B12,'TABLA FINAL '!$B$5:$AW$210,N$5,FALSE)/VLOOKUP($B12,'TABLA FINAL '!$B$5:$AW$210,10,FALSE)*100)))</f>
        <v>120.44692737430167</v>
      </c>
      <c r="O12" s="83">
        <f>(IF($B12&gt;0,(VLOOKUP($B12,'TABLA FINAL '!$B$5:$AW$210,O$5,FALSE)/VLOOKUP($B12,'TABLA FINAL '!$B$5:$AW$210,10,FALSE)*100)))</f>
        <v>120.89385474860335</v>
      </c>
      <c r="P12" s="83">
        <f>(IF($B12&gt;0,(VLOOKUP($B12,'TABLA FINAL '!$B$5:$AW$210,P$5,FALSE)/VLOOKUP($B12,'TABLA FINAL '!$B$5:$AW$210,10,FALSE)*100)))</f>
        <v>119.88826815642457</v>
      </c>
      <c r="Q12" s="83">
        <f>(IF($B12&gt;0,(VLOOKUP($B12,'TABLA FINAL '!$B$5:$AW$210,Q$5,FALSE)/VLOOKUP($B12,'TABLA FINAL '!$B$5:$AW$210,10,FALSE)*100)))</f>
        <v>119.66480446927375</v>
      </c>
      <c r="R12" s="83">
        <f>(IF($B12&gt;0,(VLOOKUP($B12,'TABLA FINAL '!$B$5:$AW$210,R$5,FALSE)/VLOOKUP($B12,'TABLA FINAL '!$B$5:$AW$210,10,FALSE)*100)))</f>
        <v>119.21787709497207</v>
      </c>
      <c r="S12" s="83">
        <f>(IF($B12&gt;0,(VLOOKUP($B12,'TABLA FINAL '!$B$5:$AW$210,S$5,FALSE)/VLOOKUP($B12,'TABLA FINAL '!$B$5:$AW$210,10,FALSE)*100)))</f>
        <v>119.21787709497207</v>
      </c>
      <c r="T12" s="83">
        <f>(IF($B12&gt;0,(VLOOKUP($B12,'TABLA FINAL '!$B$5:$AW$210,T$5,FALSE)/VLOOKUP($B12,'TABLA FINAL '!$B$5:$AW$210,10,FALSE)*100)))</f>
        <v>119.55307262569832</v>
      </c>
      <c r="U12" s="83">
        <f>(IF($B12&gt;0,(VLOOKUP($B12,'TABLA FINAL '!$B$5:$AW$210,U$5,FALSE)/VLOOKUP($B12,'TABLA FINAL '!$B$5:$AW$210,10,FALSE)*100)))</f>
        <v>120.11173184357543</v>
      </c>
      <c r="V12" s="83">
        <f>(IF($B12&gt;0,(VLOOKUP($B12,'TABLA FINAL '!$B$5:$AW$210,V$5,FALSE)/VLOOKUP($B12,'TABLA FINAL '!$B$5:$AW$210,10,FALSE)*100)))</f>
        <v>121.67597765363129</v>
      </c>
      <c r="W12" s="83">
        <f>(IF($B12&gt;0,(VLOOKUP($B12,'TABLA FINAL '!$B$5:$AW$210,W$5,FALSE)/VLOOKUP($B12,'TABLA FINAL '!$B$5:$AW$210,10,FALSE)*100)))</f>
        <v>122.90502793296089</v>
      </c>
      <c r="X12" s="83">
        <f>(IF($B12&gt;0,(VLOOKUP($B12,'TABLA FINAL '!$B$5:$AW$210,X$5,FALSE)/VLOOKUP($B12,'TABLA FINAL '!$B$5:$AW$210,10,FALSE)*100)))</f>
        <v>124.80446927374302</v>
      </c>
      <c r="Y12" s="83">
        <f>(IF($B12&gt;0,(VLOOKUP($B12,'TABLA FINAL '!$B$5:$AW$210,Y$5,FALSE)/VLOOKUP($B12,'TABLA FINAL '!$B$5:$AW$210,10,FALSE)*100)))</f>
        <v>127.48603351955308</v>
      </c>
      <c r="Z12" s="83">
        <f>(IF($B12&gt;0,(VLOOKUP($B12,'TABLA FINAL '!$B$5:$AW$210,Z$5,FALSE)/VLOOKUP($B12,'TABLA FINAL '!$B$5:$AW$210,10,FALSE)*100)))</f>
        <v>128.26815642458101</v>
      </c>
      <c r="AA12" s="83">
        <f>(IF($B12&gt;0,(VLOOKUP($B12,'TABLA FINAL '!$B$5:$AW$210,AA$5,FALSE)/VLOOKUP($B12,'TABLA FINAL '!$B$5:$AW$210,10,FALSE)*100)))</f>
        <v>131.39664804469274</v>
      </c>
      <c r="AB12" s="83">
        <f>(IF($B12&gt;0,(VLOOKUP($B12,'TABLA FINAL '!$B$5:$AW$210,AB$5,FALSE)/VLOOKUP($B12,'TABLA FINAL '!$B$5:$AW$210,10,FALSE)*100)))</f>
        <v>131.50837988826817</v>
      </c>
      <c r="AC12" s="83">
        <f>(IF($B12&gt;0,(VLOOKUP($B12,'TABLA FINAL '!$B$5:$AW$210,AC$5,FALSE)/VLOOKUP($B12,'TABLA FINAL '!$B$5:$AW$210,10,FALSE)*100)))</f>
        <v>132.62569832402235</v>
      </c>
      <c r="AD12" s="83">
        <f>(IF($B12&gt;0,(VLOOKUP($B12,'TABLA FINAL '!$B$5:$AW$210,AD$5,FALSE)/VLOOKUP($B12,'TABLA FINAL '!$B$5:$AW$210,10,FALSE)*100)))</f>
        <v>133.85474860335196</v>
      </c>
      <c r="AE12" s="83">
        <f>(IF($B12&gt;0,(VLOOKUP($B12,'TABLA FINAL '!$B$5:$AW$210,AE$5,FALSE)/VLOOKUP($B12,'TABLA FINAL '!$B$5:$AW$210,10,FALSE)*100)))</f>
        <v>139.55307262569835</v>
      </c>
      <c r="AF12" s="83">
        <f>(IF($B12&gt;0,(VLOOKUP($B12,'TABLA FINAL '!$B$5:$AW$210,AF$5,FALSE)/VLOOKUP($B12,'TABLA FINAL '!$B$5:$AW$210,10,FALSE)*100)))</f>
        <v>150.27932960893855</v>
      </c>
      <c r="AG12" s="83">
        <f>(IF($B12&gt;0,(VLOOKUP($B12,'TABLA FINAL '!$B$5:$AW$210,AG$5,FALSE)/VLOOKUP($B12,'TABLA FINAL '!$B$5:$AW$210,10,FALSE)*100)))</f>
        <v>155.4189944134078</v>
      </c>
      <c r="AH12" s="83">
        <f>(IF($B12&gt;0,(VLOOKUP($B12,'TABLA FINAL '!$B$5:$AW$210,AH$5,FALSE)/VLOOKUP($B12,'TABLA FINAL '!$B$5:$AW$210,10,FALSE)*100)))</f>
        <v>162.01117318435755</v>
      </c>
      <c r="AI12" s="83">
        <f>(IF($B12&gt;0,(VLOOKUP($B12,'TABLA FINAL '!$B$5:$AW$210,AI$5,FALSE)/VLOOKUP($B12,'TABLA FINAL '!$B$5:$AW$210,10,FALSE)*100)))</f>
        <v>165.58659217877093</v>
      </c>
      <c r="AJ12" s="83">
        <f>(IF($B12&gt;0,(VLOOKUP($B12,'TABLA FINAL '!$B$5:$AW$210,AJ$5,FALSE)/VLOOKUP($B12,'TABLA FINAL '!$B$5:$AW$210,10,FALSE)*100)))</f>
        <v>165.58659217877093</v>
      </c>
      <c r="AK12" s="83">
        <f>(IF($B12&gt;0,(VLOOKUP($B12,'TABLA FINAL '!$B$5:$AW$210,AK$5,FALSE)/VLOOKUP($B12,'TABLA FINAL '!$B$5:$AW$210,10,FALSE)*100)))</f>
        <v>166.927374301676</v>
      </c>
      <c r="AL12" s="83">
        <f>(IF($B12&gt;0,(VLOOKUP($B12,'TABLA FINAL '!$B$5:$AW$210,AL$5,FALSE)/VLOOKUP($B12,'TABLA FINAL '!$B$5:$AW$210,10,FALSE)*100)))</f>
        <v>165.13966480446928</v>
      </c>
      <c r="AM12" s="83">
        <f>(IF($B12&gt;0,(VLOOKUP($B12,'TABLA FINAL '!$B$5:$AW$210,AM$5,FALSE)/VLOOKUP($B12,'TABLA FINAL '!$B$5:$AW$210,10,FALSE)*100)))</f>
        <v>165.3631284916201</v>
      </c>
      <c r="AN12" s="83">
        <f>(IF($B12&gt;0,(VLOOKUP($B12,'TABLA FINAL '!$B$5:$AW$210,AN$5,FALSE)/VLOOKUP($B12,'TABLA FINAL '!$B$5:$AW$210,10,FALSE)*100)))</f>
        <v>166.81564245810057</v>
      </c>
      <c r="AO12" s="83">
        <f>(IF($B12&gt;0,(VLOOKUP($B12,'TABLA FINAL '!$B$5:$AW$210,AO$5,FALSE)/VLOOKUP($B12,'TABLA FINAL '!$B$5:$AW$210,10,FALSE)*100)))</f>
        <v>168.37988826815641</v>
      </c>
      <c r="AP12" s="83">
        <f>(IF($B12&gt;0,(VLOOKUP($B12,'TABLA FINAL '!$B$5:$AW$210,AP$5,FALSE)/VLOOKUP($B12,'TABLA FINAL '!$B$5:$AW$210,10,FALSE)*100)))</f>
        <v>170.94972067039106</v>
      </c>
      <c r="AQ12" s="83">
        <f>(IF($B12&gt;0,(VLOOKUP($B12,'TABLA FINAL '!$B$5:$DQ$210,AQ$5,FALSE)/VLOOKUP($B12,'TABLA FINAL '!$B$5:$DQ214,10,FALSE)*100)))</f>
        <v>171.62011173184356</v>
      </c>
      <c r="AR12" s="83">
        <f>(IF($B12&gt;0,(VLOOKUP($B12,'TABLA FINAL '!$B$5:$DQ$210,AR$5,FALSE)/VLOOKUP($B12,'TABLA FINAL '!$B$5:$DQ214,10,FALSE)*100)))</f>
        <v>172.06703910614524</v>
      </c>
      <c r="AS12" s="83">
        <f>(IF($B12&gt;0,(VLOOKUP($B12,'TABLA FINAL '!$B$5:$DQ$210,AS$5,FALSE)/VLOOKUP($B12,'TABLA FINAL '!$B$5:$DQ214,10,FALSE)*100)))</f>
        <v>172.51396648044692</v>
      </c>
      <c r="AT12" s="83">
        <f>(IF($B12&gt;0,(VLOOKUP($B12,'TABLA FINAL '!$B$5:$DQ$210,AT$5,FALSE)/VLOOKUP($B12,'TABLA FINAL '!$B$5:$DQ214,10,FALSE)*100)))</f>
        <v>176.87150837988827</v>
      </c>
      <c r="AU12" s="83">
        <f>(IF($B12&gt;0,(VLOOKUP($B12,'TABLA FINAL '!$B$5:$DQ$210,AU$5,FALSE)/VLOOKUP($B12,'TABLA FINAL '!$B$5:$DQ214,10,FALSE)*100)))</f>
        <v>176.64804469273741</v>
      </c>
      <c r="AV12" s="83">
        <f>(IF($B12&gt;0,(VLOOKUP($B12,'TABLA FINAL '!$B$5:$DQ$210,AV$5,FALSE)/VLOOKUP($B12,'TABLA FINAL '!$B$5:$DQ214,10,FALSE)*100)))</f>
        <v>176.87150837988827</v>
      </c>
      <c r="AW12" s="83">
        <f>(IF($B12&gt;0,(VLOOKUP($B12,'TABLA FINAL '!$B$5:$DQ$210,AW$5,FALSE)/VLOOKUP($B12,'TABLA FINAL '!$B$5:$DQ214,10,FALSE)*100)))</f>
        <v>180.33519553072625</v>
      </c>
      <c r="AX12" s="83">
        <f>(IF($B12&gt;0,(VLOOKUP($B12,'TABLA FINAL '!$B$5:$DQ$210,AX$5,FALSE)/VLOOKUP($B12,'TABLA FINAL '!$B$5:$DQ214,10,FALSE)*100)))</f>
        <v>180.44692737430168</v>
      </c>
      <c r="AY12" s="83">
        <f>(IF($B12&gt;0,(VLOOKUP($B12,'TABLA FINAL '!$B$5:$DQ$210,AY$5,FALSE)/VLOOKUP($B12,'TABLA FINAL '!$B$5:$DQ214,10,FALSE)*100)))</f>
        <v>180.67039106145251</v>
      </c>
      <c r="AZ12" s="83">
        <f>(IF($B12&gt;0,(VLOOKUP($B12,'TABLA FINAL '!$B$5:$DQ$210,AZ$5,FALSE)/VLOOKUP($B12,'TABLA FINAL '!$B$5:$DQ214,10,FALSE)*100)))</f>
        <v>181.11731843575419</v>
      </c>
      <c r="BA12" s="83">
        <f>(IF($B12&gt;0,(VLOOKUP($B12,'TABLA FINAL '!$B$5:$DQ$210,BA$5,FALSE)/VLOOKUP($B12,'TABLA FINAL '!$B$5:$DQ214,10,FALSE)*100)))</f>
        <v>187.37430167597765</v>
      </c>
    </row>
    <row r="13" spans="2:56" ht="15" customHeight="1">
      <c r="B13" s="82">
        <v>47</v>
      </c>
      <c r="C13" s="83" t="str">
        <f>(IF($B13&gt;0,VLOOKUP($B13,'TABLA FINAL '!$B$5:$AW$210,3,FALSE)))</f>
        <v>Caño de PVC de 0,110 m</v>
      </c>
      <c r="D13" s="83">
        <f>(IF($B13&gt;0,(VLOOKUP($B13,'TABLA FINAL '!$B$5:$AW$210,10,FALSE)/VLOOKUP($B13,'TABLA FINAL '!$B$5:$AW$210,10,FALSE)*100)))</f>
        <v>100</v>
      </c>
      <c r="E13" s="83">
        <f>(IF($B13&gt;0,(VLOOKUP($B13,'TABLA FINAL '!$B$5:$AW$210,$E$5,FALSE)/VLOOKUP($B13,'TABLA FINAL '!$B$5:$AW$210,10,FALSE)*100)))</f>
        <v>110.50420168067228</v>
      </c>
      <c r="F13" s="83">
        <f>(IF($B13&gt;0,(VLOOKUP($B13,'TABLA FINAL '!$B$5:$AW$210,F$5,FALSE)/VLOOKUP($B13,'TABLA FINAL '!$B$5:$AW$210,10,FALSE)*100)))</f>
        <v>139.9159663865546</v>
      </c>
      <c r="G13" s="83">
        <f>(IF($B13&gt;0,(VLOOKUP($B13,'TABLA FINAL '!$B$5:$AW$210,G$5,FALSE)/VLOOKUP($B13,'TABLA FINAL '!$B$5:$AW$210,10,FALSE)*100)))</f>
        <v>147.47899159663865</v>
      </c>
      <c r="H13" s="83">
        <f>(IF($B13&gt;0,(VLOOKUP($B13,'TABLA FINAL '!$B$5:$AW$210,H$5,FALSE)/VLOOKUP($B13,'TABLA FINAL '!$B$5:$AW$210,10,FALSE)*100)))</f>
        <v>182.56302521008405</v>
      </c>
      <c r="I13" s="83">
        <f>(IF($B13&gt;0,(VLOOKUP($B13,'TABLA FINAL '!$B$5:$AW$210,I$5,FALSE)/VLOOKUP($B13,'TABLA FINAL '!$B$5:$AW$210,10,FALSE)*100)))</f>
        <v>193.69747899159663</v>
      </c>
      <c r="J13" s="83">
        <f>(IF($B13&gt;0,(VLOOKUP($B13,'TABLA FINAL '!$B$5:$AW$210,J$5,FALSE)/VLOOKUP($B13,'TABLA FINAL '!$B$5:$AW$210,10,FALSE)*100)))</f>
        <v>210.0840336134454</v>
      </c>
      <c r="K13" s="83">
        <f>(IF($B13&gt;0,(VLOOKUP($B13,'TABLA FINAL '!$B$5:$AW$210,K$5,FALSE)/VLOOKUP($B13,'TABLA FINAL '!$B$5:$AW$210,10,FALSE)*100)))</f>
        <v>224.36974789915968</v>
      </c>
      <c r="L13" s="83">
        <f>(IF($B13&gt;0,(VLOOKUP($B13,'TABLA FINAL '!$B$5:$AW$210,L$5,FALSE)/VLOOKUP($B13,'TABLA FINAL '!$B$5:$AW$210,10,FALSE)*100)))</f>
        <v>240.33613445378151</v>
      </c>
      <c r="M13" s="83">
        <f>(IF($B13&gt;0,(VLOOKUP($B13,'TABLA FINAL '!$B$5:$AW$210,M$5,FALSE)/VLOOKUP($B13,'TABLA FINAL '!$B$5:$AW$210,10,FALSE)*100)))</f>
        <v>242.96218487394961</v>
      </c>
      <c r="N13" s="83">
        <f>(IF($B13&gt;0,(VLOOKUP($B13,'TABLA FINAL '!$B$5:$AW$210,N$5,FALSE)/VLOOKUP($B13,'TABLA FINAL '!$B$5:$AW$210,10,FALSE)*100)))</f>
        <v>243.90756302521007</v>
      </c>
      <c r="O13" s="83">
        <f>(IF($B13&gt;0,(VLOOKUP($B13,'TABLA FINAL '!$B$5:$AW$210,O$5,FALSE)/VLOOKUP($B13,'TABLA FINAL '!$B$5:$AW$210,10,FALSE)*100)))</f>
        <v>235.50420168067222</v>
      </c>
      <c r="P13" s="83">
        <f>(IF($B13&gt;0,(VLOOKUP($B13,'TABLA FINAL '!$B$5:$AW$210,P$5,FALSE)/VLOOKUP($B13,'TABLA FINAL '!$B$5:$AW$210,10,FALSE)*100)))</f>
        <v>228.57142857142856</v>
      </c>
      <c r="Q13" s="83">
        <f>(IF($B13&gt;0,(VLOOKUP($B13,'TABLA FINAL '!$B$5:$AW$210,Q$5,FALSE)/VLOOKUP($B13,'TABLA FINAL '!$B$5:$AW$210,10,FALSE)*100)))</f>
        <v>228.57142857142856</v>
      </c>
      <c r="R13" s="83">
        <f>(IF($B13&gt;0,(VLOOKUP($B13,'TABLA FINAL '!$B$5:$AW$210,R$5,FALSE)/VLOOKUP($B13,'TABLA FINAL '!$B$5:$AW$210,10,FALSE)*100)))</f>
        <v>226.78571428571428</v>
      </c>
      <c r="S13" s="83">
        <f>(IF($B13&gt;0,(VLOOKUP($B13,'TABLA FINAL '!$B$5:$AW$210,S$5,FALSE)/VLOOKUP($B13,'TABLA FINAL '!$B$5:$AW$210,10,FALSE)*100)))</f>
        <v>232.66806722689074</v>
      </c>
      <c r="T13" s="83">
        <f>(IF($B13&gt;0,(VLOOKUP($B13,'TABLA FINAL '!$B$5:$AW$210,T$5,FALSE)/VLOOKUP($B13,'TABLA FINAL '!$B$5:$AW$210,10,FALSE)*100)))</f>
        <v>233.40336134453779</v>
      </c>
      <c r="U13" s="83">
        <f>(IF($B13&gt;0,(VLOOKUP($B13,'TABLA FINAL '!$B$5:$AW$210,U$5,FALSE)/VLOOKUP($B13,'TABLA FINAL '!$B$5:$AW$210,10,FALSE)*100)))</f>
        <v>234.3487394957983</v>
      </c>
      <c r="V13" s="83">
        <f>(IF($B13&gt;0,(VLOOKUP($B13,'TABLA FINAL '!$B$5:$AW$210,V$5,FALSE)/VLOOKUP($B13,'TABLA FINAL '!$B$5:$AW$210,10,FALSE)*100)))</f>
        <v>232.45798319327733</v>
      </c>
      <c r="W13" s="83">
        <f>(IF($B13&gt;0,(VLOOKUP($B13,'TABLA FINAL '!$B$5:$AW$210,W$5,FALSE)/VLOOKUP($B13,'TABLA FINAL '!$B$5:$AW$210,10,FALSE)*100)))</f>
        <v>232.98319327731093</v>
      </c>
      <c r="X13" s="83">
        <f>(IF($B13&gt;0,(VLOOKUP($B13,'TABLA FINAL '!$B$5:$AW$210,X$5,FALSE)/VLOOKUP($B13,'TABLA FINAL '!$B$5:$AW$210,10,FALSE)*100)))</f>
        <v>233.50840336134456</v>
      </c>
      <c r="Y13" s="83">
        <f>(IF($B13&gt;0,(VLOOKUP($B13,'TABLA FINAL '!$B$5:$AW$210,Y$5,FALSE)/VLOOKUP($B13,'TABLA FINAL '!$B$5:$AW$210,10,FALSE)*100)))</f>
        <v>232.24789915966383</v>
      </c>
      <c r="Z13" s="83">
        <f>(IF($B13&gt;0,(VLOOKUP($B13,'TABLA FINAL '!$B$5:$AW$210,Z$5,FALSE)/VLOOKUP($B13,'TABLA FINAL '!$B$5:$AW$210,10,FALSE)*100)))</f>
        <v>232.45798319327733</v>
      </c>
      <c r="AA13" s="83">
        <f>(IF($B13&gt;0,(VLOOKUP($B13,'TABLA FINAL '!$B$5:$AW$210,AA$5,FALSE)/VLOOKUP($B13,'TABLA FINAL '!$B$5:$AW$210,10,FALSE)*100)))</f>
        <v>232.35294117647055</v>
      </c>
      <c r="AB13" s="83">
        <f>(IF($B13&gt;0,(VLOOKUP($B13,'TABLA FINAL '!$B$5:$AW$210,AB$5,FALSE)/VLOOKUP($B13,'TABLA FINAL '!$B$5:$AW$210,10,FALSE)*100)))</f>
        <v>229.83193277310926</v>
      </c>
      <c r="AC13" s="83">
        <f>(IF($B13&gt;0,(VLOOKUP($B13,'TABLA FINAL '!$B$5:$AW$210,AC$5,FALSE)/VLOOKUP($B13,'TABLA FINAL '!$B$5:$AW$210,10,FALSE)*100)))</f>
        <v>229.51680672268907</v>
      </c>
      <c r="AD13" s="83">
        <f>(IF($B13&gt;0,(VLOOKUP($B13,'TABLA FINAL '!$B$5:$AW$210,AD$5,FALSE)/VLOOKUP($B13,'TABLA FINAL '!$B$5:$AW$210,10,FALSE)*100)))</f>
        <v>237.39495798319328</v>
      </c>
      <c r="AE13" s="83">
        <f>(IF($B13&gt;0,(VLOOKUP($B13,'TABLA FINAL '!$B$5:$AW$210,AE$5,FALSE)/VLOOKUP($B13,'TABLA FINAL '!$B$5:$AW$210,10,FALSE)*100)))</f>
        <v>233.08823529411765</v>
      </c>
      <c r="AF13" s="83">
        <f>(IF($B13&gt;0,(VLOOKUP($B13,'TABLA FINAL '!$B$5:$AW$210,AF$5,FALSE)/VLOOKUP($B13,'TABLA FINAL '!$B$5:$AW$210,10,FALSE)*100)))</f>
        <v>231.30252100840335</v>
      </c>
      <c r="AG13" s="83">
        <f>(IF($B13&gt;0,(VLOOKUP($B13,'TABLA FINAL '!$B$5:$AW$210,AG$5,FALSE)/VLOOKUP($B13,'TABLA FINAL '!$B$5:$AW$210,10,FALSE)*100)))</f>
        <v>235.39915966386556</v>
      </c>
      <c r="AH13" s="83">
        <f>(IF($B13&gt;0,(VLOOKUP($B13,'TABLA FINAL '!$B$5:$AW$210,AH$5,FALSE)/VLOOKUP($B13,'TABLA FINAL '!$B$5:$AW$210,10,FALSE)*100)))</f>
        <v>235.39915966386556</v>
      </c>
      <c r="AI13" s="83">
        <f>(IF($B13&gt;0,(VLOOKUP($B13,'TABLA FINAL '!$B$5:$AW$210,AI$5,FALSE)/VLOOKUP($B13,'TABLA FINAL '!$B$5:$AW$210,10,FALSE)*100)))</f>
        <v>237.07983193277312</v>
      </c>
      <c r="AJ13" s="83">
        <f>(IF($B13&gt;0,(VLOOKUP($B13,'TABLA FINAL '!$B$5:$AW$210,AJ$5,FALSE)/VLOOKUP($B13,'TABLA FINAL '!$B$5:$AW$210,10,FALSE)*100)))</f>
        <v>240.12605042016807</v>
      </c>
      <c r="AK13" s="83">
        <f>(IF($B13&gt;0,(VLOOKUP($B13,'TABLA FINAL '!$B$5:$AW$210,AK$5,FALSE)/VLOOKUP($B13,'TABLA FINAL '!$B$5:$AW$210,10,FALSE)*100)))</f>
        <v>242.96218487394961</v>
      </c>
      <c r="AL13" s="83">
        <f>(IF($B13&gt;0,(VLOOKUP($B13,'TABLA FINAL '!$B$5:$AW$210,AL$5,FALSE)/VLOOKUP($B13,'TABLA FINAL '!$B$5:$AW$210,10,FALSE)*100)))</f>
        <v>259.66386554621846</v>
      </c>
      <c r="AM13" s="83">
        <f>(IF($B13&gt;0,(VLOOKUP($B13,'TABLA FINAL '!$B$5:$AW$210,AM$5,FALSE)/VLOOKUP($B13,'TABLA FINAL '!$B$5:$AW$210,10,FALSE)*100)))</f>
        <v>259.24369747899163</v>
      </c>
      <c r="AN13" s="83">
        <f>(IF($B13&gt;0,(VLOOKUP($B13,'TABLA FINAL '!$B$5:$AW$210,AN$5,FALSE)/VLOOKUP($B13,'TABLA FINAL '!$B$5:$AW$210,10,FALSE)*100)))</f>
        <v>259.24369747899163</v>
      </c>
      <c r="AO13" s="83">
        <f>(IF($B13&gt;0,(VLOOKUP($B13,'TABLA FINAL '!$B$5:$AW$210,AO$5,FALSE)/VLOOKUP($B13,'TABLA FINAL '!$B$5:$AW$210,10,FALSE)*100)))</f>
        <v>260.71428571428567</v>
      </c>
      <c r="AP13" s="83">
        <f>(IF($B13&gt;0,(VLOOKUP($B13,'TABLA FINAL '!$B$5:$AW$210,AP$5,FALSE)/VLOOKUP($B13,'TABLA FINAL '!$B$5:$AW$210,10,FALSE)*100)))</f>
        <v>273.10924369747897</v>
      </c>
      <c r="AQ13" s="83">
        <f>(IF($B13&gt;0,(VLOOKUP($B13,'TABLA FINAL '!$B$5:$DQ$210,AQ$5,FALSE)/VLOOKUP($B13,'TABLA FINAL '!$B$5:$DQ215,10,FALSE)*100)))</f>
        <v>281.40756302521004</v>
      </c>
      <c r="AR13" s="83">
        <f>(IF($B13&gt;0,(VLOOKUP($B13,'TABLA FINAL '!$B$5:$DQ$210,AR$5,FALSE)/VLOOKUP($B13,'TABLA FINAL '!$B$5:$DQ215,10,FALSE)*100)))</f>
        <v>281.40756302521004</v>
      </c>
      <c r="AS13" s="83">
        <f>(IF($B13&gt;0,(VLOOKUP($B13,'TABLA FINAL '!$B$5:$DQ$210,AS$5,FALSE)/VLOOKUP($B13,'TABLA FINAL '!$B$5:$DQ215,10,FALSE)*100)))</f>
        <v>283.61344537815125</v>
      </c>
      <c r="AT13" s="83">
        <f>(IF($B13&gt;0,(VLOOKUP($B13,'TABLA FINAL '!$B$5:$DQ$210,AT$5,FALSE)/VLOOKUP($B13,'TABLA FINAL '!$B$5:$DQ215,10,FALSE)*100)))</f>
        <v>283.61344537815125</v>
      </c>
      <c r="AU13" s="83">
        <f>(IF($B13&gt;0,(VLOOKUP($B13,'TABLA FINAL '!$B$5:$DQ$210,AU$5,FALSE)/VLOOKUP($B13,'TABLA FINAL '!$B$5:$DQ215,10,FALSE)*100)))</f>
        <v>289.81092436974785</v>
      </c>
      <c r="AV13" s="83">
        <f>(IF($B13&gt;0,(VLOOKUP($B13,'TABLA FINAL '!$B$5:$DQ$210,AV$5,FALSE)/VLOOKUP($B13,'TABLA FINAL '!$B$5:$DQ215,10,FALSE)*100)))</f>
        <v>289.81092436974785</v>
      </c>
      <c r="AW13" s="83">
        <f>(IF($B13&gt;0,(VLOOKUP($B13,'TABLA FINAL '!$B$5:$DQ$210,AW$5,FALSE)/VLOOKUP($B13,'TABLA FINAL '!$B$5:$DQ215,10,FALSE)*100)))</f>
        <v>287.81512605042019</v>
      </c>
      <c r="AX13" s="83">
        <f>(IF($B13&gt;0,(VLOOKUP($B13,'TABLA FINAL '!$B$5:$DQ$210,AX$5,FALSE)/VLOOKUP($B13,'TABLA FINAL '!$B$5:$DQ215,10,FALSE)*100)))</f>
        <v>294.64285714285711</v>
      </c>
      <c r="AY13" s="83">
        <f>(IF($B13&gt;0,(VLOOKUP($B13,'TABLA FINAL '!$B$5:$DQ$210,AY$5,FALSE)/VLOOKUP($B13,'TABLA FINAL '!$B$5:$DQ215,10,FALSE)*100)))</f>
        <v>322.47899159663865</v>
      </c>
      <c r="AZ13" s="83">
        <f>(IF($B13&gt;0,(VLOOKUP($B13,'TABLA FINAL '!$B$5:$DQ$210,AZ$5,FALSE)/VLOOKUP($B13,'TABLA FINAL '!$B$5:$DQ215,10,FALSE)*100)))</f>
        <v>322.47899159663865</v>
      </c>
      <c r="BA13" s="83">
        <f>(IF($B13&gt;0,(VLOOKUP($B13,'TABLA FINAL '!$B$5:$DQ$210,BA$5,FALSE)/VLOOKUP($B13,'TABLA FINAL '!$B$5:$DQ215,10,FALSE)*100)))</f>
        <v>334.24369747899158</v>
      </c>
    </row>
    <row r="14" spans="2:56" ht="15" customHeight="1">
      <c r="B14" s="82">
        <v>102</v>
      </c>
      <c r="C14" s="83" t="str">
        <f>(IF($B14&gt;0,VLOOKUP($B14,'TABLA FINAL '!$B$5:$AW$210,3,FALSE)))</f>
        <v>Pinturas al látex</v>
      </c>
      <c r="D14" s="83">
        <f>(IF($B14&gt;0,(VLOOKUP($B14,'TABLA FINAL '!$B$5:$AW$210,10,FALSE)/VLOOKUP($B14,'TABLA FINAL '!$B$5:$AW$210,10,FALSE)*100)))</f>
        <v>100</v>
      </c>
      <c r="E14" s="83">
        <f>(IF($B14&gt;0,(VLOOKUP($B14,'TABLA FINAL '!$B$5:$AW$210,$E$5,FALSE)/VLOOKUP($B14,'TABLA FINAL '!$B$5:$AW$210,10,FALSE)*100)))</f>
        <v>110.45450177764965</v>
      </c>
      <c r="F14" s="83">
        <f>(IF($B14&gt;0,(VLOOKUP($B14,'TABLA FINAL '!$B$5:$AW$210,F$5,FALSE)/VLOOKUP($B14,'TABLA FINAL '!$B$5:$AW$210,10,FALSE)*100)))</f>
        <v>141.472086095897</v>
      </c>
      <c r="G14" s="83">
        <f>(IF($B14&gt;0,(VLOOKUP($B14,'TABLA FINAL '!$B$5:$AW$210,G$5,FALSE)/VLOOKUP($B14,'TABLA FINAL '!$B$5:$AW$210,10,FALSE)*100)))</f>
        <v>149.38983376573461</v>
      </c>
      <c r="H14" s="83">
        <f>(IF($B14&gt;0,(VLOOKUP($B14,'TABLA FINAL '!$B$5:$AW$210,H$5,FALSE)/VLOOKUP($B14,'TABLA FINAL '!$B$5:$AW$210,10,FALSE)*100)))</f>
        <v>178.35110982992219</v>
      </c>
      <c r="I14" s="83">
        <f>(IF($B14&gt;0,(VLOOKUP($B14,'TABLA FINAL '!$B$5:$AW$210,I$5,FALSE)/VLOOKUP($B14,'TABLA FINAL '!$B$5:$AW$210,10,FALSE)*100)))</f>
        <v>192.49543576438938</v>
      </c>
      <c r="J14" s="83">
        <f>(IF($B14&gt;0,(VLOOKUP($B14,'TABLA FINAL '!$B$5:$AW$210,J$5,FALSE)/VLOOKUP($B14,'TABLA FINAL '!$B$5:$AW$210,10,FALSE)*100)))</f>
        <v>209.09003555299316</v>
      </c>
      <c r="K14" s="83">
        <f>(IF($B14&gt;0,(VLOOKUP($B14,'TABLA FINAL '!$B$5:$AW$210,K$5,FALSE)/VLOOKUP($B14,'TABLA FINAL '!$B$5:$AW$210,10,FALSE)*100)))</f>
        <v>209.24377822619391</v>
      </c>
      <c r="L14" s="83">
        <f>(IF($B14&gt;0,(VLOOKUP($B14,'TABLA FINAL '!$B$5:$AW$210,L$5,FALSE)/VLOOKUP($B14,'TABLA FINAL '!$B$5:$AW$210,10,FALSE)*100)))</f>
        <v>206.48601902565579</v>
      </c>
      <c r="M14" s="83">
        <f>(IF($B14&gt;0,(VLOOKUP($B14,'TABLA FINAL '!$B$5:$AW$210,M$5,FALSE)/VLOOKUP($B14,'TABLA FINAL '!$B$5:$AW$210,10,FALSE)*100)))</f>
        <v>212.48198328048429</v>
      </c>
      <c r="N14" s="83">
        <f>(IF($B14&gt;0,(VLOOKUP($B14,'TABLA FINAL '!$B$5:$AW$210,N$5,FALSE)/VLOOKUP($B14,'TABLA FINAL '!$B$5:$AW$210,10,FALSE)*100)))</f>
        <v>216.17180743730185</v>
      </c>
      <c r="O14" s="83">
        <f>(IF($B14&gt;0,(VLOOKUP($B14,'TABLA FINAL '!$B$5:$AW$210,O$5,FALSE)/VLOOKUP($B14,'TABLA FINAL '!$B$5:$AW$210,10,FALSE)*100)))</f>
        <v>216.19102527145193</v>
      </c>
      <c r="P14" s="83">
        <f>(IF($B14&gt;0,(VLOOKUP($B14,'TABLA FINAL '!$B$5:$AW$210,P$5,FALSE)/VLOOKUP($B14,'TABLA FINAL '!$B$5:$AW$210,10,FALSE)*100)))</f>
        <v>216.19102527145193</v>
      </c>
      <c r="Q14" s="83">
        <f>(IF($B14&gt;0,(VLOOKUP($B14,'TABLA FINAL '!$B$5:$AW$210,Q$5,FALSE)/VLOOKUP($B14,'TABLA FINAL '!$B$5:$AW$210,10,FALSE)*100)))</f>
        <v>216.19102527145193</v>
      </c>
      <c r="R14" s="83">
        <f>(IF($B14&gt;0,(VLOOKUP($B14,'TABLA FINAL '!$B$5:$AW$210,R$5,FALSE)/VLOOKUP($B14,'TABLA FINAL '!$B$5:$AW$210,10,FALSE)*100)))</f>
        <v>216.19102527145193</v>
      </c>
      <c r="S14" s="83">
        <f>(IF($B14&gt;0,(VLOOKUP($B14,'TABLA FINAL '!$B$5:$AW$210,S$5,FALSE)/VLOOKUP($B14,'TABLA FINAL '!$B$5:$AW$210,10,FALSE)*100)))</f>
        <v>216.19102527145193</v>
      </c>
      <c r="T14" s="83">
        <f>(IF($B14&gt;0,(VLOOKUP($B14,'TABLA FINAL '!$B$5:$AW$210,T$5,FALSE)/VLOOKUP($B14,'TABLA FINAL '!$B$5:$AW$210,10,FALSE)*100)))</f>
        <v>218.44912078408765</v>
      </c>
      <c r="U14" s="83">
        <f>(IF($B14&gt;0,(VLOOKUP($B14,'TABLA FINAL '!$B$5:$AW$210,U$5,FALSE)/VLOOKUP($B14,'TABLA FINAL '!$B$5:$AW$210,10,FALSE)*100)))</f>
        <v>217.89180359373498</v>
      </c>
      <c r="V14" s="83">
        <f>(IF($B14&gt;0,(VLOOKUP($B14,'TABLA FINAL '!$B$5:$AW$210,V$5,FALSE)/VLOOKUP($B14,'TABLA FINAL '!$B$5:$AW$210,10,FALSE)*100)))</f>
        <v>218.42990294993757</v>
      </c>
      <c r="W14" s="83">
        <f>(IF($B14&gt;0,(VLOOKUP($B14,'TABLA FINAL '!$B$5:$AW$210,W$5,FALSE)/VLOOKUP($B14,'TABLA FINAL '!$B$5:$AW$210,10,FALSE)*100)))</f>
        <v>218.42990294993757</v>
      </c>
      <c r="X14" s="83">
        <f>(IF($B14&gt;0,(VLOOKUP($B14,'TABLA FINAL '!$B$5:$AW$210,X$5,FALSE)/VLOOKUP($B14,'TABLA FINAL '!$B$5:$AW$210,10,FALSE)*100)))</f>
        <v>216.99817430575575</v>
      </c>
      <c r="Y14" s="83">
        <f>(IF($B14&gt;0,(VLOOKUP($B14,'TABLA FINAL '!$B$5:$AW$210,Y$5,FALSE)/VLOOKUP($B14,'TABLA FINAL '!$B$5:$AW$210,10,FALSE)*100)))</f>
        <v>216.99817430575575</v>
      </c>
      <c r="Z14" s="83">
        <f>(IF($B14&gt;0,(VLOOKUP($B14,'TABLA FINAL '!$B$5:$AW$210,Z$5,FALSE)/VLOOKUP($B14,'TABLA FINAL '!$B$5:$AW$210,10,FALSE)*100)))</f>
        <v>216.99817430575575</v>
      </c>
      <c r="AA14" s="83">
        <f>(IF($B14&gt;0,(VLOOKUP($B14,'TABLA FINAL '!$B$5:$AW$210,AA$5,FALSE)/VLOOKUP($B14,'TABLA FINAL '!$B$5:$AW$210,10,FALSE)*100)))</f>
        <v>216.99817430575575</v>
      </c>
      <c r="AB14" s="83">
        <f>(IF($B14&gt;0,(VLOOKUP($B14,'TABLA FINAL '!$B$5:$AW$210,AB$5,FALSE)/VLOOKUP($B14,'TABLA FINAL '!$B$5:$AW$210,10,FALSE)*100)))</f>
        <v>216.99817430575575</v>
      </c>
      <c r="AC14" s="83">
        <f>(IF($B14&gt;0,(VLOOKUP($B14,'TABLA FINAL '!$B$5:$AW$210,AC$5,FALSE)/VLOOKUP($B14,'TABLA FINAL '!$B$5:$AW$210,10,FALSE)*100)))</f>
        <v>216.99817430575575</v>
      </c>
      <c r="AD14" s="83">
        <f>(IF($B14&gt;0,(VLOOKUP($B14,'TABLA FINAL '!$B$5:$AW$210,AD$5,FALSE)/VLOOKUP($B14,'TABLA FINAL '!$B$5:$AW$210,10,FALSE)*100)))</f>
        <v>218.43951186701261</v>
      </c>
      <c r="AE14" s="83">
        <f>(IF($B14&gt;0,(VLOOKUP($B14,'TABLA FINAL '!$B$5:$AW$210,AE$5,FALSE)/VLOOKUP($B14,'TABLA FINAL '!$B$5:$AW$210,10,FALSE)*100)))</f>
        <v>219.54453733064284</v>
      </c>
      <c r="AF14" s="83">
        <f>(IF($B14&gt;0,(VLOOKUP($B14,'TABLA FINAL '!$B$5:$AW$210,AF$5,FALSE)/VLOOKUP($B14,'TABLA FINAL '!$B$5:$AW$210,10,FALSE)*100)))</f>
        <v>220.44777553569713</v>
      </c>
      <c r="AG14" s="83">
        <f>(IF($B14&gt;0,(VLOOKUP($B14,'TABLA FINAL '!$B$5:$AW$210,AG$5,FALSE)/VLOOKUP($B14,'TABLA FINAL '!$B$5:$AW$210,10,FALSE)*100)))</f>
        <v>222.33112328240608</v>
      </c>
      <c r="AH14" s="83">
        <f>(IF($B14&gt;0,(VLOOKUP($B14,'TABLA FINAL '!$B$5:$AW$210,AH$5,FALSE)/VLOOKUP($B14,'TABLA FINAL '!$B$5:$AW$210,10,FALSE)*100)))</f>
        <v>225.17536273661963</v>
      </c>
      <c r="AI14" s="83">
        <f>(IF($B14&gt;0,(VLOOKUP($B14,'TABLA FINAL '!$B$5:$AW$210,AI$5,FALSE)/VLOOKUP($B14,'TABLA FINAL '!$B$5:$AW$210,10,FALSE)*100)))</f>
        <v>226.03055635629863</v>
      </c>
      <c r="AJ14" s="83">
        <f>(IF($B14&gt;0,(VLOOKUP($B14,'TABLA FINAL '!$B$5:$AW$210,AJ$5,FALSE)/VLOOKUP($B14,'TABLA FINAL '!$B$5:$AW$210,10,FALSE)*100)))</f>
        <v>227.18362640530415</v>
      </c>
      <c r="AK14" s="83">
        <f>(IF($B14&gt;0,(VLOOKUP($B14,'TABLA FINAL '!$B$5:$AW$210,AK$5,FALSE)/VLOOKUP($B14,'TABLA FINAL '!$B$5:$AW$210,10,FALSE)*100)))</f>
        <v>229.87412318631692</v>
      </c>
      <c r="AL14" s="83">
        <f>(IF($B14&gt;0,(VLOOKUP($B14,'TABLA FINAL '!$B$5:$AW$210,AL$5,FALSE)/VLOOKUP($B14,'TABLA FINAL '!$B$5:$AW$210,10,FALSE)*100)))</f>
        <v>234.62092822138945</v>
      </c>
      <c r="AM14" s="83">
        <f>(IF($B14&gt;0,(VLOOKUP($B14,'TABLA FINAL '!$B$5:$AW$210,AM$5,FALSE)/VLOOKUP($B14,'TABLA FINAL '!$B$5:$AW$210,10,FALSE)*100)))</f>
        <v>234.62092822138945</v>
      </c>
      <c r="AN14" s="83">
        <f>(IF($B14&gt;0,(VLOOKUP($B14,'TABLA FINAL '!$B$5:$AW$210,AN$5,FALSE)/VLOOKUP($B14,'TABLA FINAL '!$B$5:$AW$210,10,FALSE)*100)))</f>
        <v>239.06985682713562</v>
      </c>
      <c r="AO14" s="83">
        <f>(IF($B14&gt;0,(VLOOKUP($B14,'TABLA FINAL '!$B$5:$AW$210,AO$5,FALSE)/VLOOKUP($B14,'TABLA FINAL '!$B$5:$AW$210,10,FALSE)*100)))</f>
        <v>247.38157009705009</v>
      </c>
      <c r="AP14" s="83">
        <f>(IF($B14&gt;0,(VLOOKUP($B14,'TABLA FINAL '!$B$5:$AW$210,AP$5,FALSE)/VLOOKUP($B14,'TABLA FINAL '!$B$5:$AW$210,10,FALSE)*100)))</f>
        <v>247.38157009705009</v>
      </c>
      <c r="AQ14" s="83">
        <f>(IF($B14&gt;0,(VLOOKUP($B14,'TABLA FINAL '!$B$5:$DQ$210,AQ$5,FALSE)/VLOOKUP($B14,'TABLA FINAL '!$B$5:$DQ216,10,FALSE)*100)))</f>
        <v>247.38157009705009</v>
      </c>
      <c r="AR14" s="83">
        <f>(IF($B14&gt;0,(VLOOKUP($B14,'TABLA FINAL '!$B$5:$DQ$210,AR$5,FALSE)/VLOOKUP($B14,'TABLA FINAL '!$B$5:$DQ216,10,FALSE)*100)))</f>
        <v>250.91765158066687</v>
      </c>
      <c r="AS14" s="83">
        <f>(IF($B14&gt;0,(VLOOKUP($B14,'TABLA FINAL '!$B$5:$DQ$210,AS$5,FALSE)/VLOOKUP($B14,'TABLA FINAL '!$B$5:$DQ216,10,FALSE)*100)))</f>
        <v>258.56634957240317</v>
      </c>
      <c r="AT14" s="83">
        <f>(IF($B14&gt;0,(VLOOKUP($B14,'TABLA FINAL '!$B$5:$DQ$210,AT$5,FALSE)/VLOOKUP($B14,'TABLA FINAL '!$B$5:$DQ216,10,FALSE)*100)))</f>
        <v>258.56634957240317</v>
      </c>
      <c r="AU14" s="83">
        <f>(IF($B14&gt;0,(VLOOKUP($B14,'TABLA FINAL '!$B$5:$DQ$210,AU$5,FALSE)/VLOOKUP($B14,'TABLA FINAL '!$B$5:$DQ216,10,FALSE)*100)))</f>
        <v>268.31940040357455</v>
      </c>
      <c r="AV14" s="83">
        <f>(IF($B14&gt;0,(VLOOKUP($B14,'TABLA FINAL '!$B$5:$DQ$210,AV$5,FALSE)/VLOOKUP($B14,'TABLA FINAL '!$B$5:$DQ216,10,FALSE)*100)))</f>
        <v>268.05035072547321</v>
      </c>
      <c r="AW14" s="83">
        <f>(IF($B14&gt;0,(VLOOKUP($B14,'TABLA FINAL '!$B$5:$DQ$210,AW$5,FALSE)/VLOOKUP($B14,'TABLA FINAL '!$B$5:$DQ216,10,FALSE)*100)))</f>
        <v>268.31940040357455</v>
      </c>
      <c r="AX14" s="83">
        <f>(IF($B14&gt;0,(VLOOKUP($B14,'TABLA FINAL '!$B$5:$DQ$210,AX$5,FALSE)/VLOOKUP($B14,'TABLA FINAL '!$B$5:$DQ216,10,FALSE)*100)))</f>
        <v>268.31940040357455</v>
      </c>
      <c r="AY14" s="83">
        <f>(IF($B14&gt;0,(VLOOKUP($B14,'TABLA FINAL '!$B$5:$DQ$210,AY$5,FALSE)/VLOOKUP($B14,'TABLA FINAL '!$B$5:$DQ216,10,FALSE)*100)))</f>
        <v>268.31940040357455</v>
      </c>
      <c r="AZ14" s="83">
        <f>(IF($B14&gt;0,(VLOOKUP($B14,'TABLA FINAL '!$B$5:$DQ$210,AZ$5,FALSE)/VLOOKUP($B14,'TABLA FINAL '!$B$5:$DQ216,10,FALSE)*100)))</f>
        <v>273.6523493802249</v>
      </c>
      <c r="BA14" s="83">
        <f>(IF($B14&gt;0,(VLOOKUP($B14,'TABLA FINAL '!$B$5:$DQ$210,BA$5,FALSE)/VLOOKUP($B14,'TABLA FINAL '!$B$5:$DQ216,10,FALSE)*100)))</f>
        <v>275.43960795618335</v>
      </c>
    </row>
    <row r="15" spans="2:56" ht="15" customHeight="1">
      <c r="B15" s="82">
        <v>58</v>
      </c>
      <c r="C15" s="83" t="str">
        <f>(IF($B15&gt;0,VLOOKUP($B15,'TABLA FINAL '!$B$5:$AW$210,3,FALSE)))</f>
        <v>Chapas metálicas</v>
      </c>
      <c r="D15" s="83">
        <f>(IF($B15&gt;0,(VLOOKUP($B15,'TABLA FINAL '!$B$5:$AW$210,10,FALSE)/VLOOKUP($B15,'TABLA FINAL '!$B$5:$AW$210,10,FALSE)*100)))</f>
        <v>100</v>
      </c>
      <c r="E15" s="83">
        <f>(IF($B15&gt;0,(VLOOKUP($B15,'TABLA FINAL '!$B$5:$AW$210,$E$5,FALSE)/VLOOKUP($B15,'TABLA FINAL '!$B$5:$AW$210,10,FALSE)*100)))</f>
        <v>116.55745377954601</v>
      </c>
      <c r="F15" s="83">
        <f>(IF($B15&gt;0,(VLOOKUP($B15,'TABLA FINAL '!$B$5:$AW$210,F$5,FALSE)/VLOOKUP($B15,'TABLA FINAL '!$B$5:$AW$210,10,FALSE)*100)))</f>
        <v>134.36695530072549</v>
      </c>
      <c r="G15" s="83">
        <f>(IF($B15&gt;0,(VLOOKUP($B15,'TABLA FINAL '!$B$5:$AW$210,G$5,FALSE)/VLOOKUP($B15,'TABLA FINAL '!$B$5:$AW$210,10,FALSE)*100)))</f>
        <v>165.15328808799438</v>
      </c>
      <c r="H15" s="83">
        <f>(IF($B15&gt;0,(VLOOKUP($B15,'TABLA FINAL '!$B$5:$AW$210,H$5,FALSE)/VLOOKUP($B15,'TABLA FINAL '!$B$5:$AW$210,10,FALSE)*100)))</f>
        <v>212.01731804352914</v>
      </c>
      <c r="I15" s="83">
        <f>(IF($B15&gt;0,(VLOOKUP($B15,'TABLA FINAL '!$B$5:$AW$210,I$5,FALSE)/VLOOKUP($B15,'TABLA FINAL '!$B$5:$AW$210,10,FALSE)*100)))</f>
        <v>247.98736250877607</v>
      </c>
      <c r="J15" s="83">
        <f>(IF($B15&gt;0,(VLOOKUP($B15,'TABLA FINAL '!$B$5:$AW$210,J$5,FALSE)/VLOOKUP($B15,'TABLA FINAL '!$B$5:$AW$210,10,FALSE)*100)))</f>
        <v>280.4001872220922</v>
      </c>
      <c r="K15" s="83">
        <f>(IF($B15&gt;0,(VLOOKUP($B15,'TABLA FINAL '!$B$5:$AW$210,K$5,FALSE)/VLOOKUP($B15,'TABLA FINAL '!$B$5:$AW$210,10,FALSE)*100)))</f>
        <v>296.25555815586245</v>
      </c>
      <c r="L15" s="83">
        <f>(IF($B15&gt;0,(VLOOKUP($B15,'TABLA FINAL '!$B$5:$AW$210,L$5,FALSE)/VLOOKUP($B15,'TABLA FINAL '!$B$5:$AW$210,10,FALSE)*100)))</f>
        <v>298.44371635853031</v>
      </c>
      <c r="M15" s="83">
        <f>(IF($B15&gt;0,(VLOOKUP($B15,'TABLA FINAL '!$B$5:$AW$210,M$5,FALSE)/VLOOKUP($B15,'TABLA FINAL '!$B$5:$AW$210,10,FALSE)*100)))</f>
        <v>298.58413292768546</v>
      </c>
      <c r="N15" s="83">
        <f>(IF($B15&gt;0,(VLOOKUP($B15,'TABLA FINAL '!$B$5:$AW$210,N$5,FALSE)/VLOOKUP($B15,'TABLA FINAL '!$B$5:$AW$210,10,FALSE)*100)))</f>
        <v>303.38169904048675</v>
      </c>
      <c r="O15" s="83">
        <f>(IF($B15&gt;0,(VLOOKUP($B15,'TABLA FINAL '!$B$5:$AW$210,O$5,FALSE)/VLOOKUP($B15,'TABLA FINAL '!$B$5:$AW$210,10,FALSE)*100)))</f>
        <v>291.48139480458696</v>
      </c>
      <c r="P15" s="83">
        <f>(IF($B15&gt;0,(VLOOKUP($B15,'TABLA FINAL '!$B$5:$AW$210,P$5,FALSE)/VLOOKUP($B15,'TABLA FINAL '!$B$5:$AW$210,10,FALSE)*100)))</f>
        <v>290.56868710507842</v>
      </c>
      <c r="Q15" s="83">
        <f>(IF($B15&gt;0,(VLOOKUP($B15,'TABLA FINAL '!$B$5:$AW$210,Q$5,FALSE)/VLOOKUP($B15,'TABLA FINAL '!$B$5:$AW$210,10,FALSE)*100)))</f>
        <v>278.03650830798034</v>
      </c>
      <c r="R15" s="83">
        <f>(IF($B15&gt;0,(VLOOKUP($B15,'TABLA FINAL '!$B$5:$AW$210,R$5,FALSE)/VLOOKUP($B15,'TABLA FINAL '!$B$5:$AW$210,10,FALSE)*100)))</f>
        <v>274.51439269833844</v>
      </c>
      <c r="S15" s="83">
        <f>(IF($B15&gt;0,(VLOOKUP($B15,'TABLA FINAL '!$B$5:$AW$210,S$5,FALSE)/VLOOKUP($B15,'TABLA FINAL '!$B$5:$AW$210,10,FALSE)*100)))</f>
        <v>276.257898432015</v>
      </c>
      <c r="T15" s="83">
        <f>(IF($B15&gt;0,(VLOOKUP($B15,'TABLA FINAL '!$B$5:$AW$210,T$5,FALSE)/VLOOKUP($B15,'TABLA FINAL '!$B$5:$AW$210,10,FALSE)*100)))</f>
        <v>271.72946407676108</v>
      </c>
      <c r="U15" s="83">
        <f>(IF($B15&gt;0,(VLOOKUP($B15,'TABLA FINAL '!$B$5:$AW$210,U$5,FALSE)/VLOOKUP($B15,'TABLA FINAL '!$B$5:$AW$210,10,FALSE)*100)))</f>
        <v>262.81301193540838</v>
      </c>
      <c r="V15" s="83">
        <f>(IF($B15&gt;0,(VLOOKUP($B15,'TABLA FINAL '!$B$5:$AW$210,V$5,FALSE)/VLOOKUP($B15,'TABLA FINAL '!$B$5:$AW$210,10,FALSE)*100)))</f>
        <v>263.28106716592561</v>
      </c>
      <c r="W15" s="83">
        <f>(IF($B15&gt;0,(VLOOKUP($B15,'TABLA FINAL '!$B$5:$AW$210,W$5,FALSE)/VLOOKUP($B15,'TABLA FINAL '!$B$5:$AW$210,10,FALSE)*100)))</f>
        <v>260.29721507137845</v>
      </c>
      <c r="X15" s="83">
        <f>(IF($B15&gt;0,(VLOOKUP($B15,'TABLA FINAL '!$B$5:$AW$210,X$5,FALSE)/VLOOKUP($B15,'TABLA FINAL '!$B$5:$AW$210,10,FALSE)*100)))</f>
        <v>267.39995319447701</v>
      </c>
      <c r="Y15" s="83">
        <f>(IF($B15&gt;0,(VLOOKUP($B15,'TABLA FINAL '!$B$5:$AW$210,Y$5,FALSE)/VLOOKUP($B15,'TABLA FINAL '!$B$5:$AW$210,10,FALSE)*100)))</f>
        <v>267.80950152117953</v>
      </c>
      <c r="Z15" s="83">
        <f>(IF($B15&gt;0,(VLOOKUP($B15,'TABLA FINAL '!$B$5:$AW$210,Z$5,FALSE)/VLOOKUP($B15,'TABLA FINAL '!$B$5:$AW$210,10,FALSE)*100)))</f>
        <v>264.34589281535222</v>
      </c>
      <c r="AA15" s="83">
        <f>(IF($B15&gt;0,(VLOOKUP($B15,'TABLA FINAL '!$B$5:$AW$210,AA$5,FALSE)/VLOOKUP($B15,'TABLA FINAL '!$B$5:$AW$210,10,FALSE)*100)))</f>
        <v>266.87339106014514</v>
      </c>
      <c r="AB15" s="83">
        <f>(IF($B15&gt;0,(VLOOKUP($B15,'TABLA FINAL '!$B$5:$AW$210,AB$5,FALSE)/VLOOKUP($B15,'TABLA FINAL '!$B$5:$AW$210,10,FALSE)*100)))</f>
        <v>272.01029721507138</v>
      </c>
      <c r="AC15" s="83">
        <f>(IF($B15&gt;0,(VLOOKUP($B15,'TABLA FINAL '!$B$5:$AW$210,AC$5,FALSE)/VLOOKUP($B15,'TABLA FINAL '!$B$5:$AW$210,10,FALSE)*100)))</f>
        <v>268.02012637491231</v>
      </c>
      <c r="AD15" s="83">
        <f>(IF($B15&gt;0,(VLOOKUP($B15,'TABLA FINAL '!$B$5:$AW$210,AD$5,FALSE)/VLOOKUP($B15,'TABLA FINAL '!$B$5:$AW$210,10,FALSE)*100)))</f>
        <v>281.57032529838523</v>
      </c>
      <c r="AE15" s="83">
        <f>(IF($B15&gt;0,(VLOOKUP($B15,'TABLA FINAL '!$B$5:$AW$210,AE$5,FALSE)/VLOOKUP($B15,'TABLA FINAL '!$B$5:$AW$210,10,FALSE)*100)))</f>
        <v>284.09782354317809</v>
      </c>
      <c r="AF15" s="83">
        <f>(IF($B15&gt;0,(VLOOKUP($B15,'TABLA FINAL '!$B$5:$AW$210,AF$5,FALSE)/VLOOKUP($B15,'TABLA FINAL '!$B$5:$AW$210,10,FALSE)*100)))</f>
        <v>279.26515328808802</v>
      </c>
      <c r="AG15" s="83">
        <f>(IF($B15&gt;0,(VLOOKUP($B15,'TABLA FINAL '!$B$5:$AW$210,AG$5,FALSE)/VLOOKUP($B15,'TABLA FINAL '!$B$5:$AW$210,10,FALSE)*100)))</f>
        <v>313.32787268897732</v>
      </c>
      <c r="AH15" s="83">
        <f>(IF($B15&gt;0,(VLOOKUP($B15,'TABLA FINAL '!$B$5:$AW$210,AH$5,FALSE)/VLOOKUP($B15,'TABLA FINAL '!$B$5:$AW$210,10,FALSE)*100)))</f>
        <v>317.01380762930029</v>
      </c>
      <c r="AI15" s="83">
        <f>(IF($B15&gt;0,(VLOOKUP($B15,'TABLA FINAL '!$B$5:$AW$210,AI$5,FALSE)/VLOOKUP($B15,'TABLA FINAL '!$B$5:$AW$210,10,FALSE)*100)))</f>
        <v>328.37584835010534</v>
      </c>
      <c r="AJ15" s="83">
        <f>(IF($B15&gt;0,(VLOOKUP($B15,'TABLA FINAL '!$B$5:$AW$210,AJ$5,FALSE)/VLOOKUP($B15,'TABLA FINAL '!$B$5:$AW$210,10,FALSE)*100)))</f>
        <v>334.71799672361345</v>
      </c>
      <c r="AK15" s="83">
        <f>(IF($B15&gt;0,(VLOOKUP($B15,'TABLA FINAL '!$B$5:$AW$210,AK$5,FALSE)/VLOOKUP($B15,'TABLA FINAL '!$B$5:$AW$210,10,FALSE)*100)))</f>
        <v>330.96185349871286</v>
      </c>
      <c r="AL15" s="83">
        <f>(IF($B15&gt;0,(VLOOKUP($B15,'TABLA FINAL '!$B$5:$AW$210,AL$5,FALSE)/VLOOKUP($B15,'TABLA FINAL '!$B$5:$AW$210,10,FALSE)*100)))</f>
        <v>345.64708635619007</v>
      </c>
      <c r="AM15" s="83">
        <f>(IF($B15&gt;0,(VLOOKUP($B15,'TABLA FINAL '!$B$5:$AW$210,AM$5,FALSE)/VLOOKUP($B15,'TABLA FINAL '!$B$5:$AW$210,10,FALSE)*100)))</f>
        <v>347.80014041656921</v>
      </c>
      <c r="AN15" s="83">
        <f>(IF($B15&gt;0,(VLOOKUP($B15,'TABLA FINAL '!$B$5:$AW$210,AN$5,FALSE)/VLOOKUP($B15,'TABLA FINAL '!$B$5:$AW$210,10,FALSE)*100)))</f>
        <v>349.54364615024576</v>
      </c>
      <c r="AO15" s="83">
        <f>(IF($B15&gt;0,(VLOOKUP($B15,'TABLA FINAL '!$B$5:$AW$210,AO$5,FALSE)/VLOOKUP($B15,'TABLA FINAL '!$B$5:$AW$210,10,FALSE)*100)))</f>
        <v>347.47250175520713</v>
      </c>
      <c r="AP15" s="83">
        <f>(IF($B15&gt;0,(VLOOKUP($B15,'TABLA FINAL '!$B$5:$AW$210,AP$5,FALSE)/VLOOKUP($B15,'TABLA FINAL '!$B$5:$AW$210,10,FALSE)*100)))</f>
        <v>344.99180903346598</v>
      </c>
      <c r="AQ15" s="83">
        <f>(IF($B15&gt;0,(VLOOKUP($B15,'TABLA FINAL '!$B$5:$DQ$210,AQ$5,FALSE)/VLOOKUP($B15,'TABLA FINAL '!$B$5:$DQ217,10,FALSE)*100)))</f>
        <v>346.22045401357366</v>
      </c>
      <c r="AR15" s="83">
        <f>(IF($B15&gt;0,(VLOOKUP($B15,'TABLA FINAL '!$B$5:$DQ$210,AR$5,FALSE)/VLOOKUP($B15,'TABLA FINAL '!$B$5:$DQ217,10,FALSE)*100)))</f>
        <v>345.49496840627194</v>
      </c>
      <c r="AS15" s="83">
        <f>(IF($B15&gt;0,(VLOOKUP($B15,'TABLA FINAL '!$B$5:$DQ$210,AS$5,FALSE)/VLOOKUP($B15,'TABLA FINAL '!$B$5:$DQ217,10,FALSE)*100)))</f>
        <v>345.74069740229356</v>
      </c>
      <c r="AT15" s="83">
        <f>(IF($B15&gt;0,(VLOOKUP($B15,'TABLA FINAL '!$B$5:$DQ$210,AT$5,FALSE)/VLOOKUP($B15,'TABLA FINAL '!$B$5:$DQ217,10,FALSE)*100)))</f>
        <v>343.89187924175053</v>
      </c>
      <c r="AU15" s="83">
        <f>(IF($B15&gt;0,(VLOOKUP($B15,'TABLA FINAL '!$B$5:$DQ$210,AU$5,FALSE)/VLOOKUP($B15,'TABLA FINAL '!$B$5:$DQ217,10,FALSE)*100)))</f>
        <v>342.99087292300493</v>
      </c>
      <c r="AV15" s="83">
        <f>(IF($B15&gt;0,(VLOOKUP($B15,'TABLA FINAL '!$B$5:$DQ$210,AV$5,FALSE)/VLOOKUP($B15,'TABLA FINAL '!$B$5:$DQ217,10,FALSE)*100)))</f>
        <v>338.42733442546222</v>
      </c>
      <c r="AW15" s="83">
        <f>(IF($B15&gt;0,(VLOOKUP($B15,'TABLA FINAL '!$B$5:$DQ$210,AW$5,FALSE)/VLOOKUP($B15,'TABLA FINAL '!$B$5:$DQ217,10,FALSE)*100)))</f>
        <v>341.13035338169902</v>
      </c>
      <c r="AX15" s="83">
        <f>(IF($B15&gt;0,(VLOOKUP($B15,'TABLA FINAL '!$B$5:$DQ$210,AX$5,FALSE)/VLOOKUP($B15,'TABLA FINAL '!$B$5:$DQ217,10,FALSE)*100)))</f>
        <v>345.81090568687102</v>
      </c>
      <c r="AY15" s="83">
        <f>(IF($B15&gt;0,(VLOOKUP($B15,'TABLA FINAL '!$B$5:$DQ$210,AY$5,FALSE)/VLOOKUP($B15,'TABLA FINAL '!$B$5:$DQ217,10,FALSE)*100)))</f>
        <v>346.16194710975896</v>
      </c>
      <c r="AZ15" s="83">
        <f>(IF($B15&gt;0,(VLOOKUP($B15,'TABLA FINAL '!$B$5:$DQ$210,AZ$5,FALSE)/VLOOKUP($B15,'TABLA FINAL '!$B$5:$DQ217,10,FALSE)*100)))</f>
        <v>352.15305406037913</v>
      </c>
      <c r="BA15" s="83">
        <f>(IF($B15&gt;0,(VLOOKUP($B15,'TABLA FINAL '!$B$5:$DQ$210,BA$5,FALSE)/VLOOKUP($B15,'TABLA FINAL '!$B$5:$DQ217,10,FALSE)*100)))</f>
        <v>355.72197519307281</v>
      </c>
    </row>
    <row r="16" spans="2:56" ht="15" customHeight="1">
      <c r="B16" s="82">
        <v>23</v>
      </c>
      <c r="C16" s="83" t="str">
        <f>(IF($B16&gt;0,VLOOKUP($B16,'TABLA FINAL '!$B$5:$AW$210,3,FALSE)))</f>
        <v>Arenas</v>
      </c>
      <c r="D16" s="83">
        <f>(IF($B16&gt;0,(VLOOKUP($B16,'TABLA FINAL '!$B$5:$AW$210,10,FALSE)/VLOOKUP($B16,'TABLA FINAL '!$B$5:$AW$210,10,FALSE)*100)))</f>
        <v>100</v>
      </c>
      <c r="E16" s="83">
        <f>(IF($B16&gt;0,(VLOOKUP($B16,'TABLA FINAL '!$B$5:$AW$210,$E$5,FALSE)/VLOOKUP($B16,'TABLA FINAL '!$B$5:$AW$210,10,FALSE)*100)))</f>
        <v>100</v>
      </c>
      <c r="F16" s="83">
        <f>(IF($B16&gt;0,(VLOOKUP($B16,'TABLA FINAL '!$B$5:$AW$210,F$5,FALSE)/VLOOKUP($B16,'TABLA FINAL '!$B$5:$AW$210,10,FALSE)*100)))</f>
        <v>103.27297375810983</v>
      </c>
      <c r="G16" s="83">
        <f>(IF($B16&gt;0,(VLOOKUP($B16,'TABLA FINAL '!$B$5:$AW$210,G$5,FALSE)/VLOOKUP($B16,'TABLA FINAL '!$B$5:$AW$210,10,FALSE)*100)))</f>
        <v>100.59068461314999</v>
      </c>
      <c r="H16" s="83">
        <f>(IF($B16&gt;0,(VLOOKUP($B16,'TABLA FINAL '!$B$5:$AW$210,H$5,FALSE)/VLOOKUP($B16,'TABLA FINAL '!$B$5:$AW$210,10,FALSE)*100)))</f>
        <v>99.680449307640174</v>
      </c>
      <c r="I16" s="83">
        <f>(IF($B16&gt;0,(VLOOKUP($B16,'TABLA FINAL '!$B$5:$AW$210,I$5,FALSE)/VLOOKUP($B16,'TABLA FINAL '!$B$5:$AW$210,10,FALSE)*100)))</f>
        <v>102.81785610535491</v>
      </c>
      <c r="J16" s="83">
        <f>(IF($B16&gt;0,(VLOOKUP($B16,'TABLA FINAL '!$B$5:$AW$210,J$5,FALSE)/VLOOKUP($B16,'TABLA FINAL '!$B$5:$AW$210,10,FALSE)*100)))</f>
        <v>105.83906265130241</v>
      </c>
      <c r="K16" s="83">
        <f>(IF($B16&gt;0,(VLOOKUP($B16,'TABLA FINAL '!$B$5:$AW$210,K$5,FALSE)/VLOOKUP($B16,'TABLA FINAL '!$B$5:$AW$210,10,FALSE)*100)))</f>
        <v>116.7715696717343</v>
      </c>
      <c r="L16" s="83">
        <f>(IF($B16&gt;0,(VLOOKUP($B16,'TABLA FINAL '!$B$5:$AW$210,L$5,FALSE)/VLOOKUP($B16,'TABLA FINAL '!$B$5:$AW$210,10,FALSE)*100)))</f>
        <v>116.7715696717343</v>
      </c>
      <c r="M16" s="83">
        <f>(IF($B16&gt;0,(VLOOKUP($B16,'TABLA FINAL '!$B$5:$AW$210,M$5,FALSE)/VLOOKUP($B16,'TABLA FINAL '!$B$5:$AW$210,10,FALSE)*100)))</f>
        <v>126.37745715115716</v>
      </c>
      <c r="N16" s="83">
        <f>(IF($B16&gt;0,(VLOOKUP($B16,'TABLA FINAL '!$B$5:$AW$210,N$5,FALSE)/VLOOKUP($B16,'TABLA FINAL '!$B$5:$AW$210,10,FALSE)*100)))</f>
        <v>132.35208676285467</v>
      </c>
      <c r="O16" s="83">
        <f>(IF($B16&gt;0,(VLOOKUP($B16,'TABLA FINAL '!$B$5:$AW$210,O$5,FALSE)/VLOOKUP($B16,'TABLA FINAL '!$B$5:$AW$210,10,FALSE)*100)))</f>
        <v>138.04589909944806</v>
      </c>
      <c r="P16" s="83">
        <f>(IF($B16&gt;0,(VLOOKUP($B16,'TABLA FINAL '!$B$5:$AW$210,P$5,FALSE)/VLOOKUP($B16,'TABLA FINAL '!$B$5:$AW$210,10,FALSE)*100)))</f>
        <v>143.21681030308901</v>
      </c>
      <c r="Q16" s="83">
        <f>(IF($B16&gt;0,(VLOOKUP($B16,'TABLA FINAL '!$B$5:$AW$210,Q$5,FALSE)/VLOOKUP($B16,'TABLA FINAL '!$B$5:$AW$210,10,FALSE)*100)))</f>
        <v>142.50992543817179</v>
      </c>
      <c r="R16" s="83">
        <f>(IF($B16&gt;0,(VLOOKUP($B16,'TABLA FINAL '!$B$5:$AW$210,R$5,FALSE)/VLOOKUP($B16,'TABLA FINAL '!$B$5:$AW$210,10,FALSE)*100)))</f>
        <v>152.48378038152418</v>
      </c>
      <c r="S16" s="83">
        <f>(IF($B16&gt;0,(VLOOKUP($B16,'TABLA FINAL '!$B$5:$AW$210,S$5,FALSE)/VLOOKUP($B16,'TABLA FINAL '!$B$5:$AW$210,10,FALSE)*100)))</f>
        <v>157.49975791614216</v>
      </c>
      <c r="T16" s="83">
        <f>(IF($B16&gt;0,(VLOOKUP($B16,'TABLA FINAL '!$B$5:$AW$210,T$5,FALSE)/VLOOKUP($B16,'TABLA FINAL '!$B$5:$AW$210,10,FALSE)*100)))</f>
        <v>159.93027984893968</v>
      </c>
      <c r="U16" s="83">
        <f>(IF($B16&gt;0,(VLOOKUP($B16,'TABLA FINAL '!$B$5:$AW$210,U$5,FALSE)/VLOOKUP($B16,'TABLA FINAL '!$B$5:$AW$210,10,FALSE)*100)))</f>
        <v>171.69555534036991</v>
      </c>
      <c r="V16" s="83">
        <f>(IF($B16&gt;0,(VLOOKUP($B16,'TABLA FINAL '!$B$5:$AW$210,V$5,FALSE)/VLOOKUP($B16,'TABLA FINAL '!$B$5:$AW$210,10,FALSE)*100)))</f>
        <v>182.58932894354604</v>
      </c>
      <c r="W16" s="83">
        <f>(IF($B16&gt;0,(VLOOKUP($B16,'TABLA FINAL '!$B$5:$AW$210,W$5,FALSE)/VLOOKUP($B16,'TABLA FINAL '!$B$5:$AW$210,10,FALSE)*100)))</f>
        <v>184.18708240534522</v>
      </c>
      <c r="X16" s="83">
        <f>(IF($B16&gt;0,(VLOOKUP($B16,'TABLA FINAL '!$B$5:$AW$210,X$5,FALSE)/VLOOKUP($B16,'TABLA FINAL '!$B$5:$AW$210,10,FALSE)*100)))</f>
        <v>179.25825505955265</v>
      </c>
      <c r="Y16" s="83">
        <f>(IF($B16&gt;0,(VLOOKUP($B16,'TABLA FINAL '!$B$5:$AW$210,Y$5,FALSE)/VLOOKUP($B16,'TABLA FINAL '!$B$5:$AW$210,10,FALSE)*100)))</f>
        <v>193.58961944417544</v>
      </c>
      <c r="Z16" s="83">
        <f>(IF($B16&gt;0,(VLOOKUP($B16,'TABLA FINAL '!$B$5:$AW$210,Z$5,FALSE)/VLOOKUP($B16,'TABLA FINAL '!$B$5:$AW$210,10,FALSE)*100)))</f>
        <v>200.42606758981313</v>
      </c>
      <c r="AA16" s="83">
        <f>(IF($B16&gt;0,(VLOOKUP($B16,'TABLA FINAL '!$B$5:$AW$210,AA$5,FALSE)/VLOOKUP($B16,'TABLA FINAL '!$B$5:$AW$210,10,FALSE)*100)))</f>
        <v>211.00997385494335</v>
      </c>
      <c r="AB16" s="83">
        <f>(IF($B16&gt;0,(VLOOKUP($B16,'TABLA FINAL '!$B$5:$AW$210,AB$5,FALSE)/VLOOKUP($B16,'TABLA FINAL '!$B$5:$AW$210,10,FALSE)*100)))</f>
        <v>217.07175365546627</v>
      </c>
      <c r="AC16" s="83">
        <f>(IF($B16&gt;0,(VLOOKUP($B16,'TABLA FINAL '!$B$5:$AW$210,AC$5,FALSE)/VLOOKUP($B16,'TABLA FINAL '!$B$5:$AW$210,10,FALSE)*100)))</f>
        <v>217.07175365546627</v>
      </c>
      <c r="AD16" s="83">
        <f>(IF($B16&gt;0,(VLOOKUP($B16,'TABLA FINAL '!$B$5:$AW$210,AD$5,FALSE)/VLOOKUP($B16,'TABLA FINAL '!$B$5:$AW$210,10,FALSE)*100)))</f>
        <v>217.98198896097611</v>
      </c>
      <c r="AE16" s="83">
        <f>(IF($B16&gt;0,(VLOOKUP($B16,'TABLA FINAL '!$B$5:$AW$210,AE$5,FALSE)/VLOOKUP($B16,'TABLA FINAL '!$B$5:$AW$210,10,FALSE)*100)))</f>
        <v>216.04531809818926</v>
      </c>
      <c r="AF16" s="83">
        <f>(IF($B16&gt;0,(VLOOKUP($B16,'TABLA FINAL '!$B$5:$AW$210,AF$5,FALSE)/VLOOKUP($B16,'TABLA FINAL '!$B$5:$AW$210,10,FALSE)*100)))</f>
        <v>218.04977244117362</v>
      </c>
      <c r="AG16" s="83">
        <f>(IF($B16&gt;0,(VLOOKUP($B16,'TABLA FINAL '!$B$5:$AW$210,AG$5,FALSE)/VLOOKUP($B16,'TABLA FINAL '!$B$5:$AW$210,10,FALSE)*100)))</f>
        <v>222.26203156773505</v>
      </c>
      <c r="AH16" s="83">
        <f>(IF($B16&gt;0,(VLOOKUP($B16,'TABLA FINAL '!$B$5:$AW$210,AH$5,FALSE)/VLOOKUP($B16,'TABLA FINAL '!$B$5:$AW$210,10,FALSE)*100)))</f>
        <v>220.48029437397116</v>
      </c>
      <c r="AI16" s="83">
        <f>(IF($B16&gt;0,(VLOOKUP($B16,'TABLA FINAL '!$B$5:$AW$210,AI$5,FALSE)/VLOOKUP($B16,'TABLA FINAL '!$B$5:$AW$210,10,FALSE)*100)))</f>
        <v>221.83596397792198</v>
      </c>
      <c r="AJ16" s="83">
        <f>(IF($B16&gt;0,(VLOOKUP($B16,'TABLA FINAL '!$B$5:$AW$210,AJ$5,FALSE)/VLOOKUP($B16,'TABLA FINAL '!$B$5:$AW$210,10,FALSE)*100)))</f>
        <v>224.26648591071947</v>
      </c>
      <c r="AK16" s="83">
        <f>(IF($B16&gt;0,(VLOOKUP($B16,'TABLA FINAL '!$B$5:$AW$210,AK$5,FALSE)/VLOOKUP($B16,'TABLA FINAL '!$B$5:$AW$210,10,FALSE)*100)))</f>
        <v>241.53190665246441</v>
      </c>
      <c r="AL16" s="83">
        <f>(IF($B16&gt;0,(VLOOKUP($B16,'TABLA FINAL '!$B$5:$AW$210,AL$5,FALSE)/VLOOKUP($B16,'TABLA FINAL '!$B$5:$AW$210,10,FALSE)*100)))</f>
        <v>273.09964171589036</v>
      </c>
      <c r="AM16" s="83">
        <f>(IF($B16&gt;0,(VLOOKUP($B16,'TABLA FINAL '!$B$5:$AW$210,AM$5,FALSE)/VLOOKUP($B16,'TABLA FINAL '!$B$5:$AW$210,10,FALSE)*100)))</f>
        <v>275.05567928730517</v>
      </c>
      <c r="AN16" s="83">
        <f>(IF($B16&gt;0,(VLOOKUP($B16,'TABLA FINAL '!$B$5:$AW$210,AN$5,FALSE)/VLOOKUP($B16,'TABLA FINAL '!$B$5:$AW$210,10,FALSE)*100)))</f>
        <v>275.07504599593295</v>
      </c>
      <c r="AO16" s="83">
        <f>(IF($B16&gt;0,(VLOOKUP($B16,'TABLA FINAL '!$B$5:$AW$210,AO$5,FALSE)/VLOOKUP($B16,'TABLA FINAL '!$B$5:$AW$210,10,FALSE)*100)))</f>
        <v>277.96068558148545</v>
      </c>
      <c r="AP16" s="83">
        <f>(IF($B16&gt;0,(VLOOKUP($B16,'TABLA FINAL '!$B$5:$AW$210,AP$5,FALSE)/VLOOKUP($B16,'TABLA FINAL '!$B$5:$AW$210,10,FALSE)*100)))</f>
        <v>282.26977825118621</v>
      </c>
      <c r="AQ16" s="83">
        <f>(IF($B16&gt;0,(VLOOKUP($B16,'TABLA FINAL '!$B$5:$DQ$210,AQ$5,FALSE)/VLOOKUP($B16,'TABLA FINAL '!$B$5:$DQ218,10,FALSE)*100)))</f>
        <v>283.33494722571902</v>
      </c>
      <c r="AR16" s="83">
        <f>(IF($B16&gt;0,(VLOOKUP($B16,'TABLA FINAL '!$B$5:$DQ$210,AR$5,FALSE)/VLOOKUP($B16,'TABLA FINAL '!$B$5:$DQ218,10,FALSE)*100)))</f>
        <v>283.33494722571902</v>
      </c>
      <c r="AS16" s="83">
        <f>(IF($B16&gt;0,(VLOOKUP($B16,'TABLA FINAL '!$B$5:$DQ$210,AS$5,FALSE)/VLOOKUP($B16,'TABLA FINAL '!$B$5:$DQ218,10,FALSE)*100)))</f>
        <v>283.33494722571902</v>
      </c>
      <c r="AT16" s="83">
        <f>(IF($B16&gt;0,(VLOOKUP($B16,'TABLA FINAL '!$B$5:$DQ$210,AT$5,FALSE)/VLOOKUP($B16,'TABLA FINAL '!$B$5:$DQ218,10,FALSE)*100)))</f>
        <v>283.31558051709112</v>
      </c>
      <c r="AU16" s="83">
        <f>(IF($B16&gt;0,(VLOOKUP($B16,'TABLA FINAL '!$B$5:$DQ$210,AU$5,FALSE)/VLOOKUP($B16,'TABLA FINAL '!$B$5:$DQ218,10,FALSE)*100)))</f>
        <v>284.38074949162393</v>
      </c>
      <c r="AV16" s="83">
        <f>(IF($B16&gt;0,(VLOOKUP($B16,'TABLA FINAL '!$B$5:$DQ$210,AV$5,FALSE)/VLOOKUP($B16,'TABLA FINAL '!$B$5:$DQ218,10,FALSE)*100)))</f>
        <v>284.38074949162393</v>
      </c>
      <c r="AW16" s="83">
        <f>(IF($B16&gt;0,(VLOOKUP($B16,'TABLA FINAL '!$B$5:$DQ$210,AW$5,FALSE)/VLOOKUP($B16,'TABLA FINAL '!$B$5:$DQ218,10,FALSE)*100)))</f>
        <v>288.95129272780088</v>
      </c>
      <c r="AX16" s="83">
        <f>(IF($B16&gt;0,(VLOOKUP($B16,'TABLA FINAL '!$B$5:$DQ$210,AX$5,FALSE)/VLOOKUP($B16,'TABLA FINAL '!$B$5:$DQ218,10,FALSE)*100)))</f>
        <v>312.91759465478839</v>
      </c>
      <c r="AY16" s="83">
        <f>(IF($B16&gt;0,(VLOOKUP($B16,'TABLA FINAL '!$B$5:$DQ$210,AY$5,FALSE)/VLOOKUP($B16,'TABLA FINAL '!$B$5:$DQ218,10,FALSE)*100)))</f>
        <v>314.28294761305318</v>
      </c>
      <c r="AZ16" s="83">
        <f>(IF($B16&gt;0,(VLOOKUP($B16,'TABLA FINAL '!$B$5:$DQ$210,AZ$5,FALSE)/VLOOKUP($B16,'TABLA FINAL '!$B$5:$DQ218,10,FALSE)*100)))</f>
        <v>312.81107775733517</v>
      </c>
      <c r="BA16" s="83">
        <f>(IF($B16&gt;0,(VLOOKUP($B16,'TABLA FINAL '!$B$5:$DQ$210,BA$5,FALSE)/VLOOKUP($B16,'TABLA FINAL '!$B$5:$DQ218,10,FALSE)*100)))</f>
        <v>316.98460346664086</v>
      </c>
    </row>
    <row r="17" spans="1:53" ht="15" customHeight="1">
      <c r="B17" s="82">
        <v>77</v>
      </c>
      <c r="C17" s="83" t="str">
        <f>(IF($B17&gt;0,VLOOKUP($B17,'TABLA FINAL '!$B$5:$AW$210,3,FALSE)))</f>
        <v>Ladrillo cerámico hueco</v>
      </c>
      <c r="D17" s="83">
        <f>(IF($B17&gt;0,(VLOOKUP($B17,'TABLA FINAL '!$B$5:$AW$210,10,FALSE)/VLOOKUP($B17,'TABLA FINAL '!$B$5:$AW$210,10,FALSE)*100)))</f>
        <v>100</v>
      </c>
      <c r="E17" s="83">
        <f>(IF($B17&gt;0,(VLOOKUP($B17,'TABLA FINAL '!$B$5:$AW$210,$E$5,FALSE)/VLOOKUP($B17,'TABLA FINAL '!$B$5:$AW$210,10,FALSE)*100)))</f>
        <v>100</v>
      </c>
      <c r="F17" s="83">
        <f>(IF($B17&gt;0,(VLOOKUP($B17,'TABLA FINAL '!$B$5:$AW$210,F$5,FALSE)/VLOOKUP($B17,'TABLA FINAL '!$B$5:$AW$210,10,FALSE)*100)))</f>
        <v>101.02974828375284</v>
      </c>
      <c r="G17" s="83">
        <f>(IF($B17&gt;0,(VLOOKUP($B17,'TABLA FINAL '!$B$5:$AW$210,G$5,FALSE)/VLOOKUP($B17,'TABLA FINAL '!$B$5:$AW$210,10,FALSE)*100)))</f>
        <v>101.14416475972541</v>
      </c>
      <c r="H17" s="83">
        <f>(IF($B17&gt;0,(VLOOKUP($B17,'TABLA FINAL '!$B$5:$AW$210,H$5,FALSE)/VLOOKUP($B17,'TABLA FINAL '!$B$5:$AW$210,10,FALSE)*100)))</f>
        <v>113.38672768878718</v>
      </c>
      <c r="I17" s="83">
        <f>(IF($B17&gt;0,(VLOOKUP($B17,'TABLA FINAL '!$B$5:$AW$210,I$5,FALSE)/VLOOKUP($B17,'TABLA FINAL '!$B$5:$AW$210,10,FALSE)*100)))</f>
        <v>113.7299771167048</v>
      </c>
      <c r="J17" s="83">
        <f>(IF($B17&gt;0,(VLOOKUP($B17,'TABLA FINAL '!$B$5:$AW$210,J$5,FALSE)/VLOOKUP($B17,'TABLA FINAL '!$B$5:$AW$210,10,FALSE)*100)))</f>
        <v>123.22654462242562</v>
      </c>
      <c r="K17" s="83">
        <f>(IF($B17&gt;0,(VLOOKUP($B17,'TABLA FINAL '!$B$5:$AW$210,K$5,FALSE)/VLOOKUP($B17,'TABLA FINAL '!$B$5:$AW$210,10,FALSE)*100)))</f>
        <v>147.13958810068647</v>
      </c>
      <c r="L17" s="83">
        <f>(IF($B17&gt;0,(VLOOKUP($B17,'TABLA FINAL '!$B$5:$AW$210,L$5,FALSE)/VLOOKUP($B17,'TABLA FINAL '!$B$5:$AW$210,10,FALSE)*100)))</f>
        <v>142.44851258581235</v>
      </c>
      <c r="M17" s="83">
        <f>(IF($B17&gt;0,(VLOOKUP($B17,'TABLA FINAL '!$B$5:$AW$210,M$5,FALSE)/VLOOKUP($B17,'TABLA FINAL '!$B$5:$AW$210,10,FALSE)*100)))</f>
        <v>144.50800915331808</v>
      </c>
      <c r="N17" s="83">
        <f>(IF($B17&gt;0,(VLOOKUP($B17,'TABLA FINAL '!$B$5:$AW$210,N$5,FALSE)/VLOOKUP($B17,'TABLA FINAL '!$B$5:$AW$210,10,FALSE)*100)))</f>
        <v>145.76659038901602</v>
      </c>
      <c r="O17" s="83">
        <f>(IF($B17&gt;0,(VLOOKUP($B17,'TABLA FINAL '!$B$5:$AW$210,O$5,FALSE)/VLOOKUP($B17,'TABLA FINAL '!$B$5:$AW$210,10,FALSE)*100)))</f>
        <v>143.24942791762012</v>
      </c>
      <c r="P17" s="83">
        <f>(IF($B17&gt;0,(VLOOKUP($B17,'TABLA FINAL '!$B$5:$AW$210,P$5,FALSE)/VLOOKUP($B17,'TABLA FINAL '!$B$5:$AW$210,10,FALSE)*100)))</f>
        <v>142.44851258581235</v>
      </c>
      <c r="Q17" s="83">
        <f>(IF($B17&gt;0,(VLOOKUP($B17,'TABLA FINAL '!$B$5:$AW$210,Q$5,FALSE)/VLOOKUP($B17,'TABLA FINAL '!$B$5:$AW$210,10,FALSE)*100)))</f>
        <v>141.30434782608694</v>
      </c>
      <c r="R17" s="83">
        <f>(IF($B17&gt;0,(VLOOKUP($B17,'TABLA FINAL '!$B$5:$AW$210,R$5,FALSE)/VLOOKUP($B17,'TABLA FINAL '!$B$5:$AW$210,10,FALSE)*100)))</f>
        <v>141.53318077803203</v>
      </c>
      <c r="S17" s="83">
        <f>(IF($B17&gt;0,(VLOOKUP($B17,'TABLA FINAL '!$B$5:$AW$210,S$5,FALSE)/VLOOKUP($B17,'TABLA FINAL '!$B$5:$AW$210,10,FALSE)*100)))</f>
        <v>142.10526315789474</v>
      </c>
      <c r="T17" s="83">
        <f>(IF($B17&gt;0,(VLOOKUP($B17,'TABLA FINAL '!$B$5:$AW$210,T$5,FALSE)/VLOOKUP($B17,'TABLA FINAL '!$B$5:$AW$210,10,FALSE)*100)))</f>
        <v>141.87643020594965</v>
      </c>
      <c r="U17" s="83">
        <f>(IF($B17&gt;0,(VLOOKUP($B17,'TABLA FINAL '!$B$5:$AW$210,U$5,FALSE)/VLOOKUP($B17,'TABLA FINAL '!$B$5:$AW$210,10,FALSE)*100)))</f>
        <v>143.82151029748283</v>
      </c>
      <c r="V17" s="83">
        <f>(IF($B17&gt;0,(VLOOKUP($B17,'TABLA FINAL '!$B$5:$AW$210,V$5,FALSE)/VLOOKUP($B17,'TABLA FINAL '!$B$5:$AW$210,10,FALSE)*100)))</f>
        <v>143.24942791762012</v>
      </c>
      <c r="W17" s="83">
        <f>(IF($B17&gt;0,(VLOOKUP($B17,'TABLA FINAL '!$B$5:$AW$210,W$5,FALSE)/VLOOKUP($B17,'TABLA FINAL '!$B$5:$AW$210,10,FALSE)*100)))</f>
        <v>146.68192219679634</v>
      </c>
      <c r="X17" s="83">
        <f>(IF($B17&gt;0,(VLOOKUP($B17,'TABLA FINAL '!$B$5:$AW$210,X$5,FALSE)/VLOOKUP($B17,'TABLA FINAL '!$B$5:$AW$210,10,FALSE)*100)))</f>
        <v>151.37299771167048</v>
      </c>
      <c r="Y17" s="83">
        <f>(IF($B17&gt;0,(VLOOKUP($B17,'TABLA FINAL '!$B$5:$AW$210,Y$5,FALSE)/VLOOKUP($B17,'TABLA FINAL '!$B$5:$AW$210,10,FALSE)*100)))</f>
        <v>163.84439359267733</v>
      </c>
      <c r="Z17" s="83">
        <f>(IF($B17&gt;0,(VLOOKUP($B17,'TABLA FINAL '!$B$5:$AW$210,Z$5,FALSE)/VLOOKUP($B17,'TABLA FINAL '!$B$5:$AW$210,10,FALSE)*100)))</f>
        <v>161.78489702517163</v>
      </c>
      <c r="AA17" s="83">
        <f>(IF($B17&gt;0,(VLOOKUP($B17,'TABLA FINAL '!$B$5:$AW$210,AA$5,FALSE)/VLOOKUP($B17,'TABLA FINAL '!$B$5:$AW$210,10,FALSE)*100)))</f>
        <v>194.39359267734554</v>
      </c>
      <c r="AB17" s="83">
        <f>(IF($B17&gt;0,(VLOOKUP($B17,'TABLA FINAL '!$B$5:$AW$210,AB$5,FALSE)/VLOOKUP($B17,'TABLA FINAL '!$B$5:$AW$210,10,FALSE)*100)))</f>
        <v>217.27688787185352</v>
      </c>
      <c r="AC17" s="83">
        <f>(IF($B17&gt;0,(VLOOKUP($B17,'TABLA FINAL '!$B$5:$AW$210,AC$5,FALSE)/VLOOKUP($B17,'TABLA FINAL '!$B$5:$AW$210,10,FALSE)*100)))</f>
        <v>224.94279176201371</v>
      </c>
      <c r="AD17" s="83">
        <f>(IF($B17&gt;0,(VLOOKUP($B17,'TABLA FINAL '!$B$5:$AW$210,AD$5,FALSE)/VLOOKUP($B17,'TABLA FINAL '!$B$5:$AW$210,10,FALSE)*100)))</f>
        <v>232.60869565217394</v>
      </c>
      <c r="AE17" s="83">
        <f>(IF($B17&gt;0,(VLOOKUP($B17,'TABLA FINAL '!$B$5:$AW$210,AE$5,FALSE)/VLOOKUP($B17,'TABLA FINAL '!$B$5:$AW$210,10,FALSE)*100)))</f>
        <v>232.95194508009152</v>
      </c>
      <c r="AF17" s="83">
        <f>(IF($B17&gt;0,(VLOOKUP($B17,'TABLA FINAL '!$B$5:$AW$210,AF$5,FALSE)/VLOOKUP($B17,'TABLA FINAL '!$B$5:$AW$210,10,FALSE)*100)))</f>
        <v>249.19908466819223</v>
      </c>
      <c r="AG17" s="83">
        <f>(IF($B17&gt;0,(VLOOKUP($B17,'TABLA FINAL '!$B$5:$AW$210,AG$5,FALSE)/VLOOKUP($B17,'TABLA FINAL '!$B$5:$AW$210,10,FALSE)*100)))</f>
        <v>259.15331807780319</v>
      </c>
      <c r="AH17" s="83">
        <f>(IF($B17&gt;0,(VLOOKUP($B17,'TABLA FINAL '!$B$5:$AW$210,AH$5,FALSE)/VLOOKUP($B17,'TABLA FINAL '!$B$5:$AW$210,10,FALSE)*100)))</f>
        <v>263.2723112128146</v>
      </c>
      <c r="AI17" s="83">
        <f>(IF($B17&gt;0,(VLOOKUP($B17,'TABLA FINAL '!$B$5:$AW$210,AI$5,FALSE)/VLOOKUP($B17,'TABLA FINAL '!$B$5:$AW$210,10,FALSE)*100)))</f>
        <v>271.96796338672766</v>
      </c>
      <c r="AJ17" s="83">
        <f>(IF($B17&gt;0,(VLOOKUP($B17,'TABLA FINAL '!$B$5:$AW$210,AJ$5,FALSE)/VLOOKUP($B17,'TABLA FINAL '!$B$5:$AW$210,10,FALSE)*100)))</f>
        <v>272.88329519450798</v>
      </c>
      <c r="AK17" s="83">
        <f>(IF($B17&gt;0,(VLOOKUP($B17,'TABLA FINAL '!$B$5:$AW$210,AK$5,FALSE)/VLOOKUP($B17,'TABLA FINAL '!$B$5:$AW$210,10,FALSE)*100)))</f>
        <v>271.96796338672766</v>
      </c>
      <c r="AL17" s="83">
        <f>(IF($B17&gt;0,(VLOOKUP($B17,'TABLA FINAL '!$B$5:$AW$210,AL$5,FALSE)/VLOOKUP($B17,'TABLA FINAL '!$B$5:$AW$210,10,FALSE)*100)))</f>
        <v>269.4508009153318</v>
      </c>
      <c r="AM17" s="83">
        <f>(IF($B17&gt;0,(VLOOKUP($B17,'TABLA FINAL '!$B$5:$AW$210,AM$5,FALSE)/VLOOKUP($B17,'TABLA FINAL '!$B$5:$AW$210,10,FALSE)*100)))</f>
        <v>269.4508009153318</v>
      </c>
      <c r="AN17" s="83">
        <f>(IF($B17&gt;0,(VLOOKUP($B17,'TABLA FINAL '!$B$5:$AW$210,AN$5,FALSE)/VLOOKUP($B17,'TABLA FINAL '!$B$5:$AW$210,10,FALSE)*100)))</f>
        <v>266.36155606407323</v>
      </c>
      <c r="AO17" s="83">
        <f>(IF($B17&gt;0,(VLOOKUP($B17,'TABLA FINAL '!$B$5:$AW$210,AO$5,FALSE)/VLOOKUP($B17,'TABLA FINAL '!$B$5:$AW$210,10,FALSE)*100)))</f>
        <v>266.24713958810065</v>
      </c>
      <c r="AP17" s="83">
        <f>(IF($B17&gt;0,(VLOOKUP($B17,'TABLA FINAL '!$B$5:$AW$210,AP$5,FALSE)/VLOOKUP($B17,'TABLA FINAL '!$B$5:$AW$210,10,FALSE)*100)))</f>
        <v>264.18764302059492</v>
      </c>
      <c r="AQ17" s="83">
        <f>(IF($B17&gt;0,(VLOOKUP($B17,'TABLA FINAL '!$B$5:$DQ$210,AQ$5,FALSE)/VLOOKUP($B17,'TABLA FINAL '!$B$5:$DQ219,10,FALSE)*100)))</f>
        <v>265.33180778032033</v>
      </c>
      <c r="AR17" s="83">
        <f>(IF($B17&gt;0,(VLOOKUP($B17,'TABLA FINAL '!$B$5:$DQ$210,AR$5,FALSE)/VLOOKUP($B17,'TABLA FINAL '!$B$5:$DQ219,10,FALSE)*100)))</f>
        <v>266.36155606407323</v>
      </c>
      <c r="AS17" s="83">
        <f>(IF($B17&gt;0,(VLOOKUP($B17,'TABLA FINAL '!$B$5:$DQ$210,AS$5,FALSE)/VLOOKUP($B17,'TABLA FINAL '!$B$5:$DQ219,10,FALSE)*100)))</f>
        <v>266.36155606407323</v>
      </c>
      <c r="AT17" s="83">
        <f>(IF($B17&gt;0,(VLOOKUP($B17,'TABLA FINAL '!$B$5:$DQ$210,AT$5,FALSE)/VLOOKUP($B17,'TABLA FINAL '!$B$5:$DQ219,10,FALSE)*100)))</f>
        <v>266.59038901601832</v>
      </c>
      <c r="AU17" s="83">
        <f>(IF($B17&gt;0,(VLOOKUP($B17,'TABLA FINAL '!$B$5:$DQ$210,AU$5,FALSE)/VLOOKUP($B17,'TABLA FINAL '!$B$5:$DQ219,10,FALSE)*100)))</f>
        <v>267.04805491990845</v>
      </c>
      <c r="AV17" s="83">
        <f>(IF($B17&gt;0,(VLOOKUP($B17,'TABLA FINAL '!$B$5:$DQ$210,AV$5,FALSE)/VLOOKUP($B17,'TABLA FINAL '!$B$5:$DQ219,10,FALSE)*100)))</f>
        <v>265.78947368421052</v>
      </c>
      <c r="AW17" s="83">
        <f>(IF($B17&gt;0,(VLOOKUP($B17,'TABLA FINAL '!$B$5:$DQ$210,AW$5,FALSE)/VLOOKUP($B17,'TABLA FINAL '!$B$5:$DQ219,10,FALSE)*100)))</f>
        <v>266.47597254004575</v>
      </c>
      <c r="AX17" s="83">
        <f>(IF($B17&gt;0,(VLOOKUP($B17,'TABLA FINAL '!$B$5:$DQ$210,AX$5,FALSE)/VLOOKUP($B17,'TABLA FINAL '!$B$5:$DQ219,10,FALSE)*100)))</f>
        <v>263.38672768878718</v>
      </c>
      <c r="AY17" s="83">
        <f>(IF($B17&gt;0,(VLOOKUP($B17,'TABLA FINAL '!$B$5:$DQ$210,AY$5,FALSE)/VLOOKUP($B17,'TABLA FINAL '!$B$5:$DQ219,10,FALSE)*100)))</f>
        <v>272.76887871853546</v>
      </c>
      <c r="AZ17" s="83">
        <f>(IF($B17&gt;0,(VLOOKUP($B17,'TABLA FINAL '!$B$5:$DQ$210,AZ$5,FALSE)/VLOOKUP($B17,'TABLA FINAL '!$B$5:$DQ219,10,FALSE)*100)))</f>
        <v>280.77803203661324</v>
      </c>
      <c r="BA17" s="83">
        <f>(IF($B17&gt;0,(VLOOKUP($B17,'TABLA FINAL '!$B$5:$DQ$210,BA$5,FALSE)/VLOOKUP($B17,'TABLA FINAL '!$B$5:$DQ219,10,FALSE)*100)))</f>
        <v>292.56292906178487</v>
      </c>
    </row>
    <row r="18" spans="1:53" ht="15" customHeight="1">
      <c r="B18" s="82">
        <v>1</v>
      </c>
      <c r="C18" s="83" t="str">
        <f>(IF($B18&gt;0,VLOOKUP($B18,'TABLA FINAL '!$B$5:$AW$210,3,FALSE)))</f>
        <v>Jornal Categoría Ayudante, Zona "A" C.C. 76/75</v>
      </c>
      <c r="D18" s="83">
        <f>(IF($B18&gt;0,(VLOOKUP($B18,'TABLA FINAL '!$B$5:$AW$210,10,FALSE)/VLOOKUP($B18,'TABLA FINAL '!$B$5:$AW$210,10,FALSE)*100)))</f>
        <v>100</v>
      </c>
      <c r="E18" s="83">
        <f>(IF($B18&gt;0,(VLOOKUP($B18,'TABLA FINAL '!$B$5:$AW$210,$E$5,FALSE)/VLOOKUP($B18,'TABLA FINAL '!$B$5:$AW$210,10,FALSE)*100)))</f>
        <v>100</v>
      </c>
      <c r="F18" s="83">
        <f>(IF($B18&gt;0,(VLOOKUP($B18,'TABLA FINAL '!$B$5:$AW$210,F$5,FALSE)/VLOOKUP($B18,'TABLA FINAL '!$B$5:$AW$210,10,FALSE)*100)))</f>
        <v>100</v>
      </c>
      <c r="G18" s="83">
        <f>(IF($B18&gt;0,(VLOOKUP($B18,'TABLA FINAL '!$B$5:$AW$210,G$5,FALSE)/VLOOKUP($B18,'TABLA FINAL '!$B$5:$AW$210,10,FALSE)*100)))</f>
        <v>100</v>
      </c>
      <c r="H18" s="83">
        <f>(IF($B18&gt;0,(VLOOKUP($B18,'TABLA FINAL '!$B$5:$AW$210,H$5,FALSE)/VLOOKUP($B18,'TABLA FINAL '!$B$5:$AW$210,10,FALSE)*100)))</f>
        <v>100</v>
      </c>
      <c r="I18" s="83">
        <f>(IF($B18&gt;0,(VLOOKUP($B18,'TABLA FINAL '!$B$5:$AW$210,I$5,FALSE)/VLOOKUP($B18,'TABLA FINAL '!$B$5:$AW$210,10,FALSE)*100)))</f>
        <v>100</v>
      </c>
      <c r="J18" s="83">
        <f>(IF($B18&gt;0,(VLOOKUP($B18,'TABLA FINAL '!$B$5:$AW$210,J$5,FALSE)/VLOOKUP($B18,'TABLA FINAL '!$B$5:$AW$210,10,FALSE)*100)))</f>
        <v>100</v>
      </c>
      <c r="K18" s="83">
        <f>(IF($B18&gt;0,(VLOOKUP($B18,'TABLA FINAL '!$B$5:$AW$210,K$5,FALSE)/VLOOKUP($B18,'TABLA FINAL '!$B$5:$AW$210,10,FALSE)*100)))</f>
        <v>100</v>
      </c>
      <c r="L18" s="83">
        <f>(IF($B18&gt;0,(VLOOKUP($B18,'TABLA FINAL '!$B$5:$AW$210,L$5,FALSE)/VLOOKUP($B18,'TABLA FINAL '!$B$5:$AW$210,10,FALSE)*100)))</f>
        <v>100</v>
      </c>
      <c r="M18" s="83">
        <f>(IF($B18&gt;0,(VLOOKUP($B18,'TABLA FINAL '!$B$5:$AW$210,M$5,FALSE)/VLOOKUP($B18,'TABLA FINAL '!$B$5:$AW$210,10,FALSE)*100)))</f>
        <v>100</v>
      </c>
      <c r="N18" s="83">
        <f>(IF($B18&gt;0,(VLOOKUP($B18,'TABLA FINAL '!$B$5:$AW$210,N$5,FALSE)/VLOOKUP($B18,'TABLA FINAL '!$B$5:$AW$210,10,FALSE)*100)))</f>
        <v>100</v>
      </c>
      <c r="O18" s="83">
        <f>(IF($B18&gt;0,(VLOOKUP($B18,'TABLA FINAL '!$B$5:$AW$210,O$5,FALSE)/VLOOKUP($B18,'TABLA FINAL '!$B$5:$AW$210,10,FALSE)*100)))</f>
        <v>100</v>
      </c>
      <c r="P18" s="83">
        <f>(IF($B18&gt;0,(VLOOKUP($B18,'TABLA FINAL '!$B$5:$AW$210,P$5,FALSE)/VLOOKUP($B18,'TABLA FINAL '!$B$5:$AW$210,10,FALSE)*100)))</f>
        <v>100</v>
      </c>
      <c r="Q18" s="83">
        <f>(IF($B18&gt;0,(VLOOKUP($B18,'TABLA FINAL '!$B$5:$AW$210,Q$5,FALSE)/VLOOKUP($B18,'TABLA FINAL '!$B$5:$AW$210,10,FALSE)*100)))</f>
        <v>100</v>
      </c>
      <c r="R18" s="83">
        <f>(IF($B18&gt;0,(VLOOKUP($B18,'TABLA FINAL '!$B$5:$AW$210,R$5,FALSE)/VLOOKUP($B18,'TABLA FINAL '!$B$5:$AW$210,10,FALSE)*100)))</f>
        <v>100</v>
      </c>
      <c r="S18" s="83">
        <f>(IF($B18&gt;0,(VLOOKUP($B18,'TABLA FINAL '!$B$5:$AW$210,S$5,FALSE)/VLOOKUP($B18,'TABLA FINAL '!$B$5:$AW$210,10,FALSE)*100)))</f>
        <v>100</v>
      </c>
      <c r="T18" s="83">
        <f>(IF($B18&gt;0,(VLOOKUP($B18,'TABLA FINAL '!$B$5:$AW$210,T$5,FALSE)/VLOOKUP($B18,'TABLA FINAL '!$B$5:$AW$210,10,FALSE)*100)))</f>
        <v>100</v>
      </c>
      <c r="U18" s="83">
        <f>(IF($B18&gt;0,(VLOOKUP($B18,'TABLA FINAL '!$B$5:$AW$210,U$5,FALSE)/VLOOKUP($B18,'TABLA FINAL '!$B$5:$AW$210,10,FALSE)*100)))</f>
        <v>100</v>
      </c>
      <c r="V18" s="83">
        <f>(IF($B18&gt;0,(VLOOKUP($B18,'TABLA FINAL '!$B$5:$AW$210,V$5,FALSE)/VLOOKUP($B18,'TABLA FINAL '!$B$5:$AW$210,10,FALSE)*100)))</f>
        <v>100</v>
      </c>
      <c r="W18" s="83">
        <f>(IF($B18&gt;0,(VLOOKUP($B18,'TABLA FINAL '!$B$5:$AW$210,W$5,FALSE)/VLOOKUP($B18,'TABLA FINAL '!$B$5:$AW$210,10,FALSE)*100)))</f>
        <v>121.36752136752136</v>
      </c>
      <c r="X18" s="83">
        <f>(IF($B18&gt;0,(VLOOKUP($B18,'TABLA FINAL '!$B$5:$AW$210,X$5,FALSE)/VLOOKUP($B18,'TABLA FINAL '!$B$5:$AW$210,10,FALSE)*100)))</f>
        <v>126.23931623931625</v>
      </c>
      <c r="Y18" s="83">
        <f>(IF($B18&gt;0,(VLOOKUP($B18,'TABLA FINAL '!$B$5:$AW$210,Y$5,FALSE)/VLOOKUP($B18,'TABLA FINAL '!$B$5:$AW$210,10,FALSE)*100)))</f>
        <v>138.2051282051282</v>
      </c>
      <c r="Z18" s="83">
        <f>(IF($B18&gt;0,(VLOOKUP($B18,'TABLA FINAL '!$B$5:$AW$210,Z$5,FALSE)/VLOOKUP($B18,'TABLA FINAL '!$B$5:$AW$210,10,FALSE)*100)))</f>
        <v>151.79487179487182</v>
      </c>
      <c r="AA18" s="83">
        <f>(IF($B18&gt;0,(VLOOKUP($B18,'TABLA FINAL '!$B$5:$AW$210,AA$5,FALSE)/VLOOKUP($B18,'TABLA FINAL '!$B$5:$AW$210,10,FALSE)*100)))</f>
        <v>165.38461538461539</v>
      </c>
      <c r="AB18" s="83">
        <f>(IF($B18&gt;0,(VLOOKUP($B18,'TABLA FINAL '!$B$5:$AW$210,AB$5,FALSE)/VLOOKUP($B18,'TABLA FINAL '!$B$5:$AW$210,10,FALSE)*100)))</f>
        <v>179.0598290598291</v>
      </c>
      <c r="AC18" s="83">
        <f>(IF($B18&gt;0,(VLOOKUP($B18,'TABLA FINAL '!$B$5:$AW$210,AC$5,FALSE)/VLOOKUP($B18,'TABLA FINAL '!$B$5:$AW$210,10,FALSE)*100)))</f>
        <v>192.64957264957266</v>
      </c>
      <c r="AD18" s="83">
        <f>(IF($B18&gt;0,(VLOOKUP($B18,'TABLA FINAL '!$B$5:$AW$210,AD$5,FALSE)/VLOOKUP($B18,'TABLA FINAL '!$B$5:$AW$210,10,FALSE)*100)))</f>
        <v>206.23931623931622</v>
      </c>
      <c r="AE18" s="83">
        <f>(IF($B18&gt;0,(VLOOKUP($B18,'TABLA FINAL '!$B$5:$AW$210,AE$5,FALSE)/VLOOKUP($B18,'TABLA FINAL '!$B$5:$AW$210,10,FALSE)*100)))</f>
        <v>206.23931623931622</v>
      </c>
      <c r="AF18" s="83">
        <f>(IF($B18&gt;0,(VLOOKUP($B18,'TABLA FINAL '!$B$5:$AW$210,AF$5,FALSE)/VLOOKUP($B18,'TABLA FINAL '!$B$5:$AW$210,10,FALSE)*100)))</f>
        <v>206.23931623931622</v>
      </c>
      <c r="AG18" s="83">
        <f>(IF($B18&gt;0,(VLOOKUP($B18,'TABLA FINAL '!$B$5:$AW$210,AG$5,FALSE)/VLOOKUP($B18,'TABLA FINAL '!$B$5:$AW$210,10,FALSE)*100)))</f>
        <v>206.23931623931622</v>
      </c>
      <c r="AH18" s="83">
        <f>(IF($B18&gt;0,(VLOOKUP($B18,'TABLA FINAL '!$B$5:$AW$210,AH$5,FALSE)/VLOOKUP($B18,'TABLA FINAL '!$B$5:$AW$210,10,FALSE)*100)))</f>
        <v>206.23931623931622</v>
      </c>
      <c r="AI18" s="83">
        <f>(IF($B18&gt;0,(VLOOKUP($B18,'TABLA FINAL '!$B$5:$AW$210,AI$5,FALSE)/VLOOKUP($B18,'TABLA FINAL '!$B$5:$AW$210,10,FALSE)*100)))</f>
        <v>206.23931623931622</v>
      </c>
      <c r="AJ18" s="83">
        <f>(IF($B18&gt;0,(VLOOKUP($B18,'TABLA FINAL '!$B$5:$AW$210,AJ$5,FALSE)/VLOOKUP($B18,'TABLA FINAL '!$B$5:$AW$210,10,FALSE)*100)))</f>
        <v>206.23931623931622</v>
      </c>
      <c r="AK18" s="83">
        <f>(IF($B18&gt;0,(VLOOKUP($B18,'TABLA FINAL '!$B$5:$AW$210,AK$5,FALSE)/VLOOKUP($B18,'TABLA FINAL '!$B$5:$AW$210,10,FALSE)*100)))</f>
        <v>206.23931623931622</v>
      </c>
      <c r="AL18" s="83">
        <f>(IF($B18&gt;0,(VLOOKUP($B18,'TABLA FINAL '!$B$5:$AW$210,AL$5,FALSE)/VLOOKUP($B18,'TABLA FINAL '!$B$5:$AW$210,10,FALSE)*100)))</f>
        <v>206.23931623931622</v>
      </c>
      <c r="AM18" s="83">
        <f>(IF($B18&gt;0,(VLOOKUP($B18,'TABLA FINAL '!$B$5:$AW$210,AM$5,FALSE)/VLOOKUP($B18,'TABLA FINAL '!$B$5:$AW$210,10,FALSE)*100)))</f>
        <v>206.23931623931622</v>
      </c>
      <c r="AN18" s="83">
        <f>(IF($B18&gt;0,(VLOOKUP($B18,'TABLA FINAL '!$B$5:$AW$210,AN$5,FALSE)/VLOOKUP($B18,'TABLA FINAL '!$B$5:$AW$210,10,FALSE)*100)))</f>
        <v>206.23931623931622</v>
      </c>
      <c r="AO18" s="83">
        <f>(IF($B18&gt;0,(VLOOKUP($B18,'TABLA FINAL '!$B$5:$AW$210,AO$5,FALSE)/VLOOKUP($B18,'TABLA FINAL '!$B$5:$AW$210,10,FALSE)*100)))</f>
        <v>206.23931623931622</v>
      </c>
      <c r="AP18" s="83">
        <f>(IF($B18&gt;0,(VLOOKUP($B18,'TABLA FINAL '!$B$5:$AW$210,AP$5,FALSE)/VLOOKUP($B18,'TABLA FINAL '!$B$5:$AW$210,10,FALSE)*100)))</f>
        <v>206.23931623931622</v>
      </c>
      <c r="AQ18" s="83">
        <f>(IF($B18&gt;0,(VLOOKUP($B18,'TABLA FINAL '!$B$5:$DQ$210,AQ$5,FALSE)/VLOOKUP($B18,'TABLA FINAL '!$B$5:$DQ220,10,FALSE)*100)))</f>
        <v>218.80341880341882</v>
      </c>
      <c r="AR18" s="83">
        <f>(IF($B18&gt;0,(VLOOKUP($B18,'TABLA FINAL '!$B$5:$DQ$210,AR$5,FALSE)/VLOOKUP($B18,'TABLA FINAL '!$B$5:$DQ220,10,FALSE)*100)))</f>
        <v>247.86324786324786</v>
      </c>
      <c r="AS18" s="83">
        <f>(IF($B18&gt;0,(VLOOKUP($B18,'TABLA FINAL '!$B$5:$DQ$210,AS$5,FALSE)/VLOOKUP($B18,'TABLA FINAL '!$B$5:$DQ220,10,FALSE)*100)))</f>
        <v>247.86324786324786</v>
      </c>
      <c r="AT18" s="83">
        <f>(IF($B18&gt;0,(VLOOKUP($B18,'TABLA FINAL '!$B$5:$DQ$210,AT$5,FALSE)/VLOOKUP($B18,'TABLA FINAL '!$B$5:$DQ220,10,FALSE)*100)))</f>
        <v>247.86324786324786</v>
      </c>
      <c r="AU18" s="83">
        <f>(IF($B18&gt;0,(VLOOKUP($B18,'TABLA FINAL '!$B$5:$DQ$210,AU$5,FALSE)/VLOOKUP($B18,'TABLA FINAL '!$B$5:$DQ220,10,FALSE)*100)))</f>
        <v>247.86324786324786</v>
      </c>
      <c r="AV18" s="83">
        <f>(IF($B18&gt;0,(VLOOKUP($B18,'TABLA FINAL '!$B$5:$DQ$210,AV$5,FALSE)/VLOOKUP($B18,'TABLA FINAL '!$B$5:$DQ220,10,FALSE)*100)))</f>
        <v>247.86324786324786</v>
      </c>
      <c r="AW18" s="83">
        <f>(IF($B18&gt;0,(VLOOKUP($B18,'TABLA FINAL '!$B$5:$DQ$210,AW$5,FALSE)/VLOOKUP($B18,'TABLA FINAL '!$B$5:$DQ220,10,FALSE)*100)))</f>
        <v>247.86324786324786</v>
      </c>
      <c r="AX18" s="83">
        <f>(IF($B18&gt;0,(VLOOKUP($B18,'TABLA FINAL '!$B$5:$DQ$210,AX$5,FALSE)/VLOOKUP($B18,'TABLA FINAL '!$B$5:$DQ220,10,FALSE)*100)))</f>
        <v>247.86324786324786</v>
      </c>
      <c r="AY18" s="83">
        <f>(IF($B18&gt;0,(VLOOKUP($B18,'TABLA FINAL '!$B$5:$DQ$210,AY$5,FALSE)/VLOOKUP($B18,'TABLA FINAL '!$B$5:$DQ220,10,FALSE)*100)))</f>
        <v>305.982905982906</v>
      </c>
      <c r="AZ18" s="83">
        <f>(IF($B18&gt;0,(VLOOKUP($B18,'TABLA FINAL '!$B$5:$DQ$210,AZ$5,FALSE)/VLOOKUP($B18,'TABLA FINAL '!$B$5:$DQ220,10,FALSE)*100)))</f>
        <v>305.982905982906</v>
      </c>
      <c r="BA18" s="83">
        <f>(IF($B18&gt;0,(VLOOKUP($B18,'TABLA FINAL '!$B$5:$DQ$210,BA$5,FALSE)/VLOOKUP($B18,'TABLA FINAL '!$B$5:$DQ220,10,FALSE)*100)))</f>
        <v>305.982905982906</v>
      </c>
    </row>
    <row r="19" spans="1:53">
      <c r="A19" s="1"/>
      <c r="B19" s="1"/>
      <c r="C19" s="1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  <c r="P19" s="70"/>
      <c r="Q19" s="1"/>
      <c r="R19" s="1"/>
      <c r="S19" s="20"/>
    </row>
    <row r="20" spans="1:53" ht="18">
      <c r="A20" s="1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</row>
    <row r="21" spans="1:53" ht="18"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</row>
    <row r="22" spans="1:53" ht="18">
      <c r="K22" s="84" t="s">
        <v>468</v>
      </c>
      <c r="S22" s="20"/>
    </row>
    <row r="23" spans="1:53">
      <c r="S23" s="20"/>
    </row>
    <row r="24" spans="1:53" ht="15.75" customHeight="1">
      <c r="B24" s="82">
        <f>+B8</f>
        <v>19</v>
      </c>
      <c r="C24" s="83" t="s">
        <v>934</v>
      </c>
      <c r="D24" s="83"/>
      <c r="E24" s="85"/>
      <c r="F24" s="85"/>
      <c r="G24" s="85"/>
      <c r="H24" s="85"/>
      <c r="I24" s="85"/>
      <c r="J24" s="85"/>
      <c r="K24" s="83">
        <v>100</v>
      </c>
      <c r="L24" s="83">
        <v>103.0958439355386</v>
      </c>
      <c r="M24" s="83">
        <v>103.68956743002545</v>
      </c>
      <c r="N24" s="83">
        <v>103.47752332485156</v>
      </c>
      <c r="O24" s="83">
        <v>102.50212044105173</v>
      </c>
      <c r="P24" s="83">
        <v>101.27226463104326</v>
      </c>
      <c r="Q24" s="83">
        <v>101.44189991518235</v>
      </c>
      <c r="R24" s="83">
        <v>100.55131467345207</v>
      </c>
      <c r="S24" s="83">
        <v>101.39949109414756</v>
      </c>
      <c r="T24" s="83">
        <v>104.24088210347753</v>
      </c>
      <c r="U24" s="83">
        <v>104.66497031382526</v>
      </c>
      <c r="V24" s="83">
        <v>103.7319762510602</v>
      </c>
      <c r="W24" s="83">
        <v>103.56234096692111</v>
      </c>
      <c r="X24" s="83">
        <v>103.13825275657335</v>
      </c>
      <c r="Y24" s="83">
        <v>103.13825275657335</v>
      </c>
      <c r="Z24" s="83">
        <v>103.30788804071247</v>
      </c>
      <c r="AA24" s="83">
        <v>105.00424088210347</v>
      </c>
      <c r="AB24" s="83">
        <v>106.74300254452925</v>
      </c>
      <c r="AC24" s="83">
        <v>110.0932994062765</v>
      </c>
      <c r="AD24" s="83">
        <v>120.27141645462255</v>
      </c>
    </row>
    <row r="25" spans="1:53" ht="15.75" customHeight="1">
      <c r="B25" s="82">
        <f>+B9</f>
        <v>47</v>
      </c>
      <c r="C25" s="83" t="s">
        <v>66</v>
      </c>
      <c r="D25" s="85"/>
      <c r="E25" s="85"/>
      <c r="F25" s="85"/>
      <c r="G25" s="85"/>
      <c r="H25" s="85"/>
      <c r="I25" s="85"/>
      <c r="J25" s="85"/>
      <c r="K25" s="83">
        <v>100</v>
      </c>
      <c r="L25" s="83">
        <v>107.11610486891388</v>
      </c>
      <c r="M25" s="83">
        <v>108.2865168539326</v>
      </c>
      <c r="N25" s="83">
        <v>108.70786516853931</v>
      </c>
      <c r="O25" s="83">
        <v>104.9625468164794</v>
      </c>
      <c r="P25" s="83">
        <v>101.87265917602997</v>
      </c>
      <c r="Q25" s="83">
        <v>101.87265917602997</v>
      </c>
      <c r="R25" s="83">
        <v>101.07677902621724</v>
      </c>
      <c r="S25" s="83">
        <v>103.69850187265919</v>
      </c>
      <c r="T25" s="83">
        <v>104.02621722846442</v>
      </c>
      <c r="U25" s="83">
        <v>104.44756554307115</v>
      </c>
      <c r="V25" s="83">
        <v>103.6048689138577</v>
      </c>
      <c r="W25" s="83">
        <v>103.83895131086143</v>
      </c>
      <c r="X25" s="83">
        <v>104.07303370786518</v>
      </c>
      <c r="Y25" s="83">
        <v>103.51123595505618</v>
      </c>
      <c r="Z25" s="83">
        <v>103.6048689138577</v>
      </c>
      <c r="AA25" s="83">
        <v>103.55805243445693</v>
      </c>
      <c r="AB25" s="83">
        <v>102.43445692883897</v>
      </c>
      <c r="AC25" s="83">
        <v>102.2940074906367</v>
      </c>
      <c r="AD25" s="83">
        <v>105.80524344569288</v>
      </c>
    </row>
    <row r="26" spans="1:53" ht="15.75" customHeight="1">
      <c r="B26" s="82">
        <f>+B10</f>
        <v>50</v>
      </c>
      <c r="C26" s="83" t="s">
        <v>74</v>
      </c>
      <c r="D26" s="85"/>
      <c r="E26" s="85"/>
      <c r="F26" s="85"/>
      <c r="G26" s="85"/>
      <c r="H26" s="85"/>
      <c r="I26" s="85"/>
      <c r="J26" s="85"/>
      <c r="K26" s="83">
        <v>100</v>
      </c>
      <c r="L26" s="83">
        <v>114.59138520136672</v>
      </c>
      <c r="M26" s="83">
        <v>127.27832857222876</v>
      </c>
      <c r="N26" s="83">
        <v>136.45885845516159</v>
      </c>
      <c r="O26" s="83">
        <v>143.29804514647401</v>
      </c>
      <c r="P26" s="83">
        <v>145.87464291715679</v>
      </c>
      <c r="Q26" s="83">
        <v>147.63905226012434</v>
      </c>
      <c r="R26" s="83">
        <v>147.58303926510951</v>
      </c>
      <c r="S26" s="83">
        <v>147.58303926510951</v>
      </c>
      <c r="T26" s="83">
        <v>147.58303926510951</v>
      </c>
      <c r="U26" s="83">
        <v>147.82949644317483</v>
      </c>
      <c r="V26" s="83">
        <v>147.91351593569709</v>
      </c>
      <c r="W26" s="83">
        <v>149.99159805074777</v>
      </c>
      <c r="X26" s="83">
        <v>150.11482663978043</v>
      </c>
      <c r="Y26" s="83">
        <v>150.11482663978043</v>
      </c>
      <c r="Z26" s="83">
        <v>150.11482663978043</v>
      </c>
      <c r="AA26" s="83">
        <v>150.11482663978043</v>
      </c>
      <c r="AB26" s="83">
        <v>150.11482663978043</v>
      </c>
      <c r="AC26" s="83">
        <v>151.4423346216322</v>
      </c>
      <c r="AD26" s="83">
        <v>152.90427379151964</v>
      </c>
    </row>
    <row r="27" spans="1:53" ht="15.75" customHeight="1">
      <c r="B27" s="82">
        <f>+B11</f>
        <v>81</v>
      </c>
      <c r="C27" s="83" t="s">
        <v>219</v>
      </c>
      <c r="D27" s="85"/>
      <c r="E27" s="85"/>
      <c r="F27" s="85"/>
      <c r="G27" s="85"/>
      <c r="H27" s="85"/>
      <c r="I27" s="85"/>
      <c r="J27" s="85"/>
      <c r="K27" s="83">
        <v>100</v>
      </c>
      <c r="L27" s="83">
        <v>111.17824773413896</v>
      </c>
      <c r="M27" s="83">
        <v>116.99395770392749</v>
      </c>
      <c r="N27" s="83">
        <v>119.10876132930512</v>
      </c>
      <c r="O27" s="83">
        <v>120.69486404833837</v>
      </c>
      <c r="P27" s="83">
        <v>120.77039274924471</v>
      </c>
      <c r="Q27" s="83">
        <v>121.37462235649545</v>
      </c>
      <c r="R27" s="83">
        <v>121.82779456193353</v>
      </c>
      <c r="S27" s="83">
        <v>123.03625377643503</v>
      </c>
      <c r="T27" s="83">
        <v>124.01812688821752</v>
      </c>
      <c r="U27" s="83">
        <v>126.2084592145015</v>
      </c>
      <c r="V27" s="83">
        <v>128.39879154078548</v>
      </c>
      <c r="W27" s="83">
        <v>128.92749244712988</v>
      </c>
      <c r="X27" s="83">
        <v>128.54984894259817</v>
      </c>
      <c r="Y27" s="83">
        <v>129.75830815709969</v>
      </c>
      <c r="Z27" s="83">
        <v>132.62839879154077</v>
      </c>
      <c r="AA27" s="83">
        <v>133.00604229607248</v>
      </c>
      <c r="AB27" s="83">
        <v>133.98791540785498</v>
      </c>
      <c r="AC27" s="83">
        <v>131.72205438066464</v>
      </c>
      <c r="AD27" s="83">
        <v>132.17522658610272</v>
      </c>
    </row>
    <row r="28" spans="1:53" ht="15.75" customHeight="1">
      <c r="B28" s="82">
        <f>+B12</f>
        <v>79</v>
      </c>
      <c r="C28" s="83" t="s">
        <v>215</v>
      </c>
      <c r="D28" s="85"/>
      <c r="E28" s="85"/>
      <c r="F28" s="85"/>
      <c r="G28" s="85"/>
      <c r="H28" s="85"/>
      <c r="I28" s="85"/>
      <c r="J28" s="85"/>
      <c r="K28" s="83">
        <v>100</v>
      </c>
      <c r="L28" s="83">
        <v>100.75757575757578</v>
      </c>
      <c r="M28" s="83">
        <v>100.9469696969697</v>
      </c>
      <c r="N28" s="83">
        <v>102.08333333333333</v>
      </c>
      <c r="O28" s="83">
        <v>102.46212121212122</v>
      </c>
      <c r="P28" s="83">
        <v>101.60984848484848</v>
      </c>
      <c r="Q28" s="83">
        <v>101.42045454545455</v>
      </c>
      <c r="R28" s="83">
        <v>101.04166666666667</v>
      </c>
      <c r="S28" s="83">
        <v>101.04166666666667</v>
      </c>
      <c r="T28" s="83">
        <v>101.32575757575759</v>
      </c>
      <c r="U28" s="83">
        <v>101.79924242424244</v>
      </c>
      <c r="V28" s="83">
        <v>103.125</v>
      </c>
      <c r="W28" s="83">
        <v>104.16666666666667</v>
      </c>
      <c r="X28" s="83">
        <v>105.77651515151516</v>
      </c>
      <c r="Y28" s="83">
        <v>108.04924242424244</v>
      </c>
      <c r="Z28" s="83">
        <v>108.71212121212122</v>
      </c>
      <c r="AA28" s="83">
        <v>111.36363636363636</v>
      </c>
      <c r="AB28" s="83">
        <v>111.45833333333334</v>
      </c>
      <c r="AC28" s="83">
        <v>112.40530303030305</v>
      </c>
      <c r="AD28" s="83">
        <v>113.4469696969697</v>
      </c>
    </row>
    <row r="29" spans="1:53" ht="15.75" customHeight="1">
      <c r="B29" s="82">
        <v>33</v>
      </c>
      <c r="C29" s="83" t="s">
        <v>38</v>
      </c>
      <c r="D29" s="85"/>
      <c r="E29" s="85"/>
      <c r="F29" s="85"/>
      <c r="G29" s="85"/>
      <c r="H29" s="85"/>
      <c r="I29" s="85"/>
      <c r="J29" s="85"/>
      <c r="K29" s="83">
        <v>100</v>
      </c>
      <c r="L29" s="83">
        <v>92.068361086765989</v>
      </c>
      <c r="M29" s="83">
        <v>87.949167397020162</v>
      </c>
      <c r="N29" s="83">
        <v>86.503067484662594</v>
      </c>
      <c r="O29" s="83">
        <v>83.829973707274334</v>
      </c>
      <c r="P29" s="83">
        <v>84.399649430324274</v>
      </c>
      <c r="Q29" s="83">
        <v>84.837861524978081</v>
      </c>
      <c r="R29" s="83">
        <v>86.283961437335677</v>
      </c>
      <c r="S29" s="83">
        <v>86.503067484662594</v>
      </c>
      <c r="T29" s="83">
        <v>88.475021910604738</v>
      </c>
      <c r="U29" s="83">
        <v>88.387379491673968</v>
      </c>
      <c r="V29" s="83">
        <v>88.255915863277835</v>
      </c>
      <c r="W29" s="83">
        <v>88.825591586327775</v>
      </c>
      <c r="X29" s="83">
        <v>89.702015775635402</v>
      </c>
      <c r="Y29" s="83">
        <v>90.6660823838738</v>
      </c>
      <c r="Z29" s="83">
        <v>90.446976336546896</v>
      </c>
      <c r="AA29" s="83">
        <v>91.586327782646805</v>
      </c>
      <c r="AB29" s="83">
        <v>92.725679228746714</v>
      </c>
      <c r="AC29" s="83">
        <v>96.319018404907979</v>
      </c>
      <c r="AD29" s="83">
        <v>103.06748466257669</v>
      </c>
    </row>
    <row r="30" spans="1:53" ht="15.75" customHeight="1">
      <c r="B30" s="82">
        <f>+B14</f>
        <v>102</v>
      </c>
      <c r="C30" s="83" t="s">
        <v>264</v>
      </c>
      <c r="D30" s="85"/>
      <c r="E30" s="85"/>
      <c r="F30" s="85"/>
      <c r="G30" s="85"/>
      <c r="H30" s="85"/>
      <c r="I30" s="85"/>
      <c r="J30" s="85"/>
      <c r="K30" s="83">
        <v>100</v>
      </c>
      <c r="L30" s="83">
        <v>98.68203526818516</v>
      </c>
      <c r="M30" s="83">
        <v>101.54757531227038</v>
      </c>
      <c r="N30" s="83">
        <v>103.31098457016901</v>
      </c>
      <c r="O30" s="83">
        <v>103.32016899338723</v>
      </c>
      <c r="P30" s="83">
        <v>103.32016899338723</v>
      </c>
      <c r="Q30" s="83">
        <v>103.32016899338723</v>
      </c>
      <c r="R30" s="83">
        <v>103.32016899338723</v>
      </c>
      <c r="S30" s="83">
        <v>103.32016899338723</v>
      </c>
      <c r="T30" s="83">
        <v>104.3993387215283</v>
      </c>
      <c r="U30" s="83">
        <v>104.13299044819986</v>
      </c>
      <c r="V30" s="83">
        <v>104.39015429831007</v>
      </c>
      <c r="W30" s="83">
        <v>104.39015429831007</v>
      </c>
      <c r="X30" s="83">
        <v>103.70591476855256</v>
      </c>
      <c r="Y30" s="83">
        <v>103.70591476855256</v>
      </c>
      <c r="Z30" s="83">
        <v>103.70591476855256</v>
      </c>
      <c r="AA30" s="83">
        <v>103.70591476855256</v>
      </c>
      <c r="AB30" s="83">
        <v>103.70591476855256</v>
      </c>
      <c r="AC30" s="83">
        <v>103.70591476855256</v>
      </c>
      <c r="AD30" s="83">
        <v>104.39474650991917</v>
      </c>
    </row>
    <row r="31" spans="1:53" ht="15.75" customHeight="1">
      <c r="B31" s="82">
        <f>+B15</f>
        <v>58</v>
      </c>
      <c r="C31" s="83" t="s">
        <v>103</v>
      </c>
      <c r="D31" s="85"/>
      <c r="E31" s="85"/>
      <c r="F31" s="85"/>
      <c r="G31" s="85"/>
      <c r="H31" s="85"/>
      <c r="I31" s="85"/>
      <c r="J31" s="85"/>
      <c r="K31" s="83">
        <v>100</v>
      </c>
      <c r="L31" s="83">
        <v>100.73860494509834</v>
      </c>
      <c r="M31" s="83">
        <v>100.78600205387471</v>
      </c>
      <c r="N31" s="83">
        <v>102.40540327040048</v>
      </c>
      <c r="O31" s="83">
        <v>98.388498301603605</v>
      </c>
      <c r="P31" s="83">
        <v>98.08041709455722</v>
      </c>
      <c r="Q31" s="83">
        <v>93.850225136266687</v>
      </c>
      <c r="R31" s="83">
        <v>92.661347657792874</v>
      </c>
      <c r="S31" s="83">
        <v>93.249861758432743</v>
      </c>
      <c r="T31" s="83">
        <v>91.721305000394977</v>
      </c>
      <c r="U31" s="83">
        <v>88.711588593095811</v>
      </c>
      <c r="V31" s="83">
        <v>88.869578955683707</v>
      </c>
      <c r="W31" s="83">
        <v>87.862390394185951</v>
      </c>
      <c r="X31" s="83">
        <v>90.259894146457071</v>
      </c>
      <c r="Y31" s="83">
        <v>90.398135713721459</v>
      </c>
      <c r="Z31" s="83">
        <v>89.229007030571125</v>
      </c>
      <c r="AA31" s="83">
        <v>90.082154988545696</v>
      </c>
      <c r="AB31" s="83">
        <v>91.816099217947709</v>
      </c>
      <c r="AC31" s="83">
        <v>90.469231376886015</v>
      </c>
      <c r="AD31" s="83">
        <v>95.043052373805196</v>
      </c>
    </row>
    <row r="32" spans="1:53" ht="15.75" customHeight="1">
      <c r="B32" s="82">
        <f>+B16</f>
        <v>23</v>
      </c>
      <c r="C32" s="83" t="s">
        <v>7</v>
      </c>
      <c r="D32" s="85"/>
      <c r="E32" s="85"/>
      <c r="F32" s="85"/>
      <c r="G32" s="85"/>
      <c r="H32" s="85"/>
      <c r="I32" s="85"/>
      <c r="J32" s="85"/>
      <c r="K32" s="83">
        <v>100</v>
      </c>
      <c r="L32" s="83">
        <v>100</v>
      </c>
      <c r="M32" s="83">
        <v>108.22622107969151</v>
      </c>
      <c r="N32" s="83">
        <v>113.34273156978192</v>
      </c>
      <c r="O32" s="83">
        <v>118.21875777427647</v>
      </c>
      <c r="P32" s="83">
        <v>122.64698565386848</v>
      </c>
      <c r="Q32" s="83">
        <v>122.04162865909278</v>
      </c>
      <c r="R32" s="83">
        <v>130.58296707853054</v>
      </c>
      <c r="S32" s="83">
        <v>134.87851397296623</v>
      </c>
      <c r="T32" s="83">
        <v>136.95994692760593</v>
      </c>
      <c r="U32" s="83">
        <v>147.0354092379136</v>
      </c>
      <c r="V32" s="83">
        <v>156.36454100671696</v>
      </c>
      <c r="W32" s="83">
        <v>157.73281366614148</v>
      </c>
      <c r="X32" s="83">
        <v>153.5118998258562</v>
      </c>
      <c r="Y32" s="83">
        <v>165.78489095281529</v>
      </c>
      <c r="Z32" s="83">
        <v>171.63943942283771</v>
      </c>
      <c r="AA32" s="83">
        <v>180.70320922132845</v>
      </c>
      <c r="AB32" s="83">
        <v>185.89435276556927</v>
      </c>
      <c r="AC32" s="83">
        <v>185.89435276556927</v>
      </c>
      <c r="AD32" s="83">
        <v>186.67385355336265</v>
      </c>
    </row>
    <row r="33" spans="2:31" ht="15.75" customHeight="1">
      <c r="B33" s="82">
        <f>+B17</f>
        <v>77</v>
      </c>
      <c r="C33" s="83" t="s">
        <v>211</v>
      </c>
      <c r="D33" s="86"/>
      <c r="E33" s="86"/>
      <c r="F33" s="86"/>
      <c r="G33" s="86"/>
      <c r="H33" s="86"/>
      <c r="I33" s="86"/>
      <c r="J33" s="86"/>
      <c r="K33" s="83">
        <v>100</v>
      </c>
      <c r="L33" s="83">
        <v>96.811819595645417</v>
      </c>
      <c r="M33" s="83">
        <v>98.211508553654753</v>
      </c>
      <c r="N33" s="83">
        <v>99.066874027993791</v>
      </c>
      <c r="O33" s="83">
        <v>97.356143079315714</v>
      </c>
      <c r="P33" s="83">
        <v>96.811819595645417</v>
      </c>
      <c r="Q33" s="83">
        <v>96.034214618973564</v>
      </c>
      <c r="R33" s="83">
        <v>96.189735614307935</v>
      </c>
      <c r="S33" s="83">
        <v>96.578538102643861</v>
      </c>
      <c r="T33" s="83">
        <v>96.423017107309491</v>
      </c>
      <c r="U33" s="83">
        <v>97.744945567651641</v>
      </c>
      <c r="V33" s="83">
        <v>97.356143079315714</v>
      </c>
      <c r="W33" s="83">
        <v>99.688958009331259</v>
      </c>
      <c r="X33" s="83">
        <v>102.87713841368587</v>
      </c>
      <c r="Y33" s="83">
        <v>111.35303265940901</v>
      </c>
      <c r="Z33" s="83">
        <v>109.9533437013997</v>
      </c>
      <c r="AA33" s="83">
        <v>132.11508553654744</v>
      </c>
      <c r="AB33" s="83">
        <v>147.66718506998447</v>
      </c>
      <c r="AC33" s="83">
        <v>152.87713841368586</v>
      </c>
      <c r="AD33" s="83">
        <v>158.08709175738727</v>
      </c>
    </row>
    <row r="34" spans="2:31" ht="16.5">
      <c r="B34" s="82">
        <f>+B18</f>
        <v>1</v>
      </c>
      <c r="C34" s="83" t="s">
        <v>905</v>
      </c>
      <c r="K34" s="83">
        <v>100</v>
      </c>
      <c r="L34" s="83">
        <v>100</v>
      </c>
      <c r="M34" s="83">
        <v>100</v>
      </c>
      <c r="N34" s="83">
        <v>100</v>
      </c>
      <c r="O34" s="83">
        <v>100</v>
      </c>
      <c r="P34" s="83">
        <v>100</v>
      </c>
      <c r="Q34" s="83">
        <v>100</v>
      </c>
      <c r="R34" s="83">
        <v>100</v>
      </c>
      <c r="S34" s="83">
        <v>100</v>
      </c>
      <c r="T34" s="83">
        <v>100</v>
      </c>
      <c r="U34" s="83">
        <v>100</v>
      </c>
      <c r="V34" s="83">
        <v>100</v>
      </c>
      <c r="W34" s="83">
        <v>121.36752136752136</v>
      </c>
      <c r="X34" s="83">
        <v>126.23931623931625</v>
      </c>
      <c r="Y34" s="83">
        <v>138.2051282051282</v>
      </c>
      <c r="Z34" s="83">
        <v>151.79487179487182</v>
      </c>
      <c r="AA34" s="83">
        <v>165.38461538461539</v>
      </c>
      <c r="AB34" s="83">
        <v>179.0598290598291</v>
      </c>
      <c r="AC34" s="83">
        <v>192.64957264957266</v>
      </c>
      <c r="AD34" s="83">
        <v>206.23931623931622</v>
      </c>
    </row>
    <row r="35" spans="2:31" ht="16.5">
      <c r="B35" s="82"/>
      <c r="C35" s="87"/>
      <c r="S35" s="88"/>
    </row>
    <row r="36" spans="2:31" ht="16.5">
      <c r="B36" s="82"/>
      <c r="S36" s="20"/>
    </row>
    <row r="37" spans="2:31" ht="16.5">
      <c r="B37" s="82">
        <f t="shared" ref="B37:C47" si="0">+B24</f>
        <v>19</v>
      </c>
      <c r="C37" s="83" t="str">
        <f t="shared" si="0"/>
        <v>Acero aletado conformado, en barra</v>
      </c>
      <c r="D37" s="83"/>
      <c r="E37" s="83"/>
      <c r="F37" s="83"/>
      <c r="G37" s="83"/>
      <c r="H37" s="83"/>
      <c r="I37" s="83"/>
      <c r="J37" s="83"/>
      <c r="K37" s="83">
        <v>1</v>
      </c>
      <c r="L37" s="89">
        <f t="shared" ref="L37:AE37" si="1">+L24/$K$24</f>
        <v>1.0309584393553859</v>
      </c>
      <c r="M37" s="89">
        <f t="shared" si="1"/>
        <v>1.0368956743002544</v>
      </c>
      <c r="N37" s="89">
        <f t="shared" si="1"/>
        <v>1.0347752332485156</v>
      </c>
      <c r="O37" s="89">
        <f t="shared" si="1"/>
        <v>1.0250212044105174</v>
      </c>
      <c r="P37" s="89">
        <f t="shared" si="1"/>
        <v>1.0127226463104326</v>
      </c>
      <c r="Q37" s="89">
        <f t="shared" si="1"/>
        <v>1.0144189991518235</v>
      </c>
      <c r="R37" s="89">
        <f t="shared" si="1"/>
        <v>1.0055131467345206</v>
      </c>
      <c r="S37" s="89">
        <f t="shared" si="1"/>
        <v>1.0139949109414756</v>
      </c>
      <c r="T37" s="89">
        <f t="shared" si="1"/>
        <v>1.0424088210347753</v>
      </c>
      <c r="U37" s="89">
        <f t="shared" si="1"/>
        <v>1.0466497031382527</v>
      </c>
      <c r="V37" s="89">
        <f t="shared" si="1"/>
        <v>1.0373197625106021</v>
      </c>
      <c r="W37" s="89">
        <f t="shared" si="1"/>
        <v>1.0356234096692112</v>
      </c>
      <c r="X37" s="89">
        <f t="shared" si="1"/>
        <v>1.0313825275657336</v>
      </c>
      <c r="Y37" s="89">
        <f t="shared" si="1"/>
        <v>1.0313825275657336</v>
      </c>
      <c r="Z37" s="89">
        <f t="shared" si="1"/>
        <v>1.0330788804071247</v>
      </c>
      <c r="AA37" s="89">
        <f t="shared" si="1"/>
        <v>1.0500424088210347</v>
      </c>
      <c r="AB37" s="89">
        <f t="shared" si="1"/>
        <v>1.0674300254452924</v>
      </c>
      <c r="AC37" s="89">
        <f t="shared" si="1"/>
        <v>1.100932994062765</v>
      </c>
      <c r="AD37" s="89">
        <f t="shared" si="1"/>
        <v>1.2027141645462256</v>
      </c>
      <c r="AE37" s="89">
        <f t="shared" si="1"/>
        <v>0</v>
      </c>
    </row>
    <row r="38" spans="2:31" ht="16.5">
      <c r="B38" s="82">
        <f t="shared" si="0"/>
        <v>47</v>
      </c>
      <c r="C38" s="83" t="str">
        <f t="shared" si="0"/>
        <v>Caño de PVC de 0,110 m</v>
      </c>
      <c r="D38" s="83"/>
      <c r="E38" s="83"/>
      <c r="F38" s="83"/>
      <c r="G38" s="83"/>
      <c r="H38" s="83"/>
      <c r="I38" s="83"/>
      <c r="J38" s="83"/>
      <c r="K38" s="83">
        <v>1</v>
      </c>
      <c r="L38" s="89">
        <f t="shared" ref="L38:AE38" si="2">+L25/$K$24</f>
        <v>1.0711610486891388</v>
      </c>
      <c r="M38" s="89">
        <f t="shared" si="2"/>
        <v>1.082865168539326</v>
      </c>
      <c r="N38" s="89">
        <f t="shared" si="2"/>
        <v>1.0870786516853932</v>
      </c>
      <c r="O38" s="89">
        <f t="shared" si="2"/>
        <v>1.0496254681647941</v>
      </c>
      <c r="P38" s="89">
        <f t="shared" si="2"/>
        <v>1.0187265917602997</v>
      </c>
      <c r="Q38" s="89">
        <f t="shared" si="2"/>
        <v>1.0187265917602997</v>
      </c>
      <c r="R38" s="89">
        <f t="shared" si="2"/>
        <v>1.0107677902621723</v>
      </c>
      <c r="S38" s="89">
        <f t="shared" si="2"/>
        <v>1.0369850187265919</v>
      </c>
      <c r="T38" s="89">
        <f t="shared" si="2"/>
        <v>1.0402621722846441</v>
      </c>
      <c r="U38" s="89">
        <f t="shared" si="2"/>
        <v>1.0444756554307115</v>
      </c>
      <c r="V38" s="89">
        <f t="shared" si="2"/>
        <v>1.036048689138577</v>
      </c>
      <c r="W38" s="89">
        <f t="shared" si="2"/>
        <v>1.0383895131086143</v>
      </c>
      <c r="X38" s="89">
        <f t="shared" si="2"/>
        <v>1.0407303370786518</v>
      </c>
      <c r="Y38" s="89">
        <f t="shared" si="2"/>
        <v>1.0351123595505618</v>
      </c>
      <c r="Z38" s="89">
        <f t="shared" si="2"/>
        <v>1.036048689138577</v>
      </c>
      <c r="AA38" s="89">
        <f t="shared" si="2"/>
        <v>1.0355805243445693</v>
      </c>
      <c r="AB38" s="89">
        <f t="shared" si="2"/>
        <v>1.0243445692883897</v>
      </c>
      <c r="AC38" s="89">
        <f t="shared" si="2"/>
        <v>1.0229400749063671</v>
      </c>
      <c r="AD38" s="89">
        <f t="shared" si="2"/>
        <v>1.0580524344569289</v>
      </c>
      <c r="AE38" s="89">
        <f t="shared" si="2"/>
        <v>0</v>
      </c>
    </row>
    <row r="39" spans="2:31" ht="16.5">
      <c r="B39" s="82">
        <f t="shared" si="0"/>
        <v>50</v>
      </c>
      <c r="C39" s="83" t="str">
        <f t="shared" si="0"/>
        <v>Cemento portland</v>
      </c>
      <c r="D39" s="83"/>
      <c r="E39" s="83"/>
      <c r="F39" s="83"/>
      <c r="G39" s="83"/>
      <c r="H39" s="83"/>
      <c r="I39" s="83"/>
      <c r="J39" s="83"/>
      <c r="K39" s="83">
        <v>1</v>
      </c>
      <c r="L39" s="89">
        <f t="shared" ref="L39:AE39" si="3">+L26/$K$24</f>
        <v>1.1459138520136671</v>
      </c>
      <c r="M39" s="89">
        <f t="shared" si="3"/>
        <v>1.2727832857222876</v>
      </c>
      <c r="N39" s="89">
        <f t="shared" si="3"/>
        <v>1.3645885845516159</v>
      </c>
      <c r="O39" s="89">
        <f t="shared" si="3"/>
        <v>1.4329804514647402</v>
      </c>
      <c r="P39" s="89">
        <f t="shared" si="3"/>
        <v>1.4587464291715679</v>
      </c>
      <c r="Q39" s="89">
        <f t="shared" si="3"/>
        <v>1.4763905226012435</v>
      </c>
      <c r="R39" s="89">
        <f t="shared" si="3"/>
        <v>1.4758303926510949</v>
      </c>
      <c r="S39" s="89">
        <f t="shared" si="3"/>
        <v>1.4758303926510949</v>
      </c>
      <c r="T39" s="89">
        <f t="shared" si="3"/>
        <v>1.4758303926510949</v>
      </c>
      <c r="U39" s="89">
        <f t="shared" si="3"/>
        <v>1.4782949644317482</v>
      </c>
      <c r="V39" s="89">
        <f t="shared" si="3"/>
        <v>1.4791351593569708</v>
      </c>
      <c r="W39" s="89">
        <f t="shared" si="3"/>
        <v>1.4999159805074778</v>
      </c>
      <c r="X39" s="89">
        <f t="shared" si="3"/>
        <v>1.5011482663978044</v>
      </c>
      <c r="Y39" s="89">
        <f t="shared" si="3"/>
        <v>1.5011482663978044</v>
      </c>
      <c r="Z39" s="89">
        <f t="shared" si="3"/>
        <v>1.5011482663978044</v>
      </c>
      <c r="AA39" s="89">
        <f t="shared" si="3"/>
        <v>1.5011482663978044</v>
      </c>
      <c r="AB39" s="89">
        <f t="shared" si="3"/>
        <v>1.5011482663978044</v>
      </c>
      <c r="AC39" s="89">
        <f t="shared" si="3"/>
        <v>1.5144233462163219</v>
      </c>
      <c r="AD39" s="89">
        <f t="shared" si="3"/>
        <v>1.5290427379151965</v>
      </c>
      <c r="AE39" s="89">
        <f t="shared" si="3"/>
        <v>0</v>
      </c>
    </row>
    <row r="40" spans="2:31" ht="16.5">
      <c r="B40" s="82">
        <f t="shared" si="0"/>
        <v>81</v>
      </c>
      <c r="C40" s="83" t="str">
        <f t="shared" si="0"/>
        <v>Madera para encofrado</v>
      </c>
      <c r="D40" s="83"/>
      <c r="E40" s="83"/>
      <c r="F40" s="83"/>
      <c r="G40" s="83"/>
      <c r="H40" s="83"/>
      <c r="I40" s="83"/>
      <c r="J40" s="83"/>
      <c r="K40" s="83">
        <v>1</v>
      </c>
      <c r="L40" s="89">
        <f t="shared" ref="L40:AE40" si="4">+L27/$K$24</f>
        <v>1.1117824773413896</v>
      </c>
      <c r="M40" s="89">
        <f t="shared" si="4"/>
        <v>1.1699395770392749</v>
      </c>
      <c r="N40" s="89">
        <f t="shared" si="4"/>
        <v>1.1910876132930512</v>
      </c>
      <c r="O40" s="89">
        <f t="shared" si="4"/>
        <v>1.2069486404833838</v>
      </c>
      <c r="P40" s="89">
        <f t="shared" si="4"/>
        <v>1.207703927492447</v>
      </c>
      <c r="Q40" s="89">
        <f t="shared" si="4"/>
        <v>1.2137462235649545</v>
      </c>
      <c r="R40" s="89">
        <f t="shared" si="4"/>
        <v>1.2182779456193353</v>
      </c>
      <c r="S40" s="89">
        <f t="shared" si="4"/>
        <v>1.2303625377643503</v>
      </c>
      <c r="T40" s="89">
        <f t="shared" si="4"/>
        <v>1.2401812688821752</v>
      </c>
      <c r="U40" s="89">
        <f t="shared" si="4"/>
        <v>1.262084592145015</v>
      </c>
      <c r="V40" s="89">
        <f t="shared" si="4"/>
        <v>1.2839879154078548</v>
      </c>
      <c r="W40" s="89">
        <f t="shared" si="4"/>
        <v>1.2892749244712989</v>
      </c>
      <c r="X40" s="89">
        <f t="shared" si="4"/>
        <v>1.2854984894259818</v>
      </c>
      <c r="Y40" s="89">
        <f t="shared" si="4"/>
        <v>1.297583081570997</v>
      </c>
      <c r="Z40" s="89">
        <f t="shared" si="4"/>
        <v>1.3262839879154078</v>
      </c>
      <c r="AA40" s="89">
        <f t="shared" si="4"/>
        <v>1.3300604229607247</v>
      </c>
      <c r="AB40" s="89">
        <f t="shared" si="4"/>
        <v>1.3398791540785497</v>
      </c>
      <c r="AC40" s="89">
        <f t="shared" si="4"/>
        <v>1.3172205438066464</v>
      </c>
      <c r="AD40" s="89">
        <f t="shared" si="4"/>
        <v>1.3217522658610272</v>
      </c>
      <c r="AE40" s="89">
        <f t="shared" si="4"/>
        <v>0</v>
      </c>
    </row>
    <row r="41" spans="2:31" ht="16.5">
      <c r="B41" s="82">
        <f t="shared" si="0"/>
        <v>79</v>
      </c>
      <c r="C41" s="83" t="str">
        <f t="shared" si="0"/>
        <v>Ladrillo común</v>
      </c>
      <c r="D41" s="83"/>
      <c r="E41" s="83"/>
      <c r="F41" s="83"/>
      <c r="G41" s="83"/>
      <c r="H41" s="83"/>
      <c r="I41" s="83"/>
      <c r="J41" s="83"/>
      <c r="K41" s="83">
        <v>1</v>
      </c>
      <c r="L41" s="89">
        <f t="shared" ref="L41:AE41" si="5">+L28/$K$24</f>
        <v>1.0075757575757578</v>
      </c>
      <c r="M41" s="89">
        <f t="shared" si="5"/>
        <v>1.009469696969697</v>
      </c>
      <c r="N41" s="89">
        <f t="shared" si="5"/>
        <v>1.0208333333333333</v>
      </c>
      <c r="O41" s="89">
        <f t="shared" si="5"/>
        <v>1.0246212121212122</v>
      </c>
      <c r="P41" s="89">
        <f t="shared" si="5"/>
        <v>1.0160984848484849</v>
      </c>
      <c r="Q41" s="89">
        <f t="shared" si="5"/>
        <v>1.0142045454545454</v>
      </c>
      <c r="R41" s="89">
        <f t="shared" si="5"/>
        <v>1.0104166666666667</v>
      </c>
      <c r="S41" s="89">
        <f t="shared" si="5"/>
        <v>1.0104166666666667</v>
      </c>
      <c r="T41" s="89">
        <f t="shared" si="5"/>
        <v>1.0132575757575759</v>
      </c>
      <c r="U41" s="89">
        <f t="shared" si="5"/>
        <v>1.0179924242424243</v>
      </c>
      <c r="V41" s="89">
        <f t="shared" si="5"/>
        <v>1.03125</v>
      </c>
      <c r="W41" s="89">
        <f t="shared" si="5"/>
        <v>1.0416666666666667</v>
      </c>
      <c r="X41" s="89">
        <f t="shared" si="5"/>
        <v>1.0577651515151516</v>
      </c>
      <c r="Y41" s="89">
        <f t="shared" si="5"/>
        <v>1.0804924242424243</v>
      </c>
      <c r="Z41" s="89">
        <f t="shared" si="5"/>
        <v>1.0871212121212122</v>
      </c>
      <c r="AA41" s="89">
        <f t="shared" si="5"/>
        <v>1.1136363636363635</v>
      </c>
      <c r="AB41" s="89">
        <f t="shared" si="5"/>
        <v>1.1145833333333335</v>
      </c>
      <c r="AC41" s="89">
        <f t="shared" si="5"/>
        <v>1.1240530303030305</v>
      </c>
      <c r="AD41" s="89">
        <f t="shared" si="5"/>
        <v>1.134469696969697</v>
      </c>
      <c r="AE41" s="89">
        <f t="shared" si="5"/>
        <v>0</v>
      </c>
    </row>
    <row r="42" spans="2:31" ht="16.5">
      <c r="B42" s="82">
        <f t="shared" si="0"/>
        <v>33</v>
      </c>
      <c r="C42" s="83" t="str">
        <f t="shared" si="0"/>
        <v>Cable con conductor unipolar</v>
      </c>
      <c r="D42" s="83"/>
      <c r="E42" s="83"/>
      <c r="F42" s="83"/>
      <c r="G42" s="83"/>
      <c r="H42" s="83"/>
      <c r="I42" s="83"/>
      <c r="J42" s="83"/>
      <c r="K42" s="83">
        <v>1</v>
      </c>
      <c r="L42" s="89">
        <f t="shared" ref="L42:AE42" si="6">+L29/$K$24</f>
        <v>0.92068361086765993</v>
      </c>
      <c r="M42" s="89">
        <f t="shared" si="6"/>
        <v>0.87949167397020167</v>
      </c>
      <c r="N42" s="89">
        <f t="shared" si="6"/>
        <v>0.86503067484662599</v>
      </c>
      <c r="O42" s="89">
        <f t="shared" si="6"/>
        <v>0.8382997370727433</v>
      </c>
      <c r="P42" s="89">
        <f t="shared" si="6"/>
        <v>0.84399649430324275</v>
      </c>
      <c r="Q42" s="89">
        <f t="shared" si="6"/>
        <v>0.84837861524978075</v>
      </c>
      <c r="R42" s="89">
        <f t="shared" si="6"/>
        <v>0.86283961437335677</v>
      </c>
      <c r="S42" s="89">
        <f t="shared" si="6"/>
        <v>0.86503067484662599</v>
      </c>
      <c r="T42" s="89">
        <f t="shared" si="6"/>
        <v>0.88475021910604734</v>
      </c>
      <c r="U42" s="89">
        <f t="shared" si="6"/>
        <v>0.88387379491673967</v>
      </c>
      <c r="V42" s="89">
        <f t="shared" si="6"/>
        <v>0.88255915863277834</v>
      </c>
      <c r="W42" s="89">
        <f t="shared" si="6"/>
        <v>0.88825591586327779</v>
      </c>
      <c r="X42" s="89">
        <f t="shared" si="6"/>
        <v>0.89702015775635402</v>
      </c>
      <c r="Y42" s="89">
        <f t="shared" si="6"/>
        <v>0.90666082383873803</v>
      </c>
      <c r="Z42" s="89">
        <f t="shared" si="6"/>
        <v>0.90446976336546892</v>
      </c>
      <c r="AA42" s="89">
        <f t="shared" si="6"/>
        <v>0.91586327782646804</v>
      </c>
      <c r="AB42" s="89">
        <f t="shared" si="6"/>
        <v>0.92725679228746716</v>
      </c>
      <c r="AC42" s="89">
        <f t="shared" si="6"/>
        <v>0.96319018404907975</v>
      </c>
      <c r="AD42" s="89">
        <f t="shared" si="6"/>
        <v>1.0306748466257669</v>
      </c>
      <c r="AE42" s="89">
        <f t="shared" si="6"/>
        <v>0</v>
      </c>
    </row>
    <row r="43" spans="2:31" ht="16.5">
      <c r="B43" s="82">
        <f t="shared" si="0"/>
        <v>102</v>
      </c>
      <c r="C43" s="83" t="str">
        <f t="shared" si="0"/>
        <v>Pinturas al látex</v>
      </c>
      <c r="D43" s="83"/>
      <c r="E43" s="83"/>
      <c r="F43" s="83"/>
      <c r="G43" s="83"/>
      <c r="H43" s="83"/>
      <c r="I43" s="83"/>
      <c r="J43" s="83"/>
      <c r="K43" s="83">
        <v>1</v>
      </c>
      <c r="L43" s="89">
        <f t="shared" ref="L43:AE43" si="7">+L30/$K$24</f>
        <v>0.98682035268185164</v>
      </c>
      <c r="M43" s="89">
        <f t="shared" si="7"/>
        <v>1.0154757531227039</v>
      </c>
      <c r="N43" s="89">
        <f t="shared" si="7"/>
        <v>1.0331098457016901</v>
      </c>
      <c r="O43" s="89">
        <f t="shared" si="7"/>
        <v>1.0332016899338723</v>
      </c>
      <c r="P43" s="89">
        <f t="shared" si="7"/>
        <v>1.0332016899338723</v>
      </c>
      <c r="Q43" s="89">
        <f t="shared" si="7"/>
        <v>1.0332016899338723</v>
      </c>
      <c r="R43" s="89">
        <f t="shared" si="7"/>
        <v>1.0332016899338723</v>
      </c>
      <c r="S43" s="89">
        <f t="shared" si="7"/>
        <v>1.0332016899338723</v>
      </c>
      <c r="T43" s="89">
        <f t="shared" si="7"/>
        <v>1.0439933872152829</v>
      </c>
      <c r="U43" s="89">
        <f t="shared" si="7"/>
        <v>1.0413299044819986</v>
      </c>
      <c r="V43" s="89">
        <f t="shared" si="7"/>
        <v>1.0439015429831007</v>
      </c>
      <c r="W43" s="89">
        <f t="shared" si="7"/>
        <v>1.0439015429831007</v>
      </c>
      <c r="X43" s="89">
        <f t="shared" si="7"/>
        <v>1.0370591476855255</v>
      </c>
      <c r="Y43" s="89">
        <f t="shared" si="7"/>
        <v>1.0370591476855255</v>
      </c>
      <c r="Z43" s="89">
        <f t="shared" si="7"/>
        <v>1.0370591476855255</v>
      </c>
      <c r="AA43" s="89">
        <f t="shared" si="7"/>
        <v>1.0370591476855255</v>
      </c>
      <c r="AB43" s="89">
        <f t="shared" si="7"/>
        <v>1.0370591476855255</v>
      </c>
      <c r="AC43" s="89">
        <f t="shared" si="7"/>
        <v>1.0370591476855255</v>
      </c>
      <c r="AD43" s="89">
        <f t="shared" si="7"/>
        <v>1.0439474650991918</v>
      </c>
      <c r="AE43" s="89">
        <f t="shared" si="7"/>
        <v>0</v>
      </c>
    </row>
    <row r="44" spans="2:31" ht="16.5">
      <c r="B44" s="82">
        <f t="shared" si="0"/>
        <v>58</v>
      </c>
      <c r="C44" s="83" t="str">
        <f t="shared" si="0"/>
        <v>Chapas metálicas</v>
      </c>
      <c r="D44" s="83"/>
      <c r="E44" s="83"/>
      <c r="F44" s="83"/>
      <c r="G44" s="83"/>
      <c r="H44" s="83"/>
      <c r="I44" s="83"/>
      <c r="J44" s="83"/>
      <c r="K44" s="83">
        <v>1</v>
      </c>
      <c r="L44" s="89">
        <f t="shared" ref="L44:AE44" si="8">+L31/$K$24</f>
        <v>1.0073860494509834</v>
      </c>
      <c r="M44" s="89">
        <f t="shared" si="8"/>
        <v>1.0078600205387471</v>
      </c>
      <c r="N44" s="89">
        <f t="shared" si="8"/>
        <v>1.0240540327040049</v>
      </c>
      <c r="O44" s="89">
        <f t="shared" si="8"/>
        <v>0.983884983016036</v>
      </c>
      <c r="P44" s="89">
        <f t="shared" si="8"/>
        <v>0.98080417094557215</v>
      </c>
      <c r="Q44" s="89">
        <f t="shared" si="8"/>
        <v>0.93850225136266685</v>
      </c>
      <c r="R44" s="89">
        <f t="shared" si="8"/>
        <v>0.9266134765779287</v>
      </c>
      <c r="S44" s="89">
        <f t="shared" si="8"/>
        <v>0.93249861758432739</v>
      </c>
      <c r="T44" s="89">
        <f t="shared" si="8"/>
        <v>0.91721305000394981</v>
      </c>
      <c r="U44" s="89">
        <f t="shared" si="8"/>
        <v>0.88711588593095814</v>
      </c>
      <c r="V44" s="89">
        <f t="shared" si="8"/>
        <v>0.88869578955683703</v>
      </c>
      <c r="W44" s="89">
        <f t="shared" si="8"/>
        <v>0.87862390394185952</v>
      </c>
      <c r="X44" s="89">
        <f t="shared" si="8"/>
        <v>0.90259894146457076</v>
      </c>
      <c r="Y44" s="89">
        <f t="shared" si="8"/>
        <v>0.90398135713721461</v>
      </c>
      <c r="Z44" s="89">
        <f t="shared" si="8"/>
        <v>0.89229007030571128</v>
      </c>
      <c r="AA44" s="89">
        <f t="shared" si="8"/>
        <v>0.90082154988545693</v>
      </c>
      <c r="AB44" s="89">
        <f t="shared" si="8"/>
        <v>0.91816099217947711</v>
      </c>
      <c r="AC44" s="89">
        <f t="shared" si="8"/>
        <v>0.90469231376886017</v>
      </c>
      <c r="AD44" s="89">
        <f t="shared" si="8"/>
        <v>0.95043052373805192</v>
      </c>
      <c r="AE44" s="89">
        <f t="shared" si="8"/>
        <v>0</v>
      </c>
    </row>
    <row r="45" spans="2:31" ht="16.5">
      <c r="B45" s="82">
        <f t="shared" si="0"/>
        <v>23</v>
      </c>
      <c r="C45" s="83" t="str">
        <f t="shared" si="0"/>
        <v>Arenas</v>
      </c>
      <c r="D45" s="83"/>
      <c r="E45" s="83"/>
      <c r="F45" s="83"/>
      <c r="G45" s="83"/>
      <c r="H45" s="83"/>
      <c r="I45" s="83"/>
      <c r="J45" s="83"/>
      <c r="K45" s="83">
        <v>1</v>
      </c>
      <c r="L45" s="89">
        <f t="shared" ref="L45:AE45" si="9">+L32/$K$24</f>
        <v>1</v>
      </c>
      <c r="M45" s="89">
        <f t="shared" si="9"/>
        <v>1.0822622107969151</v>
      </c>
      <c r="N45" s="89">
        <f t="shared" si="9"/>
        <v>1.1334273156978192</v>
      </c>
      <c r="O45" s="89">
        <f t="shared" si="9"/>
        <v>1.1821875777427646</v>
      </c>
      <c r="P45" s="89">
        <f t="shared" si="9"/>
        <v>1.2264698565386849</v>
      </c>
      <c r="Q45" s="89">
        <f t="shared" si="9"/>
        <v>1.2204162865909278</v>
      </c>
      <c r="R45" s="89">
        <f t="shared" si="9"/>
        <v>1.3058296707853054</v>
      </c>
      <c r="S45" s="89">
        <f t="shared" si="9"/>
        <v>1.3487851397296624</v>
      </c>
      <c r="T45" s="89">
        <f t="shared" si="9"/>
        <v>1.3695994692760594</v>
      </c>
      <c r="U45" s="89">
        <f t="shared" si="9"/>
        <v>1.4703540923791361</v>
      </c>
      <c r="V45" s="89">
        <f t="shared" si="9"/>
        <v>1.5636454100671697</v>
      </c>
      <c r="W45" s="89">
        <f t="shared" si="9"/>
        <v>1.5773281366614149</v>
      </c>
      <c r="X45" s="89">
        <f t="shared" si="9"/>
        <v>1.535118998258562</v>
      </c>
      <c r="Y45" s="89">
        <f t="shared" si="9"/>
        <v>1.6578489095281528</v>
      </c>
      <c r="Z45" s="89">
        <f t="shared" si="9"/>
        <v>1.716394394228377</v>
      </c>
      <c r="AA45" s="89">
        <f t="shared" si="9"/>
        <v>1.8070320922132845</v>
      </c>
      <c r="AB45" s="89">
        <f t="shared" si="9"/>
        <v>1.8589435276556927</v>
      </c>
      <c r="AC45" s="89">
        <f t="shared" si="9"/>
        <v>1.8589435276556927</v>
      </c>
      <c r="AD45" s="89">
        <f t="shared" si="9"/>
        <v>1.8667385355336266</v>
      </c>
      <c r="AE45" s="89">
        <f t="shared" si="9"/>
        <v>0</v>
      </c>
    </row>
    <row r="46" spans="2:31" ht="16.5">
      <c r="B46" s="82">
        <f t="shared" si="0"/>
        <v>77</v>
      </c>
      <c r="C46" s="83" t="str">
        <f t="shared" si="0"/>
        <v>Ladrillo cerámico hueco</v>
      </c>
      <c r="D46" s="83"/>
      <c r="E46" s="83"/>
      <c r="F46" s="83"/>
      <c r="G46" s="83"/>
      <c r="H46" s="83"/>
      <c r="I46" s="83"/>
      <c r="J46" s="83"/>
      <c r="K46" s="83">
        <v>1</v>
      </c>
      <c r="L46" s="89">
        <f t="shared" ref="L46:AE46" si="10">+L33/$K$24</f>
        <v>0.96811819595645421</v>
      </c>
      <c r="M46" s="89">
        <f t="shared" si="10"/>
        <v>0.98211508553654747</v>
      </c>
      <c r="N46" s="89">
        <f t="shared" si="10"/>
        <v>0.9906687402799379</v>
      </c>
      <c r="O46" s="89">
        <f t="shared" si="10"/>
        <v>0.97356143079315716</v>
      </c>
      <c r="P46" s="89">
        <f t="shared" si="10"/>
        <v>0.96811819595645421</v>
      </c>
      <c r="Q46" s="89">
        <f t="shared" si="10"/>
        <v>0.96034214618973568</v>
      </c>
      <c r="R46" s="89">
        <f t="shared" si="10"/>
        <v>0.96189735614307936</v>
      </c>
      <c r="S46" s="89">
        <f t="shared" si="10"/>
        <v>0.96578538102643863</v>
      </c>
      <c r="T46" s="89">
        <f t="shared" si="10"/>
        <v>0.96423017107309494</v>
      </c>
      <c r="U46" s="89">
        <f t="shared" si="10"/>
        <v>0.97744945567651642</v>
      </c>
      <c r="V46" s="89">
        <f t="shared" si="10"/>
        <v>0.97356143079315716</v>
      </c>
      <c r="W46" s="89">
        <f t="shared" si="10"/>
        <v>0.99688958009331263</v>
      </c>
      <c r="X46" s="89">
        <f t="shared" si="10"/>
        <v>1.0287713841368586</v>
      </c>
      <c r="Y46" s="89">
        <f t="shared" si="10"/>
        <v>1.1135303265940901</v>
      </c>
      <c r="Z46" s="89">
        <f t="shared" si="10"/>
        <v>1.0995334370139971</v>
      </c>
      <c r="AA46" s="89">
        <f t="shared" si="10"/>
        <v>1.3211508553654745</v>
      </c>
      <c r="AB46" s="89">
        <f t="shared" si="10"/>
        <v>1.4766718506998446</v>
      </c>
      <c r="AC46" s="89">
        <f t="shared" si="10"/>
        <v>1.5287713841368586</v>
      </c>
      <c r="AD46" s="89">
        <f t="shared" si="10"/>
        <v>1.5808709175738727</v>
      </c>
      <c r="AE46" s="89">
        <f t="shared" si="10"/>
        <v>0</v>
      </c>
    </row>
    <row r="47" spans="2:31" ht="16.5">
      <c r="B47" s="82">
        <f t="shared" si="0"/>
        <v>1</v>
      </c>
      <c r="C47" s="83" t="str">
        <f t="shared" si="0"/>
        <v>Jornal Categoría Ayudante, Zona "A" C.C. 76/75</v>
      </c>
      <c r="D47" s="83"/>
      <c r="E47" s="83"/>
      <c r="F47" s="83"/>
      <c r="G47" s="83"/>
      <c r="H47" s="83"/>
      <c r="I47" s="83"/>
      <c r="J47" s="83"/>
      <c r="K47" s="83">
        <v>1</v>
      </c>
      <c r="L47" s="89">
        <f t="shared" ref="L47:AE47" si="11">+L34/$K$24</f>
        <v>1</v>
      </c>
      <c r="M47" s="89">
        <f t="shared" si="11"/>
        <v>1</v>
      </c>
      <c r="N47" s="89">
        <f t="shared" si="11"/>
        <v>1</v>
      </c>
      <c r="O47" s="89">
        <f t="shared" si="11"/>
        <v>1</v>
      </c>
      <c r="P47" s="89">
        <f t="shared" si="11"/>
        <v>1</v>
      </c>
      <c r="Q47" s="89">
        <f t="shared" si="11"/>
        <v>1</v>
      </c>
      <c r="R47" s="89">
        <f t="shared" si="11"/>
        <v>1</v>
      </c>
      <c r="S47" s="89">
        <f t="shared" si="11"/>
        <v>1</v>
      </c>
      <c r="T47" s="89">
        <f t="shared" si="11"/>
        <v>1</v>
      </c>
      <c r="U47" s="89">
        <f t="shared" si="11"/>
        <v>1</v>
      </c>
      <c r="V47" s="89">
        <f t="shared" si="11"/>
        <v>1</v>
      </c>
      <c r="W47" s="89">
        <f t="shared" si="11"/>
        <v>1.2136752136752136</v>
      </c>
      <c r="X47" s="89">
        <f t="shared" si="11"/>
        <v>1.2623931623931626</v>
      </c>
      <c r="Y47" s="89">
        <f t="shared" si="11"/>
        <v>1.382051282051282</v>
      </c>
      <c r="Z47" s="89">
        <f t="shared" si="11"/>
        <v>1.5179487179487183</v>
      </c>
      <c r="AA47" s="89">
        <f t="shared" si="11"/>
        <v>1.653846153846154</v>
      </c>
      <c r="AB47" s="89">
        <f t="shared" si="11"/>
        <v>1.7905982905982909</v>
      </c>
      <c r="AC47" s="89">
        <f t="shared" si="11"/>
        <v>1.9264957264957265</v>
      </c>
      <c r="AD47" s="89">
        <f t="shared" si="11"/>
        <v>2.0623931623931622</v>
      </c>
      <c r="AE47" s="89">
        <f t="shared" si="11"/>
        <v>0</v>
      </c>
    </row>
    <row r="48" spans="2:31" ht="16.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3:31"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3:31">
      <c r="S50" s="15"/>
    </row>
    <row r="51" spans="3:31">
      <c r="S51" s="88"/>
    </row>
    <row r="52" spans="3:31">
      <c r="S52" s="88"/>
    </row>
    <row r="53" spans="3:31">
      <c r="S53" s="88"/>
    </row>
    <row r="54" spans="3:31">
      <c r="S54" s="88"/>
    </row>
    <row r="55" spans="3:31">
      <c r="S55" s="88"/>
    </row>
    <row r="56" spans="3:31">
      <c r="S56" s="88"/>
    </row>
    <row r="57" spans="3:31">
      <c r="S57" s="88"/>
    </row>
    <row r="58" spans="3:31">
      <c r="S58" s="88"/>
    </row>
    <row r="59" spans="3:31">
      <c r="S59" s="88"/>
    </row>
    <row r="60" spans="3:31">
      <c r="S60" s="88"/>
    </row>
    <row r="61" spans="3:31">
      <c r="S61" s="88"/>
    </row>
    <row r="62" spans="3:31">
      <c r="S62" s="88"/>
    </row>
    <row r="63" spans="3:31">
      <c r="S63" s="88"/>
    </row>
    <row r="64" spans="3:31">
      <c r="S64" s="88"/>
    </row>
    <row r="65" spans="19:19">
      <c r="S65" s="88"/>
    </row>
    <row r="66" spans="19:19">
      <c r="S66" s="15"/>
    </row>
    <row r="67" spans="19:19">
      <c r="S67" s="88"/>
    </row>
    <row r="68" spans="19:19">
      <c r="S68" s="15"/>
    </row>
    <row r="69" spans="19:19">
      <c r="S69" s="15"/>
    </row>
    <row r="70" spans="19:19">
      <c r="S70" s="15"/>
    </row>
    <row r="71" spans="19:19">
      <c r="S71" s="90"/>
    </row>
    <row r="72" spans="19:19">
      <c r="S72" s="88"/>
    </row>
    <row r="73" spans="19:19">
      <c r="S73" s="88"/>
    </row>
    <row r="74" spans="19:19">
      <c r="S74" s="15"/>
    </row>
    <row r="75" spans="19:19">
      <c r="S75" s="15"/>
    </row>
    <row r="76" spans="19:19">
      <c r="S76" s="15"/>
    </row>
    <row r="77" spans="19:19">
      <c r="S77" s="15"/>
    </row>
    <row r="78" spans="19:19">
      <c r="S78" s="88"/>
    </row>
    <row r="79" spans="19:19">
      <c r="S79" s="15"/>
    </row>
    <row r="80" spans="19:19">
      <c r="S80" s="88"/>
    </row>
    <row r="81" spans="19:19">
      <c r="S81" s="15"/>
    </row>
    <row r="82" spans="19:19">
      <c r="S82" s="88"/>
    </row>
    <row r="83" spans="19:19">
      <c r="S83" s="15"/>
    </row>
    <row r="84" spans="19:19">
      <c r="S84" s="88"/>
    </row>
    <row r="85" spans="19:19">
      <c r="S85" s="15"/>
    </row>
    <row r="86" spans="19:19">
      <c r="S86" s="15"/>
    </row>
    <row r="87" spans="19:19">
      <c r="S87" s="15"/>
    </row>
    <row r="88" spans="19:19">
      <c r="S88" s="88"/>
    </row>
    <row r="89" spans="19:19">
      <c r="S89" s="90"/>
    </row>
    <row r="90" spans="19:19">
      <c r="S90" s="15"/>
    </row>
    <row r="91" spans="19:19">
      <c r="S91" s="88"/>
    </row>
    <row r="92" spans="19:19">
      <c r="S92" s="88"/>
    </row>
    <row r="93" spans="19:19">
      <c r="S93" s="88"/>
    </row>
    <row r="94" spans="19:19">
      <c r="S94" s="88"/>
    </row>
    <row r="95" spans="19:19">
      <c r="S95" s="88"/>
    </row>
    <row r="96" spans="19:19">
      <c r="S96" s="88"/>
    </row>
    <row r="97" spans="19:19">
      <c r="S97" s="88"/>
    </row>
    <row r="98" spans="19:19">
      <c r="S98" s="88"/>
    </row>
    <row r="99" spans="19:19">
      <c r="S99" s="88"/>
    </row>
    <row r="100" spans="19:19">
      <c r="S100" s="15"/>
    </row>
    <row r="101" spans="19:19">
      <c r="S101" s="15"/>
    </row>
    <row r="102" spans="19:19">
      <c r="S102" s="90"/>
    </row>
    <row r="103" spans="19:19">
      <c r="S103" s="15"/>
    </row>
    <row r="104" spans="19:19">
      <c r="S104" s="15"/>
    </row>
    <row r="105" spans="19:19">
      <c r="S105" s="15"/>
    </row>
    <row r="106" spans="19:19">
      <c r="S106" s="15"/>
    </row>
    <row r="107" spans="19:19">
      <c r="S107" s="90"/>
    </row>
    <row r="108" spans="19:19">
      <c r="S108" s="15"/>
    </row>
    <row r="109" spans="19:19">
      <c r="S109" s="88"/>
    </row>
    <row r="110" spans="19:19">
      <c r="S110" s="88"/>
    </row>
    <row r="111" spans="19:19">
      <c r="S111" s="88"/>
    </row>
    <row r="112" spans="19:19">
      <c r="S112" s="90"/>
    </row>
    <row r="113" spans="19:19">
      <c r="S113" s="15"/>
    </row>
    <row r="114" spans="19:19">
      <c r="S114" s="15"/>
    </row>
    <row r="115" spans="19:19">
      <c r="S115" s="88"/>
    </row>
    <row r="116" spans="19:19">
      <c r="S116" s="15"/>
    </row>
    <row r="117" spans="19:19">
      <c r="S117" s="15"/>
    </row>
    <row r="118" spans="19:19">
      <c r="S118" s="88"/>
    </row>
    <row r="119" spans="19:19">
      <c r="S119" s="88"/>
    </row>
    <row r="120" spans="19:19">
      <c r="S120" s="15"/>
    </row>
    <row r="121" spans="19:19">
      <c r="S121" s="88"/>
    </row>
    <row r="122" spans="19:19">
      <c r="S122" s="88"/>
    </row>
    <row r="123" spans="19:19">
      <c r="S123" s="88"/>
    </row>
    <row r="124" spans="19:19">
      <c r="S124" s="15"/>
    </row>
    <row r="125" spans="19:19">
      <c r="S125" s="88"/>
    </row>
    <row r="126" spans="19:19">
      <c r="S126" s="88"/>
    </row>
    <row r="127" spans="19:19">
      <c r="S127" s="88"/>
    </row>
    <row r="128" spans="19:19">
      <c r="S128" s="88"/>
    </row>
    <row r="129" spans="19:19">
      <c r="S129" s="90"/>
    </row>
    <row r="130" spans="19:19">
      <c r="S130" s="15"/>
    </row>
    <row r="131" spans="19:19">
      <c r="S131" s="15"/>
    </row>
    <row r="132" spans="19:19">
      <c r="S132" s="90"/>
    </row>
    <row r="133" spans="19:19">
      <c r="S133" s="88"/>
    </row>
    <row r="134" spans="19:19">
      <c r="S134" s="15"/>
    </row>
    <row r="135" spans="19:19">
      <c r="S135" s="15"/>
    </row>
    <row r="136" spans="19:19">
      <c r="S136" s="15"/>
    </row>
    <row r="137" spans="19:19">
      <c r="S137" s="90"/>
    </row>
    <row r="138" spans="19:19">
      <c r="S138" s="15"/>
    </row>
    <row r="139" spans="19:19">
      <c r="S139" s="90"/>
    </row>
    <row r="140" spans="19:19">
      <c r="S140" s="88"/>
    </row>
    <row r="141" spans="19:19">
      <c r="S141" s="15"/>
    </row>
    <row r="142" spans="19:19">
      <c r="S142" s="88"/>
    </row>
    <row r="143" spans="19:19">
      <c r="S143" s="88"/>
    </row>
    <row r="144" spans="19:19">
      <c r="S144" s="88"/>
    </row>
    <row r="145" spans="19:19">
      <c r="S145" s="88"/>
    </row>
    <row r="146" spans="19:19">
      <c r="S146" s="88"/>
    </row>
    <row r="147" spans="19:19">
      <c r="S147" s="20"/>
    </row>
    <row r="148" spans="19:19">
      <c r="S148" s="15"/>
    </row>
    <row r="149" spans="19:19">
      <c r="S149" s="15"/>
    </row>
    <row r="150" spans="19:19">
      <c r="S150" s="15"/>
    </row>
    <row r="151" spans="19:19">
      <c r="S151" s="15"/>
    </row>
    <row r="152" spans="19:19">
      <c r="S152" s="20"/>
    </row>
    <row r="153" spans="19:19">
      <c r="S153" s="15"/>
    </row>
    <row r="154" spans="19:19">
      <c r="S154" s="15"/>
    </row>
    <row r="155" spans="19:19">
      <c r="S155" s="15"/>
    </row>
    <row r="156" spans="19:19">
      <c r="S156" s="15"/>
    </row>
    <row r="157" spans="19:19">
      <c r="S157" s="15"/>
    </row>
    <row r="158" spans="19:19">
      <c r="S158" s="15"/>
    </row>
    <row r="159" spans="19:19">
      <c r="S159" s="88"/>
    </row>
    <row r="160" spans="19:19">
      <c r="S160" s="88"/>
    </row>
    <row r="161" spans="19:19">
      <c r="S161" s="15"/>
    </row>
    <row r="162" spans="19:19">
      <c r="S162" s="15"/>
    </row>
    <row r="163" spans="19:19">
      <c r="S163" s="15"/>
    </row>
    <row r="164" spans="19:19">
      <c r="S164" s="20"/>
    </row>
    <row r="165" spans="19:19">
      <c r="S165" s="15"/>
    </row>
    <row r="166" spans="19:19">
      <c r="S166" s="15"/>
    </row>
    <row r="167" spans="19:19">
      <c r="S167" s="15"/>
    </row>
    <row r="168" spans="19:19">
      <c r="S168" s="15"/>
    </row>
    <row r="169" spans="19:19">
      <c r="S169" s="20"/>
    </row>
    <row r="170" spans="19:19">
      <c r="S170" s="91"/>
    </row>
    <row r="171" spans="19:19">
      <c r="S171" s="20"/>
    </row>
    <row r="172" spans="19:19">
      <c r="S172" s="15"/>
    </row>
    <row r="173" spans="19:19">
      <c r="S173" s="15"/>
    </row>
    <row r="174" spans="19:19">
      <c r="S174" s="10"/>
    </row>
    <row r="175" spans="19:19">
      <c r="S175" s="20"/>
    </row>
    <row r="176" spans="19:19">
      <c r="S176" s="91"/>
    </row>
    <row r="177" spans="19:19">
      <c r="S177" s="91"/>
    </row>
    <row r="178" spans="19:19">
      <c r="S178" s="91"/>
    </row>
    <row r="179" spans="19:19">
      <c r="S179" s="91"/>
    </row>
    <row r="180" spans="19:19">
      <c r="S180" s="20"/>
    </row>
    <row r="181" spans="19:19">
      <c r="S181" s="20"/>
    </row>
    <row r="182" spans="19:19">
      <c r="S182" s="20"/>
    </row>
    <row r="183" spans="19:19">
      <c r="S183" s="20"/>
    </row>
    <row r="184" spans="19:19">
      <c r="S184" s="20"/>
    </row>
    <row r="185" spans="19:19">
      <c r="S185" s="88"/>
    </row>
    <row r="186" spans="19:19">
      <c r="S186" s="88"/>
    </row>
    <row r="187" spans="19:19">
      <c r="S187" s="88"/>
    </row>
    <row r="188" spans="19:19">
      <c r="S188" s="15"/>
    </row>
    <row r="189" spans="19:19">
      <c r="S189" s="88"/>
    </row>
    <row r="190" spans="19:19">
      <c r="S190" s="20"/>
    </row>
    <row r="191" spans="19:19">
      <c r="S191" s="20"/>
    </row>
    <row r="192" spans="19:19">
      <c r="S192" s="20"/>
    </row>
    <row r="193" spans="19:19">
      <c r="S193" s="20"/>
    </row>
    <row r="194" spans="19:19">
      <c r="S194" s="20"/>
    </row>
    <row r="195" spans="19:19">
      <c r="S195" s="20"/>
    </row>
    <row r="196" spans="19:19">
      <c r="S196" s="20"/>
    </row>
    <row r="197" spans="19:19">
      <c r="S197" s="20"/>
    </row>
    <row r="198" spans="19:19">
      <c r="S198" s="20"/>
    </row>
    <row r="199" spans="19:19">
      <c r="S199" s="20"/>
    </row>
    <row r="200" spans="19:19">
      <c r="S200" s="20"/>
    </row>
    <row r="201" spans="19:19">
      <c r="S201" s="20"/>
    </row>
    <row r="202" spans="19:19">
      <c r="S202" s="20"/>
    </row>
    <row r="203" spans="19:19">
      <c r="S203" s="20"/>
    </row>
    <row r="204" spans="19:19">
      <c r="S204" s="20"/>
    </row>
    <row r="205" spans="19:19">
      <c r="S205" s="20"/>
    </row>
    <row r="206" spans="19:19">
      <c r="S206" s="20"/>
    </row>
    <row r="207" spans="19:19">
      <c r="S207" s="20"/>
    </row>
    <row r="208" spans="19:19">
      <c r="S208" s="20"/>
    </row>
    <row r="209" spans="19:19">
      <c r="S209" s="20"/>
    </row>
    <row r="210" spans="19:19">
      <c r="S210" s="20"/>
    </row>
    <row r="211" spans="19:19">
      <c r="S211" s="20"/>
    </row>
    <row r="212" spans="19:19">
      <c r="S212" s="20"/>
    </row>
    <row r="213" spans="19:19">
      <c r="S213" s="20"/>
    </row>
    <row r="214" spans="19:19">
      <c r="S214" s="20"/>
    </row>
    <row r="215" spans="19:19">
      <c r="S215" s="91"/>
    </row>
    <row r="216" spans="19:19">
      <c r="S216" s="91"/>
    </row>
    <row r="217" spans="19:19">
      <c r="S217" s="91"/>
    </row>
    <row r="218" spans="19:19">
      <c r="S218" s="91"/>
    </row>
    <row r="219" spans="19:19">
      <c r="S219" s="91"/>
    </row>
    <row r="220" spans="19:19">
      <c r="S220" s="91"/>
    </row>
    <row r="221" spans="19:19">
      <c r="S221" s="91"/>
    </row>
    <row r="222" spans="19:19">
      <c r="S222" s="91"/>
    </row>
    <row r="223" spans="19:19">
      <c r="S223" s="91"/>
    </row>
    <row r="224" spans="19:19">
      <c r="S224" s="91"/>
    </row>
    <row r="225" spans="19:19">
      <c r="S225" s="91"/>
    </row>
  </sheetData>
  <mergeCells count="4">
    <mergeCell ref="E6:P6"/>
    <mergeCell ref="Q6:AB6"/>
    <mergeCell ref="AC6:AN6"/>
    <mergeCell ref="AO6:AZ6"/>
  </mergeCells>
  <phoneticPr fontId="0" type="noConversion"/>
  <hyperlinks>
    <hyperlink ref="D116" r:id="rId1" display="A:\english\default.asp"/>
    <hyperlink ref="E116" r:id="rId2" display="A:\mapa\mapae.asp"/>
    <hyperlink ref="F116" r:id="rId3" display="A:\comunes\aviso.asp"/>
  </hyperlinks>
  <printOptions horizontalCentered="1"/>
  <pageMargins left="0.39370078740157483" right="0.39370078740157483" top="1.1811023622047245" bottom="0.98425196850393704" header="0.78740157480314965" footer="0.39370078740157483"/>
  <pageSetup paperSize="5" fitToHeight="0" orientation="landscape" horizontalDpi="300" verticalDpi="300" r:id="rId4"/>
  <headerFooter alignWithMargins="0">
    <oddHeader>&amp;L&amp;11SECRETARÍA DE ESTADO    DE OBRAS PÚBLICASPROVINCIA DE TUCUMÁN&amp;C&amp;11COMISIÓN PERMANENTE DE ENCUESTA Y SEGUIMIENTO DE PRECIOSREDETERMINACIÓN DE PRECIOS s/DECRETO ACUERDO Nº 23/3(S.O.)-2002  y  Res. Nº 795/3(S.O.)</oddHeader>
    <oddFooter>&amp;L&amp;"Arial Narrow,Normal"(*) = Fuente INDEC(#) = Valores Provisorios: IPIB-Mdd Ago-02 a Ene-03--IPIB Oct-02 a Ene-03 -- &amp;"Arial,Normal" &amp;C&amp;"Arial Narrow,Cursiva"&amp;14Página &amp;P de 17&amp;10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S443"/>
  <sheetViews>
    <sheetView showGridLines="0" view="pageBreakPreview" topLeftCell="AH1" zoomScale="75" zoomScaleNormal="75" zoomScaleSheetLayoutView="75" workbookViewId="0">
      <selection activeCell="CS19" sqref="CS19"/>
    </sheetView>
  </sheetViews>
  <sheetFormatPr baseColWidth="10" defaultColWidth="11.42578125" defaultRowHeight="20.25"/>
  <cols>
    <col min="1" max="1" width="4.7109375" style="1" customWidth="1"/>
    <col min="2" max="2" width="6.85546875" style="61" customWidth="1"/>
    <col min="3" max="3" width="16.28515625" style="61" customWidth="1"/>
    <col min="4" max="4" width="60.7109375" style="61" customWidth="1"/>
    <col min="5" max="6" width="7.42578125" style="61" customWidth="1"/>
    <col min="7" max="7" width="20.5703125" style="61" customWidth="1"/>
    <col min="8" max="8" width="5.28515625" style="61" customWidth="1"/>
    <col min="9" max="9" width="30.5703125" style="152" customWidth="1"/>
    <col min="10" max="10" width="21.28515625" style="152" customWidth="1"/>
    <col min="11" max="11" width="9.28515625" style="100" customWidth="1"/>
    <col min="12" max="12" width="9.42578125" style="100" customWidth="1"/>
    <col min="13" max="13" width="9.140625" style="100" customWidth="1"/>
    <col min="14" max="16" width="8.5703125" style="100" customWidth="1"/>
    <col min="17" max="17" width="9" style="100" customWidth="1"/>
    <col min="18" max="19" width="8.5703125" style="100" customWidth="1"/>
    <col min="20" max="20" width="8.85546875" style="100" customWidth="1"/>
    <col min="21" max="21" width="9.7109375" style="100" customWidth="1"/>
    <col min="22" max="23" width="9.7109375" style="101" customWidth="1"/>
    <col min="24" max="24" width="10.140625" style="61" customWidth="1"/>
    <col min="25" max="25" width="10.5703125" style="61" customWidth="1"/>
    <col min="26" max="28" width="9.7109375" style="61" customWidth="1"/>
    <col min="29" max="29" width="10.140625" style="61" customWidth="1"/>
    <col min="30" max="30" width="9.85546875" style="61" customWidth="1"/>
    <col min="31" max="31" width="10.140625" style="61" customWidth="1"/>
    <col min="32" max="32" width="9.85546875" style="61" customWidth="1"/>
    <col min="33" max="34" width="10.140625" style="61" customWidth="1"/>
    <col min="35" max="35" width="9.85546875" style="102" customWidth="1"/>
    <col min="36" max="36" width="10.42578125" style="61" customWidth="1"/>
    <col min="37" max="37" width="10.28515625" style="61" customWidth="1"/>
    <col min="38" max="38" width="10.140625" style="61" customWidth="1"/>
    <col min="39" max="40" width="9.85546875" style="61" customWidth="1"/>
    <col min="41" max="41" width="10.5703125" style="61" customWidth="1"/>
    <col min="42" max="42" width="10.7109375" style="102" customWidth="1"/>
    <col min="43" max="43" width="9.7109375" style="61" customWidth="1"/>
    <col min="44" max="44" width="9.85546875" style="61" customWidth="1"/>
    <col min="45" max="45" width="10.42578125" style="61" customWidth="1"/>
    <col min="46" max="46" width="10" style="61" customWidth="1"/>
    <col min="47" max="47" width="10.28515625" style="61" customWidth="1"/>
    <col min="48" max="48" width="9.7109375" style="61" customWidth="1"/>
    <col min="49" max="49" width="10.140625" style="61" customWidth="1"/>
    <col min="50" max="50" width="10.5703125" style="61" customWidth="1"/>
    <col min="51" max="51" width="9.7109375" style="102" customWidth="1"/>
    <col min="52" max="52" width="11.28515625" style="102" customWidth="1"/>
    <col min="53" max="53" width="11.5703125" style="102" customWidth="1"/>
    <col min="54" max="54" width="11" style="102" customWidth="1"/>
    <col min="55" max="55" width="11" style="103" customWidth="1"/>
    <col min="56" max="56" width="11.140625" style="102" customWidth="1"/>
    <col min="57" max="57" width="11.28515625" style="103" customWidth="1"/>
    <col min="58" max="58" width="10.85546875" style="103" customWidth="1"/>
    <col min="59" max="59" width="11" style="103" customWidth="1"/>
    <col min="60" max="61" width="11.140625" style="103" customWidth="1"/>
    <col min="62" max="62" width="11" style="103" customWidth="1"/>
    <col min="63" max="65" width="11.7109375" style="103" customWidth="1"/>
    <col min="66" max="66" width="10.7109375" style="103" customWidth="1"/>
    <col min="67" max="69" width="11.7109375" style="103" customWidth="1"/>
    <col min="70" max="70" width="9.85546875" style="103" customWidth="1"/>
    <col min="71" max="83" width="10.140625" style="103" customWidth="1"/>
    <col min="84" max="84" width="9.7109375" style="103" customWidth="1"/>
    <col min="85" max="85" width="10.42578125" style="103" customWidth="1"/>
    <col min="86" max="86" width="10.28515625" style="103" customWidth="1"/>
    <col min="87" max="87" width="10.140625" style="103" customWidth="1"/>
    <col min="88" max="88" width="10.28515625" style="103" customWidth="1"/>
    <col min="89" max="89" width="10.7109375" style="103" customWidth="1"/>
    <col min="90" max="90" width="10.28515625" style="103" customWidth="1"/>
    <col min="91" max="91" width="10.7109375" style="103" customWidth="1"/>
    <col min="92" max="93" width="10.28515625" style="103" customWidth="1"/>
    <col min="94" max="94" width="10.42578125" style="103" customWidth="1"/>
    <col min="95" max="95" width="10.85546875" style="103" customWidth="1"/>
    <col min="96" max="96" width="9.42578125" style="103" customWidth="1"/>
    <col min="97" max="97" width="9.85546875" style="103" customWidth="1"/>
    <col min="98" max="98" width="10" style="103" customWidth="1"/>
    <col min="99" max="99" width="9.85546875" style="103" customWidth="1"/>
    <col min="100" max="100" width="10" style="103" customWidth="1"/>
    <col min="101" max="101" width="10.140625" style="103" customWidth="1"/>
    <col min="102" max="107" width="10.42578125" style="103" customWidth="1"/>
    <col min="108" max="108" width="9.7109375" style="103" customWidth="1"/>
    <col min="109" max="109" width="10.42578125" style="103" customWidth="1"/>
    <col min="110" max="111" width="10" style="103" customWidth="1"/>
    <col min="112" max="112" width="10.140625" style="103" customWidth="1"/>
    <col min="113" max="113" width="10" style="103" customWidth="1"/>
    <col min="114" max="116" width="10.42578125" style="103" customWidth="1"/>
    <col min="117" max="117" width="12" style="92" customWidth="1"/>
    <col min="118" max="118" width="12.5703125" style="92" customWidth="1"/>
    <col min="119" max="119" width="12" style="92" customWidth="1"/>
    <col min="120" max="120" width="16.42578125" style="1" bestFit="1" customWidth="1"/>
    <col min="121" max="121" width="13" style="1" bestFit="1" customWidth="1"/>
    <col min="122" max="16384" width="11.42578125" style="1"/>
  </cols>
  <sheetData>
    <row r="1" spans="1:123" ht="21" thickBot="1"/>
    <row r="2" spans="1:123" ht="25.5" customHeight="1" thickBot="1">
      <c r="A2" s="820"/>
      <c r="B2" s="2988" t="s">
        <v>206</v>
      </c>
      <c r="C2" s="2989"/>
      <c r="D2" s="2989"/>
      <c r="E2" s="2989"/>
      <c r="F2" s="2989"/>
      <c r="G2" s="2989"/>
      <c r="H2" s="2989"/>
      <c r="I2" s="2989"/>
      <c r="J2" s="2989"/>
      <c r="K2" s="2989"/>
      <c r="L2" s="2989"/>
      <c r="M2" s="2989"/>
      <c r="N2" s="2989"/>
      <c r="O2" s="2989"/>
      <c r="P2" s="2989"/>
      <c r="Q2" s="2989"/>
      <c r="R2" s="2989"/>
      <c r="S2" s="2989"/>
      <c r="T2" s="2989"/>
      <c r="U2" s="2989"/>
      <c r="V2" s="2989"/>
      <c r="W2" s="2989"/>
      <c r="X2" s="2989"/>
      <c r="Y2" s="2989"/>
      <c r="Z2" s="2989"/>
      <c r="AA2" s="2989"/>
      <c r="AB2" s="2989"/>
      <c r="AC2" s="2989"/>
      <c r="AD2" s="2989"/>
      <c r="AE2" s="2989"/>
      <c r="AF2" s="2989"/>
      <c r="AG2" s="2989"/>
      <c r="AH2" s="2989"/>
      <c r="AI2" s="2989"/>
      <c r="AJ2" s="2989"/>
      <c r="AK2" s="2989"/>
      <c r="AL2" s="2989"/>
      <c r="AM2" s="2989"/>
      <c r="AN2" s="2989"/>
      <c r="AO2" s="2989"/>
      <c r="AP2" s="2989"/>
      <c r="AQ2" s="2989"/>
      <c r="AR2" s="2989"/>
      <c r="AS2" s="2989"/>
      <c r="AT2" s="2989"/>
      <c r="AU2" s="2989"/>
      <c r="AV2" s="2989"/>
      <c r="AW2" s="2989"/>
      <c r="AX2" s="2989"/>
      <c r="AY2" s="2989"/>
      <c r="AZ2" s="2989"/>
      <c r="BA2" s="2989"/>
      <c r="BB2" s="2989"/>
      <c r="BC2" s="2989"/>
      <c r="BD2" s="2989"/>
      <c r="BE2" s="2989"/>
      <c r="BF2" s="2989"/>
      <c r="BG2" s="2989"/>
      <c r="BH2" s="2989"/>
      <c r="BI2" s="2989"/>
      <c r="BJ2" s="2989"/>
      <c r="BK2" s="2989"/>
      <c r="BL2" s="2989"/>
      <c r="BM2" s="2989"/>
      <c r="BN2" s="2989"/>
      <c r="BO2" s="2989"/>
      <c r="BP2" s="2989"/>
      <c r="BQ2" s="2989"/>
      <c r="BR2" s="2989"/>
      <c r="BS2" s="2989"/>
      <c r="BT2" s="2989"/>
      <c r="BU2" s="2989"/>
      <c r="BV2" s="2989"/>
      <c r="BW2" s="2989"/>
      <c r="BX2" s="2989"/>
      <c r="BY2" s="2989"/>
      <c r="BZ2" s="2989"/>
      <c r="CA2" s="2989"/>
      <c r="CB2" s="2989"/>
      <c r="CC2" s="2989"/>
      <c r="CD2" s="2989"/>
      <c r="CE2" s="2989"/>
      <c r="CF2" s="2989"/>
      <c r="CG2" s="2989"/>
      <c r="CH2" s="2989"/>
      <c r="CI2" s="2989"/>
      <c r="CJ2" s="2989"/>
      <c r="CK2" s="2989"/>
      <c r="CL2" s="2989"/>
      <c r="CM2" s="2989"/>
      <c r="CN2" s="2989"/>
      <c r="CO2" s="2989"/>
      <c r="CP2" s="2989"/>
      <c r="CQ2" s="2989"/>
      <c r="CR2" s="2989"/>
      <c r="CS2" s="2989"/>
      <c r="CT2" s="2989"/>
      <c r="CU2" s="2989"/>
      <c r="CV2" s="2989"/>
      <c r="CW2" s="2989"/>
      <c r="CX2" s="2989"/>
      <c r="CY2" s="2989"/>
      <c r="CZ2" s="2989"/>
      <c r="DA2" s="2989"/>
      <c r="DB2" s="2989"/>
      <c r="DC2" s="2989"/>
      <c r="DD2" s="796"/>
      <c r="DE2" s="796"/>
      <c r="DF2" s="796"/>
      <c r="DG2" s="796"/>
      <c r="DH2" s="796"/>
      <c r="DI2" s="796"/>
      <c r="DJ2" s="796"/>
      <c r="DK2" s="796"/>
      <c r="DL2" s="873"/>
      <c r="DM2" s="833"/>
      <c r="DN2" s="94"/>
      <c r="DO2" s="94"/>
      <c r="DP2" s="59"/>
      <c r="DQ2" s="59"/>
      <c r="DR2" s="59"/>
      <c r="DS2" s="59"/>
    </row>
    <row r="3" spans="1:123" ht="18" customHeight="1" thickBot="1">
      <c r="A3" s="62"/>
      <c r="B3" s="2892" t="s">
        <v>479</v>
      </c>
      <c r="C3" s="2893"/>
      <c r="D3" s="2897" t="s">
        <v>894</v>
      </c>
      <c r="E3" s="2897" t="s">
        <v>895</v>
      </c>
      <c r="F3" s="2897" t="s">
        <v>480</v>
      </c>
      <c r="G3" s="2897" t="s">
        <v>896</v>
      </c>
      <c r="H3" s="2909" t="s">
        <v>897</v>
      </c>
      <c r="I3" s="2902" t="s">
        <v>898</v>
      </c>
      <c r="J3" s="2904" t="s">
        <v>899</v>
      </c>
      <c r="K3" s="841">
        <v>2001</v>
      </c>
      <c r="L3" s="2906">
        <v>2002</v>
      </c>
      <c r="M3" s="2907"/>
      <c r="N3" s="2907"/>
      <c r="O3" s="2907"/>
      <c r="P3" s="2907"/>
      <c r="Q3" s="2907"/>
      <c r="R3" s="2907"/>
      <c r="S3" s="2907"/>
      <c r="T3" s="2907"/>
      <c r="U3" s="2907"/>
      <c r="V3" s="2907"/>
      <c r="W3" s="2908"/>
      <c r="X3" s="2899">
        <v>2003</v>
      </c>
      <c r="Y3" s="2900"/>
      <c r="Z3" s="2900"/>
      <c r="AA3" s="2900"/>
      <c r="AB3" s="2900"/>
      <c r="AC3" s="2900"/>
      <c r="AD3" s="2900"/>
      <c r="AE3" s="2900"/>
      <c r="AF3" s="2900"/>
      <c r="AG3" s="2900"/>
      <c r="AH3" s="2911"/>
      <c r="AI3" s="2911"/>
      <c r="AJ3" s="832"/>
      <c r="AK3" s="781"/>
      <c r="AL3" s="781"/>
      <c r="AM3" s="781"/>
      <c r="AN3" s="781"/>
      <c r="AO3" s="2900">
        <v>2004</v>
      </c>
      <c r="AP3" s="2900"/>
      <c r="AQ3" s="2900"/>
      <c r="AR3" s="2900"/>
      <c r="AS3" s="2900"/>
      <c r="AT3" s="2900"/>
      <c r="AU3" s="2901"/>
      <c r="AV3" s="2899">
        <v>2005</v>
      </c>
      <c r="AW3" s="2900"/>
      <c r="AX3" s="2900"/>
      <c r="AY3" s="2900"/>
      <c r="AZ3" s="2900"/>
      <c r="BA3" s="2900"/>
      <c r="BB3" s="2900"/>
      <c r="BC3" s="2900"/>
      <c r="BD3" s="2900"/>
      <c r="BE3" s="2900"/>
      <c r="BF3" s="2900"/>
      <c r="BG3" s="2901"/>
      <c r="BH3" s="2906">
        <v>2006</v>
      </c>
      <c r="BI3" s="2907"/>
      <c r="BJ3" s="2907"/>
      <c r="BK3" s="2907"/>
      <c r="BL3" s="2907"/>
      <c r="BM3" s="2907"/>
      <c r="BN3" s="2907"/>
      <c r="BO3" s="2907"/>
      <c r="BP3" s="2907"/>
      <c r="BQ3" s="2907"/>
      <c r="BR3" s="2907"/>
      <c r="BS3" s="2907"/>
      <c r="BT3" s="2894">
        <v>2007</v>
      </c>
      <c r="BU3" s="2895"/>
      <c r="BV3" s="2895"/>
      <c r="BW3" s="2895"/>
      <c r="BX3" s="2895"/>
      <c r="BY3" s="2895"/>
      <c r="BZ3" s="2895"/>
      <c r="CA3" s="2895"/>
      <c r="CB3" s="2895"/>
      <c r="CC3" s="2895"/>
      <c r="CD3" s="2895"/>
      <c r="CE3" s="2896"/>
      <c r="CF3" s="2894">
        <v>2008</v>
      </c>
      <c r="CG3" s="2895"/>
      <c r="CH3" s="2895"/>
      <c r="CI3" s="2895"/>
      <c r="CJ3" s="2895"/>
      <c r="CK3" s="2895"/>
      <c r="CL3" s="2895"/>
      <c r="CM3" s="2895"/>
      <c r="CN3" s="2895"/>
      <c r="CO3" s="2895"/>
      <c r="CP3" s="2895"/>
      <c r="CQ3" s="2896"/>
      <c r="CR3" s="2894">
        <v>2009</v>
      </c>
      <c r="CS3" s="2895"/>
      <c r="CT3" s="2895"/>
      <c r="CU3" s="2895"/>
      <c r="CV3" s="2895"/>
      <c r="CW3" s="2895"/>
      <c r="CX3" s="2895"/>
      <c r="CY3" s="2895"/>
      <c r="CZ3" s="2895"/>
      <c r="DA3" s="2895"/>
      <c r="DB3" s="2895"/>
      <c r="DC3" s="2895"/>
      <c r="DD3" s="2894">
        <v>2010</v>
      </c>
      <c r="DE3" s="2895"/>
      <c r="DF3" s="2895"/>
      <c r="DG3" s="2895"/>
      <c r="DH3" s="2895"/>
      <c r="DI3" s="2895"/>
      <c r="DJ3" s="2895"/>
      <c r="DK3" s="2895"/>
      <c r="DL3" s="903"/>
      <c r="DM3" s="834"/>
      <c r="DN3" s="93"/>
      <c r="DO3" s="93"/>
    </row>
    <row r="4" spans="1:123" ht="17.25" customHeight="1" thickBot="1">
      <c r="A4" s="62"/>
      <c r="B4" s="145" t="s">
        <v>900</v>
      </c>
      <c r="C4" s="146" t="s">
        <v>901</v>
      </c>
      <c r="D4" s="2898"/>
      <c r="E4" s="2898"/>
      <c r="F4" s="2898"/>
      <c r="G4" s="2898"/>
      <c r="H4" s="2910"/>
      <c r="I4" s="2903"/>
      <c r="J4" s="2905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705" t="s">
        <v>511</v>
      </c>
      <c r="CS4" s="706" t="s">
        <v>513</v>
      </c>
      <c r="CT4" s="706" t="s">
        <v>139</v>
      </c>
      <c r="CU4" s="706" t="s">
        <v>514</v>
      </c>
      <c r="CV4" s="706" t="s">
        <v>534</v>
      </c>
      <c r="CW4" s="706" t="s">
        <v>503</v>
      </c>
      <c r="CX4" s="706" t="s">
        <v>457</v>
      </c>
      <c r="CY4" s="706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902" t="s">
        <v>891</v>
      </c>
      <c r="DM4" s="93"/>
      <c r="DN4" s="93"/>
      <c r="DO4" s="93"/>
    </row>
    <row r="5" spans="1:123" s="112" customFormat="1" ht="21.75" customHeight="1">
      <c r="A5" s="109"/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836">
        <v>1.17</v>
      </c>
      <c r="L5" s="837">
        <v>1.17</v>
      </c>
      <c r="M5" s="617">
        <v>1.17</v>
      </c>
      <c r="N5" s="617">
        <v>1.17</v>
      </c>
      <c r="O5" s="617">
        <v>1.17</v>
      </c>
      <c r="P5" s="617">
        <v>1.17</v>
      </c>
      <c r="Q5" s="617">
        <v>1.17</v>
      </c>
      <c r="R5" s="617">
        <v>1.17</v>
      </c>
      <c r="S5" s="617">
        <v>1.17</v>
      </c>
      <c r="T5" s="617">
        <v>1.17</v>
      </c>
      <c r="U5" s="617">
        <v>1.17</v>
      </c>
      <c r="V5" s="617">
        <v>1.17</v>
      </c>
      <c r="W5" s="617">
        <v>1.17</v>
      </c>
      <c r="X5" s="838">
        <v>1.17</v>
      </c>
      <c r="Y5" s="838">
        <v>1.17</v>
      </c>
      <c r="Z5" s="618">
        <v>1.17</v>
      </c>
      <c r="AA5" s="618">
        <v>1.17</v>
      </c>
      <c r="AB5" s="618">
        <v>1.17</v>
      </c>
      <c r="AC5" s="618">
        <v>1.17</v>
      </c>
      <c r="AD5" s="618">
        <v>1.42</v>
      </c>
      <c r="AE5" s="618">
        <v>1.4770000000000001</v>
      </c>
      <c r="AF5" s="838">
        <v>1.617</v>
      </c>
      <c r="AG5" s="838">
        <v>1.776</v>
      </c>
      <c r="AH5" s="838">
        <v>1.9350000000000001</v>
      </c>
      <c r="AI5" s="766">
        <v>2.0950000000000002</v>
      </c>
      <c r="AJ5" s="839">
        <v>2.254</v>
      </c>
      <c r="AK5" s="838">
        <v>2.4129999999999998</v>
      </c>
      <c r="AL5" s="838">
        <v>2.4129999999999998</v>
      </c>
      <c r="AM5" s="838">
        <v>2.4129999999999998</v>
      </c>
      <c r="AN5" s="618">
        <v>2.4129999999999998</v>
      </c>
      <c r="AO5" s="618">
        <v>2.4129999999999998</v>
      </c>
      <c r="AP5" s="618">
        <v>2.4129999999999998</v>
      </c>
      <c r="AQ5" s="618">
        <v>2.4129999999999998</v>
      </c>
      <c r="AR5" s="618">
        <v>2.4129999999999998</v>
      </c>
      <c r="AS5" s="618">
        <v>2.4129999999999998</v>
      </c>
      <c r="AT5" s="618">
        <v>2.4129999999999998</v>
      </c>
      <c r="AU5" s="766">
        <v>2.4129999999999998</v>
      </c>
      <c r="AV5" s="769">
        <v>2.4129999999999998</v>
      </c>
      <c r="AW5" s="619">
        <v>2.4129999999999998</v>
      </c>
      <c r="AX5" s="619">
        <v>2.56</v>
      </c>
      <c r="AY5" s="619">
        <v>2.9</v>
      </c>
      <c r="AZ5" s="619">
        <v>2.9</v>
      </c>
      <c r="BA5" s="619">
        <v>2.9</v>
      </c>
      <c r="BB5" s="619">
        <v>2.9</v>
      </c>
      <c r="BC5" s="620">
        <v>2.9</v>
      </c>
      <c r="BD5" s="619">
        <v>2.9</v>
      </c>
      <c r="BE5" s="619">
        <v>2.9</v>
      </c>
      <c r="BF5" s="619">
        <v>3.58</v>
      </c>
      <c r="BG5" s="840">
        <v>3.58</v>
      </c>
      <c r="BH5" s="662">
        <v>3.58</v>
      </c>
      <c r="BI5" s="617">
        <v>3.58</v>
      </c>
      <c r="BJ5" s="617">
        <f>+BI5</f>
        <v>3.58</v>
      </c>
      <c r="BK5" s="617">
        <v>3.58</v>
      </c>
      <c r="BL5" s="617">
        <v>3.76</v>
      </c>
      <c r="BM5" s="617">
        <v>3.76</v>
      </c>
      <c r="BN5" s="617">
        <v>3.76</v>
      </c>
      <c r="BO5" s="617">
        <v>3.76</v>
      </c>
      <c r="BP5" s="617">
        <v>3.94</v>
      </c>
      <c r="BQ5" s="617">
        <v>3.94</v>
      </c>
      <c r="BR5" s="617">
        <v>3.94</v>
      </c>
      <c r="BS5" s="737">
        <v>3.94</v>
      </c>
      <c r="BT5" s="662">
        <v>4.54</v>
      </c>
      <c r="BU5" s="617">
        <v>4.54</v>
      </c>
      <c r="BV5" s="617">
        <v>4.54</v>
      </c>
      <c r="BW5" s="617">
        <v>4.54</v>
      </c>
      <c r="BX5" s="617">
        <v>4.99</v>
      </c>
      <c r="BY5" s="617">
        <v>4.99</v>
      </c>
      <c r="BZ5" s="617">
        <v>5.29</v>
      </c>
      <c r="CA5" s="617">
        <v>5.29</v>
      </c>
      <c r="CB5" s="617">
        <v>5.29</v>
      </c>
      <c r="CC5" s="617">
        <v>6.56</v>
      </c>
      <c r="CD5" s="617">
        <v>6.56</v>
      </c>
      <c r="CE5" s="737">
        <v>6.56</v>
      </c>
      <c r="CF5" s="662">
        <v>6.56</v>
      </c>
      <c r="CG5" s="617">
        <v>6.56</v>
      </c>
      <c r="CH5" s="617">
        <v>6.56</v>
      </c>
      <c r="CI5" s="617">
        <v>7.21</v>
      </c>
      <c r="CJ5" s="617">
        <v>7.21</v>
      </c>
      <c r="CK5" s="617">
        <v>7.21</v>
      </c>
      <c r="CL5" s="617">
        <v>7.54</v>
      </c>
      <c r="CM5" s="617">
        <v>7.54</v>
      </c>
      <c r="CN5" s="617">
        <v>7.54</v>
      </c>
      <c r="CO5" s="617">
        <v>7.84</v>
      </c>
      <c r="CP5" s="617">
        <v>7.84</v>
      </c>
      <c r="CQ5" s="737">
        <v>7.84</v>
      </c>
      <c r="CR5" s="662">
        <v>7.84</v>
      </c>
      <c r="CS5" s="617">
        <v>7.84</v>
      </c>
      <c r="CT5" s="617">
        <v>7.84</v>
      </c>
      <c r="CU5" s="617">
        <v>7.84</v>
      </c>
      <c r="CV5" s="617">
        <v>7.84</v>
      </c>
      <c r="CW5" s="617">
        <v>8.5500000000000007</v>
      </c>
      <c r="CX5" s="617">
        <v>8.5500000000000007</v>
      </c>
      <c r="CY5" s="617">
        <v>8.5500000000000007</v>
      </c>
      <c r="CZ5" s="617">
        <v>8.5500000000000007</v>
      </c>
      <c r="DA5" s="617">
        <v>9.06</v>
      </c>
      <c r="DB5" s="798">
        <v>9.06</v>
      </c>
      <c r="DC5" s="737">
        <v>9.06</v>
      </c>
      <c r="DD5" s="786">
        <v>9.06</v>
      </c>
      <c r="DE5" s="617">
        <v>9.06</v>
      </c>
      <c r="DF5" s="798">
        <v>9.06</v>
      </c>
      <c r="DG5" s="737">
        <v>9.06</v>
      </c>
      <c r="DH5" s="617">
        <v>10.06</v>
      </c>
      <c r="DI5" s="617">
        <v>10.06</v>
      </c>
      <c r="DJ5" s="617">
        <v>10.06</v>
      </c>
      <c r="DK5" s="737">
        <v>10.76</v>
      </c>
      <c r="DL5" s="916">
        <v>10.76</v>
      </c>
      <c r="DM5" s="110">
        <f>+DL5/DK5</f>
        <v>1</v>
      </c>
      <c r="DN5" s="111"/>
      <c r="DO5" s="110"/>
      <c r="DP5" s="110"/>
    </row>
    <row r="6" spans="1:123" s="112" customFormat="1" ht="21.75" customHeight="1">
      <c r="A6" s="109"/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897">
        <v>11.7</v>
      </c>
      <c r="DM6" s="110">
        <f>+DL6/DK6</f>
        <v>1</v>
      </c>
      <c r="DN6" s="111"/>
      <c r="DO6" s="110"/>
      <c r="DP6" s="110"/>
    </row>
    <row r="7" spans="1:123" s="112" customFormat="1" ht="18.95" customHeight="1">
      <c r="A7" s="109"/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897">
        <v>12.71</v>
      </c>
      <c r="DM7" s="110">
        <f>+DL7/DK7</f>
        <v>1</v>
      </c>
      <c r="DN7" s="111"/>
      <c r="DO7" s="110"/>
      <c r="DP7" s="110"/>
    </row>
    <row r="8" spans="1:123" s="112" customFormat="1" ht="24" customHeight="1">
      <c r="A8" s="109"/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897">
        <v>14.92</v>
      </c>
      <c r="DM8" s="110">
        <f>+DL8/DK8</f>
        <v>1</v>
      </c>
      <c r="DN8" s="111"/>
      <c r="DO8" s="110"/>
    </row>
    <row r="9" spans="1:123" s="112" customFormat="1" ht="18.75" customHeight="1">
      <c r="A9" s="109"/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897"/>
      <c r="DM9" s="110"/>
      <c r="DN9" s="110"/>
    </row>
    <row r="10" spans="1:123" s="157" customFormat="1" ht="36.75" customHeight="1">
      <c r="A10" s="156"/>
      <c r="B10" s="629">
        <v>8</v>
      </c>
      <c r="C10" s="630"/>
      <c r="D10" s="628" t="s">
        <v>188</v>
      </c>
      <c r="E10" s="621"/>
      <c r="F10" s="621" t="s">
        <v>906</v>
      </c>
      <c r="G10" s="621" t="s">
        <v>497</v>
      </c>
      <c r="H10" s="621"/>
      <c r="I10" s="390" t="s">
        <v>190</v>
      </c>
      <c r="J10" s="674" t="s">
        <v>184</v>
      </c>
      <c r="K10" s="669"/>
      <c r="L10" s="665">
        <v>0</v>
      </c>
      <c r="M10" s="625">
        <v>0</v>
      </c>
      <c r="N10" s="625">
        <v>0</v>
      </c>
      <c r="O10" s="625">
        <v>0</v>
      </c>
      <c r="P10" s="625">
        <v>0</v>
      </c>
      <c r="Q10" s="625">
        <v>0</v>
      </c>
      <c r="R10" s="625">
        <v>0.56999999999999995</v>
      </c>
      <c r="S10" s="625">
        <v>0.56999999999999995</v>
      </c>
      <c r="T10" s="625">
        <v>0.56999999999999995</v>
      </c>
      <c r="U10" s="625">
        <v>0.56999999999999995</v>
      </c>
      <c r="V10" s="625">
        <v>0.56999999999999995</v>
      </c>
      <c r="W10" s="625">
        <v>0.56999999999999995</v>
      </c>
      <c r="X10" s="625">
        <v>0.74</v>
      </c>
      <c r="Y10" s="625">
        <v>0.74</v>
      </c>
      <c r="Z10" s="625">
        <v>0.85</v>
      </c>
      <c r="AA10" s="625">
        <v>0.85</v>
      </c>
      <c r="AB10" s="625">
        <v>1.1399999999999999</v>
      </c>
      <c r="AC10" s="625">
        <v>1.1399999999999999</v>
      </c>
      <c r="AD10" s="625">
        <v>0.99399999999999999</v>
      </c>
      <c r="AE10" s="625">
        <v>0.85199999999999998</v>
      </c>
      <c r="AF10" s="625">
        <v>0.71</v>
      </c>
      <c r="AG10" s="625">
        <v>0.56799999999999995</v>
      </c>
      <c r="AH10" s="625">
        <v>0.42599999999999999</v>
      </c>
      <c r="AI10" s="764">
        <v>0.28409090909090912</v>
      </c>
      <c r="AJ10" s="772">
        <v>0.42613636363636365</v>
      </c>
      <c r="AK10" s="625">
        <v>0.28409090909090912</v>
      </c>
      <c r="AL10" s="625">
        <v>0.28409090909090912</v>
      </c>
      <c r="AM10" s="625">
        <v>0.28409090909090912</v>
      </c>
      <c r="AN10" s="625">
        <v>0.28399999999999997</v>
      </c>
      <c r="AO10" s="625">
        <v>0.28399999999999997</v>
      </c>
      <c r="AP10" s="625">
        <v>0.28399999999999997</v>
      </c>
      <c r="AQ10" s="625">
        <v>0.28399999999999997</v>
      </c>
      <c r="AR10" s="625">
        <v>0.28399999999999997</v>
      </c>
      <c r="AS10" s="625">
        <v>0.28399999999999997</v>
      </c>
      <c r="AT10" s="625">
        <v>0.28399999999999997</v>
      </c>
      <c r="AU10" s="764">
        <v>0.28399999999999997</v>
      </c>
      <c r="AV10" s="752">
        <f>ROUND(150/176,3)</f>
        <v>0.85199999999999998</v>
      </c>
      <c r="AW10" s="626">
        <f>ROUND(150/176,3)</f>
        <v>0.85199999999999998</v>
      </c>
      <c r="AX10" s="626"/>
      <c r="AY10" s="626"/>
      <c r="AZ10" s="626"/>
      <c r="BA10" s="628"/>
      <c r="BB10" s="628"/>
      <c r="BC10" s="627"/>
      <c r="BD10" s="626"/>
      <c r="BE10" s="627"/>
      <c r="BF10" s="627"/>
      <c r="BG10" s="738"/>
      <c r="BH10" s="660"/>
      <c r="BI10" s="623"/>
      <c r="BJ10" s="623"/>
      <c r="BK10" s="623"/>
      <c r="BL10" s="623"/>
      <c r="BM10" s="623"/>
      <c r="BN10" s="623"/>
      <c r="BO10" s="623"/>
      <c r="BP10" s="623"/>
      <c r="BQ10" s="623"/>
      <c r="BR10" s="623"/>
      <c r="BS10" s="659"/>
      <c r="BT10" s="660"/>
      <c r="BU10" s="623"/>
      <c r="BV10" s="623"/>
      <c r="BW10" s="623"/>
      <c r="BX10" s="623"/>
      <c r="BY10" s="623"/>
      <c r="BZ10" s="623"/>
      <c r="CA10" s="623"/>
      <c r="CB10" s="623"/>
      <c r="CC10" s="623"/>
      <c r="CD10" s="623"/>
      <c r="CE10" s="659"/>
      <c r="CF10" s="660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59"/>
      <c r="CR10" s="660"/>
      <c r="CS10" s="623"/>
      <c r="CT10" s="623"/>
      <c r="CU10" s="623"/>
      <c r="CV10" s="623"/>
      <c r="CW10" s="623"/>
      <c r="CX10" s="623"/>
      <c r="CY10" s="623"/>
      <c r="CZ10" s="623"/>
      <c r="DA10" s="623"/>
      <c r="DB10" s="725"/>
      <c r="DC10" s="659"/>
      <c r="DD10" s="783"/>
      <c r="DE10" s="623"/>
      <c r="DF10" s="725"/>
      <c r="DG10" s="659"/>
      <c r="DH10" s="623"/>
      <c r="DI10" s="623"/>
      <c r="DJ10" s="623"/>
      <c r="DK10" s="659"/>
      <c r="DL10" s="897"/>
      <c r="DM10" s="110"/>
      <c r="DN10" s="149"/>
    </row>
    <row r="11" spans="1:123" s="956" customFormat="1" ht="18.95" customHeight="1">
      <c r="A11" s="948"/>
      <c r="B11" s="949" t="s">
        <v>473</v>
      </c>
      <c r="C11" s="929"/>
      <c r="D11" s="930" t="s">
        <v>845</v>
      </c>
      <c r="E11" s="929"/>
      <c r="F11" s="929" t="s">
        <v>906</v>
      </c>
      <c r="G11" s="929" t="s">
        <v>497</v>
      </c>
      <c r="H11" s="929"/>
      <c r="I11" s="950" t="s">
        <v>908</v>
      </c>
      <c r="J11" s="2996" t="s">
        <v>843</v>
      </c>
      <c r="K11" s="951"/>
      <c r="L11" s="952"/>
      <c r="M11" s="935"/>
      <c r="N11" s="935"/>
      <c r="O11" s="935"/>
      <c r="P11" s="935"/>
      <c r="Q11" s="935"/>
      <c r="R11" s="935"/>
      <c r="S11" s="935"/>
      <c r="T11" s="935"/>
      <c r="U11" s="935"/>
      <c r="V11" s="935"/>
      <c r="W11" s="935"/>
      <c r="X11" s="935"/>
      <c r="Y11" s="935"/>
      <c r="Z11" s="935"/>
      <c r="AA11" s="935"/>
      <c r="AB11" s="935"/>
      <c r="AC11" s="935"/>
      <c r="AD11" s="935"/>
      <c r="AE11" s="935"/>
      <c r="AF11" s="935"/>
      <c r="AG11" s="935"/>
      <c r="AH11" s="935"/>
      <c r="AI11" s="936"/>
      <c r="AJ11" s="953"/>
      <c r="AK11" s="935"/>
      <c r="AL11" s="935"/>
      <c r="AM11" s="935"/>
      <c r="AN11" s="935">
        <v>0.28399999999999997</v>
      </c>
      <c r="AO11" s="935"/>
      <c r="AP11" s="935"/>
      <c r="AQ11" s="935"/>
      <c r="AR11" s="935"/>
      <c r="AS11" s="935"/>
      <c r="AT11" s="935"/>
      <c r="AU11" s="936"/>
      <c r="AV11" s="938"/>
      <c r="AW11" s="939"/>
      <c r="AX11" s="939">
        <f>0.43+0.852</f>
        <v>1.282</v>
      </c>
      <c r="AY11" s="939">
        <f>0.57+0.43</f>
        <v>1</v>
      </c>
      <c r="AZ11" s="939">
        <f>0.57+0.43</f>
        <v>1</v>
      </c>
      <c r="BA11" s="939">
        <f>0.57+0.43</f>
        <v>1</v>
      </c>
      <c r="BB11" s="939">
        <v>1</v>
      </c>
      <c r="BC11" s="921">
        <v>1</v>
      </c>
      <c r="BD11" s="939">
        <v>1</v>
      </c>
      <c r="BE11" s="939">
        <v>1</v>
      </c>
      <c r="BF11" s="939">
        <f>ROUND(160/176,3)</f>
        <v>0.90900000000000003</v>
      </c>
      <c r="BG11" s="954">
        <v>0.90900000000000003</v>
      </c>
      <c r="BH11" s="942">
        <v>0.68181818181818177</v>
      </c>
      <c r="BI11" s="920">
        <v>0.68181818181818177</v>
      </c>
      <c r="BJ11" s="920">
        <f>+BI11</f>
        <v>0.68181818181818177</v>
      </c>
      <c r="BK11" s="920">
        <v>0.45454545454545453</v>
      </c>
      <c r="BL11" s="920">
        <f>+BK11+DH11</f>
        <v>1.0225454545454544</v>
      </c>
      <c r="BM11" s="920">
        <f>0.454545454545455+DH11</f>
        <v>1.0225454545454549</v>
      </c>
      <c r="BN11" s="920">
        <v>0.54545454545454519</v>
      </c>
      <c r="BO11" s="920">
        <f>ROUND((40/176)+(56/176),3)</f>
        <v>0.54500000000000004</v>
      </c>
      <c r="BP11" s="920">
        <f>+CH11</f>
        <v>0</v>
      </c>
      <c r="BQ11" s="920">
        <v>0.5</v>
      </c>
      <c r="BR11" s="920">
        <v>0.5</v>
      </c>
      <c r="BS11" s="943">
        <v>0.5</v>
      </c>
      <c r="BT11" s="942"/>
      <c r="BU11" s="920"/>
      <c r="BV11" s="920"/>
      <c r="BW11" s="920"/>
      <c r="BX11" s="920"/>
      <c r="BY11" s="920"/>
      <c r="BZ11" s="920"/>
      <c r="CA11" s="920"/>
      <c r="CB11" s="920"/>
      <c r="CC11" s="920"/>
      <c r="CD11" s="920"/>
      <c r="CE11" s="943"/>
      <c r="CF11" s="942"/>
      <c r="CG11" s="920"/>
      <c r="CH11" s="920"/>
      <c r="CI11" s="920"/>
      <c r="CJ11" s="920"/>
      <c r="CK11" s="920"/>
      <c r="CL11" s="920"/>
      <c r="CM11" s="920"/>
      <c r="CN11" s="920"/>
      <c r="CO11" s="920"/>
      <c r="CP11" s="920"/>
      <c r="CQ11" s="943"/>
      <c r="CR11" s="942"/>
      <c r="CS11" s="920"/>
      <c r="CT11" s="920"/>
      <c r="CU11" s="920"/>
      <c r="CV11" s="920"/>
      <c r="CW11" s="920"/>
      <c r="CX11" s="920"/>
      <c r="CY11" s="920"/>
      <c r="CZ11" s="920"/>
      <c r="DA11" s="920"/>
      <c r="DB11" s="925"/>
      <c r="DC11" s="943"/>
      <c r="DD11" s="944"/>
      <c r="DE11" s="920"/>
      <c r="DF11" s="925"/>
      <c r="DG11" s="943"/>
      <c r="DH11" s="920">
        <v>0.56799999999999995</v>
      </c>
      <c r="DI11" s="920">
        <v>0.56818181818181823</v>
      </c>
      <c r="DJ11" s="920">
        <v>0.56818181818181823</v>
      </c>
      <c r="DK11" s="943"/>
      <c r="DL11" s="945"/>
      <c r="DM11" s="946"/>
      <c r="DN11" s="955"/>
      <c r="DQ11" s="957"/>
      <c r="DR11" s="957"/>
    </row>
    <row r="12" spans="1:123" s="157" customFormat="1" ht="24.75" customHeight="1">
      <c r="A12" s="156"/>
      <c r="B12" s="629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997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725"/>
      <c r="DG12" s="659"/>
      <c r="DH12" s="623">
        <v>0.56818181818181823</v>
      </c>
      <c r="DI12" s="623">
        <v>0.56818181818181823</v>
      </c>
      <c r="DJ12" s="623">
        <v>0.56818181818181823</v>
      </c>
      <c r="DK12" s="659"/>
      <c r="DL12" s="897"/>
      <c r="DM12" s="110"/>
      <c r="DN12" s="151"/>
      <c r="DO12" s="149"/>
      <c r="DQ12" s="158"/>
      <c r="DR12" s="158"/>
    </row>
    <row r="13" spans="1:123" s="157" customFormat="1" ht="18.95" customHeight="1">
      <c r="A13" s="156"/>
      <c r="B13" s="629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997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725"/>
      <c r="DG13" s="659"/>
      <c r="DH13" s="623">
        <v>0.56818181818181823</v>
      </c>
      <c r="DI13" s="623">
        <v>0.56818181818181823</v>
      </c>
      <c r="DJ13" s="623">
        <v>0.56818181818181823</v>
      </c>
      <c r="DK13" s="659"/>
      <c r="DL13" s="897"/>
      <c r="DM13" s="110"/>
      <c r="DN13" s="151"/>
      <c r="DO13" s="149"/>
      <c r="DQ13" s="158"/>
      <c r="DR13" s="158"/>
    </row>
    <row r="14" spans="1:123" s="157" customFormat="1" ht="20.25" customHeight="1">
      <c r="A14" s="156"/>
      <c r="B14" s="629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998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725"/>
      <c r="DG14" s="659"/>
      <c r="DH14" s="623">
        <v>0.56818181818181823</v>
      </c>
      <c r="DI14" s="623">
        <v>0.56818181818181823</v>
      </c>
      <c r="DJ14" s="623">
        <v>0.56818181818181823</v>
      </c>
      <c r="DK14" s="659"/>
      <c r="DL14" s="897"/>
      <c r="DM14" s="110"/>
      <c r="DN14" s="151"/>
      <c r="DO14" s="151"/>
      <c r="DQ14" s="158"/>
      <c r="DR14" s="158"/>
    </row>
    <row r="15" spans="1:123" s="157" customFormat="1" ht="9.75" customHeight="1">
      <c r="A15" s="156"/>
      <c r="B15" s="629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897"/>
      <c r="DM15" s="110"/>
      <c r="DN15" s="151"/>
      <c r="DO15" s="151"/>
      <c r="DQ15" s="158"/>
      <c r="DR15" s="158"/>
    </row>
    <row r="16" spans="1:123" s="112" customFormat="1" ht="16.5" customHeight="1">
      <c r="A16" s="109"/>
      <c r="B16" s="629" t="s">
        <v>492</v>
      </c>
      <c r="C16" s="621"/>
      <c r="D16" s="622" t="s">
        <v>406</v>
      </c>
      <c r="E16" s="621"/>
      <c r="F16" s="621" t="s">
        <v>906</v>
      </c>
      <c r="G16" s="621" t="s">
        <v>497</v>
      </c>
      <c r="H16" s="621"/>
      <c r="I16" s="390"/>
      <c r="J16" s="674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f>+BI16</f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f>+CH16</f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897"/>
      <c r="DM16" s="110"/>
      <c r="DN16" s="111"/>
      <c r="DO16" s="111"/>
      <c r="DQ16" s="262"/>
      <c r="DR16" s="262"/>
    </row>
    <row r="17" spans="1:122" s="112" customFormat="1" ht="16.5" customHeight="1">
      <c r="A17" s="109"/>
      <c r="B17" s="629" t="s">
        <v>493</v>
      </c>
      <c r="C17" s="621"/>
      <c r="D17" s="622" t="s">
        <v>407</v>
      </c>
      <c r="E17" s="621"/>
      <c r="F17" s="621" t="s">
        <v>906</v>
      </c>
      <c r="G17" s="621" t="s">
        <v>497</v>
      </c>
      <c r="H17" s="621"/>
      <c r="I17" s="390"/>
      <c r="J17" s="674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f>+BI17</f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f>+CH17</f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897"/>
      <c r="DM17" s="110"/>
      <c r="DN17" s="111"/>
      <c r="DO17" s="111"/>
      <c r="DQ17" s="262"/>
      <c r="DR17" s="262"/>
    </row>
    <row r="18" spans="1:122" s="112" customFormat="1" ht="16.5" customHeight="1">
      <c r="A18" s="109"/>
      <c r="B18" s="629" t="s">
        <v>494</v>
      </c>
      <c r="C18" s="621"/>
      <c r="D18" s="622" t="s">
        <v>409</v>
      </c>
      <c r="E18" s="621"/>
      <c r="F18" s="621" t="s">
        <v>906</v>
      </c>
      <c r="G18" s="621" t="s">
        <v>497</v>
      </c>
      <c r="H18" s="621"/>
      <c r="I18" s="390"/>
      <c r="J18" s="674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f>67.5/176</f>
        <v>0.38352272727272729</v>
      </c>
      <c r="BI18" s="623">
        <f>67.5/176</f>
        <v>0.38352272727272729</v>
      </c>
      <c r="BJ18" s="623">
        <f>+BI18</f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f>202.5/176</f>
        <v>1.1505681818181819</v>
      </c>
      <c r="BO18" s="623">
        <f>202.5/176</f>
        <v>1.1505681818181819</v>
      </c>
      <c r="BP18" s="623">
        <f>+CH18</f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897"/>
      <c r="DM18" s="110"/>
      <c r="DN18" s="111"/>
      <c r="DO18" s="111"/>
      <c r="DQ18" s="262"/>
      <c r="DR18" s="262"/>
    </row>
    <row r="19" spans="1:122" s="112" customFormat="1" ht="16.5" customHeight="1">
      <c r="A19" s="109"/>
      <c r="B19" s="629" t="s">
        <v>495</v>
      </c>
      <c r="C19" s="621"/>
      <c r="D19" s="622" t="s">
        <v>859</v>
      </c>
      <c r="E19" s="621"/>
      <c r="F19" s="621" t="s">
        <v>906</v>
      </c>
      <c r="G19" s="621" t="s">
        <v>497</v>
      </c>
      <c r="H19" s="621"/>
      <c r="I19" s="390"/>
      <c r="J19" s="674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f>+BI19</f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f>+CH19</f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897"/>
      <c r="DM19" s="110"/>
      <c r="DN19" s="111"/>
      <c r="DO19" s="111"/>
      <c r="DQ19" s="262"/>
      <c r="DR19" s="262"/>
    </row>
    <row r="20" spans="1:122" s="157" customFormat="1" ht="6.75" customHeight="1">
      <c r="A20" s="156"/>
      <c r="B20" s="629"/>
      <c r="C20" s="621"/>
      <c r="D20" s="622"/>
      <c r="E20" s="621"/>
      <c r="F20" s="621"/>
      <c r="G20" s="621"/>
      <c r="H20" s="621"/>
      <c r="I20" s="390"/>
      <c r="J20" s="674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897"/>
      <c r="DM20" s="110"/>
      <c r="DN20" s="151"/>
      <c r="DO20" s="151"/>
      <c r="DQ20" s="158"/>
      <c r="DR20" s="158"/>
    </row>
    <row r="21" spans="1:122" s="157" customFormat="1" ht="18.95" customHeight="1">
      <c r="A21" s="156"/>
      <c r="B21" s="629" t="s">
        <v>499</v>
      </c>
      <c r="C21" s="621"/>
      <c r="D21" s="622" t="s">
        <v>410</v>
      </c>
      <c r="E21" s="621"/>
      <c r="F21" s="621" t="s">
        <v>906</v>
      </c>
      <c r="G21" s="621" t="s">
        <v>497</v>
      </c>
      <c r="H21" s="621"/>
      <c r="I21" s="390"/>
      <c r="J21" s="2995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f>18.1818181818182/8</f>
        <v>2.2727272727272751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897"/>
      <c r="DM21" s="110"/>
      <c r="DN21" s="151"/>
      <c r="DO21" s="151"/>
      <c r="DQ21" s="158"/>
      <c r="DR21" s="158"/>
    </row>
    <row r="22" spans="1:122" s="157" customFormat="1" ht="18.95" customHeight="1">
      <c r="A22" s="156"/>
      <c r="B22" s="629" t="s">
        <v>500</v>
      </c>
      <c r="C22" s="621"/>
      <c r="D22" s="622" t="s">
        <v>411</v>
      </c>
      <c r="E22" s="621"/>
      <c r="F22" s="621" t="s">
        <v>906</v>
      </c>
      <c r="G22" s="621" t="s">
        <v>497</v>
      </c>
      <c r="H22" s="621"/>
      <c r="I22" s="390"/>
      <c r="J22" s="2995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f>18.1818181818182/8</f>
        <v>2.2727272727272751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897"/>
      <c r="DM22" s="110"/>
      <c r="DN22" s="151"/>
      <c r="DO22" s="151"/>
      <c r="DQ22" s="158"/>
      <c r="DR22" s="158"/>
    </row>
    <row r="23" spans="1:122" s="157" customFormat="1" ht="18.95" customHeight="1">
      <c r="A23" s="156"/>
      <c r="B23" s="629" t="s">
        <v>501</v>
      </c>
      <c r="C23" s="621"/>
      <c r="D23" s="622" t="s">
        <v>849</v>
      </c>
      <c r="E23" s="621"/>
      <c r="F23" s="621" t="s">
        <v>906</v>
      </c>
      <c r="G23" s="621" t="s">
        <v>497</v>
      </c>
      <c r="H23" s="621"/>
      <c r="I23" s="390"/>
      <c r="J23" s="2995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f>18.1818181818182/8</f>
        <v>2.2727272727272751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897"/>
      <c r="DM23" s="110"/>
      <c r="DN23" s="151"/>
      <c r="DO23" s="151"/>
      <c r="DQ23" s="158"/>
      <c r="DR23" s="158"/>
    </row>
    <row r="24" spans="1:122" s="157" customFormat="1" ht="18.95" customHeight="1">
      <c r="A24" s="156"/>
      <c r="B24" s="629" t="s">
        <v>502</v>
      </c>
      <c r="C24" s="621"/>
      <c r="D24" s="622" t="s">
        <v>412</v>
      </c>
      <c r="E24" s="621"/>
      <c r="F24" s="621" t="s">
        <v>906</v>
      </c>
      <c r="G24" s="621" t="s">
        <v>497</v>
      </c>
      <c r="H24" s="621"/>
      <c r="I24" s="390"/>
      <c r="J24" s="2995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f>18.1818181818182/8</f>
        <v>2.2727272727272751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897"/>
      <c r="DM24" s="110"/>
      <c r="DN24" s="151"/>
      <c r="DO24" s="151"/>
      <c r="DQ24" s="158"/>
      <c r="DR24" s="158"/>
    </row>
    <row r="25" spans="1:122" s="112" customFormat="1" ht="8.25" customHeight="1">
      <c r="A25" s="109"/>
      <c r="B25" s="408"/>
      <c r="C25" s="621"/>
      <c r="D25" s="621"/>
      <c r="E25" s="621"/>
      <c r="F25" s="621"/>
      <c r="G25" s="621"/>
      <c r="H25" s="621"/>
      <c r="I25" s="405"/>
      <c r="J25" s="651"/>
      <c r="K25" s="668"/>
      <c r="L25" s="664"/>
      <c r="M25" s="623"/>
      <c r="N25" s="623"/>
      <c r="O25" s="623"/>
      <c r="P25" s="623"/>
      <c r="Q25" s="623"/>
      <c r="R25" s="623"/>
      <c r="S25" s="623"/>
      <c r="T25" s="623"/>
      <c r="U25" s="623"/>
      <c r="V25" s="624"/>
      <c r="W25" s="624"/>
      <c r="X25" s="624"/>
      <c r="Y25" s="624"/>
      <c r="Z25" s="625"/>
      <c r="AA25" s="625"/>
      <c r="AB25" s="625"/>
      <c r="AC25" s="625"/>
      <c r="AD25" s="625"/>
      <c r="AE25" s="625"/>
      <c r="AF25" s="624"/>
      <c r="AG25" s="624"/>
      <c r="AH25" s="625"/>
      <c r="AI25" s="764"/>
      <c r="AJ25" s="771"/>
      <c r="AK25" s="624"/>
      <c r="AL25" s="624"/>
      <c r="AM25" s="624"/>
      <c r="AN25" s="624"/>
      <c r="AO25" s="624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8"/>
      <c r="BB25" s="628"/>
      <c r="BC25" s="627"/>
      <c r="BD25" s="626"/>
      <c r="BE25" s="627"/>
      <c r="BF25" s="627"/>
      <c r="BG25" s="738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897"/>
      <c r="DM25" s="110"/>
      <c r="DN25" s="110"/>
      <c r="DO25" s="110"/>
    </row>
    <row r="26" spans="1:122" s="947" customFormat="1" ht="16.5" customHeight="1">
      <c r="A26" s="927"/>
      <c r="B26" s="928" t="s">
        <v>330</v>
      </c>
      <c r="C26" s="929"/>
      <c r="D26" s="930" t="s">
        <v>741</v>
      </c>
      <c r="E26" s="929"/>
      <c r="F26" s="929" t="s">
        <v>906</v>
      </c>
      <c r="G26" s="929" t="s">
        <v>497</v>
      </c>
      <c r="H26" s="929"/>
      <c r="I26" s="931"/>
      <c r="J26" s="2994" t="s">
        <v>844</v>
      </c>
      <c r="K26" s="932"/>
      <c r="L26" s="933"/>
      <c r="M26" s="920"/>
      <c r="N26" s="920"/>
      <c r="O26" s="920"/>
      <c r="P26" s="920"/>
      <c r="Q26" s="920"/>
      <c r="R26" s="920"/>
      <c r="S26" s="920"/>
      <c r="T26" s="920"/>
      <c r="U26" s="920"/>
      <c r="V26" s="934"/>
      <c r="W26" s="934"/>
      <c r="X26" s="934"/>
      <c r="Y26" s="934"/>
      <c r="Z26" s="935"/>
      <c r="AA26" s="935"/>
      <c r="AB26" s="935"/>
      <c r="AC26" s="935"/>
      <c r="AD26" s="935"/>
      <c r="AE26" s="935"/>
      <c r="AF26" s="934"/>
      <c r="AG26" s="934"/>
      <c r="AH26" s="935"/>
      <c r="AI26" s="936"/>
      <c r="AJ26" s="937"/>
      <c r="AK26" s="934"/>
      <c r="AL26" s="934"/>
      <c r="AM26" s="934"/>
      <c r="AN26" s="934"/>
      <c r="AO26" s="934"/>
      <c r="AP26" s="935"/>
      <c r="AQ26" s="935"/>
      <c r="AR26" s="935"/>
      <c r="AS26" s="935"/>
      <c r="AT26" s="935"/>
      <c r="AU26" s="936"/>
      <c r="AV26" s="938"/>
      <c r="AW26" s="939"/>
      <c r="AX26" s="939"/>
      <c r="AY26" s="939"/>
      <c r="AZ26" s="939"/>
      <c r="BA26" s="940"/>
      <c r="BB26" s="940"/>
      <c r="BC26" s="921"/>
      <c r="BD26" s="939"/>
      <c r="BE26" s="921"/>
      <c r="BF26" s="921"/>
      <c r="BG26" s="941"/>
      <c r="BH26" s="942"/>
      <c r="BI26" s="920"/>
      <c r="BJ26" s="920"/>
      <c r="BK26" s="920"/>
      <c r="BL26" s="920"/>
      <c r="BM26" s="920"/>
      <c r="BN26" s="920"/>
      <c r="BO26" s="920"/>
      <c r="BP26" s="920"/>
      <c r="BQ26" s="920"/>
      <c r="BR26" s="920"/>
      <c r="BS26" s="943"/>
      <c r="BT26" s="942"/>
      <c r="BU26" s="920"/>
      <c r="BV26" s="920"/>
      <c r="BW26" s="920"/>
      <c r="BX26" s="920"/>
      <c r="BY26" s="920"/>
      <c r="BZ26" s="920"/>
      <c r="CA26" s="920"/>
      <c r="CB26" s="920"/>
      <c r="CC26" s="920"/>
      <c r="CD26" s="920"/>
      <c r="CE26" s="943"/>
      <c r="CF26" s="942"/>
      <c r="CG26" s="920"/>
      <c r="CH26" s="920"/>
      <c r="CI26" s="920"/>
      <c r="CJ26" s="920">
        <v>0.42599999999999999</v>
      </c>
      <c r="CK26" s="920"/>
      <c r="CL26" s="920">
        <v>0.42599999999999999</v>
      </c>
      <c r="CM26" s="920"/>
      <c r="CN26" s="920">
        <v>0.56799999999999995</v>
      </c>
      <c r="CO26" s="920"/>
      <c r="CP26" s="920"/>
      <c r="CQ26" s="943"/>
      <c r="CR26" s="942"/>
      <c r="CS26" s="920"/>
      <c r="CT26" s="920"/>
      <c r="CU26" s="920"/>
      <c r="CV26" s="920">
        <v>1.0227272727272727</v>
      </c>
      <c r="CW26" s="920"/>
      <c r="CX26" s="920"/>
      <c r="CY26" s="920"/>
      <c r="CZ26" s="920"/>
      <c r="DA26" s="920"/>
      <c r="DB26" s="925"/>
      <c r="DC26" s="943"/>
      <c r="DD26" s="944"/>
      <c r="DE26" s="920"/>
      <c r="DF26" s="920">
        <v>1.4204545454545454</v>
      </c>
      <c r="DG26" s="943">
        <v>1.4204545454545454</v>
      </c>
      <c r="DH26" s="920"/>
      <c r="DI26" s="920"/>
      <c r="DJ26" s="920"/>
      <c r="DK26" s="943"/>
      <c r="DL26" s="945"/>
      <c r="DM26" s="946"/>
      <c r="DN26" s="946"/>
      <c r="DO26" s="946"/>
    </row>
    <row r="27" spans="1:122" s="112" customFormat="1" ht="16.5" customHeight="1">
      <c r="A27" s="109"/>
      <c r="B27" s="408" t="s">
        <v>331</v>
      </c>
      <c r="C27" s="621"/>
      <c r="D27" s="622" t="s">
        <v>742</v>
      </c>
      <c r="E27" s="621"/>
      <c r="F27" s="621" t="s">
        <v>906</v>
      </c>
      <c r="G27" s="621" t="s">
        <v>497</v>
      </c>
      <c r="H27" s="621"/>
      <c r="I27" s="405"/>
      <c r="J27" s="2994"/>
      <c r="K27" s="668"/>
      <c r="L27" s="664"/>
      <c r="M27" s="623"/>
      <c r="N27" s="623"/>
      <c r="O27" s="623"/>
      <c r="P27" s="623"/>
      <c r="Q27" s="623"/>
      <c r="R27" s="623"/>
      <c r="S27" s="623"/>
      <c r="T27" s="623"/>
      <c r="U27" s="623"/>
      <c r="V27" s="624"/>
      <c r="W27" s="624"/>
      <c r="X27" s="624"/>
      <c r="Y27" s="624"/>
      <c r="Z27" s="625"/>
      <c r="AA27" s="625"/>
      <c r="AB27" s="625"/>
      <c r="AC27" s="625"/>
      <c r="AD27" s="625"/>
      <c r="AE27" s="625"/>
      <c r="AF27" s="624"/>
      <c r="AG27" s="624"/>
      <c r="AH27" s="625"/>
      <c r="AI27" s="764"/>
      <c r="AJ27" s="771"/>
      <c r="AK27" s="624"/>
      <c r="AL27" s="624"/>
      <c r="AM27" s="624"/>
      <c r="AN27" s="624"/>
      <c r="AO27" s="624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8"/>
      <c r="BB27" s="628"/>
      <c r="BC27" s="627"/>
      <c r="BD27" s="626"/>
      <c r="BE27" s="627"/>
      <c r="BF27" s="627"/>
      <c r="BG27" s="738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623">
        <v>1.4204545454545454</v>
      </c>
      <c r="DG27" s="659">
        <v>1.4204545454545454</v>
      </c>
      <c r="DH27" s="623"/>
      <c r="DI27" s="623"/>
      <c r="DJ27" s="623"/>
      <c r="DK27" s="659"/>
      <c r="DL27" s="897"/>
      <c r="DM27" s="110"/>
      <c r="DN27" s="110"/>
      <c r="DO27" s="110"/>
    </row>
    <row r="28" spans="1:122" s="112" customFormat="1" ht="16.5" customHeight="1">
      <c r="A28" s="109"/>
      <c r="B28" s="408" t="s">
        <v>332</v>
      </c>
      <c r="C28" s="621"/>
      <c r="D28" s="622" t="s">
        <v>743</v>
      </c>
      <c r="E28" s="621"/>
      <c r="F28" s="621" t="s">
        <v>906</v>
      </c>
      <c r="G28" s="621" t="s">
        <v>497</v>
      </c>
      <c r="H28" s="621"/>
      <c r="I28" s="405"/>
      <c r="J28" s="2994"/>
      <c r="K28" s="668"/>
      <c r="L28" s="664"/>
      <c r="M28" s="623"/>
      <c r="N28" s="623"/>
      <c r="O28" s="623"/>
      <c r="P28" s="623"/>
      <c r="Q28" s="623"/>
      <c r="R28" s="623"/>
      <c r="S28" s="623"/>
      <c r="T28" s="623"/>
      <c r="U28" s="623"/>
      <c r="V28" s="624"/>
      <c r="W28" s="624"/>
      <c r="X28" s="624"/>
      <c r="Y28" s="624"/>
      <c r="Z28" s="625"/>
      <c r="AA28" s="625"/>
      <c r="AB28" s="625"/>
      <c r="AC28" s="625"/>
      <c r="AD28" s="625"/>
      <c r="AE28" s="625"/>
      <c r="AF28" s="624"/>
      <c r="AG28" s="624"/>
      <c r="AH28" s="625"/>
      <c r="AI28" s="764"/>
      <c r="AJ28" s="771"/>
      <c r="AK28" s="624"/>
      <c r="AL28" s="624"/>
      <c r="AM28" s="624"/>
      <c r="AN28" s="624"/>
      <c r="AO28" s="624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8"/>
      <c r="BB28" s="628"/>
      <c r="BC28" s="627"/>
      <c r="BD28" s="626"/>
      <c r="BE28" s="627"/>
      <c r="BF28" s="627"/>
      <c r="BG28" s="738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623">
        <v>1.4204545454545454</v>
      </c>
      <c r="DG28" s="659">
        <v>1.4204545454545454</v>
      </c>
      <c r="DH28" s="623"/>
      <c r="DI28" s="623"/>
      <c r="DJ28" s="623"/>
      <c r="DK28" s="659"/>
      <c r="DL28" s="897"/>
      <c r="DM28" s="110"/>
      <c r="DN28" s="110"/>
      <c r="DO28" s="110"/>
    </row>
    <row r="29" spans="1:122" s="112" customFormat="1" ht="16.5" customHeight="1">
      <c r="A29" s="109"/>
      <c r="B29" s="408" t="s">
        <v>333</v>
      </c>
      <c r="C29" s="621"/>
      <c r="D29" s="622" t="s">
        <v>744</v>
      </c>
      <c r="E29" s="621"/>
      <c r="F29" s="621" t="s">
        <v>906</v>
      </c>
      <c r="G29" s="621" t="s">
        <v>497</v>
      </c>
      <c r="H29" s="621"/>
      <c r="I29" s="405"/>
      <c r="J29" s="2994"/>
      <c r="K29" s="668"/>
      <c r="L29" s="664"/>
      <c r="M29" s="623"/>
      <c r="N29" s="623"/>
      <c r="O29" s="623"/>
      <c r="P29" s="623"/>
      <c r="Q29" s="623"/>
      <c r="R29" s="623"/>
      <c r="S29" s="623"/>
      <c r="T29" s="623"/>
      <c r="U29" s="623"/>
      <c r="V29" s="624"/>
      <c r="W29" s="624"/>
      <c r="X29" s="624"/>
      <c r="Y29" s="624"/>
      <c r="Z29" s="625"/>
      <c r="AA29" s="625"/>
      <c r="AB29" s="625"/>
      <c r="AC29" s="625"/>
      <c r="AD29" s="625"/>
      <c r="AE29" s="625"/>
      <c r="AF29" s="624"/>
      <c r="AG29" s="624"/>
      <c r="AH29" s="625"/>
      <c r="AI29" s="764"/>
      <c r="AJ29" s="771"/>
      <c r="AK29" s="624"/>
      <c r="AL29" s="624"/>
      <c r="AM29" s="624"/>
      <c r="AN29" s="624"/>
      <c r="AO29" s="624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8"/>
      <c r="BB29" s="628"/>
      <c r="BC29" s="627"/>
      <c r="BD29" s="626"/>
      <c r="BE29" s="627"/>
      <c r="BF29" s="627"/>
      <c r="BG29" s="738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623">
        <v>1.4204545454545454</v>
      </c>
      <c r="DG29" s="659">
        <v>1.4204545454545454</v>
      </c>
      <c r="DH29" s="623"/>
      <c r="DI29" s="623"/>
      <c r="DJ29" s="623"/>
      <c r="DK29" s="659"/>
      <c r="DL29" s="897"/>
      <c r="DM29" s="110"/>
      <c r="DN29" s="110"/>
      <c r="DO29" s="110"/>
    </row>
    <row r="30" spans="1:122" s="112" customFormat="1" ht="9.75" customHeight="1">
      <c r="A30" s="109"/>
      <c r="B30" s="408"/>
      <c r="C30" s="621"/>
      <c r="D30" s="621"/>
      <c r="E30" s="621"/>
      <c r="F30" s="621"/>
      <c r="G30" s="621"/>
      <c r="H30" s="621"/>
      <c r="I30" s="405"/>
      <c r="J30" s="651"/>
      <c r="K30" s="668"/>
      <c r="L30" s="664"/>
      <c r="M30" s="623"/>
      <c r="N30" s="623"/>
      <c r="O30" s="623"/>
      <c r="P30" s="623"/>
      <c r="Q30" s="623"/>
      <c r="R30" s="623"/>
      <c r="S30" s="623"/>
      <c r="T30" s="623"/>
      <c r="U30" s="623"/>
      <c r="V30" s="624"/>
      <c r="W30" s="624"/>
      <c r="X30" s="624"/>
      <c r="Y30" s="624"/>
      <c r="Z30" s="625"/>
      <c r="AA30" s="625"/>
      <c r="AB30" s="625"/>
      <c r="AC30" s="625"/>
      <c r="AD30" s="625"/>
      <c r="AE30" s="625"/>
      <c r="AF30" s="624"/>
      <c r="AG30" s="624"/>
      <c r="AH30" s="625"/>
      <c r="AI30" s="764"/>
      <c r="AJ30" s="771"/>
      <c r="AK30" s="624"/>
      <c r="AL30" s="624"/>
      <c r="AM30" s="624"/>
      <c r="AN30" s="624"/>
      <c r="AO30" s="624"/>
      <c r="AP30" s="625"/>
      <c r="AQ30" s="625"/>
      <c r="AR30" s="625"/>
      <c r="AS30" s="625"/>
      <c r="AT30" s="625"/>
      <c r="AU30" s="764"/>
      <c r="AV30" s="752"/>
      <c r="AW30" s="626"/>
      <c r="AX30" s="626"/>
      <c r="AY30" s="626"/>
      <c r="AZ30" s="626"/>
      <c r="BA30" s="628"/>
      <c r="BB30" s="628"/>
      <c r="BC30" s="627"/>
      <c r="BD30" s="626"/>
      <c r="BE30" s="627"/>
      <c r="BF30" s="627"/>
      <c r="BG30" s="738"/>
      <c r="BH30" s="660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59"/>
      <c r="BT30" s="660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59"/>
      <c r="CF30" s="660"/>
      <c r="CG30" s="623"/>
      <c r="CH30" s="623"/>
      <c r="CI30" s="623"/>
      <c r="CJ30" s="623"/>
      <c r="CK30" s="623"/>
      <c r="CL30" s="623"/>
      <c r="CM30" s="623"/>
      <c r="CN30" s="623"/>
      <c r="CO30" s="623"/>
      <c r="CP30" s="623"/>
      <c r="CQ30" s="659"/>
      <c r="CR30" s="660"/>
      <c r="CS30" s="623"/>
      <c r="CT30" s="623"/>
      <c r="CU30" s="623"/>
      <c r="CV30" s="623"/>
      <c r="CW30" s="623"/>
      <c r="CX30" s="623"/>
      <c r="CY30" s="623"/>
      <c r="CZ30" s="623"/>
      <c r="DA30" s="623"/>
      <c r="DB30" s="725"/>
      <c r="DC30" s="659"/>
      <c r="DD30" s="783"/>
      <c r="DE30" s="623"/>
      <c r="DF30" s="725"/>
      <c r="DG30" s="659"/>
      <c r="DH30" s="623"/>
      <c r="DI30" s="623"/>
      <c r="DJ30" s="623"/>
      <c r="DK30" s="659"/>
      <c r="DL30" s="897"/>
      <c r="DM30" s="110"/>
      <c r="DN30" s="110"/>
      <c r="DO30" s="110"/>
    </row>
    <row r="31" spans="1:122" s="112" customFormat="1" ht="18.95" customHeight="1">
      <c r="A31" s="109"/>
      <c r="B31" s="408">
        <v>11</v>
      </c>
      <c r="C31" s="621" t="s">
        <v>916</v>
      </c>
      <c r="D31" s="622" t="s">
        <v>917</v>
      </c>
      <c r="E31" s="621" t="s">
        <v>918</v>
      </c>
      <c r="F31" s="622"/>
      <c r="G31" s="621" t="s">
        <v>919</v>
      </c>
      <c r="H31" s="621" t="s">
        <v>920</v>
      </c>
      <c r="I31" s="390" t="s">
        <v>921</v>
      </c>
      <c r="J31" s="651"/>
      <c r="K31" s="669">
        <v>113.41</v>
      </c>
      <c r="L31" s="665">
        <v>113.41</v>
      </c>
      <c r="M31" s="625">
        <v>126.22</v>
      </c>
      <c r="N31" s="625">
        <v>144.61000000000001</v>
      </c>
      <c r="O31" s="625">
        <v>178.42</v>
      </c>
      <c r="P31" s="625">
        <v>184.21</v>
      </c>
      <c r="Q31" s="625">
        <v>194.79</v>
      </c>
      <c r="R31" s="625">
        <v>218.76</v>
      </c>
      <c r="S31" s="625">
        <v>212.95</v>
      </c>
      <c r="T31" s="625">
        <v>227.45</v>
      </c>
      <c r="U31" s="625">
        <v>205.37</v>
      </c>
      <c r="V31" s="625">
        <v>206.68</v>
      </c>
      <c r="W31" s="625">
        <v>212.13</v>
      </c>
      <c r="X31" s="625">
        <v>199.9</v>
      </c>
      <c r="Y31" s="625">
        <v>201.68</v>
      </c>
      <c r="Z31" s="625">
        <v>199.1</v>
      </c>
      <c r="AA31" s="625">
        <v>192.36</v>
      </c>
      <c r="AB31" s="625">
        <v>192.85</v>
      </c>
      <c r="AC31" s="625">
        <v>190.29</v>
      </c>
      <c r="AD31" s="625">
        <v>189.76</v>
      </c>
      <c r="AE31" s="625">
        <v>193.4</v>
      </c>
      <c r="AF31" s="625">
        <v>192.44</v>
      </c>
      <c r="AG31" s="625">
        <v>185.36</v>
      </c>
      <c r="AH31" s="625">
        <v>186.4</v>
      </c>
      <c r="AI31" s="764">
        <v>189.75</v>
      </c>
      <c r="AJ31" s="772">
        <v>190.39</v>
      </c>
      <c r="AK31" s="625">
        <v>210.88</v>
      </c>
      <c r="AL31" s="625">
        <v>217.96</v>
      </c>
      <c r="AM31" s="625">
        <v>217.02</v>
      </c>
      <c r="AN31" s="625">
        <v>223.9</v>
      </c>
      <c r="AO31" s="625">
        <v>225.46</v>
      </c>
      <c r="AP31" s="625">
        <v>224.88</v>
      </c>
      <c r="AQ31" s="625">
        <v>227.75</v>
      </c>
      <c r="AR31" s="625">
        <v>226.35</v>
      </c>
      <c r="AS31" s="625">
        <v>225.24</v>
      </c>
      <c r="AT31" s="625">
        <v>225.79</v>
      </c>
      <c r="AU31" s="764">
        <v>231.09</v>
      </c>
      <c r="AV31" s="752">
        <v>232.87</v>
      </c>
      <c r="AW31" s="626">
        <v>232.87</v>
      </c>
      <c r="AX31" s="626">
        <v>232.77</v>
      </c>
      <c r="AY31" s="626">
        <v>235.25</v>
      </c>
      <c r="AZ31" s="626">
        <v>235.06</v>
      </c>
      <c r="BA31" s="626">
        <v>234.9</v>
      </c>
      <c r="BB31" s="626">
        <v>235.38</v>
      </c>
      <c r="BC31" s="627">
        <v>243.08</v>
      </c>
      <c r="BD31" s="626">
        <v>235.04</v>
      </c>
      <c r="BE31" s="627">
        <v>249.89</v>
      </c>
      <c r="BF31" s="627">
        <v>253.6</v>
      </c>
      <c r="BG31" s="738">
        <v>258</v>
      </c>
      <c r="BH31" s="660">
        <v>258.47000000000003</v>
      </c>
      <c r="BI31" s="623">
        <v>270.86</v>
      </c>
      <c r="BJ31" s="623">
        <v>270.83999999999997</v>
      </c>
      <c r="BK31" s="623">
        <v>270.33999999999997</v>
      </c>
      <c r="BL31" s="623">
        <v>281.26</v>
      </c>
      <c r="BM31" s="623">
        <v>282.89999999999998</v>
      </c>
      <c r="BN31" s="623">
        <v>284.8</v>
      </c>
      <c r="BO31" s="623">
        <v>290.99</v>
      </c>
      <c r="BP31" s="623">
        <v>292.54000000000002</v>
      </c>
      <c r="BQ31" s="623">
        <v>292.82</v>
      </c>
      <c r="BR31" s="623">
        <v>294.74</v>
      </c>
      <c r="BS31" s="659">
        <v>296.44</v>
      </c>
      <c r="BT31" s="660">
        <v>297.22000000000003</v>
      </c>
      <c r="BU31" s="623">
        <v>300.66000000000003</v>
      </c>
      <c r="BV31" s="623">
        <v>306.42</v>
      </c>
      <c r="BW31" s="623">
        <v>308.35000000000002</v>
      </c>
      <c r="BX31" s="623">
        <v>322.92</v>
      </c>
      <c r="BY31" s="623">
        <v>322.35000000000002</v>
      </c>
      <c r="BZ31" s="623">
        <v>322.58</v>
      </c>
      <c r="CA31" s="623">
        <v>337.19</v>
      </c>
      <c r="CB31" s="623">
        <v>336.37</v>
      </c>
      <c r="CC31" s="623">
        <v>339.88</v>
      </c>
      <c r="CD31" s="623">
        <v>339.53</v>
      </c>
      <c r="CE31" s="659">
        <v>352.75</v>
      </c>
      <c r="CF31" s="660">
        <v>357.36</v>
      </c>
      <c r="CG31" s="623">
        <v>362.89</v>
      </c>
      <c r="CH31" s="623">
        <v>365.72</v>
      </c>
      <c r="CI31" s="623">
        <v>381.69</v>
      </c>
      <c r="CJ31" s="623">
        <v>382.04</v>
      </c>
      <c r="CK31" s="623">
        <v>386.31</v>
      </c>
      <c r="CL31" s="623">
        <v>386.2</v>
      </c>
      <c r="CM31" s="623">
        <v>392.1</v>
      </c>
      <c r="CN31" s="623">
        <v>395.08</v>
      </c>
      <c r="CO31" s="623">
        <v>404.31</v>
      </c>
      <c r="CP31" s="623">
        <v>399.16</v>
      </c>
      <c r="CQ31" s="659">
        <v>395.42</v>
      </c>
      <c r="CR31" s="660">
        <v>395.77</v>
      </c>
      <c r="CS31" s="623">
        <v>392.2</v>
      </c>
      <c r="CT31" s="623">
        <v>398.26</v>
      </c>
      <c r="CU31" s="623">
        <v>399.77</v>
      </c>
      <c r="CV31" s="623">
        <v>406.81</v>
      </c>
      <c r="CW31" s="623">
        <v>410.3</v>
      </c>
      <c r="CX31" s="623">
        <v>414.58</v>
      </c>
      <c r="CY31" s="623">
        <v>428.47</v>
      </c>
      <c r="CZ31" s="623">
        <v>437.68</v>
      </c>
      <c r="DA31" s="623">
        <v>437.56</v>
      </c>
      <c r="DB31" s="725">
        <v>437.44</v>
      </c>
      <c r="DC31" s="659">
        <v>440.52</v>
      </c>
      <c r="DD31" s="783">
        <v>440.16</v>
      </c>
      <c r="DE31" s="623">
        <v>454.02</v>
      </c>
      <c r="DF31" s="725">
        <v>453.9</v>
      </c>
      <c r="DG31" s="659">
        <v>454.84</v>
      </c>
      <c r="DH31" s="623">
        <v>455.43</v>
      </c>
      <c r="DI31" s="623">
        <v>459.85</v>
      </c>
      <c r="DJ31" s="623">
        <v>469.53</v>
      </c>
      <c r="DK31" s="659">
        <v>477.33</v>
      </c>
      <c r="DL31" s="897">
        <v>480.01</v>
      </c>
      <c r="DM31" s="110">
        <f t="shared" ref="DM31:DM94" si="0">+DL31/DK31</f>
        <v>1.0056145643475165</v>
      </c>
      <c r="DN31" s="110"/>
      <c r="DO31" s="110"/>
    </row>
    <row r="32" spans="1:122" s="112" customFormat="1" ht="18.95" customHeight="1">
      <c r="A32" s="109"/>
      <c r="B32" s="408">
        <v>12</v>
      </c>
      <c r="C32" s="621" t="s">
        <v>922</v>
      </c>
      <c r="D32" s="622" t="s">
        <v>923</v>
      </c>
      <c r="E32" s="621" t="s">
        <v>918</v>
      </c>
      <c r="F32" s="622"/>
      <c r="G32" s="621" t="s">
        <v>919</v>
      </c>
      <c r="H32" s="621" t="s">
        <v>920</v>
      </c>
      <c r="I32" s="390" t="s">
        <v>921</v>
      </c>
      <c r="J32" s="651"/>
      <c r="K32" s="669">
        <v>122.2</v>
      </c>
      <c r="L32" s="665">
        <v>133.5</v>
      </c>
      <c r="M32" s="625">
        <v>149.38</v>
      </c>
      <c r="N32" s="625">
        <v>156.33000000000001</v>
      </c>
      <c r="O32" s="625">
        <v>199.1</v>
      </c>
      <c r="P32" s="625">
        <v>199.71</v>
      </c>
      <c r="Q32" s="625">
        <v>239.56</v>
      </c>
      <c r="R32" s="625">
        <v>243.4</v>
      </c>
      <c r="S32" s="625">
        <v>244.74</v>
      </c>
      <c r="T32" s="625">
        <v>244.53</v>
      </c>
      <c r="U32" s="625">
        <v>244.08</v>
      </c>
      <c r="V32" s="625">
        <v>244.09</v>
      </c>
      <c r="W32" s="625">
        <v>244.12</v>
      </c>
      <c r="X32" s="625">
        <v>244.06</v>
      </c>
      <c r="Y32" s="625">
        <v>244.08</v>
      </c>
      <c r="Z32" s="625">
        <v>244.34</v>
      </c>
      <c r="AA32" s="625">
        <v>237.23</v>
      </c>
      <c r="AB32" s="625">
        <v>247.91</v>
      </c>
      <c r="AC32" s="625">
        <v>244.63</v>
      </c>
      <c r="AD32" s="625">
        <v>244.61</v>
      </c>
      <c r="AE32" s="625">
        <v>243.13</v>
      </c>
      <c r="AF32" s="625">
        <v>243.12</v>
      </c>
      <c r="AG32" s="625">
        <v>253.24</v>
      </c>
      <c r="AH32" s="625">
        <v>253.24</v>
      </c>
      <c r="AI32" s="764">
        <v>254.3</v>
      </c>
      <c r="AJ32" s="772">
        <v>255.32</v>
      </c>
      <c r="AK32" s="625">
        <v>256.32</v>
      </c>
      <c r="AL32" s="625">
        <v>257.08999999999997</v>
      </c>
      <c r="AM32" s="625">
        <v>257.08999999999997</v>
      </c>
      <c r="AN32" s="625">
        <v>272.64999999999998</v>
      </c>
      <c r="AO32" s="625">
        <v>277.92</v>
      </c>
      <c r="AP32" s="625">
        <v>283.10000000000002</v>
      </c>
      <c r="AQ32" s="625">
        <v>290.24</v>
      </c>
      <c r="AR32" s="625">
        <v>291.04000000000002</v>
      </c>
      <c r="AS32" s="625">
        <v>295.94</v>
      </c>
      <c r="AT32" s="625">
        <v>295.94</v>
      </c>
      <c r="AU32" s="764">
        <v>297.48</v>
      </c>
      <c r="AV32" s="752">
        <v>311.22000000000003</v>
      </c>
      <c r="AW32" s="626">
        <v>316.88</v>
      </c>
      <c r="AX32" s="626">
        <v>316.88</v>
      </c>
      <c r="AY32" s="626">
        <v>321.10000000000002</v>
      </c>
      <c r="AZ32" s="626">
        <v>321.10000000000002</v>
      </c>
      <c r="BA32" s="626">
        <v>321.10000000000002</v>
      </c>
      <c r="BB32" s="626">
        <v>349.07</v>
      </c>
      <c r="BC32" s="627">
        <v>349.07</v>
      </c>
      <c r="BD32" s="626">
        <v>330.13</v>
      </c>
      <c r="BE32" s="627">
        <v>333.68</v>
      </c>
      <c r="BF32" s="627">
        <v>342.77</v>
      </c>
      <c r="BG32" s="738">
        <v>342.69</v>
      </c>
      <c r="BH32" s="660">
        <v>350.3</v>
      </c>
      <c r="BI32" s="623">
        <v>356.28</v>
      </c>
      <c r="BJ32" s="623">
        <v>356.28</v>
      </c>
      <c r="BK32" s="623">
        <v>361.72</v>
      </c>
      <c r="BL32" s="623">
        <v>403.67</v>
      </c>
      <c r="BM32" s="623">
        <v>411.89</v>
      </c>
      <c r="BN32" s="623">
        <v>411.89</v>
      </c>
      <c r="BO32" s="623">
        <v>436.52</v>
      </c>
      <c r="BP32" s="623">
        <v>436.52</v>
      </c>
      <c r="BQ32" s="623">
        <v>437.62</v>
      </c>
      <c r="BR32" s="623">
        <v>437.62</v>
      </c>
      <c r="BS32" s="659">
        <v>438.15</v>
      </c>
      <c r="BT32" s="660">
        <v>438.15</v>
      </c>
      <c r="BU32" s="623">
        <v>418.7</v>
      </c>
      <c r="BV32" s="623">
        <v>438.7</v>
      </c>
      <c r="BW32" s="623">
        <v>453.28</v>
      </c>
      <c r="BX32" s="623">
        <v>453.28</v>
      </c>
      <c r="BY32" s="623">
        <v>456.25</v>
      </c>
      <c r="BZ32" s="623">
        <v>465.18</v>
      </c>
      <c r="CA32" s="623">
        <v>466.97</v>
      </c>
      <c r="CB32" s="623">
        <v>479.93</v>
      </c>
      <c r="CC32" s="623">
        <v>483.38</v>
      </c>
      <c r="CD32" s="623">
        <v>496.35</v>
      </c>
      <c r="CE32" s="659">
        <v>499.42</v>
      </c>
      <c r="CF32" s="660">
        <v>499.42</v>
      </c>
      <c r="CG32" s="623">
        <v>502.79</v>
      </c>
      <c r="CH32" s="623">
        <v>514.12</v>
      </c>
      <c r="CI32" s="623">
        <v>517.83000000000004</v>
      </c>
      <c r="CJ32" s="623">
        <v>520.44000000000005</v>
      </c>
      <c r="CK32" s="623">
        <v>538.39</v>
      </c>
      <c r="CL32" s="623">
        <v>538.39</v>
      </c>
      <c r="CM32" s="623">
        <v>556.9</v>
      </c>
      <c r="CN32" s="623">
        <v>556.9</v>
      </c>
      <c r="CO32" s="623">
        <v>558.76</v>
      </c>
      <c r="CP32" s="623">
        <v>560.85</v>
      </c>
      <c r="CQ32" s="659">
        <v>560.59</v>
      </c>
      <c r="CR32" s="660">
        <v>560.59</v>
      </c>
      <c r="CS32" s="623">
        <v>560.74</v>
      </c>
      <c r="CT32" s="623">
        <v>570.99</v>
      </c>
      <c r="CU32" s="623">
        <v>570.69000000000005</v>
      </c>
      <c r="CV32" s="623">
        <v>570.99</v>
      </c>
      <c r="CW32" s="623">
        <v>570.99</v>
      </c>
      <c r="CX32" s="623">
        <v>570.99</v>
      </c>
      <c r="CY32" s="623">
        <v>577.91999999999996</v>
      </c>
      <c r="CZ32" s="623">
        <v>582.36</v>
      </c>
      <c r="DA32" s="623">
        <v>582.36</v>
      </c>
      <c r="DB32" s="725">
        <v>582.36</v>
      </c>
      <c r="DC32" s="659">
        <v>594.38</v>
      </c>
      <c r="DD32" s="783">
        <v>596.20000000000005</v>
      </c>
      <c r="DE32" s="623">
        <v>604.69000000000005</v>
      </c>
      <c r="DF32" s="725">
        <v>616.61</v>
      </c>
      <c r="DG32" s="659">
        <v>628.63</v>
      </c>
      <c r="DH32" s="623">
        <v>642.91999999999996</v>
      </c>
      <c r="DI32" s="623">
        <v>644.25</v>
      </c>
      <c r="DJ32" s="623">
        <v>656.45</v>
      </c>
      <c r="DK32" s="659">
        <v>658.98</v>
      </c>
      <c r="DL32" s="897">
        <v>658.98</v>
      </c>
      <c r="DM32" s="110">
        <f t="shared" si="0"/>
        <v>1</v>
      </c>
      <c r="DN32" s="110"/>
      <c r="DO32" s="110"/>
    </row>
    <row r="33" spans="1:119" s="112" customFormat="1" ht="18.95" customHeight="1">
      <c r="A33" s="109"/>
      <c r="B33" s="408">
        <v>13</v>
      </c>
      <c r="C33" s="621"/>
      <c r="D33" s="622" t="s">
        <v>747</v>
      </c>
      <c r="E33" s="621" t="s">
        <v>918</v>
      </c>
      <c r="F33" s="621"/>
      <c r="G33" s="621" t="s">
        <v>924</v>
      </c>
      <c r="H33" s="621" t="s">
        <v>920</v>
      </c>
      <c r="I33" s="390" t="s">
        <v>925</v>
      </c>
      <c r="J33" s="675"/>
      <c r="K33" s="669">
        <v>96.2</v>
      </c>
      <c r="L33" s="665">
        <v>101.4</v>
      </c>
      <c r="M33" s="625">
        <v>118.6</v>
      </c>
      <c r="N33" s="625">
        <v>110.9</v>
      </c>
      <c r="O33" s="625">
        <v>129</v>
      </c>
      <c r="P33" s="625">
        <v>136.30000000000001</v>
      </c>
      <c r="Q33" s="625">
        <v>139.1</v>
      </c>
      <c r="R33" s="625">
        <v>137.19999999999999</v>
      </c>
      <c r="S33" s="625">
        <v>142.19999999999999</v>
      </c>
      <c r="T33" s="625">
        <v>142.4</v>
      </c>
      <c r="U33" s="625">
        <v>142.1</v>
      </c>
      <c r="V33" s="625">
        <v>140.80000000000001</v>
      </c>
      <c r="W33" s="625">
        <v>138.69999999999999</v>
      </c>
      <c r="X33" s="625">
        <v>138.5</v>
      </c>
      <c r="Y33" s="625">
        <v>140.1</v>
      </c>
      <c r="Z33" s="625">
        <v>137.69999999999999</v>
      </c>
      <c r="AA33" s="625">
        <v>136.69999999999999</v>
      </c>
      <c r="AB33" s="625">
        <v>135.80000000000001</v>
      </c>
      <c r="AC33" s="625">
        <v>135.4</v>
      </c>
      <c r="AD33" s="625">
        <v>131.80000000000001</v>
      </c>
      <c r="AE33" s="625">
        <v>134.9</v>
      </c>
      <c r="AF33" s="625">
        <v>134.80000000000001</v>
      </c>
      <c r="AG33" s="625">
        <v>145.5</v>
      </c>
      <c r="AH33" s="625">
        <v>146.19999999999999</v>
      </c>
      <c r="AI33" s="764">
        <v>147</v>
      </c>
      <c r="AJ33" s="772">
        <v>147.5</v>
      </c>
      <c r="AK33" s="625">
        <v>167.8</v>
      </c>
      <c r="AL33" s="625">
        <v>169.3</v>
      </c>
      <c r="AM33" s="625">
        <v>171.1</v>
      </c>
      <c r="AN33" s="625">
        <v>175.6</v>
      </c>
      <c r="AO33" s="625">
        <v>178.2</v>
      </c>
      <c r="AP33" s="625">
        <v>177.8</v>
      </c>
      <c r="AQ33" s="625">
        <v>183.5</v>
      </c>
      <c r="AR33" s="625">
        <v>183.5</v>
      </c>
      <c r="AS33" s="625">
        <v>196.2</v>
      </c>
      <c r="AT33" s="625">
        <v>197.5</v>
      </c>
      <c r="AU33" s="764">
        <v>197.5</v>
      </c>
      <c r="AV33" s="752">
        <v>200.6</v>
      </c>
      <c r="AW33" s="626">
        <v>200.6</v>
      </c>
      <c r="AX33" s="626">
        <v>203.2</v>
      </c>
      <c r="AY33" s="626">
        <v>207.4</v>
      </c>
      <c r="AZ33" s="626">
        <v>207.6</v>
      </c>
      <c r="BA33" s="626">
        <v>208.1</v>
      </c>
      <c r="BB33" s="626">
        <v>208.1</v>
      </c>
      <c r="BC33" s="627">
        <v>209</v>
      </c>
      <c r="BD33" s="626">
        <v>209</v>
      </c>
      <c r="BE33" s="627">
        <v>210.3</v>
      </c>
      <c r="BF33" s="627">
        <v>210.7</v>
      </c>
      <c r="BG33" s="738">
        <v>211.3</v>
      </c>
      <c r="BH33" s="660">
        <v>222.7</v>
      </c>
      <c r="BI33" s="623">
        <v>222.7</v>
      </c>
      <c r="BJ33" s="623">
        <v>222.7</v>
      </c>
      <c r="BK33" s="623">
        <v>223.1</v>
      </c>
      <c r="BL33" s="623">
        <v>239.2</v>
      </c>
      <c r="BM33" s="623">
        <v>252</v>
      </c>
      <c r="BN33" s="623">
        <v>255.5</v>
      </c>
      <c r="BO33" s="623">
        <v>260.39999999999998</v>
      </c>
      <c r="BP33" s="623">
        <v>259.89999999999998</v>
      </c>
      <c r="BQ33" s="623">
        <v>259.39999999999998</v>
      </c>
      <c r="BR33" s="623">
        <v>258</v>
      </c>
      <c r="BS33" s="659">
        <v>258</v>
      </c>
      <c r="BT33" s="660">
        <v>258</v>
      </c>
      <c r="BU33" s="623">
        <v>258</v>
      </c>
      <c r="BV33" s="623">
        <v>270.60000000000002</v>
      </c>
      <c r="BW33" s="623">
        <v>278.60000000000002</v>
      </c>
      <c r="BX33" s="623">
        <v>280.2</v>
      </c>
      <c r="BY33" s="623">
        <v>298</v>
      </c>
      <c r="BZ33" s="623">
        <v>299.60000000000002</v>
      </c>
      <c r="CA33" s="623">
        <v>306.3</v>
      </c>
      <c r="CB33" s="623">
        <v>311</v>
      </c>
      <c r="CC33" s="623">
        <v>318.10000000000002</v>
      </c>
      <c r="CD33" s="623">
        <v>318.10000000000002</v>
      </c>
      <c r="CE33" s="659">
        <v>318.39999999999998</v>
      </c>
      <c r="CF33" s="660">
        <v>325.89999999999998</v>
      </c>
      <c r="CG33" s="623">
        <v>330.6</v>
      </c>
      <c r="CH33" s="623">
        <v>334.2</v>
      </c>
      <c r="CI33" s="623">
        <v>347.9</v>
      </c>
      <c r="CJ33" s="623">
        <v>350.2</v>
      </c>
      <c r="CK33" s="623">
        <v>373.4</v>
      </c>
      <c r="CL33" s="623">
        <v>370.7</v>
      </c>
      <c r="CM33" s="623">
        <v>382.7</v>
      </c>
      <c r="CN33" s="623">
        <v>383.6</v>
      </c>
      <c r="CO33" s="623">
        <v>383.9</v>
      </c>
      <c r="CP33" s="623">
        <v>383.6</v>
      </c>
      <c r="CQ33" s="659">
        <v>389</v>
      </c>
      <c r="CR33" s="660">
        <v>385.9</v>
      </c>
      <c r="CS33" s="623">
        <v>385.4</v>
      </c>
      <c r="CT33" s="623">
        <v>380</v>
      </c>
      <c r="CU33" s="623">
        <v>376.9</v>
      </c>
      <c r="CV33" s="623">
        <v>376.9</v>
      </c>
      <c r="CW33" s="623">
        <v>375.9</v>
      </c>
      <c r="CX33" s="623">
        <v>377.3</v>
      </c>
      <c r="CY33" s="623">
        <v>376.6</v>
      </c>
      <c r="CZ33" s="623">
        <v>380.8</v>
      </c>
      <c r="DA33" s="623">
        <v>392.4</v>
      </c>
      <c r="DB33" s="725">
        <v>395</v>
      </c>
      <c r="DC33" s="659">
        <v>400.6</v>
      </c>
      <c r="DD33" s="783">
        <v>401.4</v>
      </c>
      <c r="DE33" s="623">
        <v>407.2</v>
      </c>
      <c r="DF33" s="725">
        <v>407.2</v>
      </c>
      <c r="DG33" s="659">
        <v>413.7</v>
      </c>
      <c r="DH33" s="623">
        <v>423.2</v>
      </c>
      <c r="DI33" s="623">
        <v>424.6</v>
      </c>
      <c r="DJ33" s="623">
        <v>425.3</v>
      </c>
      <c r="DK33" s="659">
        <v>430.9</v>
      </c>
      <c r="DL33" s="897">
        <v>433</v>
      </c>
      <c r="DM33" s="110">
        <f t="shared" si="0"/>
        <v>1.0048735205384081</v>
      </c>
      <c r="DN33" s="110"/>
      <c r="DO33" s="110"/>
    </row>
    <row r="34" spans="1:119" s="112" customFormat="1" ht="18.95" customHeight="1">
      <c r="A34" s="109"/>
      <c r="B34" s="408">
        <v>14</v>
      </c>
      <c r="C34" s="621"/>
      <c r="D34" s="622" t="s">
        <v>926</v>
      </c>
      <c r="E34" s="621" t="s">
        <v>918</v>
      </c>
      <c r="F34" s="621"/>
      <c r="G34" s="621" t="s">
        <v>924</v>
      </c>
      <c r="H34" s="621" t="s">
        <v>920</v>
      </c>
      <c r="I34" s="390" t="s">
        <v>925</v>
      </c>
      <c r="J34" s="675"/>
      <c r="K34" s="669">
        <v>104.7</v>
      </c>
      <c r="L34" s="665">
        <v>111.8</v>
      </c>
      <c r="M34" s="625">
        <v>125.4</v>
      </c>
      <c r="N34" s="625">
        <v>123.8</v>
      </c>
      <c r="O34" s="625">
        <v>142.69999999999999</v>
      </c>
      <c r="P34" s="625">
        <v>151.9</v>
      </c>
      <c r="Q34" s="625">
        <v>162.80000000000001</v>
      </c>
      <c r="R34" s="625">
        <v>170.6</v>
      </c>
      <c r="S34" s="625">
        <v>172.8</v>
      </c>
      <c r="T34" s="625">
        <v>174.5</v>
      </c>
      <c r="U34" s="625">
        <v>174.5</v>
      </c>
      <c r="V34" s="625">
        <v>171</v>
      </c>
      <c r="W34" s="625">
        <v>166.5</v>
      </c>
      <c r="X34" s="625">
        <v>165.1</v>
      </c>
      <c r="Y34" s="625">
        <v>164.4</v>
      </c>
      <c r="Z34" s="625">
        <v>159.80000000000001</v>
      </c>
      <c r="AA34" s="625">
        <v>159.5</v>
      </c>
      <c r="AB34" s="625">
        <v>159.5</v>
      </c>
      <c r="AC34" s="625">
        <v>158.30000000000001</v>
      </c>
      <c r="AD34" s="625">
        <v>159.4</v>
      </c>
      <c r="AE34" s="625">
        <v>160.19999999999999</v>
      </c>
      <c r="AF34" s="625">
        <v>159.9</v>
      </c>
      <c r="AG34" s="625">
        <v>160.21979999999999</v>
      </c>
      <c r="AH34" s="625">
        <v>160.30000000000001</v>
      </c>
      <c r="AI34" s="764">
        <v>160.19999999999999</v>
      </c>
      <c r="AJ34" s="772">
        <v>160.30000000000001</v>
      </c>
      <c r="AK34" s="625">
        <v>161.5</v>
      </c>
      <c r="AL34" s="625">
        <v>165.2</v>
      </c>
      <c r="AM34" s="625">
        <v>176</v>
      </c>
      <c r="AN34" s="625">
        <v>188</v>
      </c>
      <c r="AO34" s="625">
        <v>194.8</v>
      </c>
      <c r="AP34" s="625">
        <v>190.9</v>
      </c>
      <c r="AQ34" s="625">
        <v>189.2</v>
      </c>
      <c r="AR34" s="625">
        <v>189.2</v>
      </c>
      <c r="AS34" s="625">
        <v>190.2</v>
      </c>
      <c r="AT34" s="625">
        <v>191.9</v>
      </c>
      <c r="AU34" s="764">
        <v>198.4</v>
      </c>
      <c r="AV34" s="752">
        <v>207.8</v>
      </c>
      <c r="AW34" s="626">
        <v>207.8</v>
      </c>
      <c r="AX34" s="626">
        <v>207.8</v>
      </c>
      <c r="AY34" s="626">
        <v>211.1</v>
      </c>
      <c r="AZ34" s="626">
        <v>212.8</v>
      </c>
      <c r="BA34" s="626">
        <v>214.8</v>
      </c>
      <c r="BB34" s="626">
        <v>215.6</v>
      </c>
      <c r="BC34" s="627">
        <v>217.7</v>
      </c>
      <c r="BD34" s="626">
        <v>217.7</v>
      </c>
      <c r="BE34" s="627">
        <v>223</v>
      </c>
      <c r="BF34" s="627">
        <v>230.1</v>
      </c>
      <c r="BG34" s="738">
        <v>232.6</v>
      </c>
      <c r="BH34" s="660">
        <v>233.5</v>
      </c>
      <c r="BI34" s="623">
        <v>236.3</v>
      </c>
      <c r="BJ34" s="623">
        <v>237.9</v>
      </c>
      <c r="BK34" s="623">
        <v>251.2</v>
      </c>
      <c r="BL34" s="623">
        <v>256.60000000000002</v>
      </c>
      <c r="BM34" s="623">
        <v>255.9</v>
      </c>
      <c r="BN34" s="623">
        <v>257.5</v>
      </c>
      <c r="BO34" s="623">
        <v>260.39999999999998</v>
      </c>
      <c r="BP34" s="623">
        <v>260.39999999999998</v>
      </c>
      <c r="BQ34" s="623">
        <v>259.8</v>
      </c>
      <c r="BR34" s="623">
        <v>257.7</v>
      </c>
      <c r="BS34" s="659">
        <v>257.7</v>
      </c>
      <c r="BT34" s="660">
        <v>256.2</v>
      </c>
      <c r="BU34" s="623">
        <v>256.8</v>
      </c>
      <c r="BV34" s="623">
        <v>269.60000000000002</v>
      </c>
      <c r="BW34" s="623">
        <v>280.89999999999998</v>
      </c>
      <c r="BX34" s="623">
        <v>281.3</v>
      </c>
      <c r="BY34" s="623">
        <v>284.2</v>
      </c>
      <c r="BZ34" s="623">
        <v>292</v>
      </c>
      <c r="CA34" s="623">
        <v>314.39999999999998</v>
      </c>
      <c r="CB34" s="623">
        <v>314.10000000000002</v>
      </c>
      <c r="CC34" s="623">
        <v>315.39999999999998</v>
      </c>
      <c r="CD34" s="623">
        <v>316.60000000000002</v>
      </c>
      <c r="CE34" s="659">
        <v>326.60000000000002</v>
      </c>
      <c r="CF34" s="660">
        <v>341.3</v>
      </c>
      <c r="CG34" s="623">
        <v>344.1</v>
      </c>
      <c r="CH34" s="623">
        <v>343.2</v>
      </c>
      <c r="CI34" s="623">
        <v>343.9</v>
      </c>
      <c r="CJ34" s="623">
        <v>374.7</v>
      </c>
      <c r="CK34" s="623">
        <v>372.2</v>
      </c>
      <c r="CL34" s="623">
        <v>384.5</v>
      </c>
      <c r="CM34" s="623">
        <v>388.1</v>
      </c>
      <c r="CN34" s="623">
        <v>388.2</v>
      </c>
      <c r="CO34" s="623">
        <v>388.2</v>
      </c>
      <c r="CP34" s="623">
        <v>388.2</v>
      </c>
      <c r="CQ34" s="659">
        <v>389.6</v>
      </c>
      <c r="CR34" s="660">
        <v>388.8</v>
      </c>
      <c r="CS34" s="623">
        <v>388.8</v>
      </c>
      <c r="CT34" s="623">
        <v>391.2</v>
      </c>
      <c r="CU34" s="623">
        <v>396.2</v>
      </c>
      <c r="CV34" s="623">
        <v>401.4</v>
      </c>
      <c r="CW34" s="623">
        <v>401.2</v>
      </c>
      <c r="CX34" s="623">
        <v>401.2</v>
      </c>
      <c r="CY34" s="623">
        <v>402.8</v>
      </c>
      <c r="CZ34" s="623">
        <v>409.1</v>
      </c>
      <c r="DA34" s="623">
        <v>409.1</v>
      </c>
      <c r="DB34" s="725">
        <v>409.1</v>
      </c>
      <c r="DC34" s="659">
        <v>427.2</v>
      </c>
      <c r="DD34" s="783">
        <v>428.1</v>
      </c>
      <c r="DE34" s="623">
        <v>432.6</v>
      </c>
      <c r="DF34" s="725">
        <v>432.6</v>
      </c>
      <c r="DG34" s="659">
        <v>432.2</v>
      </c>
      <c r="DH34" s="623">
        <v>458.4</v>
      </c>
      <c r="DI34" s="623">
        <v>467.1</v>
      </c>
      <c r="DJ34" s="623">
        <v>467.1</v>
      </c>
      <c r="DK34" s="659">
        <v>514.79999999999995</v>
      </c>
      <c r="DL34" s="897">
        <v>518.9</v>
      </c>
      <c r="DM34" s="110">
        <f t="shared" si="0"/>
        <v>1.007964257964258</v>
      </c>
      <c r="DN34" s="110"/>
      <c r="DO34" s="110"/>
    </row>
    <row r="35" spans="1:119" s="112" customFormat="1" ht="18.95" customHeight="1">
      <c r="A35" s="109"/>
      <c r="B35" s="408">
        <v>15</v>
      </c>
      <c r="C35" s="621"/>
      <c r="D35" s="622" t="s">
        <v>927</v>
      </c>
      <c r="E35" s="621" t="s">
        <v>918</v>
      </c>
      <c r="F35" s="621"/>
      <c r="G35" s="621" t="s">
        <v>924</v>
      </c>
      <c r="H35" s="621" t="s">
        <v>920</v>
      </c>
      <c r="I35" s="390" t="s">
        <v>925</v>
      </c>
      <c r="J35" s="675"/>
      <c r="K35" s="669">
        <v>108.2</v>
      </c>
      <c r="L35" s="665">
        <v>108.2</v>
      </c>
      <c r="M35" s="625">
        <v>110.1</v>
      </c>
      <c r="N35" s="625">
        <v>117.4</v>
      </c>
      <c r="O35" s="625">
        <v>129</v>
      </c>
      <c r="P35" s="625">
        <v>129</v>
      </c>
      <c r="Q35" s="625">
        <v>137.4</v>
      </c>
      <c r="R35" s="625">
        <v>147.1</v>
      </c>
      <c r="S35" s="625">
        <v>160</v>
      </c>
      <c r="T35" s="625">
        <v>160</v>
      </c>
      <c r="U35" s="625">
        <v>160</v>
      </c>
      <c r="V35" s="625">
        <v>163.69999999999999</v>
      </c>
      <c r="W35" s="625">
        <v>164.7</v>
      </c>
      <c r="X35" s="625">
        <v>162.6</v>
      </c>
      <c r="Y35" s="625">
        <v>169.5</v>
      </c>
      <c r="Z35" s="625">
        <v>147.9</v>
      </c>
      <c r="AA35" s="625">
        <v>147.9</v>
      </c>
      <c r="AB35" s="625">
        <v>146.6</v>
      </c>
      <c r="AC35" s="625">
        <v>146.6</v>
      </c>
      <c r="AD35" s="625">
        <v>146.6</v>
      </c>
      <c r="AE35" s="625">
        <v>146.6</v>
      </c>
      <c r="AF35" s="625">
        <v>146.6</v>
      </c>
      <c r="AG35" s="625">
        <v>146.6</v>
      </c>
      <c r="AH35" s="625">
        <v>146.6</v>
      </c>
      <c r="AI35" s="764">
        <v>154</v>
      </c>
      <c r="AJ35" s="772">
        <v>152.9</v>
      </c>
      <c r="AK35" s="625">
        <v>157.30000000000001</v>
      </c>
      <c r="AL35" s="625">
        <v>163.9</v>
      </c>
      <c r="AM35" s="625">
        <v>167.4</v>
      </c>
      <c r="AN35" s="625">
        <v>168.1</v>
      </c>
      <c r="AO35" s="625">
        <v>169</v>
      </c>
      <c r="AP35" s="625">
        <v>169</v>
      </c>
      <c r="AQ35" s="625">
        <v>171.3</v>
      </c>
      <c r="AR35" s="625">
        <v>152.19999999999999</v>
      </c>
      <c r="AS35" s="625">
        <v>152.19999999999999</v>
      </c>
      <c r="AT35" s="625">
        <v>152.19999999999999</v>
      </c>
      <c r="AU35" s="764">
        <v>151.6</v>
      </c>
      <c r="AV35" s="752">
        <v>153.4</v>
      </c>
      <c r="AW35" s="626">
        <v>153.4</v>
      </c>
      <c r="AX35" s="626">
        <v>153.4</v>
      </c>
      <c r="AY35" s="626">
        <v>153.4</v>
      </c>
      <c r="AZ35" s="626">
        <v>154.1</v>
      </c>
      <c r="BA35" s="626">
        <v>154.1</v>
      </c>
      <c r="BB35" s="626">
        <v>154.30000000000001</v>
      </c>
      <c r="BC35" s="627">
        <v>155.4</v>
      </c>
      <c r="BD35" s="626">
        <v>159.30000000000001</v>
      </c>
      <c r="BE35" s="627">
        <v>157.30000000000001</v>
      </c>
      <c r="BF35" s="627">
        <v>159.6</v>
      </c>
      <c r="BG35" s="738">
        <v>160.5</v>
      </c>
      <c r="BH35" s="660">
        <v>160.5</v>
      </c>
      <c r="BI35" s="623">
        <v>161.30000000000001</v>
      </c>
      <c r="BJ35" s="623">
        <v>161.30000000000001</v>
      </c>
      <c r="BK35" s="623">
        <v>161.5</v>
      </c>
      <c r="BL35" s="623">
        <v>166.2</v>
      </c>
      <c r="BM35" s="623">
        <v>167.9</v>
      </c>
      <c r="BN35" s="623">
        <v>167.9</v>
      </c>
      <c r="BO35" s="623">
        <v>167.9</v>
      </c>
      <c r="BP35" s="623">
        <v>167.9</v>
      </c>
      <c r="BQ35" s="623">
        <v>167.7</v>
      </c>
      <c r="BR35" s="623">
        <v>167.2</v>
      </c>
      <c r="BS35" s="659">
        <v>167.2</v>
      </c>
      <c r="BT35" s="660">
        <v>169.1</v>
      </c>
      <c r="BU35" s="623">
        <v>169.9</v>
      </c>
      <c r="BV35" s="623">
        <v>176.6</v>
      </c>
      <c r="BW35" s="623">
        <v>182.5</v>
      </c>
      <c r="BX35" s="623">
        <v>184</v>
      </c>
      <c r="BY35" s="623">
        <v>185.4</v>
      </c>
      <c r="BZ35" s="623">
        <v>184.7</v>
      </c>
      <c r="CA35" s="623">
        <v>192.6</v>
      </c>
      <c r="CB35" s="623">
        <v>192.6</v>
      </c>
      <c r="CC35" s="623">
        <v>194.7</v>
      </c>
      <c r="CD35" s="623">
        <v>196.8</v>
      </c>
      <c r="CE35" s="659">
        <v>197.1</v>
      </c>
      <c r="CF35" s="660">
        <v>197.1</v>
      </c>
      <c r="CG35" s="623">
        <v>199.8</v>
      </c>
      <c r="CH35" s="623">
        <v>204.1</v>
      </c>
      <c r="CI35" s="623">
        <v>211.5</v>
      </c>
      <c r="CJ35" s="623">
        <v>219</v>
      </c>
      <c r="CK35" s="623">
        <v>224.4</v>
      </c>
      <c r="CL35" s="623">
        <v>223</v>
      </c>
      <c r="CM35" s="623">
        <v>225.5</v>
      </c>
      <c r="CN35" s="623">
        <v>227.9</v>
      </c>
      <c r="CO35" s="623">
        <v>221</v>
      </c>
      <c r="CP35" s="623">
        <v>222.2</v>
      </c>
      <c r="CQ35" s="659">
        <v>228.2</v>
      </c>
      <c r="CR35" s="660">
        <v>221.9</v>
      </c>
      <c r="CS35" s="623">
        <v>227</v>
      </c>
      <c r="CT35" s="623">
        <v>226.3</v>
      </c>
      <c r="CU35" s="623">
        <v>227</v>
      </c>
      <c r="CV35" s="623">
        <v>227</v>
      </c>
      <c r="CW35" s="623">
        <v>232.5</v>
      </c>
      <c r="CX35" s="623">
        <v>235.4</v>
      </c>
      <c r="CY35" s="623">
        <v>240.9</v>
      </c>
      <c r="CZ35" s="623">
        <v>247</v>
      </c>
      <c r="DA35" s="623">
        <v>259.2</v>
      </c>
      <c r="DB35" s="725">
        <v>260.39999999999998</v>
      </c>
      <c r="DC35" s="659">
        <v>260.39999999999998</v>
      </c>
      <c r="DD35" s="783">
        <v>264</v>
      </c>
      <c r="DE35" s="623">
        <v>278.3</v>
      </c>
      <c r="DF35" s="725">
        <v>279.7</v>
      </c>
      <c r="DG35" s="659">
        <v>283.8</v>
      </c>
      <c r="DH35" s="623">
        <v>295.39999999999998</v>
      </c>
      <c r="DI35" s="623">
        <v>297.39999999999998</v>
      </c>
      <c r="DJ35" s="623">
        <v>299.2</v>
      </c>
      <c r="DK35" s="659">
        <v>299.5</v>
      </c>
      <c r="DL35" s="897">
        <v>303.60000000000002</v>
      </c>
      <c r="DM35" s="110">
        <f t="shared" si="0"/>
        <v>1.0136894824707847</v>
      </c>
      <c r="DN35" s="110"/>
      <c r="DO35" s="110"/>
    </row>
    <row r="36" spans="1:119" s="112" customFormat="1" ht="21" customHeight="1">
      <c r="A36" s="109"/>
      <c r="B36" s="408">
        <v>16</v>
      </c>
      <c r="C36" s="621" t="s">
        <v>536</v>
      </c>
      <c r="D36" s="622" t="s">
        <v>928</v>
      </c>
      <c r="E36" s="621" t="s">
        <v>918</v>
      </c>
      <c r="F36" s="622"/>
      <c r="G36" s="621" t="s">
        <v>929</v>
      </c>
      <c r="H36" s="621" t="s">
        <v>930</v>
      </c>
      <c r="I36" s="390" t="s">
        <v>931</v>
      </c>
      <c r="J36" s="651"/>
      <c r="K36" s="669">
        <v>122</v>
      </c>
      <c r="L36" s="665">
        <v>128.9</v>
      </c>
      <c r="M36" s="625">
        <v>150.5</v>
      </c>
      <c r="N36" s="625">
        <v>150.5</v>
      </c>
      <c r="O36" s="625">
        <v>155.5</v>
      </c>
      <c r="P36" s="625">
        <v>185.2</v>
      </c>
      <c r="Q36" s="625">
        <v>180.4</v>
      </c>
      <c r="R36" s="625">
        <v>189.2</v>
      </c>
      <c r="S36" s="625">
        <v>192.2</v>
      </c>
      <c r="T36" s="625">
        <v>193.3</v>
      </c>
      <c r="U36" s="625">
        <v>193.3</v>
      </c>
      <c r="V36" s="625">
        <v>193.3</v>
      </c>
      <c r="W36" s="625">
        <v>193.3</v>
      </c>
      <c r="X36" s="625">
        <v>189.7</v>
      </c>
      <c r="Y36" s="625">
        <v>189.7</v>
      </c>
      <c r="Z36" s="625">
        <v>193.3</v>
      </c>
      <c r="AA36" s="625">
        <v>196.1</v>
      </c>
      <c r="AB36" s="625">
        <v>193.3</v>
      </c>
      <c r="AC36" s="625">
        <v>195.8</v>
      </c>
      <c r="AD36" s="625">
        <v>198</v>
      </c>
      <c r="AE36" s="625">
        <v>198</v>
      </c>
      <c r="AF36" s="625">
        <v>198</v>
      </c>
      <c r="AG36" s="625">
        <v>200.3</v>
      </c>
      <c r="AH36" s="625">
        <v>194.5</v>
      </c>
      <c r="AI36" s="764">
        <v>199.4</v>
      </c>
      <c r="AJ36" s="772">
        <v>201.1</v>
      </c>
      <c r="AK36" s="625">
        <v>201.1</v>
      </c>
      <c r="AL36" s="625">
        <v>212.2</v>
      </c>
      <c r="AM36" s="625">
        <v>213.6</v>
      </c>
      <c r="AN36" s="625">
        <v>213.6</v>
      </c>
      <c r="AO36" s="625">
        <v>213.6</v>
      </c>
      <c r="AP36" s="625">
        <v>216.2</v>
      </c>
      <c r="AQ36" s="625">
        <v>216.2</v>
      </c>
      <c r="AR36" s="625">
        <v>216.2</v>
      </c>
      <c r="AS36" s="625">
        <v>216.2</v>
      </c>
      <c r="AT36" s="625">
        <v>216.2</v>
      </c>
      <c r="AU36" s="764">
        <v>216.2</v>
      </c>
      <c r="AV36" s="752">
        <v>218.1</v>
      </c>
      <c r="AW36" s="626">
        <v>218.1</v>
      </c>
      <c r="AX36" s="626">
        <v>224.7</v>
      </c>
      <c r="AY36" s="626">
        <v>224.7</v>
      </c>
      <c r="AZ36" s="626">
        <v>224.7</v>
      </c>
      <c r="BA36" s="626">
        <v>224.7</v>
      </c>
      <c r="BB36" s="626">
        <v>224.7</v>
      </c>
      <c r="BC36" s="627">
        <v>224.7</v>
      </c>
      <c r="BD36" s="626">
        <v>225.6</v>
      </c>
      <c r="BE36" s="627">
        <v>225.6</v>
      </c>
      <c r="BF36" s="627">
        <v>229.3</v>
      </c>
      <c r="BG36" s="738">
        <v>229.3</v>
      </c>
      <c r="BH36" s="660">
        <v>232.9</v>
      </c>
      <c r="BI36" s="623">
        <v>234.5</v>
      </c>
      <c r="BJ36" s="623">
        <v>248.1</v>
      </c>
      <c r="BK36" s="623">
        <v>255.1</v>
      </c>
      <c r="BL36" s="623">
        <v>296.8</v>
      </c>
      <c r="BM36" s="623">
        <v>305.8</v>
      </c>
      <c r="BN36" s="623">
        <v>305.8</v>
      </c>
      <c r="BO36" s="623">
        <v>305.8</v>
      </c>
      <c r="BP36" s="623">
        <v>305.8</v>
      </c>
      <c r="BQ36" s="623">
        <v>305.8</v>
      </c>
      <c r="BR36" s="623">
        <v>305.8</v>
      </c>
      <c r="BS36" s="659">
        <v>305.8</v>
      </c>
      <c r="BT36" s="660">
        <v>305.8</v>
      </c>
      <c r="BU36" s="623">
        <v>305.8</v>
      </c>
      <c r="BV36" s="623">
        <v>305.8</v>
      </c>
      <c r="BW36" s="623">
        <v>305.8</v>
      </c>
      <c r="BX36" s="623">
        <v>312.60000000000002</v>
      </c>
      <c r="BY36" s="623">
        <v>312.60000000000002</v>
      </c>
      <c r="BZ36" s="623">
        <v>316.10000000000002</v>
      </c>
      <c r="CA36" s="623">
        <v>319</v>
      </c>
      <c r="CB36" s="623">
        <v>320.89999999999998</v>
      </c>
      <c r="CC36" s="623">
        <v>347.9</v>
      </c>
      <c r="CD36" s="623">
        <v>347.9</v>
      </c>
      <c r="CE36" s="659">
        <v>347.9</v>
      </c>
      <c r="CF36" s="660">
        <v>345.6</v>
      </c>
      <c r="CG36" s="623">
        <v>345.6</v>
      </c>
      <c r="CH36" s="623">
        <v>347.8</v>
      </c>
      <c r="CI36" s="623">
        <v>352.6</v>
      </c>
      <c r="CJ36" s="623">
        <v>360.8</v>
      </c>
      <c r="CK36" s="623">
        <v>375.3</v>
      </c>
      <c r="CL36" s="623">
        <v>379.5</v>
      </c>
      <c r="CM36" s="623">
        <v>386.8</v>
      </c>
      <c r="CN36" s="623">
        <v>393.4</v>
      </c>
      <c r="CO36" s="623">
        <v>397.5</v>
      </c>
      <c r="CP36" s="623">
        <v>397.5</v>
      </c>
      <c r="CQ36" s="659">
        <v>397.5</v>
      </c>
      <c r="CR36" s="660">
        <v>397.5</v>
      </c>
      <c r="CS36" s="623">
        <v>403.6</v>
      </c>
      <c r="CT36" s="623">
        <v>403.6</v>
      </c>
      <c r="CU36" s="623">
        <v>403.6</v>
      </c>
      <c r="CV36" s="623">
        <v>406.8</v>
      </c>
      <c r="CW36" s="623">
        <v>406.8</v>
      </c>
      <c r="CX36" s="623">
        <v>406.8</v>
      </c>
      <c r="CY36" s="623">
        <v>416.9</v>
      </c>
      <c r="CZ36" s="623">
        <v>416.9</v>
      </c>
      <c r="DA36" s="623">
        <v>435.8</v>
      </c>
      <c r="DB36" s="725">
        <v>435.8</v>
      </c>
      <c r="DC36" s="659">
        <v>435.8</v>
      </c>
      <c r="DD36" s="783">
        <v>448.3</v>
      </c>
      <c r="DE36" s="623">
        <v>453.5</v>
      </c>
      <c r="DF36" s="725">
        <v>469.3</v>
      </c>
      <c r="DG36" s="659">
        <v>469.3</v>
      </c>
      <c r="DH36" s="623">
        <v>469.3</v>
      </c>
      <c r="DI36" s="623">
        <v>476.7</v>
      </c>
      <c r="DJ36" s="623">
        <v>489.3</v>
      </c>
      <c r="DK36" s="659">
        <v>496.9</v>
      </c>
      <c r="DL36" s="897">
        <v>500.2</v>
      </c>
      <c r="DM36" s="110">
        <f t="shared" si="0"/>
        <v>1.0066411752867781</v>
      </c>
      <c r="DN36" s="110"/>
      <c r="DO36" s="110"/>
    </row>
    <row r="37" spans="1:119" s="112" customFormat="1" ht="18.95" customHeight="1">
      <c r="A37" s="109"/>
      <c r="B37" s="408">
        <v>17</v>
      </c>
      <c r="C37" s="621"/>
      <c r="D37" s="622" t="s">
        <v>932</v>
      </c>
      <c r="E37" s="621" t="s">
        <v>918</v>
      </c>
      <c r="F37" s="621"/>
      <c r="G37" s="632" t="s">
        <v>924</v>
      </c>
      <c r="H37" s="621" t="s">
        <v>920</v>
      </c>
      <c r="I37" s="390" t="s">
        <v>925</v>
      </c>
      <c r="J37" s="675"/>
      <c r="K37" s="669">
        <v>95.6</v>
      </c>
      <c r="L37" s="665">
        <v>102.6</v>
      </c>
      <c r="M37" s="625">
        <v>108.5</v>
      </c>
      <c r="N37" s="625">
        <v>126.6</v>
      </c>
      <c r="O37" s="625">
        <v>138.69999999999999</v>
      </c>
      <c r="P37" s="625">
        <v>153</v>
      </c>
      <c r="Q37" s="625">
        <v>158.69999999999999</v>
      </c>
      <c r="R37" s="625">
        <v>161.4</v>
      </c>
      <c r="S37" s="625">
        <v>161.4</v>
      </c>
      <c r="T37" s="625">
        <v>159.9</v>
      </c>
      <c r="U37" s="625">
        <v>155.80000000000001</v>
      </c>
      <c r="V37" s="625">
        <v>159</v>
      </c>
      <c r="W37" s="625">
        <v>158.69999999999999</v>
      </c>
      <c r="X37" s="625">
        <v>156</v>
      </c>
      <c r="Y37" s="625">
        <v>149.19999999999999</v>
      </c>
      <c r="Z37" s="625">
        <v>148</v>
      </c>
      <c r="AA37" s="625">
        <v>147.19999999999999</v>
      </c>
      <c r="AB37" s="625">
        <v>147.19999999999999</v>
      </c>
      <c r="AC37" s="625">
        <v>147.19999999999999</v>
      </c>
      <c r="AD37" s="625">
        <v>147.19999999999999</v>
      </c>
      <c r="AE37" s="625">
        <v>147.19999999999999</v>
      </c>
      <c r="AF37" s="625">
        <v>147.19999999999999</v>
      </c>
      <c r="AG37" s="625">
        <v>147.19999999999999</v>
      </c>
      <c r="AH37" s="625">
        <v>146.19999999999999</v>
      </c>
      <c r="AI37" s="764">
        <v>150.1</v>
      </c>
      <c r="AJ37" s="772">
        <v>149</v>
      </c>
      <c r="AK37" s="625">
        <v>156</v>
      </c>
      <c r="AL37" s="625">
        <v>170.1</v>
      </c>
      <c r="AM37" s="625">
        <v>181.1</v>
      </c>
      <c r="AN37" s="625">
        <v>182</v>
      </c>
      <c r="AO37" s="625">
        <v>181.7</v>
      </c>
      <c r="AP37" s="625">
        <v>187</v>
      </c>
      <c r="AQ37" s="625">
        <v>187</v>
      </c>
      <c r="AR37" s="625">
        <v>185.5</v>
      </c>
      <c r="AS37" s="625">
        <v>185.6</v>
      </c>
      <c r="AT37" s="625">
        <v>185.6</v>
      </c>
      <c r="AU37" s="764">
        <v>185.6</v>
      </c>
      <c r="AV37" s="752">
        <v>187.4</v>
      </c>
      <c r="AW37" s="626">
        <v>184</v>
      </c>
      <c r="AX37" s="626">
        <v>189.3</v>
      </c>
      <c r="AY37" s="626">
        <v>196.8</v>
      </c>
      <c r="AZ37" s="626">
        <v>195</v>
      </c>
      <c r="BA37" s="626">
        <v>196.2</v>
      </c>
      <c r="BB37" s="626">
        <v>196.5</v>
      </c>
      <c r="BC37" s="627">
        <v>197</v>
      </c>
      <c r="BD37" s="626">
        <v>195.9</v>
      </c>
      <c r="BE37" s="627">
        <v>203.6</v>
      </c>
      <c r="BF37" s="627">
        <v>204.1</v>
      </c>
      <c r="BG37" s="738">
        <v>212.1</v>
      </c>
      <c r="BH37" s="660">
        <v>215.6</v>
      </c>
      <c r="BI37" s="623">
        <v>227.3</v>
      </c>
      <c r="BJ37" s="623">
        <v>231.5</v>
      </c>
      <c r="BK37" s="623">
        <v>238.9</v>
      </c>
      <c r="BL37" s="623">
        <v>337.5</v>
      </c>
      <c r="BM37" s="623">
        <v>339.9</v>
      </c>
      <c r="BN37" s="623">
        <v>329.7</v>
      </c>
      <c r="BO37" s="623">
        <v>329.7</v>
      </c>
      <c r="BP37" s="623">
        <v>336.7</v>
      </c>
      <c r="BQ37" s="623">
        <v>328.3</v>
      </c>
      <c r="BR37" s="623">
        <v>327.8</v>
      </c>
      <c r="BS37" s="659">
        <v>327.8</v>
      </c>
      <c r="BT37" s="660">
        <v>325.60000000000002</v>
      </c>
      <c r="BU37" s="623">
        <v>325.60000000000002</v>
      </c>
      <c r="BV37" s="623">
        <v>333.4</v>
      </c>
      <c r="BW37" s="623">
        <v>337.5</v>
      </c>
      <c r="BX37" s="623">
        <v>333</v>
      </c>
      <c r="BY37" s="623">
        <v>336.5</v>
      </c>
      <c r="BZ37" s="623">
        <v>336.6</v>
      </c>
      <c r="CA37" s="623">
        <v>345.4</v>
      </c>
      <c r="CB37" s="623">
        <v>349.4</v>
      </c>
      <c r="CC37" s="623">
        <v>357.8</v>
      </c>
      <c r="CD37" s="623">
        <v>358.2</v>
      </c>
      <c r="CE37" s="659">
        <v>358.9</v>
      </c>
      <c r="CF37" s="660">
        <v>358.7</v>
      </c>
      <c r="CG37" s="623">
        <v>359</v>
      </c>
      <c r="CH37" s="623">
        <v>361.3</v>
      </c>
      <c r="CI37" s="623">
        <v>362</v>
      </c>
      <c r="CJ37" s="623">
        <v>363.9</v>
      </c>
      <c r="CK37" s="623">
        <v>384.6</v>
      </c>
      <c r="CL37" s="623">
        <v>386.2</v>
      </c>
      <c r="CM37" s="623">
        <v>387.6</v>
      </c>
      <c r="CN37" s="623">
        <v>388.2</v>
      </c>
      <c r="CO37" s="623">
        <v>389.7</v>
      </c>
      <c r="CP37" s="623">
        <v>396</v>
      </c>
      <c r="CQ37" s="659">
        <v>396</v>
      </c>
      <c r="CR37" s="660">
        <v>396.2</v>
      </c>
      <c r="CS37" s="623">
        <v>396.2</v>
      </c>
      <c r="CT37" s="623">
        <v>394</v>
      </c>
      <c r="CU37" s="623">
        <v>398.3</v>
      </c>
      <c r="CV37" s="623">
        <v>398.3</v>
      </c>
      <c r="CW37" s="623">
        <v>399.4</v>
      </c>
      <c r="CX37" s="623">
        <v>404.4</v>
      </c>
      <c r="CY37" s="623">
        <v>409</v>
      </c>
      <c r="CZ37" s="623">
        <v>413</v>
      </c>
      <c r="DA37" s="623">
        <v>424.9</v>
      </c>
      <c r="DB37" s="725">
        <v>424.9</v>
      </c>
      <c r="DC37" s="659">
        <v>429.1</v>
      </c>
      <c r="DD37" s="783">
        <v>426.4</v>
      </c>
      <c r="DE37" s="623">
        <v>435.6</v>
      </c>
      <c r="DF37" s="725">
        <v>440.8</v>
      </c>
      <c r="DG37" s="659">
        <v>465.5</v>
      </c>
      <c r="DH37" s="623">
        <v>459.3</v>
      </c>
      <c r="DI37" s="623">
        <v>480.7</v>
      </c>
      <c r="DJ37" s="623">
        <v>490.8</v>
      </c>
      <c r="DK37" s="659">
        <v>492.5</v>
      </c>
      <c r="DL37" s="897">
        <v>497.5</v>
      </c>
      <c r="DM37" s="110">
        <f t="shared" si="0"/>
        <v>1.0101522842639594</v>
      </c>
      <c r="DN37" s="110"/>
      <c r="DO37" s="110"/>
    </row>
    <row r="38" spans="1:119" s="112" customFormat="1" ht="18.95" customHeight="1">
      <c r="A38" s="109"/>
      <c r="B38" s="408">
        <v>18</v>
      </c>
      <c r="C38" s="621" t="s">
        <v>535</v>
      </c>
      <c r="D38" s="622" t="s">
        <v>933</v>
      </c>
      <c r="E38" s="621" t="s">
        <v>918</v>
      </c>
      <c r="F38" s="622"/>
      <c r="G38" s="621" t="s">
        <v>919</v>
      </c>
      <c r="H38" s="621" t="s">
        <v>920</v>
      </c>
      <c r="I38" s="390" t="s">
        <v>921</v>
      </c>
      <c r="J38" s="651"/>
      <c r="K38" s="669">
        <v>98.22</v>
      </c>
      <c r="L38" s="665">
        <v>102.63</v>
      </c>
      <c r="M38" s="625">
        <v>105.87</v>
      </c>
      <c r="N38" s="625">
        <v>125.45</v>
      </c>
      <c r="O38" s="625">
        <v>154.37</v>
      </c>
      <c r="P38" s="625">
        <v>168.14</v>
      </c>
      <c r="Q38" s="625">
        <v>188.9</v>
      </c>
      <c r="R38" s="625">
        <v>200.09</v>
      </c>
      <c r="S38" s="625">
        <v>201.62</v>
      </c>
      <c r="T38" s="625">
        <v>204.89</v>
      </c>
      <c r="U38" s="625">
        <v>206.3</v>
      </c>
      <c r="V38" s="625">
        <v>206.31</v>
      </c>
      <c r="W38" s="625">
        <v>205.74</v>
      </c>
      <c r="X38" s="625">
        <v>202.15</v>
      </c>
      <c r="Y38" s="625">
        <v>201.82</v>
      </c>
      <c r="Z38" s="625">
        <v>202.4</v>
      </c>
      <c r="AA38" s="625">
        <v>203.71</v>
      </c>
      <c r="AB38" s="625">
        <v>202.92</v>
      </c>
      <c r="AC38" s="625">
        <v>205.92</v>
      </c>
      <c r="AD38" s="625">
        <v>207.04</v>
      </c>
      <c r="AE38" s="625">
        <v>208.15</v>
      </c>
      <c r="AF38" s="625">
        <v>208.15</v>
      </c>
      <c r="AG38" s="625">
        <v>208.15</v>
      </c>
      <c r="AH38" s="625">
        <v>208.15</v>
      </c>
      <c r="AI38" s="764">
        <v>208.15</v>
      </c>
      <c r="AJ38" s="772">
        <v>208.45</v>
      </c>
      <c r="AK38" s="625">
        <v>207.23</v>
      </c>
      <c r="AL38" s="625">
        <v>207.23</v>
      </c>
      <c r="AM38" s="625">
        <v>207.23</v>
      </c>
      <c r="AN38" s="625">
        <v>208.61</v>
      </c>
      <c r="AO38" s="625">
        <v>209.09</v>
      </c>
      <c r="AP38" s="625">
        <v>209.93</v>
      </c>
      <c r="AQ38" s="625">
        <v>212.27</v>
      </c>
      <c r="AR38" s="625">
        <v>212.27</v>
      </c>
      <c r="AS38" s="625">
        <v>217.66</v>
      </c>
      <c r="AT38" s="625">
        <v>217.68</v>
      </c>
      <c r="AU38" s="764">
        <v>221.41</v>
      </c>
      <c r="AV38" s="752">
        <v>226.43</v>
      </c>
      <c r="AW38" s="626">
        <v>228.57</v>
      </c>
      <c r="AX38" s="626">
        <v>231.66</v>
      </c>
      <c r="AY38" s="626">
        <v>231.66</v>
      </c>
      <c r="AZ38" s="626">
        <v>234.33</v>
      </c>
      <c r="BA38" s="626">
        <v>234.43</v>
      </c>
      <c r="BB38" s="626">
        <v>235.73</v>
      </c>
      <c r="BC38" s="627">
        <v>233.85</v>
      </c>
      <c r="BD38" s="626">
        <v>237.04</v>
      </c>
      <c r="BE38" s="627">
        <v>241.15</v>
      </c>
      <c r="BF38" s="627">
        <v>251.55</v>
      </c>
      <c r="BG38" s="738">
        <v>253.97</v>
      </c>
      <c r="BH38" s="660">
        <v>256.75</v>
      </c>
      <c r="BI38" s="623">
        <v>267.06</v>
      </c>
      <c r="BJ38" s="623">
        <v>267.10000000000002</v>
      </c>
      <c r="BK38" s="623">
        <v>272.12</v>
      </c>
      <c r="BL38" s="623">
        <v>287.47000000000003</v>
      </c>
      <c r="BM38" s="623">
        <v>291</v>
      </c>
      <c r="BN38" s="623">
        <v>294.25</v>
      </c>
      <c r="BO38" s="623">
        <v>301.54000000000002</v>
      </c>
      <c r="BP38" s="623">
        <v>315.69</v>
      </c>
      <c r="BQ38" s="623">
        <v>335.25</v>
      </c>
      <c r="BR38" s="623">
        <v>336.37</v>
      </c>
      <c r="BS38" s="659">
        <v>336.37</v>
      </c>
      <c r="BT38" s="660">
        <v>338.26</v>
      </c>
      <c r="BU38" s="623">
        <v>338.4</v>
      </c>
      <c r="BV38" s="623">
        <v>343.11</v>
      </c>
      <c r="BW38" s="623">
        <v>349.83</v>
      </c>
      <c r="BX38" s="623">
        <v>349.36</v>
      </c>
      <c r="BY38" s="623">
        <v>349.36</v>
      </c>
      <c r="BZ38" s="623">
        <v>365.01</v>
      </c>
      <c r="CA38" s="623">
        <v>365.01</v>
      </c>
      <c r="CB38" s="623">
        <v>365.01</v>
      </c>
      <c r="CC38" s="623">
        <v>367.75</v>
      </c>
      <c r="CD38" s="623">
        <v>371.4</v>
      </c>
      <c r="CE38" s="659">
        <v>381.32</v>
      </c>
      <c r="CF38" s="660">
        <v>393.63</v>
      </c>
      <c r="CG38" s="623">
        <v>402.4</v>
      </c>
      <c r="CH38" s="623">
        <v>404.84</v>
      </c>
      <c r="CI38" s="623">
        <v>424.58</v>
      </c>
      <c r="CJ38" s="623">
        <v>429.62</v>
      </c>
      <c r="CK38" s="623">
        <v>464.92</v>
      </c>
      <c r="CL38" s="623">
        <v>483.18</v>
      </c>
      <c r="CM38" s="623">
        <v>489.85</v>
      </c>
      <c r="CN38" s="623">
        <v>508.45</v>
      </c>
      <c r="CO38" s="623">
        <v>514.80999999999995</v>
      </c>
      <c r="CP38" s="623">
        <v>516.61</v>
      </c>
      <c r="CQ38" s="659">
        <v>511.58</v>
      </c>
      <c r="CR38" s="660">
        <v>496.32</v>
      </c>
      <c r="CS38" s="623">
        <v>496.36</v>
      </c>
      <c r="CT38" s="623">
        <v>502.59</v>
      </c>
      <c r="CU38" s="623">
        <v>502.11</v>
      </c>
      <c r="CV38" s="623">
        <v>502.86</v>
      </c>
      <c r="CW38" s="623">
        <v>502.86</v>
      </c>
      <c r="CX38" s="623">
        <v>502.86</v>
      </c>
      <c r="CY38" s="623">
        <v>501.45</v>
      </c>
      <c r="CZ38" s="623">
        <v>503.74</v>
      </c>
      <c r="DA38" s="623">
        <v>510.02</v>
      </c>
      <c r="DB38" s="725">
        <v>514.29</v>
      </c>
      <c r="DC38" s="659">
        <v>514.29</v>
      </c>
      <c r="DD38" s="783">
        <v>514.29</v>
      </c>
      <c r="DE38" s="623">
        <v>523.82000000000005</v>
      </c>
      <c r="DF38" s="725">
        <v>540.15</v>
      </c>
      <c r="DG38" s="659">
        <v>547.80999999999995</v>
      </c>
      <c r="DH38" s="623">
        <v>550.35</v>
      </c>
      <c r="DI38" s="623">
        <v>555.20000000000005</v>
      </c>
      <c r="DJ38" s="623">
        <v>573.44000000000005</v>
      </c>
      <c r="DK38" s="659">
        <v>595.32000000000005</v>
      </c>
      <c r="DL38" s="897">
        <v>598.83000000000004</v>
      </c>
      <c r="DM38" s="110">
        <f t="shared" si="0"/>
        <v>1.0058959887119532</v>
      </c>
      <c r="DN38" s="110"/>
      <c r="DO38" s="110"/>
    </row>
    <row r="39" spans="1:119" s="112" customFormat="1" ht="21.75" customHeight="1">
      <c r="A39" s="109"/>
      <c r="B39" s="408">
        <v>19</v>
      </c>
      <c r="C39" s="621" t="s">
        <v>537</v>
      </c>
      <c r="D39" s="622" t="s">
        <v>934</v>
      </c>
      <c r="E39" s="621" t="s">
        <v>918</v>
      </c>
      <c r="F39" s="621"/>
      <c r="G39" s="621" t="s">
        <v>929</v>
      </c>
      <c r="H39" s="621" t="s">
        <v>920</v>
      </c>
      <c r="I39" s="390" t="s">
        <v>192</v>
      </c>
      <c r="J39" s="676"/>
      <c r="K39" s="669">
        <v>94.6</v>
      </c>
      <c r="L39" s="665">
        <v>106.6</v>
      </c>
      <c r="M39" s="625">
        <v>115.4</v>
      </c>
      <c r="N39" s="625">
        <v>123.3</v>
      </c>
      <c r="O39" s="625">
        <v>163.5</v>
      </c>
      <c r="P39" s="625">
        <v>182.7</v>
      </c>
      <c r="Q39" s="625">
        <v>196.5</v>
      </c>
      <c r="R39" s="625">
        <v>235.8</v>
      </c>
      <c r="S39" s="625">
        <v>243.1</v>
      </c>
      <c r="T39" s="625">
        <v>244.5</v>
      </c>
      <c r="U39" s="625">
        <v>244</v>
      </c>
      <c r="V39" s="625">
        <v>241.7</v>
      </c>
      <c r="W39" s="625">
        <v>238.8</v>
      </c>
      <c r="X39" s="625">
        <v>239.2</v>
      </c>
      <c r="Y39" s="625">
        <v>237.1</v>
      </c>
      <c r="Z39" s="625">
        <v>239.1</v>
      </c>
      <c r="AA39" s="625">
        <v>245.8</v>
      </c>
      <c r="AB39" s="625">
        <v>246.8</v>
      </c>
      <c r="AC39" s="625">
        <v>244.6</v>
      </c>
      <c r="AD39" s="625">
        <v>244.2</v>
      </c>
      <c r="AE39" s="625">
        <v>243.2</v>
      </c>
      <c r="AF39" s="625">
        <v>243.2</v>
      </c>
      <c r="AG39" s="625">
        <v>243.6</v>
      </c>
      <c r="AH39" s="625">
        <v>247.6</v>
      </c>
      <c r="AI39" s="764">
        <v>251.7</v>
      </c>
      <c r="AJ39" s="772">
        <v>259.60000000000002</v>
      </c>
      <c r="AK39" s="625">
        <v>283.60000000000002</v>
      </c>
      <c r="AL39" s="625">
        <v>322.60000000000002</v>
      </c>
      <c r="AM39" s="625">
        <v>334.7</v>
      </c>
      <c r="AN39" s="625">
        <v>341.9</v>
      </c>
      <c r="AO39" s="625">
        <v>354.6</v>
      </c>
      <c r="AP39" s="625">
        <v>354</v>
      </c>
      <c r="AQ39" s="625">
        <v>355.4</v>
      </c>
      <c r="AR39" s="625">
        <v>353.8</v>
      </c>
      <c r="AS39" s="625">
        <v>356.2</v>
      </c>
      <c r="AT39" s="625">
        <v>360.9</v>
      </c>
      <c r="AU39" s="764">
        <v>361.1</v>
      </c>
      <c r="AV39" s="752">
        <v>360.1</v>
      </c>
      <c r="AW39" s="626">
        <v>366.8</v>
      </c>
      <c r="AX39" s="626">
        <v>367.7</v>
      </c>
      <c r="AY39" s="626">
        <v>368.7</v>
      </c>
      <c r="AZ39" s="626">
        <v>368.2</v>
      </c>
      <c r="BA39" s="626">
        <v>368.1</v>
      </c>
      <c r="BB39" s="626">
        <v>368</v>
      </c>
      <c r="BC39" s="627">
        <v>368</v>
      </c>
      <c r="BD39" s="626">
        <v>368</v>
      </c>
      <c r="BE39" s="627">
        <v>366.7</v>
      </c>
      <c r="BF39" s="627">
        <v>367.2</v>
      </c>
      <c r="BG39" s="738">
        <v>368.9</v>
      </c>
      <c r="BH39" s="660">
        <v>372.4</v>
      </c>
      <c r="BI39" s="623">
        <v>377.3</v>
      </c>
      <c r="BJ39" s="623">
        <v>381.5</v>
      </c>
      <c r="BK39" s="623">
        <v>382.5</v>
      </c>
      <c r="BL39" s="623">
        <v>384.3</v>
      </c>
      <c r="BM39" s="623">
        <v>385.1</v>
      </c>
      <c r="BN39" s="623">
        <v>384.1</v>
      </c>
      <c r="BO39" s="623">
        <v>386</v>
      </c>
      <c r="BP39" s="623">
        <v>384.6</v>
      </c>
      <c r="BQ39" s="623">
        <v>385.2</v>
      </c>
      <c r="BR39" s="623">
        <v>387.4</v>
      </c>
      <c r="BS39" s="659">
        <v>391.5</v>
      </c>
      <c r="BT39" s="660">
        <v>394.8</v>
      </c>
      <c r="BU39" s="623">
        <v>395</v>
      </c>
      <c r="BV39" s="623">
        <v>395.6</v>
      </c>
      <c r="BW39" s="623">
        <v>400</v>
      </c>
      <c r="BX39" s="623">
        <v>404.9</v>
      </c>
      <c r="BY39" s="623">
        <v>409.3</v>
      </c>
      <c r="BZ39" s="623">
        <v>417.8</v>
      </c>
      <c r="CA39" s="623">
        <v>429.3</v>
      </c>
      <c r="CB39" s="623">
        <v>430.1</v>
      </c>
      <c r="CC39" s="623">
        <v>435.6</v>
      </c>
      <c r="CD39" s="623">
        <v>466.8</v>
      </c>
      <c r="CE39" s="659">
        <v>479.5</v>
      </c>
      <c r="CF39" s="660">
        <v>486.3</v>
      </c>
      <c r="CG39" s="623">
        <v>454.5</v>
      </c>
      <c r="CH39" s="623">
        <v>463.6</v>
      </c>
      <c r="CI39" s="623">
        <v>478</v>
      </c>
      <c r="CJ39" s="623">
        <v>492.7</v>
      </c>
      <c r="CK39" s="623">
        <v>518.9</v>
      </c>
      <c r="CL39" s="623">
        <v>527.70000000000005</v>
      </c>
      <c r="CM39" s="623">
        <v>527.70000000000005</v>
      </c>
      <c r="CN39" s="623">
        <v>527.70000000000005</v>
      </c>
      <c r="CO39" s="623">
        <v>531.29999999999995</v>
      </c>
      <c r="CP39" s="623">
        <v>511.8</v>
      </c>
      <c r="CQ39" s="659">
        <v>503.7</v>
      </c>
      <c r="CR39" s="660">
        <v>503.5</v>
      </c>
      <c r="CS39" s="623">
        <v>499.8</v>
      </c>
      <c r="CT39" s="623">
        <v>495.9</v>
      </c>
      <c r="CU39" s="623">
        <v>494</v>
      </c>
      <c r="CV39" s="623">
        <v>492.8</v>
      </c>
      <c r="CW39" s="623">
        <v>510.7</v>
      </c>
      <c r="CX39" s="623">
        <v>518.70000000000005</v>
      </c>
      <c r="CY39" s="623">
        <v>532.29999999999995</v>
      </c>
      <c r="CZ39" s="623">
        <v>534.9</v>
      </c>
      <c r="DA39" s="623">
        <v>544.5</v>
      </c>
      <c r="DB39" s="725">
        <v>543.1</v>
      </c>
      <c r="DC39" s="659">
        <v>549.9</v>
      </c>
      <c r="DD39" s="783">
        <v>555.9</v>
      </c>
      <c r="DE39" s="623">
        <v>566.79999999999995</v>
      </c>
      <c r="DF39" s="725">
        <v>572.9</v>
      </c>
      <c r="DG39" s="659">
        <v>586.5</v>
      </c>
      <c r="DH39" s="623">
        <v>586.5</v>
      </c>
      <c r="DI39" s="623">
        <v>584.70000000000005</v>
      </c>
      <c r="DJ39" s="623">
        <v>592.29999999999995</v>
      </c>
      <c r="DK39" s="659">
        <v>593.20000000000005</v>
      </c>
      <c r="DL39" s="897">
        <v>597.29999999999995</v>
      </c>
      <c r="DM39" s="110">
        <f t="shared" si="0"/>
        <v>1.0069116655428185</v>
      </c>
      <c r="DN39" s="110"/>
      <c r="DO39" s="110"/>
    </row>
    <row r="40" spans="1:119" s="112" customFormat="1" ht="21.75" customHeight="1">
      <c r="A40" s="109"/>
      <c r="B40" s="408">
        <v>20</v>
      </c>
      <c r="C40" s="621" t="s">
        <v>538</v>
      </c>
      <c r="D40" s="622" t="s">
        <v>935</v>
      </c>
      <c r="E40" s="621" t="s">
        <v>918</v>
      </c>
      <c r="F40" s="622"/>
      <c r="G40" s="621" t="s">
        <v>929</v>
      </c>
      <c r="H40" s="621" t="s">
        <v>930</v>
      </c>
      <c r="I40" s="390" t="s">
        <v>936</v>
      </c>
      <c r="J40" s="651"/>
      <c r="K40" s="669">
        <v>96.3</v>
      </c>
      <c r="L40" s="665">
        <v>99.8</v>
      </c>
      <c r="M40" s="625">
        <v>103.9</v>
      </c>
      <c r="N40" s="625">
        <v>106.6</v>
      </c>
      <c r="O40" s="625">
        <v>116.6</v>
      </c>
      <c r="P40" s="625">
        <v>119.8</v>
      </c>
      <c r="Q40" s="625">
        <v>128.6</v>
      </c>
      <c r="R40" s="625">
        <v>129.9</v>
      </c>
      <c r="S40" s="625">
        <v>132</v>
      </c>
      <c r="T40" s="625">
        <v>134</v>
      </c>
      <c r="U40" s="625">
        <v>137.9</v>
      </c>
      <c r="V40" s="625">
        <v>140.69999999999999</v>
      </c>
      <c r="W40" s="625">
        <v>140.5</v>
      </c>
      <c r="X40" s="625">
        <v>141.5</v>
      </c>
      <c r="Y40" s="625">
        <v>142.5</v>
      </c>
      <c r="Z40" s="625">
        <v>142.30000000000001</v>
      </c>
      <c r="AA40" s="625">
        <v>141.9</v>
      </c>
      <c r="AB40" s="625">
        <v>141.9</v>
      </c>
      <c r="AC40" s="625">
        <v>140</v>
      </c>
      <c r="AD40" s="625">
        <v>143.1</v>
      </c>
      <c r="AE40" s="625">
        <v>143</v>
      </c>
      <c r="AF40" s="625">
        <v>143.69999999999999</v>
      </c>
      <c r="AG40" s="625">
        <v>143.5</v>
      </c>
      <c r="AH40" s="625">
        <v>144.69999999999999</v>
      </c>
      <c r="AI40" s="764">
        <v>145.19999999999999</v>
      </c>
      <c r="AJ40" s="772">
        <v>143.19999999999999</v>
      </c>
      <c r="AK40" s="625">
        <v>144.69999999999999</v>
      </c>
      <c r="AL40" s="625">
        <v>144.6</v>
      </c>
      <c r="AM40" s="625">
        <v>143.1</v>
      </c>
      <c r="AN40" s="625">
        <v>144.5</v>
      </c>
      <c r="AO40" s="625">
        <v>146.4</v>
      </c>
      <c r="AP40" s="625">
        <v>147.19999999999999</v>
      </c>
      <c r="AQ40" s="625">
        <v>146.4</v>
      </c>
      <c r="AR40" s="625">
        <v>146.4</v>
      </c>
      <c r="AS40" s="625">
        <v>146.80000000000001</v>
      </c>
      <c r="AT40" s="625">
        <v>147.80000000000001</v>
      </c>
      <c r="AU40" s="764">
        <v>149</v>
      </c>
      <c r="AV40" s="752">
        <v>150</v>
      </c>
      <c r="AW40" s="626">
        <v>150.19999999999999</v>
      </c>
      <c r="AX40" s="626">
        <v>151.9</v>
      </c>
      <c r="AY40" s="626">
        <v>153.4</v>
      </c>
      <c r="AZ40" s="626">
        <v>153.4</v>
      </c>
      <c r="BA40" s="626">
        <v>153.69999999999999</v>
      </c>
      <c r="BB40" s="626">
        <v>154.5</v>
      </c>
      <c r="BC40" s="627">
        <v>154.5</v>
      </c>
      <c r="BD40" s="626">
        <v>156.9</v>
      </c>
      <c r="BE40" s="627">
        <v>156.6</v>
      </c>
      <c r="BF40" s="627">
        <v>156.9</v>
      </c>
      <c r="BG40" s="738">
        <v>157.6</v>
      </c>
      <c r="BH40" s="660">
        <v>157.6</v>
      </c>
      <c r="BI40" s="623">
        <v>163.1</v>
      </c>
      <c r="BJ40" s="623">
        <v>163.6</v>
      </c>
      <c r="BK40" s="623">
        <v>164.6</v>
      </c>
      <c r="BL40" s="623">
        <v>170</v>
      </c>
      <c r="BM40" s="623">
        <v>169.6</v>
      </c>
      <c r="BN40" s="623">
        <v>170.2</v>
      </c>
      <c r="BO40" s="623">
        <v>170.2</v>
      </c>
      <c r="BP40" s="623">
        <v>170.6</v>
      </c>
      <c r="BQ40" s="623">
        <v>170.7</v>
      </c>
      <c r="BR40" s="623">
        <v>171.7</v>
      </c>
      <c r="BS40" s="659">
        <v>172.9</v>
      </c>
      <c r="BT40" s="660">
        <v>175.2</v>
      </c>
      <c r="BU40" s="623">
        <v>175.9</v>
      </c>
      <c r="BV40" s="623">
        <v>181.1</v>
      </c>
      <c r="BW40" s="623">
        <v>182.1</v>
      </c>
      <c r="BX40" s="623">
        <v>182.6</v>
      </c>
      <c r="BY40" s="623">
        <v>187.4</v>
      </c>
      <c r="BZ40" s="623">
        <v>190.9</v>
      </c>
      <c r="CA40" s="623">
        <v>192.9</v>
      </c>
      <c r="CB40" s="623">
        <v>193.4</v>
      </c>
      <c r="CC40" s="623">
        <v>197.8</v>
      </c>
      <c r="CD40" s="623">
        <v>197.8</v>
      </c>
      <c r="CE40" s="659">
        <v>202.6</v>
      </c>
      <c r="CF40" s="660">
        <v>202.6</v>
      </c>
      <c r="CG40" s="623">
        <v>202.6</v>
      </c>
      <c r="CH40" s="623">
        <v>204.8</v>
      </c>
      <c r="CI40" s="623">
        <v>214.9</v>
      </c>
      <c r="CJ40" s="623">
        <v>220</v>
      </c>
      <c r="CK40" s="623">
        <v>221.9</v>
      </c>
      <c r="CL40" s="623">
        <v>231.1</v>
      </c>
      <c r="CM40" s="623">
        <v>236.2</v>
      </c>
      <c r="CN40" s="623">
        <v>240.7</v>
      </c>
      <c r="CO40" s="623">
        <v>242.5</v>
      </c>
      <c r="CP40" s="623">
        <v>245.5</v>
      </c>
      <c r="CQ40" s="659">
        <v>244.6</v>
      </c>
      <c r="CR40" s="660">
        <v>252.1</v>
      </c>
      <c r="CS40" s="623">
        <v>259.2</v>
      </c>
      <c r="CT40" s="623">
        <v>261.2</v>
      </c>
      <c r="CU40" s="623">
        <v>261.2</v>
      </c>
      <c r="CV40" s="623">
        <v>262.5</v>
      </c>
      <c r="CW40" s="623">
        <v>265.7</v>
      </c>
      <c r="CX40" s="623">
        <v>269</v>
      </c>
      <c r="CY40" s="623">
        <v>275.8</v>
      </c>
      <c r="CZ40" s="623">
        <v>276.7</v>
      </c>
      <c r="DA40" s="623">
        <v>278.60000000000002</v>
      </c>
      <c r="DB40" s="725">
        <v>283.8</v>
      </c>
      <c r="DC40" s="659">
        <v>281</v>
      </c>
      <c r="DD40" s="783">
        <v>285.60000000000002</v>
      </c>
      <c r="DE40" s="623">
        <v>291.60000000000002</v>
      </c>
      <c r="DF40" s="725">
        <v>292.8</v>
      </c>
      <c r="DG40" s="659">
        <v>292.10000000000002</v>
      </c>
      <c r="DH40" s="623">
        <v>301.7</v>
      </c>
      <c r="DI40" s="623">
        <v>300.60000000000002</v>
      </c>
      <c r="DJ40" s="623">
        <v>302.39999999999998</v>
      </c>
      <c r="DK40" s="659">
        <v>305.3</v>
      </c>
      <c r="DL40" s="897">
        <v>307.7</v>
      </c>
      <c r="DM40" s="110">
        <f t="shared" si="0"/>
        <v>1.0078611202096297</v>
      </c>
      <c r="DN40" s="110"/>
      <c r="DO40" s="110"/>
    </row>
    <row r="41" spans="1:119" s="112" customFormat="1" ht="18.75" customHeight="1">
      <c r="A41" s="109"/>
      <c r="B41" s="408">
        <v>21</v>
      </c>
      <c r="C41" s="621"/>
      <c r="D41" s="622" t="s">
        <v>937</v>
      </c>
      <c r="E41" s="621" t="s">
        <v>918</v>
      </c>
      <c r="F41" s="621"/>
      <c r="G41" s="632" t="s">
        <v>924</v>
      </c>
      <c r="H41" s="621" t="s">
        <v>920</v>
      </c>
      <c r="I41" s="390" t="s">
        <v>740</v>
      </c>
      <c r="J41" s="677"/>
      <c r="K41" s="669">
        <v>93.1</v>
      </c>
      <c r="L41" s="665">
        <v>94.5</v>
      </c>
      <c r="M41" s="625">
        <v>96.9</v>
      </c>
      <c r="N41" s="625">
        <v>105.4</v>
      </c>
      <c r="O41" s="625">
        <v>109.5</v>
      </c>
      <c r="P41" s="625">
        <v>118.9</v>
      </c>
      <c r="Q41" s="625">
        <v>124.1</v>
      </c>
      <c r="R41" s="625">
        <v>131.1</v>
      </c>
      <c r="S41" s="625">
        <v>132.69999999999999</v>
      </c>
      <c r="T41" s="625">
        <v>132.69999999999999</v>
      </c>
      <c r="U41" s="625">
        <v>132.69999999999999</v>
      </c>
      <c r="V41" s="625">
        <v>132.69999999999999</v>
      </c>
      <c r="W41" s="625">
        <v>133.30000000000001</v>
      </c>
      <c r="X41" s="625">
        <v>133.30000000000001</v>
      </c>
      <c r="Y41" s="625">
        <v>133.30000000000001</v>
      </c>
      <c r="Z41" s="625">
        <v>133.30000000000001</v>
      </c>
      <c r="AA41" s="625">
        <v>133.30000000000001</v>
      </c>
      <c r="AB41" s="625">
        <v>133.30000000000001</v>
      </c>
      <c r="AC41" s="625">
        <v>133.30000000000001</v>
      </c>
      <c r="AD41" s="625">
        <v>133.30000000000001</v>
      </c>
      <c r="AE41" s="625">
        <v>133.30000000000001</v>
      </c>
      <c r="AF41" s="625">
        <v>133.30000000000001</v>
      </c>
      <c r="AG41" s="625">
        <v>133.30000000000001</v>
      </c>
      <c r="AH41" s="625">
        <v>133.30000000000001</v>
      </c>
      <c r="AI41" s="764">
        <v>133.30000000000001</v>
      </c>
      <c r="AJ41" s="772">
        <v>136</v>
      </c>
      <c r="AK41" s="625">
        <v>133.30000000000001</v>
      </c>
      <c r="AL41" s="625">
        <v>136</v>
      </c>
      <c r="AM41" s="625">
        <v>136</v>
      </c>
      <c r="AN41" s="625">
        <v>136</v>
      </c>
      <c r="AO41" s="625">
        <v>142.4</v>
      </c>
      <c r="AP41" s="625">
        <v>142.4</v>
      </c>
      <c r="AQ41" s="625">
        <v>142.4</v>
      </c>
      <c r="AR41" s="625">
        <v>142.4</v>
      </c>
      <c r="AS41" s="625">
        <v>147</v>
      </c>
      <c r="AT41" s="625">
        <v>147</v>
      </c>
      <c r="AU41" s="764">
        <v>147</v>
      </c>
      <c r="AV41" s="752">
        <v>147</v>
      </c>
      <c r="AW41" s="626">
        <v>151.80000000000001</v>
      </c>
      <c r="AX41" s="626">
        <v>153.69999999999999</v>
      </c>
      <c r="AY41" s="626">
        <v>154.69999999999999</v>
      </c>
      <c r="AZ41" s="626">
        <v>157.4</v>
      </c>
      <c r="BA41" s="626">
        <v>157.4</v>
      </c>
      <c r="BB41" s="626">
        <v>157.4</v>
      </c>
      <c r="BC41" s="627">
        <v>157.4</v>
      </c>
      <c r="BD41" s="626">
        <v>158.9</v>
      </c>
      <c r="BE41" s="627">
        <v>160.30000000000001</v>
      </c>
      <c r="BF41" s="627">
        <v>160.30000000000001</v>
      </c>
      <c r="BG41" s="738">
        <v>164.5</v>
      </c>
      <c r="BH41" s="660">
        <v>168.5</v>
      </c>
      <c r="BI41" s="623">
        <v>168.5</v>
      </c>
      <c r="BJ41" s="623">
        <v>169.7</v>
      </c>
      <c r="BK41" s="623">
        <v>170.4</v>
      </c>
      <c r="BL41" s="623">
        <v>174.4</v>
      </c>
      <c r="BM41" s="623">
        <v>174.4</v>
      </c>
      <c r="BN41" s="623">
        <v>175.9</v>
      </c>
      <c r="BO41" s="623">
        <v>176.7</v>
      </c>
      <c r="BP41" s="623">
        <v>176.7</v>
      </c>
      <c r="BQ41" s="623">
        <v>176.7</v>
      </c>
      <c r="BR41" s="623">
        <v>177</v>
      </c>
      <c r="BS41" s="659">
        <v>177</v>
      </c>
      <c r="BT41" s="660">
        <v>177</v>
      </c>
      <c r="BU41" s="623">
        <v>177</v>
      </c>
      <c r="BV41" s="623">
        <v>177.8</v>
      </c>
      <c r="BW41" s="623">
        <v>181</v>
      </c>
      <c r="BX41" s="623">
        <v>185.1</v>
      </c>
      <c r="BY41" s="623">
        <v>195.2</v>
      </c>
      <c r="BZ41" s="623">
        <v>195.2</v>
      </c>
      <c r="CA41" s="623">
        <v>198.7</v>
      </c>
      <c r="CB41" s="623">
        <v>200.8</v>
      </c>
      <c r="CC41" s="623">
        <v>202.7</v>
      </c>
      <c r="CD41" s="623">
        <v>204.5</v>
      </c>
      <c r="CE41" s="659">
        <v>205.3</v>
      </c>
      <c r="CF41" s="660">
        <v>209</v>
      </c>
      <c r="CG41" s="623">
        <v>213.1</v>
      </c>
      <c r="CH41" s="623">
        <v>209.6</v>
      </c>
      <c r="CI41" s="623">
        <v>213.9</v>
      </c>
      <c r="CJ41" s="623">
        <v>218.7</v>
      </c>
      <c r="CK41" s="623">
        <v>222.6</v>
      </c>
      <c r="CL41" s="623">
        <v>227</v>
      </c>
      <c r="CM41" s="623">
        <v>227</v>
      </c>
      <c r="CN41" s="623">
        <v>227</v>
      </c>
      <c r="CO41" s="623">
        <v>227</v>
      </c>
      <c r="CP41" s="623">
        <v>226.5</v>
      </c>
      <c r="CQ41" s="659">
        <v>226.5</v>
      </c>
      <c r="CR41" s="660">
        <v>226.5</v>
      </c>
      <c r="CS41" s="623">
        <v>227.7</v>
      </c>
      <c r="CT41" s="623">
        <v>230.4</v>
      </c>
      <c r="CU41" s="623">
        <v>231.7</v>
      </c>
      <c r="CV41" s="623">
        <v>231.7</v>
      </c>
      <c r="CW41" s="623">
        <v>233.2</v>
      </c>
      <c r="CX41" s="623">
        <v>233.2</v>
      </c>
      <c r="CY41" s="623">
        <v>234.5</v>
      </c>
      <c r="CZ41" s="623">
        <v>235.9</v>
      </c>
      <c r="DA41" s="623">
        <v>236.1</v>
      </c>
      <c r="DB41" s="725">
        <v>237.6</v>
      </c>
      <c r="DC41" s="659">
        <v>239</v>
      </c>
      <c r="DD41" s="783">
        <v>241</v>
      </c>
      <c r="DE41" s="623">
        <v>241</v>
      </c>
      <c r="DF41" s="725">
        <v>243.6</v>
      </c>
      <c r="DG41" s="659">
        <v>243.6</v>
      </c>
      <c r="DH41" s="623">
        <v>243.6</v>
      </c>
      <c r="DI41" s="623">
        <v>242.1</v>
      </c>
      <c r="DJ41" s="623">
        <v>244.3</v>
      </c>
      <c r="DK41" s="659">
        <v>243.5</v>
      </c>
      <c r="DL41" s="897">
        <v>243.5</v>
      </c>
      <c r="DM41" s="110">
        <f t="shared" si="0"/>
        <v>1</v>
      </c>
      <c r="DN41" s="110"/>
      <c r="DO41" s="110"/>
    </row>
    <row r="42" spans="1:119" s="112" customFormat="1" ht="20.25" customHeight="1">
      <c r="A42" s="109"/>
      <c r="B42" s="408">
        <v>22</v>
      </c>
      <c r="C42" s="621" t="s">
        <v>938</v>
      </c>
      <c r="D42" s="622" t="s">
        <v>939</v>
      </c>
      <c r="E42" s="621" t="s">
        <v>918</v>
      </c>
      <c r="F42" s="622"/>
      <c r="G42" s="621" t="s">
        <v>919</v>
      </c>
      <c r="H42" s="621" t="s">
        <v>920</v>
      </c>
      <c r="I42" s="390" t="s">
        <v>940</v>
      </c>
      <c r="J42" s="651"/>
      <c r="K42" s="669">
        <v>106.09</v>
      </c>
      <c r="L42" s="665">
        <v>124.34</v>
      </c>
      <c r="M42" s="625">
        <v>142.5</v>
      </c>
      <c r="N42" s="625">
        <v>154.29</v>
      </c>
      <c r="O42" s="625">
        <v>197.07</v>
      </c>
      <c r="P42" s="625">
        <v>210.03</v>
      </c>
      <c r="Q42" s="625">
        <v>264.73</v>
      </c>
      <c r="R42" s="625">
        <v>277.89</v>
      </c>
      <c r="S42" s="625">
        <v>277.89</v>
      </c>
      <c r="T42" s="625">
        <v>277.89</v>
      </c>
      <c r="U42" s="625">
        <v>277.89</v>
      </c>
      <c r="V42" s="625">
        <v>277.89</v>
      </c>
      <c r="W42" s="625">
        <v>277.89</v>
      </c>
      <c r="X42" s="625">
        <v>277.89</v>
      </c>
      <c r="Y42" s="625">
        <v>277.89</v>
      </c>
      <c r="Z42" s="625">
        <v>294.33</v>
      </c>
      <c r="AA42" s="625">
        <v>294.33</v>
      </c>
      <c r="AB42" s="625">
        <v>294.33</v>
      </c>
      <c r="AC42" s="625">
        <v>294.33</v>
      </c>
      <c r="AD42" s="625">
        <v>294.33</v>
      </c>
      <c r="AE42" s="625">
        <v>294.33</v>
      </c>
      <c r="AF42" s="625">
        <v>294.33</v>
      </c>
      <c r="AG42" s="625">
        <v>294.33</v>
      </c>
      <c r="AH42" s="625">
        <v>306.10000000000002</v>
      </c>
      <c r="AI42" s="764">
        <v>306.10000000000002</v>
      </c>
      <c r="AJ42" s="772">
        <v>316.94</v>
      </c>
      <c r="AK42" s="625">
        <v>331.09</v>
      </c>
      <c r="AL42" s="625">
        <v>355.43</v>
      </c>
      <c r="AM42" s="625">
        <v>361.65</v>
      </c>
      <c r="AN42" s="625">
        <v>392.83</v>
      </c>
      <c r="AO42" s="625">
        <v>437.42</v>
      </c>
      <c r="AP42" s="625">
        <v>437.42</v>
      </c>
      <c r="AQ42" s="625">
        <v>437.42</v>
      </c>
      <c r="AR42" s="625">
        <v>437.42</v>
      </c>
      <c r="AS42" s="625">
        <v>437.42</v>
      </c>
      <c r="AT42" s="625">
        <v>464.03</v>
      </c>
      <c r="AU42" s="764">
        <v>464.03</v>
      </c>
      <c r="AV42" s="752">
        <v>464.03</v>
      </c>
      <c r="AW42" s="626">
        <v>464.03</v>
      </c>
      <c r="AX42" s="626">
        <v>464.03</v>
      </c>
      <c r="AY42" s="626">
        <v>464.03</v>
      </c>
      <c r="AZ42" s="626">
        <v>464.03</v>
      </c>
      <c r="BA42" s="626">
        <v>464.03</v>
      </c>
      <c r="BB42" s="626">
        <v>464.03</v>
      </c>
      <c r="BC42" s="627">
        <v>464.03</v>
      </c>
      <c r="BD42" s="626">
        <v>464.03</v>
      </c>
      <c r="BE42" s="627">
        <v>464.03</v>
      </c>
      <c r="BF42" s="627">
        <v>464.03</v>
      </c>
      <c r="BG42" s="738">
        <v>464.03</v>
      </c>
      <c r="BH42" s="660">
        <v>464.03</v>
      </c>
      <c r="BI42" s="623">
        <v>464.03</v>
      </c>
      <c r="BJ42" s="623">
        <v>475.1</v>
      </c>
      <c r="BK42" s="623">
        <v>475.1</v>
      </c>
      <c r="BL42" s="623">
        <v>475.1</v>
      </c>
      <c r="BM42" s="623">
        <v>475.1</v>
      </c>
      <c r="BN42" s="623">
        <v>475.1</v>
      </c>
      <c r="BO42" s="623">
        <v>475.1</v>
      </c>
      <c r="BP42" s="623">
        <v>475.1</v>
      </c>
      <c r="BQ42" s="623">
        <v>475.1</v>
      </c>
      <c r="BR42" s="623">
        <v>475.1</v>
      </c>
      <c r="BS42" s="659">
        <v>475.1</v>
      </c>
      <c r="BT42" s="660">
        <v>482.09</v>
      </c>
      <c r="BU42" s="623">
        <v>482.09</v>
      </c>
      <c r="BV42" s="623">
        <v>496.86</v>
      </c>
      <c r="BW42" s="623">
        <v>504.01</v>
      </c>
      <c r="BX42" s="623">
        <v>504.01</v>
      </c>
      <c r="BY42" s="623">
        <v>504.01</v>
      </c>
      <c r="BZ42" s="623">
        <v>505.12</v>
      </c>
      <c r="CA42" s="623">
        <v>505.12</v>
      </c>
      <c r="CB42" s="623">
        <v>520.69000000000005</v>
      </c>
      <c r="CC42" s="623">
        <v>520.69000000000005</v>
      </c>
      <c r="CD42" s="623">
        <v>538.91999999999996</v>
      </c>
      <c r="CE42" s="659">
        <v>544.42999999999995</v>
      </c>
      <c r="CF42" s="660">
        <v>565.69000000000005</v>
      </c>
      <c r="CG42" s="623">
        <v>588.29</v>
      </c>
      <c r="CH42" s="623">
        <v>592.28</v>
      </c>
      <c r="CI42" s="623">
        <v>626.20000000000005</v>
      </c>
      <c r="CJ42" s="623">
        <v>626.21</v>
      </c>
      <c r="CK42" s="623">
        <v>661.3</v>
      </c>
      <c r="CL42" s="623">
        <v>712.56</v>
      </c>
      <c r="CM42" s="623">
        <v>714.64</v>
      </c>
      <c r="CN42" s="623">
        <v>745.42</v>
      </c>
      <c r="CO42" s="623">
        <v>745.42</v>
      </c>
      <c r="CP42" s="623">
        <v>744.74</v>
      </c>
      <c r="CQ42" s="659">
        <v>728.8</v>
      </c>
      <c r="CR42" s="660">
        <v>728.8</v>
      </c>
      <c r="CS42" s="623">
        <v>739.62</v>
      </c>
      <c r="CT42" s="623">
        <v>735.1</v>
      </c>
      <c r="CU42" s="623">
        <v>736.76</v>
      </c>
      <c r="CV42" s="623">
        <v>752.11</v>
      </c>
      <c r="CW42" s="623">
        <v>754.93</v>
      </c>
      <c r="CX42" s="623">
        <v>754.28</v>
      </c>
      <c r="CY42" s="623">
        <v>759.17</v>
      </c>
      <c r="CZ42" s="623">
        <v>759.17</v>
      </c>
      <c r="DA42" s="623">
        <v>778.37</v>
      </c>
      <c r="DB42" s="725">
        <v>778.37</v>
      </c>
      <c r="DC42" s="659">
        <v>780.93</v>
      </c>
      <c r="DD42" s="783">
        <v>780.93</v>
      </c>
      <c r="DE42" s="623">
        <v>793.03</v>
      </c>
      <c r="DF42" s="725">
        <v>793.03</v>
      </c>
      <c r="DG42" s="659">
        <v>793.03</v>
      </c>
      <c r="DH42" s="623">
        <v>826.58</v>
      </c>
      <c r="DI42" s="623">
        <v>844.42</v>
      </c>
      <c r="DJ42" s="623">
        <v>844.42</v>
      </c>
      <c r="DK42" s="659">
        <v>863.41</v>
      </c>
      <c r="DL42" s="897">
        <v>869.88</v>
      </c>
      <c r="DM42" s="110">
        <f t="shared" si="0"/>
        <v>1.0074935430444401</v>
      </c>
      <c r="DN42" s="110"/>
      <c r="DO42" s="110"/>
    </row>
    <row r="43" spans="1:119" s="112" customFormat="1" ht="30.75" customHeight="1">
      <c r="A43" s="109"/>
      <c r="B43" s="408">
        <v>23</v>
      </c>
      <c r="C43" s="621" t="s">
        <v>6</v>
      </c>
      <c r="D43" s="622" t="s">
        <v>7</v>
      </c>
      <c r="E43" s="621" t="s">
        <v>918</v>
      </c>
      <c r="F43" s="622"/>
      <c r="G43" s="621" t="s">
        <v>919</v>
      </c>
      <c r="H43" s="621" t="s">
        <v>930</v>
      </c>
      <c r="I43" s="390" t="s">
        <v>739</v>
      </c>
      <c r="J43" s="674" t="s">
        <v>128</v>
      </c>
      <c r="K43" s="669">
        <v>103.27</v>
      </c>
      <c r="L43" s="665">
        <v>103.27</v>
      </c>
      <c r="M43" s="625">
        <v>106.65</v>
      </c>
      <c r="N43" s="625">
        <v>103.88</v>
      </c>
      <c r="O43" s="625">
        <v>102.94</v>
      </c>
      <c r="P43" s="625">
        <v>106.18</v>
      </c>
      <c r="Q43" s="625">
        <v>109.3</v>
      </c>
      <c r="R43" s="625">
        <v>120.59</v>
      </c>
      <c r="S43" s="625">
        <v>120.59</v>
      </c>
      <c r="T43" s="625">
        <v>130.51</v>
      </c>
      <c r="U43" s="625">
        <v>136.68</v>
      </c>
      <c r="V43" s="625">
        <v>142.56</v>
      </c>
      <c r="W43" s="625">
        <v>147.9</v>
      </c>
      <c r="X43" s="625">
        <v>147.16999999999999</v>
      </c>
      <c r="Y43" s="625">
        <v>157.47</v>
      </c>
      <c r="Z43" s="625">
        <v>162.65</v>
      </c>
      <c r="AA43" s="625">
        <v>165.16</v>
      </c>
      <c r="AB43" s="625">
        <v>177.31</v>
      </c>
      <c r="AC43" s="625">
        <v>188.56</v>
      </c>
      <c r="AD43" s="625">
        <v>190.21</v>
      </c>
      <c r="AE43" s="625">
        <v>185.12</v>
      </c>
      <c r="AF43" s="625">
        <v>199.92</v>
      </c>
      <c r="AG43" s="625">
        <v>206.98</v>
      </c>
      <c r="AH43" s="625">
        <v>217.91</v>
      </c>
      <c r="AI43" s="764">
        <v>224.17</v>
      </c>
      <c r="AJ43" s="772">
        <v>224.17</v>
      </c>
      <c r="AK43" s="625">
        <v>225.11</v>
      </c>
      <c r="AL43" s="625">
        <v>223.11</v>
      </c>
      <c r="AM43" s="625">
        <v>225.18</v>
      </c>
      <c r="AN43" s="625">
        <v>229.53</v>
      </c>
      <c r="AO43" s="625">
        <v>227.69</v>
      </c>
      <c r="AP43" s="625">
        <v>229.09</v>
      </c>
      <c r="AQ43" s="625">
        <v>231.6</v>
      </c>
      <c r="AR43" s="625">
        <v>249.43</v>
      </c>
      <c r="AS43" s="625">
        <v>282.02999999999997</v>
      </c>
      <c r="AT43" s="625">
        <v>284.05</v>
      </c>
      <c r="AU43" s="764">
        <v>284.07</v>
      </c>
      <c r="AV43" s="752">
        <v>287.05</v>
      </c>
      <c r="AW43" s="626">
        <v>291.5</v>
      </c>
      <c r="AX43" s="626">
        <v>292.60000000000002</v>
      </c>
      <c r="AY43" s="626">
        <v>292.60000000000002</v>
      </c>
      <c r="AZ43" s="626">
        <v>292.60000000000002</v>
      </c>
      <c r="BA43" s="626">
        <v>292.58</v>
      </c>
      <c r="BB43" s="626">
        <v>293.68</v>
      </c>
      <c r="BC43" s="627">
        <v>293.68</v>
      </c>
      <c r="BD43" s="626">
        <v>298.39999999999998</v>
      </c>
      <c r="BE43" s="627">
        <v>323.14999999999998</v>
      </c>
      <c r="BF43" s="627">
        <v>324.56</v>
      </c>
      <c r="BG43" s="738">
        <v>323.04000000000002</v>
      </c>
      <c r="BH43" s="660">
        <v>327.35000000000002</v>
      </c>
      <c r="BI43" s="623">
        <v>328.88</v>
      </c>
      <c r="BJ43" s="623">
        <v>330.03</v>
      </c>
      <c r="BK43" s="623">
        <v>330.03</v>
      </c>
      <c r="BL43" s="623">
        <v>331.86</v>
      </c>
      <c r="BM43" s="623">
        <v>334.12</v>
      </c>
      <c r="BN43" s="623">
        <v>334.12</v>
      </c>
      <c r="BO43" s="623">
        <v>334.12</v>
      </c>
      <c r="BP43" s="623">
        <v>335.06</v>
      </c>
      <c r="BQ43" s="623">
        <v>336.16</v>
      </c>
      <c r="BR43" s="623">
        <v>337.08</v>
      </c>
      <c r="BS43" s="659">
        <v>337.1</v>
      </c>
      <c r="BT43" s="660">
        <v>348.07</v>
      </c>
      <c r="BU43" s="623">
        <v>356.23</v>
      </c>
      <c r="BV43" s="623">
        <v>358.05</v>
      </c>
      <c r="BW43" s="623">
        <v>358.05</v>
      </c>
      <c r="BX43" s="623">
        <v>360.03</v>
      </c>
      <c r="BY43" s="623">
        <v>365.37</v>
      </c>
      <c r="BZ43" s="623">
        <v>362.57</v>
      </c>
      <c r="CA43" s="623">
        <v>375.39</v>
      </c>
      <c r="CB43" s="623">
        <v>402.53</v>
      </c>
      <c r="CC43" s="623">
        <v>404.52</v>
      </c>
      <c r="CD43" s="623">
        <v>408.77</v>
      </c>
      <c r="CE43" s="659">
        <v>421.85</v>
      </c>
      <c r="CF43" s="660">
        <v>423.08</v>
      </c>
      <c r="CG43" s="623">
        <v>426.42</v>
      </c>
      <c r="CH43" s="623">
        <v>428.98</v>
      </c>
      <c r="CI43" s="623">
        <v>428.98</v>
      </c>
      <c r="CJ43" s="623">
        <v>434.9</v>
      </c>
      <c r="CK43" s="623">
        <v>452.11</v>
      </c>
      <c r="CL43" s="623">
        <v>449.55</v>
      </c>
      <c r="CM43" s="623">
        <v>455.46</v>
      </c>
      <c r="CN43" s="623">
        <v>450.32</v>
      </c>
      <c r="CO43" s="623">
        <v>455.45</v>
      </c>
      <c r="CP43" s="623">
        <v>455.45</v>
      </c>
      <c r="CQ43" s="659">
        <v>455.46</v>
      </c>
      <c r="CR43" s="660">
        <v>473.28</v>
      </c>
      <c r="CS43" s="623">
        <v>477.85</v>
      </c>
      <c r="CT43" s="623">
        <v>477.85</v>
      </c>
      <c r="CU43" s="623">
        <v>477.86</v>
      </c>
      <c r="CV43" s="623">
        <v>479.15</v>
      </c>
      <c r="CW43" s="623">
        <v>481.71</v>
      </c>
      <c r="CX43" s="623">
        <v>485.05</v>
      </c>
      <c r="CY43" s="623">
        <v>487.62</v>
      </c>
      <c r="CZ43" s="623">
        <v>490.95</v>
      </c>
      <c r="DA43" s="623">
        <v>494.62</v>
      </c>
      <c r="DB43" s="725">
        <v>500.53</v>
      </c>
      <c r="DC43" s="659">
        <v>503.87</v>
      </c>
      <c r="DD43" s="783">
        <v>506.43</v>
      </c>
      <c r="DE43" s="623">
        <v>511.61</v>
      </c>
      <c r="DF43" s="725">
        <v>511.61</v>
      </c>
      <c r="DG43" s="659">
        <v>517.52</v>
      </c>
      <c r="DH43" s="623">
        <v>523.4</v>
      </c>
      <c r="DI43" s="623">
        <v>531.24</v>
      </c>
      <c r="DJ43" s="623">
        <v>526.44000000000005</v>
      </c>
      <c r="DK43" s="659">
        <v>529.78</v>
      </c>
      <c r="DL43" s="897">
        <v>538.08000000000004</v>
      </c>
      <c r="DM43" s="110">
        <f t="shared" si="0"/>
        <v>1.015666880591944</v>
      </c>
      <c r="DN43" s="110"/>
      <c r="DO43" s="110"/>
    </row>
    <row r="44" spans="1:119" s="112" customFormat="1" ht="20.25" customHeight="1">
      <c r="A44" s="109"/>
      <c r="B44" s="408">
        <v>24</v>
      </c>
      <c r="C44" s="621" t="s">
        <v>539</v>
      </c>
      <c r="D44" s="622" t="s">
        <v>8</v>
      </c>
      <c r="E44" s="621" t="s">
        <v>918</v>
      </c>
      <c r="F44" s="622"/>
      <c r="G44" s="621" t="s">
        <v>929</v>
      </c>
      <c r="H44" s="621" t="s">
        <v>930</v>
      </c>
      <c r="I44" s="390" t="s">
        <v>194</v>
      </c>
      <c r="J44" s="651"/>
      <c r="K44" s="669">
        <v>95.8</v>
      </c>
      <c r="L44" s="665">
        <v>117.6</v>
      </c>
      <c r="M44" s="625">
        <v>143.9</v>
      </c>
      <c r="N44" s="625">
        <v>162.4</v>
      </c>
      <c r="O44" s="625">
        <v>179.1</v>
      </c>
      <c r="P44" s="625">
        <v>186.1</v>
      </c>
      <c r="Q44" s="625">
        <v>195.6</v>
      </c>
      <c r="R44" s="625">
        <v>197.2</v>
      </c>
      <c r="S44" s="625">
        <v>202.3</v>
      </c>
      <c r="T44" s="625">
        <v>210.7</v>
      </c>
      <c r="U44" s="625">
        <v>212.9</v>
      </c>
      <c r="V44" s="625">
        <v>214.1</v>
      </c>
      <c r="W44" s="625">
        <v>213.1</v>
      </c>
      <c r="X44" s="625">
        <v>202.9</v>
      </c>
      <c r="Y44" s="625">
        <v>202.9</v>
      </c>
      <c r="Z44" s="625">
        <v>204.4</v>
      </c>
      <c r="AA44" s="625">
        <v>206.1</v>
      </c>
      <c r="AB44" s="625">
        <v>205.3</v>
      </c>
      <c r="AC44" s="625">
        <v>205</v>
      </c>
      <c r="AD44" s="625">
        <v>205.5</v>
      </c>
      <c r="AE44" s="625">
        <v>200.1</v>
      </c>
      <c r="AF44" s="625">
        <v>205.4</v>
      </c>
      <c r="AG44" s="625">
        <v>204.9</v>
      </c>
      <c r="AH44" s="625">
        <v>205.5</v>
      </c>
      <c r="AI44" s="764">
        <v>206.2</v>
      </c>
      <c r="AJ44" s="772">
        <v>205.3</v>
      </c>
      <c r="AK44" s="625">
        <v>214.5</v>
      </c>
      <c r="AL44" s="625">
        <v>218</v>
      </c>
      <c r="AM44" s="625">
        <v>219.2</v>
      </c>
      <c r="AN44" s="625">
        <v>221.5</v>
      </c>
      <c r="AO44" s="625">
        <v>221.5</v>
      </c>
      <c r="AP44" s="625">
        <v>212.4</v>
      </c>
      <c r="AQ44" s="625">
        <v>209.7</v>
      </c>
      <c r="AR44" s="625">
        <v>218.3</v>
      </c>
      <c r="AS44" s="625">
        <v>219.7</v>
      </c>
      <c r="AT44" s="625">
        <v>219.7</v>
      </c>
      <c r="AU44" s="764">
        <v>219.4</v>
      </c>
      <c r="AV44" s="752">
        <v>217.6</v>
      </c>
      <c r="AW44" s="626">
        <v>219.5</v>
      </c>
      <c r="AX44" s="626">
        <v>221.7</v>
      </c>
      <c r="AY44" s="626">
        <v>220.4</v>
      </c>
      <c r="AZ44" s="626">
        <v>221.9</v>
      </c>
      <c r="BA44" s="626">
        <v>221.9</v>
      </c>
      <c r="BB44" s="626">
        <v>222.6</v>
      </c>
      <c r="BC44" s="627">
        <v>226.8</v>
      </c>
      <c r="BD44" s="626">
        <v>226.7</v>
      </c>
      <c r="BE44" s="627">
        <v>226.7</v>
      </c>
      <c r="BF44" s="627">
        <v>235.7</v>
      </c>
      <c r="BG44" s="738">
        <v>238.9</v>
      </c>
      <c r="BH44" s="660">
        <v>240</v>
      </c>
      <c r="BI44" s="623">
        <v>241.9</v>
      </c>
      <c r="BJ44" s="623">
        <v>241.9</v>
      </c>
      <c r="BK44" s="623">
        <v>251.3</v>
      </c>
      <c r="BL44" s="623">
        <v>263.10000000000002</v>
      </c>
      <c r="BM44" s="623">
        <v>263.10000000000002</v>
      </c>
      <c r="BN44" s="623">
        <v>265.10000000000002</v>
      </c>
      <c r="BO44" s="623">
        <v>269.89999999999998</v>
      </c>
      <c r="BP44" s="623">
        <v>271.7</v>
      </c>
      <c r="BQ44" s="623">
        <v>275.7</v>
      </c>
      <c r="BR44" s="623">
        <v>276.60000000000002</v>
      </c>
      <c r="BS44" s="659">
        <v>275.8</v>
      </c>
      <c r="BT44" s="660">
        <v>275</v>
      </c>
      <c r="BU44" s="623">
        <v>273.8</v>
      </c>
      <c r="BV44" s="623">
        <v>274</v>
      </c>
      <c r="BW44" s="623">
        <v>275</v>
      </c>
      <c r="BX44" s="623">
        <v>281</v>
      </c>
      <c r="BY44" s="623">
        <v>282.5</v>
      </c>
      <c r="BZ44" s="623">
        <v>288.10000000000002</v>
      </c>
      <c r="CA44" s="623">
        <v>288</v>
      </c>
      <c r="CB44" s="623">
        <v>291.8</v>
      </c>
      <c r="CC44" s="623">
        <v>296.3</v>
      </c>
      <c r="CD44" s="623">
        <v>303.2</v>
      </c>
      <c r="CE44" s="659">
        <v>306.60000000000002</v>
      </c>
      <c r="CF44" s="660">
        <v>321</v>
      </c>
      <c r="CG44" s="623">
        <v>323</v>
      </c>
      <c r="CH44" s="623">
        <v>327.3</v>
      </c>
      <c r="CI44" s="623">
        <v>330.3</v>
      </c>
      <c r="CJ44" s="623">
        <v>344.8</v>
      </c>
      <c r="CK44" s="623">
        <v>347</v>
      </c>
      <c r="CL44" s="623">
        <v>351.7</v>
      </c>
      <c r="CM44" s="623">
        <v>364.2</v>
      </c>
      <c r="CN44" s="623">
        <v>364.2</v>
      </c>
      <c r="CO44" s="623">
        <v>364.2</v>
      </c>
      <c r="CP44" s="623">
        <v>376.7</v>
      </c>
      <c r="CQ44" s="659">
        <v>376.2</v>
      </c>
      <c r="CR44" s="660">
        <v>376</v>
      </c>
      <c r="CS44" s="623">
        <v>378.3</v>
      </c>
      <c r="CT44" s="623">
        <v>373.1</v>
      </c>
      <c r="CU44" s="623">
        <v>349.8</v>
      </c>
      <c r="CV44" s="623">
        <v>365.9</v>
      </c>
      <c r="CW44" s="623">
        <v>369.4</v>
      </c>
      <c r="CX44" s="623">
        <v>368.6</v>
      </c>
      <c r="CY44" s="623">
        <v>378.6</v>
      </c>
      <c r="CZ44" s="623">
        <v>379.7</v>
      </c>
      <c r="DA44" s="623">
        <v>379.2</v>
      </c>
      <c r="DB44" s="725">
        <v>400.1</v>
      </c>
      <c r="DC44" s="659">
        <v>402.9</v>
      </c>
      <c r="DD44" s="783">
        <v>393</v>
      </c>
      <c r="DE44" s="623">
        <v>414.6</v>
      </c>
      <c r="DF44" s="725">
        <v>416.3</v>
      </c>
      <c r="DG44" s="659">
        <v>424.7</v>
      </c>
      <c r="DH44" s="623">
        <v>416.3</v>
      </c>
      <c r="DI44" s="623">
        <v>427.7</v>
      </c>
      <c r="DJ44" s="623">
        <v>427.7</v>
      </c>
      <c r="DK44" s="659">
        <v>439.7</v>
      </c>
      <c r="DL44" s="897">
        <v>449.8</v>
      </c>
      <c r="DM44" s="110">
        <f t="shared" si="0"/>
        <v>1.0229702069592905</v>
      </c>
      <c r="DN44" s="110"/>
      <c r="DO44" s="110"/>
    </row>
    <row r="45" spans="1:119" s="112" customFormat="1" ht="18" customHeight="1">
      <c r="A45" s="109"/>
      <c r="B45" s="644">
        <v>25</v>
      </c>
      <c r="C45" s="645"/>
      <c r="D45" s="646" t="s">
        <v>9</v>
      </c>
      <c r="E45" s="645" t="s">
        <v>918</v>
      </c>
      <c r="F45" s="646"/>
      <c r="G45" s="895" t="s">
        <v>924</v>
      </c>
      <c r="H45" s="645" t="s">
        <v>920</v>
      </c>
      <c r="I45" s="876" t="s">
        <v>10</v>
      </c>
      <c r="J45" s="893"/>
      <c r="K45" s="877">
        <v>94</v>
      </c>
      <c r="L45" s="878">
        <v>97.2</v>
      </c>
      <c r="M45" s="879">
        <v>101.4</v>
      </c>
      <c r="N45" s="879">
        <v>111.4</v>
      </c>
      <c r="O45" s="879">
        <v>125.2</v>
      </c>
      <c r="P45" s="879">
        <v>130</v>
      </c>
      <c r="Q45" s="879">
        <v>130.6</v>
      </c>
      <c r="R45" s="879">
        <v>129.69999999999999</v>
      </c>
      <c r="S45" s="879">
        <v>132.6</v>
      </c>
      <c r="T45" s="879">
        <v>132.6</v>
      </c>
      <c r="U45" s="879">
        <v>132.9</v>
      </c>
      <c r="V45" s="879">
        <v>132.6</v>
      </c>
      <c r="W45" s="879">
        <v>132.80000000000001</v>
      </c>
      <c r="X45" s="879">
        <v>134.30000000000001</v>
      </c>
      <c r="Y45" s="879">
        <v>127.8</v>
      </c>
      <c r="Z45" s="879">
        <v>129.69999999999999</v>
      </c>
      <c r="AA45" s="879">
        <v>126.2</v>
      </c>
      <c r="AB45" s="879">
        <v>126.3</v>
      </c>
      <c r="AC45" s="879">
        <v>124.6</v>
      </c>
      <c r="AD45" s="879">
        <v>124.6</v>
      </c>
      <c r="AE45" s="879">
        <v>121.9</v>
      </c>
      <c r="AF45" s="879">
        <v>121.9</v>
      </c>
      <c r="AG45" s="879">
        <v>121.9</v>
      </c>
      <c r="AH45" s="879">
        <v>121.4</v>
      </c>
      <c r="AI45" s="880">
        <v>121.8</v>
      </c>
      <c r="AJ45" s="881">
        <v>123.1</v>
      </c>
      <c r="AK45" s="879">
        <v>126.5</v>
      </c>
      <c r="AL45" s="879">
        <v>130.1</v>
      </c>
      <c r="AM45" s="879">
        <v>134.5</v>
      </c>
      <c r="AN45" s="879">
        <v>138</v>
      </c>
      <c r="AO45" s="879">
        <v>140</v>
      </c>
      <c r="AP45" s="879">
        <v>140.9</v>
      </c>
      <c r="AQ45" s="879">
        <v>140.9</v>
      </c>
      <c r="AR45" s="879">
        <v>142.1</v>
      </c>
      <c r="AS45" s="879">
        <v>144.30000000000001</v>
      </c>
      <c r="AT45" s="879">
        <v>144.80000000000001</v>
      </c>
      <c r="AU45" s="880">
        <v>144.9</v>
      </c>
      <c r="AV45" s="882">
        <v>148.69999999999999</v>
      </c>
      <c r="AW45" s="883">
        <v>151.4</v>
      </c>
      <c r="AX45" s="883">
        <v>154.6</v>
      </c>
      <c r="AY45" s="883">
        <v>158.80000000000001</v>
      </c>
      <c r="AZ45" s="883">
        <v>161.5</v>
      </c>
      <c r="BA45" s="883">
        <v>162.6</v>
      </c>
      <c r="BB45" s="883">
        <v>163.1</v>
      </c>
      <c r="BC45" s="884">
        <v>163.6</v>
      </c>
      <c r="BD45" s="883">
        <v>163.9</v>
      </c>
      <c r="BE45" s="884">
        <v>164.4</v>
      </c>
      <c r="BF45" s="884">
        <v>166</v>
      </c>
      <c r="BG45" s="885">
        <v>166.1</v>
      </c>
      <c r="BH45" s="886">
        <v>166.7</v>
      </c>
      <c r="BI45" s="887">
        <v>168.1</v>
      </c>
      <c r="BJ45" s="887">
        <v>173</v>
      </c>
      <c r="BK45" s="887">
        <v>175.2</v>
      </c>
      <c r="BL45" s="887">
        <v>178.4</v>
      </c>
      <c r="BM45" s="887">
        <v>178.4</v>
      </c>
      <c r="BN45" s="887">
        <v>177.3</v>
      </c>
      <c r="BO45" s="887">
        <v>178.3</v>
      </c>
      <c r="BP45" s="887">
        <v>181.5</v>
      </c>
      <c r="BQ45" s="887">
        <v>181.6</v>
      </c>
      <c r="BR45" s="887">
        <v>181.8</v>
      </c>
      <c r="BS45" s="888">
        <v>182.1</v>
      </c>
      <c r="BT45" s="886">
        <v>184</v>
      </c>
      <c r="BU45" s="887">
        <v>186.2</v>
      </c>
      <c r="BV45" s="887">
        <v>187.1</v>
      </c>
      <c r="BW45" s="887">
        <v>187.1</v>
      </c>
      <c r="BX45" s="887">
        <v>193.2</v>
      </c>
      <c r="BY45" s="887">
        <v>192.7</v>
      </c>
      <c r="BZ45" s="887">
        <v>199.5</v>
      </c>
      <c r="CA45" s="887">
        <v>204.3</v>
      </c>
      <c r="CB45" s="887">
        <v>204.7</v>
      </c>
      <c r="CC45" s="887">
        <v>204.8</v>
      </c>
      <c r="CD45" s="887">
        <v>209.6</v>
      </c>
      <c r="CE45" s="888">
        <v>210.2</v>
      </c>
      <c r="CF45" s="886">
        <v>210.4</v>
      </c>
      <c r="CG45" s="887">
        <v>216</v>
      </c>
      <c r="CH45" s="887">
        <v>220.3</v>
      </c>
      <c r="CI45" s="887">
        <v>224.2</v>
      </c>
      <c r="CJ45" s="887">
        <v>226</v>
      </c>
      <c r="CK45" s="887">
        <v>234.1</v>
      </c>
      <c r="CL45" s="887">
        <v>239</v>
      </c>
      <c r="CM45" s="887">
        <v>241.8</v>
      </c>
      <c r="CN45" s="887">
        <v>241.8</v>
      </c>
      <c r="CO45" s="887">
        <v>245.4</v>
      </c>
      <c r="CP45" s="887">
        <v>246.3</v>
      </c>
      <c r="CQ45" s="888">
        <v>246.3</v>
      </c>
      <c r="CR45" s="886">
        <v>246.3</v>
      </c>
      <c r="CS45" s="887">
        <v>248.9</v>
      </c>
      <c r="CT45" s="887">
        <v>249.9</v>
      </c>
      <c r="CU45" s="887">
        <v>249.9</v>
      </c>
      <c r="CV45" s="887">
        <v>253.4</v>
      </c>
      <c r="CW45" s="887">
        <v>256.10000000000002</v>
      </c>
      <c r="CX45" s="887">
        <v>263.39999999999998</v>
      </c>
      <c r="CY45" s="887">
        <v>266.39999999999998</v>
      </c>
      <c r="CZ45" s="887">
        <v>271.8</v>
      </c>
      <c r="DA45" s="887">
        <v>279.7</v>
      </c>
      <c r="DB45" s="889">
        <v>280.5</v>
      </c>
      <c r="DC45" s="888">
        <v>282</v>
      </c>
      <c r="DD45" s="890">
        <v>285.60000000000002</v>
      </c>
      <c r="DE45" s="887">
        <v>288</v>
      </c>
      <c r="DF45" s="889">
        <v>293.60000000000002</v>
      </c>
      <c r="DG45" s="888">
        <v>298.10000000000002</v>
      </c>
      <c r="DH45" s="887">
        <v>305.3</v>
      </c>
      <c r="DI45" s="887">
        <v>309.39999999999998</v>
      </c>
      <c r="DJ45" s="623">
        <v>314.89999999999998</v>
      </c>
      <c r="DK45" s="659">
        <v>327.2</v>
      </c>
      <c r="DL45" s="897">
        <v>329.8</v>
      </c>
      <c r="DM45" s="110">
        <f t="shared" si="0"/>
        <v>1.0079462102689487</v>
      </c>
      <c r="DN45" s="110"/>
      <c r="DO45" s="110"/>
    </row>
    <row r="46" spans="1:119" s="112" customFormat="1" ht="18.95" customHeight="1">
      <c r="A46" s="109"/>
      <c r="B46" s="408">
        <v>26</v>
      </c>
      <c r="C46" s="621"/>
      <c r="D46" s="622" t="s">
        <v>12</v>
      </c>
      <c r="E46" s="621" t="s">
        <v>918</v>
      </c>
      <c r="F46" s="622"/>
      <c r="G46" s="632" t="s">
        <v>924</v>
      </c>
      <c r="H46" s="621" t="s">
        <v>920</v>
      </c>
      <c r="I46" s="390" t="s">
        <v>921</v>
      </c>
      <c r="J46" s="676"/>
      <c r="K46" s="669">
        <v>101</v>
      </c>
      <c r="L46" s="665">
        <v>102.7</v>
      </c>
      <c r="M46" s="625">
        <v>107.4</v>
      </c>
      <c r="N46" s="625">
        <v>108.3</v>
      </c>
      <c r="O46" s="625">
        <v>111.7</v>
      </c>
      <c r="P46" s="625">
        <v>118.4</v>
      </c>
      <c r="Q46" s="625">
        <v>127.1</v>
      </c>
      <c r="R46" s="625">
        <v>138.30000000000001</v>
      </c>
      <c r="S46" s="625">
        <v>143.69999999999999</v>
      </c>
      <c r="T46" s="625">
        <v>144.30000000000001</v>
      </c>
      <c r="U46" s="625">
        <v>145.19999999999999</v>
      </c>
      <c r="V46" s="625">
        <v>148</v>
      </c>
      <c r="W46" s="625">
        <v>147.80000000000001</v>
      </c>
      <c r="X46" s="625">
        <v>149.1</v>
      </c>
      <c r="Y46" s="625">
        <v>150.1</v>
      </c>
      <c r="Z46" s="625">
        <v>149.6</v>
      </c>
      <c r="AA46" s="625">
        <v>151.5</v>
      </c>
      <c r="AB46" s="625">
        <v>150.5</v>
      </c>
      <c r="AC46" s="625">
        <v>151</v>
      </c>
      <c r="AD46" s="625">
        <v>150.5</v>
      </c>
      <c r="AE46" s="625">
        <v>150.5</v>
      </c>
      <c r="AF46" s="625">
        <v>151.6</v>
      </c>
      <c r="AG46" s="625">
        <v>150.9</v>
      </c>
      <c r="AH46" s="625">
        <v>150.30000000000001</v>
      </c>
      <c r="AI46" s="764">
        <v>154</v>
      </c>
      <c r="AJ46" s="772">
        <v>155.5</v>
      </c>
      <c r="AK46" s="625">
        <v>157.19999999999999</v>
      </c>
      <c r="AL46" s="625">
        <v>163</v>
      </c>
      <c r="AM46" s="625">
        <v>162.69999999999999</v>
      </c>
      <c r="AN46" s="625">
        <v>167</v>
      </c>
      <c r="AO46" s="625">
        <v>171.5</v>
      </c>
      <c r="AP46" s="625">
        <v>173</v>
      </c>
      <c r="AQ46" s="625">
        <v>175.4</v>
      </c>
      <c r="AR46" s="625">
        <v>174.6</v>
      </c>
      <c r="AS46" s="625">
        <v>174.3</v>
      </c>
      <c r="AT46" s="625">
        <v>173.5</v>
      </c>
      <c r="AU46" s="764">
        <v>174.8</v>
      </c>
      <c r="AV46" s="752">
        <v>179.3</v>
      </c>
      <c r="AW46" s="626">
        <v>180</v>
      </c>
      <c r="AX46" s="626">
        <v>181.1</v>
      </c>
      <c r="AY46" s="626">
        <v>182</v>
      </c>
      <c r="AZ46" s="626">
        <v>188.6</v>
      </c>
      <c r="BA46" s="626">
        <v>188</v>
      </c>
      <c r="BB46" s="626">
        <v>189</v>
      </c>
      <c r="BC46" s="627">
        <v>193</v>
      </c>
      <c r="BD46" s="626">
        <v>195.3</v>
      </c>
      <c r="BE46" s="627">
        <v>196.9</v>
      </c>
      <c r="BF46" s="627">
        <v>201</v>
      </c>
      <c r="BG46" s="738">
        <v>202.8</v>
      </c>
      <c r="BH46" s="660">
        <v>204.7</v>
      </c>
      <c r="BI46" s="623">
        <v>204.9</v>
      </c>
      <c r="BJ46" s="623">
        <v>214.1</v>
      </c>
      <c r="BK46" s="623">
        <v>214.1</v>
      </c>
      <c r="BL46" s="623">
        <v>218.4</v>
      </c>
      <c r="BM46" s="623">
        <v>221.3</v>
      </c>
      <c r="BN46" s="623">
        <v>222</v>
      </c>
      <c r="BO46" s="623">
        <v>220.9</v>
      </c>
      <c r="BP46" s="623">
        <v>221.2</v>
      </c>
      <c r="BQ46" s="623">
        <v>220.9</v>
      </c>
      <c r="BR46" s="623">
        <v>220.9</v>
      </c>
      <c r="BS46" s="659">
        <v>220.9</v>
      </c>
      <c r="BT46" s="660">
        <v>221.8</v>
      </c>
      <c r="BU46" s="623">
        <v>223.7</v>
      </c>
      <c r="BV46" s="623">
        <v>225.2</v>
      </c>
      <c r="BW46" s="623">
        <v>225.2</v>
      </c>
      <c r="BX46" s="623">
        <v>228.5</v>
      </c>
      <c r="BY46" s="623">
        <v>233.9</v>
      </c>
      <c r="BZ46" s="623">
        <v>233.7</v>
      </c>
      <c r="CA46" s="623">
        <v>244.7</v>
      </c>
      <c r="CB46" s="623">
        <v>244.9</v>
      </c>
      <c r="CC46" s="623">
        <v>247.4</v>
      </c>
      <c r="CD46" s="623">
        <v>248.8</v>
      </c>
      <c r="CE46" s="659">
        <v>250.9</v>
      </c>
      <c r="CF46" s="660">
        <v>256.3</v>
      </c>
      <c r="CG46" s="623">
        <v>260</v>
      </c>
      <c r="CH46" s="623">
        <v>260.89999999999998</v>
      </c>
      <c r="CI46" s="623">
        <v>273.5</v>
      </c>
      <c r="CJ46" s="623">
        <v>286.8</v>
      </c>
      <c r="CK46" s="623">
        <v>291.5</v>
      </c>
      <c r="CL46" s="623">
        <v>291.2</v>
      </c>
      <c r="CM46" s="623">
        <v>295.2</v>
      </c>
      <c r="CN46" s="623">
        <v>298.7</v>
      </c>
      <c r="CO46" s="623">
        <v>299.89999999999998</v>
      </c>
      <c r="CP46" s="623">
        <v>302.39999999999998</v>
      </c>
      <c r="CQ46" s="659">
        <v>306.7</v>
      </c>
      <c r="CR46" s="660">
        <v>307.60000000000002</v>
      </c>
      <c r="CS46" s="623">
        <v>316.3</v>
      </c>
      <c r="CT46" s="623">
        <v>317.7</v>
      </c>
      <c r="CU46" s="623">
        <v>317.89999999999998</v>
      </c>
      <c r="CV46" s="623">
        <v>317.89999999999998</v>
      </c>
      <c r="CW46" s="623">
        <v>323.7</v>
      </c>
      <c r="CX46" s="623">
        <v>330.6</v>
      </c>
      <c r="CY46" s="623">
        <v>337.9</v>
      </c>
      <c r="CZ46" s="623">
        <v>350.1</v>
      </c>
      <c r="DA46" s="623">
        <v>355.6</v>
      </c>
      <c r="DB46" s="725">
        <v>356.4</v>
      </c>
      <c r="DC46" s="659">
        <v>357.2</v>
      </c>
      <c r="DD46" s="783">
        <v>366</v>
      </c>
      <c r="DE46" s="623">
        <v>375.5</v>
      </c>
      <c r="DF46" s="725">
        <v>375.8</v>
      </c>
      <c r="DG46" s="659">
        <v>380.7</v>
      </c>
      <c r="DH46" s="623">
        <v>401.3</v>
      </c>
      <c r="DI46" s="623">
        <v>406.3</v>
      </c>
      <c r="DJ46" s="623">
        <v>412.7</v>
      </c>
      <c r="DK46" s="659">
        <v>426.1</v>
      </c>
      <c r="DL46" s="897">
        <v>431.5</v>
      </c>
      <c r="DM46" s="110">
        <f t="shared" si="0"/>
        <v>1.0126730814362825</v>
      </c>
      <c r="DN46" s="110"/>
      <c r="DO46" s="110"/>
    </row>
    <row r="47" spans="1:119" s="112" customFormat="1" ht="18.95" customHeight="1">
      <c r="A47" s="109"/>
      <c r="B47" s="408">
        <v>27</v>
      </c>
      <c r="C47" s="621" t="s">
        <v>543</v>
      </c>
      <c r="D47" s="622" t="s">
        <v>13</v>
      </c>
      <c r="E47" s="621" t="s">
        <v>918</v>
      </c>
      <c r="F47" s="622"/>
      <c r="G47" s="621" t="s">
        <v>929</v>
      </c>
      <c r="H47" s="621" t="s">
        <v>930</v>
      </c>
      <c r="I47" s="390" t="s">
        <v>14</v>
      </c>
      <c r="J47" s="651"/>
      <c r="K47" s="669">
        <v>97.7</v>
      </c>
      <c r="L47" s="665">
        <v>98.7</v>
      </c>
      <c r="M47" s="625">
        <v>121.5</v>
      </c>
      <c r="N47" s="625">
        <v>152.30000000000001</v>
      </c>
      <c r="O47" s="625">
        <v>171.1</v>
      </c>
      <c r="P47" s="625">
        <v>193.2</v>
      </c>
      <c r="Q47" s="625">
        <v>195.2</v>
      </c>
      <c r="R47" s="625">
        <v>196.5</v>
      </c>
      <c r="S47" s="625">
        <v>197.8</v>
      </c>
      <c r="T47" s="625">
        <v>198.5</v>
      </c>
      <c r="U47" s="625">
        <v>197.4</v>
      </c>
      <c r="V47" s="625">
        <v>196.4</v>
      </c>
      <c r="W47" s="625">
        <v>196.5</v>
      </c>
      <c r="X47" s="625">
        <v>193.7</v>
      </c>
      <c r="Y47" s="625">
        <v>190.7</v>
      </c>
      <c r="Z47" s="625">
        <v>189.4</v>
      </c>
      <c r="AA47" s="625">
        <v>187.4</v>
      </c>
      <c r="AB47" s="625">
        <v>187.6</v>
      </c>
      <c r="AC47" s="625">
        <v>186.7</v>
      </c>
      <c r="AD47" s="625">
        <v>187.4</v>
      </c>
      <c r="AE47" s="625">
        <v>190.9</v>
      </c>
      <c r="AF47" s="625">
        <v>190.7</v>
      </c>
      <c r="AG47" s="625">
        <v>189.4</v>
      </c>
      <c r="AH47" s="625">
        <v>190.9</v>
      </c>
      <c r="AI47" s="764">
        <v>192.5</v>
      </c>
      <c r="AJ47" s="772">
        <v>191.5</v>
      </c>
      <c r="AK47" s="625">
        <v>192.8</v>
      </c>
      <c r="AL47" s="625">
        <v>192.9</v>
      </c>
      <c r="AM47" s="625">
        <v>191.6</v>
      </c>
      <c r="AN47" s="625">
        <v>199.1</v>
      </c>
      <c r="AO47" s="625">
        <v>199.9</v>
      </c>
      <c r="AP47" s="625">
        <v>200.6</v>
      </c>
      <c r="AQ47" s="625">
        <v>202.5</v>
      </c>
      <c r="AR47" s="625">
        <v>202.6</v>
      </c>
      <c r="AS47" s="625">
        <v>202.1</v>
      </c>
      <c r="AT47" s="625">
        <v>202.7</v>
      </c>
      <c r="AU47" s="764">
        <v>205.4</v>
      </c>
      <c r="AV47" s="752">
        <v>205</v>
      </c>
      <c r="AW47" s="626">
        <v>204.5</v>
      </c>
      <c r="AX47" s="626">
        <v>205.9</v>
      </c>
      <c r="AY47" s="626">
        <v>205.1</v>
      </c>
      <c r="AZ47" s="626">
        <v>206.2</v>
      </c>
      <c r="BA47" s="626">
        <v>204.7</v>
      </c>
      <c r="BB47" s="626">
        <v>205.7</v>
      </c>
      <c r="BC47" s="627">
        <v>212.3</v>
      </c>
      <c r="BD47" s="626">
        <v>213.6</v>
      </c>
      <c r="BE47" s="627">
        <v>217.3</v>
      </c>
      <c r="BF47" s="627">
        <v>217.1</v>
      </c>
      <c r="BG47" s="738">
        <v>219.6</v>
      </c>
      <c r="BH47" s="660">
        <v>221.1</v>
      </c>
      <c r="BI47" s="623">
        <v>225</v>
      </c>
      <c r="BJ47" s="623">
        <v>225.9</v>
      </c>
      <c r="BK47" s="623">
        <v>227.4</v>
      </c>
      <c r="BL47" s="623">
        <v>234</v>
      </c>
      <c r="BM47" s="623">
        <v>234.7</v>
      </c>
      <c r="BN47" s="623">
        <v>234.7</v>
      </c>
      <c r="BO47" s="623">
        <v>237.4</v>
      </c>
      <c r="BP47" s="623">
        <v>237.7</v>
      </c>
      <c r="BQ47" s="623">
        <v>239.3</v>
      </c>
      <c r="BR47" s="623">
        <v>238.9</v>
      </c>
      <c r="BS47" s="659">
        <v>238.5</v>
      </c>
      <c r="BT47" s="660">
        <v>241.1</v>
      </c>
      <c r="BU47" s="623">
        <v>241.2</v>
      </c>
      <c r="BV47" s="623">
        <v>241.4</v>
      </c>
      <c r="BW47" s="623">
        <v>242.8</v>
      </c>
      <c r="BX47" s="623">
        <v>253</v>
      </c>
      <c r="BY47" s="623">
        <v>254.3</v>
      </c>
      <c r="BZ47" s="623">
        <v>255.5</v>
      </c>
      <c r="CA47" s="623">
        <v>256.89999999999998</v>
      </c>
      <c r="CB47" s="623">
        <v>264.8</v>
      </c>
      <c r="CC47" s="623">
        <v>266.2</v>
      </c>
      <c r="CD47" s="623">
        <v>265.89999999999998</v>
      </c>
      <c r="CE47" s="659">
        <v>267.60000000000002</v>
      </c>
      <c r="CF47" s="660">
        <v>268.8</v>
      </c>
      <c r="CG47" s="623">
        <v>275</v>
      </c>
      <c r="CH47" s="623">
        <v>275</v>
      </c>
      <c r="CI47" s="623">
        <v>272.10000000000002</v>
      </c>
      <c r="CJ47" s="623">
        <v>273.2</v>
      </c>
      <c r="CK47" s="623">
        <v>256.89999999999998</v>
      </c>
      <c r="CL47" s="623">
        <v>272.39999999999998</v>
      </c>
      <c r="CM47" s="623">
        <v>276.2</v>
      </c>
      <c r="CN47" s="623">
        <v>276.2</v>
      </c>
      <c r="CO47" s="623">
        <v>277.3</v>
      </c>
      <c r="CP47" s="623">
        <v>279</v>
      </c>
      <c r="CQ47" s="659">
        <v>279</v>
      </c>
      <c r="CR47" s="660">
        <v>279.3</v>
      </c>
      <c r="CS47" s="623">
        <v>279.89999999999998</v>
      </c>
      <c r="CT47" s="623">
        <v>284.3</v>
      </c>
      <c r="CU47" s="623">
        <v>285.2</v>
      </c>
      <c r="CV47" s="623">
        <v>286.10000000000002</v>
      </c>
      <c r="CW47" s="623">
        <v>288.2</v>
      </c>
      <c r="CX47" s="623">
        <v>292</v>
      </c>
      <c r="CY47" s="623">
        <v>292.7</v>
      </c>
      <c r="CZ47" s="623">
        <v>292.89999999999998</v>
      </c>
      <c r="DA47" s="623">
        <v>295.8</v>
      </c>
      <c r="DB47" s="725">
        <v>300.39999999999998</v>
      </c>
      <c r="DC47" s="659">
        <v>300.39999999999998</v>
      </c>
      <c r="DD47" s="783">
        <v>300</v>
      </c>
      <c r="DE47" s="623">
        <v>299.8</v>
      </c>
      <c r="DF47" s="725">
        <v>301.8</v>
      </c>
      <c r="DG47" s="659">
        <v>302.2</v>
      </c>
      <c r="DH47" s="623">
        <v>303.8</v>
      </c>
      <c r="DI47" s="623">
        <v>304.8</v>
      </c>
      <c r="DJ47" s="623">
        <v>305</v>
      </c>
      <c r="DK47" s="659">
        <v>305.5</v>
      </c>
      <c r="DL47" s="897">
        <v>305.5</v>
      </c>
      <c r="DM47" s="110">
        <f t="shared" si="0"/>
        <v>1</v>
      </c>
      <c r="DN47" s="110"/>
      <c r="DO47" s="110"/>
    </row>
    <row r="48" spans="1:119" s="112" customFormat="1" ht="24" customHeight="1" thickBot="1">
      <c r="A48" s="109"/>
      <c r="B48" s="407">
        <v>28</v>
      </c>
      <c r="C48" s="636" t="s">
        <v>542</v>
      </c>
      <c r="D48" s="637" t="s">
        <v>15</v>
      </c>
      <c r="E48" s="636" t="s">
        <v>918</v>
      </c>
      <c r="F48" s="637"/>
      <c r="G48" s="636" t="s">
        <v>929</v>
      </c>
      <c r="H48" s="636" t="s">
        <v>930</v>
      </c>
      <c r="I48" s="638" t="s">
        <v>921</v>
      </c>
      <c r="J48" s="684"/>
      <c r="K48" s="670">
        <v>91.6</v>
      </c>
      <c r="L48" s="666">
        <v>97.5</v>
      </c>
      <c r="M48" s="639">
        <v>98.6</v>
      </c>
      <c r="N48" s="639">
        <v>102</v>
      </c>
      <c r="O48" s="639">
        <v>116.3</v>
      </c>
      <c r="P48" s="639">
        <v>124.6</v>
      </c>
      <c r="Q48" s="639">
        <v>129.19999999999999</v>
      </c>
      <c r="R48" s="639">
        <v>127.6</v>
      </c>
      <c r="S48" s="639">
        <v>127.6</v>
      </c>
      <c r="T48" s="639">
        <v>132.9</v>
      </c>
      <c r="U48" s="639">
        <v>134.19999999999999</v>
      </c>
      <c r="V48" s="639">
        <v>134.30000000000001</v>
      </c>
      <c r="W48" s="639">
        <v>134.30000000000001</v>
      </c>
      <c r="X48" s="639">
        <v>134.30000000000001</v>
      </c>
      <c r="Y48" s="639">
        <v>134.30000000000001</v>
      </c>
      <c r="Z48" s="639">
        <v>136.5</v>
      </c>
      <c r="AA48" s="639">
        <v>137.6</v>
      </c>
      <c r="AB48" s="639">
        <v>138</v>
      </c>
      <c r="AC48" s="639">
        <v>141.5</v>
      </c>
      <c r="AD48" s="639">
        <v>141.9</v>
      </c>
      <c r="AE48" s="639">
        <v>139.19999999999999</v>
      </c>
      <c r="AF48" s="639">
        <v>138.9</v>
      </c>
      <c r="AG48" s="639">
        <v>145.30000000000001</v>
      </c>
      <c r="AH48" s="639">
        <v>145.19999999999999</v>
      </c>
      <c r="AI48" s="765">
        <v>145.5</v>
      </c>
      <c r="AJ48" s="773">
        <v>145.5</v>
      </c>
      <c r="AK48" s="639">
        <v>159.1</v>
      </c>
      <c r="AL48" s="639">
        <v>159.1</v>
      </c>
      <c r="AM48" s="639">
        <v>159.1</v>
      </c>
      <c r="AN48" s="639">
        <v>159.1</v>
      </c>
      <c r="AO48" s="639">
        <v>159.1</v>
      </c>
      <c r="AP48" s="639">
        <v>159.1</v>
      </c>
      <c r="AQ48" s="639">
        <v>159.1</v>
      </c>
      <c r="AR48" s="639">
        <v>159.1</v>
      </c>
      <c r="AS48" s="639">
        <v>162.5</v>
      </c>
      <c r="AT48" s="639">
        <v>162.5</v>
      </c>
      <c r="AU48" s="765">
        <v>162.5</v>
      </c>
      <c r="AV48" s="768">
        <v>163.30000000000001</v>
      </c>
      <c r="AW48" s="640">
        <v>163.30000000000001</v>
      </c>
      <c r="AX48" s="640">
        <v>163.30000000000001</v>
      </c>
      <c r="AY48" s="640">
        <v>163.30000000000001</v>
      </c>
      <c r="AZ48" s="640">
        <v>168.6</v>
      </c>
      <c r="BA48" s="640">
        <v>170.7</v>
      </c>
      <c r="BB48" s="640">
        <v>170.7</v>
      </c>
      <c r="BC48" s="641">
        <v>170.9</v>
      </c>
      <c r="BD48" s="640">
        <v>173.2</v>
      </c>
      <c r="BE48" s="641">
        <v>175.5</v>
      </c>
      <c r="BF48" s="641">
        <v>179.6</v>
      </c>
      <c r="BG48" s="751">
        <v>188.9</v>
      </c>
      <c r="BH48" s="661">
        <v>188.9</v>
      </c>
      <c r="BI48" s="642">
        <v>188.9</v>
      </c>
      <c r="BJ48" s="642">
        <v>188.9</v>
      </c>
      <c r="BK48" s="642">
        <v>184.9</v>
      </c>
      <c r="BL48" s="642">
        <v>198.5</v>
      </c>
      <c r="BM48" s="642">
        <v>208</v>
      </c>
      <c r="BN48" s="642">
        <v>211.5</v>
      </c>
      <c r="BO48" s="642">
        <v>207.4</v>
      </c>
      <c r="BP48" s="642">
        <v>213.6</v>
      </c>
      <c r="BQ48" s="642">
        <v>214.9</v>
      </c>
      <c r="BR48" s="642">
        <v>220.9</v>
      </c>
      <c r="BS48" s="736">
        <v>220.9</v>
      </c>
      <c r="BT48" s="661">
        <v>220.9</v>
      </c>
      <c r="BU48" s="642">
        <v>223.5</v>
      </c>
      <c r="BV48" s="642">
        <v>223.5</v>
      </c>
      <c r="BW48" s="642">
        <v>227.7</v>
      </c>
      <c r="BX48" s="642">
        <v>229.8</v>
      </c>
      <c r="BY48" s="642">
        <v>240.2</v>
      </c>
      <c r="BZ48" s="642">
        <v>240.2</v>
      </c>
      <c r="CA48" s="642">
        <v>240.2</v>
      </c>
      <c r="CB48" s="642">
        <v>240.2</v>
      </c>
      <c r="CC48" s="642">
        <v>254.5</v>
      </c>
      <c r="CD48" s="642">
        <v>254.7</v>
      </c>
      <c r="CE48" s="736">
        <v>262.2</v>
      </c>
      <c r="CF48" s="661">
        <v>269.60000000000002</v>
      </c>
      <c r="CG48" s="642">
        <v>287.60000000000002</v>
      </c>
      <c r="CH48" s="642">
        <v>273.7</v>
      </c>
      <c r="CI48" s="642">
        <v>289.10000000000002</v>
      </c>
      <c r="CJ48" s="642">
        <v>290.2</v>
      </c>
      <c r="CK48" s="642">
        <v>283.10000000000002</v>
      </c>
      <c r="CL48" s="642">
        <v>283.5</v>
      </c>
      <c r="CM48" s="642">
        <v>283.8</v>
      </c>
      <c r="CN48" s="642">
        <v>283.7</v>
      </c>
      <c r="CO48" s="642">
        <v>283.7</v>
      </c>
      <c r="CP48" s="642">
        <v>283.8</v>
      </c>
      <c r="CQ48" s="736">
        <v>283.8</v>
      </c>
      <c r="CR48" s="661">
        <v>283.8</v>
      </c>
      <c r="CS48" s="642">
        <v>283.8</v>
      </c>
      <c r="CT48" s="642">
        <v>283.8</v>
      </c>
      <c r="CU48" s="642">
        <v>283.8</v>
      </c>
      <c r="CV48" s="642">
        <v>283.8</v>
      </c>
      <c r="CW48" s="642">
        <v>285</v>
      </c>
      <c r="CX48" s="642">
        <v>285</v>
      </c>
      <c r="CY48" s="642">
        <v>300.7</v>
      </c>
      <c r="CZ48" s="642">
        <v>299.8</v>
      </c>
      <c r="DA48" s="642">
        <v>300.39999999999998</v>
      </c>
      <c r="DB48" s="726">
        <v>319.10000000000002</v>
      </c>
      <c r="DC48" s="736">
        <v>320.7</v>
      </c>
      <c r="DD48" s="784">
        <v>323.7</v>
      </c>
      <c r="DE48" s="642">
        <v>335.8</v>
      </c>
      <c r="DF48" s="726">
        <v>342</v>
      </c>
      <c r="DG48" s="736">
        <v>342.2</v>
      </c>
      <c r="DH48" s="642">
        <v>345.3</v>
      </c>
      <c r="DI48" s="642">
        <v>348.4</v>
      </c>
      <c r="DJ48" s="642">
        <v>348.4</v>
      </c>
      <c r="DK48" s="736">
        <v>349.7</v>
      </c>
      <c r="DL48" s="901">
        <v>350.1</v>
      </c>
      <c r="DM48" s="110">
        <f t="shared" si="0"/>
        <v>1.0011438375750645</v>
      </c>
      <c r="DN48" s="110"/>
      <c r="DO48" s="110"/>
    </row>
    <row r="49" spans="1:119" s="112" customFormat="1" ht="18.95" customHeight="1">
      <c r="A49" s="109"/>
      <c r="B49" s="613">
        <v>29</v>
      </c>
      <c r="C49" s="614" t="s">
        <v>541</v>
      </c>
      <c r="D49" s="615" t="s">
        <v>16</v>
      </c>
      <c r="E49" s="614" t="s">
        <v>918</v>
      </c>
      <c r="F49" s="615"/>
      <c r="G49" s="614" t="s">
        <v>929</v>
      </c>
      <c r="H49" s="614" t="s">
        <v>930</v>
      </c>
      <c r="I49" s="647" t="s">
        <v>921</v>
      </c>
      <c r="J49" s="652"/>
      <c r="K49" s="671">
        <v>85.7</v>
      </c>
      <c r="L49" s="667">
        <v>87.7</v>
      </c>
      <c r="M49" s="618">
        <v>85.2</v>
      </c>
      <c r="N49" s="618">
        <v>89.2</v>
      </c>
      <c r="O49" s="618">
        <v>102</v>
      </c>
      <c r="P49" s="618">
        <v>106.5</v>
      </c>
      <c r="Q49" s="618">
        <v>108.4</v>
      </c>
      <c r="R49" s="618">
        <v>114.3</v>
      </c>
      <c r="S49" s="618">
        <v>115.5</v>
      </c>
      <c r="T49" s="618">
        <v>120.3</v>
      </c>
      <c r="U49" s="618">
        <v>119.4</v>
      </c>
      <c r="V49" s="618">
        <v>119.4</v>
      </c>
      <c r="W49" s="618">
        <v>119.4</v>
      </c>
      <c r="X49" s="618">
        <v>118.8</v>
      </c>
      <c r="Y49" s="618">
        <v>118.5</v>
      </c>
      <c r="Z49" s="618">
        <v>122.4</v>
      </c>
      <c r="AA49" s="618">
        <v>123.9</v>
      </c>
      <c r="AB49" s="618">
        <v>128.1</v>
      </c>
      <c r="AC49" s="618">
        <v>131.6</v>
      </c>
      <c r="AD49" s="618">
        <v>131.9</v>
      </c>
      <c r="AE49" s="618">
        <v>132.9</v>
      </c>
      <c r="AF49" s="618">
        <v>134.69999999999999</v>
      </c>
      <c r="AG49" s="618">
        <v>134.69999999999999</v>
      </c>
      <c r="AH49" s="618">
        <v>134.69999999999999</v>
      </c>
      <c r="AI49" s="766">
        <v>134.69999999999999</v>
      </c>
      <c r="AJ49" s="774">
        <v>134.4</v>
      </c>
      <c r="AK49" s="618">
        <v>142</v>
      </c>
      <c r="AL49" s="618">
        <v>141.80000000000001</v>
      </c>
      <c r="AM49" s="618">
        <v>147.30000000000001</v>
      </c>
      <c r="AN49" s="618">
        <v>141.80000000000001</v>
      </c>
      <c r="AO49" s="618">
        <v>141.80000000000001</v>
      </c>
      <c r="AP49" s="618">
        <v>141.80000000000001</v>
      </c>
      <c r="AQ49" s="618">
        <v>141.80000000000001</v>
      </c>
      <c r="AR49" s="618">
        <v>141.80000000000001</v>
      </c>
      <c r="AS49" s="618">
        <v>143.80000000000001</v>
      </c>
      <c r="AT49" s="618">
        <v>143.69999999999999</v>
      </c>
      <c r="AU49" s="766">
        <v>143.5</v>
      </c>
      <c r="AV49" s="769">
        <v>143.4</v>
      </c>
      <c r="AW49" s="619">
        <v>143.6</v>
      </c>
      <c r="AX49" s="619">
        <v>143.6</v>
      </c>
      <c r="AY49" s="619">
        <v>143.6</v>
      </c>
      <c r="AZ49" s="619">
        <v>147.9</v>
      </c>
      <c r="BA49" s="619">
        <v>147.9</v>
      </c>
      <c r="BB49" s="619">
        <v>152.19999999999999</v>
      </c>
      <c r="BC49" s="620">
        <v>152.5</v>
      </c>
      <c r="BD49" s="619">
        <v>152.5</v>
      </c>
      <c r="BE49" s="620">
        <v>152.5</v>
      </c>
      <c r="BF49" s="620">
        <v>156.30000000000001</v>
      </c>
      <c r="BG49" s="750">
        <v>160.9</v>
      </c>
      <c r="BH49" s="662">
        <v>160.9</v>
      </c>
      <c r="BI49" s="617">
        <v>162.9</v>
      </c>
      <c r="BJ49" s="617">
        <v>163.30000000000001</v>
      </c>
      <c r="BK49" s="617">
        <v>163.6</v>
      </c>
      <c r="BL49" s="617">
        <v>171.4</v>
      </c>
      <c r="BM49" s="617">
        <v>174.1</v>
      </c>
      <c r="BN49" s="617">
        <v>176</v>
      </c>
      <c r="BO49" s="617">
        <v>178</v>
      </c>
      <c r="BP49" s="617">
        <v>177.3</v>
      </c>
      <c r="BQ49" s="617">
        <v>178.8</v>
      </c>
      <c r="BR49" s="617">
        <v>182.5</v>
      </c>
      <c r="BS49" s="737">
        <v>182.5</v>
      </c>
      <c r="BT49" s="662">
        <v>182.5</v>
      </c>
      <c r="BU49" s="617">
        <v>182.5</v>
      </c>
      <c r="BV49" s="617">
        <v>184.8</v>
      </c>
      <c r="BW49" s="617">
        <v>190.3</v>
      </c>
      <c r="BX49" s="617">
        <v>184.7</v>
      </c>
      <c r="BY49" s="617">
        <v>191.7</v>
      </c>
      <c r="BZ49" s="617">
        <v>193.3</v>
      </c>
      <c r="CA49" s="617">
        <v>195.4</v>
      </c>
      <c r="CB49" s="617">
        <v>221</v>
      </c>
      <c r="CC49" s="617">
        <v>235.8</v>
      </c>
      <c r="CD49" s="617">
        <v>237.5</v>
      </c>
      <c r="CE49" s="737">
        <v>241.1</v>
      </c>
      <c r="CF49" s="662">
        <v>247</v>
      </c>
      <c r="CG49" s="617">
        <v>253.1</v>
      </c>
      <c r="CH49" s="617">
        <v>253.5</v>
      </c>
      <c r="CI49" s="617">
        <v>265.7</v>
      </c>
      <c r="CJ49" s="617">
        <v>268.39999999999998</v>
      </c>
      <c r="CK49" s="617">
        <v>273.60000000000002</v>
      </c>
      <c r="CL49" s="617">
        <v>274.3</v>
      </c>
      <c r="CM49" s="617">
        <v>274.3</v>
      </c>
      <c r="CN49" s="617">
        <v>274.3</v>
      </c>
      <c r="CO49" s="617">
        <v>274.7</v>
      </c>
      <c r="CP49" s="617">
        <v>274.7</v>
      </c>
      <c r="CQ49" s="737">
        <v>274.60000000000002</v>
      </c>
      <c r="CR49" s="662">
        <v>266.39999999999998</v>
      </c>
      <c r="CS49" s="617">
        <v>260.89999999999998</v>
      </c>
      <c r="CT49" s="617">
        <v>263.3</v>
      </c>
      <c r="CU49" s="617">
        <v>263.3</v>
      </c>
      <c r="CV49" s="617">
        <v>263.3</v>
      </c>
      <c r="CW49" s="617">
        <v>257.89999999999998</v>
      </c>
      <c r="CX49" s="617">
        <v>259</v>
      </c>
      <c r="CY49" s="617">
        <v>264.10000000000002</v>
      </c>
      <c r="CZ49" s="617">
        <v>262.39999999999998</v>
      </c>
      <c r="DA49" s="617">
        <v>262.10000000000002</v>
      </c>
      <c r="DB49" s="798">
        <v>278.3</v>
      </c>
      <c r="DC49" s="737">
        <v>278.5</v>
      </c>
      <c r="DD49" s="786">
        <v>284.7</v>
      </c>
      <c r="DE49" s="617">
        <v>291.3</v>
      </c>
      <c r="DF49" s="737">
        <v>291.3</v>
      </c>
      <c r="DG49" s="737">
        <v>291.89999999999998</v>
      </c>
      <c r="DH49" s="643">
        <v>296.3</v>
      </c>
      <c r="DI49" s="643">
        <v>297.8</v>
      </c>
      <c r="DJ49" s="643">
        <v>299.3</v>
      </c>
      <c r="DK49" s="906">
        <v>300.5</v>
      </c>
      <c r="DL49" s="899">
        <v>300.7</v>
      </c>
      <c r="DM49" s="110">
        <f t="shared" si="0"/>
        <v>1.0006655574043262</v>
      </c>
      <c r="DN49" s="110"/>
      <c r="DO49" s="110"/>
    </row>
    <row r="50" spans="1:119" s="112" customFormat="1" ht="18.95" customHeight="1">
      <c r="A50" s="109"/>
      <c r="B50" s="408">
        <v>30</v>
      </c>
      <c r="C50" s="621" t="s">
        <v>540</v>
      </c>
      <c r="D50" s="622" t="s">
        <v>17</v>
      </c>
      <c r="E50" s="621" t="s">
        <v>918</v>
      </c>
      <c r="F50" s="622"/>
      <c r="G50" s="621" t="s">
        <v>929</v>
      </c>
      <c r="H50" s="621" t="s">
        <v>930</v>
      </c>
      <c r="I50" s="390" t="s">
        <v>921</v>
      </c>
      <c r="J50" s="651"/>
      <c r="K50" s="669">
        <v>95.2</v>
      </c>
      <c r="L50" s="665">
        <v>96.8</v>
      </c>
      <c r="M50" s="625">
        <v>97.5</v>
      </c>
      <c r="N50" s="625">
        <v>103.8</v>
      </c>
      <c r="O50" s="625">
        <v>123.4</v>
      </c>
      <c r="P50" s="625">
        <v>123.3</v>
      </c>
      <c r="Q50" s="625">
        <v>132.6</v>
      </c>
      <c r="R50" s="625">
        <v>139.5</v>
      </c>
      <c r="S50" s="625">
        <v>139.5</v>
      </c>
      <c r="T50" s="625">
        <v>139.5</v>
      </c>
      <c r="U50" s="625">
        <v>138.1</v>
      </c>
      <c r="V50" s="625">
        <v>140.30000000000001</v>
      </c>
      <c r="W50" s="625">
        <v>140.30000000000001</v>
      </c>
      <c r="X50" s="625">
        <v>140.30000000000001</v>
      </c>
      <c r="Y50" s="625">
        <v>140.30000000000001</v>
      </c>
      <c r="Z50" s="625">
        <v>142.19999999999999</v>
      </c>
      <c r="AA50" s="625">
        <v>138.9</v>
      </c>
      <c r="AB50" s="625">
        <v>139.6</v>
      </c>
      <c r="AC50" s="625">
        <v>149.1</v>
      </c>
      <c r="AD50" s="625">
        <v>149.1</v>
      </c>
      <c r="AE50" s="625">
        <v>147.69999999999999</v>
      </c>
      <c r="AF50" s="625">
        <v>149.1</v>
      </c>
      <c r="AG50" s="625">
        <v>149.1</v>
      </c>
      <c r="AH50" s="625">
        <v>148</v>
      </c>
      <c r="AI50" s="764">
        <v>148</v>
      </c>
      <c r="AJ50" s="772">
        <v>153.30000000000001</v>
      </c>
      <c r="AK50" s="625">
        <v>161</v>
      </c>
      <c r="AL50" s="625">
        <v>164.7</v>
      </c>
      <c r="AM50" s="625">
        <v>164.2</v>
      </c>
      <c r="AN50" s="625">
        <v>169.6</v>
      </c>
      <c r="AO50" s="625">
        <v>169.7</v>
      </c>
      <c r="AP50" s="625">
        <v>169.7</v>
      </c>
      <c r="AQ50" s="625">
        <v>169.7</v>
      </c>
      <c r="AR50" s="625">
        <v>172</v>
      </c>
      <c r="AS50" s="625">
        <v>172</v>
      </c>
      <c r="AT50" s="625">
        <v>172</v>
      </c>
      <c r="AU50" s="764">
        <v>172</v>
      </c>
      <c r="AV50" s="752">
        <v>172</v>
      </c>
      <c r="AW50" s="626">
        <v>172</v>
      </c>
      <c r="AX50" s="626">
        <v>172</v>
      </c>
      <c r="AY50" s="626">
        <v>172</v>
      </c>
      <c r="AZ50" s="626">
        <v>173.6</v>
      </c>
      <c r="BA50" s="626">
        <v>176.6</v>
      </c>
      <c r="BB50" s="626">
        <v>176.6</v>
      </c>
      <c r="BC50" s="627">
        <v>179.6</v>
      </c>
      <c r="BD50" s="626">
        <v>181.8</v>
      </c>
      <c r="BE50" s="627">
        <v>181.8</v>
      </c>
      <c r="BF50" s="627">
        <v>181.8</v>
      </c>
      <c r="BG50" s="738">
        <v>184.9</v>
      </c>
      <c r="BH50" s="660">
        <v>186.1</v>
      </c>
      <c r="BI50" s="623">
        <v>195.6</v>
      </c>
      <c r="BJ50" s="623">
        <v>195.6</v>
      </c>
      <c r="BK50" s="623">
        <v>196.2</v>
      </c>
      <c r="BL50" s="623">
        <v>210</v>
      </c>
      <c r="BM50" s="623">
        <v>210</v>
      </c>
      <c r="BN50" s="623">
        <v>210</v>
      </c>
      <c r="BO50" s="623">
        <v>210</v>
      </c>
      <c r="BP50" s="623">
        <v>210</v>
      </c>
      <c r="BQ50" s="623">
        <v>210</v>
      </c>
      <c r="BR50" s="623">
        <v>210</v>
      </c>
      <c r="BS50" s="659">
        <v>210</v>
      </c>
      <c r="BT50" s="660">
        <v>210</v>
      </c>
      <c r="BU50" s="623">
        <v>219.8</v>
      </c>
      <c r="BV50" s="623">
        <v>219.8</v>
      </c>
      <c r="BW50" s="623">
        <v>223.7</v>
      </c>
      <c r="BX50" s="623">
        <v>223.8</v>
      </c>
      <c r="BY50" s="623">
        <v>232</v>
      </c>
      <c r="BZ50" s="623">
        <v>232</v>
      </c>
      <c r="CA50" s="623">
        <v>238.8</v>
      </c>
      <c r="CB50" s="623">
        <v>243.4</v>
      </c>
      <c r="CC50" s="623">
        <v>250.5</v>
      </c>
      <c r="CD50" s="623">
        <v>250.5</v>
      </c>
      <c r="CE50" s="659">
        <v>250.5</v>
      </c>
      <c r="CF50" s="660">
        <v>257.10000000000002</v>
      </c>
      <c r="CG50" s="623">
        <v>257.10000000000002</v>
      </c>
      <c r="CH50" s="623">
        <v>258.89999999999998</v>
      </c>
      <c r="CI50" s="623">
        <v>265.60000000000002</v>
      </c>
      <c r="CJ50" s="623">
        <v>271.10000000000002</v>
      </c>
      <c r="CK50" s="623">
        <v>274.89999999999998</v>
      </c>
      <c r="CL50" s="623">
        <v>274.89999999999998</v>
      </c>
      <c r="CM50" s="623">
        <v>274.89999999999998</v>
      </c>
      <c r="CN50" s="623">
        <v>274.89999999999998</v>
      </c>
      <c r="CO50" s="623">
        <v>274.10000000000002</v>
      </c>
      <c r="CP50" s="623">
        <v>268.3</v>
      </c>
      <c r="CQ50" s="659">
        <v>268.3</v>
      </c>
      <c r="CR50" s="660">
        <v>268.3</v>
      </c>
      <c r="CS50" s="623">
        <v>268.3</v>
      </c>
      <c r="CT50" s="623">
        <v>268.3</v>
      </c>
      <c r="CU50" s="623">
        <v>271.2</v>
      </c>
      <c r="CV50" s="623">
        <v>268.3</v>
      </c>
      <c r="CW50" s="623">
        <v>263.3</v>
      </c>
      <c r="CX50" s="623">
        <v>263.3</v>
      </c>
      <c r="CY50" s="623">
        <v>269.2</v>
      </c>
      <c r="CZ50" s="623">
        <v>272.5</v>
      </c>
      <c r="DA50" s="623">
        <v>271.5</v>
      </c>
      <c r="DB50" s="725">
        <v>275.8</v>
      </c>
      <c r="DC50" s="659">
        <v>277.7</v>
      </c>
      <c r="DD50" s="783">
        <v>282.10000000000002</v>
      </c>
      <c r="DE50" s="623">
        <v>286.39999999999998</v>
      </c>
      <c r="DF50" s="725">
        <v>290.7</v>
      </c>
      <c r="DG50" s="659">
        <v>295.3</v>
      </c>
      <c r="DH50" s="623">
        <v>297.60000000000002</v>
      </c>
      <c r="DI50" s="623">
        <v>300.5</v>
      </c>
      <c r="DJ50" s="623">
        <v>301.2</v>
      </c>
      <c r="DK50" s="659">
        <v>301.2</v>
      </c>
      <c r="DL50" s="897">
        <v>298.89999999999998</v>
      </c>
      <c r="DM50" s="110">
        <f t="shared" si="0"/>
        <v>0.99236387782204516</v>
      </c>
      <c r="DN50" s="110"/>
      <c r="DO50" s="110"/>
    </row>
    <row r="51" spans="1:119" s="112" customFormat="1" ht="21.75" customHeight="1">
      <c r="A51" s="109"/>
      <c r="B51" s="613">
        <v>31</v>
      </c>
      <c r="C51" s="614" t="s">
        <v>544</v>
      </c>
      <c r="D51" s="615" t="s">
        <v>18</v>
      </c>
      <c r="E51" s="614" t="s">
        <v>918</v>
      </c>
      <c r="F51" s="615"/>
      <c r="G51" s="614" t="s">
        <v>929</v>
      </c>
      <c r="H51" s="614" t="s">
        <v>930</v>
      </c>
      <c r="I51" s="647" t="s">
        <v>19</v>
      </c>
      <c r="J51" s="652"/>
      <c r="K51" s="671">
        <v>70.599999999999994</v>
      </c>
      <c r="L51" s="667">
        <v>70.900000000000006</v>
      </c>
      <c r="M51" s="618">
        <v>90.6</v>
      </c>
      <c r="N51" s="618">
        <v>115.1</v>
      </c>
      <c r="O51" s="618">
        <v>134.5</v>
      </c>
      <c r="P51" s="618">
        <v>156.1</v>
      </c>
      <c r="Q51" s="618">
        <v>173.8</v>
      </c>
      <c r="R51" s="618">
        <v>192.4</v>
      </c>
      <c r="S51" s="618">
        <v>208.6</v>
      </c>
      <c r="T51" s="618">
        <v>208.6</v>
      </c>
      <c r="U51" s="618">
        <v>208.6</v>
      </c>
      <c r="V51" s="618">
        <v>212.4</v>
      </c>
      <c r="W51" s="618">
        <v>211.1</v>
      </c>
      <c r="X51" s="618">
        <v>208.7</v>
      </c>
      <c r="Y51" s="618">
        <v>207.4</v>
      </c>
      <c r="Z51" s="618">
        <v>208</v>
      </c>
      <c r="AA51" s="618">
        <v>210.9</v>
      </c>
      <c r="AB51" s="618">
        <v>209.3</v>
      </c>
      <c r="AC51" s="618">
        <v>211.8</v>
      </c>
      <c r="AD51" s="618">
        <v>211.8</v>
      </c>
      <c r="AE51" s="618">
        <v>211.8</v>
      </c>
      <c r="AF51" s="618">
        <v>209.8</v>
      </c>
      <c r="AG51" s="618">
        <v>209.1</v>
      </c>
      <c r="AH51" s="618">
        <v>207.1</v>
      </c>
      <c r="AI51" s="766">
        <v>211</v>
      </c>
      <c r="AJ51" s="774">
        <v>215.8</v>
      </c>
      <c r="AK51" s="618">
        <v>221.2</v>
      </c>
      <c r="AL51" s="618">
        <v>237.5</v>
      </c>
      <c r="AM51" s="618">
        <v>239</v>
      </c>
      <c r="AN51" s="618">
        <v>243.6</v>
      </c>
      <c r="AO51" s="618">
        <v>246.3</v>
      </c>
      <c r="AP51" s="618">
        <v>249.5</v>
      </c>
      <c r="AQ51" s="618">
        <v>254.2</v>
      </c>
      <c r="AR51" s="618">
        <v>252.9</v>
      </c>
      <c r="AS51" s="618">
        <v>252.9</v>
      </c>
      <c r="AT51" s="618">
        <v>252.9</v>
      </c>
      <c r="AU51" s="766">
        <v>256.39999999999998</v>
      </c>
      <c r="AV51" s="769">
        <v>270.10000000000002</v>
      </c>
      <c r="AW51" s="619">
        <v>273.39999999999998</v>
      </c>
      <c r="AX51" s="619">
        <v>274.39999999999998</v>
      </c>
      <c r="AY51" s="619">
        <v>276.7</v>
      </c>
      <c r="AZ51" s="619">
        <v>283.2</v>
      </c>
      <c r="BA51" s="619">
        <v>280.7</v>
      </c>
      <c r="BB51" s="619">
        <v>283.39999999999998</v>
      </c>
      <c r="BC51" s="620">
        <v>283.89999999999998</v>
      </c>
      <c r="BD51" s="619">
        <v>287.89999999999998</v>
      </c>
      <c r="BE51" s="620">
        <v>287.89999999999998</v>
      </c>
      <c r="BF51" s="620">
        <v>289.39999999999998</v>
      </c>
      <c r="BG51" s="750">
        <v>288.39999999999998</v>
      </c>
      <c r="BH51" s="662">
        <v>294.2</v>
      </c>
      <c r="BI51" s="617">
        <v>292.60000000000002</v>
      </c>
      <c r="BJ51" s="617">
        <v>304</v>
      </c>
      <c r="BK51" s="617">
        <v>304</v>
      </c>
      <c r="BL51" s="617">
        <v>308.5</v>
      </c>
      <c r="BM51" s="617">
        <v>310.89999999999998</v>
      </c>
      <c r="BN51" s="617">
        <v>312.3</v>
      </c>
      <c r="BO51" s="617">
        <v>309.2</v>
      </c>
      <c r="BP51" s="617">
        <v>309.2</v>
      </c>
      <c r="BQ51" s="617">
        <v>309.2</v>
      </c>
      <c r="BR51" s="617">
        <v>309.2</v>
      </c>
      <c r="BS51" s="737">
        <v>307.3</v>
      </c>
      <c r="BT51" s="662">
        <v>307.3</v>
      </c>
      <c r="BU51" s="617">
        <v>309.3</v>
      </c>
      <c r="BV51" s="617">
        <v>309.3</v>
      </c>
      <c r="BW51" s="617">
        <v>309.3</v>
      </c>
      <c r="BX51" s="617">
        <v>309.3</v>
      </c>
      <c r="BY51" s="617">
        <v>310.5</v>
      </c>
      <c r="BZ51" s="617">
        <v>305.39999999999998</v>
      </c>
      <c r="CA51" s="617">
        <v>320.60000000000002</v>
      </c>
      <c r="CB51" s="617">
        <v>319.7</v>
      </c>
      <c r="CC51" s="617">
        <v>322.60000000000002</v>
      </c>
      <c r="CD51" s="617">
        <v>326.60000000000002</v>
      </c>
      <c r="CE51" s="737">
        <v>328.5</v>
      </c>
      <c r="CF51" s="662">
        <v>328.5</v>
      </c>
      <c r="CG51" s="617">
        <v>330.9</v>
      </c>
      <c r="CH51" s="617">
        <v>332.9</v>
      </c>
      <c r="CI51" s="617">
        <v>334.9</v>
      </c>
      <c r="CJ51" s="617">
        <v>340.8</v>
      </c>
      <c r="CK51" s="617">
        <v>336.4</v>
      </c>
      <c r="CL51" s="617">
        <v>336.4</v>
      </c>
      <c r="CM51" s="617">
        <v>343.2</v>
      </c>
      <c r="CN51" s="617">
        <v>347.3</v>
      </c>
      <c r="CO51" s="617">
        <v>349.9</v>
      </c>
      <c r="CP51" s="617">
        <v>351.9</v>
      </c>
      <c r="CQ51" s="737">
        <v>351.9</v>
      </c>
      <c r="CR51" s="662">
        <v>352.3</v>
      </c>
      <c r="CS51" s="617">
        <v>351.8</v>
      </c>
      <c r="CT51" s="617">
        <v>353.5</v>
      </c>
      <c r="CU51" s="617">
        <v>353.5</v>
      </c>
      <c r="CV51" s="623">
        <v>353.5</v>
      </c>
      <c r="CW51" s="623">
        <v>360.5</v>
      </c>
      <c r="CX51" s="623">
        <v>368</v>
      </c>
      <c r="CY51" s="623">
        <v>373.5</v>
      </c>
      <c r="CZ51" s="623">
        <v>378.5</v>
      </c>
      <c r="DA51" s="623">
        <v>390.8</v>
      </c>
      <c r="DB51" s="725">
        <v>391.9</v>
      </c>
      <c r="DC51" s="659">
        <v>391.9</v>
      </c>
      <c r="DD51" s="783">
        <v>393.5</v>
      </c>
      <c r="DE51" s="623">
        <v>398.2</v>
      </c>
      <c r="DF51" s="725">
        <v>400.8</v>
      </c>
      <c r="DG51" s="659">
        <v>418.4</v>
      </c>
      <c r="DH51" s="623">
        <v>421.2</v>
      </c>
      <c r="DI51" s="623">
        <v>430.4</v>
      </c>
      <c r="DJ51" s="623">
        <v>440.1</v>
      </c>
      <c r="DK51" s="659">
        <v>433.6</v>
      </c>
      <c r="DL51" s="897">
        <v>435.7</v>
      </c>
      <c r="DM51" s="110">
        <f t="shared" si="0"/>
        <v>1.0048431734317342</v>
      </c>
      <c r="DN51" s="110"/>
      <c r="DO51" s="110"/>
    </row>
    <row r="52" spans="1:119" s="112" customFormat="1" ht="18.95" customHeight="1">
      <c r="A52" s="109"/>
      <c r="B52" s="613">
        <v>32</v>
      </c>
      <c r="C52" s="614" t="s">
        <v>36</v>
      </c>
      <c r="D52" s="615" t="s">
        <v>37</v>
      </c>
      <c r="E52" s="614" t="s">
        <v>918</v>
      </c>
      <c r="F52" s="615"/>
      <c r="G52" s="614" t="s">
        <v>919</v>
      </c>
      <c r="H52" s="614" t="s">
        <v>920</v>
      </c>
      <c r="I52" s="647" t="s">
        <v>921</v>
      </c>
      <c r="J52" s="652"/>
      <c r="K52" s="671">
        <v>102.65</v>
      </c>
      <c r="L52" s="667">
        <v>120.06</v>
      </c>
      <c r="M52" s="618">
        <v>143.02000000000001</v>
      </c>
      <c r="N52" s="618">
        <v>154.24</v>
      </c>
      <c r="O52" s="618">
        <v>194.11</v>
      </c>
      <c r="P52" s="618">
        <v>208.51</v>
      </c>
      <c r="Q52" s="618">
        <v>242.96</v>
      </c>
      <c r="R52" s="618">
        <v>246.41</v>
      </c>
      <c r="S52" s="618">
        <v>244.88</v>
      </c>
      <c r="T52" s="618">
        <v>247.77</v>
      </c>
      <c r="U52" s="618">
        <v>246.97</v>
      </c>
      <c r="V52" s="618">
        <v>246.97</v>
      </c>
      <c r="W52" s="618">
        <v>246.97</v>
      </c>
      <c r="X52" s="618">
        <v>246.97</v>
      </c>
      <c r="Y52" s="618">
        <v>246.97</v>
      </c>
      <c r="Z52" s="618">
        <v>246.97</v>
      </c>
      <c r="AA52" s="618">
        <v>250.06</v>
      </c>
      <c r="AB52" s="618">
        <v>242.79</v>
      </c>
      <c r="AC52" s="618">
        <v>241.64</v>
      </c>
      <c r="AD52" s="618">
        <v>248.49</v>
      </c>
      <c r="AE52" s="618">
        <v>246.15</v>
      </c>
      <c r="AF52" s="618">
        <v>246.15</v>
      </c>
      <c r="AG52" s="618">
        <v>246.15</v>
      </c>
      <c r="AH52" s="618">
        <v>246.15</v>
      </c>
      <c r="AI52" s="766">
        <v>244.16</v>
      </c>
      <c r="AJ52" s="774">
        <v>244.13</v>
      </c>
      <c r="AK52" s="618">
        <v>246.02</v>
      </c>
      <c r="AL52" s="618">
        <v>247.42</v>
      </c>
      <c r="AM52" s="618">
        <v>247.42</v>
      </c>
      <c r="AN52" s="618">
        <v>247.42</v>
      </c>
      <c r="AO52" s="618">
        <v>249.19</v>
      </c>
      <c r="AP52" s="618">
        <v>250.87</v>
      </c>
      <c r="AQ52" s="618">
        <v>253.19</v>
      </c>
      <c r="AR52" s="618">
        <v>254.48</v>
      </c>
      <c r="AS52" s="618">
        <v>263.67</v>
      </c>
      <c r="AT52" s="618">
        <v>263.68</v>
      </c>
      <c r="AU52" s="766">
        <v>264.87</v>
      </c>
      <c r="AV52" s="769">
        <v>272.2</v>
      </c>
      <c r="AW52" s="619">
        <v>272.2</v>
      </c>
      <c r="AX52" s="619">
        <v>274.3</v>
      </c>
      <c r="AY52" s="619">
        <v>278.70999999999998</v>
      </c>
      <c r="AZ52" s="619">
        <v>280.18</v>
      </c>
      <c r="BA52" s="619">
        <v>280.18</v>
      </c>
      <c r="BB52" s="619">
        <v>288.26</v>
      </c>
      <c r="BC52" s="620">
        <v>288.26</v>
      </c>
      <c r="BD52" s="619">
        <v>288.69</v>
      </c>
      <c r="BE52" s="620">
        <v>288.69</v>
      </c>
      <c r="BF52" s="620">
        <v>289.20999999999998</v>
      </c>
      <c r="BG52" s="750">
        <v>295.74</v>
      </c>
      <c r="BH52" s="662">
        <v>295.87</v>
      </c>
      <c r="BI52" s="617">
        <v>299.66000000000003</v>
      </c>
      <c r="BJ52" s="617">
        <v>299.66000000000003</v>
      </c>
      <c r="BK52" s="617">
        <v>305.86</v>
      </c>
      <c r="BL52" s="617">
        <v>306.79000000000002</v>
      </c>
      <c r="BM52" s="617">
        <v>308.29000000000002</v>
      </c>
      <c r="BN52" s="617">
        <v>309.35000000000002</v>
      </c>
      <c r="BO52" s="617">
        <v>310.27999999999997</v>
      </c>
      <c r="BP52" s="617">
        <v>310.27999999999997</v>
      </c>
      <c r="BQ52" s="617">
        <v>314.88</v>
      </c>
      <c r="BR52" s="617">
        <v>316.41000000000003</v>
      </c>
      <c r="BS52" s="737">
        <v>325.44</v>
      </c>
      <c r="BT52" s="662">
        <v>325.41000000000003</v>
      </c>
      <c r="BU52" s="617">
        <v>327.02</v>
      </c>
      <c r="BV52" s="617">
        <v>325.7</v>
      </c>
      <c r="BW52" s="617">
        <v>332.39</v>
      </c>
      <c r="BX52" s="617">
        <v>333.64</v>
      </c>
      <c r="BY52" s="617">
        <v>338.35</v>
      </c>
      <c r="BZ52" s="617">
        <v>338.35</v>
      </c>
      <c r="CA52" s="617">
        <v>341.83</v>
      </c>
      <c r="CB52" s="617">
        <v>351.7</v>
      </c>
      <c r="CC52" s="617">
        <v>350.67</v>
      </c>
      <c r="CD52" s="617">
        <v>358.04</v>
      </c>
      <c r="CE52" s="737">
        <v>371.96</v>
      </c>
      <c r="CF52" s="662">
        <v>371.96</v>
      </c>
      <c r="CG52" s="617">
        <v>380.8</v>
      </c>
      <c r="CH52" s="617">
        <v>388.99</v>
      </c>
      <c r="CI52" s="617">
        <v>399.13</v>
      </c>
      <c r="CJ52" s="617">
        <v>403.68</v>
      </c>
      <c r="CK52" s="617">
        <v>412.29</v>
      </c>
      <c r="CL52" s="617">
        <v>415.36</v>
      </c>
      <c r="CM52" s="617">
        <v>417.7</v>
      </c>
      <c r="CN52" s="617">
        <v>432.03</v>
      </c>
      <c r="CO52" s="617">
        <v>432.03</v>
      </c>
      <c r="CP52" s="617">
        <v>447.4</v>
      </c>
      <c r="CQ52" s="737">
        <v>454.48</v>
      </c>
      <c r="CR52" s="662">
        <v>461.88</v>
      </c>
      <c r="CS52" s="617">
        <v>464.46</v>
      </c>
      <c r="CT52" s="617">
        <v>464.46</v>
      </c>
      <c r="CU52" s="617">
        <v>492.74</v>
      </c>
      <c r="CV52" s="623">
        <v>500.13</v>
      </c>
      <c r="CW52" s="623">
        <v>504.45</v>
      </c>
      <c r="CX52" s="623">
        <v>504.45</v>
      </c>
      <c r="CY52" s="623">
        <v>520.47</v>
      </c>
      <c r="CZ52" s="623">
        <v>520.47</v>
      </c>
      <c r="DA52" s="623">
        <v>515.28</v>
      </c>
      <c r="DB52" s="725">
        <v>533.49</v>
      </c>
      <c r="DC52" s="659">
        <v>540.09</v>
      </c>
      <c r="DD52" s="783">
        <v>542.66999999999996</v>
      </c>
      <c r="DE52" s="623">
        <v>545.79999999999995</v>
      </c>
      <c r="DF52" s="725">
        <v>550.15</v>
      </c>
      <c r="DG52" s="659">
        <v>563.03</v>
      </c>
      <c r="DH52" s="623">
        <v>563.03</v>
      </c>
      <c r="DI52" s="623">
        <v>563.03</v>
      </c>
      <c r="DJ52" s="623">
        <v>578.72</v>
      </c>
      <c r="DK52" s="659">
        <v>588.14</v>
      </c>
      <c r="DL52" s="897">
        <v>590.92999999999995</v>
      </c>
      <c r="DM52" s="110">
        <f t="shared" si="0"/>
        <v>1.0047437684904954</v>
      </c>
      <c r="DN52" s="110"/>
      <c r="DO52" s="110"/>
    </row>
    <row r="53" spans="1:119" s="112" customFormat="1" ht="21" customHeight="1">
      <c r="A53" s="109"/>
      <c r="B53" s="408">
        <v>33</v>
      </c>
      <c r="C53" s="621" t="s">
        <v>545</v>
      </c>
      <c r="D53" s="622" t="s">
        <v>38</v>
      </c>
      <c r="E53" s="621" t="s">
        <v>918</v>
      </c>
      <c r="F53" s="622"/>
      <c r="G53" s="621" t="s">
        <v>929</v>
      </c>
      <c r="H53" s="621" t="s">
        <v>930</v>
      </c>
      <c r="I53" s="390" t="s">
        <v>193</v>
      </c>
      <c r="J53" s="651"/>
      <c r="K53" s="669">
        <v>90.3</v>
      </c>
      <c r="L53" s="665">
        <v>108.5</v>
      </c>
      <c r="M53" s="625">
        <v>139.30000000000001</v>
      </c>
      <c r="N53" s="625">
        <v>157.1</v>
      </c>
      <c r="O53" s="625">
        <v>198.6</v>
      </c>
      <c r="P53" s="625">
        <v>210.1</v>
      </c>
      <c r="Q53" s="625">
        <v>229.8</v>
      </c>
      <c r="R53" s="625">
        <v>228.2</v>
      </c>
      <c r="S53" s="625">
        <v>210.1</v>
      </c>
      <c r="T53" s="625">
        <v>200.7</v>
      </c>
      <c r="U53" s="625">
        <v>197.4</v>
      </c>
      <c r="V53" s="625">
        <v>191.3</v>
      </c>
      <c r="W53" s="625">
        <v>192.6</v>
      </c>
      <c r="X53" s="625">
        <v>193.6</v>
      </c>
      <c r="Y53" s="625">
        <v>196.9</v>
      </c>
      <c r="Z53" s="625">
        <v>197.4</v>
      </c>
      <c r="AA53" s="625">
        <v>201.9</v>
      </c>
      <c r="AB53" s="625">
        <v>201.7</v>
      </c>
      <c r="AC53" s="625">
        <v>201.4</v>
      </c>
      <c r="AD53" s="625">
        <v>202.7</v>
      </c>
      <c r="AE53" s="625">
        <v>204.7</v>
      </c>
      <c r="AF53" s="625">
        <v>206.9</v>
      </c>
      <c r="AG53" s="625">
        <v>206.4</v>
      </c>
      <c r="AH53" s="625">
        <v>209</v>
      </c>
      <c r="AI53" s="764">
        <v>211.6</v>
      </c>
      <c r="AJ53" s="772">
        <v>219.8</v>
      </c>
      <c r="AK53" s="625">
        <v>235.2</v>
      </c>
      <c r="AL53" s="625">
        <v>247.8</v>
      </c>
      <c r="AM53" s="625">
        <v>257.39999999999998</v>
      </c>
      <c r="AN53" s="625">
        <v>267.60000000000002</v>
      </c>
      <c r="AO53" s="625">
        <v>268</v>
      </c>
      <c r="AP53" s="625">
        <v>266.7</v>
      </c>
      <c r="AQ53" s="625">
        <v>266.2</v>
      </c>
      <c r="AR53" s="625">
        <v>265.60000000000002</v>
      </c>
      <c r="AS53" s="625">
        <v>277.8</v>
      </c>
      <c r="AT53" s="625">
        <v>277.8</v>
      </c>
      <c r="AU53" s="764">
        <v>289.3</v>
      </c>
      <c r="AV53" s="752">
        <v>287.7</v>
      </c>
      <c r="AW53" s="626">
        <v>282.7</v>
      </c>
      <c r="AX53" s="626">
        <v>295</v>
      </c>
      <c r="AY53" s="626">
        <v>292</v>
      </c>
      <c r="AZ53" s="626">
        <v>290.7</v>
      </c>
      <c r="BA53" s="626">
        <v>291.39999999999998</v>
      </c>
      <c r="BB53" s="626">
        <v>291.3</v>
      </c>
      <c r="BC53" s="627">
        <v>296.7</v>
      </c>
      <c r="BD53" s="626">
        <v>301</v>
      </c>
      <c r="BE53" s="627">
        <v>309.10000000000002</v>
      </c>
      <c r="BF53" s="627">
        <v>327.2</v>
      </c>
      <c r="BG53" s="738">
        <v>358.8</v>
      </c>
      <c r="BH53" s="660">
        <v>378</v>
      </c>
      <c r="BI53" s="623">
        <v>389.4</v>
      </c>
      <c r="BJ53" s="623">
        <v>401.7</v>
      </c>
      <c r="BK53" s="623">
        <v>441.4</v>
      </c>
      <c r="BL53" s="623">
        <v>613.6</v>
      </c>
      <c r="BM53" s="623">
        <v>626.79999999999995</v>
      </c>
      <c r="BN53" s="623">
        <v>597.79999999999995</v>
      </c>
      <c r="BO53" s="623">
        <v>593.79999999999995</v>
      </c>
      <c r="BP53" s="623">
        <v>595.20000000000005</v>
      </c>
      <c r="BQ53" s="623">
        <v>592.4</v>
      </c>
      <c r="BR53" s="623">
        <v>592.20000000000005</v>
      </c>
      <c r="BS53" s="659">
        <v>581.6</v>
      </c>
      <c r="BT53" s="660">
        <v>579.5</v>
      </c>
      <c r="BU53" s="623">
        <v>561.9</v>
      </c>
      <c r="BV53" s="623">
        <v>543.4</v>
      </c>
      <c r="BW53" s="623">
        <v>617.1</v>
      </c>
      <c r="BX53" s="623">
        <v>663</v>
      </c>
      <c r="BY53" s="623">
        <v>660.1</v>
      </c>
      <c r="BZ53" s="623">
        <v>660.1</v>
      </c>
      <c r="CA53" s="623">
        <v>676.4</v>
      </c>
      <c r="CB53" s="623">
        <v>686.9</v>
      </c>
      <c r="CC53" s="623">
        <v>701.8</v>
      </c>
      <c r="CD53" s="623">
        <v>713.5</v>
      </c>
      <c r="CE53" s="659">
        <v>712</v>
      </c>
      <c r="CF53" s="660">
        <v>712.1</v>
      </c>
      <c r="CG53" s="623">
        <v>715.5</v>
      </c>
      <c r="CH53" s="623">
        <v>750.9</v>
      </c>
      <c r="CI53" s="623">
        <v>769.4</v>
      </c>
      <c r="CJ53" s="623">
        <v>784.6</v>
      </c>
      <c r="CK53" s="623">
        <v>784.5</v>
      </c>
      <c r="CL53" s="623">
        <v>782.5</v>
      </c>
      <c r="CM53" s="623">
        <v>786.2</v>
      </c>
      <c r="CN53" s="623">
        <v>786.2</v>
      </c>
      <c r="CO53" s="623">
        <v>788.8</v>
      </c>
      <c r="CP53" s="623">
        <v>716.3</v>
      </c>
      <c r="CQ53" s="659">
        <v>687.1</v>
      </c>
      <c r="CR53" s="660">
        <v>652.4</v>
      </c>
      <c r="CS53" s="623">
        <v>624.9</v>
      </c>
      <c r="CT53" s="623">
        <v>601.29999999999995</v>
      </c>
      <c r="CU53" s="623">
        <v>600</v>
      </c>
      <c r="CV53" s="623">
        <v>599.79999999999995</v>
      </c>
      <c r="CW53" s="623">
        <v>596.29999999999995</v>
      </c>
      <c r="CX53" s="623">
        <v>615.70000000000005</v>
      </c>
      <c r="CY53" s="623">
        <v>657.8</v>
      </c>
      <c r="CZ53" s="623">
        <v>685.3</v>
      </c>
      <c r="DA53" s="623">
        <v>694</v>
      </c>
      <c r="DB53" s="725">
        <v>687.3</v>
      </c>
      <c r="DC53" s="659">
        <v>716.5</v>
      </c>
      <c r="DD53" s="783">
        <v>754.7</v>
      </c>
      <c r="DE53" s="623">
        <v>770.9</v>
      </c>
      <c r="DF53" s="725">
        <v>779.6</v>
      </c>
      <c r="DG53" s="659">
        <v>778.6</v>
      </c>
      <c r="DH53" s="623">
        <v>791.4</v>
      </c>
      <c r="DI53" s="623">
        <v>764.3</v>
      </c>
      <c r="DJ53" s="623">
        <v>761.6</v>
      </c>
      <c r="DK53" s="659">
        <v>777.3</v>
      </c>
      <c r="DL53" s="897">
        <v>803.8</v>
      </c>
      <c r="DM53" s="110">
        <f t="shared" si="0"/>
        <v>1.0340923710279171</v>
      </c>
      <c r="DN53" s="110"/>
      <c r="DO53" s="110"/>
    </row>
    <row r="54" spans="1:119" s="112" customFormat="1" ht="18.95" customHeight="1">
      <c r="A54" s="109"/>
      <c r="B54" s="408">
        <v>34</v>
      </c>
      <c r="C54" s="621" t="s">
        <v>546</v>
      </c>
      <c r="D54" s="622" t="s">
        <v>39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109.9</v>
      </c>
      <c r="L54" s="665">
        <v>128.6</v>
      </c>
      <c r="M54" s="625">
        <v>141.19999999999999</v>
      </c>
      <c r="N54" s="625">
        <v>186</v>
      </c>
      <c r="O54" s="625">
        <v>197.8</v>
      </c>
      <c r="P54" s="625">
        <v>212.5</v>
      </c>
      <c r="Q54" s="625">
        <v>203.8</v>
      </c>
      <c r="R54" s="625">
        <v>226</v>
      </c>
      <c r="S54" s="625">
        <v>228.2</v>
      </c>
      <c r="T54" s="625">
        <v>219.1</v>
      </c>
      <c r="U54" s="625">
        <v>231.3</v>
      </c>
      <c r="V54" s="625">
        <v>226.3</v>
      </c>
      <c r="W54" s="625">
        <v>225.5</v>
      </c>
      <c r="X54" s="625">
        <v>217.3</v>
      </c>
      <c r="Y54" s="625">
        <v>220.8</v>
      </c>
      <c r="Z54" s="625">
        <v>225.9</v>
      </c>
      <c r="AA54" s="625">
        <v>225</v>
      </c>
      <c r="AB54" s="625">
        <v>228.8</v>
      </c>
      <c r="AC54" s="625">
        <v>229.4</v>
      </c>
      <c r="AD54" s="625">
        <v>223.9</v>
      </c>
      <c r="AE54" s="625">
        <v>214.4</v>
      </c>
      <c r="AF54" s="625">
        <v>228.2</v>
      </c>
      <c r="AG54" s="625">
        <v>228.2</v>
      </c>
      <c r="AH54" s="625">
        <v>227.8</v>
      </c>
      <c r="AI54" s="764">
        <v>230</v>
      </c>
      <c r="AJ54" s="772">
        <v>240.7</v>
      </c>
      <c r="AK54" s="625">
        <v>271.60000000000002</v>
      </c>
      <c r="AL54" s="625">
        <v>292.2</v>
      </c>
      <c r="AM54" s="625">
        <v>298.8</v>
      </c>
      <c r="AN54" s="625">
        <v>296.7</v>
      </c>
      <c r="AO54" s="625">
        <v>298.10000000000002</v>
      </c>
      <c r="AP54" s="625">
        <v>289.39999999999998</v>
      </c>
      <c r="AQ54" s="625">
        <v>281.10000000000002</v>
      </c>
      <c r="AR54" s="625">
        <v>279.89999999999998</v>
      </c>
      <c r="AS54" s="625">
        <v>290.2</v>
      </c>
      <c r="AT54" s="625">
        <v>296.10000000000002</v>
      </c>
      <c r="AU54" s="764">
        <v>304.60000000000002</v>
      </c>
      <c r="AV54" s="752">
        <v>311.7</v>
      </c>
      <c r="AW54" s="626">
        <v>318.60000000000002</v>
      </c>
      <c r="AX54" s="626">
        <v>326.2</v>
      </c>
      <c r="AY54" s="626">
        <v>345</v>
      </c>
      <c r="AZ54" s="626">
        <v>344.9</v>
      </c>
      <c r="BA54" s="626">
        <v>345</v>
      </c>
      <c r="BB54" s="626">
        <v>344.9</v>
      </c>
      <c r="BC54" s="627">
        <v>347</v>
      </c>
      <c r="BD54" s="626">
        <v>348.3</v>
      </c>
      <c r="BE54" s="627">
        <v>351.6</v>
      </c>
      <c r="BF54" s="627">
        <v>376.6</v>
      </c>
      <c r="BG54" s="738">
        <v>420.8</v>
      </c>
      <c r="BH54" s="660">
        <v>435.9</v>
      </c>
      <c r="BI54" s="623">
        <v>440.7</v>
      </c>
      <c r="BJ54" s="623">
        <v>446.8</v>
      </c>
      <c r="BK54" s="623">
        <v>458.9</v>
      </c>
      <c r="BL54" s="623">
        <v>612.6</v>
      </c>
      <c r="BM54" s="623">
        <v>663.9</v>
      </c>
      <c r="BN54" s="623">
        <v>652.9</v>
      </c>
      <c r="BO54" s="623">
        <v>636.4</v>
      </c>
      <c r="BP54" s="623">
        <v>611.70000000000005</v>
      </c>
      <c r="BQ54" s="623">
        <v>609.5</v>
      </c>
      <c r="BR54" s="623">
        <v>605.9</v>
      </c>
      <c r="BS54" s="659">
        <v>575.5</v>
      </c>
      <c r="BT54" s="660">
        <v>577.20000000000005</v>
      </c>
      <c r="BU54" s="623">
        <v>547.20000000000005</v>
      </c>
      <c r="BV54" s="623">
        <v>510.6</v>
      </c>
      <c r="BW54" s="623">
        <v>569.20000000000005</v>
      </c>
      <c r="BX54" s="623">
        <v>589.20000000000005</v>
      </c>
      <c r="BY54" s="623">
        <v>584.5</v>
      </c>
      <c r="BZ54" s="623">
        <v>604.29999999999995</v>
      </c>
      <c r="CA54" s="623">
        <v>612.6</v>
      </c>
      <c r="CB54" s="623">
        <v>619</v>
      </c>
      <c r="CC54" s="623">
        <v>636.79999999999995</v>
      </c>
      <c r="CD54" s="623">
        <v>636.9</v>
      </c>
      <c r="CE54" s="659">
        <v>639.70000000000005</v>
      </c>
      <c r="CF54" s="660">
        <v>653</v>
      </c>
      <c r="CG54" s="623">
        <v>669</v>
      </c>
      <c r="CH54" s="623">
        <v>720.9</v>
      </c>
      <c r="CI54" s="623">
        <v>716.6</v>
      </c>
      <c r="CJ54" s="623">
        <v>717.7</v>
      </c>
      <c r="CK54" s="623">
        <v>714.2</v>
      </c>
      <c r="CL54" s="623">
        <v>711.7</v>
      </c>
      <c r="CM54" s="623">
        <v>714.3</v>
      </c>
      <c r="CN54" s="623">
        <v>714.3</v>
      </c>
      <c r="CO54" s="623">
        <v>710.3</v>
      </c>
      <c r="CP54" s="623">
        <v>651.1</v>
      </c>
      <c r="CQ54" s="659">
        <v>631</v>
      </c>
      <c r="CR54" s="660">
        <v>603.5</v>
      </c>
      <c r="CS54" s="623">
        <v>557.20000000000005</v>
      </c>
      <c r="CT54" s="623">
        <v>555.20000000000005</v>
      </c>
      <c r="CU54" s="623">
        <v>559.4</v>
      </c>
      <c r="CV54" s="623">
        <v>544.29999999999995</v>
      </c>
      <c r="CW54" s="623">
        <v>553.79999999999995</v>
      </c>
      <c r="CX54" s="623">
        <v>585</v>
      </c>
      <c r="CY54" s="623">
        <v>606.9</v>
      </c>
      <c r="CZ54" s="623">
        <v>623.20000000000005</v>
      </c>
      <c r="DA54" s="623">
        <v>619.79999999999995</v>
      </c>
      <c r="DB54" s="725">
        <v>625.1</v>
      </c>
      <c r="DC54" s="659">
        <v>638</v>
      </c>
      <c r="DD54" s="783">
        <v>664.4</v>
      </c>
      <c r="DE54" s="623">
        <v>694</v>
      </c>
      <c r="DF54" s="725">
        <v>699.9</v>
      </c>
      <c r="DG54" s="659">
        <v>721.3</v>
      </c>
      <c r="DH54" s="623">
        <v>731.3</v>
      </c>
      <c r="DI54" s="623">
        <v>729.5</v>
      </c>
      <c r="DJ54" s="623">
        <v>719.5</v>
      </c>
      <c r="DK54" s="659">
        <v>736.3</v>
      </c>
      <c r="DL54" s="897">
        <v>760.6</v>
      </c>
      <c r="DM54" s="110">
        <f t="shared" si="0"/>
        <v>1.0330028520983296</v>
      </c>
      <c r="DN54" s="110"/>
      <c r="DO54" s="110"/>
    </row>
    <row r="55" spans="1:119" s="112" customFormat="1" ht="18.95" customHeight="1">
      <c r="A55" s="109"/>
      <c r="B55" s="408">
        <v>35</v>
      </c>
      <c r="C55" s="621" t="s">
        <v>547</v>
      </c>
      <c r="D55" s="622" t="s">
        <v>40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110</v>
      </c>
      <c r="L55" s="665">
        <v>126.1</v>
      </c>
      <c r="M55" s="625">
        <v>143.6</v>
      </c>
      <c r="N55" s="625">
        <v>181</v>
      </c>
      <c r="O55" s="625">
        <v>187.6</v>
      </c>
      <c r="P55" s="625">
        <v>187.7</v>
      </c>
      <c r="Q55" s="625">
        <v>197.3</v>
      </c>
      <c r="R55" s="625">
        <v>202.7</v>
      </c>
      <c r="S55" s="625">
        <v>200.5</v>
      </c>
      <c r="T55" s="625">
        <v>204.3</v>
      </c>
      <c r="U55" s="625">
        <v>206.6</v>
      </c>
      <c r="V55" s="625">
        <v>205.8</v>
      </c>
      <c r="W55" s="625">
        <v>208.9</v>
      </c>
      <c r="X55" s="625">
        <v>210.6</v>
      </c>
      <c r="Y55" s="625">
        <v>210.6</v>
      </c>
      <c r="Z55" s="625">
        <v>229.5</v>
      </c>
      <c r="AA55" s="625">
        <v>229.5</v>
      </c>
      <c r="AB55" s="625">
        <v>229.5</v>
      </c>
      <c r="AC55" s="625">
        <v>217.5</v>
      </c>
      <c r="AD55" s="625">
        <v>217.1</v>
      </c>
      <c r="AE55" s="625">
        <v>217.1</v>
      </c>
      <c r="AF55" s="625">
        <v>217.1</v>
      </c>
      <c r="AG55" s="625">
        <v>216.2</v>
      </c>
      <c r="AH55" s="625">
        <v>217.5</v>
      </c>
      <c r="AI55" s="764">
        <v>217.8</v>
      </c>
      <c r="AJ55" s="772">
        <v>222.3</v>
      </c>
      <c r="AK55" s="625">
        <v>234.3</v>
      </c>
      <c r="AL55" s="625">
        <v>227.5</v>
      </c>
      <c r="AM55" s="625">
        <v>223.7</v>
      </c>
      <c r="AN55" s="625">
        <v>230</v>
      </c>
      <c r="AO55" s="625">
        <v>228.3</v>
      </c>
      <c r="AP55" s="625">
        <v>231.7</v>
      </c>
      <c r="AQ55" s="625">
        <v>237.4</v>
      </c>
      <c r="AR55" s="625">
        <v>238.2</v>
      </c>
      <c r="AS55" s="625">
        <v>242</v>
      </c>
      <c r="AT55" s="625">
        <v>243.4</v>
      </c>
      <c r="AU55" s="764">
        <v>244.6</v>
      </c>
      <c r="AV55" s="752">
        <v>249.5</v>
      </c>
      <c r="AW55" s="626">
        <v>250.8</v>
      </c>
      <c r="AX55" s="626">
        <v>253.2</v>
      </c>
      <c r="AY55" s="626">
        <v>252.7</v>
      </c>
      <c r="AZ55" s="626">
        <v>252.7</v>
      </c>
      <c r="BA55" s="626">
        <v>253.3</v>
      </c>
      <c r="BB55" s="626">
        <v>254.7</v>
      </c>
      <c r="BC55" s="627">
        <v>262.5</v>
      </c>
      <c r="BD55" s="626">
        <v>265.89999999999998</v>
      </c>
      <c r="BE55" s="627">
        <v>268.10000000000002</v>
      </c>
      <c r="BF55" s="627">
        <v>268.39999999999998</v>
      </c>
      <c r="BG55" s="738">
        <v>281.7</v>
      </c>
      <c r="BH55" s="660">
        <v>282.7</v>
      </c>
      <c r="BI55" s="623">
        <v>290.3</v>
      </c>
      <c r="BJ55" s="623">
        <v>295.2</v>
      </c>
      <c r="BK55" s="623">
        <v>295.2</v>
      </c>
      <c r="BL55" s="623">
        <v>295.2</v>
      </c>
      <c r="BM55" s="623">
        <v>297.10000000000002</v>
      </c>
      <c r="BN55" s="623">
        <v>301.7</v>
      </c>
      <c r="BO55" s="623">
        <v>305.60000000000002</v>
      </c>
      <c r="BP55" s="623">
        <v>308.10000000000002</v>
      </c>
      <c r="BQ55" s="623">
        <v>307</v>
      </c>
      <c r="BR55" s="623">
        <v>307</v>
      </c>
      <c r="BS55" s="659">
        <v>307.10000000000002</v>
      </c>
      <c r="BT55" s="660">
        <v>314.89999999999998</v>
      </c>
      <c r="BU55" s="623">
        <v>317.2</v>
      </c>
      <c r="BV55" s="623">
        <v>316.60000000000002</v>
      </c>
      <c r="BW55" s="623">
        <v>317.5</v>
      </c>
      <c r="BX55" s="623">
        <v>324.7</v>
      </c>
      <c r="BY55" s="623">
        <v>324.8</v>
      </c>
      <c r="BZ55" s="623">
        <v>324.7</v>
      </c>
      <c r="CA55" s="623">
        <v>324.7</v>
      </c>
      <c r="CB55" s="623">
        <v>329.6</v>
      </c>
      <c r="CC55" s="623">
        <v>329.6</v>
      </c>
      <c r="CD55" s="623">
        <v>337.9</v>
      </c>
      <c r="CE55" s="659">
        <v>338</v>
      </c>
      <c r="CF55" s="660">
        <v>347.8</v>
      </c>
      <c r="CG55" s="623">
        <v>350.7</v>
      </c>
      <c r="CH55" s="623">
        <v>398.6</v>
      </c>
      <c r="CI55" s="623">
        <v>414.4</v>
      </c>
      <c r="CJ55" s="623">
        <v>414.4</v>
      </c>
      <c r="CK55" s="623">
        <v>415.7</v>
      </c>
      <c r="CL55" s="623">
        <v>420.4</v>
      </c>
      <c r="CM55" s="623">
        <v>435.6</v>
      </c>
      <c r="CN55" s="623">
        <v>442.5</v>
      </c>
      <c r="CO55" s="623">
        <v>442.5</v>
      </c>
      <c r="CP55" s="623">
        <v>435.1</v>
      </c>
      <c r="CQ55" s="659">
        <v>435.1</v>
      </c>
      <c r="CR55" s="660">
        <v>435.1</v>
      </c>
      <c r="CS55" s="623">
        <v>435.1</v>
      </c>
      <c r="CT55" s="623">
        <v>439.1</v>
      </c>
      <c r="CU55" s="623">
        <v>439.1</v>
      </c>
      <c r="CV55" s="623">
        <v>439.1</v>
      </c>
      <c r="CW55" s="623">
        <v>439.1</v>
      </c>
      <c r="CX55" s="623">
        <v>439.1</v>
      </c>
      <c r="CY55" s="623">
        <v>446.1</v>
      </c>
      <c r="CZ55" s="623">
        <v>452.2</v>
      </c>
      <c r="DA55" s="623">
        <v>460</v>
      </c>
      <c r="DB55" s="725">
        <v>461.9</v>
      </c>
      <c r="DC55" s="659">
        <v>461.8</v>
      </c>
      <c r="DD55" s="783">
        <v>467.6</v>
      </c>
      <c r="DE55" s="623">
        <v>467.8</v>
      </c>
      <c r="DF55" s="725">
        <v>490.4</v>
      </c>
      <c r="DG55" s="659">
        <v>501.9</v>
      </c>
      <c r="DH55" s="623">
        <v>510.3</v>
      </c>
      <c r="DI55" s="623">
        <v>515.70000000000005</v>
      </c>
      <c r="DJ55" s="623">
        <v>522.6</v>
      </c>
      <c r="DK55" s="659">
        <v>522.6</v>
      </c>
      <c r="DL55" s="897">
        <v>528.79999999999995</v>
      </c>
      <c r="DM55" s="110">
        <f t="shared" si="0"/>
        <v>1.0118637581324148</v>
      </c>
      <c r="DN55" s="110"/>
      <c r="DO55" s="110"/>
    </row>
    <row r="56" spans="1:119" s="112" customFormat="1" ht="18.95" customHeight="1">
      <c r="A56" s="109"/>
      <c r="B56" s="408">
        <v>36</v>
      </c>
      <c r="C56" s="621"/>
      <c r="D56" s="622" t="s">
        <v>41</v>
      </c>
      <c r="E56" s="621" t="s">
        <v>918</v>
      </c>
      <c r="F56" s="622"/>
      <c r="G56" s="632" t="s">
        <v>924</v>
      </c>
      <c r="H56" s="621" t="s">
        <v>920</v>
      </c>
      <c r="I56" s="390" t="s">
        <v>921</v>
      </c>
      <c r="J56" s="676"/>
      <c r="K56" s="669">
        <v>100.8</v>
      </c>
      <c r="L56" s="665">
        <v>116.3</v>
      </c>
      <c r="M56" s="625">
        <v>124</v>
      </c>
      <c r="N56" s="625">
        <v>153.6</v>
      </c>
      <c r="O56" s="625">
        <v>162.19999999999999</v>
      </c>
      <c r="P56" s="625">
        <v>167.2</v>
      </c>
      <c r="Q56" s="625">
        <v>179.6</v>
      </c>
      <c r="R56" s="625">
        <v>187.2</v>
      </c>
      <c r="S56" s="625">
        <v>185.3</v>
      </c>
      <c r="T56" s="625">
        <v>175.2</v>
      </c>
      <c r="U56" s="625">
        <v>173.4</v>
      </c>
      <c r="V56" s="625">
        <v>171.7</v>
      </c>
      <c r="W56" s="625">
        <v>172.8</v>
      </c>
      <c r="X56" s="625">
        <v>173.4</v>
      </c>
      <c r="Y56" s="625">
        <v>173.5</v>
      </c>
      <c r="Z56" s="625">
        <v>179.8</v>
      </c>
      <c r="AA56" s="625">
        <v>179.9</v>
      </c>
      <c r="AB56" s="625">
        <v>180.1</v>
      </c>
      <c r="AC56" s="625">
        <v>175.1</v>
      </c>
      <c r="AD56" s="625">
        <v>176.5</v>
      </c>
      <c r="AE56" s="625">
        <v>176.6</v>
      </c>
      <c r="AF56" s="625">
        <v>177.5</v>
      </c>
      <c r="AG56" s="625">
        <v>177.4</v>
      </c>
      <c r="AH56" s="625">
        <v>177.8</v>
      </c>
      <c r="AI56" s="764">
        <v>179.2</v>
      </c>
      <c r="AJ56" s="772">
        <v>184.4</v>
      </c>
      <c r="AK56" s="625">
        <v>194</v>
      </c>
      <c r="AL56" s="625">
        <v>194.7</v>
      </c>
      <c r="AM56" s="625">
        <v>200.6</v>
      </c>
      <c r="AN56" s="625">
        <v>210.6</v>
      </c>
      <c r="AO56" s="625">
        <v>216.5</v>
      </c>
      <c r="AP56" s="625">
        <v>223.3</v>
      </c>
      <c r="AQ56" s="625">
        <v>224.1</v>
      </c>
      <c r="AR56" s="625">
        <v>224.3</v>
      </c>
      <c r="AS56" s="625">
        <v>231.4</v>
      </c>
      <c r="AT56" s="625">
        <v>232.1</v>
      </c>
      <c r="AU56" s="764">
        <v>239</v>
      </c>
      <c r="AV56" s="752">
        <v>236.3</v>
      </c>
      <c r="AW56" s="626">
        <v>244.6</v>
      </c>
      <c r="AX56" s="626">
        <v>245.4</v>
      </c>
      <c r="AY56" s="626">
        <v>246.7</v>
      </c>
      <c r="AZ56" s="626">
        <v>244.1</v>
      </c>
      <c r="BA56" s="626">
        <v>240.2</v>
      </c>
      <c r="BB56" s="626">
        <v>240.7</v>
      </c>
      <c r="BC56" s="627">
        <v>243.3</v>
      </c>
      <c r="BD56" s="626">
        <v>247</v>
      </c>
      <c r="BE56" s="627">
        <v>247.7</v>
      </c>
      <c r="BF56" s="627">
        <v>249.3</v>
      </c>
      <c r="BG56" s="738">
        <v>253.7</v>
      </c>
      <c r="BH56" s="660">
        <v>254.1</v>
      </c>
      <c r="BI56" s="623">
        <v>256.10000000000002</v>
      </c>
      <c r="BJ56" s="623">
        <v>261.89999999999998</v>
      </c>
      <c r="BK56" s="623">
        <v>265.3</v>
      </c>
      <c r="BL56" s="623">
        <v>267.39999999999998</v>
      </c>
      <c r="BM56" s="623">
        <v>270.7</v>
      </c>
      <c r="BN56" s="623">
        <v>274.89999999999998</v>
      </c>
      <c r="BO56" s="623">
        <v>281</v>
      </c>
      <c r="BP56" s="623">
        <v>281.8</v>
      </c>
      <c r="BQ56" s="623">
        <v>277.3</v>
      </c>
      <c r="BR56" s="623">
        <v>280</v>
      </c>
      <c r="BS56" s="659">
        <v>280</v>
      </c>
      <c r="BT56" s="660">
        <v>282.60000000000002</v>
      </c>
      <c r="BU56" s="623">
        <v>284.3</v>
      </c>
      <c r="BV56" s="623">
        <v>284.8</v>
      </c>
      <c r="BW56" s="623">
        <v>288.60000000000002</v>
      </c>
      <c r="BX56" s="623">
        <v>291</v>
      </c>
      <c r="BY56" s="623">
        <v>291.10000000000002</v>
      </c>
      <c r="BZ56" s="623">
        <v>291</v>
      </c>
      <c r="CA56" s="623">
        <v>293</v>
      </c>
      <c r="CB56" s="623">
        <v>297.5</v>
      </c>
      <c r="CC56" s="623">
        <v>297.5</v>
      </c>
      <c r="CD56" s="623">
        <v>300.3</v>
      </c>
      <c r="CE56" s="659">
        <v>304.2</v>
      </c>
      <c r="CF56" s="660">
        <v>310</v>
      </c>
      <c r="CG56" s="623">
        <v>310.89999999999998</v>
      </c>
      <c r="CH56" s="623">
        <v>342.2</v>
      </c>
      <c r="CI56" s="623">
        <v>354</v>
      </c>
      <c r="CJ56" s="623">
        <v>362.2</v>
      </c>
      <c r="CK56" s="623">
        <v>365.3</v>
      </c>
      <c r="CL56" s="623">
        <v>366.9</v>
      </c>
      <c r="CM56" s="623">
        <v>377.9</v>
      </c>
      <c r="CN56" s="623">
        <v>380.2</v>
      </c>
      <c r="CO56" s="623">
        <v>383.9</v>
      </c>
      <c r="CP56" s="623">
        <v>386.7</v>
      </c>
      <c r="CQ56" s="659">
        <v>386.7</v>
      </c>
      <c r="CR56" s="660">
        <v>386.7</v>
      </c>
      <c r="CS56" s="623">
        <v>386.7</v>
      </c>
      <c r="CT56" s="623">
        <v>388</v>
      </c>
      <c r="CU56" s="623">
        <v>388</v>
      </c>
      <c r="CV56" s="623">
        <v>388</v>
      </c>
      <c r="CW56" s="623">
        <v>388</v>
      </c>
      <c r="CX56" s="623">
        <v>388</v>
      </c>
      <c r="CY56" s="623">
        <v>390.7</v>
      </c>
      <c r="CZ56" s="623">
        <v>392.9</v>
      </c>
      <c r="DA56" s="623">
        <v>395.5</v>
      </c>
      <c r="DB56" s="725">
        <v>404.4</v>
      </c>
      <c r="DC56" s="659">
        <v>404.3</v>
      </c>
      <c r="DD56" s="783">
        <v>408.1</v>
      </c>
      <c r="DE56" s="623">
        <v>408</v>
      </c>
      <c r="DF56" s="725">
        <v>418.4</v>
      </c>
      <c r="DG56" s="659">
        <v>426.3</v>
      </c>
      <c r="DH56" s="623">
        <v>437.1</v>
      </c>
      <c r="DI56" s="623">
        <v>439</v>
      </c>
      <c r="DJ56" s="623">
        <v>449.5</v>
      </c>
      <c r="DK56" s="659">
        <v>451.9</v>
      </c>
      <c r="DL56" s="897">
        <v>458.8</v>
      </c>
      <c r="DM56" s="110">
        <f t="shared" si="0"/>
        <v>1.0152688647930959</v>
      </c>
      <c r="DN56" s="110"/>
      <c r="DO56" s="110"/>
    </row>
    <row r="57" spans="1:119" s="112" customFormat="1" ht="18.95" customHeight="1">
      <c r="A57" s="109"/>
      <c r="B57" s="408">
        <v>37</v>
      </c>
      <c r="C57" s="621" t="s">
        <v>42</v>
      </c>
      <c r="D57" s="622" t="s">
        <v>43</v>
      </c>
      <c r="E57" s="621" t="s">
        <v>918</v>
      </c>
      <c r="F57" s="622"/>
      <c r="G57" s="621" t="s">
        <v>929</v>
      </c>
      <c r="H57" s="621" t="s">
        <v>930</v>
      </c>
      <c r="I57" s="390" t="s">
        <v>921</v>
      </c>
      <c r="J57" s="651"/>
      <c r="K57" s="669">
        <v>93.3</v>
      </c>
      <c r="L57" s="665">
        <v>93.6</v>
      </c>
      <c r="M57" s="625">
        <v>95.7</v>
      </c>
      <c r="N57" s="625">
        <v>96.7</v>
      </c>
      <c r="O57" s="625">
        <v>97.6</v>
      </c>
      <c r="P57" s="625">
        <v>104.6</v>
      </c>
      <c r="Q57" s="625">
        <v>115.1</v>
      </c>
      <c r="R57" s="625">
        <v>124.4</v>
      </c>
      <c r="S57" s="625">
        <v>131</v>
      </c>
      <c r="T57" s="625">
        <v>138.69999999999999</v>
      </c>
      <c r="U57" s="625">
        <v>146.5</v>
      </c>
      <c r="V57" s="625">
        <v>144.6</v>
      </c>
      <c r="W57" s="625">
        <v>153.6</v>
      </c>
      <c r="X57" s="625">
        <v>157</v>
      </c>
      <c r="Y57" s="625">
        <v>160.1</v>
      </c>
      <c r="Z57" s="625">
        <v>160.30000000000001</v>
      </c>
      <c r="AA57" s="625">
        <v>164.4</v>
      </c>
      <c r="AB57" s="625">
        <v>159.30000000000001</v>
      </c>
      <c r="AC57" s="625">
        <v>160.19999999999999</v>
      </c>
      <c r="AD57" s="625">
        <v>161.80000000000001</v>
      </c>
      <c r="AE57" s="625">
        <v>161.80000000000001</v>
      </c>
      <c r="AF57" s="625">
        <v>163.6</v>
      </c>
      <c r="AG57" s="625">
        <v>163.4</v>
      </c>
      <c r="AH57" s="625">
        <v>168.6</v>
      </c>
      <c r="AI57" s="764">
        <v>169.5</v>
      </c>
      <c r="AJ57" s="772">
        <v>169.2</v>
      </c>
      <c r="AK57" s="625">
        <v>177.3</v>
      </c>
      <c r="AL57" s="625">
        <v>181.7</v>
      </c>
      <c r="AM57" s="625">
        <v>187.5</v>
      </c>
      <c r="AN57" s="625">
        <v>191.4</v>
      </c>
      <c r="AO57" s="625">
        <v>198.2</v>
      </c>
      <c r="AP57" s="625">
        <v>198.1</v>
      </c>
      <c r="AQ57" s="625">
        <v>198.7</v>
      </c>
      <c r="AR57" s="625">
        <v>197.9</v>
      </c>
      <c r="AS57" s="625">
        <v>197.6</v>
      </c>
      <c r="AT57" s="625">
        <v>199.2</v>
      </c>
      <c r="AU57" s="764">
        <v>202.2</v>
      </c>
      <c r="AV57" s="752">
        <v>201.9</v>
      </c>
      <c r="AW57" s="626">
        <v>202</v>
      </c>
      <c r="AX57" s="626">
        <v>204.5</v>
      </c>
      <c r="AY57" s="626">
        <v>206.1</v>
      </c>
      <c r="AZ57" s="626">
        <v>206.1</v>
      </c>
      <c r="BA57" s="626">
        <v>207.1</v>
      </c>
      <c r="BB57" s="626">
        <v>207.3</v>
      </c>
      <c r="BC57" s="627">
        <v>207.3</v>
      </c>
      <c r="BD57" s="626">
        <v>207.2</v>
      </c>
      <c r="BE57" s="627">
        <v>207.2</v>
      </c>
      <c r="BF57" s="627">
        <v>208.1</v>
      </c>
      <c r="BG57" s="738">
        <v>210.2</v>
      </c>
      <c r="BH57" s="660">
        <v>213.8</v>
      </c>
      <c r="BI57" s="623">
        <v>214.2</v>
      </c>
      <c r="BJ57" s="623">
        <v>216.7</v>
      </c>
      <c r="BK57" s="623">
        <v>221.3</v>
      </c>
      <c r="BL57" s="623">
        <v>225.2</v>
      </c>
      <c r="BM57" s="623">
        <v>228.4</v>
      </c>
      <c r="BN57" s="623">
        <v>228</v>
      </c>
      <c r="BO57" s="623">
        <v>228</v>
      </c>
      <c r="BP57" s="623">
        <v>229.1</v>
      </c>
      <c r="BQ57" s="623">
        <v>229.7</v>
      </c>
      <c r="BR57" s="623">
        <v>233.1</v>
      </c>
      <c r="BS57" s="659">
        <v>238.7</v>
      </c>
      <c r="BT57" s="660">
        <v>244.2</v>
      </c>
      <c r="BU57" s="623">
        <v>244.9</v>
      </c>
      <c r="BV57" s="623">
        <v>253.9</v>
      </c>
      <c r="BW57" s="623">
        <v>254.5</v>
      </c>
      <c r="BX57" s="623">
        <v>254.5</v>
      </c>
      <c r="BY57" s="623">
        <v>261.3</v>
      </c>
      <c r="BZ57" s="623">
        <v>271.7</v>
      </c>
      <c r="CA57" s="623">
        <v>280.60000000000002</v>
      </c>
      <c r="CB57" s="623">
        <v>282</v>
      </c>
      <c r="CC57" s="623">
        <v>283.7</v>
      </c>
      <c r="CD57" s="623">
        <v>296.60000000000002</v>
      </c>
      <c r="CE57" s="659">
        <v>300.7</v>
      </c>
      <c r="CF57" s="660">
        <v>308.89999999999998</v>
      </c>
      <c r="CG57" s="623">
        <v>309.89999999999998</v>
      </c>
      <c r="CH57" s="623">
        <v>313.89999999999998</v>
      </c>
      <c r="CI57" s="623">
        <v>321.7</v>
      </c>
      <c r="CJ57" s="623">
        <v>325.8</v>
      </c>
      <c r="CK57" s="623">
        <v>325.3</v>
      </c>
      <c r="CL57" s="623">
        <v>333.7</v>
      </c>
      <c r="CM57" s="623">
        <v>332.9</v>
      </c>
      <c r="CN57" s="623">
        <v>332.9</v>
      </c>
      <c r="CO57" s="623">
        <v>335.3</v>
      </c>
      <c r="CP57" s="623">
        <v>335.4</v>
      </c>
      <c r="CQ57" s="659">
        <v>336.1</v>
      </c>
      <c r="CR57" s="660">
        <v>346.7</v>
      </c>
      <c r="CS57" s="623">
        <v>353.3</v>
      </c>
      <c r="CT57" s="623">
        <v>347.5</v>
      </c>
      <c r="CU57" s="623">
        <v>347.6</v>
      </c>
      <c r="CV57" s="623">
        <v>356.5</v>
      </c>
      <c r="CW57" s="623">
        <v>357.6</v>
      </c>
      <c r="CX57" s="623">
        <v>359.1</v>
      </c>
      <c r="CY57" s="623">
        <v>365.2</v>
      </c>
      <c r="CZ57" s="623">
        <v>367.6</v>
      </c>
      <c r="DA57" s="623">
        <v>364.5</v>
      </c>
      <c r="DB57" s="725">
        <v>367.3</v>
      </c>
      <c r="DC57" s="659">
        <v>370</v>
      </c>
      <c r="DD57" s="783">
        <v>375.9</v>
      </c>
      <c r="DE57" s="623">
        <v>381.6</v>
      </c>
      <c r="DF57" s="725">
        <v>383.2</v>
      </c>
      <c r="DG57" s="659">
        <v>384.4</v>
      </c>
      <c r="DH57" s="623">
        <v>400.9</v>
      </c>
      <c r="DI57" s="623">
        <v>401.8</v>
      </c>
      <c r="DJ57" s="623">
        <v>405.6</v>
      </c>
      <c r="DK57" s="659">
        <v>411.2</v>
      </c>
      <c r="DL57" s="897">
        <v>413.9</v>
      </c>
      <c r="DM57" s="110">
        <f t="shared" si="0"/>
        <v>1.0065661478599222</v>
      </c>
      <c r="DN57" s="110"/>
      <c r="DO57" s="110"/>
    </row>
    <row r="58" spans="1:119" s="112" customFormat="1" ht="18" customHeight="1">
      <c r="A58" s="109"/>
      <c r="B58" s="408">
        <v>38</v>
      </c>
      <c r="C58" s="621"/>
      <c r="D58" s="622" t="s">
        <v>44</v>
      </c>
      <c r="E58" s="621" t="s">
        <v>918</v>
      </c>
      <c r="F58" s="622"/>
      <c r="G58" s="632" t="s">
        <v>924</v>
      </c>
      <c r="H58" s="621" t="s">
        <v>920</v>
      </c>
      <c r="I58" s="390" t="s">
        <v>195</v>
      </c>
      <c r="J58" s="676"/>
      <c r="K58" s="669">
        <v>99.2</v>
      </c>
      <c r="L58" s="665">
        <v>100.2</v>
      </c>
      <c r="M58" s="625">
        <v>106.9</v>
      </c>
      <c r="N58" s="625">
        <v>110.2</v>
      </c>
      <c r="O58" s="625">
        <v>124.5</v>
      </c>
      <c r="P58" s="625">
        <v>128.69999999999999</v>
      </c>
      <c r="Q58" s="625">
        <v>127.4</v>
      </c>
      <c r="R58" s="625">
        <v>127.7</v>
      </c>
      <c r="S58" s="625">
        <v>131.4</v>
      </c>
      <c r="T58" s="625">
        <v>131.4</v>
      </c>
      <c r="U58" s="625">
        <v>133.69999999999999</v>
      </c>
      <c r="V58" s="625">
        <v>133.9</v>
      </c>
      <c r="W58" s="625">
        <v>134.1</v>
      </c>
      <c r="X58" s="625">
        <v>132.80000000000001</v>
      </c>
      <c r="Y58" s="625">
        <v>133.19999999999999</v>
      </c>
      <c r="Z58" s="625">
        <v>132.1</v>
      </c>
      <c r="AA58" s="625">
        <v>132.1</v>
      </c>
      <c r="AB58" s="625">
        <v>130.9</v>
      </c>
      <c r="AC58" s="625">
        <v>130.19999999999999</v>
      </c>
      <c r="AD58" s="625">
        <v>130.19999999999999</v>
      </c>
      <c r="AE58" s="625">
        <v>130.19999999999999</v>
      </c>
      <c r="AF58" s="625">
        <v>130.19999999999999</v>
      </c>
      <c r="AG58" s="625">
        <v>130.19999999999999</v>
      </c>
      <c r="AH58" s="625">
        <v>130.30000000000001</v>
      </c>
      <c r="AI58" s="764">
        <v>130.30000000000001</v>
      </c>
      <c r="AJ58" s="772">
        <v>131.30000000000001</v>
      </c>
      <c r="AK58" s="625">
        <v>136.30000000000001</v>
      </c>
      <c r="AL58" s="625">
        <v>136.80000000000001</v>
      </c>
      <c r="AM58" s="625">
        <v>140.6</v>
      </c>
      <c r="AN58" s="625">
        <v>143.4</v>
      </c>
      <c r="AO58" s="625">
        <v>149.1</v>
      </c>
      <c r="AP58" s="625">
        <v>152.19999999999999</v>
      </c>
      <c r="AQ58" s="625">
        <v>152.19999999999999</v>
      </c>
      <c r="AR58" s="625">
        <v>154</v>
      </c>
      <c r="AS58" s="625">
        <v>156.30000000000001</v>
      </c>
      <c r="AT58" s="625">
        <v>159.80000000000001</v>
      </c>
      <c r="AU58" s="764">
        <v>160.1</v>
      </c>
      <c r="AV58" s="752">
        <v>162.19999999999999</v>
      </c>
      <c r="AW58" s="626">
        <v>171.5</v>
      </c>
      <c r="AX58" s="626">
        <v>172.3</v>
      </c>
      <c r="AY58" s="626">
        <v>179.5</v>
      </c>
      <c r="AZ58" s="626">
        <v>183.1</v>
      </c>
      <c r="BA58" s="626">
        <v>184.4</v>
      </c>
      <c r="BB58" s="626">
        <v>186.3</v>
      </c>
      <c r="BC58" s="627">
        <v>187.6</v>
      </c>
      <c r="BD58" s="626">
        <v>187.6</v>
      </c>
      <c r="BE58" s="627">
        <v>188.6</v>
      </c>
      <c r="BF58" s="627">
        <v>190.6</v>
      </c>
      <c r="BG58" s="738">
        <v>185.8</v>
      </c>
      <c r="BH58" s="660">
        <v>187.6</v>
      </c>
      <c r="BI58" s="623">
        <v>190.8</v>
      </c>
      <c r="BJ58" s="623">
        <v>196.1</v>
      </c>
      <c r="BK58" s="623">
        <v>197.9</v>
      </c>
      <c r="BL58" s="623">
        <v>206</v>
      </c>
      <c r="BM58" s="623">
        <v>206</v>
      </c>
      <c r="BN58" s="623">
        <v>206</v>
      </c>
      <c r="BO58" s="623">
        <v>208.3</v>
      </c>
      <c r="BP58" s="623">
        <v>211.1</v>
      </c>
      <c r="BQ58" s="623">
        <v>211.7</v>
      </c>
      <c r="BR58" s="623">
        <v>211.3</v>
      </c>
      <c r="BS58" s="659">
        <v>212.8</v>
      </c>
      <c r="BT58" s="660">
        <v>212.8</v>
      </c>
      <c r="BU58" s="623">
        <v>214.9</v>
      </c>
      <c r="BV58" s="623">
        <v>214.4</v>
      </c>
      <c r="BW58" s="623">
        <v>218.7</v>
      </c>
      <c r="BX58" s="623">
        <v>229.7</v>
      </c>
      <c r="BY58" s="623">
        <v>237.6</v>
      </c>
      <c r="BZ58" s="623">
        <v>246.2</v>
      </c>
      <c r="CA58" s="623">
        <v>250.6</v>
      </c>
      <c r="CB58" s="623">
        <v>254.8</v>
      </c>
      <c r="CC58" s="623">
        <v>255.4</v>
      </c>
      <c r="CD58" s="623">
        <v>258.2</v>
      </c>
      <c r="CE58" s="659">
        <v>261.7</v>
      </c>
      <c r="CF58" s="660">
        <v>261.7</v>
      </c>
      <c r="CG58" s="623">
        <v>268.3</v>
      </c>
      <c r="CH58" s="623">
        <v>271.7</v>
      </c>
      <c r="CI58" s="623">
        <v>284.39999999999998</v>
      </c>
      <c r="CJ58" s="623">
        <v>289.2</v>
      </c>
      <c r="CK58" s="623">
        <v>302.39999999999998</v>
      </c>
      <c r="CL58" s="623">
        <v>301.5</v>
      </c>
      <c r="CM58" s="623">
        <v>304.3</v>
      </c>
      <c r="CN58" s="623">
        <v>304.3</v>
      </c>
      <c r="CO58" s="623">
        <v>306.3</v>
      </c>
      <c r="CP58" s="623">
        <v>308.3</v>
      </c>
      <c r="CQ58" s="659">
        <v>307</v>
      </c>
      <c r="CR58" s="660">
        <v>307</v>
      </c>
      <c r="CS58" s="623">
        <v>305.2</v>
      </c>
      <c r="CT58" s="623">
        <v>306.5</v>
      </c>
      <c r="CU58" s="623">
        <v>305.2</v>
      </c>
      <c r="CV58" s="623">
        <v>305.2</v>
      </c>
      <c r="CW58" s="623">
        <v>305.2</v>
      </c>
      <c r="CX58" s="623">
        <v>301.39999999999998</v>
      </c>
      <c r="CY58" s="623">
        <v>308.10000000000002</v>
      </c>
      <c r="CZ58" s="623">
        <v>310.39999999999998</v>
      </c>
      <c r="DA58" s="623">
        <v>318.3</v>
      </c>
      <c r="DB58" s="725">
        <v>314.3</v>
      </c>
      <c r="DC58" s="659">
        <v>320.2</v>
      </c>
      <c r="DD58" s="783">
        <v>322.2</v>
      </c>
      <c r="DE58" s="623">
        <v>327.60000000000002</v>
      </c>
      <c r="DF58" s="725">
        <v>332.7</v>
      </c>
      <c r="DG58" s="659">
        <v>336</v>
      </c>
      <c r="DH58" s="623">
        <v>336.7</v>
      </c>
      <c r="DI58" s="623">
        <v>339</v>
      </c>
      <c r="DJ58" s="623">
        <v>360.3</v>
      </c>
      <c r="DK58" s="659">
        <v>362.4</v>
      </c>
      <c r="DL58" s="897">
        <v>362.4</v>
      </c>
      <c r="DM58" s="110">
        <f t="shared" si="0"/>
        <v>1</v>
      </c>
      <c r="DN58" s="110"/>
      <c r="DO58" s="110"/>
    </row>
    <row r="59" spans="1:119" s="112" customFormat="1" ht="21.75" customHeight="1">
      <c r="A59" s="109"/>
      <c r="B59" s="408">
        <v>39</v>
      </c>
      <c r="C59" s="621" t="s">
        <v>45</v>
      </c>
      <c r="D59" s="622" t="s">
        <v>46</v>
      </c>
      <c r="E59" s="621" t="s">
        <v>918</v>
      </c>
      <c r="F59" s="622"/>
      <c r="G59" s="621" t="s">
        <v>929</v>
      </c>
      <c r="H59" s="621" t="s">
        <v>930</v>
      </c>
      <c r="I59" s="390" t="s">
        <v>47</v>
      </c>
      <c r="J59" s="651"/>
      <c r="K59" s="669">
        <v>104.6</v>
      </c>
      <c r="L59" s="665">
        <v>122.9</v>
      </c>
      <c r="M59" s="625">
        <v>132.80000000000001</v>
      </c>
      <c r="N59" s="625">
        <v>145.30000000000001</v>
      </c>
      <c r="O59" s="625">
        <v>195.4</v>
      </c>
      <c r="P59" s="625">
        <v>201.9</v>
      </c>
      <c r="Q59" s="625">
        <v>213.2</v>
      </c>
      <c r="R59" s="625">
        <v>206</v>
      </c>
      <c r="S59" s="625">
        <v>205.4</v>
      </c>
      <c r="T59" s="625">
        <v>201.2</v>
      </c>
      <c r="U59" s="625">
        <v>197.3</v>
      </c>
      <c r="V59" s="625">
        <v>189.4</v>
      </c>
      <c r="W59" s="625">
        <v>190.7</v>
      </c>
      <c r="X59" s="625">
        <v>190.8</v>
      </c>
      <c r="Y59" s="625">
        <v>190.8</v>
      </c>
      <c r="Z59" s="625">
        <v>193.2</v>
      </c>
      <c r="AA59" s="625">
        <v>194.7</v>
      </c>
      <c r="AB59" s="625">
        <v>194.9</v>
      </c>
      <c r="AC59" s="625">
        <v>193.5</v>
      </c>
      <c r="AD59" s="625">
        <v>196.5</v>
      </c>
      <c r="AE59" s="625">
        <v>196.5</v>
      </c>
      <c r="AF59" s="625">
        <v>196.5</v>
      </c>
      <c r="AG59" s="625">
        <v>199.4</v>
      </c>
      <c r="AH59" s="625">
        <v>209</v>
      </c>
      <c r="AI59" s="764">
        <v>211.2</v>
      </c>
      <c r="AJ59" s="772">
        <v>216.4</v>
      </c>
      <c r="AK59" s="625">
        <v>225.1</v>
      </c>
      <c r="AL59" s="625">
        <v>231.5</v>
      </c>
      <c r="AM59" s="625">
        <v>236.3</v>
      </c>
      <c r="AN59" s="625">
        <v>246.2</v>
      </c>
      <c r="AO59" s="625">
        <v>255.8</v>
      </c>
      <c r="AP59" s="625">
        <v>263.5</v>
      </c>
      <c r="AQ59" s="625">
        <v>264.8</v>
      </c>
      <c r="AR59" s="625">
        <v>268.2</v>
      </c>
      <c r="AS59" s="625">
        <v>280.89999999999998</v>
      </c>
      <c r="AT59" s="625">
        <v>282.2</v>
      </c>
      <c r="AU59" s="764">
        <v>296</v>
      </c>
      <c r="AV59" s="752">
        <v>297.7</v>
      </c>
      <c r="AW59" s="626">
        <v>300.7</v>
      </c>
      <c r="AX59" s="626">
        <v>300.7</v>
      </c>
      <c r="AY59" s="626">
        <v>300.7</v>
      </c>
      <c r="AZ59" s="626">
        <v>300.39999999999998</v>
      </c>
      <c r="BA59" s="626">
        <v>305.3</v>
      </c>
      <c r="BB59" s="626">
        <v>311.5</v>
      </c>
      <c r="BC59" s="627">
        <v>311.5</v>
      </c>
      <c r="BD59" s="626">
        <v>297.5</v>
      </c>
      <c r="BE59" s="627">
        <v>297.5</v>
      </c>
      <c r="BF59" s="627">
        <v>292.5</v>
      </c>
      <c r="BG59" s="738">
        <v>298.5</v>
      </c>
      <c r="BH59" s="660">
        <v>298.2</v>
      </c>
      <c r="BI59" s="623">
        <v>302.39999999999998</v>
      </c>
      <c r="BJ59" s="623">
        <v>302.39999999999998</v>
      </c>
      <c r="BK59" s="623">
        <v>305.89999999999998</v>
      </c>
      <c r="BL59" s="623">
        <v>305.3</v>
      </c>
      <c r="BM59" s="623">
        <v>311.7</v>
      </c>
      <c r="BN59" s="623">
        <v>314.5</v>
      </c>
      <c r="BO59" s="623">
        <v>321.7</v>
      </c>
      <c r="BP59" s="623">
        <v>327.5</v>
      </c>
      <c r="BQ59" s="623">
        <v>326.7</v>
      </c>
      <c r="BR59" s="623">
        <v>327.39999999999998</v>
      </c>
      <c r="BS59" s="659">
        <v>333.6</v>
      </c>
      <c r="BT59" s="660">
        <v>334.6</v>
      </c>
      <c r="BU59" s="623">
        <v>331.8</v>
      </c>
      <c r="BV59" s="623">
        <v>332.8</v>
      </c>
      <c r="BW59" s="623">
        <v>339.7</v>
      </c>
      <c r="BX59" s="623">
        <v>342</v>
      </c>
      <c r="BY59" s="623">
        <v>338.8</v>
      </c>
      <c r="BZ59" s="623">
        <v>344.9</v>
      </c>
      <c r="CA59" s="623">
        <v>349.9</v>
      </c>
      <c r="CB59" s="623">
        <v>355.8</v>
      </c>
      <c r="CC59" s="623">
        <v>360.3</v>
      </c>
      <c r="CD59" s="623">
        <v>366.2</v>
      </c>
      <c r="CE59" s="659">
        <v>370.3</v>
      </c>
      <c r="CF59" s="660">
        <v>375.1</v>
      </c>
      <c r="CG59" s="623">
        <v>396.6</v>
      </c>
      <c r="CH59" s="623">
        <v>414.5</v>
      </c>
      <c r="CI59" s="623">
        <v>430.6</v>
      </c>
      <c r="CJ59" s="623">
        <v>434.6</v>
      </c>
      <c r="CK59" s="623">
        <v>456.3</v>
      </c>
      <c r="CL59" s="623">
        <v>456.3</v>
      </c>
      <c r="CM59" s="623">
        <v>487.9</v>
      </c>
      <c r="CN59" s="623">
        <v>487.9</v>
      </c>
      <c r="CO59" s="623">
        <v>494.1</v>
      </c>
      <c r="CP59" s="623">
        <v>491.8</v>
      </c>
      <c r="CQ59" s="659">
        <v>483.4</v>
      </c>
      <c r="CR59" s="660">
        <v>481.6</v>
      </c>
      <c r="CS59" s="623">
        <v>482.3</v>
      </c>
      <c r="CT59" s="623">
        <v>475</v>
      </c>
      <c r="CU59" s="623">
        <v>452.8</v>
      </c>
      <c r="CV59" s="623">
        <v>460</v>
      </c>
      <c r="CW59" s="623">
        <v>443.5</v>
      </c>
      <c r="CX59" s="623">
        <v>441.8</v>
      </c>
      <c r="CY59" s="623">
        <v>447.6</v>
      </c>
      <c r="CZ59" s="623">
        <v>449.1</v>
      </c>
      <c r="DA59" s="623">
        <v>451.4</v>
      </c>
      <c r="DB59" s="725">
        <v>458.6</v>
      </c>
      <c r="DC59" s="659">
        <v>458.6</v>
      </c>
      <c r="DD59" s="783">
        <v>460.1</v>
      </c>
      <c r="DE59" s="623">
        <v>470.1</v>
      </c>
      <c r="DF59" s="725">
        <v>474.8</v>
      </c>
      <c r="DG59" s="659">
        <v>485</v>
      </c>
      <c r="DH59" s="623">
        <v>493.6</v>
      </c>
      <c r="DI59" s="623">
        <v>506.7</v>
      </c>
      <c r="DJ59" s="623">
        <v>526.9</v>
      </c>
      <c r="DK59" s="659">
        <v>533.20000000000005</v>
      </c>
      <c r="DL59" s="897">
        <v>534.79999999999995</v>
      </c>
      <c r="DM59" s="110">
        <f t="shared" si="0"/>
        <v>1.0030007501875466</v>
      </c>
      <c r="DN59" s="110"/>
      <c r="DO59" s="110"/>
    </row>
    <row r="60" spans="1:119" s="112" customFormat="1" ht="21" customHeight="1">
      <c r="A60" s="109"/>
      <c r="B60" s="408">
        <v>40</v>
      </c>
      <c r="C60" s="621" t="s">
        <v>48</v>
      </c>
      <c r="D60" s="622" t="s">
        <v>49</v>
      </c>
      <c r="E60" s="621" t="s">
        <v>918</v>
      </c>
      <c r="F60" s="622"/>
      <c r="G60" s="621" t="s">
        <v>929</v>
      </c>
      <c r="H60" s="621" t="s">
        <v>930</v>
      </c>
      <c r="I60" s="390" t="s">
        <v>50</v>
      </c>
      <c r="J60" s="651"/>
      <c r="K60" s="669">
        <v>90</v>
      </c>
      <c r="L60" s="665">
        <v>98.3</v>
      </c>
      <c r="M60" s="625">
        <v>122.4</v>
      </c>
      <c r="N60" s="625">
        <v>155.19999999999999</v>
      </c>
      <c r="O60" s="625">
        <v>174.8</v>
      </c>
      <c r="P60" s="625">
        <v>190.3</v>
      </c>
      <c r="Q60" s="625">
        <v>231.4</v>
      </c>
      <c r="R60" s="625">
        <v>252.4</v>
      </c>
      <c r="S60" s="625">
        <v>257.60000000000002</v>
      </c>
      <c r="T60" s="625">
        <v>257.60000000000002</v>
      </c>
      <c r="U60" s="625">
        <v>257.60000000000002</v>
      </c>
      <c r="V60" s="625">
        <v>252.9</v>
      </c>
      <c r="W60" s="625">
        <v>248.1</v>
      </c>
      <c r="X60" s="625">
        <v>247.6</v>
      </c>
      <c r="Y60" s="625">
        <v>231.1</v>
      </c>
      <c r="Z60" s="625">
        <v>227</v>
      </c>
      <c r="AA60" s="625">
        <v>223.9</v>
      </c>
      <c r="AB60" s="625">
        <v>223.9</v>
      </c>
      <c r="AC60" s="625">
        <v>208.6</v>
      </c>
      <c r="AD60" s="625">
        <v>207.8</v>
      </c>
      <c r="AE60" s="625">
        <v>203.2</v>
      </c>
      <c r="AF60" s="625">
        <v>204.2</v>
      </c>
      <c r="AG60" s="625">
        <v>206.1</v>
      </c>
      <c r="AH60" s="625">
        <v>208.3</v>
      </c>
      <c r="AI60" s="764">
        <v>217.4</v>
      </c>
      <c r="AJ60" s="772">
        <v>225.5</v>
      </c>
      <c r="AK60" s="625">
        <v>240.3</v>
      </c>
      <c r="AL60" s="625">
        <v>272.39999999999998</v>
      </c>
      <c r="AM60" s="625">
        <v>280.8</v>
      </c>
      <c r="AN60" s="625">
        <v>283.10000000000002</v>
      </c>
      <c r="AO60" s="625">
        <v>283.10000000000002</v>
      </c>
      <c r="AP60" s="625">
        <v>270.3</v>
      </c>
      <c r="AQ60" s="625">
        <v>270.39999999999998</v>
      </c>
      <c r="AR60" s="625">
        <v>268.3</v>
      </c>
      <c r="AS60" s="625">
        <v>283</v>
      </c>
      <c r="AT60" s="625">
        <v>281.8</v>
      </c>
      <c r="AU60" s="764">
        <v>281.8</v>
      </c>
      <c r="AV60" s="752">
        <v>281.8</v>
      </c>
      <c r="AW60" s="626">
        <v>279.2</v>
      </c>
      <c r="AX60" s="626">
        <v>281.2</v>
      </c>
      <c r="AY60" s="626">
        <v>291.2</v>
      </c>
      <c r="AZ60" s="626">
        <v>291.2</v>
      </c>
      <c r="BA60" s="626">
        <v>291.2</v>
      </c>
      <c r="BB60" s="626">
        <v>297.2</v>
      </c>
      <c r="BC60" s="627">
        <v>315.3</v>
      </c>
      <c r="BD60" s="626">
        <v>324.3</v>
      </c>
      <c r="BE60" s="627">
        <v>337.2</v>
      </c>
      <c r="BF60" s="627">
        <v>349.9</v>
      </c>
      <c r="BG60" s="738">
        <v>371</v>
      </c>
      <c r="BH60" s="660">
        <v>388.3</v>
      </c>
      <c r="BI60" s="623">
        <v>406.7</v>
      </c>
      <c r="BJ60" s="623">
        <v>416.9</v>
      </c>
      <c r="BK60" s="623">
        <v>434.3</v>
      </c>
      <c r="BL60" s="623">
        <v>617.6</v>
      </c>
      <c r="BM60" s="623">
        <v>636.70000000000005</v>
      </c>
      <c r="BN60" s="623">
        <v>619</v>
      </c>
      <c r="BO60" s="623">
        <v>619</v>
      </c>
      <c r="BP60" s="623">
        <v>619</v>
      </c>
      <c r="BQ60" s="623">
        <v>619</v>
      </c>
      <c r="BR60" s="623">
        <v>611.29999999999995</v>
      </c>
      <c r="BS60" s="659">
        <v>611.6</v>
      </c>
      <c r="BT60" s="660">
        <v>611.6</v>
      </c>
      <c r="BU60" s="623">
        <v>611.6</v>
      </c>
      <c r="BV60" s="623">
        <v>611.6</v>
      </c>
      <c r="BW60" s="623">
        <v>642.20000000000005</v>
      </c>
      <c r="BX60" s="623">
        <v>658.9</v>
      </c>
      <c r="BY60" s="623">
        <v>680.5</v>
      </c>
      <c r="BZ60" s="623">
        <v>680.5</v>
      </c>
      <c r="CA60" s="623">
        <v>683.3</v>
      </c>
      <c r="CB60" s="623">
        <v>683.3</v>
      </c>
      <c r="CC60" s="623">
        <v>672.6</v>
      </c>
      <c r="CD60" s="623">
        <v>672.6</v>
      </c>
      <c r="CE60" s="659">
        <v>681.9</v>
      </c>
      <c r="CF60" s="660">
        <v>679.8</v>
      </c>
      <c r="CG60" s="623">
        <v>686</v>
      </c>
      <c r="CH60" s="623">
        <v>705</v>
      </c>
      <c r="CI60" s="623">
        <v>729.2</v>
      </c>
      <c r="CJ60" s="623">
        <v>731.8</v>
      </c>
      <c r="CK60" s="623">
        <v>750.3</v>
      </c>
      <c r="CL60" s="623">
        <v>750.3</v>
      </c>
      <c r="CM60" s="623">
        <v>750.3</v>
      </c>
      <c r="CN60" s="623">
        <v>750.3</v>
      </c>
      <c r="CO60" s="623">
        <v>750.3</v>
      </c>
      <c r="CP60" s="623">
        <v>747.6</v>
      </c>
      <c r="CQ60" s="659">
        <v>732.3</v>
      </c>
      <c r="CR60" s="660">
        <v>720.2</v>
      </c>
      <c r="CS60" s="623">
        <v>692.4</v>
      </c>
      <c r="CT60" s="623">
        <v>682.8</v>
      </c>
      <c r="CU60" s="623">
        <v>678.2</v>
      </c>
      <c r="CV60" s="623">
        <v>669.1</v>
      </c>
      <c r="CW60" s="623">
        <v>660.6</v>
      </c>
      <c r="CX60" s="623">
        <v>680.2</v>
      </c>
      <c r="CY60" s="623">
        <v>694.5</v>
      </c>
      <c r="CZ60" s="623">
        <v>702.4</v>
      </c>
      <c r="DA60" s="623">
        <v>749.7</v>
      </c>
      <c r="DB60" s="725">
        <v>756.6</v>
      </c>
      <c r="DC60" s="659">
        <v>752.9</v>
      </c>
      <c r="DD60" s="783">
        <v>774.8</v>
      </c>
      <c r="DE60" s="623">
        <v>793.8</v>
      </c>
      <c r="DF60" s="725">
        <v>808.9</v>
      </c>
      <c r="DG60" s="659">
        <v>819.2</v>
      </c>
      <c r="DH60" s="623">
        <v>823.9</v>
      </c>
      <c r="DI60" s="623">
        <v>845</v>
      </c>
      <c r="DJ60" s="623">
        <v>861</v>
      </c>
      <c r="DK60" s="659">
        <v>861</v>
      </c>
      <c r="DL60" s="897">
        <v>875.9</v>
      </c>
      <c r="DM60" s="110">
        <f t="shared" si="0"/>
        <v>1.0173054587688735</v>
      </c>
      <c r="DN60" s="113"/>
      <c r="DO60" s="110"/>
    </row>
    <row r="61" spans="1:119" s="112" customFormat="1" ht="20.25" customHeight="1">
      <c r="A61" s="109"/>
      <c r="B61" s="408">
        <v>41</v>
      </c>
      <c r="C61" s="621" t="s">
        <v>51</v>
      </c>
      <c r="D61" s="622" t="s">
        <v>52</v>
      </c>
      <c r="E61" s="621" t="s">
        <v>918</v>
      </c>
      <c r="F61" s="622"/>
      <c r="G61" s="621" t="s">
        <v>929</v>
      </c>
      <c r="H61" s="621" t="s">
        <v>930</v>
      </c>
      <c r="I61" s="390" t="s">
        <v>921</v>
      </c>
      <c r="J61" s="651"/>
      <c r="K61" s="669">
        <v>88.4</v>
      </c>
      <c r="L61" s="665">
        <v>95</v>
      </c>
      <c r="M61" s="625">
        <v>109.8</v>
      </c>
      <c r="N61" s="625">
        <v>124.4</v>
      </c>
      <c r="O61" s="625">
        <v>160.69999999999999</v>
      </c>
      <c r="P61" s="625">
        <v>172.5</v>
      </c>
      <c r="Q61" s="625">
        <v>181.6</v>
      </c>
      <c r="R61" s="625">
        <v>188.3</v>
      </c>
      <c r="S61" s="625">
        <v>205.2</v>
      </c>
      <c r="T61" s="625">
        <v>207.7</v>
      </c>
      <c r="U61" s="625">
        <v>203</v>
      </c>
      <c r="V61" s="625">
        <v>201.5</v>
      </c>
      <c r="W61" s="625">
        <v>201.5</v>
      </c>
      <c r="X61" s="625">
        <v>201.5</v>
      </c>
      <c r="Y61" s="625">
        <v>201.5</v>
      </c>
      <c r="Z61" s="625">
        <v>201.5</v>
      </c>
      <c r="AA61" s="625">
        <v>201.5</v>
      </c>
      <c r="AB61" s="625">
        <v>200</v>
      </c>
      <c r="AC61" s="625">
        <v>197.7</v>
      </c>
      <c r="AD61" s="625">
        <v>197.7</v>
      </c>
      <c r="AE61" s="625">
        <v>191.1</v>
      </c>
      <c r="AF61" s="625">
        <v>191.1</v>
      </c>
      <c r="AG61" s="625">
        <v>191.1</v>
      </c>
      <c r="AH61" s="625">
        <v>191.3</v>
      </c>
      <c r="AI61" s="764">
        <v>191.3</v>
      </c>
      <c r="AJ61" s="772">
        <v>189.6</v>
      </c>
      <c r="AK61" s="625">
        <v>193.3</v>
      </c>
      <c r="AL61" s="625">
        <v>199.7</v>
      </c>
      <c r="AM61" s="625">
        <v>202.4</v>
      </c>
      <c r="AN61" s="625">
        <v>215.3</v>
      </c>
      <c r="AO61" s="625">
        <v>216.1</v>
      </c>
      <c r="AP61" s="625">
        <v>218.3</v>
      </c>
      <c r="AQ61" s="625">
        <v>218.3</v>
      </c>
      <c r="AR61" s="625">
        <v>221</v>
      </c>
      <c r="AS61" s="625">
        <v>224</v>
      </c>
      <c r="AT61" s="625">
        <v>225.7</v>
      </c>
      <c r="AU61" s="764">
        <v>227.8</v>
      </c>
      <c r="AV61" s="752">
        <v>229.8</v>
      </c>
      <c r="AW61" s="626">
        <v>229.8</v>
      </c>
      <c r="AX61" s="626">
        <v>229.8</v>
      </c>
      <c r="AY61" s="626">
        <v>232.6</v>
      </c>
      <c r="AZ61" s="626">
        <v>231.7</v>
      </c>
      <c r="BA61" s="626">
        <v>230.4</v>
      </c>
      <c r="BB61" s="626">
        <v>232.1</v>
      </c>
      <c r="BC61" s="627">
        <v>232.1</v>
      </c>
      <c r="BD61" s="626">
        <v>232.1</v>
      </c>
      <c r="BE61" s="627">
        <v>232.8</v>
      </c>
      <c r="BF61" s="627">
        <v>233.7</v>
      </c>
      <c r="BG61" s="738">
        <v>234.6</v>
      </c>
      <c r="BH61" s="660">
        <v>234.4</v>
      </c>
      <c r="BI61" s="623">
        <v>234.4</v>
      </c>
      <c r="BJ61" s="623">
        <v>234.4</v>
      </c>
      <c r="BK61" s="623">
        <v>236.1</v>
      </c>
      <c r="BL61" s="623">
        <v>238.4</v>
      </c>
      <c r="BM61" s="623">
        <v>256.10000000000002</v>
      </c>
      <c r="BN61" s="623">
        <v>251.9</v>
      </c>
      <c r="BO61" s="623">
        <v>253.4</v>
      </c>
      <c r="BP61" s="623">
        <v>253.4</v>
      </c>
      <c r="BQ61" s="623">
        <v>253.4</v>
      </c>
      <c r="BR61" s="623">
        <v>252.9</v>
      </c>
      <c r="BS61" s="659">
        <v>253.8</v>
      </c>
      <c r="BT61" s="660">
        <v>254.3</v>
      </c>
      <c r="BU61" s="623">
        <v>255.5</v>
      </c>
      <c r="BV61" s="623">
        <v>265.7</v>
      </c>
      <c r="BW61" s="623">
        <v>266.10000000000002</v>
      </c>
      <c r="BX61" s="623">
        <v>270.10000000000002</v>
      </c>
      <c r="BY61" s="623">
        <v>270.10000000000002</v>
      </c>
      <c r="BZ61" s="623">
        <v>278</v>
      </c>
      <c r="CA61" s="623">
        <v>282</v>
      </c>
      <c r="CB61" s="623">
        <v>283.8</v>
      </c>
      <c r="CC61" s="623">
        <v>286.2</v>
      </c>
      <c r="CD61" s="623">
        <v>288.2</v>
      </c>
      <c r="CE61" s="659">
        <v>292.10000000000002</v>
      </c>
      <c r="CF61" s="660">
        <v>290.7</v>
      </c>
      <c r="CG61" s="623">
        <v>295.8</v>
      </c>
      <c r="CH61" s="623">
        <v>309.3</v>
      </c>
      <c r="CI61" s="623">
        <v>320.60000000000002</v>
      </c>
      <c r="CJ61" s="623">
        <v>358.3</v>
      </c>
      <c r="CK61" s="623">
        <v>350.9</v>
      </c>
      <c r="CL61" s="623">
        <v>348.9</v>
      </c>
      <c r="CM61" s="623">
        <v>351.8</v>
      </c>
      <c r="CN61" s="623">
        <v>351.8</v>
      </c>
      <c r="CO61" s="623">
        <v>352</v>
      </c>
      <c r="CP61" s="623">
        <v>356.8</v>
      </c>
      <c r="CQ61" s="659">
        <v>358.1</v>
      </c>
      <c r="CR61" s="660">
        <v>358.1</v>
      </c>
      <c r="CS61" s="623">
        <v>355.3</v>
      </c>
      <c r="CT61" s="623">
        <v>356.4</v>
      </c>
      <c r="CU61" s="623">
        <v>354.2</v>
      </c>
      <c r="CV61" s="623">
        <v>354.3</v>
      </c>
      <c r="CW61" s="623">
        <v>353.6</v>
      </c>
      <c r="CX61" s="623">
        <v>354</v>
      </c>
      <c r="CY61" s="623">
        <v>353.1</v>
      </c>
      <c r="CZ61" s="623">
        <v>374.1</v>
      </c>
      <c r="DA61" s="623">
        <v>375.1</v>
      </c>
      <c r="DB61" s="725">
        <v>375.9</v>
      </c>
      <c r="DC61" s="659">
        <v>375.9</v>
      </c>
      <c r="DD61" s="783">
        <v>380.4</v>
      </c>
      <c r="DE61" s="623">
        <v>389</v>
      </c>
      <c r="DF61" s="725">
        <v>389</v>
      </c>
      <c r="DG61" s="659">
        <v>385.8</v>
      </c>
      <c r="DH61" s="623">
        <v>414.9</v>
      </c>
      <c r="DI61" s="623">
        <v>427.3</v>
      </c>
      <c r="DJ61" s="623">
        <v>434.1</v>
      </c>
      <c r="DK61" s="659">
        <v>434.1</v>
      </c>
      <c r="DL61" s="897">
        <v>436.3</v>
      </c>
      <c r="DM61" s="110">
        <f t="shared" si="0"/>
        <v>1.0050679566920064</v>
      </c>
      <c r="DN61" s="113"/>
      <c r="DO61" s="110"/>
    </row>
    <row r="62" spans="1:119" s="112" customFormat="1" ht="18.95" customHeight="1">
      <c r="A62" s="109"/>
      <c r="B62" s="408">
        <v>42</v>
      </c>
      <c r="C62" s="621" t="s">
        <v>53</v>
      </c>
      <c r="D62" s="622" t="s">
        <v>54</v>
      </c>
      <c r="E62" s="621" t="s">
        <v>918</v>
      </c>
      <c r="F62" s="622"/>
      <c r="G62" s="621" t="s">
        <v>929</v>
      </c>
      <c r="H62" s="621" t="s">
        <v>930</v>
      </c>
      <c r="I62" s="390" t="s">
        <v>925</v>
      </c>
      <c r="J62" s="651"/>
      <c r="K62" s="669">
        <v>104.4</v>
      </c>
      <c r="L62" s="665">
        <v>113.5</v>
      </c>
      <c r="M62" s="625">
        <v>129.80000000000001</v>
      </c>
      <c r="N62" s="625">
        <v>125.6</v>
      </c>
      <c r="O62" s="625">
        <v>143.4</v>
      </c>
      <c r="P62" s="625">
        <v>141.69999999999999</v>
      </c>
      <c r="Q62" s="625">
        <v>152.19999999999999</v>
      </c>
      <c r="R62" s="625">
        <v>166</v>
      </c>
      <c r="S62" s="625">
        <v>166.4</v>
      </c>
      <c r="T62" s="625">
        <v>166.4</v>
      </c>
      <c r="U62" s="625">
        <v>166.4</v>
      </c>
      <c r="V62" s="625">
        <v>161</v>
      </c>
      <c r="W62" s="625">
        <v>153.30000000000001</v>
      </c>
      <c r="X62" s="625">
        <v>153.30000000000001</v>
      </c>
      <c r="Y62" s="625">
        <v>153.19999999999999</v>
      </c>
      <c r="Z62" s="625">
        <v>154.6</v>
      </c>
      <c r="AA62" s="625">
        <v>156.9</v>
      </c>
      <c r="AB62" s="625">
        <v>156.9</v>
      </c>
      <c r="AC62" s="625">
        <v>152.80000000000001</v>
      </c>
      <c r="AD62" s="625">
        <v>155.19999999999999</v>
      </c>
      <c r="AE62" s="625">
        <v>154.9</v>
      </c>
      <c r="AF62" s="625">
        <v>155.19999999999999</v>
      </c>
      <c r="AG62" s="625">
        <v>155.5</v>
      </c>
      <c r="AH62" s="625">
        <v>155.5</v>
      </c>
      <c r="AI62" s="764">
        <v>155.5</v>
      </c>
      <c r="AJ62" s="772">
        <v>155.5</v>
      </c>
      <c r="AK62" s="625">
        <v>158.1</v>
      </c>
      <c r="AL62" s="625">
        <v>162.6</v>
      </c>
      <c r="AM62" s="625">
        <v>168.5</v>
      </c>
      <c r="AN62" s="625">
        <v>176.9</v>
      </c>
      <c r="AO62" s="625">
        <v>180</v>
      </c>
      <c r="AP62" s="625">
        <v>180.9</v>
      </c>
      <c r="AQ62" s="625">
        <v>180.8</v>
      </c>
      <c r="AR62" s="625">
        <v>180.8</v>
      </c>
      <c r="AS62" s="625">
        <v>182.2</v>
      </c>
      <c r="AT62" s="625">
        <v>183.6</v>
      </c>
      <c r="AU62" s="764">
        <v>187.7</v>
      </c>
      <c r="AV62" s="752">
        <v>192.1</v>
      </c>
      <c r="AW62" s="626">
        <v>194.7</v>
      </c>
      <c r="AX62" s="626">
        <v>194.8</v>
      </c>
      <c r="AY62" s="626">
        <v>194.7</v>
      </c>
      <c r="AZ62" s="626">
        <v>197</v>
      </c>
      <c r="BA62" s="626">
        <v>197</v>
      </c>
      <c r="BB62" s="626">
        <v>197</v>
      </c>
      <c r="BC62" s="627">
        <v>197.4</v>
      </c>
      <c r="BD62" s="626">
        <v>198.9</v>
      </c>
      <c r="BE62" s="627">
        <v>206.1</v>
      </c>
      <c r="BF62" s="627">
        <v>216.6</v>
      </c>
      <c r="BG62" s="738">
        <v>216.6</v>
      </c>
      <c r="BH62" s="660">
        <v>219.7</v>
      </c>
      <c r="BI62" s="623">
        <v>218.3</v>
      </c>
      <c r="BJ62" s="623">
        <v>220.3</v>
      </c>
      <c r="BK62" s="623">
        <v>223.8</v>
      </c>
      <c r="BL62" s="623">
        <v>230.9</v>
      </c>
      <c r="BM62" s="623">
        <v>230.6</v>
      </c>
      <c r="BN62" s="623">
        <v>242.4</v>
      </c>
      <c r="BO62" s="623">
        <v>243.2</v>
      </c>
      <c r="BP62" s="623">
        <v>243.2</v>
      </c>
      <c r="BQ62" s="623">
        <v>243.2</v>
      </c>
      <c r="BR62" s="623">
        <v>243.6</v>
      </c>
      <c r="BS62" s="659">
        <v>243.6</v>
      </c>
      <c r="BT62" s="660">
        <v>243.6</v>
      </c>
      <c r="BU62" s="623">
        <v>244.8</v>
      </c>
      <c r="BV62" s="623">
        <v>258.10000000000002</v>
      </c>
      <c r="BW62" s="623">
        <v>262.60000000000002</v>
      </c>
      <c r="BX62" s="623">
        <v>262.60000000000002</v>
      </c>
      <c r="BY62" s="623">
        <v>262.60000000000002</v>
      </c>
      <c r="BZ62" s="623">
        <v>273.39999999999998</v>
      </c>
      <c r="CA62" s="623">
        <v>280.89999999999998</v>
      </c>
      <c r="CB62" s="623">
        <v>286.7</v>
      </c>
      <c r="CC62" s="623">
        <v>287.8</v>
      </c>
      <c r="CD62" s="623">
        <v>291.3</v>
      </c>
      <c r="CE62" s="659">
        <v>309.89999999999998</v>
      </c>
      <c r="CF62" s="660">
        <v>308</v>
      </c>
      <c r="CG62" s="623">
        <v>313.2</v>
      </c>
      <c r="CH62" s="623">
        <v>313.2</v>
      </c>
      <c r="CI62" s="623">
        <v>326.5</v>
      </c>
      <c r="CJ62" s="623">
        <v>355.5</v>
      </c>
      <c r="CK62" s="623">
        <v>353.9</v>
      </c>
      <c r="CL62" s="623">
        <v>371.3</v>
      </c>
      <c r="CM62" s="623">
        <v>390.3</v>
      </c>
      <c r="CN62" s="623">
        <v>390.3</v>
      </c>
      <c r="CO62" s="623">
        <v>390.3</v>
      </c>
      <c r="CP62" s="623">
        <v>390.3</v>
      </c>
      <c r="CQ62" s="659">
        <v>390.3</v>
      </c>
      <c r="CR62" s="660">
        <v>390.3</v>
      </c>
      <c r="CS62" s="623">
        <v>390.3</v>
      </c>
      <c r="CT62" s="623">
        <v>390.3</v>
      </c>
      <c r="CU62" s="623">
        <v>390.3</v>
      </c>
      <c r="CV62" s="623">
        <v>390.3</v>
      </c>
      <c r="CW62" s="623">
        <v>390.3</v>
      </c>
      <c r="CX62" s="623">
        <v>390.1</v>
      </c>
      <c r="CY62" s="623">
        <v>393.7</v>
      </c>
      <c r="CZ62" s="623">
        <v>410.2</v>
      </c>
      <c r="DA62" s="623">
        <v>416.8</v>
      </c>
      <c r="DB62" s="725">
        <v>417.2</v>
      </c>
      <c r="DC62" s="659">
        <v>417.2</v>
      </c>
      <c r="DD62" s="783">
        <v>422.8</v>
      </c>
      <c r="DE62" s="623">
        <v>433.1</v>
      </c>
      <c r="DF62" s="725">
        <v>433.1</v>
      </c>
      <c r="DG62" s="659">
        <v>433.1</v>
      </c>
      <c r="DH62" s="623">
        <v>450.2</v>
      </c>
      <c r="DI62" s="623">
        <v>483.6</v>
      </c>
      <c r="DJ62" s="623">
        <v>483.6</v>
      </c>
      <c r="DK62" s="659">
        <v>515</v>
      </c>
      <c r="DL62" s="897">
        <v>515</v>
      </c>
      <c r="DM62" s="110">
        <f t="shared" si="0"/>
        <v>1</v>
      </c>
      <c r="DN62" s="113"/>
      <c r="DO62" s="110"/>
    </row>
    <row r="63" spans="1:119" s="112" customFormat="1" ht="28.5" customHeight="1">
      <c r="A63" s="109"/>
      <c r="B63" s="408">
        <v>43</v>
      </c>
      <c r="C63" s="621" t="s">
        <v>55</v>
      </c>
      <c r="D63" s="622" t="s">
        <v>56</v>
      </c>
      <c r="E63" s="621" t="s">
        <v>918</v>
      </c>
      <c r="F63" s="622"/>
      <c r="G63" s="621" t="s">
        <v>929</v>
      </c>
      <c r="H63" s="621" t="s">
        <v>930</v>
      </c>
      <c r="I63" s="390" t="s">
        <v>135</v>
      </c>
      <c r="J63" s="651"/>
      <c r="K63" s="669">
        <v>98.7</v>
      </c>
      <c r="L63" s="665">
        <v>105.2</v>
      </c>
      <c r="M63" s="625">
        <v>121.2</v>
      </c>
      <c r="N63" s="625">
        <v>125.9</v>
      </c>
      <c r="O63" s="625">
        <v>169.8</v>
      </c>
      <c r="P63" s="625">
        <v>193.2</v>
      </c>
      <c r="Q63" s="625">
        <v>210.7</v>
      </c>
      <c r="R63" s="625">
        <v>241.5</v>
      </c>
      <c r="S63" s="625">
        <v>236</v>
      </c>
      <c r="T63" s="625">
        <v>234.1</v>
      </c>
      <c r="U63" s="625">
        <v>234.1</v>
      </c>
      <c r="V63" s="625">
        <v>233</v>
      </c>
      <c r="W63" s="625">
        <v>235</v>
      </c>
      <c r="X63" s="625">
        <v>234.2</v>
      </c>
      <c r="Y63" s="625">
        <v>233.1</v>
      </c>
      <c r="Z63" s="625">
        <v>237.3</v>
      </c>
      <c r="AA63" s="625">
        <v>235.3</v>
      </c>
      <c r="AB63" s="625">
        <v>235.3</v>
      </c>
      <c r="AC63" s="625">
        <v>234.3</v>
      </c>
      <c r="AD63" s="625">
        <v>233.9</v>
      </c>
      <c r="AE63" s="625">
        <v>228.3</v>
      </c>
      <c r="AF63" s="625">
        <v>233.1</v>
      </c>
      <c r="AG63" s="625">
        <v>229.9</v>
      </c>
      <c r="AH63" s="625">
        <v>226</v>
      </c>
      <c r="AI63" s="764">
        <v>230.7</v>
      </c>
      <c r="AJ63" s="772">
        <v>235.2</v>
      </c>
      <c r="AK63" s="625">
        <v>244.2</v>
      </c>
      <c r="AL63" s="625">
        <v>256.39999999999998</v>
      </c>
      <c r="AM63" s="625">
        <v>259</v>
      </c>
      <c r="AN63" s="625">
        <v>265.89999999999998</v>
      </c>
      <c r="AO63" s="625">
        <v>267.89999999999998</v>
      </c>
      <c r="AP63" s="625">
        <v>276.2</v>
      </c>
      <c r="AQ63" s="625">
        <v>284.39999999999998</v>
      </c>
      <c r="AR63" s="625">
        <v>284.39999999999998</v>
      </c>
      <c r="AS63" s="625">
        <v>308.3</v>
      </c>
      <c r="AT63" s="625">
        <v>312</v>
      </c>
      <c r="AU63" s="764">
        <v>313.2</v>
      </c>
      <c r="AV63" s="752">
        <v>328.4</v>
      </c>
      <c r="AW63" s="626">
        <v>327.2</v>
      </c>
      <c r="AX63" s="626">
        <v>330.2</v>
      </c>
      <c r="AY63" s="626">
        <v>334.3</v>
      </c>
      <c r="AZ63" s="626">
        <v>334.3</v>
      </c>
      <c r="BA63" s="626">
        <v>334.3</v>
      </c>
      <c r="BB63" s="626">
        <v>343.4</v>
      </c>
      <c r="BC63" s="627">
        <v>354.7</v>
      </c>
      <c r="BD63" s="626">
        <v>351.4</v>
      </c>
      <c r="BE63" s="627">
        <v>350.6</v>
      </c>
      <c r="BF63" s="627">
        <v>357.5</v>
      </c>
      <c r="BG63" s="738">
        <v>357.5</v>
      </c>
      <c r="BH63" s="660">
        <v>369.4</v>
      </c>
      <c r="BI63" s="623">
        <v>370.4</v>
      </c>
      <c r="BJ63" s="623">
        <v>376.4</v>
      </c>
      <c r="BK63" s="623">
        <v>376.8</v>
      </c>
      <c r="BL63" s="623">
        <v>401.9</v>
      </c>
      <c r="BM63" s="623">
        <v>420.5</v>
      </c>
      <c r="BN63" s="623">
        <v>438.1</v>
      </c>
      <c r="BO63" s="623">
        <v>462.6</v>
      </c>
      <c r="BP63" s="623">
        <v>452</v>
      </c>
      <c r="BQ63" s="623">
        <v>459</v>
      </c>
      <c r="BR63" s="623">
        <v>464.5</v>
      </c>
      <c r="BS63" s="659">
        <v>467.9</v>
      </c>
      <c r="BT63" s="660">
        <v>469</v>
      </c>
      <c r="BU63" s="623">
        <v>470.1</v>
      </c>
      <c r="BV63" s="623">
        <v>492.9</v>
      </c>
      <c r="BW63" s="623">
        <v>496</v>
      </c>
      <c r="BX63" s="623">
        <v>502.5</v>
      </c>
      <c r="BY63" s="623">
        <v>503.1</v>
      </c>
      <c r="BZ63" s="623">
        <v>510.5</v>
      </c>
      <c r="CA63" s="623">
        <v>530.70000000000005</v>
      </c>
      <c r="CB63" s="623">
        <v>538.20000000000005</v>
      </c>
      <c r="CC63" s="623">
        <v>541.4</v>
      </c>
      <c r="CD63" s="623">
        <v>547.4</v>
      </c>
      <c r="CE63" s="659">
        <v>549.29999999999995</v>
      </c>
      <c r="CF63" s="660">
        <v>559.20000000000005</v>
      </c>
      <c r="CG63" s="623">
        <v>566.70000000000005</v>
      </c>
      <c r="CH63" s="623">
        <v>581.9</v>
      </c>
      <c r="CI63" s="623">
        <v>595.1</v>
      </c>
      <c r="CJ63" s="623">
        <v>605.1</v>
      </c>
      <c r="CK63" s="623">
        <v>669.9</v>
      </c>
      <c r="CL63" s="623">
        <v>708.6</v>
      </c>
      <c r="CM63" s="623">
        <v>726.4</v>
      </c>
      <c r="CN63" s="623">
        <v>726.4</v>
      </c>
      <c r="CO63" s="623">
        <v>725.4</v>
      </c>
      <c r="CP63" s="623">
        <v>725.4</v>
      </c>
      <c r="CQ63" s="659">
        <v>723.9</v>
      </c>
      <c r="CR63" s="660">
        <v>736.5</v>
      </c>
      <c r="CS63" s="623">
        <v>740.9</v>
      </c>
      <c r="CT63" s="623">
        <v>730.7</v>
      </c>
      <c r="CU63" s="623">
        <v>734.9</v>
      </c>
      <c r="CV63" s="623">
        <v>725</v>
      </c>
      <c r="CW63" s="623">
        <v>726.8</v>
      </c>
      <c r="CX63" s="623">
        <v>726.8</v>
      </c>
      <c r="CY63" s="623">
        <v>733.6</v>
      </c>
      <c r="CZ63" s="623">
        <v>729.8</v>
      </c>
      <c r="DA63" s="623">
        <v>728.5</v>
      </c>
      <c r="DB63" s="725">
        <v>729.6</v>
      </c>
      <c r="DC63" s="659">
        <v>726.2</v>
      </c>
      <c r="DD63" s="783">
        <v>729.3</v>
      </c>
      <c r="DE63" s="623">
        <v>744.1</v>
      </c>
      <c r="DF63" s="725">
        <v>744.1</v>
      </c>
      <c r="DG63" s="659">
        <v>746.6</v>
      </c>
      <c r="DH63" s="623">
        <v>792.9</v>
      </c>
      <c r="DI63" s="623">
        <v>811.5</v>
      </c>
      <c r="DJ63" s="623">
        <v>808.7</v>
      </c>
      <c r="DK63" s="659">
        <v>808.7</v>
      </c>
      <c r="DL63" s="897">
        <v>808.7</v>
      </c>
      <c r="DM63" s="110">
        <f t="shared" si="0"/>
        <v>1</v>
      </c>
      <c r="DN63" s="113"/>
      <c r="DO63" s="110"/>
    </row>
    <row r="64" spans="1:119" s="112" customFormat="1" ht="18.95" customHeight="1">
      <c r="A64" s="109"/>
      <c r="B64" s="408">
        <v>44</v>
      </c>
      <c r="C64" s="621" t="s">
        <v>57</v>
      </c>
      <c r="D64" s="622" t="s">
        <v>58</v>
      </c>
      <c r="E64" s="621" t="s">
        <v>918</v>
      </c>
      <c r="F64" s="622"/>
      <c r="G64" s="621" t="s">
        <v>929</v>
      </c>
      <c r="H64" s="621" t="s">
        <v>930</v>
      </c>
      <c r="I64" s="390" t="s">
        <v>925</v>
      </c>
      <c r="J64" s="651"/>
      <c r="K64" s="669">
        <v>102.8</v>
      </c>
      <c r="L64" s="665">
        <v>107.2</v>
      </c>
      <c r="M64" s="625">
        <v>119.7</v>
      </c>
      <c r="N64" s="625">
        <v>130</v>
      </c>
      <c r="O64" s="625">
        <v>165.3</v>
      </c>
      <c r="P64" s="625">
        <v>190.7</v>
      </c>
      <c r="Q64" s="625">
        <v>202.9</v>
      </c>
      <c r="R64" s="625">
        <v>247.6</v>
      </c>
      <c r="S64" s="625">
        <v>245.7</v>
      </c>
      <c r="T64" s="625">
        <v>245.7</v>
      </c>
      <c r="U64" s="625">
        <v>245.7</v>
      </c>
      <c r="V64" s="625">
        <v>244.7</v>
      </c>
      <c r="W64" s="625">
        <v>239.9</v>
      </c>
      <c r="X64" s="625">
        <v>239.9</v>
      </c>
      <c r="Y64" s="625">
        <v>239.4</v>
      </c>
      <c r="Z64" s="625">
        <v>240.3</v>
      </c>
      <c r="AA64" s="625">
        <v>235.1</v>
      </c>
      <c r="AB64" s="625">
        <v>235.1</v>
      </c>
      <c r="AC64" s="625">
        <v>228.9</v>
      </c>
      <c r="AD64" s="625">
        <v>228</v>
      </c>
      <c r="AE64" s="625">
        <v>228.9</v>
      </c>
      <c r="AF64" s="625">
        <v>226.8</v>
      </c>
      <c r="AG64" s="625">
        <v>215.3</v>
      </c>
      <c r="AH64" s="625">
        <v>213.2</v>
      </c>
      <c r="AI64" s="764">
        <v>213.2</v>
      </c>
      <c r="AJ64" s="772">
        <v>213.2</v>
      </c>
      <c r="AK64" s="625">
        <v>223.9</v>
      </c>
      <c r="AL64" s="625">
        <v>236.9</v>
      </c>
      <c r="AM64" s="625">
        <v>232.2</v>
      </c>
      <c r="AN64" s="625">
        <v>234.5</v>
      </c>
      <c r="AO64" s="625">
        <v>252.1</v>
      </c>
      <c r="AP64" s="625">
        <v>245.6</v>
      </c>
      <c r="AQ64" s="625">
        <v>250.1</v>
      </c>
      <c r="AR64" s="625">
        <v>250.2</v>
      </c>
      <c r="AS64" s="625">
        <v>269.2</v>
      </c>
      <c r="AT64" s="625">
        <v>269.2</v>
      </c>
      <c r="AU64" s="764">
        <v>271.2</v>
      </c>
      <c r="AV64" s="752">
        <v>275.89999999999998</v>
      </c>
      <c r="AW64" s="626">
        <v>276</v>
      </c>
      <c r="AX64" s="626">
        <v>281.3</v>
      </c>
      <c r="AY64" s="626">
        <v>297.3</v>
      </c>
      <c r="AZ64" s="626">
        <v>305.7</v>
      </c>
      <c r="BA64" s="626">
        <v>305.7</v>
      </c>
      <c r="BB64" s="626">
        <v>307.10000000000002</v>
      </c>
      <c r="BC64" s="627">
        <v>316.8</v>
      </c>
      <c r="BD64" s="626">
        <v>316.8</v>
      </c>
      <c r="BE64" s="627">
        <v>318.89999999999998</v>
      </c>
      <c r="BF64" s="627">
        <v>318.89999999999998</v>
      </c>
      <c r="BG64" s="738">
        <v>318.89999999999998</v>
      </c>
      <c r="BH64" s="660">
        <v>332.5</v>
      </c>
      <c r="BI64" s="623">
        <v>332.5</v>
      </c>
      <c r="BJ64" s="623">
        <v>336.5</v>
      </c>
      <c r="BK64" s="623">
        <v>336.5</v>
      </c>
      <c r="BL64" s="623">
        <v>377.8</v>
      </c>
      <c r="BM64" s="623">
        <v>377.8</v>
      </c>
      <c r="BN64" s="623">
        <v>377.9</v>
      </c>
      <c r="BO64" s="623">
        <v>377.9</v>
      </c>
      <c r="BP64" s="623">
        <v>385.7</v>
      </c>
      <c r="BQ64" s="623">
        <v>385.7</v>
      </c>
      <c r="BR64" s="623">
        <v>385.7</v>
      </c>
      <c r="BS64" s="659">
        <v>385.7</v>
      </c>
      <c r="BT64" s="660">
        <v>385.7</v>
      </c>
      <c r="BU64" s="623">
        <v>385.7</v>
      </c>
      <c r="BV64" s="623">
        <v>395</v>
      </c>
      <c r="BW64" s="623">
        <v>404.6</v>
      </c>
      <c r="BX64" s="623">
        <v>404.6</v>
      </c>
      <c r="BY64" s="623">
        <v>419.7</v>
      </c>
      <c r="BZ64" s="623">
        <v>419.7</v>
      </c>
      <c r="CA64" s="623">
        <v>424.3</v>
      </c>
      <c r="CB64" s="623">
        <v>424.3</v>
      </c>
      <c r="CC64" s="623">
        <v>432.9</v>
      </c>
      <c r="CD64" s="623">
        <v>432.9</v>
      </c>
      <c r="CE64" s="659">
        <v>439.5</v>
      </c>
      <c r="CF64" s="660">
        <v>445.9</v>
      </c>
      <c r="CG64" s="623">
        <v>448.4</v>
      </c>
      <c r="CH64" s="623">
        <v>462.9</v>
      </c>
      <c r="CI64" s="623">
        <v>470.7</v>
      </c>
      <c r="CJ64" s="623">
        <v>472.7</v>
      </c>
      <c r="CK64" s="623">
        <v>489.9</v>
      </c>
      <c r="CL64" s="623">
        <v>489.7</v>
      </c>
      <c r="CM64" s="623">
        <v>489.6</v>
      </c>
      <c r="CN64" s="623">
        <v>489.6</v>
      </c>
      <c r="CO64" s="623">
        <v>489.6</v>
      </c>
      <c r="CP64" s="623">
        <v>489.6</v>
      </c>
      <c r="CQ64" s="659">
        <v>489.6</v>
      </c>
      <c r="CR64" s="660">
        <v>489.7</v>
      </c>
      <c r="CS64" s="623">
        <v>480.1</v>
      </c>
      <c r="CT64" s="623">
        <v>480.1</v>
      </c>
      <c r="CU64" s="623">
        <v>480.1</v>
      </c>
      <c r="CV64" s="623">
        <v>467.4</v>
      </c>
      <c r="CW64" s="623">
        <v>467.4</v>
      </c>
      <c r="CX64" s="623">
        <v>467.4</v>
      </c>
      <c r="CY64" s="623">
        <v>467.4</v>
      </c>
      <c r="CZ64" s="623">
        <v>467.4</v>
      </c>
      <c r="DA64" s="623">
        <v>472.6</v>
      </c>
      <c r="DB64" s="725">
        <v>472.6</v>
      </c>
      <c r="DC64" s="659">
        <v>472.6</v>
      </c>
      <c r="DD64" s="783">
        <v>472.6</v>
      </c>
      <c r="DE64" s="623">
        <v>472.6</v>
      </c>
      <c r="DF64" s="725">
        <v>472.6</v>
      </c>
      <c r="DG64" s="659">
        <v>472.6</v>
      </c>
      <c r="DH64" s="623">
        <v>472.6</v>
      </c>
      <c r="DI64" s="623">
        <v>484.9</v>
      </c>
      <c r="DJ64" s="623">
        <v>486.5</v>
      </c>
      <c r="DK64" s="659">
        <v>486.4</v>
      </c>
      <c r="DL64" s="897">
        <v>486.4</v>
      </c>
      <c r="DM64" s="110">
        <f t="shared" si="0"/>
        <v>1</v>
      </c>
      <c r="DN64" s="113"/>
      <c r="DO64" s="110"/>
    </row>
    <row r="65" spans="1:119" s="112" customFormat="1" ht="30.75" customHeight="1">
      <c r="A65" s="109"/>
      <c r="B65" s="408">
        <v>45</v>
      </c>
      <c r="C65" s="621" t="s">
        <v>59</v>
      </c>
      <c r="D65" s="622" t="s">
        <v>60</v>
      </c>
      <c r="E65" s="621" t="s">
        <v>918</v>
      </c>
      <c r="F65" s="622"/>
      <c r="G65" s="621" t="s">
        <v>929</v>
      </c>
      <c r="H65" s="621" t="s">
        <v>930</v>
      </c>
      <c r="I65" s="390" t="s">
        <v>61</v>
      </c>
      <c r="J65" s="651"/>
      <c r="K65" s="669">
        <v>97.3</v>
      </c>
      <c r="L65" s="665">
        <v>106.3</v>
      </c>
      <c r="M65" s="625">
        <v>118.1</v>
      </c>
      <c r="N65" s="625">
        <v>123.9</v>
      </c>
      <c r="O65" s="625">
        <v>158.19999999999999</v>
      </c>
      <c r="P65" s="625">
        <v>163.6</v>
      </c>
      <c r="Q65" s="625">
        <v>170.2</v>
      </c>
      <c r="R65" s="625">
        <v>168.7</v>
      </c>
      <c r="S65" s="625">
        <v>169.4</v>
      </c>
      <c r="T65" s="625">
        <v>168.1</v>
      </c>
      <c r="U65" s="625">
        <v>168.1</v>
      </c>
      <c r="V65" s="625">
        <v>168.1</v>
      </c>
      <c r="W65" s="625">
        <v>168.1</v>
      </c>
      <c r="X65" s="625">
        <v>168.1</v>
      </c>
      <c r="Y65" s="625">
        <v>168.1</v>
      </c>
      <c r="Z65" s="625">
        <v>169.3</v>
      </c>
      <c r="AA65" s="625">
        <v>175.5</v>
      </c>
      <c r="AB65" s="625">
        <v>173.7</v>
      </c>
      <c r="AC65" s="625">
        <v>173.7</v>
      </c>
      <c r="AD65" s="625">
        <v>174</v>
      </c>
      <c r="AE65" s="625">
        <v>176.7</v>
      </c>
      <c r="AF65" s="625">
        <v>176.7</v>
      </c>
      <c r="AG65" s="625">
        <v>178.7</v>
      </c>
      <c r="AH65" s="625">
        <v>178.7</v>
      </c>
      <c r="AI65" s="764">
        <v>179.3</v>
      </c>
      <c r="AJ65" s="772">
        <v>185.8</v>
      </c>
      <c r="AK65" s="625">
        <v>194.3</v>
      </c>
      <c r="AL65" s="625">
        <v>226.5</v>
      </c>
      <c r="AM65" s="625">
        <v>245.1</v>
      </c>
      <c r="AN65" s="625">
        <v>245.1</v>
      </c>
      <c r="AO65" s="625">
        <v>245.1</v>
      </c>
      <c r="AP65" s="625">
        <v>245.1</v>
      </c>
      <c r="AQ65" s="625">
        <v>248.4</v>
      </c>
      <c r="AR65" s="625">
        <v>258.60000000000002</v>
      </c>
      <c r="AS65" s="625">
        <v>258.60000000000002</v>
      </c>
      <c r="AT65" s="625">
        <v>258.60000000000002</v>
      </c>
      <c r="AU65" s="764">
        <v>260.5</v>
      </c>
      <c r="AV65" s="752">
        <v>267.8</v>
      </c>
      <c r="AW65" s="626">
        <v>273.5</v>
      </c>
      <c r="AX65" s="626">
        <v>282.7</v>
      </c>
      <c r="AY65" s="626">
        <v>288.8</v>
      </c>
      <c r="AZ65" s="626">
        <v>288.8</v>
      </c>
      <c r="BA65" s="626">
        <v>288.8</v>
      </c>
      <c r="BB65" s="626">
        <v>293.5</v>
      </c>
      <c r="BC65" s="627">
        <v>306.3</v>
      </c>
      <c r="BD65" s="626">
        <v>306.3</v>
      </c>
      <c r="BE65" s="627">
        <v>312.89999999999998</v>
      </c>
      <c r="BF65" s="627">
        <v>316.7</v>
      </c>
      <c r="BG65" s="738">
        <v>316.7</v>
      </c>
      <c r="BH65" s="660">
        <v>319</v>
      </c>
      <c r="BI65" s="623">
        <v>334</v>
      </c>
      <c r="BJ65" s="623">
        <v>336.4</v>
      </c>
      <c r="BK65" s="623">
        <v>350.9</v>
      </c>
      <c r="BL65" s="623">
        <v>373.2</v>
      </c>
      <c r="BM65" s="623">
        <v>383.1</v>
      </c>
      <c r="BN65" s="623">
        <v>383.4</v>
      </c>
      <c r="BO65" s="623">
        <v>383.4</v>
      </c>
      <c r="BP65" s="623">
        <v>390.6</v>
      </c>
      <c r="BQ65" s="623">
        <v>390.6</v>
      </c>
      <c r="BR65" s="623">
        <v>403.5</v>
      </c>
      <c r="BS65" s="659">
        <v>403.5</v>
      </c>
      <c r="BT65" s="660">
        <v>403.5</v>
      </c>
      <c r="BU65" s="623">
        <v>415.3</v>
      </c>
      <c r="BV65" s="623">
        <v>440.4</v>
      </c>
      <c r="BW65" s="623">
        <v>467.2</v>
      </c>
      <c r="BX65" s="623">
        <v>484.5</v>
      </c>
      <c r="BY65" s="623">
        <v>516.70000000000005</v>
      </c>
      <c r="BZ65" s="623">
        <v>631.5</v>
      </c>
      <c r="CA65" s="623">
        <v>749.2</v>
      </c>
      <c r="CB65" s="623">
        <v>749.2</v>
      </c>
      <c r="CC65" s="623">
        <v>754.7</v>
      </c>
      <c r="CD65" s="623">
        <v>754.7</v>
      </c>
      <c r="CE65" s="659">
        <v>750</v>
      </c>
      <c r="CF65" s="660">
        <v>756.9</v>
      </c>
      <c r="CG65" s="623">
        <v>756.9</v>
      </c>
      <c r="CH65" s="623">
        <v>767.7</v>
      </c>
      <c r="CI65" s="623">
        <v>782.3</v>
      </c>
      <c r="CJ65" s="623">
        <v>777.1</v>
      </c>
      <c r="CK65" s="623">
        <v>787.2</v>
      </c>
      <c r="CL65" s="623">
        <v>795.1</v>
      </c>
      <c r="CM65" s="623">
        <v>805.6</v>
      </c>
      <c r="CN65" s="623">
        <v>805.6</v>
      </c>
      <c r="CO65" s="623">
        <v>805.6</v>
      </c>
      <c r="CP65" s="623">
        <v>805.6</v>
      </c>
      <c r="CQ65" s="659">
        <v>798.5</v>
      </c>
      <c r="CR65" s="660">
        <v>799.7</v>
      </c>
      <c r="CS65" s="623">
        <v>797.6</v>
      </c>
      <c r="CT65" s="623">
        <v>793</v>
      </c>
      <c r="CU65" s="623">
        <v>789.3</v>
      </c>
      <c r="CV65" s="623">
        <v>755.8</v>
      </c>
      <c r="CW65" s="623">
        <v>764.9</v>
      </c>
      <c r="CX65" s="623">
        <v>780.7</v>
      </c>
      <c r="CY65" s="623">
        <v>780.7</v>
      </c>
      <c r="CZ65" s="623">
        <v>780.7</v>
      </c>
      <c r="DA65" s="623">
        <v>790.6</v>
      </c>
      <c r="DB65" s="725">
        <v>790.6</v>
      </c>
      <c r="DC65" s="659">
        <v>801.6</v>
      </c>
      <c r="DD65" s="783">
        <v>811.6</v>
      </c>
      <c r="DE65" s="623">
        <v>845.4</v>
      </c>
      <c r="DF65" s="725">
        <v>845.4</v>
      </c>
      <c r="DG65" s="659">
        <v>866</v>
      </c>
      <c r="DH65" s="623">
        <v>881.7</v>
      </c>
      <c r="DI65" s="623">
        <v>881.8</v>
      </c>
      <c r="DJ65" s="623">
        <v>881.8</v>
      </c>
      <c r="DK65" s="659">
        <v>907.4</v>
      </c>
      <c r="DL65" s="897">
        <v>914.3</v>
      </c>
      <c r="DM65" s="110">
        <f t="shared" si="0"/>
        <v>1.0076041437072956</v>
      </c>
      <c r="DN65" s="110"/>
      <c r="DO65" s="110"/>
    </row>
    <row r="66" spans="1:119" s="112" customFormat="1" ht="30.75" customHeight="1">
      <c r="A66" s="109"/>
      <c r="B66" s="408">
        <v>46</v>
      </c>
      <c r="C66" s="621" t="s">
        <v>62</v>
      </c>
      <c r="D66" s="622" t="s">
        <v>63</v>
      </c>
      <c r="E66" s="621" t="s">
        <v>918</v>
      </c>
      <c r="F66" s="622"/>
      <c r="G66" s="621" t="s">
        <v>929</v>
      </c>
      <c r="H66" s="621" t="s">
        <v>930</v>
      </c>
      <c r="I66" s="390" t="s">
        <v>425</v>
      </c>
      <c r="J66" s="651"/>
      <c r="K66" s="669">
        <v>125.3</v>
      </c>
      <c r="L66" s="665">
        <v>143.9</v>
      </c>
      <c r="M66" s="625">
        <v>159.69999999999999</v>
      </c>
      <c r="N66" s="625">
        <v>163.4</v>
      </c>
      <c r="O66" s="625">
        <v>198.2</v>
      </c>
      <c r="P66" s="625">
        <v>218.9</v>
      </c>
      <c r="Q66" s="625">
        <v>245.4</v>
      </c>
      <c r="R66" s="625">
        <v>253.5</v>
      </c>
      <c r="S66" s="625">
        <v>258.2</v>
      </c>
      <c r="T66" s="625">
        <v>260.8</v>
      </c>
      <c r="U66" s="625">
        <v>263.5</v>
      </c>
      <c r="V66" s="625">
        <v>264</v>
      </c>
      <c r="W66" s="625">
        <v>264</v>
      </c>
      <c r="X66" s="625">
        <v>272</v>
      </c>
      <c r="Y66" s="625">
        <v>274.3</v>
      </c>
      <c r="Z66" s="625">
        <v>285.3</v>
      </c>
      <c r="AA66" s="625">
        <v>290.8</v>
      </c>
      <c r="AB66" s="625">
        <v>298.2</v>
      </c>
      <c r="AC66" s="625">
        <v>297.10000000000002</v>
      </c>
      <c r="AD66" s="625">
        <v>297.10000000000002</v>
      </c>
      <c r="AE66" s="625">
        <v>295.89999999999998</v>
      </c>
      <c r="AF66" s="625">
        <v>295.89999999999998</v>
      </c>
      <c r="AG66" s="625">
        <v>294.89999999999998</v>
      </c>
      <c r="AH66" s="625">
        <v>294.89999999999998</v>
      </c>
      <c r="AI66" s="764">
        <v>299.5</v>
      </c>
      <c r="AJ66" s="772">
        <v>295.10000000000002</v>
      </c>
      <c r="AK66" s="625">
        <v>300.2</v>
      </c>
      <c r="AL66" s="625">
        <v>300.3</v>
      </c>
      <c r="AM66" s="625">
        <v>304.7</v>
      </c>
      <c r="AN66" s="625">
        <v>304.7</v>
      </c>
      <c r="AO66" s="625">
        <v>304.7</v>
      </c>
      <c r="AP66" s="625">
        <v>304.7</v>
      </c>
      <c r="AQ66" s="625">
        <v>302.10000000000002</v>
      </c>
      <c r="AR66" s="625">
        <v>304</v>
      </c>
      <c r="AS66" s="625">
        <v>303.89999999999998</v>
      </c>
      <c r="AT66" s="625">
        <v>307.39999999999998</v>
      </c>
      <c r="AU66" s="764">
        <v>307.39999999999998</v>
      </c>
      <c r="AV66" s="752">
        <v>319.89999999999998</v>
      </c>
      <c r="AW66" s="626">
        <v>324.2</v>
      </c>
      <c r="AX66" s="626">
        <v>326.60000000000002</v>
      </c>
      <c r="AY66" s="626">
        <v>326</v>
      </c>
      <c r="AZ66" s="626">
        <v>328.6</v>
      </c>
      <c r="BA66" s="626">
        <v>326.60000000000002</v>
      </c>
      <c r="BB66" s="626">
        <v>326.60000000000002</v>
      </c>
      <c r="BC66" s="627">
        <v>326.60000000000002</v>
      </c>
      <c r="BD66" s="626">
        <v>326.7</v>
      </c>
      <c r="BE66" s="627">
        <v>329.4</v>
      </c>
      <c r="BF66" s="627">
        <v>342.2</v>
      </c>
      <c r="BG66" s="738">
        <v>342.2</v>
      </c>
      <c r="BH66" s="660">
        <v>351.6</v>
      </c>
      <c r="BI66" s="623">
        <v>351.6</v>
      </c>
      <c r="BJ66" s="623">
        <v>355.8</v>
      </c>
      <c r="BK66" s="623">
        <v>355</v>
      </c>
      <c r="BL66" s="623">
        <v>368.5</v>
      </c>
      <c r="BM66" s="623">
        <v>368.5</v>
      </c>
      <c r="BN66" s="623">
        <v>372.5</v>
      </c>
      <c r="BO66" s="623">
        <v>372.9</v>
      </c>
      <c r="BP66" s="623">
        <v>372.5</v>
      </c>
      <c r="BQ66" s="623">
        <v>372.5</v>
      </c>
      <c r="BR66" s="623">
        <v>372.5</v>
      </c>
      <c r="BS66" s="659">
        <v>372.5</v>
      </c>
      <c r="BT66" s="660">
        <v>372.5</v>
      </c>
      <c r="BU66" s="623">
        <v>381.7</v>
      </c>
      <c r="BV66" s="623">
        <v>384.3</v>
      </c>
      <c r="BW66" s="623">
        <v>387</v>
      </c>
      <c r="BX66" s="623">
        <v>391.5</v>
      </c>
      <c r="BY66" s="623">
        <v>394.5</v>
      </c>
      <c r="BZ66" s="623">
        <v>403.9</v>
      </c>
      <c r="CA66" s="623">
        <v>415.1</v>
      </c>
      <c r="CB66" s="623">
        <v>417.9</v>
      </c>
      <c r="CC66" s="623">
        <v>429.9</v>
      </c>
      <c r="CD66" s="623">
        <v>431.5</v>
      </c>
      <c r="CE66" s="659">
        <v>439.2</v>
      </c>
      <c r="CF66" s="660">
        <v>446.6</v>
      </c>
      <c r="CG66" s="623">
        <v>457.6</v>
      </c>
      <c r="CH66" s="623">
        <v>463.5</v>
      </c>
      <c r="CI66" s="623">
        <v>470.1</v>
      </c>
      <c r="CJ66" s="623">
        <v>474.1</v>
      </c>
      <c r="CK66" s="623">
        <v>484.2</v>
      </c>
      <c r="CL66" s="623">
        <v>520.4</v>
      </c>
      <c r="CM66" s="623">
        <v>517.20000000000005</v>
      </c>
      <c r="CN66" s="623">
        <v>517.20000000000005</v>
      </c>
      <c r="CO66" s="623">
        <v>517.20000000000005</v>
      </c>
      <c r="CP66" s="623">
        <v>517</v>
      </c>
      <c r="CQ66" s="659">
        <v>517</v>
      </c>
      <c r="CR66" s="660">
        <v>517</v>
      </c>
      <c r="CS66" s="623">
        <v>517</v>
      </c>
      <c r="CT66" s="623">
        <v>517</v>
      </c>
      <c r="CU66" s="623">
        <v>517</v>
      </c>
      <c r="CV66" s="623">
        <v>517</v>
      </c>
      <c r="CW66" s="623">
        <v>517</v>
      </c>
      <c r="CX66" s="623">
        <v>517</v>
      </c>
      <c r="CY66" s="623">
        <v>517</v>
      </c>
      <c r="CZ66" s="623">
        <v>521.29999999999995</v>
      </c>
      <c r="DA66" s="623">
        <v>534.70000000000005</v>
      </c>
      <c r="DB66" s="725">
        <v>534.70000000000005</v>
      </c>
      <c r="DC66" s="659">
        <v>534.70000000000005</v>
      </c>
      <c r="DD66" s="783">
        <v>538.70000000000005</v>
      </c>
      <c r="DE66" s="623">
        <v>560</v>
      </c>
      <c r="DF66" s="725">
        <v>563.29999999999995</v>
      </c>
      <c r="DG66" s="659">
        <v>563.29999999999995</v>
      </c>
      <c r="DH66" s="623">
        <v>569.9</v>
      </c>
      <c r="DI66" s="623">
        <v>569.9</v>
      </c>
      <c r="DJ66" s="623">
        <v>569.9</v>
      </c>
      <c r="DK66" s="659">
        <v>574.20000000000005</v>
      </c>
      <c r="DL66" s="897">
        <v>574.20000000000005</v>
      </c>
      <c r="DM66" s="110">
        <f t="shared" si="0"/>
        <v>1</v>
      </c>
      <c r="DN66" s="110"/>
      <c r="DO66" s="110"/>
    </row>
    <row r="67" spans="1:119" s="112" customFormat="1" ht="23.25" customHeight="1">
      <c r="A67" s="109"/>
      <c r="B67" s="408">
        <v>47</v>
      </c>
      <c r="C67" s="621" t="s">
        <v>65</v>
      </c>
      <c r="D67" s="622" t="s">
        <v>66</v>
      </c>
      <c r="E67" s="621" t="s">
        <v>918</v>
      </c>
      <c r="F67" s="622"/>
      <c r="G67" s="621" t="s">
        <v>929</v>
      </c>
      <c r="H67" s="621" t="s">
        <v>930</v>
      </c>
      <c r="I67" s="390" t="s">
        <v>50</v>
      </c>
      <c r="J67" s="651"/>
      <c r="K67" s="669">
        <v>95.2</v>
      </c>
      <c r="L67" s="665">
        <v>105.2</v>
      </c>
      <c r="M67" s="625">
        <v>133.19999999999999</v>
      </c>
      <c r="N67" s="625">
        <v>140.4</v>
      </c>
      <c r="O67" s="625">
        <v>173.8</v>
      </c>
      <c r="P67" s="625">
        <v>184.4</v>
      </c>
      <c r="Q67" s="625">
        <v>200</v>
      </c>
      <c r="R67" s="625">
        <v>213.6</v>
      </c>
      <c r="S67" s="625">
        <v>228.8</v>
      </c>
      <c r="T67" s="625">
        <v>231.3</v>
      </c>
      <c r="U67" s="625">
        <v>232.2</v>
      </c>
      <c r="V67" s="625">
        <v>224.2</v>
      </c>
      <c r="W67" s="625">
        <v>217.6</v>
      </c>
      <c r="X67" s="625">
        <v>217.6</v>
      </c>
      <c r="Y67" s="625">
        <v>215.9</v>
      </c>
      <c r="Z67" s="625">
        <v>221.5</v>
      </c>
      <c r="AA67" s="625">
        <v>222.2</v>
      </c>
      <c r="AB67" s="625">
        <v>223.1</v>
      </c>
      <c r="AC67" s="625">
        <v>221.3</v>
      </c>
      <c r="AD67" s="625">
        <v>221.8</v>
      </c>
      <c r="AE67" s="625">
        <v>222.3</v>
      </c>
      <c r="AF67" s="625">
        <v>221.1</v>
      </c>
      <c r="AG67" s="625">
        <v>221.3</v>
      </c>
      <c r="AH67" s="625">
        <v>221.2</v>
      </c>
      <c r="AI67" s="764">
        <v>218.8</v>
      </c>
      <c r="AJ67" s="772">
        <v>218.5</v>
      </c>
      <c r="AK67" s="625">
        <v>226</v>
      </c>
      <c r="AL67" s="625">
        <v>221.9</v>
      </c>
      <c r="AM67" s="625">
        <v>220.2</v>
      </c>
      <c r="AN67" s="625">
        <v>224.1</v>
      </c>
      <c r="AO67" s="625">
        <v>224.1</v>
      </c>
      <c r="AP67" s="625">
        <v>225.7</v>
      </c>
      <c r="AQ67" s="625">
        <v>228.6</v>
      </c>
      <c r="AR67" s="625">
        <v>231.3</v>
      </c>
      <c r="AS67" s="625">
        <v>247.2</v>
      </c>
      <c r="AT67" s="625">
        <v>246.8</v>
      </c>
      <c r="AU67" s="764">
        <v>246.8</v>
      </c>
      <c r="AV67" s="752">
        <v>248.2</v>
      </c>
      <c r="AW67" s="626">
        <v>260</v>
      </c>
      <c r="AX67" s="626">
        <v>267.89999999999998</v>
      </c>
      <c r="AY67" s="626">
        <v>267.89999999999998</v>
      </c>
      <c r="AZ67" s="626">
        <v>270</v>
      </c>
      <c r="BA67" s="626">
        <v>270</v>
      </c>
      <c r="BB67" s="626">
        <v>275.89999999999998</v>
      </c>
      <c r="BC67" s="627">
        <v>275.89999999999998</v>
      </c>
      <c r="BD67" s="626">
        <v>274</v>
      </c>
      <c r="BE67" s="627">
        <v>280.5</v>
      </c>
      <c r="BF67" s="627">
        <v>307</v>
      </c>
      <c r="BG67" s="738">
        <v>307</v>
      </c>
      <c r="BH67" s="660">
        <v>318.2</v>
      </c>
      <c r="BI67" s="623">
        <v>318.2</v>
      </c>
      <c r="BJ67" s="623">
        <v>318.2</v>
      </c>
      <c r="BK67" s="623">
        <v>315.7</v>
      </c>
      <c r="BL67" s="623">
        <v>341.5</v>
      </c>
      <c r="BM67" s="623">
        <v>341.5</v>
      </c>
      <c r="BN67" s="623">
        <v>353.5</v>
      </c>
      <c r="BO67" s="623">
        <v>359</v>
      </c>
      <c r="BP67" s="623">
        <v>359</v>
      </c>
      <c r="BQ67" s="623">
        <v>359</v>
      </c>
      <c r="BR67" s="623">
        <v>359</v>
      </c>
      <c r="BS67" s="659">
        <v>359</v>
      </c>
      <c r="BT67" s="660">
        <v>359</v>
      </c>
      <c r="BU67" s="623">
        <v>361.5</v>
      </c>
      <c r="BV67" s="623">
        <v>358.1</v>
      </c>
      <c r="BW67" s="623">
        <v>370.2</v>
      </c>
      <c r="BX67" s="623">
        <v>372.7</v>
      </c>
      <c r="BY67" s="623">
        <v>382.1</v>
      </c>
      <c r="BZ67" s="623">
        <v>384.8</v>
      </c>
      <c r="CA67" s="623">
        <v>393.9</v>
      </c>
      <c r="CB67" s="623">
        <v>408.3</v>
      </c>
      <c r="CC67" s="623">
        <v>441.1</v>
      </c>
      <c r="CD67" s="623">
        <v>441.1</v>
      </c>
      <c r="CE67" s="659">
        <v>442.6</v>
      </c>
      <c r="CF67" s="660">
        <v>424.5</v>
      </c>
      <c r="CG67" s="623">
        <v>427.7</v>
      </c>
      <c r="CH67" s="623">
        <v>427.6</v>
      </c>
      <c r="CI67" s="623">
        <v>431.5</v>
      </c>
      <c r="CJ67" s="623">
        <v>435.6</v>
      </c>
      <c r="CK67" s="623">
        <v>449.1</v>
      </c>
      <c r="CL67" s="623">
        <v>452.4</v>
      </c>
      <c r="CM67" s="623">
        <v>473</v>
      </c>
      <c r="CN67" s="623">
        <v>473</v>
      </c>
      <c r="CO67" s="623">
        <v>478.5</v>
      </c>
      <c r="CP67" s="623">
        <v>478.5</v>
      </c>
      <c r="CQ67" s="659">
        <v>473.8</v>
      </c>
      <c r="CR67" s="660">
        <v>473.8</v>
      </c>
      <c r="CS67" s="623">
        <v>473.8</v>
      </c>
      <c r="CT67" s="623">
        <v>464.8</v>
      </c>
      <c r="CU67" s="623">
        <v>464.7</v>
      </c>
      <c r="CV67" s="623">
        <v>464.7</v>
      </c>
      <c r="CW67" s="623">
        <v>444.4</v>
      </c>
      <c r="CX67" s="623">
        <v>460</v>
      </c>
      <c r="CY67" s="623">
        <v>469</v>
      </c>
      <c r="CZ67" s="623">
        <v>477.3</v>
      </c>
      <c r="DA67" s="623">
        <v>485.6</v>
      </c>
      <c r="DB67" s="725">
        <v>497.4</v>
      </c>
      <c r="DC67" s="659">
        <v>476.2</v>
      </c>
      <c r="DD67" s="783">
        <v>470.6</v>
      </c>
      <c r="DE67" s="623">
        <v>489.4</v>
      </c>
      <c r="DF67" s="725">
        <v>500.5</v>
      </c>
      <c r="DG67" s="659">
        <v>500.5</v>
      </c>
      <c r="DH67" s="623">
        <v>508.4</v>
      </c>
      <c r="DI67" s="623">
        <v>523.20000000000005</v>
      </c>
      <c r="DJ67" s="623">
        <v>537.79999999999995</v>
      </c>
      <c r="DK67" s="659">
        <v>539.20000000000005</v>
      </c>
      <c r="DL67" s="897">
        <v>542.6</v>
      </c>
      <c r="DM67" s="110">
        <f t="shared" si="0"/>
        <v>1.0063056379821957</v>
      </c>
      <c r="DN67" s="110"/>
      <c r="DO67" s="110"/>
    </row>
    <row r="68" spans="1:119" s="112" customFormat="1" ht="21" customHeight="1">
      <c r="A68" s="109"/>
      <c r="B68" s="408">
        <v>48</v>
      </c>
      <c r="C68" s="621" t="s">
        <v>67</v>
      </c>
      <c r="D68" s="622" t="s">
        <v>68</v>
      </c>
      <c r="E68" s="621" t="s">
        <v>918</v>
      </c>
      <c r="F68" s="622"/>
      <c r="G68" s="621" t="s">
        <v>919</v>
      </c>
      <c r="H68" s="621" t="s">
        <v>920</v>
      </c>
      <c r="I68" s="390" t="s">
        <v>69</v>
      </c>
      <c r="J68" s="651"/>
      <c r="K68" s="669">
        <v>193.96</v>
      </c>
      <c r="L68" s="665">
        <v>228.37</v>
      </c>
      <c r="M68" s="625">
        <v>228.37</v>
      </c>
      <c r="N68" s="625">
        <v>247.77</v>
      </c>
      <c r="O68" s="625">
        <v>247.77</v>
      </c>
      <c r="P68" s="625">
        <v>275.08</v>
      </c>
      <c r="Q68" s="625">
        <v>287.57</v>
      </c>
      <c r="R68" s="625">
        <v>287.83999999999997</v>
      </c>
      <c r="S68" s="625">
        <v>287.83999999999997</v>
      </c>
      <c r="T68" s="625">
        <v>287.83999999999997</v>
      </c>
      <c r="U68" s="625">
        <v>287.89</v>
      </c>
      <c r="V68" s="625">
        <v>287.89</v>
      </c>
      <c r="W68" s="625">
        <v>287.89</v>
      </c>
      <c r="X68" s="625">
        <v>287.89</v>
      </c>
      <c r="Y68" s="625">
        <v>287.89</v>
      </c>
      <c r="Z68" s="625">
        <v>227.05</v>
      </c>
      <c r="AA68" s="625">
        <v>217.37</v>
      </c>
      <c r="AB68" s="625">
        <v>217.37</v>
      </c>
      <c r="AC68" s="625">
        <v>217.37</v>
      </c>
      <c r="AD68" s="625">
        <v>287.89</v>
      </c>
      <c r="AE68" s="625">
        <v>287.89</v>
      </c>
      <c r="AF68" s="625">
        <v>287.89</v>
      </c>
      <c r="AG68" s="625">
        <v>287.89</v>
      </c>
      <c r="AH68" s="625">
        <v>287.89</v>
      </c>
      <c r="AI68" s="764">
        <v>287.89</v>
      </c>
      <c r="AJ68" s="772">
        <v>287.89</v>
      </c>
      <c r="AK68" s="625">
        <v>287.89</v>
      </c>
      <c r="AL68" s="625">
        <v>287.89</v>
      </c>
      <c r="AM68" s="625">
        <v>287.89</v>
      </c>
      <c r="AN68" s="625">
        <v>287.89</v>
      </c>
      <c r="AO68" s="625">
        <v>287.89</v>
      </c>
      <c r="AP68" s="625">
        <v>287.89</v>
      </c>
      <c r="AQ68" s="625">
        <v>287.89</v>
      </c>
      <c r="AR68" s="625">
        <v>287.89</v>
      </c>
      <c r="AS68" s="625">
        <v>287.89</v>
      </c>
      <c r="AT68" s="625">
        <v>287.89</v>
      </c>
      <c r="AU68" s="764">
        <v>287.89</v>
      </c>
      <c r="AV68" s="752">
        <v>287.89</v>
      </c>
      <c r="AW68" s="626">
        <v>287.89</v>
      </c>
      <c r="AX68" s="626">
        <v>287.89</v>
      </c>
      <c r="AY68" s="626">
        <v>287.89</v>
      </c>
      <c r="AZ68" s="626">
        <v>287.89</v>
      </c>
      <c r="BA68" s="626">
        <v>238.49</v>
      </c>
      <c r="BB68" s="626">
        <v>238.49</v>
      </c>
      <c r="BC68" s="627">
        <v>238.49</v>
      </c>
      <c r="BD68" s="626">
        <v>238.49</v>
      </c>
      <c r="BE68" s="627">
        <v>238.49</v>
      </c>
      <c r="BF68" s="627">
        <v>230.06</v>
      </c>
      <c r="BG68" s="738">
        <v>284.27999999999997</v>
      </c>
      <c r="BH68" s="660">
        <v>284.27999999999997</v>
      </c>
      <c r="BI68" s="623">
        <v>294.20999999999998</v>
      </c>
      <c r="BJ68" s="623">
        <v>294.20999999999998</v>
      </c>
      <c r="BK68" s="623">
        <v>294.20999999999998</v>
      </c>
      <c r="BL68" s="623">
        <v>294.20999999999998</v>
      </c>
      <c r="BM68" s="623">
        <v>296.18</v>
      </c>
      <c r="BN68" s="623">
        <v>296.18</v>
      </c>
      <c r="BO68" s="623">
        <v>301.87</v>
      </c>
      <c r="BP68" s="623">
        <v>301.87</v>
      </c>
      <c r="BQ68" s="623">
        <v>301.87</v>
      </c>
      <c r="BR68" s="623">
        <v>301.87</v>
      </c>
      <c r="BS68" s="659">
        <v>299.54000000000002</v>
      </c>
      <c r="BT68" s="660">
        <v>300</v>
      </c>
      <c r="BU68" s="623">
        <v>302.33</v>
      </c>
      <c r="BV68" s="623">
        <v>303.64999999999998</v>
      </c>
      <c r="BW68" s="623">
        <v>303.64999999999998</v>
      </c>
      <c r="BX68" s="623">
        <v>303.64999999999998</v>
      </c>
      <c r="BY68" s="623">
        <v>307.77999999999997</v>
      </c>
      <c r="BZ68" s="623">
        <v>321.91000000000003</v>
      </c>
      <c r="CA68" s="623">
        <v>335.19</v>
      </c>
      <c r="CB68" s="623">
        <v>352.88</v>
      </c>
      <c r="CC68" s="623">
        <v>360.94</v>
      </c>
      <c r="CD68" s="623">
        <v>359.26</v>
      </c>
      <c r="CE68" s="659">
        <v>371.44</v>
      </c>
      <c r="CF68" s="660">
        <v>371.44</v>
      </c>
      <c r="CG68" s="623">
        <v>377.64</v>
      </c>
      <c r="CH68" s="623">
        <v>385.29</v>
      </c>
      <c r="CI68" s="623">
        <v>385.29</v>
      </c>
      <c r="CJ68" s="623">
        <v>385.29</v>
      </c>
      <c r="CK68" s="623">
        <v>391.65</v>
      </c>
      <c r="CL68" s="623">
        <v>391.05</v>
      </c>
      <c r="CM68" s="623">
        <v>391.05</v>
      </c>
      <c r="CN68" s="623">
        <v>399.53</v>
      </c>
      <c r="CO68" s="623">
        <v>418.11</v>
      </c>
      <c r="CP68" s="623">
        <v>418.1</v>
      </c>
      <c r="CQ68" s="659">
        <v>407.16</v>
      </c>
      <c r="CR68" s="660">
        <v>407.16</v>
      </c>
      <c r="CS68" s="623">
        <v>402.09</v>
      </c>
      <c r="CT68" s="623">
        <v>402.09</v>
      </c>
      <c r="CU68" s="623">
        <v>402.09</v>
      </c>
      <c r="CV68" s="623">
        <v>402.09</v>
      </c>
      <c r="CW68" s="623">
        <v>396.72</v>
      </c>
      <c r="CX68" s="623">
        <v>407.02</v>
      </c>
      <c r="CY68" s="623">
        <v>410.27</v>
      </c>
      <c r="CZ68" s="623">
        <v>415.87</v>
      </c>
      <c r="DA68" s="623">
        <v>415.87</v>
      </c>
      <c r="DB68" s="725">
        <v>415.87</v>
      </c>
      <c r="DC68" s="659">
        <v>415.87</v>
      </c>
      <c r="DD68" s="783">
        <v>433.94</v>
      </c>
      <c r="DE68" s="623">
        <v>448.57</v>
      </c>
      <c r="DF68" s="725">
        <v>470.59</v>
      </c>
      <c r="DG68" s="659">
        <v>470.59</v>
      </c>
      <c r="DH68" s="623">
        <v>470.59</v>
      </c>
      <c r="DI68" s="623">
        <v>470.59</v>
      </c>
      <c r="DJ68" s="623">
        <v>470.59</v>
      </c>
      <c r="DK68" s="659">
        <v>470.59</v>
      </c>
      <c r="DL68" s="897">
        <v>470.59</v>
      </c>
      <c r="DM68" s="110">
        <f t="shared" si="0"/>
        <v>1</v>
      </c>
      <c r="DN68" s="110"/>
      <c r="DO68" s="110"/>
    </row>
    <row r="69" spans="1:119" s="112" customFormat="1" ht="18.95" customHeight="1">
      <c r="A69" s="109"/>
      <c r="B69" s="408">
        <v>49</v>
      </c>
      <c r="C69" s="621" t="s">
        <v>70</v>
      </c>
      <c r="D69" s="622" t="s">
        <v>71</v>
      </c>
      <c r="E69" s="621" t="s">
        <v>918</v>
      </c>
      <c r="F69" s="622"/>
      <c r="G69" s="621" t="s">
        <v>929</v>
      </c>
      <c r="H69" s="621" t="s">
        <v>930</v>
      </c>
      <c r="I69" s="390" t="s">
        <v>72</v>
      </c>
      <c r="J69" s="651"/>
      <c r="K69" s="669">
        <v>99.3</v>
      </c>
      <c r="L69" s="665">
        <v>101.4</v>
      </c>
      <c r="M69" s="625">
        <v>105.4</v>
      </c>
      <c r="N69" s="625">
        <v>104.7</v>
      </c>
      <c r="O69" s="625">
        <v>113.1</v>
      </c>
      <c r="P69" s="625">
        <v>124.6</v>
      </c>
      <c r="Q69" s="625">
        <v>136.6</v>
      </c>
      <c r="R69" s="625">
        <v>146.19999999999999</v>
      </c>
      <c r="S69" s="625">
        <v>163</v>
      </c>
      <c r="T69" s="625">
        <v>177.9</v>
      </c>
      <c r="U69" s="625">
        <v>191.8</v>
      </c>
      <c r="V69" s="625">
        <v>197.2</v>
      </c>
      <c r="W69" s="625">
        <v>201.8</v>
      </c>
      <c r="X69" s="625">
        <v>201</v>
      </c>
      <c r="Y69" s="625">
        <v>202</v>
      </c>
      <c r="Z69" s="625">
        <v>200.6</v>
      </c>
      <c r="AA69" s="625">
        <v>202.6</v>
      </c>
      <c r="AB69" s="625">
        <v>202</v>
      </c>
      <c r="AC69" s="625">
        <v>204.7</v>
      </c>
      <c r="AD69" s="625">
        <v>204.9</v>
      </c>
      <c r="AE69" s="625">
        <v>205.2</v>
      </c>
      <c r="AF69" s="625">
        <v>207.7</v>
      </c>
      <c r="AG69" s="625">
        <v>208.2</v>
      </c>
      <c r="AH69" s="625">
        <v>209.6</v>
      </c>
      <c r="AI69" s="764">
        <v>208.9</v>
      </c>
      <c r="AJ69" s="772">
        <v>210.1</v>
      </c>
      <c r="AK69" s="625">
        <v>211.4</v>
      </c>
      <c r="AL69" s="625">
        <v>212.3</v>
      </c>
      <c r="AM69" s="625">
        <v>214.9</v>
      </c>
      <c r="AN69" s="625">
        <v>219.4</v>
      </c>
      <c r="AO69" s="625">
        <v>220.9</v>
      </c>
      <c r="AP69" s="625">
        <v>220.3</v>
      </c>
      <c r="AQ69" s="625">
        <v>220.3</v>
      </c>
      <c r="AR69" s="625">
        <v>220.3</v>
      </c>
      <c r="AS69" s="625">
        <v>219.4</v>
      </c>
      <c r="AT69" s="625">
        <v>217.8</v>
      </c>
      <c r="AU69" s="764">
        <v>218.6</v>
      </c>
      <c r="AV69" s="752">
        <v>219.5</v>
      </c>
      <c r="AW69" s="626">
        <v>219.3</v>
      </c>
      <c r="AX69" s="626">
        <v>220.7</v>
      </c>
      <c r="AY69" s="626">
        <v>220.7</v>
      </c>
      <c r="AZ69" s="626">
        <v>220.8</v>
      </c>
      <c r="BA69" s="626">
        <v>220.8</v>
      </c>
      <c r="BB69" s="626">
        <v>220.8</v>
      </c>
      <c r="BC69" s="627">
        <v>220.8</v>
      </c>
      <c r="BD69" s="626">
        <v>220.8</v>
      </c>
      <c r="BE69" s="627">
        <v>220.8</v>
      </c>
      <c r="BF69" s="627">
        <v>219.9</v>
      </c>
      <c r="BG69" s="738">
        <v>220.3</v>
      </c>
      <c r="BH69" s="660">
        <v>221</v>
      </c>
      <c r="BI69" s="623">
        <v>223.5</v>
      </c>
      <c r="BJ69" s="623">
        <v>223.5</v>
      </c>
      <c r="BK69" s="623">
        <v>228.1</v>
      </c>
      <c r="BL69" s="623">
        <v>234.6</v>
      </c>
      <c r="BM69" s="623">
        <v>235.2</v>
      </c>
      <c r="BN69" s="623">
        <v>236.4</v>
      </c>
      <c r="BO69" s="623">
        <v>236</v>
      </c>
      <c r="BP69" s="623">
        <v>236</v>
      </c>
      <c r="BQ69" s="623">
        <v>236.5</v>
      </c>
      <c r="BR69" s="623">
        <v>239.5</v>
      </c>
      <c r="BS69" s="659">
        <v>240.9</v>
      </c>
      <c r="BT69" s="660">
        <v>247.7</v>
      </c>
      <c r="BU69" s="623">
        <v>248.7</v>
      </c>
      <c r="BV69" s="623">
        <v>260.7</v>
      </c>
      <c r="BW69" s="623">
        <v>261.3</v>
      </c>
      <c r="BX69" s="623">
        <v>262.89999999999998</v>
      </c>
      <c r="BY69" s="623">
        <v>267</v>
      </c>
      <c r="BZ69" s="623">
        <v>272.2</v>
      </c>
      <c r="CA69" s="623">
        <v>278</v>
      </c>
      <c r="CB69" s="623">
        <v>278.60000000000002</v>
      </c>
      <c r="CC69" s="623">
        <v>283.5</v>
      </c>
      <c r="CD69" s="623">
        <v>287.60000000000002</v>
      </c>
      <c r="CE69" s="659">
        <v>292.3</v>
      </c>
      <c r="CF69" s="660">
        <v>299.8</v>
      </c>
      <c r="CG69" s="623">
        <v>300.7</v>
      </c>
      <c r="CH69" s="623">
        <v>300.10000000000002</v>
      </c>
      <c r="CI69" s="623">
        <v>308.7</v>
      </c>
      <c r="CJ69" s="623">
        <v>311.5</v>
      </c>
      <c r="CK69" s="623">
        <v>312.89999999999998</v>
      </c>
      <c r="CL69" s="623">
        <v>317.60000000000002</v>
      </c>
      <c r="CM69" s="623">
        <v>317.5</v>
      </c>
      <c r="CN69" s="623">
        <v>321.2</v>
      </c>
      <c r="CO69" s="623">
        <v>323.8</v>
      </c>
      <c r="CP69" s="623">
        <v>326.39999999999998</v>
      </c>
      <c r="CQ69" s="659">
        <v>327</v>
      </c>
      <c r="CR69" s="660">
        <v>333.9</v>
      </c>
      <c r="CS69" s="623">
        <v>334.9</v>
      </c>
      <c r="CT69" s="623">
        <v>334.9</v>
      </c>
      <c r="CU69" s="623">
        <v>339.5</v>
      </c>
      <c r="CV69" s="623">
        <v>341.5</v>
      </c>
      <c r="CW69" s="623">
        <v>343</v>
      </c>
      <c r="CX69" s="623">
        <v>343.6</v>
      </c>
      <c r="CY69" s="623">
        <v>351.8</v>
      </c>
      <c r="CZ69" s="623">
        <v>354.7</v>
      </c>
      <c r="DA69" s="623">
        <v>356.2</v>
      </c>
      <c r="DB69" s="725">
        <v>357.5</v>
      </c>
      <c r="DC69" s="659">
        <v>357.5</v>
      </c>
      <c r="DD69" s="783">
        <v>365</v>
      </c>
      <c r="DE69" s="623">
        <v>368</v>
      </c>
      <c r="DF69" s="725">
        <v>369.7</v>
      </c>
      <c r="DG69" s="659">
        <v>369.7</v>
      </c>
      <c r="DH69" s="623">
        <v>376.4</v>
      </c>
      <c r="DI69" s="623">
        <v>377.2</v>
      </c>
      <c r="DJ69" s="623">
        <v>381.8</v>
      </c>
      <c r="DK69" s="659">
        <v>386.6</v>
      </c>
      <c r="DL69" s="897">
        <v>390.3</v>
      </c>
      <c r="DM69" s="110">
        <f t="shared" si="0"/>
        <v>1.0095706156233832</v>
      </c>
      <c r="DN69" s="110"/>
      <c r="DO69" s="110"/>
    </row>
    <row r="70" spans="1:119" s="112" customFormat="1" ht="29.25" customHeight="1">
      <c r="A70" s="109"/>
      <c r="B70" s="408">
        <v>50</v>
      </c>
      <c r="C70" s="621" t="s">
        <v>73</v>
      </c>
      <c r="D70" s="622" t="s">
        <v>74</v>
      </c>
      <c r="E70" s="621" t="s">
        <v>918</v>
      </c>
      <c r="F70" s="622"/>
      <c r="G70" s="621" t="s">
        <v>919</v>
      </c>
      <c r="H70" s="621" t="s">
        <v>920</v>
      </c>
      <c r="I70" s="390" t="s">
        <v>123</v>
      </c>
      <c r="J70" s="651"/>
      <c r="K70" s="669">
        <v>111.68</v>
      </c>
      <c r="L70" s="665">
        <v>111.68</v>
      </c>
      <c r="M70" s="625">
        <v>121.73</v>
      </c>
      <c r="N70" s="625">
        <v>121.73</v>
      </c>
      <c r="O70" s="625">
        <v>133.53</v>
      </c>
      <c r="P70" s="625">
        <v>140.55000000000001</v>
      </c>
      <c r="Q70" s="625">
        <v>163</v>
      </c>
      <c r="R70" s="625">
        <v>178.53</v>
      </c>
      <c r="S70" s="625">
        <v>204.58</v>
      </c>
      <c r="T70" s="625">
        <v>227.23</v>
      </c>
      <c r="U70" s="625">
        <v>243.62</v>
      </c>
      <c r="V70" s="625">
        <v>255.83</v>
      </c>
      <c r="W70" s="625">
        <v>260.43</v>
      </c>
      <c r="X70" s="625">
        <v>263.58</v>
      </c>
      <c r="Y70" s="625">
        <v>263.48</v>
      </c>
      <c r="Z70" s="625">
        <v>263.48</v>
      </c>
      <c r="AA70" s="625">
        <v>263.48</v>
      </c>
      <c r="AB70" s="625">
        <v>263.92</v>
      </c>
      <c r="AC70" s="625">
        <v>264.07</v>
      </c>
      <c r="AD70" s="625">
        <v>267.77999999999997</v>
      </c>
      <c r="AE70" s="625">
        <v>268</v>
      </c>
      <c r="AF70" s="625">
        <v>268</v>
      </c>
      <c r="AG70" s="625">
        <v>268</v>
      </c>
      <c r="AH70" s="625">
        <v>268</v>
      </c>
      <c r="AI70" s="764">
        <v>268</v>
      </c>
      <c r="AJ70" s="772">
        <v>270.37</v>
      </c>
      <c r="AK70" s="625">
        <v>272.98</v>
      </c>
      <c r="AL70" s="625">
        <v>272.98</v>
      </c>
      <c r="AM70" s="625">
        <v>272.98</v>
      </c>
      <c r="AN70" s="625">
        <v>278.16000000000003</v>
      </c>
      <c r="AO70" s="625">
        <v>281.66000000000003</v>
      </c>
      <c r="AP70" s="625">
        <v>281.66000000000003</v>
      </c>
      <c r="AQ70" s="625">
        <v>281.66000000000003</v>
      </c>
      <c r="AR70" s="625">
        <v>281.66000000000003</v>
      </c>
      <c r="AS70" s="625">
        <v>281.66000000000003</v>
      </c>
      <c r="AT70" s="625">
        <v>281.89999999999998</v>
      </c>
      <c r="AU70" s="764">
        <v>281.89999999999998</v>
      </c>
      <c r="AV70" s="752">
        <v>281.89999999999998</v>
      </c>
      <c r="AW70" s="626">
        <v>281.89999999999998</v>
      </c>
      <c r="AX70" s="626">
        <v>281.89999999999998</v>
      </c>
      <c r="AY70" s="626">
        <v>282.2</v>
      </c>
      <c r="AZ70" s="626">
        <v>282.2</v>
      </c>
      <c r="BA70" s="626">
        <v>282.2</v>
      </c>
      <c r="BB70" s="626">
        <v>282.2</v>
      </c>
      <c r="BC70" s="627">
        <v>282.2</v>
      </c>
      <c r="BD70" s="626">
        <v>282.2</v>
      </c>
      <c r="BE70" s="627">
        <v>282.39999999999998</v>
      </c>
      <c r="BF70" s="627">
        <v>282.39999999999998</v>
      </c>
      <c r="BG70" s="738">
        <v>282.39999999999998</v>
      </c>
      <c r="BH70" s="660">
        <v>282.39999999999998</v>
      </c>
      <c r="BI70" s="623">
        <v>282.70999999999998</v>
      </c>
      <c r="BJ70" s="623">
        <v>277.11</v>
      </c>
      <c r="BK70" s="623">
        <v>290.88</v>
      </c>
      <c r="BL70" s="623">
        <v>290.88</v>
      </c>
      <c r="BM70" s="623">
        <v>291.08999999999997</v>
      </c>
      <c r="BN70" s="623">
        <v>291.08999999999997</v>
      </c>
      <c r="BO70" s="623">
        <v>291.08999999999997</v>
      </c>
      <c r="BP70" s="623">
        <v>291.08999999999997</v>
      </c>
      <c r="BQ70" s="623">
        <v>291.08999999999997</v>
      </c>
      <c r="BR70" s="623">
        <v>291.08999999999997</v>
      </c>
      <c r="BS70" s="659">
        <v>301.73</v>
      </c>
      <c r="BT70" s="660">
        <v>311.7</v>
      </c>
      <c r="BU70" s="623">
        <v>311.7</v>
      </c>
      <c r="BV70" s="623">
        <v>329.62</v>
      </c>
      <c r="BW70" s="623">
        <v>329.95</v>
      </c>
      <c r="BX70" s="623">
        <v>329.95</v>
      </c>
      <c r="BY70" s="623">
        <v>340.67</v>
      </c>
      <c r="BZ70" s="623">
        <v>340.75</v>
      </c>
      <c r="CA70" s="623">
        <v>347.52</v>
      </c>
      <c r="CB70" s="623">
        <v>347.98</v>
      </c>
      <c r="CC70" s="623">
        <v>347.98</v>
      </c>
      <c r="CD70" s="623">
        <v>364.08</v>
      </c>
      <c r="CE70" s="659">
        <v>365.3</v>
      </c>
      <c r="CF70" s="660">
        <v>381.68</v>
      </c>
      <c r="CG70" s="623">
        <v>381.68</v>
      </c>
      <c r="CH70" s="623">
        <v>381.68</v>
      </c>
      <c r="CI70" s="623">
        <v>393.83</v>
      </c>
      <c r="CJ70" s="623">
        <v>397.34</v>
      </c>
      <c r="CK70" s="623">
        <v>397.34</v>
      </c>
      <c r="CL70" s="623">
        <v>397.84</v>
      </c>
      <c r="CM70" s="623">
        <v>397.84</v>
      </c>
      <c r="CN70" s="623">
        <v>414.59</v>
      </c>
      <c r="CO70" s="623">
        <v>414.64</v>
      </c>
      <c r="CP70" s="623">
        <v>415.08</v>
      </c>
      <c r="CQ70" s="659">
        <v>414.9</v>
      </c>
      <c r="CR70" s="660">
        <v>431.23</v>
      </c>
      <c r="CS70" s="623">
        <v>431.69</v>
      </c>
      <c r="CT70" s="623">
        <v>431.69</v>
      </c>
      <c r="CU70" s="623">
        <v>438.31</v>
      </c>
      <c r="CV70" s="623">
        <v>440.51</v>
      </c>
      <c r="CW70" s="623">
        <v>440.51</v>
      </c>
      <c r="CX70" s="623">
        <v>440.51</v>
      </c>
      <c r="CY70" s="623">
        <v>449.06</v>
      </c>
      <c r="CZ70" s="623">
        <v>449.06</v>
      </c>
      <c r="DA70" s="623">
        <v>452.53</v>
      </c>
      <c r="DB70" s="725">
        <v>454.76</v>
      </c>
      <c r="DC70" s="659">
        <v>454.76</v>
      </c>
      <c r="DD70" s="783">
        <v>469.05</v>
      </c>
      <c r="DE70" s="623">
        <v>473.32</v>
      </c>
      <c r="DF70" s="725">
        <v>473.32</v>
      </c>
      <c r="DG70" s="659">
        <v>473.11</v>
      </c>
      <c r="DH70" s="623">
        <v>492.39</v>
      </c>
      <c r="DI70" s="623">
        <v>492.39</v>
      </c>
      <c r="DJ70" s="623">
        <v>492.39</v>
      </c>
      <c r="DK70" s="659">
        <v>493.11</v>
      </c>
      <c r="DL70" s="897">
        <v>493.11</v>
      </c>
      <c r="DM70" s="110">
        <f t="shared" si="0"/>
        <v>1</v>
      </c>
      <c r="DN70" s="110"/>
      <c r="DO70" s="110"/>
    </row>
    <row r="71" spans="1:119" s="112" customFormat="1" ht="18.95" customHeight="1">
      <c r="A71" s="109"/>
      <c r="B71" s="408">
        <v>51</v>
      </c>
      <c r="C71" s="621" t="s">
        <v>75</v>
      </c>
      <c r="D71" s="622" t="s">
        <v>77</v>
      </c>
      <c r="E71" s="621" t="s">
        <v>918</v>
      </c>
      <c r="F71" s="622"/>
      <c r="G71" s="621" t="s">
        <v>919</v>
      </c>
      <c r="H71" s="621" t="s">
        <v>920</v>
      </c>
      <c r="I71" s="390" t="s">
        <v>78</v>
      </c>
      <c r="J71" s="651"/>
      <c r="K71" s="669">
        <v>102.52</v>
      </c>
      <c r="L71" s="665">
        <v>110.58</v>
      </c>
      <c r="M71" s="625">
        <v>125.39</v>
      </c>
      <c r="N71" s="625">
        <v>130.07</v>
      </c>
      <c r="O71" s="625">
        <v>167.15</v>
      </c>
      <c r="P71" s="625">
        <v>193.81</v>
      </c>
      <c r="Q71" s="625">
        <v>222.23</v>
      </c>
      <c r="R71" s="625">
        <v>233.28</v>
      </c>
      <c r="S71" s="625">
        <v>244.94</v>
      </c>
      <c r="T71" s="625">
        <v>269.44</v>
      </c>
      <c r="U71" s="625">
        <v>269.44</v>
      </c>
      <c r="V71" s="625">
        <v>269.44</v>
      </c>
      <c r="W71" s="625">
        <v>253.25</v>
      </c>
      <c r="X71" s="625">
        <v>253.25</v>
      </c>
      <c r="Y71" s="625">
        <v>253.25</v>
      </c>
      <c r="Z71" s="625">
        <v>268.45</v>
      </c>
      <c r="AA71" s="625">
        <v>284.56</v>
      </c>
      <c r="AB71" s="625">
        <v>284.56</v>
      </c>
      <c r="AC71" s="625">
        <v>284.56</v>
      </c>
      <c r="AD71" s="625">
        <v>284.56</v>
      </c>
      <c r="AE71" s="625">
        <v>284.56</v>
      </c>
      <c r="AF71" s="625">
        <v>284.56</v>
      </c>
      <c r="AG71" s="625">
        <v>284.56</v>
      </c>
      <c r="AH71" s="625">
        <v>298.79000000000002</v>
      </c>
      <c r="AI71" s="764">
        <v>298.79000000000002</v>
      </c>
      <c r="AJ71" s="772">
        <v>329.38</v>
      </c>
      <c r="AK71" s="625">
        <v>349.14</v>
      </c>
      <c r="AL71" s="625">
        <v>367.87</v>
      </c>
      <c r="AM71" s="625">
        <v>367.87</v>
      </c>
      <c r="AN71" s="625">
        <v>389.97</v>
      </c>
      <c r="AO71" s="625">
        <v>405.54</v>
      </c>
      <c r="AP71" s="625">
        <v>405.54</v>
      </c>
      <c r="AQ71" s="625">
        <v>410.04</v>
      </c>
      <c r="AR71" s="625">
        <v>410.04</v>
      </c>
      <c r="AS71" s="625">
        <v>410.04</v>
      </c>
      <c r="AT71" s="625">
        <v>410.04</v>
      </c>
      <c r="AU71" s="764">
        <v>410.04</v>
      </c>
      <c r="AV71" s="752">
        <v>410.04</v>
      </c>
      <c r="AW71" s="626">
        <v>410.04</v>
      </c>
      <c r="AX71" s="626">
        <v>410.04</v>
      </c>
      <c r="AY71" s="626">
        <v>410.04</v>
      </c>
      <c r="AZ71" s="626">
        <v>410.04</v>
      </c>
      <c r="BA71" s="626">
        <v>410.1</v>
      </c>
      <c r="BB71" s="626">
        <v>410.04</v>
      </c>
      <c r="BC71" s="627">
        <v>410.04</v>
      </c>
      <c r="BD71" s="626">
        <v>410.04</v>
      </c>
      <c r="BE71" s="627">
        <v>410.04</v>
      </c>
      <c r="BF71" s="627">
        <v>410.04</v>
      </c>
      <c r="BG71" s="738">
        <v>410.04</v>
      </c>
      <c r="BH71" s="660">
        <v>410.04</v>
      </c>
      <c r="BI71" s="623">
        <v>410.04</v>
      </c>
      <c r="BJ71" s="623">
        <v>410.04</v>
      </c>
      <c r="BK71" s="623">
        <v>410.04</v>
      </c>
      <c r="BL71" s="623">
        <v>410.04</v>
      </c>
      <c r="BM71" s="623">
        <v>410.04</v>
      </c>
      <c r="BN71" s="623">
        <v>410.04</v>
      </c>
      <c r="BO71" s="623">
        <v>410.04</v>
      </c>
      <c r="BP71" s="623">
        <v>410.04</v>
      </c>
      <c r="BQ71" s="623">
        <v>410.04</v>
      </c>
      <c r="BR71" s="623">
        <v>410.04</v>
      </c>
      <c r="BS71" s="659">
        <v>410.04</v>
      </c>
      <c r="BT71" s="660">
        <v>413.65</v>
      </c>
      <c r="BU71" s="623">
        <v>413.65</v>
      </c>
      <c r="BV71" s="623">
        <v>419.02</v>
      </c>
      <c r="BW71" s="623">
        <v>431.7</v>
      </c>
      <c r="BX71" s="623">
        <v>444.97</v>
      </c>
      <c r="BY71" s="623">
        <v>444.97</v>
      </c>
      <c r="BZ71" s="623">
        <v>477.74</v>
      </c>
      <c r="CA71" s="623">
        <v>477.74</v>
      </c>
      <c r="CB71" s="623">
        <v>486.35</v>
      </c>
      <c r="CC71" s="623">
        <v>486.2</v>
      </c>
      <c r="CD71" s="623">
        <v>509.76</v>
      </c>
      <c r="CE71" s="659">
        <v>509.76</v>
      </c>
      <c r="CF71" s="660">
        <v>541.09</v>
      </c>
      <c r="CG71" s="623">
        <v>538.76</v>
      </c>
      <c r="CH71" s="623">
        <v>541.09</v>
      </c>
      <c r="CI71" s="623">
        <v>546.23</v>
      </c>
      <c r="CJ71" s="623">
        <v>546.23</v>
      </c>
      <c r="CK71" s="623">
        <v>551.5</v>
      </c>
      <c r="CL71" s="623">
        <v>583.35</v>
      </c>
      <c r="CM71" s="623">
        <v>588.64</v>
      </c>
      <c r="CN71" s="623">
        <v>608.64</v>
      </c>
      <c r="CO71" s="623">
        <v>608.64</v>
      </c>
      <c r="CP71" s="623">
        <v>574.54</v>
      </c>
      <c r="CQ71" s="659">
        <v>614.07000000000005</v>
      </c>
      <c r="CR71" s="660">
        <v>614.07000000000005</v>
      </c>
      <c r="CS71" s="623">
        <v>581.99</v>
      </c>
      <c r="CT71" s="623">
        <v>578.9</v>
      </c>
      <c r="CU71" s="623">
        <v>580.87</v>
      </c>
      <c r="CV71" s="623">
        <v>580.87</v>
      </c>
      <c r="CW71" s="623">
        <v>584.52</v>
      </c>
      <c r="CX71" s="623">
        <v>584.52</v>
      </c>
      <c r="CY71" s="623">
        <v>584.52</v>
      </c>
      <c r="CZ71" s="623">
        <v>610.64</v>
      </c>
      <c r="DA71" s="623">
        <v>639.76</v>
      </c>
      <c r="DB71" s="725">
        <v>639.76</v>
      </c>
      <c r="DC71" s="659">
        <v>648.42999999999995</v>
      </c>
      <c r="DD71" s="783">
        <v>653.44000000000005</v>
      </c>
      <c r="DE71" s="623">
        <v>662.37</v>
      </c>
      <c r="DF71" s="725">
        <v>675.76</v>
      </c>
      <c r="DG71" s="659">
        <v>682.04</v>
      </c>
      <c r="DH71" s="623">
        <v>687.16</v>
      </c>
      <c r="DI71" s="623">
        <v>686.92</v>
      </c>
      <c r="DJ71" s="623">
        <v>686.92</v>
      </c>
      <c r="DK71" s="659">
        <v>699.31</v>
      </c>
      <c r="DL71" s="897">
        <v>701.16</v>
      </c>
      <c r="DM71" s="110">
        <f t="shared" si="0"/>
        <v>1.002645464815318</v>
      </c>
      <c r="DN71" s="110"/>
      <c r="DO71" s="110"/>
    </row>
    <row r="72" spans="1:119" s="112" customFormat="1" ht="22.5" customHeight="1">
      <c r="A72" s="109"/>
      <c r="B72" s="408">
        <v>52</v>
      </c>
      <c r="C72" s="621" t="s">
        <v>79</v>
      </c>
      <c r="D72" s="622" t="s">
        <v>80</v>
      </c>
      <c r="E72" s="621" t="s">
        <v>918</v>
      </c>
      <c r="F72" s="622"/>
      <c r="G72" s="621" t="s">
        <v>919</v>
      </c>
      <c r="H72" s="621" t="s">
        <v>920</v>
      </c>
      <c r="I72" s="390" t="s">
        <v>686</v>
      </c>
      <c r="J72" s="651"/>
      <c r="K72" s="669">
        <v>86.93</v>
      </c>
      <c r="L72" s="665">
        <v>93.44</v>
      </c>
      <c r="M72" s="625">
        <v>123.93</v>
      </c>
      <c r="N72" s="625">
        <v>166.39</v>
      </c>
      <c r="O72" s="625">
        <v>190.33</v>
      </c>
      <c r="P72" s="625">
        <v>214.93</v>
      </c>
      <c r="Q72" s="625">
        <v>227.32</v>
      </c>
      <c r="R72" s="625">
        <v>226.54</v>
      </c>
      <c r="S72" s="625">
        <v>232.68</v>
      </c>
      <c r="T72" s="625">
        <v>236.66</v>
      </c>
      <c r="U72" s="625">
        <v>236.25</v>
      </c>
      <c r="V72" s="625">
        <v>232.88</v>
      </c>
      <c r="W72" s="625">
        <v>231.12</v>
      </c>
      <c r="X72" s="625">
        <v>222.43</v>
      </c>
      <c r="Y72" s="625">
        <v>216.17</v>
      </c>
      <c r="Z72" s="625">
        <v>223.44</v>
      </c>
      <c r="AA72" s="625">
        <v>213.4</v>
      </c>
      <c r="AB72" s="625">
        <v>214.26</v>
      </c>
      <c r="AC72" s="625">
        <v>217.36</v>
      </c>
      <c r="AD72" s="625">
        <v>220.4</v>
      </c>
      <c r="AE72" s="625">
        <v>228.19</v>
      </c>
      <c r="AF72" s="625">
        <v>230.74</v>
      </c>
      <c r="AG72" s="625">
        <v>230.2</v>
      </c>
      <c r="AH72" s="625">
        <v>240.05</v>
      </c>
      <c r="AI72" s="764">
        <v>249.76</v>
      </c>
      <c r="AJ72" s="772">
        <v>264.72000000000003</v>
      </c>
      <c r="AK72" s="625">
        <v>290.31</v>
      </c>
      <c r="AL72" s="625">
        <v>298.33</v>
      </c>
      <c r="AM72" s="625">
        <v>300.47000000000003</v>
      </c>
      <c r="AN72" s="625">
        <v>306.38</v>
      </c>
      <c r="AO72" s="625">
        <v>327.43</v>
      </c>
      <c r="AP72" s="625">
        <v>326.04000000000002</v>
      </c>
      <c r="AQ72" s="625">
        <v>333.18</v>
      </c>
      <c r="AR72" s="625">
        <v>330.57</v>
      </c>
      <c r="AS72" s="625">
        <v>346.59</v>
      </c>
      <c r="AT72" s="625">
        <v>359.88</v>
      </c>
      <c r="AU72" s="764">
        <v>370.77</v>
      </c>
      <c r="AV72" s="752">
        <v>374.2</v>
      </c>
      <c r="AW72" s="626">
        <v>370.3</v>
      </c>
      <c r="AX72" s="626">
        <v>386.9</v>
      </c>
      <c r="AY72" s="626">
        <v>396.55</v>
      </c>
      <c r="AZ72" s="626">
        <v>394.8</v>
      </c>
      <c r="BA72" s="626">
        <v>390.28</v>
      </c>
      <c r="BB72" s="626">
        <v>391.02</v>
      </c>
      <c r="BC72" s="627">
        <v>401.14</v>
      </c>
      <c r="BD72" s="626">
        <v>411.94</v>
      </c>
      <c r="BE72" s="627">
        <v>420.95</v>
      </c>
      <c r="BF72" s="627">
        <v>443.25</v>
      </c>
      <c r="BG72" s="738">
        <v>459.03</v>
      </c>
      <c r="BH72" s="660">
        <v>474.97</v>
      </c>
      <c r="BI72" s="623">
        <v>496.8</v>
      </c>
      <c r="BJ72" s="623">
        <v>508.55</v>
      </c>
      <c r="BK72" s="623">
        <v>560.79999999999995</v>
      </c>
      <c r="BL72" s="623">
        <v>687.66</v>
      </c>
      <c r="BM72" s="623">
        <v>709.96</v>
      </c>
      <c r="BN72" s="623">
        <v>695.35</v>
      </c>
      <c r="BO72" s="623">
        <v>762.65</v>
      </c>
      <c r="BP72" s="623">
        <v>759.74</v>
      </c>
      <c r="BQ72" s="623">
        <v>759.93</v>
      </c>
      <c r="BR72" s="623">
        <v>733.59</v>
      </c>
      <c r="BS72" s="659">
        <v>723.45</v>
      </c>
      <c r="BT72" s="660">
        <v>687.56</v>
      </c>
      <c r="BU72" s="623">
        <v>662.98</v>
      </c>
      <c r="BV72" s="623">
        <v>642.83000000000004</v>
      </c>
      <c r="BW72" s="623">
        <v>718.13</v>
      </c>
      <c r="BX72" s="623">
        <v>732.15</v>
      </c>
      <c r="BY72" s="623">
        <v>730.25</v>
      </c>
      <c r="BZ72" s="623">
        <v>730.63</v>
      </c>
      <c r="CA72" s="623">
        <v>754.75</v>
      </c>
      <c r="CB72" s="623">
        <v>750.46</v>
      </c>
      <c r="CC72" s="623">
        <v>758.71</v>
      </c>
      <c r="CD72" s="623">
        <v>756.09</v>
      </c>
      <c r="CE72" s="659">
        <v>740.69</v>
      </c>
      <c r="CF72" s="660">
        <v>736.16</v>
      </c>
      <c r="CG72" s="623">
        <v>739.78</v>
      </c>
      <c r="CH72" s="623">
        <v>755.17</v>
      </c>
      <c r="CI72" s="623">
        <v>775.32</v>
      </c>
      <c r="CJ72" s="623">
        <v>819.09</v>
      </c>
      <c r="CK72" s="623">
        <v>806.21</v>
      </c>
      <c r="CL72" s="623">
        <v>795.56</v>
      </c>
      <c r="CM72" s="623">
        <v>785.66</v>
      </c>
      <c r="CN72" s="623">
        <v>778.81</v>
      </c>
      <c r="CO72" s="623">
        <v>783.12</v>
      </c>
      <c r="CP72" s="623">
        <v>676.5</v>
      </c>
      <c r="CQ72" s="659">
        <v>665.01</v>
      </c>
      <c r="CR72" s="660">
        <v>654.33000000000004</v>
      </c>
      <c r="CS72" s="623">
        <v>620.82000000000005</v>
      </c>
      <c r="CT72" s="623">
        <v>621.47</v>
      </c>
      <c r="CU72" s="623">
        <v>640.94000000000005</v>
      </c>
      <c r="CV72" s="623">
        <v>644.36</v>
      </c>
      <c r="CW72" s="623">
        <v>654.97</v>
      </c>
      <c r="CX72" s="623">
        <v>672.36</v>
      </c>
      <c r="CY72" s="623">
        <v>693.96</v>
      </c>
      <c r="CZ72" s="623">
        <v>698.67</v>
      </c>
      <c r="DA72" s="623">
        <v>729.14</v>
      </c>
      <c r="DB72" s="725">
        <v>741.52</v>
      </c>
      <c r="DC72" s="659">
        <v>758.48</v>
      </c>
      <c r="DD72" s="783">
        <v>806.37</v>
      </c>
      <c r="DE72" s="623">
        <v>825.95</v>
      </c>
      <c r="DF72" s="725">
        <v>830.92</v>
      </c>
      <c r="DG72" s="659">
        <v>843.26</v>
      </c>
      <c r="DH72" s="623">
        <v>805.84</v>
      </c>
      <c r="DI72" s="623">
        <v>792.03</v>
      </c>
      <c r="DJ72" s="623">
        <v>784.55</v>
      </c>
      <c r="DK72" s="659">
        <v>790.67</v>
      </c>
      <c r="DL72" s="897">
        <v>805.92</v>
      </c>
      <c r="DM72" s="110">
        <f t="shared" si="0"/>
        <v>1.0192874397662741</v>
      </c>
      <c r="DN72" s="110"/>
      <c r="DO72" s="110"/>
    </row>
    <row r="73" spans="1:119" s="115" customFormat="1" ht="31.5" customHeight="1">
      <c r="A73" s="114"/>
      <c r="B73" s="408">
        <v>53</v>
      </c>
      <c r="C73" s="632" t="s">
        <v>81</v>
      </c>
      <c r="D73" s="622" t="s">
        <v>82</v>
      </c>
      <c r="E73" s="621" t="s">
        <v>918</v>
      </c>
      <c r="F73" s="622"/>
      <c r="G73" s="621" t="s">
        <v>515</v>
      </c>
      <c r="H73" s="621"/>
      <c r="I73" s="390" t="s">
        <v>122</v>
      </c>
      <c r="J73" s="676" t="s">
        <v>448</v>
      </c>
      <c r="K73" s="669">
        <v>100</v>
      </c>
      <c r="L73" s="665">
        <v>133</v>
      </c>
      <c r="M73" s="625">
        <v>167</v>
      </c>
      <c r="N73" s="625">
        <v>209</v>
      </c>
      <c r="O73" s="625">
        <v>229</v>
      </c>
      <c r="P73" s="625">
        <v>273</v>
      </c>
      <c r="Q73" s="625">
        <v>285</v>
      </c>
      <c r="R73" s="625">
        <v>285</v>
      </c>
      <c r="S73" s="625">
        <v>279</v>
      </c>
      <c r="T73" s="625">
        <v>285</v>
      </c>
      <c r="U73" s="625">
        <v>275</v>
      </c>
      <c r="V73" s="625">
        <v>277</v>
      </c>
      <c r="W73" s="625">
        <v>272</v>
      </c>
      <c r="X73" s="625">
        <v>267</v>
      </c>
      <c r="Y73" s="625">
        <v>256</v>
      </c>
      <c r="Z73" s="625">
        <v>250</v>
      </c>
      <c r="AA73" s="625">
        <v>245</v>
      </c>
      <c r="AB73" s="625">
        <v>241</v>
      </c>
      <c r="AC73" s="625">
        <v>238</v>
      </c>
      <c r="AD73" s="625">
        <v>238</v>
      </c>
      <c r="AE73" s="625">
        <v>276</v>
      </c>
      <c r="AF73" s="625">
        <v>276</v>
      </c>
      <c r="AG73" s="625">
        <v>276</v>
      </c>
      <c r="AH73" s="625">
        <v>251</v>
      </c>
      <c r="AI73" s="764">
        <v>253</v>
      </c>
      <c r="AJ73" s="772">
        <v>280</v>
      </c>
      <c r="AK73" s="625">
        <v>285</v>
      </c>
      <c r="AL73" s="625">
        <v>252.8</v>
      </c>
      <c r="AM73" s="625">
        <v>245.5</v>
      </c>
      <c r="AN73" s="625">
        <v>258.8</v>
      </c>
      <c r="AO73" s="625">
        <v>268.8</v>
      </c>
      <c r="AP73" s="625">
        <v>276.3</v>
      </c>
      <c r="AQ73" s="625">
        <v>280</v>
      </c>
      <c r="AR73" s="625">
        <v>282.5</v>
      </c>
      <c r="AS73" s="625">
        <v>282.5</v>
      </c>
      <c r="AT73" s="625">
        <v>283.3</v>
      </c>
      <c r="AU73" s="764">
        <v>283.8</v>
      </c>
      <c r="AV73" s="752">
        <v>286.8</v>
      </c>
      <c r="AW73" s="626">
        <v>285.8</v>
      </c>
      <c r="AX73" s="626">
        <v>289.3</v>
      </c>
      <c r="AY73" s="626">
        <v>286</v>
      </c>
      <c r="AZ73" s="626">
        <v>281.7</v>
      </c>
      <c r="BA73" s="626">
        <v>286.8</v>
      </c>
      <c r="BB73" s="626">
        <v>286.8</v>
      </c>
      <c r="BC73" s="627">
        <v>327.3</v>
      </c>
      <c r="BD73" s="626">
        <v>331.9</v>
      </c>
      <c r="BE73" s="627">
        <v>296.8</v>
      </c>
      <c r="BF73" s="627">
        <v>332.1</v>
      </c>
      <c r="BG73" s="738">
        <v>332.1</v>
      </c>
      <c r="BH73" s="660">
        <v>397.8</v>
      </c>
      <c r="BI73" s="623">
        <v>319.2</v>
      </c>
      <c r="BJ73" s="623">
        <v>326.60000000000002</v>
      </c>
      <c r="BK73" s="623">
        <v>406.3</v>
      </c>
      <c r="BL73" s="623">
        <v>468</v>
      </c>
      <c r="BM73" s="623">
        <v>477.3</v>
      </c>
      <c r="BN73" s="623">
        <v>477.3</v>
      </c>
      <c r="BO73" s="623">
        <v>487</v>
      </c>
      <c r="BP73" s="623">
        <v>488</v>
      </c>
      <c r="BQ73" s="623">
        <v>488</v>
      </c>
      <c r="BR73" s="623">
        <v>488</v>
      </c>
      <c r="BS73" s="659">
        <v>488</v>
      </c>
      <c r="BT73" s="660">
        <v>488</v>
      </c>
      <c r="BU73" s="623">
        <v>488</v>
      </c>
      <c r="BV73" s="623">
        <v>488</v>
      </c>
      <c r="BW73" s="623">
        <v>487.85399999999998</v>
      </c>
      <c r="BX73" s="623">
        <v>493.02600000000001</v>
      </c>
      <c r="BY73" s="623">
        <v>511.03399999999999</v>
      </c>
      <c r="BZ73" s="623">
        <v>514.88900000000001</v>
      </c>
      <c r="CA73" s="623">
        <v>532.26199999999994</v>
      </c>
      <c r="CB73" s="623">
        <v>539.43499999999995</v>
      </c>
      <c r="CC73" s="623">
        <v>548.21900000000005</v>
      </c>
      <c r="CD73" s="623">
        <v>548.21900000000005</v>
      </c>
      <c r="CE73" s="659">
        <f>+'ANEXO I CADIEEL'!CE10</f>
        <v>558.80880000000002</v>
      </c>
      <c r="CF73" s="660">
        <f>+'ANEXO I CADIEEL'!CF10</f>
        <v>576.62080000000003</v>
      </c>
      <c r="CG73" s="623">
        <f>+'ANEXO I CADIEEL'!CG10</f>
        <v>582.57439999999997</v>
      </c>
      <c r="CH73" s="623">
        <f>'ANEXO I CADIEEL'!CH10</f>
        <v>588.47919999999999</v>
      </c>
      <c r="CI73" s="623">
        <f>'ANEXO I CADIEEL'!CI10</f>
        <v>604.7296</v>
      </c>
      <c r="CJ73" s="623">
        <f>'ANEXO I CADIEEL'!CJ10</f>
        <v>610.48799999999994</v>
      </c>
      <c r="CK73" s="623">
        <f>'ANEXO I CADIEEL'!CK10</f>
        <v>620.24799999999993</v>
      </c>
      <c r="CL73" s="623">
        <f>'ANEXO I CADIEEL'!CL10</f>
        <v>620.88239999999996</v>
      </c>
      <c r="CM73" s="623">
        <f>'ANEXO I CADIEEL'!CM10</f>
        <v>634.79040000000009</v>
      </c>
      <c r="CN73" s="623">
        <f>'ANEXO I CADIEEL'!CN10</f>
        <v>637.18159999999989</v>
      </c>
      <c r="CO73" s="623">
        <f>'ANEXO I CADIEEL'!CO10</f>
        <v>637.18159999999989</v>
      </c>
      <c r="CP73" s="623">
        <f>+CO73</f>
        <v>637.18159999999989</v>
      </c>
      <c r="CQ73" s="659">
        <f>'ANEXO I CADIEEL'!CQ10</f>
        <v>659.72719999999993</v>
      </c>
      <c r="CR73" s="660">
        <f>'ANEXO I CADIEEL'!CR10</f>
        <v>659.72719999999993</v>
      </c>
      <c r="CS73" s="623">
        <f>'ANEXO I CADIEEL'!CS10</f>
        <v>661.19119999999998</v>
      </c>
      <c r="CT73" s="740" t="s">
        <v>524</v>
      </c>
      <c r="CU73" s="740" t="s">
        <v>524</v>
      </c>
      <c r="CV73" s="740" t="s">
        <v>524</v>
      </c>
      <c r="CW73" s="740" t="s">
        <v>524</v>
      </c>
      <c r="CX73" s="740" t="s">
        <v>524</v>
      </c>
      <c r="CY73" s="740" t="s">
        <v>524</v>
      </c>
      <c r="CZ73" s="740" t="s">
        <v>524</v>
      </c>
      <c r="DA73" s="740" t="s">
        <v>524</v>
      </c>
      <c r="DB73" s="740" t="s">
        <v>524</v>
      </c>
      <c r="DC73" s="777" t="s">
        <v>524</v>
      </c>
      <c r="DD73" s="785" t="s">
        <v>524</v>
      </c>
      <c r="DE73" s="740" t="s">
        <v>524</v>
      </c>
      <c r="DF73" s="797" t="s">
        <v>524</v>
      </c>
      <c r="DG73" s="777" t="s">
        <v>524</v>
      </c>
      <c r="DH73" s="740" t="s">
        <v>524</v>
      </c>
      <c r="DI73" s="740" t="s">
        <v>524</v>
      </c>
      <c r="DJ73" s="740" t="s">
        <v>524</v>
      </c>
      <c r="DK73" s="777" t="s">
        <v>524</v>
      </c>
      <c r="DL73" s="898" t="s">
        <v>524</v>
      </c>
      <c r="DM73" s="110"/>
      <c r="DN73" s="110"/>
      <c r="DO73" s="110"/>
    </row>
    <row r="74" spans="1:119" s="115" customFormat="1" ht="18.95" customHeight="1">
      <c r="A74" s="114"/>
      <c r="B74" s="408">
        <v>54</v>
      </c>
      <c r="C74" s="621" t="s">
        <v>84</v>
      </c>
      <c r="D74" s="622" t="s">
        <v>85</v>
      </c>
      <c r="E74" s="621" t="s">
        <v>918</v>
      </c>
      <c r="F74" s="622"/>
      <c r="G74" s="621" t="s">
        <v>929</v>
      </c>
      <c r="H74" s="621" t="s">
        <v>930</v>
      </c>
      <c r="I74" s="390" t="s">
        <v>921</v>
      </c>
      <c r="J74" s="651"/>
      <c r="K74" s="669">
        <v>105</v>
      </c>
      <c r="L74" s="665">
        <v>119</v>
      </c>
      <c r="M74" s="625">
        <v>144.5</v>
      </c>
      <c r="N74" s="625">
        <v>162.80000000000001</v>
      </c>
      <c r="O74" s="625">
        <v>173.1</v>
      </c>
      <c r="P74" s="625">
        <v>196.2</v>
      </c>
      <c r="Q74" s="625">
        <v>223.8</v>
      </c>
      <c r="R74" s="625">
        <v>227.4</v>
      </c>
      <c r="S74" s="625">
        <v>221.7</v>
      </c>
      <c r="T74" s="625">
        <v>221.7</v>
      </c>
      <c r="U74" s="625">
        <v>223.8</v>
      </c>
      <c r="V74" s="625">
        <v>223.8</v>
      </c>
      <c r="W74" s="625">
        <v>223.8</v>
      </c>
      <c r="X74" s="625">
        <v>222.6</v>
      </c>
      <c r="Y74" s="625">
        <v>222.6</v>
      </c>
      <c r="Z74" s="625">
        <v>212.7</v>
      </c>
      <c r="AA74" s="625">
        <v>212.7</v>
      </c>
      <c r="AB74" s="625">
        <v>212.7</v>
      </c>
      <c r="AC74" s="625">
        <v>212.7</v>
      </c>
      <c r="AD74" s="625">
        <v>212.7</v>
      </c>
      <c r="AE74" s="625">
        <v>213.9</v>
      </c>
      <c r="AF74" s="625">
        <v>213.9</v>
      </c>
      <c r="AG74" s="625">
        <v>213.9</v>
      </c>
      <c r="AH74" s="625">
        <v>211.4</v>
      </c>
      <c r="AI74" s="764">
        <v>212.6</v>
      </c>
      <c r="AJ74" s="772">
        <v>212.6</v>
      </c>
      <c r="AK74" s="625">
        <v>212.6</v>
      </c>
      <c r="AL74" s="625">
        <v>217.1</v>
      </c>
      <c r="AM74" s="625">
        <v>217.1</v>
      </c>
      <c r="AN74" s="625">
        <v>219.9</v>
      </c>
      <c r="AO74" s="625">
        <v>219.9</v>
      </c>
      <c r="AP74" s="625">
        <v>221.8</v>
      </c>
      <c r="AQ74" s="625">
        <v>228.2</v>
      </c>
      <c r="AR74" s="625">
        <v>227.8</v>
      </c>
      <c r="AS74" s="625">
        <v>227.8</v>
      </c>
      <c r="AT74" s="625">
        <v>230.6</v>
      </c>
      <c r="AU74" s="764">
        <v>230.6</v>
      </c>
      <c r="AV74" s="752">
        <v>237.4</v>
      </c>
      <c r="AW74" s="626">
        <v>243.1</v>
      </c>
      <c r="AX74" s="626">
        <v>250.9</v>
      </c>
      <c r="AY74" s="626">
        <v>250.9</v>
      </c>
      <c r="AZ74" s="626">
        <v>250.9</v>
      </c>
      <c r="BA74" s="626">
        <v>250.9</v>
      </c>
      <c r="BB74" s="626">
        <v>250.9</v>
      </c>
      <c r="BC74" s="627">
        <v>250.9</v>
      </c>
      <c r="BD74" s="626">
        <v>250.9</v>
      </c>
      <c r="BE74" s="627">
        <v>305.88</v>
      </c>
      <c r="BF74" s="627">
        <v>271.60000000000002</v>
      </c>
      <c r="BG74" s="738">
        <v>274.10000000000002</v>
      </c>
      <c r="BH74" s="660">
        <v>274.39999999999998</v>
      </c>
      <c r="BI74" s="623">
        <v>277.10000000000002</v>
      </c>
      <c r="BJ74" s="623">
        <v>298.8</v>
      </c>
      <c r="BK74" s="623">
        <v>300.3</v>
      </c>
      <c r="BL74" s="623">
        <v>303</v>
      </c>
      <c r="BM74" s="623">
        <v>303</v>
      </c>
      <c r="BN74" s="623">
        <v>303</v>
      </c>
      <c r="BO74" s="623">
        <v>303</v>
      </c>
      <c r="BP74" s="623">
        <v>315.89999999999998</v>
      </c>
      <c r="BQ74" s="623">
        <v>315.89999999999998</v>
      </c>
      <c r="BR74" s="623">
        <v>316.8</v>
      </c>
      <c r="BS74" s="659">
        <v>316.8</v>
      </c>
      <c r="BT74" s="660">
        <v>320.2</v>
      </c>
      <c r="BU74" s="623">
        <v>322.8</v>
      </c>
      <c r="BV74" s="623">
        <v>327.7</v>
      </c>
      <c r="BW74" s="623">
        <v>332.2</v>
      </c>
      <c r="BX74" s="623">
        <v>332.2</v>
      </c>
      <c r="BY74" s="623">
        <v>342.7</v>
      </c>
      <c r="BZ74" s="623">
        <v>345.7</v>
      </c>
      <c r="CA74" s="623">
        <v>352.9</v>
      </c>
      <c r="CB74" s="623">
        <v>364</v>
      </c>
      <c r="CC74" s="623">
        <v>364</v>
      </c>
      <c r="CD74" s="623">
        <v>373.9</v>
      </c>
      <c r="CE74" s="659">
        <v>381.5</v>
      </c>
      <c r="CF74" s="660">
        <v>381.5</v>
      </c>
      <c r="CG74" s="623">
        <v>391.5</v>
      </c>
      <c r="CH74" s="623">
        <v>377.4</v>
      </c>
      <c r="CI74" s="623">
        <v>377.4</v>
      </c>
      <c r="CJ74" s="623">
        <v>377.4</v>
      </c>
      <c r="CK74" s="623">
        <v>377.4</v>
      </c>
      <c r="CL74" s="623">
        <v>377.4</v>
      </c>
      <c r="CM74" s="623">
        <v>377.4</v>
      </c>
      <c r="CN74" s="623">
        <v>379.8</v>
      </c>
      <c r="CO74" s="623">
        <v>379.8</v>
      </c>
      <c r="CP74" s="623">
        <v>379.8</v>
      </c>
      <c r="CQ74" s="659">
        <v>379.8</v>
      </c>
      <c r="CR74" s="660">
        <v>379.8</v>
      </c>
      <c r="CS74" s="623">
        <v>379.8</v>
      </c>
      <c r="CT74" s="623">
        <v>379.8</v>
      </c>
      <c r="CU74" s="623">
        <v>379.8</v>
      </c>
      <c r="CV74" s="623">
        <v>379.8</v>
      </c>
      <c r="CW74" s="623">
        <v>379.8</v>
      </c>
      <c r="CX74" s="623">
        <v>379.8</v>
      </c>
      <c r="CY74" s="623">
        <v>379.8</v>
      </c>
      <c r="CZ74" s="623">
        <v>379.8</v>
      </c>
      <c r="DA74" s="623">
        <v>385.1</v>
      </c>
      <c r="DB74" s="725">
        <v>385.1</v>
      </c>
      <c r="DC74" s="659">
        <v>385.1</v>
      </c>
      <c r="DD74" s="783">
        <v>388.6</v>
      </c>
      <c r="DE74" s="623">
        <v>388.6</v>
      </c>
      <c r="DF74" s="725">
        <v>388.6</v>
      </c>
      <c r="DG74" s="659">
        <v>402.7</v>
      </c>
      <c r="DH74" s="623">
        <v>402.7</v>
      </c>
      <c r="DI74" s="623">
        <v>402.7</v>
      </c>
      <c r="DJ74" s="623">
        <v>402.7</v>
      </c>
      <c r="DK74" s="659">
        <v>402.7</v>
      </c>
      <c r="DL74" s="897">
        <v>402.7</v>
      </c>
      <c r="DM74" s="110">
        <f t="shared" si="0"/>
        <v>1</v>
      </c>
      <c r="DN74" s="110"/>
      <c r="DO74" s="110"/>
    </row>
    <row r="75" spans="1:119" s="115" customFormat="1" ht="18.95" customHeight="1">
      <c r="A75" s="114"/>
      <c r="B75" s="408">
        <v>55</v>
      </c>
      <c r="C75" s="621" t="s">
        <v>86</v>
      </c>
      <c r="D75" s="622" t="s">
        <v>97</v>
      </c>
      <c r="E75" s="621" t="s">
        <v>918</v>
      </c>
      <c r="F75" s="622"/>
      <c r="G75" s="621" t="s">
        <v>929</v>
      </c>
      <c r="H75" s="621" t="s">
        <v>930</v>
      </c>
      <c r="I75" s="390" t="s">
        <v>921</v>
      </c>
      <c r="J75" s="651"/>
      <c r="K75" s="669">
        <v>98.4</v>
      </c>
      <c r="L75" s="665">
        <v>105</v>
      </c>
      <c r="M75" s="625">
        <v>126</v>
      </c>
      <c r="N75" s="625">
        <v>129.80000000000001</v>
      </c>
      <c r="O75" s="625">
        <v>140.4</v>
      </c>
      <c r="P75" s="625">
        <v>162.6</v>
      </c>
      <c r="Q75" s="625">
        <v>165.8</v>
      </c>
      <c r="R75" s="625">
        <v>166.4</v>
      </c>
      <c r="S75" s="625">
        <v>162.9</v>
      </c>
      <c r="T75" s="625">
        <v>161.5</v>
      </c>
      <c r="U75" s="625">
        <v>163.9</v>
      </c>
      <c r="V75" s="625">
        <v>162.9</v>
      </c>
      <c r="W75" s="625">
        <v>164.8</v>
      </c>
      <c r="X75" s="625">
        <v>163</v>
      </c>
      <c r="Y75" s="625">
        <v>161.9</v>
      </c>
      <c r="Z75" s="625">
        <v>163</v>
      </c>
      <c r="AA75" s="625">
        <v>162.19999999999999</v>
      </c>
      <c r="AB75" s="625">
        <v>161.1</v>
      </c>
      <c r="AC75" s="625">
        <v>162.6</v>
      </c>
      <c r="AD75" s="625">
        <v>163.5</v>
      </c>
      <c r="AE75" s="625">
        <v>165.4</v>
      </c>
      <c r="AF75" s="625">
        <v>165.3</v>
      </c>
      <c r="AG75" s="625">
        <v>165.1</v>
      </c>
      <c r="AH75" s="625">
        <v>165.1</v>
      </c>
      <c r="AI75" s="764">
        <v>167.1</v>
      </c>
      <c r="AJ75" s="772">
        <v>170</v>
      </c>
      <c r="AK75" s="625">
        <v>171.6</v>
      </c>
      <c r="AL75" s="625">
        <v>177.3</v>
      </c>
      <c r="AM75" s="625">
        <v>179.8</v>
      </c>
      <c r="AN75" s="625">
        <v>179.8</v>
      </c>
      <c r="AO75" s="625">
        <v>179.8</v>
      </c>
      <c r="AP75" s="625">
        <v>182.3</v>
      </c>
      <c r="AQ75" s="625">
        <v>184.1</v>
      </c>
      <c r="AR75" s="625">
        <v>190.9</v>
      </c>
      <c r="AS75" s="625">
        <v>190.9</v>
      </c>
      <c r="AT75" s="625">
        <v>194.5</v>
      </c>
      <c r="AU75" s="764">
        <v>199.1</v>
      </c>
      <c r="AV75" s="752">
        <v>206.4</v>
      </c>
      <c r="AW75" s="626">
        <v>212.9</v>
      </c>
      <c r="AX75" s="626">
        <v>215.2</v>
      </c>
      <c r="AY75" s="626">
        <v>215</v>
      </c>
      <c r="AZ75" s="626">
        <v>215</v>
      </c>
      <c r="BA75" s="626">
        <v>218.1</v>
      </c>
      <c r="BB75" s="626">
        <v>218.1</v>
      </c>
      <c r="BC75" s="627">
        <v>216.2</v>
      </c>
      <c r="BD75" s="626">
        <v>216.4</v>
      </c>
      <c r="BE75" s="627">
        <v>216.2</v>
      </c>
      <c r="BF75" s="627">
        <v>223.6</v>
      </c>
      <c r="BG75" s="738">
        <v>228.4</v>
      </c>
      <c r="BH75" s="660">
        <v>229.1</v>
      </c>
      <c r="BI75" s="623">
        <v>230.8</v>
      </c>
      <c r="BJ75" s="623">
        <v>230.8</v>
      </c>
      <c r="BK75" s="623">
        <v>232.4</v>
      </c>
      <c r="BL75" s="623">
        <v>232.4</v>
      </c>
      <c r="BM75" s="623">
        <v>233.4</v>
      </c>
      <c r="BN75" s="623">
        <v>238.5</v>
      </c>
      <c r="BO75" s="623">
        <v>243.3</v>
      </c>
      <c r="BP75" s="623">
        <v>245.4</v>
      </c>
      <c r="BQ75" s="623">
        <v>247.7</v>
      </c>
      <c r="BR75" s="623">
        <v>249</v>
      </c>
      <c r="BS75" s="659">
        <v>249</v>
      </c>
      <c r="BT75" s="660">
        <v>249</v>
      </c>
      <c r="BU75" s="623">
        <v>252.9</v>
      </c>
      <c r="BV75" s="623">
        <v>255.1</v>
      </c>
      <c r="BW75" s="623">
        <v>260.7</v>
      </c>
      <c r="BX75" s="623">
        <v>263.89999999999998</v>
      </c>
      <c r="BY75" s="623">
        <v>272.60000000000002</v>
      </c>
      <c r="BZ75" s="623">
        <v>282.5</v>
      </c>
      <c r="CA75" s="623">
        <v>290.5</v>
      </c>
      <c r="CB75" s="623">
        <v>299.60000000000002</v>
      </c>
      <c r="CC75" s="623">
        <v>299.60000000000002</v>
      </c>
      <c r="CD75" s="623">
        <v>299.8</v>
      </c>
      <c r="CE75" s="659">
        <v>303.89999999999998</v>
      </c>
      <c r="CF75" s="660">
        <v>310.2</v>
      </c>
      <c r="CG75" s="623">
        <v>313.3</v>
      </c>
      <c r="CH75" s="623">
        <v>333.5</v>
      </c>
      <c r="CI75" s="623">
        <v>335.2</v>
      </c>
      <c r="CJ75" s="623">
        <v>346.8</v>
      </c>
      <c r="CK75" s="623">
        <v>354.3</v>
      </c>
      <c r="CL75" s="623">
        <v>357.1</v>
      </c>
      <c r="CM75" s="623">
        <v>371.1</v>
      </c>
      <c r="CN75" s="623">
        <v>371.1</v>
      </c>
      <c r="CO75" s="623">
        <v>371.1</v>
      </c>
      <c r="CP75" s="623">
        <v>371.1</v>
      </c>
      <c r="CQ75" s="659">
        <v>371.1</v>
      </c>
      <c r="CR75" s="660">
        <v>371.1</v>
      </c>
      <c r="CS75" s="623">
        <v>350.4</v>
      </c>
      <c r="CT75" s="623">
        <v>336.9</v>
      </c>
      <c r="CU75" s="623">
        <v>336.9</v>
      </c>
      <c r="CV75" s="623">
        <v>336.9</v>
      </c>
      <c r="CW75" s="623">
        <v>336.9</v>
      </c>
      <c r="CX75" s="623">
        <v>336.9</v>
      </c>
      <c r="CY75" s="623">
        <v>355.9</v>
      </c>
      <c r="CZ75" s="623">
        <v>366.4</v>
      </c>
      <c r="DA75" s="623">
        <v>366.4</v>
      </c>
      <c r="DB75" s="725">
        <v>366.4</v>
      </c>
      <c r="DC75" s="659">
        <v>366.4</v>
      </c>
      <c r="DD75" s="783">
        <v>368.8</v>
      </c>
      <c r="DE75" s="623">
        <v>383.6</v>
      </c>
      <c r="DF75" s="725">
        <v>393.9</v>
      </c>
      <c r="DG75" s="659">
        <v>402.2</v>
      </c>
      <c r="DH75" s="623">
        <v>404.6</v>
      </c>
      <c r="DI75" s="623">
        <v>404.6</v>
      </c>
      <c r="DJ75" s="623">
        <v>419.5</v>
      </c>
      <c r="DK75" s="659">
        <v>419.5</v>
      </c>
      <c r="DL75" s="897">
        <v>419.6</v>
      </c>
      <c r="DM75" s="110">
        <f t="shared" si="0"/>
        <v>1.0002383790226461</v>
      </c>
      <c r="DN75" s="110"/>
      <c r="DO75" s="110"/>
    </row>
    <row r="76" spans="1:119" s="115" customFormat="1" ht="18.95" customHeight="1">
      <c r="A76" s="114"/>
      <c r="B76" s="408">
        <v>56</v>
      </c>
      <c r="C76" s="621" t="s">
        <v>98</v>
      </c>
      <c r="D76" s="622" t="s">
        <v>99</v>
      </c>
      <c r="E76" s="621" t="s">
        <v>918</v>
      </c>
      <c r="F76" s="622"/>
      <c r="G76" s="621" t="s">
        <v>919</v>
      </c>
      <c r="H76" s="621" t="s">
        <v>920</v>
      </c>
      <c r="I76" s="390" t="s">
        <v>921</v>
      </c>
      <c r="J76" s="651"/>
      <c r="K76" s="669">
        <v>86.02</v>
      </c>
      <c r="L76" s="665">
        <v>96.02</v>
      </c>
      <c r="M76" s="625">
        <v>116.56</v>
      </c>
      <c r="N76" s="625">
        <v>120.9</v>
      </c>
      <c r="O76" s="625">
        <v>178.75</v>
      </c>
      <c r="P76" s="625">
        <v>184.92</v>
      </c>
      <c r="Q76" s="625">
        <v>187.96</v>
      </c>
      <c r="R76" s="625">
        <v>187.96</v>
      </c>
      <c r="S76" s="625">
        <v>187.96</v>
      </c>
      <c r="T76" s="625">
        <v>187.96</v>
      </c>
      <c r="U76" s="625">
        <v>187.96</v>
      </c>
      <c r="V76" s="625">
        <v>187.96</v>
      </c>
      <c r="W76" s="625">
        <v>187.96</v>
      </c>
      <c r="X76" s="625">
        <v>187.96</v>
      </c>
      <c r="Y76" s="625">
        <v>187.96</v>
      </c>
      <c r="Z76" s="625">
        <v>187.96</v>
      </c>
      <c r="AA76" s="625">
        <v>187.96</v>
      </c>
      <c r="AB76" s="625">
        <v>191.3</v>
      </c>
      <c r="AC76" s="625">
        <v>191.3</v>
      </c>
      <c r="AD76" s="625">
        <v>187.96</v>
      </c>
      <c r="AE76" s="625">
        <v>191.3</v>
      </c>
      <c r="AF76" s="625">
        <v>191.3</v>
      </c>
      <c r="AG76" s="625">
        <v>191.3</v>
      </c>
      <c r="AH76" s="625">
        <v>191.3</v>
      </c>
      <c r="AI76" s="764">
        <v>191.49</v>
      </c>
      <c r="AJ76" s="772">
        <v>191.49</v>
      </c>
      <c r="AK76" s="625">
        <v>191.49</v>
      </c>
      <c r="AL76" s="625">
        <v>199.28</v>
      </c>
      <c r="AM76" s="625">
        <v>199.28</v>
      </c>
      <c r="AN76" s="625">
        <v>193.04</v>
      </c>
      <c r="AO76" s="625">
        <v>193.04</v>
      </c>
      <c r="AP76" s="625">
        <v>198.38</v>
      </c>
      <c r="AQ76" s="625">
        <v>198.91</v>
      </c>
      <c r="AR76" s="625">
        <v>202.43</v>
      </c>
      <c r="AS76" s="625">
        <v>198.91</v>
      </c>
      <c r="AT76" s="625">
        <v>198.75</v>
      </c>
      <c r="AU76" s="764">
        <v>211.54</v>
      </c>
      <c r="AV76" s="752">
        <v>211.54</v>
      </c>
      <c r="AW76" s="626">
        <v>215.07</v>
      </c>
      <c r="AX76" s="626">
        <v>211.52</v>
      </c>
      <c r="AY76" s="626">
        <v>217.42</v>
      </c>
      <c r="AZ76" s="626">
        <v>217.42</v>
      </c>
      <c r="BA76" s="626">
        <v>221.92</v>
      </c>
      <c r="BB76" s="626">
        <v>221.92</v>
      </c>
      <c r="BC76" s="627">
        <v>221.92</v>
      </c>
      <c r="BD76" s="626">
        <v>221.92</v>
      </c>
      <c r="BE76" s="627">
        <v>221.92</v>
      </c>
      <c r="BF76" s="627">
        <v>234.64</v>
      </c>
      <c r="BG76" s="738">
        <v>234.65</v>
      </c>
      <c r="BH76" s="660">
        <v>234.65</v>
      </c>
      <c r="BI76" s="623">
        <v>234.64</v>
      </c>
      <c r="BJ76" s="623">
        <v>234.64</v>
      </c>
      <c r="BK76" s="623">
        <v>234.64</v>
      </c>
      <c r="BL76" s="623">
        <v>234.65</v>
      </c>
      <c r="BM76" s="623">
        <v>238.11</v>
      </c>
      <c r="BN76" s="623">
        <v>242.29</v>
      </c>
      <c r="BO76" s="623">
        <v>242.28</v>
      </c>
      <c r="BP76" s="623">
        <v>246.02</v>
      </c>
      <c r="BQ76" s="623">
        <v>262.95</v>
      </c>
      <c r="BR76" s="623">
        <v>262.94</v>
      </c>
      <c r="BS76" s="659">
        <v>262.95</v>
      </c>
      <c r="BT76" s="660">
        <v>262.95</v>
      </c>
      <c r="BU76" s="623">
        <v>262.95</v>
      </c>
      <c r="BV76" s="623">
        <v>262.95</v>
      </c>
      <c r="BW76" s="623">
        <v>265.2</v>
      </c>
      <c r="BX76" s="623">
        <v>286.58999999999997</v>
      </c>
      <c r="BY76" s="623">
        <v>286.58999999999997</v>
      </c>
      <c r="BZ76" s="623">
        <v>286.58999999999997</v>
      </c>
      <c r="CA76" s="623">
        <v>286.58999999999997</v>
      </c>
      <c r="CB76" s="623">
        <v>319.58999999999997</v>
      </c>
      <c r="CC76" s="623">
        <v>319.58999999999997</v>
      </c>
      <c r="CD76" s="623">
        <v>322.98</v>
      </c>
      <c r="CE76" s="659">
        <v>322.94</v>
      </c>
      <c r="CF76" s="660">
        <v>322.98</v>
      </c>
      <c r="CG76" s="623">
        <v>328.11</v>
      </c>
      <c r="CH76" s="623">
        <v>328.11</v>
      </c>
      <c r="CI76" s="623">
        <v>354.48</v>
      </c>
      <c r="CJ76" s="623">
        <v>356.74</v>
      </c>
      <c r="CK76" s="623">
        <v>356.74</v>
      </c>
      <c r="CL76" s="623">
        <v>356.74</v>
      </c>
      <c r="CM76" s="623">
        <v>360.08</v>
      </c>
      <c r="CN76" s="623">
        <v>362.95</v>
      </c>
      <c r="CO76" s="623">
        <v>373.11</v>
      </c>
      <c r="CP76" s="623">
        <v>373.11</v>
      </c>
      <c r="CQ76" s="659">
        <v>380.29</v>
      </c>
      <c r="CR76" s="660">
        <v>380.29</v>
      </c>
      <c r="CS76" s="623">
        <v>380.29</v>
      </c>
      <c r="CT76" s="623">
        <v>380.29</v>
      </c>
      <c r="CU76" s="623">
        <v>384.54</v>
      </c>
      <c r="CV76" s="623">
        <v>392.84</v>
      </c>
      <c r="CW76" s="623">
        <v>392.84</v>
      </c>
      <c r="CX76" s="623">
        <v>393.09</v>
      </c>
      <c r="CY76" s="623">
        <v>401.36</v>
      </c>
      <c r="CZ76" s="623">
        <v>401.36</v>
      </c>
      <c r="DA76" s="623">
        <v>409.31</v>
      </c>
      <c r="DB76" s="725">
        <v>409.31</v>
      </c>
      <c r="DC76" s="659">
        <v>409.31</v>
      </c>
      <c r="DD76" s="783">
        <v>419.17</v>
      </c>
      <c r="DE76" s="623">
        <v>419.17</v>
      </c>
      <c r="DF76" s="725">
        <v>416.25</v>
      </c>
      <c r="DG76" s="659">
        <v>416.25</v>
      </c>
      <c r="DH76" s="623">
        <v>420.72</v>
      </c>
      <c r="DI76" s="623">
        <v>416.71</v>
      </c>
      <c r="DJ76" s="623">
        <v>422.66</v>
      </c>
      <c r="DK76" s="659">
        <v>429</v>
      </c>
      <c r="DL76" s="897">
        <v>429.23</v>
      </c>
      <c r="DM76" s="110">
        <f t="shared" si="0"/>
        <v>1.0005361305361307</v>
      </c>
      <c r="DN76" s="110"/>
      <c r="DO76" s="110"/>
    </row>
    <row r="77" spans="1:119" s="115" customFormat="1" ht="28.5" customHeight="1">
      <c r="A77" s="114"/>
      <c r="B77" s="408">
        <v>57</v>
      </c>
      <c r="C77" s="621" t="s">
        <v>100</v>
      </c>
      <c r="D77" s="622" t="s">
        <v>101</v>
      </c>
      <c r="E77" s="621" t="s">
        <v>918</v>
      </c>
      <c r="F77" s="622"/>
      <c r="G77" s="621" t="s">
        <v>919</v>
      </c>
      <c r="H77" s="621" t="s">
        <v>920</v>
      </c>
      <c r="I77" s="390" t="s">
        <v>186</v>
      </c>
      <c r="J77" s="651"/>
      <c r="K77" s="669">
        <v>108.83</v>
      </c>
      <c r="L77" s="665">
        <v>129.03</v>
      </c>
      <c r="M77" s="625">
        <v>178.56</v>
      </c>
      <c r="N77" s="625">
        <v>181.56</v>
      </c>
      <c r="O77" s="625">
        <v>235.24</v>
      </c>
      <c r="P77" s="625">
        <v>250.09</v>
      </c>
      <c r="Q77" s="625">
        <v>285.36</v>
      </c>
      <c r="R77" s="625">
        <v>285.36</v>
      </c>
      <c r="S77" s="625">
        <v>265.57</v>
      </c>
      <c r="T77" s="625">
        <v>274.86</v>
      </c>
      <c r="U77" s="625">
        <v>272.95</v>
      </c>
      <c r="V77" s="625">
        <v>277.8</v>
      </c>
      <c r="W77" s="625">
        <v>280.02</v>
      </c>
      <c r="X77" s="625">
        <v>280.02</v>
      </c>
      <c r="Y77" s="625">
        <v>287.77999999999997</v>
      </c>
      <c r="Z77" s="625">
        <v>299.05</v>
      </c>
      <c r="AA77" s="625">
        <v>302.61</v>
      </c>
      <c r="AB77" s="625">
        <v>302.61</v>
      </c>
      <c r="AC77" s="625">
        <v>316.14999999999998</v>
      </c>
      <c r="AD77" s="625">
        <v>326.3</v>
      </c>
      <c r="AE77" s="625">
        <v>326.3</v>
      </c>
      <c r="AF77" s="625">
        <v>326.3</v>
      </c>
      <c r="AG77" s="625">
        <v>326.3</v>
      </c>
      <c r="AH77" s="625">
        <v>326.3</v>
      </c>
      <c r="AI77" s="764">
        <v>326.3</v>
      </c>
      <c r="AJ77" s="772">
        <v>330.9</v>
      </c>
      <c r="AK77" s="625">
        <v>334.05</v>
      </c>
      <c r="AL77" s="625">
        <v>334.06</v>
      </c>
      <c r="AM77" s="625">
        <v>354.41</v>
      </c>
      <c r="AN77" s="625">
        <v>354.41</v>
      </c>
      <c r="AO77" s="625">
        <v>364.34</v>
      </c>
      <c r="AP77" s="625">
        <v>364.34</v>
      </c>
      <c r="AQ77" s="625">
        <v>355.8</v>
      </c>
      <c r="AR77" s="625">
        <v>354.35</v>
      </c>
      <c r="AS77" s="625">
        <v>354.35</v>
      </c>
      <c r="AT77" s="625">
        <v>354.35</v>
      </c>
      <c r="AU77" s="764">
        <v>354.35</v>
      </c>
      <c r="AV77" s="752">
        <v>353.29</v>
      </c>
      <c r="AW77" s="626">
        <v>352.85</v>
      </c>
      <c r="AX77" s="626">
        <v>355.1</v>
      </c>
      <c r="AY77" s="626">
        <v>355.1</v>
      </c>
      <c r="AZ77" s="626">
        <v>355.1</v>
      </c>
      <c r="BA77" s="626">
        <v>352.34</v>
      </c>
      <c r="BB77" s="626">
        <v>340.55</v>
      </c>
      <c r="BC77" s="627">
        <v>340.59</v>
      </c>
      <c r="BD77" s="626">
        <v>340.59</v>
      </c>
      <c r="BE77" s="627">
        <v>340.59</v>
      </c>
      <c r="BF77" s="627">
        <v>356.34</v>
      </c>
      <c r="BG77" s="738">
        <v>364.32</v>
      </c>
      <c r="BH77" s="660">
        <v>364.32</v>
      </c>
      <c r="BI77" s="623">
        <v>364.32</v>
      </c>
      <c r="BJ77" s="623">
        <v>362.64</v>
      </c>
      <c r="BK77" s="623">
        <v>362.66</v>
      </c>
      <c r="BL77" s="623">
        <v>369.95</v>
      </c>
      <c r="BM77" s="623">
        <v>373.72</v>
      </c>
      <c r="BN77" s="623">
        <v>373.72</v>
      </c>
      <c r="BO77" s="623">
        <v>373.72</v>
      </c>
      <c r="BP77" s="623">
        <v>373.72</v>
      </c>
      <c r="BQ77" s="623">
        <v>373.72</v>
      </c>
      <c r="BR77" s="623">
        <v>376.83</v>
      </c>
      <c r="BS77" s="659">
        <v>379.58</v>
      </c>
      <c r="BT77" s="660">
        <v>388.2</v>
      </c>
      <c r="BU77" s="623">
        <v>388.2</v>
      </c>
      <c r="BV77" s="623">
        <v>389.65</v>
      </c>
      <c r="BW77" s="623">
        <v>389.65</v>
      </c>
      <c r="BX77" s="623">
        <v>398.89</v>
      </c>
      <c r="BY77" s="623">
        <v>398.89</v>
      </c>
      <c r="BZ77" s="623">
        <v>402.75</v>
      </c>
      <c r="CA77" s="623">
        <v>407.83</v>
      </c>
      <c r="CB77" s="623">
        <v>418.12</v>
      </c>
      <c r="CC77" s="623">
        <v>421.51</v>
      </c>
      <c r="CD77" s="623">
        <v>432.17</v>
      </c>
      <c r="CE77" s="659">
        <v>443.93</v>
      </c>
      <c r="CF77" s="660">
        <v>450.8</v>
      </c>
      <c r="CG77" s="623">
        <v>472.7</v>
      </c>
      <c r="CH77" s="623">
        <v>494.79</v>
      </c>
      <c r="CI77" s="623">
        <v>511.84</v>
      </c>
      <c r="CJ77" s="623">
        <v>516.33000000000004</v>
      </c>
      <c r="CK77" s="623">
        <v>542.24</v>
      </c>
      <c r="CL77" s="623">
        <v>573.32000000000005</v>
      </c>
      <c r="CM77" s="623">
        <v>594.30999999999995</v>
      </c>
      <c r="CN77" s="623">
        <v>597.74</v>
      </c>
      <c r="CO77" s="623">
        <v>601.69000000000005</v>
      </c>
      <c r="CP77" s="623">
        <v>601.69000000000005</v>
      </c>
      <c r="CQ77" s="659">
        <v>601.69000000000005</v>
      </c>
      <c r="CR77" s="660">
        <v>606.72</v>
      </c>
      <c r="CS77" s="623">
        <v>606.72</v>
      </c>
      <c r="CT77" s="623">
        <v>606.72</v>
      </c>
      <c r="CU77" s="623">
        <v>606.72</v>
      </c>
      <c r="CV77" s="623">
        <v>606.72</v>
      </c>
      <c r="CW77" s="623">
        <v>597.44000000000005</v>
      </c>
      <c r="CX77" s="623">
        <v>601.76</v>
      </c>
      <c r="CY77" s="623">
        <v>607.69000000000005</v>
      </c>
      <c r="CZ77" s="623">
        <v>618.11</v>
      </c>
      <c r="DA77" s="623">
        <v>623.05999999999995</v>
      </c>
      <c r="DB77" s="725">
        <v>627.63</v>
      </c>
      <c r="DC77" s="659">
        <v>632.29</v>
      </c>
      <c r="DD77" s="783">
        <v>635.08000000000004</v>
      </c>
      <c r="DE77" s="623">
        <v>653.88</v>
      </c>
      <c r="DF77" s="725">
        <v>677.44</v>
      </c>
      <c r="DG77" s="659">
        <v>683.99</v>
      </c>
      <c r="DH77" s="623">
        <v>690.68</v>
      </c>
      <c r="DI77" s="623">
        <v>694.84</v>
      </c>
      <c r="DJ77" s="623">
        <v>700.45</v>
      </c>
      <c r="DK77" s="659">
        <v>706.13</v>
      </c>
      <c r="DL77" s="897">
        <v>709.07</v>
      </c>
      <c r="DM77" s="110">
        <f t="shared" si="0"/>
        <v>1.0041635392916319</v>
      </c>
      <c r="DN77" s="110"/>
      <c r="DO77" s="110"/>
    </row>
    <row r="78" spans="1:119" s="115" customFormat="1" ht="27.75" customHeight="1">
      <c r="A78" s="114"/>
      <c r="B78" s="408">
        <v>58</v>
      </c>
      <c r="C78" s="621" t="s">
        <v>102</v>
      </c>
      <c r="D78" s="622" t="s">
        <v>103</v>
      </c>
      <c r="E78" s="621" t="s">
        <v>918</v>
      </c>
      <c r="F78" s="622"/>
      <c r="G78" s="621" t="s">
        <v>919</v>
      </c>
      <c r="H78" s="621" t="s">
        <v>920</v>
      </c>
      <c r="I78" s="390" t="s">
        <v>129</v>
      </c>
      <c r="J78" s="674" t="s">
        <v>104</v>
      </c>
      <c r="K78" s="669">
        <v>85.46</v>
      </c>
      <c r="L78" s="665">
        <v>99.61</v>
      </c>
      <c r="M78" s="625">
        <v>114.83</v>
      </c>
      <c r="N78" s="625">
        <v>141.13999999999999</v>
      </c>
      <c r="O78" s="625">
        <v>181.19</v>
      </c>
      <c r="P78" s="625">
        <v>211.93</v>
      </c>
      <c r="Q78" s="625">
        <v>239.63</v>
      </c>
      <c r="R78" s="625">
        <v>253.18</v>
      </c>
      <c r="S78" s="625">
        <v>255.05</v>
      </c>
      <c r="T78" s="625">
        <v>255.17</v>
      </c>
      <c r="U78" s="625">
        <v>259.27</v>
      </c>
      <c r="V78" s="625">
        <v>249.1</v>
      </c>
      <c r="W78" s="625">
        <v>248.32</v>
      </c>
      <c r="X78" s="625">
        <v>237.61</v>
      </c>
      <c r="Y78" s="625">
        <v>234.6</v>
      </c>
      <c r="Z78" s="625">
        <v>236.09</v>
      </c>
      <c r="AA78" s="625">
        <v>232.22</v>
      </c>
      <c r="AB78" s="625">
        <v>224.6</v>
      </c>
      <c r="AC78" s="625">
        <v>225</v>
      </c>
      <c r="AD78" s="625">
        <v>222.45</v>
      </c>
      <c r="AE78" s="625">
        <v>228.52</v>
      </c>
      <c r="AF78" s="625">
        <v>228.87</v>
      </c>
      <c r="AG78" s="625">
        <v>225.91</v>
      </c>
      <c r="AH78" s="625">
        <v>228.07</v>
      </c>
      <c r="AI78" s="764">
        <v>232.46</v>
      </c>
      <c r="AJ78" s="772">
        <v>229.05</v>
      </c>
      <c r="AK78" s="625">
        <v>240.63</v>
      </c>
      <c r="AL78" s="625">
        <v>242.79</v>
      </c>
      <c r="AM78" s="625">
        <v>238.66</v>
      </c>
      <c r="AN78" s="625">
        <v>267.77</v>
      </c>
      <c r="AO78" s="625">
        <v>270.92</v>
      </c>
      <c r="AP78" s="625">
        <v>280.63</v>
      </c>
      <c r="AQ78" s="625">
        <v>286.05</v>
      </c>
      <c r="AR78" s="625">
        <v>282.83999999999997</v>
      </c>
      <c r="AS78" s="625">
        <v>295.39</v>
      </c>
      <c r="AT78" s="625">
        <v>297.23</v>
      </c>
      <c r="AU78" s="764">
        <v>298.72000000000003</v>
      </c>
      <c r="AV78" s="752">
        <v>296.95</v>
      </c>
      <c r="AW78" s="626">
        <v>294.83</v>
      </c>
      <c r="AX78" s="626">
        <v>295.88</v>
      </c>
      <c r="AY78" s="626">
        <v>295.26</v>
      </c>
      <c r="AZ78" s="626">
        <v>295.47000000000003</v>
      </c>
      <c r="BA78" s="626">
        <v>293.89</v>
      </c>
      <c r="BB78" s="626">
        <v>293.12</v>
      </c>
      <c r="BC78" s="627">
        <v>289.22000000000003</v>
      </c>
      <c r="BD78" s="626">
        <v>291.52999999999997</v>
      </c>
      <c r="BE78" s="627">
        <v>295.52999999999997</v>
      </c>
      <c r="BF78" s="627">
        <v>295.83</v>
      </c>
      <c r="BG78" s="738">
        <v>300.95</v>
      </c>
      <c r="BH78" s="660">
        <v>304</v>
      </c>
      <c r="BI78" s="623">
        <v>306.85000000000002</v>
      </c>
      <c r="BJ78" s="623">
        <v>308.5</v>
      </c>
      <c r="BK78" s="623">
        <v>316.7</v>
      </c>
      <c r="BL78" s="623">
        <v>316.41000000000003</v>
      </c>
      <c r="BM78" s="623">
        <v>317.72000000000003</v>
      </c>
      <c r="BN78" s="623">
        <v>318.88</v>
      </c>
      <c r="BO78" s="623">
        <v>334.13</v>
      </c>
      <c r="BP78" s="623">
        <v>336.9</v>
      </c>
      <c r="BQ78" s="623">
        <v>337.35</v>
      </c>
      <c r="BR78" s="623">
        <v>339.21</v>
      </c>
      <c r="BS78" s="659">
        <v>343.56</v>
      </c>
      <c r="BT78" s="660">
        <v>352.16</v>
      </c>
      <c r="BU78" s="623">
        <v>354.75</v>
      </c>
      <c r="BV78" s="623">
        <v>358.46</v>
      </c>
      <c r="BW78" s="623">
        <v>365.4</v>
      </c>
      <c r="BX78" s="623">
        <v>367.07</v>
      </c>
      <c r="BY78" s="623">
        <v>369.36</v>
      </c>
      <c r="BZ78" s="623">
        <v>377.73</v>
      </c>
      <c r="CA78" s="623">
        <v>382.07</v>
      </c>
      <c r="CB78" s="623">
        <v>385.52</v>
      </c>
      <c r="CC78" s="623">
        <v>388.96</v>
      </c>
      <c r="CD78" s="623">
        <v>397.05</v>
      </c>
      <c r="CE78" s="659">
        <v>398.47</v>
      </c>
      <c r="CF78" s="660">
        <v>419.8</v>
      </c>
      <c r="CG78" s="623">
        <v>430.29</v>
      </c>
      <c r="CH78" s="623">
        <v>443.98</v>
      </c>
      <c r="CI78" s="623">
        <v>451.32</v>
      </c>
      <c r="CJ78" s="623">
        <v>467.68</v>
      </c>
      <c r="CK78" s="623">
        <v>481.9</v>
      </c>
      <c r="CL78" s="623">
        <v>483.92</v>
      </c>
      <c r="CM78" s="623">
        <v>498.56</v>
      </c>
      <c r="CN78" s="623">
        <v>507.68</v>
      </c>
      <c r="CO78" s="623">
        <v>521.17999999999995</v>
      </c>
      <c r="CP78" s="623">
        <v>525.36</v>
      </c>
      <c r="CQ78" s="659">
        <v>516.92999999999995</v>
      </c>
      <c r="CR78" s="660">
        <v>509.23</v>
      </c>
      <c r="CS78" s="623">
        <v>505.33</v>
      </c>
      <c r="CT78" s="623">
        <v>504.35</v>
      </c>
      <c r="CU78" s="623">
        <v>495.54</v>
      </c>
      <c r="CV78" s="623">
        <v>493.62</v>
      </c>
      <c r="CW78" s="623">
        <v>489.22</v>
      </c>
      <c r="CX78" s="623">
        <v>497.27</v>
      </c>
      <c r="CY78" s="623">
        <v>496.83</v>
      </c>
      <c r="CZ78" s="623">
        <v>508.33</v>
      </c>
      <c r="DA78" s="623">
        <v>511.32</v>
      </c>
      <c r="DB78" s="725">
        <v>519.62</v>
      </c>
      <c r="DC78" s="659">
        <v>521.03</v>
      </c>
      <c r="DD78" s="783">
        <v>533.16</v>
      </c>
      <c r="DE78" s="623">
        <v>541.41999999999996</v>
      </c>
      <c r="DF78" s="725">
        <v>541.29</v>
      </c>
      <c r="DG78" s="659">
        <v>546.76</v>
      </c>
      <c r="DH78" s="623">
        <v>562.14</v>
      </c>
      <c r="DI78" s="623">
        <v>577.71</v>
      </c>
      <c r="DJ78" s="623">
        <v>579.42999999999995</v>
      </c>
      <c r="DK78" s="659">
        <v>554</v>
      </c>
      <c r="DL78" s="897">
        <v>556.15</v>
      </c>
      <c r="DM78" s="110">
        <f t="shared" si="0"/>
        <v>1.0038808664259928</v>
      </c>
      <c r="DN78" s="118"/>
      <c r="DO78" s="110"/>
    </row>
    <row r="79" spans="1:119" s="115" customFormat="1" ht="21" customHeight="1">
      <c r="A79" s="114"/>
      <c r="B79" s="408">
        <v>59</v>
      </c>
      <c r="C79" s="621" t="s">
        <v>148</v>
      </c>
      <c r="D79" s="622" t="s">
        <v>149</v>
      </c>
      <c r="E79" s="621" t="s">
        <v>918</v>
      </c>
      <c r="F79" s="622"/>
      <c r="G79" s="621" t="s">
        <v>919</v>
      </c>
      <c r="H79" s="621" t="s">
        <v>510</v>
      </c>
      <c r="I79" s="390" t="s">
        <v>426</v>
      </c>
      <c r="J79" s="651"/>
      <c r="K79" s="669">
        <v>89.99</v>
      </c>
      <c r="L79" s="665">
        <v>108.11</v>
      </c>
      <c r="M79" s="625">
        <v>119.74</v>
      </c>
      <c r="N79" s="625">
        <v>119.74</v>
      </c>
      <c r="O79" s="625">
        <v>138.38</v>
      </c>
      <c r="P79" s="625">
        <v>200.07</v>
      </c>
      <c r="Q79" s="625">
        <v>201.97</v>
      </c>
      <c r="R79" s="625">
        <v>203.76</v>
      </c>
      <c r="S79" s="625">
        <v>203.76</v>
      </c>
      <c r="T79" s="625">
        <v>204.43</v>
      </c>
      <c r="U79" s="625">
        <v>205.12</v>
      </c>
      <c r="V79" s="625">
        <v>202.68</v>
      </c>
      <c r="W79" s="625">
        <v>200.95</v>
      </c>
      <c r="X79" s="625">
        <v>197.81</v>
      </c>
      <c r="Y79" s="625">
        <v>183</v>
      </c>
      <c r="Z79" s="625">
        <v>194.26</v>
      </c>
      <c r="AA79" s="625">
        <v>190.04</v>
      </c>
      <c r="AB79" s="625">
        <v>186.93</v>
      </c>
      <c r="AC79" s="625">
        <v>187.37</v>
      </c>
      <c r="AD79" s="625">
        <v>186.26</v>
      </c>
      <c r="AE79" s="625">
        <v>189.15</v>
      </c>
      <c r="AF79" s="625">
        <v>189.15</v>
      </c>
      <c r="AG79" s="625">
        <v>187.81</v>
      </c>
      <c r="AH79" s="625">
        <v>188.26</v>
      </c>
      <c r="AI79" s="764">
        <v>190.26</v>
      </c>
      <c r="AJ79" s="772">
        <v>195.92</v>
      </c>
      <c r="AK79" s="625">
        <v>195.92</v>
      </c>
      <c r="AL79" s="625">
        <v>195.92</v>
      </c>
      <c r="AM79" s="625">
        <v>202.37</v>
      </c>
      <c r="AN79" s="625">
        <v>202.37</v>
      </c>
      <c r="AO79" s="625">
        <v>202.37</v>
      </c>
      <c r="AP79" s="625">
        <v>202.37</v>
      </c>
      <c r="AQ79" s="625">
        <v>200.87</v>
      </c>
      <c r="AR79" s="625">
        <v>200.87</v>
      </c>
      <c r="AS79" s="625">
        <v>200.87</v>
      </c>
      <c r="AT79" s="625">
        <v>204.77</v>
      </c>
      <c r="AU79" s="764">
        <v>204.77</v>
      </c>
      <c r="AV79" s="752">
        <v>204.77</v>
      </c>
      <c r="AW79" s="626">
        <v>209.69</v>
      </c>
      <c r="AX79" s="626">
        <v>210.53</v>
      </c>
      <c r="AY79" s="626">
        <v>210.53</v>
      </c>
      <c r="AZ79" s="626">
        <v>210.53</v>
      </c>
      <c r="BA79" s="626">
        <v>210.53</v>
      </c>
      <c r="BB79" s="626">
        <v>212.25</v>
      </c>
      <c r="BC79" s="627">
        <v>214.42</v>
      </c>
      <c r="BD79" s="626">
        <v>217.39</v>
      </c>
      <c r="BE79" s="627">
        <v>217.39</v>
      </c>
      <c r="BF79" s="627">
        <v>221.38</v>
      </c>
      <c r="BG79" s="738">
        <v>222.27</v>
      </c>
      <c r="BH79" s="660">
        <v>222.27</v>
      </c>
      <c r="BI79" s="623">
        <v>230.6</v>
      </c>
      <c r="BJ79" s="623">
        <v>230.6</v>
      </c>
      <c r="BK79" s="623">
        <v>230.6</v>
      </c>
      <c r="BL79" s="623">
        <v>240.58</v>
      </c>
      <c r="BM79" s="623">
        <v>240.58</v>
      </c>
      <c r="BN79" s="623">
        <v>242.62</v>
      </c>
      <c r="BO79" s="623">
        <v>246.77</v>
      </c>
      <c r="BP79" s="623">
        <v>246.77</v>
      </c>
      <c r="BQ79" s="623">
        <v>246.77</v>
      </c>
      <c r="BR79" s="623">
        <v>246.77</v>
      </c>
      <c r="BS79" s="659">
        <v>246.77</v>
      </c>
      <c r="BT79" s="660">
        <v>246.77</v>
      </c>
      <c r="BU79" s="623">
        <v>246.77</v>
      </c>
      <c r="BV79" s="623">
        <v>249.82</v>
      </c>
      <c r="BW79" s="623">
        <v>249.82</v>
      </c>
      <c r="BX79" s="623">
        <v>256.10000000000002</v>
      </c>
      <c r="BY79" s="623">
        <v>261.83999999999997</v>
      </c>
      <c r="BZ79" s="623">
        <v>261.83999999999997</v>
      </c>
      <c r="CA79" s="623">
        <v>261.83999999999997</v>
      </c>
      <c r="CB79" s="623">
        <v>262.39999999999998</v>
      </c>
      <c r="CC79" s="623">
        <v>267.87</v>
      </c>
      <c r="CD79" s="623">
        <v>274.64</v>
      </c>
      <c r="CE79" s="659">
        <v>274.64</v>
      </c>
      <c r="CF79" s="660">
        <v>274.64</v>
      </c>
      <c r="CG79" s="623">
        <v>283.23</v>
      </c>
      <c r="CH79" s="623">
        <v>283.23</v>
      </c>
      <c r="CI79" s="623">
        <v>283.23</v>
      </c>
      <c r="CJ79" s="623">
        <v>284.26</v>
      </c>
      <c r="CK79" s="623">
        <v>296.55</v>
      </c>
      <c r="CL79" s="623">
        <v>302.12</v>
      </c>
      <c r="CM79" s="623">
        <v>302.12</v>
      </c>
      <c r="CN79" s="623">
        <v>302.12</v>
      </c>
      <c r="CO79" s="623">
        <v>302.12</v>
      </c>
      <c r="CP79" s="623">
        <v>302.12</v>
      </c>
      <c r="CQ79" s="659">
        <v>302.12</v>
      </c>
      <c r="CR79" s="660">
        <v>302.12</v>
      </c>
      <c r="CS79" s="623">
        <v>302.12</v>
      </c>
      <c r="CT79" s="623">
        <v>302.12</v>
      </c>
      <c r="CU79" s="623">
        <v>302.12</v>
      </c>
      <c r="CV79" s="623">
        <v>302.12</v>
      </c>
      <c r="CW79" s="623">
        <v>302.12</v>
      </c>
      <c r="CX79" s="623">
        <v>302.12</v>
      </c>
      <c r="CY79" s="623">
        <v>295.89999999999998</v>
      </c>
      <c r="CZ79" s="623">
        <v>295.89999999999998</v>
      </c>
      <c r="DA79" s="623">
        <v>308.31</v>
      </c>
      <c r="DB79" s="725">
        <v>308.31</v>
      </c>
      <c r="DC79" s="659">
        <v>308.31</v>
      </c>
      <c r="DD79" s="783">
        <v>308.31</v>
      </c>
      <c r="DE79" s="623">
        <v>312.5</v>
      </c>
      <c r="DF79" s="725">
        <v>317.86</v>
      </c>
      <c r="DG79" s="659">
        <v>317.86</v>
      </c>
      <c r="DH79" s="623">
        <v>334.74</v>
      </c>
      <c r="DI79" s="623">
        <v>342.11</v>
      </c>
      <c r="DJ79" s="623">
        <v>342.17</v>
      </c>
      <c r="DK79" s="659">
        <v>360.94</v>
      </c>
      <c r="DL79" s="897">
        <v>362.43</v>
      </c>
      <c r="DM79" s="110">
        <f t="shared" si="0"/>
        <v>1.0041281099351693</v>
      </c>
      <c r="DN79" s="110"/>
      <c r="DO79" s="110"/>
    </row>
    <row r="80" spans="1:119" s="115" customFormat="1" ht="18.95" customHeight="1">
      <c r="A80" s="114"/>
      <c r="B80" s="408">
        <v>60</v>
      </c>
      <c r="C80" s="621"/>
      <c r="D80" s="622" t="s">
        <v>150</v>
      </c>
      <c r="E80" s="621" t="s">
        <v>918</v>
      </c>
      <c r="F80" s="622"/>
      <c r="G80" s="632" t="s">
        <v>924</v>
      </c>
      <c r="H80" s="621" t="s">
        <v>920</v>
      </c>
      <c r="I80" s="390" t="s">
        <v>921</v>
      </c>
      <c r="J80" s="676"/>
      <c r="K80" s="669">
        <v>93.4</v>
      </c>
      <c r="L80" s="665">
        <v>107.2</v>
      </c>
      <c r="M80" s="625">
        <v>126.1</v>
      </c>
      <c r="N80" s="625">
        <v>135.1</v>
      </c>
      <c r="O80" s="625">
        <v>156.30000000000001</v>
      </c>
      <c r="P80" s="625">
        <v>171.4</v>
      </c>
      <c r="Q80" s="625">
        <v>188.6</v>
      </c>
      <c r="R80" s="625">
        <v>190.5</v>
      </c>
      <c r="S80" s="625">
        <v>190.2</v>
      </c>
      <c r="T80" s="625">
        <v>188.6</v>
      </c>
      <c r="U80" s="625">
        <v>188.9</v>
      </c>
      <c r="V80" s="625">
        <v>188.1</v>
      </c>
      <c r="W80" s="625">
        <v>188.3</v>
      </c>
      <c r="X80" s="625">
        <v>190.2</v>
      </c>
      <c r="Y80" s="625">
        <v>188.2</v>
      </c>
      <c r="Z80" s="625">
        <v>190.2</v>
      </c>
      <c r="AA80" s="625">
        <v>190.1</v>
      </c>
      <c r="AB80" s="625">
        <v>191.9</v>
      </c>
      <c r="AC80" s="625">
        <v>192.4</v>
      </c>
      <c r="AD80" s="625">
        <v>192.3</v>
      </c>
      <c r="AE80" s="625">
        <v>191.6</v>
      </c>
      <c r="AF80" s="625">
        <v>192.1</v>
      </c>
      <c r="AG80" s="625">
        <v>193</v>
      </c>
      <c r="AH80" s="625">
        <v>193.1</v>
      </c>
      <c r="AI80" s="764">
        <v>193</v>
      </c>
      <c r="AJ80" s="772">
        <v>193.4</v>
      </c>
      <c r="AK80" s="625">
        <v>194.5</v>
      </c>
      <c r="AL80" s="625">
        <v>195.3</v>
      </c>
      <c r="AM80" s="625">
        <v>197.2</v>
      </c>
      <c r="AN80" s="625">
        <v>197.3</v>
      </c>
      <c r="AO80" s="625">
        <v>200.2</v>
      </c>
      <c r="AP80" s="625">
        <v>205.8</v>
      </c>
      <c r="AQ80" s="625">
        <v>201.9</v>
      </c>
      <c r="AR80" s="625">
        <v>202.9</v>
      </c>
      <c r="AS80" s="625">
        <v>207.7</v>
      </c>
      <c r="AT80" s="625">
        <v>211.2</v>
      </c>
      <c r="AU80" s="764">
        <v>212.4</v>
      </c>
      <c r="AV80" s="752">
        <v>216</v>
      </c>
      <c r="AW80" s="626">
        <v>221.7</v>
      </c>
      <c r="AX80" s="626">
        <v>221.7</v>
      </c>
      <c r="AY80" s="626">
        <v>228.1</v>
      </c>
      <c r="AZ80" s="626">
        <v>239.7</v>
      </c>
      <c r="BA80" s="626">
        <v>240.3</v>
      </c>
      <c r="BB80" s="626">
        <v>243.4</v>
      </c>
      <c r="BC80" s="627">
        <v>245.6</v>
      </c>
      <c r="BD80" s="626">
        <v>245.4</v>
      </c>
      <c r="BE80" s="627">
        <v>245.1</v>
      </c>
      <c r="BF80" s="627">
        <v>243.9</v>
      </c>
      <c r="BG80" s="738">
        <v>247.7</v>
      </c>
      <c r="BH80" s="660">
        <v>251.3</v>
      </c>
      <c r="BI80" s="623">
        <v>254.3</v>
      </c>
      <c r="BJ80" s="623">
        <v>253.1</v>
      </c>
      <c r="BK80" s="623">
        <v>261</v>
      </c>
      <c r="BL80" s="623">
        <v>262.3</v>
      </c>
      <c r="BM80" s="623">
        <v>262.60000000000002</v>
      </c>
      <c r="BN80" s="623">
        <v>263.8</v>
      </c>
      <c r="BO80" s="623">
        <v>266.10000000000002</v>
      </c>
      <c r="BP80" s="623">
        <v>262.39999999999998</v>
      </c>
      <c r="BQ80" s="623">
        <v>266.5</v>
      </c>
      <c r="BR80" s="623">
        <v>268.5</v>
      </c>
      <c r="BS80" s="659">
        <v>267.5</v>
      </c>
      <c r="BT80" s="660">
        <v>267.7</v>
      </c>
      <c r="BU80" s="623">
        <v>268.89999999999998</v>
      </c>
      <c r="BV80" s="623">
        <v>268.89999999999998</v>
      </c>
      <c r="BW80" s="623">
        <v>272.89999999999998</v>
      </c>
      <c r="BX80" s="623">
        <v>276.3</v>
      </c>
      <c r="BY80" s="623">
        <v>271.5</v>
      </c>
      <c r="BZ80" s="623">
        <v>270.7</v>
      </c>
      <c r="CA80" s="623">
        <v>273.3</v>
      </c>
      <c r="CB80" s="623">
        <v>279.8</v>
      </c>
      <c r="CC80" s="623">
        <v>285.60000000000002</v>
      </c>
      <c r="CD80" s="623">
        <v>285.89999999999998</v>
      </c>
      <c r="CE80" s="659">
        <v>289.5</v>
      </c>
      <c r="CF80" s="660">
        <v>296</v>
      </c>
      <c r="CG80" s="623">
        <v>297.10000000000002</v>
      </c>
      <c r="CH80" s="623">
        <v>309</v>
      </c>
      <c r="CI80" s="623">
        <v>326.8</v>
      </c>
      <c r="CJ80" s="623">
        <v>332.7</v>
      </c>
      <c r="CK80" s="623">
        <v>339.5</v>
      </c>
      <c r="CL80" s="623">
        <v>350.5</v>
      </c>
      <c r="CM80" s="623">
        <v>356.3</v>
      </c>
      <c r="CN80" s="623">
        <v>356.3</v>
      </c>
      <c r="CO80" s="623">
        <v>356.3</v>
      </c>
      <c r="CP80" s="623">
        <v>369.7</v>
      </c>
      <c r="CQ80" s="659">
        <v>378.6</v>
      </c>
      <c r="CR80" s="660">
        <v>382.2</v>
      </c>
      <c r="CS80" s="623">
        <v>381.2</v>
      </c>
      <c r="CT80" s="623">
        <v>386.4</v>
      </c>
      <c r="CU80" s="623">
        <v>381.6</v>
      </c>
      <c r="CV80" s="623">
        <v>388.8</v>
      </c>
      <c r="CW80" s="623">
        <v>388.4</v>
      </c>
      <c r="CX80" s="623">
        <v>391.4</v>
      </c>
      <c r="CY80" s="623">
        <v>393.9</v>
      </c>
      <c r="CZ80" s="623">
        <v>392.5</v>
      </c>
      <c r="DA80" s="623">
        <v>399.1</v>
      </c>
      <c r="DB80" s="725">
        <v>408.7</v>
      </c>
      <c r="DC80" s="659">
        <v>407.3</v>
      </c>
      <c r="DD80" s="783">
        <v>413.8</v>
      </c>
      <c r="DE80" s="623">
        <v>421.7</v>
      </c>
      <c r="DF80" s="725">
        <v>422.5</v>
      </c>
      <c r="DG80" s="659">
        <v>433.1</v>
      </c>
      <c r="DH80" s="623">
        <v>442.7</v>
      </c>
      <c r="DI80" s="623">
        <v>446.3</v>
      </c>
      <c r="DJ80" s="623">
        <v>455</v>
      </c>
      <c r="DK80" s="659">
        <v>469.3</v>
      </c>
      <c r="DL80" s="897">
        <v>474.8</v>
      </c>
      <c r="DM80" s="110">
        <f t="shared" si="0"/>
        <v>1.0117195823567016</v>
      </c>
      <c r="DN80" s="110"/>
      <c r="DO80" s="110"/>
    </row>
    <row r="81" spans="1:119" s="115" customFormat="1" ht="21.75" customHeight="1">
      <c r="A81" s="114"/>
      <c r="B81" s="644">
        <v>61</v>
      </c>
      <c r="C81" s="645" t="s">
        <v>151</v>
      </c>
      <c r="D81" s="646" t="s">
        <v>152</v>
      </c>
      <c r="E81" s="645" t="s">
        <v>918</v>
      </c>
      <c r="F81" s="646"/>
      <c r="G81" s="645" t="s">
        <v>919</v>
      </c>
      <c r="H81" s="645" t="s">
        <v>920</v>
      </c>
      <c r="I81" s="876" t="s">
        <v>427</v>
      </c>
      <c r="J81" s="869"/>
      <c r="K81" s="877">
        <v>100.37</v>
      </c>
      <c r="L81" s="878">
        <v>115.6</v>
      </c>
      <c r="M81" s="879">
        <v>149.74</v>
      </c>
      <c r="N81" s="879">
        <v>158.51</v>
      </c>
      <c r="O81" s="879">
        <v>179.99</v>
      </c>
      <c r="P81" s="879">
        <v>204.59</v>
      </c>
      <c r="Q81" s="879">
        <v>219.77</v>
      </c>
      <c r="R81" s="879">
        <v>218.96</v>
      </c>
      <c r="S81" s="879">
        <v>215.52</v>
      </c>
      <c r="T81" s="879">
        <v>222.02</v>
      </c>
      <c r="U81" s="879">
        <v>226.19</v>
      </c>
      <c r="V81" s="879">
        <v>226.19</v>
      </c>
      <c r="W81" s="879">
        <v>226.19</v>
      </c>
      <c r="X81" s="879">
        <v>226.19</v>
      </c>
      <c r="Y81" s="879">
        <v>226.19</v>
      </c>
      <c r="Z81" s="879">
        <v>226.19</v>
      </c>
      <c r="AA81" s="879">
        <v>230.16</v>
      </c>
      <c r="AB81" s="879">
        <v>232.25</v>
      </c>
      <c r="AC81" s="879">
        <v>233.4</v>
      </c>
      <c r="AD81" s="879">
        <v>233.41</v>
      </c>
      <c r="AE81" s="879">
        <v>233.41</v>
      </c>
      <c r="AF81" s="879">
        <v>233.4</v>
      </c>
      <c r="AG81" s="879">
        <v>233.41</v>
      </c>
      <c r="AH81" s="879">
        <v>233.4</v>
      </c>
      <c r="AI81" s="880">
        <v>233.41</v>
      </c>
      <c r="AJ81" s="881">
        <v>233.36</v>
      </c>
      <c r="AK81" s="879">
        <v>234.89</v>
      </c>
      <c r="AL81" s="879">
        <v>238.19</v>
      </c>
      <c r="AM81" s="879">
        <v>238.19</v>
      </c>
      <c r="AN81" s="879">
        <v>238.19</v>
      </c>
      <c r="AO81" s="879">
        <v>239.16</v>
      </c>
      <c r="AP81" s="879">
        <v>240.32</v>
      </c>
      <c r="AQ81" s="879">
        <v>241.89</v>
      </c>
      <c r="AR81" s="879">
        <v>245.64</v>
      </c>
      <c r="AS81" s="879">
        <v>249.92</v>
      </c>
      <c r="AT81" s="879">
        <v>249.92</v>
      </c>
      <c r="AU81" s="880">
        <v>252.76</v>
      </c>
      <c r="AV81" s="882">
        <v>259.43</v>
      </c>
      <c r="AW81" s="883">
        <v>260.31</v>
      </c>
      <c r="AX81" s="883">
        <v>260.32</v>
      </c>
      <c r="AY81" s="883">
        <v>262.7</v>
      </c>
      <c r="AZ81" s="883">
        <v>268</v>
      </c>
      <c r="BA81" s="883">
        <v>269.2</v>
      </c>
      <c r="BB81" s="883">
        <v>275.91000000000003</v>
      </c>
      <c r="BC81" s="884">
        <v>276.63</v>
      </c>
      <c r="BD81" s="883">
        <v>276.63</v>
      </c>
      <c r="BE81" s="884">
        <v>276.63</v>
      </c>
      <c r="BF81" s="884">
        <v>277.37</v>
      </c>
      <c r="BG81" s="885">
        <v>283.86</v>
      </c>
      <c r="BH81" s="886">
        <v>283.86</v>
      </c>
      <c r="BI81" s="887">
        <v>285.36</v>
      </c>
      <c r="BJ81" s="887">
        <v>285.36</v>
      </c>
      <c r="BK81" s="887">
        <v>290.23</v>
      </c>
      <c r="BL81" s="887">
        <v>291.89</v>
      </c>
      <c r="BM81" s="887">
        <v>296.74</v>
      </c>
      <c r="BN81" s="887">
        <v>301.72000000000003</v>
      </c>
      <c r="BO81" s="887">
        <v>302.76</v>
      </c>
      <c r="BP81" s="887">
        <v>305.16000000000003</v>
      </c>
      <c r="BQ81" s="887">
        <v>306</v>
      </c>
      <c r="BR81" s="887">
        <v>310.02999999999997</v>
      </c>
      <c r="BS81" s="888">
        <v>313.83999999999997</v>
      </c>
      <c r="BT81" s="886">
        <v>313.83999999999997</v>
      </c>
      <c r="BU81" s="887">
        <v>314.8</v>
      </c>
      <c r="BV81" s="887">
        <v>314.8</v>
      </c>
      <c r="BW81" s="887">
        <v>321.95</v>
      </c>
      <c r="BX81" s="887">
        <v>323.38</v>
      </c>
      <c r="BY81" s="887">
        <v>327.61</v>
      </c>
      <c r="BZ81" s="887">
        <v>327.61</v>
      </c>
      <c r="CA81" s="887">
        <v>328.56</v>
      </c>
      <c r="CB81" s="887">
        <v>340.48</v>
      </c>
      <c r="CC81" s="887">
        <v>340.48</v>
      </c>
      <c r="CD81" s="887">
        <v>347.96</v>
      </c>
      <c r="CE81" s="888">
        <v>361.86</v>
      </c>
      <c r="CF81" s="886">
        <v>361.18</v>
      </c>
      <c r="CG81" s="887">
        <v>367.62</v>
      </c>
      <c r="CH81" s="887">
        <v>382.08</v>
      </c>
      <c r="CI81" s="887">
        <v>396.67</v>
      </c>
      <c r="CJ81" s="887">
        <v>402.97</v>
      </c>
      <c r="CK81" s="887">
        <v>408.42</v>
      </c>
      <c r="CL81" s="887">
        <v>408.42</v>
      </c>
      <c r="CM81" s="887">
        <v>413.03</v>
      </c>
      <c r="CN81" s="887">
        <v>433.1</v>
      </c>
      <c r="CO81" s="887">
        <v>436.24</v>
      </c>
      <c r="CP81" s="887">
        <v>446.9</v>
      </c>
      <c r="CQ81" s="888">
        <v>454.69</v>
      </c>
      <c r="CR81" s="886">
        <v>465.12</v>
      </c>
      <c r="CS81" s="887">
        <v>466.81</v>
      </c>
      <c r="CT81" s="887">
        <v>470.34</v>
      </c>
      <c r="CU81" s="887">
        <v>484.8</v>
      </c>
      <c r="CV81" s="887">
        <v>490.49</v>
      </c>
      <c r="CW81" s="887">
        <v>494.48</v>
      </c>
      <c r="CX81" s="887">
        <v>494.48</v>
      </c>
      <c r="CY81" s="887">
        <v>512.84</v>
      </c>
      <c r="CZ81" s="887">
        <v>512.84</v>
      </c>
      <c r="DA81" s="887">
        <v>521.09</v>
      </c>
      <c r="DB81" s="889">
        <v>519.66</v>
      </c>
      <c r="DC81" s="888">
        <v>527.70000000000005</v>
      </c>
      <c r="DD81" s="890">
        <v>528.86</v>
      </c>
      <c r="DE81" s="887">
        <v>536.04</v>
      </c>
      <c r="DF81" s="889">
        <v>519.16</v>
      </c>
      <c r="DG81" s="888">
        <v>534.52</v>
      </c>
      <c r="DH81" s="887">
        <v>534.52</v>
      </c>
      <c r="DI81" s="887">
        <v>537.49</v>
      </c>
      <c r="DJ81" s="623">
        <v>547.82000000000005</v>
      </c>
      <c r="DK81" s="659">
        <v>557.09</v>
      </c>
      <c r="DL81" s="897">
        <v>564.29999999999995</v>
      </c>
      <c r="DM81" s="110">
        <f t="shared" si="0"/>
        <v>1.0129422534958443</v>
      </c>
      <c r="DN81" s="110"/>
      <c r="DO81" s="110"/>
    </row>
    <row r="82" spans="1:119" s="115" customFormat="1" ht="18.95" customHeight="1">
      <c r="A82" s="114"/>
      <c r="B82" s="644">
        <v>62</v>
      </c>
      <c r="C82" s="645" t="s">
        <v>153</v>
      </c>
      <c r="D82" s="646" t="s">
        <v>154</v>
      </c>
      <c r="E82" s="645" t="s">
        <v>918</v>
      </c>
      <c r="F82" s="646"/>
      <c r="G82" s="645" t="s">
        <v>929</v>
      </c>
      <c r="H82" s="645" t="s">
        <v>930</v>
      </c>
      <c r="I82" s="876"/>
      <c r="J82" s="869"/>
      <c r="K82" s="877">
        <v>98.9</v>
      </c>
      <c r="L82" s="878">
        <v>111.4</v>
      </c>
      <c r="M82" s="879">
        <v>145.5</v>
      </c>
      <c r="N82" s="879">
        <v>165.4</v>
      </c>
      <c r="O82" s="879">
        <v>188.2</v>
      </c>
      <c r="P82" s="879">
        <v>195.1</v>
      </c>
      <c r="Q82" s="879">
        <v>205.5</v>
      </c>
      <c r="R82" s="879">
        <v>216.1</v>
      </c>
      <c r="S82" s="879">
        <v>218.5</v>
      </c>
      <c r="T82" s="879">
        <v>216.9</v>
      </c>
      <c r="U82" s="879">
        <v>217.6</v>
      </c>
      <c r="V82" s="879">
        <v>218.6</v>
      </c>
      <c r="W82" s="879">
        <v>218.6</v>
      </c>
      <c r="X82" s="879">
        <v>216.7</v>
      </c>
      <c r="Y82" s="879">
        <v>219.1</v>
      </c>
      <c r="Z82" s="879">
        <v>211.8</v>
      </c>
      <c r="AA82" s="879">
        <v>210.9</v>
      </c>
      <c r="AB82" s="879">
        <v>210.9</v>
      </c>
      <c r="AC82" s="879">
        <v>207.7</v>
      </c>
      <c r="AD82" s="879">
        <v>207.7</v>
      </c>
      <c r="AE82" s="879">
        <v>206.2</v>
      </c>
      <c r="AF82" s="879">
        <v>206.2</v>
      </c>
      <c r="AG82" s="879">
        <v>208.3</v>
      </c>
      <c r="AH82" s="879">
        <v>210</v>
      </c>
      <c r="AI82" s="880">
        <v>216.6</v>
      </c>
      <c r="AJ82" s="881">
        <v>229.8</v>
      </c>
      <c r="AK82" s="879">
        <v>241.5</v>
      </c>
      <c r="AL82" s="879">
        <v>253.7</v>
      </c>
      <c r="AM82" s="879">
        <v>281.89999999999998</v>
      </c>
      <c r="AN82" s="879">
        <v>285.10000000000002</v>
      </c>
      <c r="AO82" s="879">
        <v>297.7</v>
      </c>
      <c r="AP82" s="879">
        <v>306</v>
      </c>
      <c r="AQ82" s="879">
        <v>313.39999999999998</v>
      </c>
      <c r="AR82" s="879">
        <v>315.39999999999998</v>
      </c>
      <c r="AS82" s="879">
        <v>317.39999999999998</v>
      </c>
      <c r="AT82" s="879">
        <v>314.7</v>
      </c>
      <c r="AU82" s="880">
        <v>315.60000000000002</v>
      </c>
      <c r="AV82" s="882">
        <v>319</v>
      </c>
      <c r="AW82" s="883">
        <v>319</v>
      </c>
      <c r="AX82" s="883">
        <v>323.5</v>
      </c>
      <c r="AY82" s="883">
        <v>323.5</v>
      </c>
      <c r="AZ82" s="883">
        <v>323.5</v>
      </c>
      <c r="BA82" s="883">
        <v>319.39999999999998</v>
      </c>
      <c r="BB82" s="883">
        <v>319.39999999999998</v>
      </c>
      <c r="BC82" s="884">
        <v>319.39999999999998</v>
      </c>
      <c r="BD82" s="883">
        <v>317.60000000000002</v>
      </c>
      <c r="BE82" s="884">
        <v>317.60000000000002</v>
      </c>
      <c r="BF82" s="884">
        <v>320.60000000000002</v>
      </c>
      <c r="BG82" s="885">
        <v>320.60000000000002</v>
      </c>
      <c r="BH82" s="886">
        <v>321.10000000000002</v>
      </c>
      <c r="BI82" s="887">
        <v>324.10000000000002</v>
      </c>
      <c r="BJ82" s="887">
        <v>324.10000000000002</v>
      </c>
      <c r="BK82" s="887">
        <v>328.1</v>
      </c>
      <c r="BL82" s="887">
        <v>368.2</v>
      </c>
      <c r="BM82" s="887">
        <v>368.3</v>
      </c>
      <c r="BN82" s="887">
        <v>367.5</v>
      </c>
      <c r="BO82" s="887">
        <v>367.5</v>
      </c>
      <c r="BP82" s="887">
        <v>367.5</v>
      </c>
      <c r="BQ82" s="887">
        <v>368.4</v>
      </c>
      <c r="BR82" s="887">
        <v>375.3</v>
      </c>
      <c r="BS82" s="888">
        <v>379.7</v>
      </c>
      <c r="BT82" s="886">
        <v>397.9</v>
      </c>
      <c r="BU82" s="887">
        <v>403.7</v>
      </c>
      <c r="BV82" s="887">
        <v>454.3</v>
      </c>
      <c r="BW82" s="887">
        <v>461.5</v>
      </c>
      <c r="BX82" s="887">
        <v>502.2</v>
      </c>
      <c r="BY82" s="887">
        <v>502.2</v>
      </c>
      <c r="BZ82" s="887">
        <v>539.20000000000005</v>
      </c>
      <c r="CA82" s="887">
        <v>545</v>
      </c>
      <c r="CB82" s="887">
        <v>564.6</v>
      </c>
      <c r="CC82" s="887">
        <v>585.5</v>
      </c>
      <c r="CD82" s="887">
        <v>591.70000000000005</v>
      </c>
      <c r="CE82" s="888">
        <v>596.20000000000005</v>
      </c>
      <c r="CF82" s="886">
        <v>593.70000000000005</v>
      </c>
      <c r="CG82" s="887">
        <v>603</v>
      </c>
      <c r="CH82" s="887">
        <v>622.79999999999995</v>
      </c>
      <c r="CI82" s="887">
        <v>648.6</v>
      </c>
      <c r="CJ82" s="887">
        <v>667.8</v>
      </c>
      <c r="CK82" s="887">
        <v>705</v>
      </c>
      <c r="CL82" s="887">
        <v>711.7</v>
      </c>
      <c r="CM82" s="887">
        <v>716.7</v>
      </c>
      <c r="CN82" s="887">
        <v>718.1</v>
      </c>
      <c r="CO82" s="887">
        <v>718.1</v>
      </c>
      <c r="CP82" s="887">
        <v>718.1</v>
      </c>
      <c r="CQ82" s="888">
        <v>712.5</v>
      </c>
      <c r="CR82" s="886">
        <v>702.9</v>
      </c>
      <c r="CS82" s="887">
        <v>702.9</v>
      </c>
      <c r="CT82" s="887">
        <v>702.9</v>
      </c>
      <c r="CU82" s="887">
        <v>684.8</v>
      </c>
      <c r="CV82" s="887">
        <v>663.9</v>
      </c>
      <c r="CW82" s="887">
        <v>648.79999999999995</v>
      </c>
      <c r="CX82" s="887">
        <v>644.5</v>
      </c>
      <c r="CY82" s="887">
        <v>649.29999999999995</v>
      </c>
      <c r="CZ82" s="887">
        <v>662.3</v>
      </c>
      <c r="DA82" s="887">
        <v>645.6</v>
      </c>
      <c r="DB82" s="889">
        <v>646.5</v>
      </c>
      <c r="DC82" s="888">
        <v>660.2</v>
      </c>
      <c r="DD82" s="890">
        <v>674.3</v>
      </c>
      <c r="DE82" s="887">
        <v>674.3</v>
      </c>
      <c r="DF82" s="889">
        <v>682.3</v>
      </c>
      <c r="DG82" s="888">
        <v>687.3</v>
      </c>
      <c r="DH82" s="887">
        <v>700.8</v>
      </c>
      <c r="DI82" s="887">
        <v>700.1</v>
      </c>
      <c r="DJ82" s="623">
        <v>700.1</v>
      </c>
      <c r="DK82" s="659">
        <v>724.7</v>
      </c>
      <c r="DL82" s="897">
        <v>755.3</v>
      </c>
      <c r="DM82" s="110">
        <f t="shared" si="0"/>
        <v>1.0422243687042914</v>
      </c>
      <c r="DN82" s="110"/>
      <c r="DO82" s="110"/>
    </row>
    <row r="83" spans="1:119" s="115" customFormat="1" ht="24" customHeight="1">
      <c r="A83" s="114"/>
      <c r="B83" s="408">
        <v>63</v>
      </c>
      <c r="C83" s="621" t="s">
        <v>155</v>
      </c>
      <c r="D83" s="622" t="s">
        <v>156</v>
      </c>
      <c r="E83" s="621" t="s">
        <v>918</v>
      </c>
      <c r="F83" s="622"/>
      <c r="G83" s="621" t="s">
        <v>919</v>
      </c>
      <c r="H83" s="621" t="s">
        <v>920</v>
      </c>
      <c r="I83" s="390" t="s">
        <v>157</v>
      </c>
      <c r="J83" s="651"/>
      <c r="K83" s="669">
        <v>96.5</v>
      </c>
      <c r="L83" s="665">
        <v>99.76</v>
      </c>
      <c r="M83" s="625">
        <v>114.75</v>
      </c>
      <c r="N83" s="625">
        <v>127.79</v>
      </c>
      <c r="O83" s="625">
        <v>135.65</v>
      </c>
      <c r="P83" s="625">
        <v>145.57</v>
      </c>
      <c r="Q83" s="625">
        <v>156.99</v>
      </c>
      <c r="R83" s="625">
        <v>168.19</v>
      </c>
      <c r="S83" s="625">
        <v>175.83</v>
      </c>
      <c r="T83" s="625">
        <v>175.83</v>
      </c>
      <c r="U83" s="625">
        <v>175.83</v>
      </c>
      <c r="V83" s="625">
        <v>175.83</v>
      </c>
      <c r="W83" s="625">
        <v>175.83</v>
      </c>
      <c r="X83" s="625">
        <v>178.91</v>
      </c>
      <c r="Y83" s="625">
        <v>178.91</v>
      </c>
      <c r="Z83" s="625">
        <v>178.91</v>
      </c>
      <c r="AA83" s="625">
        <v>173.96</v>
      </c>
      <c r="AB83" s="625">
        <v>173.96</v>
      </c>
      <c r="AC83" s="625">
        <v>173.96</v>
      </c>
      <c r="AD83" s="625">
        <v>173.96</v>
      </c>
      <c r="AE83" s="625">
        <v>173.96</v>
      </c>
      <c r="AF83" s="625">
        <v>173.96</v>
      </c>
      <c r="AG83" s="625">
        <v>173.96</v>
      </c>
      <c r="AH83" s="625">
        <v>174.62</v>
      </c>
      <c r="AI83" s="764">
        <v>174.62</v>
      </c>
      <c r="AJ83" s="772">
        <v>174.62</v>
      </c>
      <c r="AK83" s="625">
        <v>174.62</v>
      </c>
      <c r="AL83" s="625">
        <v>174.62</v>
      </c>
      <c r="AM83" s="625">
        <v>180.94</v>
      </c>
      <c r="AN83" s="625">
        <v>180.94</v>
      </c>
      <c r="AO83" s="625">
        <v>184.9</v>
      </c>
      <c r="AP83" s="625">
        <v>185.6</v>
      </c>
      <c r="AQ83" s="625">
        <v>185.6</v>
      </c>
      <c r="AR83" s="625">
        <v>192.45</v>
      </c>
      <c r="AS83" s="625">
        <v>193.66</v>
      </c>
      <c r="AT83" s="625">
        <v>193.66</v>
      </c>
      <c r="AU83" s="764">
        <v>196.66</v>
      </c>
      <c r="AV83" s="752">
        <v>199.98</v>
      </c>
      <c r="AW83" s="626">
        <v>201.15</v>
      </c>
      <c r="AX83" s="626">
        <v>201.15</v>
      </c>
      <c r="AY83" s="626">
        <v>201.15</v>
      </c>
      <c r="AZ83" s="626">
        <v>201.15</v>
      </c>
      <c r="BA83" s="626">
        <v>201.15</v>
      </c>
      <c r="BB83" s="626">
        <v>202.79</v>
      </c>
      <c r="BC83" s="627">
        <v>202.79</v>
      </c>
      <c r="BD83" s="626">
        <v>202.79</v>
      </c>
      <c r="BE83" s="627">
        <v>202.79</v>
      </c>
      <c r="BF83" s="627">
        <v>202.79</v>
      </c>
      <c r="BG83" s="738">
        <v>202.79</v>
      </c>
      <c r="BH83" s="660">
        <v>215.31</v>
      </c>
      <c r="BI83" s="623">
        <v>215.31</v>
      </c>
      <c r="BJ83" s="623">
        <v>215.31</v>
      </c>
      <c r="BK83" s="623">
        <v>226.06</v>
      </c>
      <c r="BL83" s="623">
        <v>226.06</v>
      </c>
      <c r="BM83" s="623">
        <v>226.06</v>
      </c>
      <c r="BN83" s="623">
        <v>226.06</v>
      </c>
      <c r="BO83" s="623">
        <v>226.06</v>
      </c>
      <c r="BP83" s="623">
        <v>226.06</v>
      </c>
      <c r="BQ83" s="623">
        <v>233.32</v>
      </c>
      <c r="BR83" s="623">
        <v>233.32</v>
      </c>
      <c r="BS83" s="659">
        <v>233.33</v>
      </c>
      <c r="BT83" s="660">
        <v>234.48</v>
      </c>
      <c r="BU83" s="623">
        <v>235.04</v>
      </c>
      <c r="BV83" s="623">
        <v>235.04</v>
      </c>
      <c r="BW83" s="623">
        <v>235.04</v>
      </c>
      <c r="BX83" s="623">
        <v>235.04</v>
      </c>
      <c r="BY83" s="623">
        <v>235.02</v>
      </c>
      <c r="BZ83" s="623">
        <v>235.02</v>
      </c>
      <c r="CA83" s="623">
        <v>235.02</v>
      </c>
      <c r="CB83" s="623">
        <v>239.58</v>
      </c>
      <c r="CC83" s="623">
        <v>239.58</v>
      </c>
      <c r="CD83" s="623">
        <v>239.58</v>
      </c>
      <c r="CE83" s="659">
        <v>244.69</v>
      </c>
      <c r="CF83" s="660">
        <v>244.69</v>
      </c>
      <c r="CG83" s="623">
        <v>244.63</v>
      </c>
      <c r="CH83" s="623">
        <v>252.8</v>
      </c>
      <c r="CI83" s="623">
        <v>254.98</v>
      </c>
      <c r="CJ83" s="623">
        <v>257.3</v>
      </c>
      <c r="CK83" s="623">
        <v>257.3</v>
      </c>
      <c r="CL83" s="623">
        <v>262.39999999999998</v>
      </c>
      <c r="CM83" s="623">
        <v>266.04000000000002</v>
      </c>
      <c r="CN83" s="623">
        <v>290.39</v>
      </c>
      <c r="CO83" s="623">
        <v>290.39</v>
      </c>
      <c r="CP83" s="623">
        <v>290.39</v>
      </c>
      <c r="CQ83" s="659">
        <v>290.39</v>
      </c>
      <c r="CR83" s="660">
        <v>290.39</v>
      </c>
      <c r="CS83" s="623">
        <v>290.39</v>
      </c>
      <c r="CT83" s="623">
        <v>290.39</v>
      </c>
      <c r="CU83" s="623">
        <v>292.86</v>
      </c>
      <c r="CV83" s="623">
        <v>292.86</v>
      </c>
      <c r="CW83" s="623">
        <v>292.86</v>
      </c>
      <c r="CX83" s="623">
        <v>292.86</v>
      </c>
      <c r="CY83" s="623">
        <v>292.86</v>
      </c>
      <c r="CZ83" s="623">
        <v>293.17</v>
      </c>
      <c r="DA83" s="623">
        <v>296.17</v>
      </c>
      <c r="DB83" s="725">
        <v>326.7</v>
      </c>
      <c r="DC83" s="659">
        <v>326.7</v>
      </c>
      <c r="DD83" s="783">
        <v>339.91</v>
      </c>
      <c r="DE83" s="623">
        <v>339.91</v>
      </c>
      <c r="DF83" s="725">
        <v>339.91</v>
      </c>
      <c r="DG83" s="659">
        <v>365.95</v>
      </c>
      <c r="DH83" s="623">
        <v>374</v>
      </c>
      <c r="DI83" s="623">
        <v>374.01</v>
      </c>
      <c r="DJ83" s="623">
        <v>374.01</v>
      </c>
      <c r="DK83" s="659">
        <v>376.72</v>
      </c>
      <c r="DL83" s="897">
        <v>390.6</v>
      </c>
      <c r="DM83" s="110">
        <f t="shared" si="0"/>
        <v>1.0368443406243364</v>
      </c>
      <c r="DN83" s="110"/>
      <c r="DO83" s="110"/>
    </row>
    <row r="84" spans="1:119" s="115" customFormat="1" ht="18.95" customHeight="1">
      <c r="A84" s="114"/>
      <c r="B84" s="408">
        <v>64</v>
      </c>
      <c r="C84" s="621"/>
      <c r="D84" s="622" t="s">
        <v>158</v>
      </c>
      <c r="E84" s="621" t="s">
        <v>918</v>
      </c>
      <c r="F84" s="622"/>
      <c r="G84" s="632" t="s">
        <v>924</v>
      </c>
      <c r="H84" s="621" t="s">
        <v>920</v>
      </c>
      <c r="I84" s="390" t="s">
        <v>921</v>
      </c>
      <c r="J84" s="676"/>
      <c r="K84" s="669">
        <v>95.4</v>
      </c>
      <c r="L84" s="665">
        <v>104.5</v>
      </c>
      <c r="M84" s="625">
        <v>116.3</v>
      </c>
      <c r="N84" s="625">
        <v>121.6</v>
      </c>
      <c r="O84" s="625">
        <v>133</v>
      </c>
      <c r="P84" s="625">
        <v>137.19999999999999</v>
      </c>
      <c r="Q84" s="625">
        <v>140.5</v>
      </c>
      <c r="R84" s="625">
        <v>141.80000000000001</v>
      </c>
      <c r="S84" s="625">
        <v>151.30000000000001</v>
      </c>
      <c r="T84" s="625">
        <v>154.19999999999999</v>
      </c>
      <c r="U84" s="625">
        <v>160.5</v>
      </c>
      <c r="V84" s="625">
        <v>160.5</v>
      </c>
      <c r="W84" s="625">
        <v>160.5</v>
      </c>
      <c r="X84" s="625">
        <v>160.5</v>
      </c>
      <c r="Y84" s="625">
        <v>160.5</v>
      </c>
      <c r="Z84" s="625">
        <v>163.1</v>
      </c>
      <c r="AA84" s="625">
        <v>163.5</v>
      </c>
      <c r="AB84" s="625">
        <v>163.5</v>
      </c>
      <c r="AC84" s="625">
        <v>162.1</v>
      </c>
      <c r="AD84" s="625">
        <v>162.1</v>
      </c>
      <c r="AE84" s="625">
        <v>163.5</v>
      </c>
      <c r="AF84" s="625">
        <v>163.30000000000001</v>
      </c>
      <c r="AG84" s="625">
        <v>163.69999999999999</v>
      </c>
      <c r="AH84" s="625">
        <v>165.6</v>
      </c>
      <c r="AI84" s="764">
        <v>168.2</v>
      </c>
      <c r="AJ84" s="772">
        <v>170.1</v>
      </c>
      <c r="AK84" s="625">
        <v>174.1</v>
      </c>
      <c r="AL84" s="625">
        <v>178.3</v>
      </c>
      <c r="AM84" s="625">
        <v>179.3</v>
      </c>
      <c r="AN84" s="625">
        <v>182.2</v>
      </c>
      <c r="AO84" s="625">
        <v>185.4</v>
      </c>
      <c r="AP84" s="625">
        <v>185.4</v>
      </c>
      <c r="AQ84" s="625">
        <v>191.2</v>
      </c>
      <c r="AR84" s="625">
        <v>184.2</v>
      </c>
      <c r="AS84" s="625">
        <v>185.5</v>
      </c>
      <c r="AT84" s="625">
        <v>186.6</v>
      </c>
      <c r="AU84" s="764">
        <v>187</v>
      </c>
      <c r="AV84" s="752">
        <v>192.3</v>
      </c>
      <c r="AW84" s="626">
        <v>192.3</v>
      </c>
      <c r="AX84" s="626">
        <v>193.4</v>
      </c>
      <c r="AY84" s="626">
        <v>194</v>
      </c>
      <c r="AZ84" s="626">
        <v>194</v>
      </c>
      <c r="BA84" s="626">
        <v>194</v>
      </c>
      <c r="BB84" s="626">
        <v>195.1</v>
      </c>
      <c r="BC84" s="627">
        <v>195.1</v>
      </c>
      <c r="BD84" s="626">
        <v>196.2</v>
      </c>
      <c r="BE84" s="627">
        <v>198.1</v>
      </c>
      <c r="BF84" s="627">
        <v>200.8</v>
      </c>
      <c r="BG84" s="738">
        <v>202.1</v>
      </c>
      <c r="BH84" s="660">
        <v>202.1</v>
      </c>
      <c r="BI84" s="623">
        <v>204.8</v>
      </c>
      <c r="BJ84" s="623">
        <v>209.3</v>
      </c>
      <c r="BK84" s="623">
        <v>209.3</v>
      </c>
      <c r="BL84" s="623">
        <v>212.8</v>
      </c>
      <c r="BM84" s="623">
        <v>212.8</v>
      </c>
      <c r="BN84" s="623">
        <v>216.2</v>
      </c>
      <c r="BO84" s="623">
        <v>223.4</v>
      </c>
      <c r="BP84" s="623">
        <v>229.8</v>
      </c>
      <c r="BQ84" s="623">
        <v>233.8</v>
      </c>
      <c r="BR84" s="623">
        <v>233.8</v>
      </c>
      <c r="BS84" s="659">
        <v>234</v>
      </c>
      <c r="BT84" s="660">
        <v>240.9</v>
      </c>
      <c r="BU84" s="623">
        <v>245.1</v>
      </c>
      <c r="BV84" s="623">
        <v>244.8</v>
      </c>
      <c r="BW84" s="623">
        <v>250.6</v>
      </c>
      <c r="BX84" s="623">
        <v>250.6</v>
      </c>
      <c r="BY84" s="623">
        <v>248</v>
      </c>
      <c r="BZ84" s="623">
        <v>254.4</v>
      </c>
      <c r="CA84" s="623">
        <v>259.60000000000002</v>
      </c>
      <c r="CB84" s="623">
        <v>265.7</v>
      </c>
      <c r="CC84" s="623">
        <v>269.5</v>
      </c>
      <c r="CD84" s="623">
        <v>274.5</v>
      </c>
      <c r="CE84" s="659">
        <v>279.2</v>
      </c>
      <c r="CF84" s="660">
        <v>284.3</v>
      </c>
      <c r="CG84" s="623">
        <v>291.7</v>
      </c>
      <c r="CH84" s="623">
        <v>298.39999999999998</v>
      </c>
      <c r="CI84" s="623">
        <v>307.8</v>
      </c>
      <c r="CJ84" s="623">
        <v>317.7</v>
      </c>
      <c r="CK84" s="623">
        <v>320.8</v>
      </c>
      <c r="CL84" s="623">
        <v>325.5</v>
      </c>
      <c r="CM84" s="623">
        <v>331.4</v>
      </c>
      <c r="CN84" s="623">
        <v>336.2</v>
      </c>
      <c r="CO84" s="623">
        <v>342.4</v>
      </c>
      <c r="CP84" s="623">
        <v>349.2</v>
      </c>
      <c r="CQ84" s="659">
        <v>349.2</v>
      </c>
      <c r="CR84" s="660">
        <v>349.2</v>
      </c>
      <c r="CS84" s="623">
        <v>349.2</v>
      </c>
      <c r="CT84" s="623">
        <v>349.2</v>
      </c>
      <c r="CU84" s="623">
        <v>347.6</v>
      </c>
      <c r="CV84" s="623">
        <v>347.2</v>
      </c>
      <c r="CW84" s="623">
        <v>344.8</v>
      </c>
      <c r="CX84" s="623">
        <v>344.8</v>
      </c>
      <c r="CY84" s="623">
        <v>347.9</v>
      </c>
      <c r="CZ84" s="623">
        <v>350.8</v>
      </c>
      <c r="DA84" s="623">
        <v>350.8</v>
      </c>
      <c r="DB84" s="725">
        <v>350.8</v>
      </c>
      <c r="DC84" s="659">
        <v>353.1</v>
      </c>
      <c r="DD84" s="783">
        <v>358.5</v>
      </c>
      <c r="DE84" s="623">
        <v>374.2</v>
      </c>
      <c r="DF84" s="725">
        <v>389.8</v>
      </c>
      <c r="DG84" s="659">
        <v>391</v>
      </c>
      <c r="DH84" s="623">
        <v>393.5</v>
      </c>
      <c r="DI84" s="623">
        <v>403.5</v>
      </c>
      <c r="DJ84" s="623">
        <v>418.6</v>
      </c>
      <c r="DK84" s="659">
        <v>424.3</v>
      </c>
      <c r="DL84" s="897">
        <v>422.9</v>
      </c>
      <c r="DM84" s="110">
        <f t="shared" si="0"/>
        <v>0.99670044779637046</v>
      </c>
      <c r="DN84" s="110"/>
      <c r="DO84" s="110"/>
    </row>
    <row r="85" spans="1:119" s="115" customFormat="1" ht="21.75" customHeight="1" thickBot="1">
      <c r="A85" s="114"/>
      <c r="B85" s="407">
        <v>65</v>
      </c>
      <c r="C85" s="636" t="s">
        <v>159</v>
      </c>
      <c r="D85" s="637" t="s">
        <v>160</v>
      </c>
      <c r="E85" s="636" t="s">
        <v>918</v>
      </c>
      <c r="F85" s="637"/>
      <c r="G85" s="636" t="s">
        <v>919</v>
      </c>
      <c r="H85" s="636" t="s">
        <v>920</v>
      </c>
      <c r="I85" s="638" t="s">
        <v>161</v>
      </c>
      <c r="J85" s="684"/>
      <c r="K85" s="670">
        <v>144.27000000000001</v>
      </c>
      <c r="L85" s="666">
        <v>144.27000000000001</v>
      </c>
      <c r="M85" s="639">
        <v>135</v>
      </c>
      <c r="N85" s="639">
        <v>138.71</v>
      </c>
      <c r="O85" s="639">
        <v>250.45</v>
      </c>
      <c r="P85" s="639">
        <v>323.64999999999998</v>
      </c>
      <c r="Q85" s="639">
        <v>373.5</v>
      </c>
      <c r="R85" s="639">
        <v>479.77</v>
      </c>
      <c r="S85" s="639">
        <v>518.75</v>
      </c>
      <c r="T85" s="639">
        <v>528.48</v>
      </c>
      <c r="U85" s="639">
        <v>544.33000000000004</v>
      </c>
      <c r="V85" s="639">
        <v>539.70000000000005</v>
      </c>
      <c r="W85" s="639">
        <v>495.82</v>
      </c>
      <c r="X85" s="639">
        <v>487.32</v>
      </c>
      <c r="Y85" s="639">
        <v>549.21</v>
      </c>
      <c r="Z85" s="639">
        <v>593.36</v>
      </c>
      <c r="AA85" s="639">
        <v>541.62</v>
      </c>
      <c r="AB85" s="639">
        <v>565.61</v>
      </c>
      <c r="AC85" s="639">
        <v>470.33</v>
      </c>
      <c r="AD85" s="639">
        <v>484.41</v>
      </c>
      <c r="AE85" s="639">
        <v>478.48</v>
      </c>
      <c r="AF85" s="639">
        <v>470.51</v>
      </c>
      <c r="AG85" s="639">
        <v>510.81</v>
      </c>
      <c r="AH85" s="639">
        <v>495.43</v>
      </c>
      <c r="AI85" s="765">
        <v>499.12</v>
      </c>
      <c r="AJ85" s="773">
        <v>516.15</v>
      </c>
      <c r="AK85" s="639">
        <v>558.69000000000005</v>
      </c>
      <c r="AL85" s="639">
        <v>532.24</v>
      </c>
      <c r="AM85" s="639">
        <v>532.74</v>
      </c>
      <c r="AN85" s="639">
        <v>578.74</v>
      </c>
      <c r="AO85" s="639">
        <v>590.67999999999995</v>
      </c>
      <c r="AP85" s="639">
        <v>607.45000000000005</v>
      </c>
      <c r="AQ85" s="639">
        <v>603.08000000000004</v>
      </c>
      <c r="AR85" s="639">
        <v>579.45000000000005</v>
      </c>
      <c r="AS85" s="639">
        <v>537.44000000000005</v>
      </c>
      <c r="AT85" s="639">
        <v>545.94000000000005</v>
      </c>
      <c r="AU85" s="765">
        <v>537.84</v>
      </c>
      <c r="AV85" s="768">
        <v>543.97</v>
      </c>
      <c r="AW85" s="640">
        <v>550.14</v>
      </c>
      <c r="AX85" s="640">
        <v>564.12</v>
      </c>
      <c r="AY85" s="640">
        <v>580.55999999999995</v>
      </c>
      <c r="AZ85" s="640">
        <v>631.61</v>
      </c>
      <c r="BA85" s="640">
        <v>626.85</v>
      </c>
      <c r="BB85" s="640">
        <v>650.79999999999995</v>
      </c>
      <c r="BC85" s="641">
        <v>682.31</v>
      </c>
      <c r="BD85" s="640">
        <v>688.77</v>
      </c>
      <c r="BE85" s="641">
        <v>761.62</v>
      </c>
      <c r="BF85" s="641">
        <v>781.43</v>
      </c>
      <c r="BG85" s="751">
        <v>740.99</v>
      </c>
      <c r="BH85" s="661">
        <v>752.41</v>
      </c>
      <c r="BI85" s="642">
        <v>741.36</v>
      </c>
      <c r="BJ85" s="642">
        <v>779.69</v>
      </c>
      <c r="BK85" s="642">
        <v>775.34</v>
      </c>
      <c r="BL85" s="642">
        <v>796.27</v>
      </c>
      <c r="BM85" s="642">
        <v>781.32</v>
      </c>
      <c r="BN85" s="642">
        <v>814.42</v>
      </c>
      <c r="BO85" s="642">
        <v>823.29</v>
      </c>
      <c r="BP85" s="642">
        <v>857.76</v>
      </c>
      <c r="BQ85" s="642">
        <v>844.59</v>
      </c>
      <c r="BR85" s="642">
        <v>810.27</v>
      </c>
      <c r="BS85" s="736">
        <v>799.03</v>
      </c>
      <c r="BT85" s="661">
        <v>776.75</v>
      </c>
      <c r="BU85" s="642">
        <v>762.36</v>
      </c>
      <c r="BV85" s="642">
        <v>730.05</v>
      </c>
      <c r="BW85" s="642">
        <v>765.72</v>
      </c>
      <c r="BX85" s="642">
        <v>794.14</v>
      </c>
      <c r="BY85" s="642">
        <v>879.12</v>
      </c>
      <c r="BZ85" s="642">
        <v>1111.18</v>
      </c>
      <c r="CA85" s="642">
        <v>1111.18</v>
      </c>
      <c r="CB85" s="642">
        <v>1001.03</v>
      </c>
      <c r="CC85" s="642">
        <v>935.32</v>
      </c>
      <c r="CD85" s="642">
        <v>950.08</v>
      </c>
      <c r="CE85" s="736">
        <v>967.21</v>
      </c>
      <c r="CF85" s="661">
        <v>965.31</v>
      </c>
      <c r="CG85" s="642">
        <v>966.42</v>
      </c>
      <c r="CH85" s="642">
        <v>945.95</v>
      </c>
      <c r="CI85" s="642">
        <v>987.27</v>
      </c>
      <c r="CJ85" s="642">
        <v>1001.52</v>
      </c>
      <c r="CK85" s="642">
        <v>969.11</v>
      </c>
      <c r="CL85" s="642">
        <v>954.03</v>
      </c>
      <c r="CM85" s="642">
        <v>928.17</v>
      </c>
      <c r="CN85" s="642">
        <v>924.51</v>
      </c>
      <c r="CO85" s="642">
        <v>931.5</v>
      </c>
      <c r="CP85" s="642">
        <v>943.22</v>
      </c>
      <c r="CQ85" s="736">
        <v>931.55</v>
      </c>
      <c r="CR85" s="661">
        <v>926.71</v>
      </c>
      <c r="CS85" s="642">
        <v>932.07</v>
      </c>
      <c r="CT85" s="642">
        <v>844.97</v>
      </c>
      <c r="CU85" s="642">
        <v>868.32</v>
      </c>
      <c r="CV85" s="642">
        <v>960.52</v>
      </c>
      <c r="CW85" s="642">
        <v>1054.1400000000001</v>
      </c>
      <c r="CX85" s="642">
        <v>1078.0999999999999</v>
      </c>
      <c r="CY85" s="642">
        <v>1083.6199999999999</v>
      </c>
      <c r="CZ85" s="642">
        <v>1085.25</v>
      </c>
      <c r="DA85" s="642">
        <v>1116.3599999999999</v>
      </c>
      <c r="DB85" s="726">
        <v>1126.6199999999999</v>
      </c>
      <c r="DC85" s="736">
        <v>1183.76</v>
      </c>
      <c r="DD85" s="784">
        <v>1145.0999999999999</v>
      </c>
      <c r="DE85" s="642">
        <v>1133.5899999999999</v>
      </c>
      <c r="DF85" s="726">
        <v>1090.07</v>
      </c>
      <c r="DG85" s="736">
        <v>1236.8699999999999</v>
      </c>
      <c r="DH85" s="642">
        <v>1383.37</v>
      </c>
      <c r="DI85" s="642">
        <v>1426.71</v>
      </c>
      <c r="DJ85" s="642">
        <v>1600.79</v>
      </c>
      <c r="DK85" s="736">
        <v>1608.47</v>
      </c>
      <c r="DL85" s="901">
        <v>1587.37</v>
      </c>
      <c r="DM85" s="110">
        <f t="shared" si="0"/>
        <v>0.98688194371048255</v>
      </c>
      <c r="DN85" s="110"/>
      <c r="DO85" s="110"/>
    </row>
    <row r="86" spans="1:119" s="115" customFormat="1" ht="19.5" customHeight="1">
      <c r="A86" s="114"/>
      <c r="B86" s="613">
        <v>66</v>
      </c>
      <c r="C86" s="614" t="s">
        <v>162</v>
      </c>
      <c r="D86" s="615" t="s">
        <v>163</v>
      </c>
      <c r="E86" s="614" t="s">
        <v>918</v>
      </c>
      <c r="F86" s="615"/>
      <c r="G86" s="614" t="s">
        <v>929</v>
      </c>
      <c r="H86" s="614" t="s">
        <v>930</v>
      </c>
      <c r="I86" s="647" t="s">
        <v>164</v>
      </c>
      <c r="J86" s="652"/>
      <c r="K86" s="671">
        <v>109</v>
      </c>
      <c r="L86" s="667">
        <v>141.4</v>
      </c>
      <c r="M86" s="618">
        <v>162.6</v>
      </c>
      <c r="N86" s="618">
        <v>168.4</v>
      </c>
      <c r="O86" s="618">
        <v>199</v>
      </c>
      <c r="P86" s="618">
        <v>198.2</v>
      </c>
      <c r="Q86" s="618">
        <v>244.7</v>
      </c>
      <c r="R86" s="618">
        <v>227.3</v>
      </c>
      <c r="S86" s="618">
        <v>230.2</v>
      </c>
      <c r="T86" s="618">
        <v>233.9</v>
      </c>
      <c r="U86" s="618">
        <v>223.5</v>
      </c>
      <c r="V86" s="618">
        <v>218.5</v>
      </c>
      <c r="W86" s="618">
        <v>218.5</v>
      </c>
      <c r="X86" s="618">
        <v>217.4</v>
      </c>
      <c r="Y86" s="618">
        <v>217.6</v>
      </c>
      <c r="Z86" s="618">
        <v>215.4</v>
      </c>
      <c r="AA86" s="618">
        <v>213.1</v>
      </c>
      <c r="AB86" s="618">
        <v>208.9</v>
      </c>
      <c r="AC86" s="618">
        <v>207.3</v>
      </c>
      <c r="AD86" s="618">
        <v>207.1</v>
      </c>
      <c r="AE86" s="618">
        <v>207.1</v>
      </c>
      <c r="AF86" s="618">
        <v>207.1</v>
      </c>
      <c r="AG86" s="618">
        <v>205.5</v>
      </c>
      <c r="AH86" s="618">
        <v>203.2</v>
      </c>
      <c r="AI86" s="766">
        <v>203.1</v>
      </c>
      <c r="AJ86" s="774">
        <v>200.7</v>
      </c>
      <c r="AK86" s="618">
        <v>200.7</v>
      </c>
      <c r="AL86" s="618">
        <v>200.6</v>
      </c>
      <c r="AM86" s="618">
        <v>203.1</v>
      </c>
      <c r="AN86" s="618">
        <v>201.4</v>
      </c>
      <c r="AO86" s="618">
        <v>206.2</v>
      </c>
      <c r="AP86" s="618">
        <v>206.2</v>
      </c>
      <c r="AQ86" s="618">
        <v>208.5</v>
      </c>
      <c r="AR86" s="618">
        <v>208.9</v>
      </c>
      <c r="AS86" s="618">
        <v>212.9</v>
      </c>
      <c r="AT86" s="618">
        <v>214.3</v>
      </c>
      <c r="AU86" s="766">
        <v>214.16</v>
      </c>
      <c r="AV86" s="769">
        <v>218.9</v>
      </c>
      <c r="AW86" s="619">
        <v>222.5</v>
      </c>
      <c r="AX86" s="619">
        <v>222.6</v>
      </c>
      <c r="AY86" s="619">
        <v>219.4</v>
      </c>
      <c r="AZ86" s="619">
        <v>219.5</v>
      </c>
      <c r="BA86" s="619">
        <v>218.8</v>
      </c>
      <c r="BB86" s="619">
        <v>218.8</v>
      </c>
      <c r="BC86" s="620">
        <v>218.8</v>
      </c>
      <c r="BD86" s="619">
        <v>217.4</v>
      </c>
      <c r="BE86" s="620">
        <v>216.9</v>
      </c>
      <c r="BF86" s="620">
        <v>219</v>
      </c>
      <c r="BG86" s="750">
        <v>225.1</v>
      </c>
      <c r="BH86" s="662">
        <v>223.6</v>
      </c>
      <c r="BI86" s="617">
        <v>226.6</v>
      </c>
      <c r="BJ86" s="617">
        <v>227.3</v>
      </c>
      <c r="BK86" s="617">
        <v>233.6</v>
      </c>
      <c r="BL86" s="617">
        <v>236</v>
      </c>
      <c r="BM86" s="617">
        <v>250</v>
      </c>
      <c r="BN86" s="617">
        <v>253.1</v>
      </c>
      <c r="BO86" s="617">
        <v>254.2</v>
      </c>
      <c r="BP86" s="617">
        <v>253.4</v>
      </c>
      <c r="BQ86" s="617">
        <v>255.5</v>
      </c>
      <c r="BR86" s="617">
        <v>255.5</v>
      </c>
      <c r="BS86" s="737">
        <v>255.5</v>
      </c>
      <c r="BT86" s="662">
        <v>255.5</v>
      </c>
      <c r="BU86" s="617">
        <v>255.5</v>
      </c>
      <c r="BV86" s="617">
        <v>255.5</v>
      </c>
      <c r="BW86" s="617">
        <v>259.3</v>
      </c>
      <c r="BX86" s="617">
        <v>260.8</v>
      </c>
      <c r="BY86" s="617">
        <v>261.10000000000002</v>
      </c>
      <c r="BZ86" s="617">
        <v>262.89999999999998</v>
      </c>
      <c r="CA86" s="617">
        <v>263.60000000000002</v>
      </c>
      <c r="CB86" s="617">
        <v>263.60000000000002</v>
      </c>
      <c r="CC86" s="617">
        <v>263.60000000000002</v>
      </c>
      <c r="CD86" s="617">
        <v>263.60000000000002</v>
      </c>
      <c r="CE86" s="737">
        <v>263.39999999999998</v>
      </c>
      <c r="CF86" s="662">
        <v>257.39999999999998</v>
      </c>
      <c r="CG86" s="617">
        <v>239.2</v>
      </c>
      <c r="CH86" s="617">
        <v>240.9</v>
      </c>
      <c r="CI86" s="617">
        <v>240.9</v>
      </c>
      <c r="CJ86" s="617">
        <v>245.9</v>
      </c>
      <c r="CK86" s="617">
        <v>246.6</v>
      </c>
      <c r="CL86" s="617">
        <v>242.8</v>
      </c>
      <c r="CM86" s="617">
        <v>248.1</v>
      </c>
      <c r="CN86" s="617">
        <v>248.1</v>
      </c>
      <c r="CO86" s="617">
        <v>248.1</v>
      </c>
      <c r="CP86" s="617">
        <v>250.7</v>
      </c>
      <c r="CQ86" s="737">
        <v>246.5</v>
      </c>
      <c r="CR86" s="662">
        <v>244.6</v>
      </c>
      <c r="CS86" s="617">
        <v>243.5</v>
      </c>
      <c r="CT86" s="617">
        <v>241.9</v>
      </c>
      <c r="CU86" s="617">
        <v>241.9</v>
      </c>
      <c r="CV86" s="617">
        <v>241.9</v>
      </c>
      <c r="CW86" s="617">
        <v>236.8</v>
      </c>
      <c r="CX86" s="617">
        <v>236.4</v>
      </c>
      <c r="CY86" s="617">
        <v>236.4</v>
      </c>
      <c r="CZ86" s="617">
        <v>236.4</v>
      </c>
      <c r="DA86" s="617">
        <v>238.1</v>
      </c>
      <c r="DB86" s="798">
        <v>238.1</v>
      </c>
      <c r="DC86" s="737">
        <v>238.9</v>
      </c>
      <c r="DD86" s="786">
        <v>244.5</v>
      </c>
      <c r="DE86" s="617">
        <v>244.7</v>
      </c>
      <c r="DF86" s="798">
        <v>247</v>
      </c>
      <c r="DG86" s="737">
        <v>244.9</v>
      </c>
      <c r="DH86" s="617">
        <v>253.7</v>
      </c>
      <c r="DI86" s="643">
        <v>252.3</v>
      </c>
      <c r="DJ86" s="643">
        <v>253.8</v>
      </c>
      <c r="DK86" s="906">
        <v>266.60000000000002</v>
      </c>
      <c r="DL86" s="899">
        <v>270</v>
      </c>
      <c r="DM86" s="110">
        <f t="shared" si="0"/>
        <v>1.0127531882970742</v>
      </c>
      <c r="DN86" s="110"/>
      <c r="DO86" s="110"/>
    </row>
    <row r="87" spans="1:119" s="115" customFormat="1" ht="18.95" customHeight="1">
      <c r="A87" s="114"/>
      <c r="B87" s="408">
        <v>67</v>
      </c>
      <c r="C87" s="621" t="s">
        <v>165</v>
      </c>
      <c r="D87" s="622" t="s">
        <v>166</v>
      </c>
      <c r="E87" s="621" t="s">
        <v>918</v>
      </c>
      <c r="F87" s="622"/>
      <c r="G87" s="621" t="s">
        <v>919</v>
      </c>
      <c r="H87" s="621" t="s">
        <v>920</v>
      </c>
      <c r="I87" s="390"/>
      <c r="J87" s="651"/>
      <c r="K87" s="669">
        <v>126.2</v>
      </c>
      <c r="L87" s="665">
        <v>125.09</v>
      </c>
      <c r="M87" s="625">
        <v>125.15</v>
      </c>
      <c r="N87" s="625">
        <v>140.52000000000001</v>
      </c>
      <c r="O87" s="625">
        <v>188.01</v>
      </c>
      <c r="P87" s="625">
        <v>244.81</v>
      </c>
      <c r="Q87" s="625">
        <v>297</v>
      </c>
      <c r="R87" s="625">
        <v>323.32</v>
      </c>
      <c r="S87" s="625">
        <v>343.33</v>
      </c>
      <c r="T87" s="625">
        <v>370.81</v>
      </c>
      <c r="U87" s="625">
        <v>382.18</v>
      </c>
      <c r="V87" s="625">
        <v>384.52</v>
      </c>
      <c r="W87" s="625">
        <v>383.54</v>
      </c>
      <c r="X87" s="625">
        <v>406.07</v>
      </c>
      <c r="Y87" s="625">
        <v>406.51</v>
      </c>
      <c r="Z87" s="625">
        <v>406.9</v>
      </c>
      <c r="AA87" s="625">
        <v>406.68</v>
      </c>
      <c r="AB87" s="625">
        <v>406.68</v>
      </c>
      <c r="AC87" s="625">
        <v>402.3</v>
      </c>
      <c r="AD87" s="625">
        <v>399.57</v>
      </c>
      <c r="AE87" s="625">
        <v>399.57</v>
      </c>
      <c r="AF87" s="625">
        <v>399.57</v>
      </c>
      <c r="AG87" s="625">
        <v>399.57</v>
      </c>
      <c r="AH87" s="625">
        <v>399.57</v>
      </c>
      <c r="AI87" s="764">
        <v>399.57</v>
      </c>
      <c r="AJ87" s="772">
        <v>399.95</v>
      </c>
      <c r="AK87" s="625">
        <v>399.95</v>
      </c>
      <c r="AL87" s="625">
        <v>400.47</v>
      </c>
      <c r="AM87" s="625">
        <v>400.73</v>
      </c>
      <c r="AN87" s="625">
        <v>405.2</v>
      </c>
      <c r="AO87" s="625">
        <v>407.47</v>
      </c>
      <c r="AP87" s="625">
        <v>409.3</v>
      </c>
      <c r="AQ87" s="625">
        <v>425.51</v>
      </c>
      <c r="AR87" s="625">
        <v>430.59</v>
      </c>
      <c r="AS87" s="625">
        <v>430.82</v>
      </c>
      <c r="AT87" s="625">
        <v>430.93</v>
      </c>
      <c r="AU87" s="764">
        <v>431.16</v>
      </c>
      <c r="AV87" s="752">
        <v>431.16</v>
      </c>
      <c r="AW87" s="626">
        <v>431.16</v>
      </c>
      <c r="AX87" s="626">
        <v>434.92</v>
      </c>
      <c r="AY87" s="626">
        <v>434.58</v>
      </c>
      <c r="AZ87" s="626">
        <v>433.74</v>
      </c>
      <c r="BA87" s="626">
        <v>430.24</v>
      </c>
      <c r="BB87" s="626">
        <v>430.24</v>
      </c>
      <c r="BC87" s="627">
        <v>430.08</v>
      </c>
      <c r="BD87" s="626">
        <v>430.42</v>
      </c>
      <c r="BE87" s="627">
        <v>431.1</v>
      </c>
      <c r="BF87" s="627">
        <v>431.1</v>
      </c>
      <c r="BG87" s="738">
        <v>431.1</v>
      </c>
      <c r="BH87" s="660">
        <v>431.1</v>
      </c>
      <c r="BI87" s="623">
        <v>431.1</v>
      </c>
      <c r="BJ87" s="623">
        <v>441.23</v>
      </c>
      <c r="BK87" s="623">
        <v>431.2</v>
      </c>
      <c r="BL87" s="623">
        <v>431.2</v>
      </c>
      <c r="BM87" s="623">
        <v>431.25</v>
      </c>
      <c r="BN87" s="623">
        <v>431.25</v>
      </c>
      <c r="BO87" s="623">
        <v>431.25</v>
      </c>
      <c r="BP87" s="623">
        <v>432.07</v>
      </c>
      <c r="BQ87" s="623">
        <v>431.25</v>
      </c>
      <c r="BR87" s="623">
        <v>431.2</v>
      </c>
      <c r="BS87" s="659">
        <v>431.2</v>
      </c>
      <c r="BT87" s="660">
        <v>431.2</v>
      </c>
      <c r="BU87" s="623">
        <v>431.25</v>
      </c>
      <c r="BV87" s="623">
        <v>431.25</v>
      </c>
      <c r="BW87" s="623">
        <v>431.25</v>
      </c>
      <c r="BX87" s="623">
        <v>435.57</v>
      </c>
      <c r="BY87" s="623">
        <v>437.96</v>
      </c>
      <c r="BZ87" s="623">
        <v>444.17</v>
      </c>
      <c r="CA87" s="623">
        <v>440.98</v>
      </c>
      <c r="CB87" s="623">
        <v>443.35</v>
      </c>
      <c r="CC87" s="623">
        <v>445.21</v>
      </c>
      <c r="CD87" s="623">
        <v>448.22</v>
      </c>
      <c r="CE87" s="659">
        <v>456.08</v>
      </c>
      <c r="CF87" s="660">
        <v>448.6</v>
      </c>
      <c r="CG87" s="623">
        <v>420.39</v>
      </c>
      <c r="CH87" s="623">
        <v>418.16</v>
      </c>
      <c r="CI87" s="623">
        <v>423.22</v>
      </c>
      <c r="CJ87" s="623">
        <v>438.77</v>
      </c>
      <c r="CK87" s="623">
        <v>448.78</v>
      </c>
      <c r="CL87" s="623">
        <v>454.18</v>
      </c>
      <c r="CM87" s="623">
        <v>450.71</v>
      </c>
      <c r="CN87" s="623">
        <v>453.07</v>
      </c>
      <c r="CO87" s="623">
        <v>454.67</v>
      </c>
      <c r="CP87" s="623">
        <v>458.77</v>
      </c>
      <c r="CQ87" s="659">
        <v>463.22</v>
      </c>
      <c r="CR87" s="660">
        <v>471.3</v>
      </c>
      <c r="CS87" s="623">
        <v>482.05</v>
      </c>
      <c r="CT87" s="623">
        <v>495.91</v>
      </c>
      <c r="CU87" s="623">
        <v>519.02</v>
      </c>
      <c r="CV87" s="623">
        <v>534.95000000000005</v>
      </c>
      <c r="CW87" s="623">
        <v>555.30999999999995</v>
      </c>
      <c r="CX87" s="623">
        <v>582.22</v>
      </c>
      <c r="CY87" s="623">
        <v>584.62</v>
      </c>
      <c r="CZ87" s="623">
        <v>586.39</v>
      </c>
      <c r="DA87" s="623">
        <v>604.54</v>
      </c>
      <c r="DB87" s="725">
        <v>606.80999999999995</v>
      </c>
      <c r="DC87" s="659">
        <v>609.45000000000005</v>
      </c>
      <c r="DD87" s="783">
        <v>609.84</v>
      </c>
      <c r="DE87" s="623">
        <v>610.65</v>
      </c>
      <c r="DF87" s="725">
        <v>615.25</v>
      </c>
      <c r="DG87" s="659">
        <v>635.57000000000005</v>
      </c>
      <c r="DH87" s="623">
        <v>655.53</v>
      </c>
      <c r="DI87" s="623">
        <v>679.52</v>
      </c>
      <c r="DJ87" s="623">
        <v>693.53</v>
      </c>
      <c r="DK87" s="659">
        <v>709.66</v>
      </c>
      <c r="DL87" s="897">
        <v>721.1</v>
      </c>
      <c r="DM87" s="110">
        <f t="shared" si="0"/>
        <v>1.0161203956824396</v>
      </c>
      <c r="DN87" s="110"/>
      <c r="DO87" s="110"/>
    </row>
    <row r="88" spans="1:119" s="115" customFormat="1" ht="18.95" customHeight="1">
      <c r="A88" s="114"/>
      <c r="B88" s="408">
        <v>68</v>
      </c>
      <c r="C88" s="621" t="s">
        <v>167</v>
      </c>
      <c r="D88" s="622" t="s">
        <v>168</v>
      </c>
      <c r="E88" s="621" t="s">
        <v>918</v>
      </c>
      <c r="F88" s="622"/>
      <c r="G88" s="621" t="s">
        <v>919</v>
      </c>
      <c r="H88" s="621" t="s">
        <v>920</v>
      </c>
      <c r="I88" s="390" t="s">
        <v>921</v>
      </c>
      <c r="J88" s="651"/>
      <c r="K88" s="669">
        <v>95.09</v>
      </c>
      <c r="L88" s="665">
        <v>100.98</v>
      </c>
      <c r="M88" s="625">
        <v>104.1</v>
      </c>
      <c r="N88" s="625">
        <v>126.62</v>
      </c>
      <c r="O88" s="625">
        <v>173.61</v>
      </c>
      <c r="P88" s="625">
        <v>185.65</v>
      </c>
      <c r="Q88" s="625">
        <v>189.96</v>
      </c>
      <c r="R88" s="625">
        <v>189.96</v>
      </c>
      <c r="S88" s="625">
        <v>189.96</v>
      </c>
      <c r="T88" s="625">
        <v>191.42</v>
      </c>
      <c r="U88" s="625">
        <v>192.88</v>
      </c>
      <c r="V88" s="625">
        <v>192.88</v>
      </c>
      <c r="W88" s="625">
        <v>192.83</v>
      </c>
      <c r="X88" s="625">
        <v>192.88</v>
      </c>
      <c r="Y88" s="625">
        <v>192.88</v>
      </c>
      <c r="Z88" s="625">
        <v>192.88</v>
      </c>
      <c r="AA88" s="625">
        <v>192.88</v>
      </c>
      <c r="AB88" s="625">
        <v>192.88</v>
      </c>
      <c r="AC88" s="625">
        <v>192.88</v>
      </c>
      <c r="AD88" s="625">
        <v>192.88</v>
      </c>
      <c r="AE88" s="625">
        <v>192.88</v>
      </c>
      <c r="AF88" s="625">
        <v>193.61</v>
      </c>
      <c r="AG88" s="625">
        <v>193.61</v>
      </c>
      <c r="AH88" s="625">
        <v>174.6</v>
      </c>
      <c r="AI88" s="764">
        <v>181.88</v>
      </c>
      <c r="AJ88" s="772">
        <v>181.88</v>
      </c>
      <c r="AK88" s="625">
        <v>184.81</v>
      </c>
      <c r="AL88" s="625">
        <v>200.62</v>
      </c>
      <c r="AM88" s="625">
        <v>200.62</v>
      </c>
      <c r="AN88" s="625">
        <v>205.68</v>
      </c>
      <c r="AO88" s="625">
        <v>205.68</v>
      </c>
      <c r="AP88" s="625">
        <v>205.68</v>
      </c>
      <c r="AQ88" s="625">
        <v>205.68</v>
      </c>
      <c r="AR88" s="625">
        <v>205.68</v>
      </c>
      <c r="AS88" s="625">
        <v>213.66</v>
      </c>
      <c r="AT88" s="625">
        <v>213.66</v>
      </c>
      <c r="AU88" s="764">
        <v>213.66</v>
      </c>
      <c r="AV88" s="752">
        <v>213.66</v>
      </c>
      <c r="AW88" s="626">
        <v>221.64</v>
      </c>
      <c r="AX88" s="626">
        <v>221.64</v>
      </c>
      <c r="AY88" s="626">
        <v>224.57</v>
      </c>
      <c r="AZ88" s="626">
        <v>224.57</v>
      </c>
      <c r="BA88" s="626">
        <v>224.57</v>
      </c>
      <c r="BB88" s="626">
        <v>226.52</v>
      </c>
      <c r="BC88" s="627">
        <v>234.49</v>
      </c>
      <c r="BD88" s="626">
        <v>227.83</v>
      </c>
      <c r="BE88" s="627">
        <v>232.26</v>
      </c>
      <c r="BF88" s="627">
        <v>243.8</v>
      </c>
      <c r="BG88" s="738">
        <v>243.8</v>
      </c>
      <c r="BH88" s="660">
        <v>243.8</v>
      </c>
      <c r="BI88" s="623">
        <v>262.49</v>
      </c>
      <c r="BJ88" s="623">
        <v>262.49</v>
      </c>
      <c r="BK88" s="623">
        <v>284.85000000000002</v>
      </c>
      <c r="BL88" s="623">
        <v>337.07</v>
      </c>
      <c r="BM88" s="623">
        <v>328.4</v>
      </c>
      <c r="BN88" s="623">
        <v>328.4</v>
      </c>
      <c r="BO88" s="623">
        <v>328.4</v>
      </c>
      <c r="BP88" s="623">
        <v>328.4</v>
      </c>
      <c r="BQ88" s="623">
        <v>328.4</v>
      </c>
      <c r="BR88" s="623">
        <v>328.4</v>
      </c>
      <c r="BS88" s="659">
        <v>328.4</v>
      </c>
      <c r="BT88" s="660">
        <v>328.4</v>
      </c>
      <c r="BU88" s="623">
        <v>328.4</v>
      </c>
      <c r="BV88" s="623">
        <v>328.4</v>
      </c>
      <c r="BW88" s="623">
        <v>328.4</v>
      </c>
      <c r="BX88" s="623">
        <v>353.16</v>
      </c>
      <c r="BY88" s="623">
        <v>353.16</v>
      </c>
      <c r="BZ88" s="623">
        <v>353.16</v>
      </c>
      <c r="CA88" s="623">
        <v>359.69</v>
      </c>
      <c r="CB88" s="623">
        <v>364.97</v>
      </c>
      <c r="CC88" s="623">
        <v>376.47</v>
      </c>
      <c r="CD88" s="623">
        <v>381.67</v>
      </c>
      <c r="CE88" s="659">
        <v>385.76</v>
      </c>
      <c r="CF88" s="660">
        <v>385.76</v>
      </c>
      <c r="CG88" s="623">
        <v>385.76</v>
      </c>
      <c r="CH88" s="623">
        <v>385.76</v>
      </c>
      <c r="CI88" s="623">
        <v>388.64</v>
      </c>
      <c r="CJ88" s="623">
        <v>400.96</v>
      </c>
      <c r="CK88" s="623">
        <v>404.21</v>
      </c>
      <c r="CL88" s="623">
        <v>418.36</v>
      </c>
      <c r="CM88" s="623">
        <v>418.36</v>
      </c>
      <c r="CN88" s="623">
        <v>445.08</v>
      </c>
      <c r="CO88" s="623">
        <v>445.08</v>
      </c>
      <c r="CP88" s="623">
        <v>444.27</v>
      </c>
      <c r="CQ88" s="659">
        <v>444.27</v>
      </c>
      <c r="CR88" s="660">
        <v>444.27</v>
      </c>
      <c r="CS88" s="623">
        <v>444.27</v>
      </c>
      <c r="CT88" s="623">
        <v>444.27</v>
      </c>
      <c r="CU88" s="623">
        <v>454.45</v>
      </c>
      <c r="CV88" s="623">
        <v>454.45</v>
      </c>
      <c r="CW88" s="623">
        <v>468.67</v>
      </c>
      <c r="CX88" s="623">
        <v>468.67</v>
      </c>
      <c r="CY88" s="623">
        <v>468.67</v>
      </c>
      <c r="CZ88" s="623">
        <v>508.31</v>
      </c>
      <c r="DA88" s="623">
        <v>508.31</v>
      </c>
      <c r="DB88" s="725">
        <v>508.31</v>
      </c>
      <c r="DC88" s="659">
        <v>508.31</v>
      </c>
      <c r="DD88" s="783">
        <v>542.88</v>
      </c>
      <c r="DE88" s="623">
        <v>557.08000000000004</v>
      </c>
      <c r="DF88" s="725">
        <v>557.08000000000004</v>
      </c>
      <c r="DG88" s="659">
        <v>570.27</v>
      </c>
      <c r="DH88" s="623">
        <v>570.27</v>
      </c>
      <c r="DI88" s="623">
        <v>569.89</v>
      </c>
      <c r="DJ88" s="623">
        <v>569.9</v>
      </c>
      <c r="DK88" s="659">
        <v>569.9</v>
      </c>
      <c r="DL88" s="897">
        <v>569.9</v>
      </c>
      <c r="DM88" s="110">
        <f t="shared" si="0"/>
        <v>1</v>
      </c>
      <c r="DN88" s="110"/>
      <c r="DO88" s="110"/>
    </row>
    <row r="89" spans="1:119" s="115" customFormat="1" ht="18.95" customHeight="1">
      <c r="A89" s="114"/>
      <c r="B89" s="408">
        <v>69</v>
      </c>
      <c r="C89" s="621" t="s">
        <v>169</v>
      </c>
      <c r="D89" s="622" t="s">
        <v>170</v>
      </c>
      <c r="E89" s="621" t="s">
        <v>918</v>
      </c>
      <c r="F89" s="622"/>
      <c r="G89" s="621" t="s">
        <v>919</v>
      </c>
      <c r="H89" s="621" t="s">
        <v>920</v>
      </c>
      <c r="I89" s="390" t="s">
        <v>921</v>
      </c>
      <c r="J89" s="651"/>
      <c r="K89" s="669">
        <v>125.13</v>
      </c>
      <c r="L89" s="665">
        <v>135.77000000000001</v>
      </c>
      <c r="M89" s="625">
        <v>142.72</v>
      </c>
      <c r="N89" s="625">
        <v>149.36000000000001</v>
      </c>
      <c r="O89" s="625">
        <v>166.74</v>
      </c>
      <c r="P89" s="625">
        <v>185.86</v>
      </c>
      <c r="Q89" s="625">
        <v>192.38</v>
      </c>
      <c r="R89" s="625">
        <v>202.45</v>
      </c>
      <c r="S89" s="625">
        <v>202.45</v>
      </c>
      <c r="T89" s="625">
        <v>207.33</v>
      </c>
      <c r="U89" s="625">
        <v>208.78</v>
      </c>
      <c r="V89" s="625">
        <v>213.66</v>
      </c>
      <c r="W89" s="625">
        <v>213.66</v>
      </c>
      <c r="X89" s="625">
        <v>215.14</v>
      </c>
      <c r="Y89" s="625">
        <v>215.14</v>
      </c>
      <c r="Z89" s="625">
        <v>215.14</v>
      </c>
      <c r="AA89" s="625">
        <v>215.14</v>
      </c>
      <c r="AB89" s="625">
        <v>215.14</v>
      </c>
      <c r="AC89" s="625">
        <v>215.14</v>
      </c>
      <c r="AD89" s="625">
        <v>215.14</v>
      </c>
      <c r="AE89" s="625">
        <v>215.14</v>
      </c>
      <c r="AF89" s="625">
        <v>215.14</v>
      </c>
      <c r="AG89" s="625">
        <v>215.14</v>
      </c>
      <c r="AH89" s="625">
        <v>215.14</v>
      </c>
      <c r="AI89" s="764">
        <v>215.14</v>
      </c>
      <c r="AJ89" s="772">
        <v>215.14</v>
      </c>
      <c r="AK89" s="625">
        <v>217.71</v>
      </c>
      <c r="AL89" s="625">
        <v>217.71</v>
      </c>
      <c r="AM89" s="625">
        <v>226.4</v>
      </c>
      <c r="AN89" s="625">
        <v>226.4</v>
      </c>
      <c r="AO89" s="625">
        <v>230.35</v>
      </c>
      <c r="AP89" s="625">
        <v>235.56</v>
      </c>
      <c r="AQ89" s="625">
        <v>235.56</v>
      </c>
      <c r="AR89" s="625">
        <v>235.56</v>
      </c>
      <c r="AS89" s="625">
        <v>236.66</v>
      </c>
      <c r="AT89" s="625">
        <v>245.44</v>
      </c>
      <c r="AU89" s="764">
        <v>245.44</v>
      </c>
      <c r="AV89" s="752">
        <v>247.14</v>
      </c>
      <c r="AW89" s="626">
        <v>247.14</v>
      </c>
      <c r="AX89" s="626">
        <v>247.14</v>
      </c>
      <c r="AY89" s="626">
        <v>251.05</v>
      </c>
      <c r="AZ89" s="626">
        <v>259.77</v>
      </c>
      <c r="BA89" s="626">
        <v>259.77</v>
      </c>
      <c r="BB89" s="626">
        <v>259.77</v>
      </c>
      <c r="BC89" s="627">
        <v>262.75</v>
      </c>
      <c r="BD89" s="626">
        <v>262.75</v>
      </c>
      <c r="BE89" s="627">
        <v>266.23</v>
      </c>
      <c r="BF89" s="627">
        <v>268.77</v>
      </c>
      <c r="BG89" s="738">
        <v>268.77</v>
      </c>
      <c r="BH89" s="660">
        <v>268.77</v>
      </c>
      <c r="BI89" s="623">
        <v>289.64999999999998</v>
      </c>
      <c r="BJ89" s="623">
        <v>289.64999999999998</v>
      </c>
      <c r="BK89" s="623">
        <v>289.64999999999998</v>
      </c>
      <c r="BL89" s="623">
        <v>298.33999999999997</v>
      </c>
      <c r="BM89" s="623">
        <v>298.98</v>
      </c>
      <c r="BN89" s="623">
        <v>300.72000000000003</v>
      </c>
      <c r="BO89" s="623">
        <v>298.98</v>
      </c>
      <c r="BP89" s="623">
        <v>298.98</v>
      </c>
      <c r="BQ89" s="623">
        <v>301.74</v>
      </c>
      <c r="BR89" s="623">
        <v>301.74</v>
      </c>
      <c r="BS89" s="659">
        <v>301.74</v>
      </c>
      <c r="BT89" s="660">
        <v>308.87</v>
      </c>
      <c r="BU89" s="623">
        <v>308.87</v>
      </c>
      <c r="BV89" s="623">
        <v>321.51</v>
      </c>
      <c r="BW89" s="623">
        <v>328.34</v>
      </c>
      <c r="BX89" s="623">
        <v>328.34</v>
      </c>
      <c r="BY89" s="623">
        <v>336.77</v>
      </c>
      <c r="BZ89" s="623">
        <v>335</v>
      </c>
      <c r="CA89" s="623">
        <v>336.77</v>
      </c>
      <c r="CB89" s="623">
        <v>345.47</v>
      </c>
      <c r="CC89" s="623">
        <v>345.47</v>
      </c>
      <c r="CD89" s="623">
        <v>345.47</v>
      </c>
      <c r="CE89" s="659">
        <v>365.47</v>
      </c>
      <c r="CF89" s="660">
        <v>365.47</v>
      </c>
      <c r="CG89" s="623">
        <v>365.47</v>
      </c>
      <c r="CH89" s="623">
        <v>365.47</v>
      </c>
      <c r="CI89" s="623">
        <v>370.81</v>
      </c>
      <c r="CJ89" s="623">
        <v>379.28</v>
      </c>
      <c r="CK89" s="623">
        <v>379.28</v>
      </c>
      <c r="CL89" s="623">
        <v>399.07</v>
      </c>
      <c r="CM89" s="623">
        <v>404.4</v>
      </c>
      <c r="CN89" s="623">
        <v>409.91</v>
      </c>
      <c r="CO89" s="623">
        <v>414.79</v>
      </c>
      <c r="CP89" s="623">
        <v>420.56</v>
      </c>
      <c r="CQ89" s="659">
        <v>428.61</v>
      </c>
      <c r="CR89" s="660">
        <v>428.61</v>
      </c>
      <c r="CS89" s="623">
        <v>433.48</v>
      </c>
      <c r="CT89" s="623">
        <v>449.72</v>
      </c>
      <c r="CU89" s="623">
        <v>449.72</v>
      </c>
      <c r="CV89" s="623">
        <v>459.98</v>
      </c>
      <c r="CW89" s="623">
        <v>459.98</v>
      </c>
      <c r="CX89" s="623">
        <v>459.98</v>
      </c>
      <c r="CY89" s="623">
        <v>465.21</v>
      </c>
      <c r="CZ89" s="623">
        <v>465.21</v>
      </c>
      <c r="DA89" s="623">
        <v>465.21</v>
      </c>
      <c r="DB89" s="725">
        <v>465.21</v>
      </c>
      <c r="DC89" s="659">
        <v>465.21</v>
      </c>
      <c r="DD89" s="787">
        <v>481.6</v>
      </c>
      <c r="DE89" s="623">
        <v>481.6</v>
      </c>
      <c r="DF89" s="725">
        <v>491.95</v>
      </c>
      <c r="DG89" s="659">
        <v>491.95</v>
      </c>
      <c r="DH89" s="623">
        <v>494.04</v>
      </c>
      <c r="DI89" s="623">
        <v>502.1</v>
      </c>
      <c r="DJ89" s="623">
        <v>511.76</v>
      </c>
      <c r="DK89" s="659">
        <v>525.80999999999995</v>
      </c>
      <c r="DL89" s="897">
        <v>531.16999999999996</v>
      </c>
      <c r="DM89" s="110">
        <f t="shared" si="0"/>
        <v>1.0101937962381848</v>
      </c>
      <c r="DN89" s="110"/>
      <c r="DO89" s="110"/>
    </row>
    <row r="90" spans="1:119" s="115" customFormat="1" ht="18.95" customHeight="1">
      <c r="A90" s="114"/>
      <c r="B90" s="408">
        <v>70</v>
      </c>
      <c r="C90" s="621" t="s">
        <v>171</v>
      </c>
      <c r="D90" s="622" t="s">
        <v>172</v>
      </c>
      <c r="E90" s="621" t="s">
        <v>918</v>
      </c>
      <c r="F90" s="622"/>
      <c r="G90" s="621" t="s">
        <v>929</v>
      </c>
      <c r="H90" s="621" t="s">
        <v>930</v>
      </c>
      <c r="I90" s="390" t="s">
        <v>173</v>
      </c>
      <c r="J90" s="651"/>
      <c r="K90" s="669">
        <v>80.599999999999994</v>
      </c>
      <c r="L90" s="665">
        <v>80.8</v>
      </c>
      <c r="M90" s="625">
        <v>83.6</v>
      </c>
      <c r="N90" s="625">
        <v>84.1</v>
      </c>
      <c r="O90" s="625">
        <v>87.4</v>
      </c>
      <c r="P90" s="625">
        <v>92.7</v>
      </c>
      <c r="Q90" s="625">
        <v>95.8</v>
      </c>
      <c r="R90" s="625">
        <v>100.3</v>
      </c>
      <c r="S90" s="625">
        <v>108.5</v>
      </c>
      <c r="T90" s="625">
        <v>117.6</v>
      </c>
      <c r="U90" s="625">
        <v>126</v>
      </c>
      <c r="V90" s="625">
        <v>139.30000000000001</v>
      </c>
      <c r="W90" s="625">
        <v>142.9</v>
      </c>
      <c r="X90" s="625">
        <v>145.69999999999999</v>
      </c>
      <c r="Y90" s="625">
        <v>145.69999999999999</v>
      </c>
      <c r="Z90" s="625">
        <v>149.5</v>
      </c>
      <c r="AA90" s="625">
        <v>151</v>
      </c>
      <c r="AB90" s="625">
        <v>151</v>
      </c>
      <c r="AC90" s="625">
        <v>151.1</v>
      </c>
      <c r="AD90" s="625">
        <v>151.6</v>
      </c>
      <c r="AE90" s="625">
        <v>150.5</v>
      </c>
      <c r="AF90" s="625">
        <v>151.80000000000001</v>
      </c>
      <c r="AG90" s="625">
        <v>150.9</v>
      </c>
      <c r="AH90" s="625">
        <v>153.69999999999999</v>
      </c>
      <c r="AI90" s="764">
        <v>155.9</v>
      </c>
      <c r="AJ90" s="772">
        <v>155.4</v>
      </c>
      <c r="AK90" s="625">
        <v>155.9</v>
      </c>
      <c r="AL90" s="625">
        <v>156.19999999999999</v>
      </c>
      <c r="AM90" s="625">
        <v>158.9</v>
      </c>
      <c r="AN90" s="625">
        <v>163</v>
      </c>
      <c r="AO90" s="625">
        <v>163.4</v>
      </c>
      <c r="AP90" s="625">
        <v>163.80000000000001</v>
      </c>
      <c r="AQ90" s="625">
        <v>167.9</v>
      </c>
      <c r="AR90" s="625">
        <v>168.7</v>
      </c>
      <c r="AS90" s="625">
        <v>169.1</v>
      </c>
      <c r="AT90" s="625">
        <v>171</v>
      </c>
      <c r="AU90" s="764">
        <v>171.3</v>
      </c>
      <c r="AV90" s="752">
        <v>173.6</v>
      </c>
      <c r="AW90" s="626">
        <v>174</v>
      </c>
      <c r="AX90" s="626">
        <v>175.2</v>
      </c>
      <c r="AY90" s="626">
        <v>177.9</v>
      </c>
      <c r="AZ90" s="626">
        <v>179.5</v>
      </c>
      <c r="BA90" s="626">
        <v>184.9</v>
      </c>
      <c r="BB90" s="626">
        <v>185.7</v>
      </c>
      <c r="BC90" s="627">
        <v>188.3</v>
      </c>
      <c r="BD90" s="626">
        <v>188.4</v>
      </c>
      <c r="BE90" s="627">
        <v>189.6</v>
      </c>
      <c r="BF90" s="627">
        <v>193.5</v>
      </c>
      <c r="BG90" s="738">
        <v>194.5</v>
      </c>
      <c r="BH90" s="660">
        <v>196.7</v>
      </c>
      <c r="BI90" s="623">
        <v>196.7</v>
      </c>
      <c r="BJ90" s="623">
        <v>199.2</v>
      </c>
      <c r="BK90" s="623">
        <v>201.4</v>
      </c>
      <c r="BL90" s="623">
        <v>205</v>
      </c>
      <c r="BM90" s="623">
        <v>207.7</v>
      </c>
      <c r="BN90" s="623">
        <v>211.9</v>
      </c>
      <c r="BO90" s="623">
        <v>211.9</v>
      </c>
      <c r="BP90" s="623">
        <v>213.2</v>
      </c>
      <c r="BQ90" s="623">
        <v>213.2</v>
      </c>
      <c r="BR90" s="623">
        <v>214.1</v>
      </c>
      <c r="BS90" s="659">
        <v>214.4</v>
      </c>
      <c r="BT90" s="660">
        <v>217.3</v>
      </c>
      <c r="BU90" s="623">
        <v>217.6</v>
      </c>
      <c r="BV90" s="623">
        <v>222.2</v>
      </c>
      <c r="BW90" s="623">
        <v>223.3</v>
      </c>
      <c r="BX90" s="623">
        <v>223.8</v>
      </c>
      <c r="BY90" s="623">
        <v>228.4</v>
      </c>
      <c r="BZ90" s="623">
        <v>230.1</v>
      </c>
      <c r="CA90" s="623">
        <v>240.2</v>
      </c>
      <c r="CB90" s="623">
        <v>232.6</v>
      </c>
      <c r="CC90" s="623">
        <v>243.4</v>
      </c>
      <c r="CD90" s="623">
        <v>252</v>
      </c>
      <c r="CE90" s="659">
        <v>259.89999999999998</v>
      </c>
      <c r="CF90" s="660">
        <v>266.7</v>
      </c>
      <c r="CG90" s="623">
        <v>270.39999999999998</v>
      </c>
      <c r="CH90" s="623">
        <v>272.5</v>
      </c>
      <c r="CI90" s="623">
        <v>280.2</v>
      </c>
      <c r="CJ90" s="623">
        <v>281.2</v>
      </c>
      <c r="CK90" s="623">
        <v>287.10000000000002</v>
      </c>
      <c r="CL90" s="623">
        <v>291.5</v>
      </c>
      <c r="CM90" s="623">
        <v>293.5</v>
      </c>
      <c r="CN90" s="623">
        <v>300.60000000000002</v>
      </c>
      <c r="CO90" s="623">
        <v>300.60000000000002</v>
      </c>
      <c r="CP90" s="623">
        <v>300.60000000000002</v>
      </c>
      <c r="CQ90" s="659">
        <v>300.60000000000002</v>
      </c>
      <c r="CR90" s="660">
        <v>302.89999999999998</v>
      </c>
      <c r="CS90" s="623">
        <v>301.8</v>
      </c>
      <c r="CT90" s="623">
        <v>300.60000000000002</v>
      </c>
      <c r="CU90" s="623">
        <v>301.8</v>
      </c>
      <c r="CV90" s="623">
        <v>304.3</v>
      </c>
      <c r="CW90" s="623">
        <v>304.7</v>
      </c>
      <c r="CX90" s="623">
        <v>305.7</v>
      </c>
      <c r="CY90" s="623">
        <v>314.2</v>
      </c>
      <c r="CZ90" s="623">
        <v>318.7</v>
      </c>
      <c r="DA90" s="623">
        <v>316.3</v>
      </c>
      <c r="DB90" s="725">
        <v>316.3</v>
      </c>
      <c r="DC90" s="659">
        <v>316.3</v>
      </c>
      <c r="DD90" s="783">
        <v>319.7</v>
      </c>
      <c r="DE90" s="623">
        <v>322.10000000000002</v>
      </c>
      <c r="DF90" s="725">
        <v>322.10000000000002</v>
      </c>
      <c r="DG90" s="659">
        <v>331.7</v>
      </c>
      <c r="DH90" s="623">
        <v>336.3</v>
      </c>
      <c r="DI90" s="623">
        <v>338.6</v>
      </c>
      <c r="DJ90" s="623">
        <v>338.6</v>
      </c>
      <c r="DK90" s="659">
        <v>338.6</v>
      </c>
      <c r="DL90" s="897">
        <v>351.2</v>
      </c>
      <c r="DM90" s="110">
        <f t="shared" si="0"/>
        <v>1.0372120496160659</v>
      </c>
      <c r="DN90" s="110"/>
      <c r="DO90" s="110"/>
    </row>
    <row r="91" spans="1:119" s="115" customFormat="1" ht="20.25" customHeight="1">
      <c r="A91" s="114"/>
      <c r="B91" s="408">
        <v>71</v>
      </c>
      <c r="C91" s="632" t="s">
        <v>174</v>
      </c>
      <c r="D91" s="622" t="s">
        <v>175</v>
      </c>
      <c r="E91" s="621" t="s">
        <v>918</v>
      </c>
      <c r="F91" s="622"/>
      <c r="G91" s="621" t="s">
        <v>515</v>
      </c>
      <c r="H91" s="621"/>
      <c r="I91" s="390" t="s">
        <v>83</v>
      </c>
      <c r="J91" s="676" t="s">
        <v>447</v>
      </c>
      <c r="K91" s="669">
        <v>100</v>
      </c>
      <c r="L91" s="665">
        <v>133</v>
      </c>
      <c r="M91" s="625">
        <v>167</v>
      </c>
      <c r="N91" s="625">
        <v>241</v>
      </c>
      <c r="O91" s="625">
        <v>242</v>
      </c>
      <c r="P91" s="625">
        <v>301</v>
      </c>
      <c r="Q91" s="625">
        <v>318</v>
      </c>
      <c r="R91" s="625">
        <v>303</v>
      </c>
      <c r="S91" s="625">
        <v>298</v>
      </c>
      <c r="T91" s="625">
        <v>305</v>
      </c>
      <c r="U91" s="625">
        <v>293</v>
      </c>
      <c r="V91" s="625">
        <v>299</v>
      </c>
      <c r="W91" s="625">
        <v>282</v>
      </c>
      <c r="X91" s="625">
        <v>270</v>
      </c>
      <c r="Y91" s="625">
        <v>269</v>
      </c>
      <c r="Z91" s="625">
        <v>255</v>
      </c>
      <c r="AA91" s="625">
        <v>255</v>
      </c>
      <c r="AB91" s="625">
        <v>246</v>
      </c>
      <c r="AC91" s="625">
        <v>243</v>
      </c>
      <c r="AD91" s="625">
        <v>250</v>
      </c>
      <c r="AE91" s="625">
        <v>253</v>
      </c>
      <c r="AF91" s="625">
        <v>250</v>
      </c>
      <c r="AG91" s="625">
        <v>250</v>
      </c>
      <c r="AH91" s="625">
        <v>250</v>
      </c>
      <c r="AI91" s="764">
        <v>250</v>
      </c>
      <c r="AJ91" s="772">
        <v>277</v>
      </c>
      <c r="AK91" s="625">
        <v>277</v>
      </c>
      <c r="AL91" s="625">
        <v>272.8</v>
      </c>
      <c r="AM91" s="625">
        <v>273.39999999999998</v>
      </c>
      <c r="AN91" s="625">
        <v>273.39999999999998</v>
      </c>
      <c r="AO91" s="625">
        <v>273.39999999999998</v>
      </c>
      <c r="AP91" s="625">
        <v>291.2</v>
      </c>
      <c r="AQ91" s="625">
        <v>291.2</v>
      </c>
      <c r="AR91" s="625">
        <v>302.3</v>
      </c>
      <c r="AS91" s="625">
        <v>302.3</v>
      </c>
      <c r="AT91" s="625">
        <v>302.3</v>
      </c>
      <c r="AU91" s="764">
        <v>302.3</v>
      </c>
      <c r="AV91" s="752">
        <v>312.8</v>
      </c>
      <c r="AW91" s="626">
        <v>312.8</v>
      </c>
      <c r="AX91" s="626">
        <v>337.8</v>
      </c>
      <c r="AY91" s="626">
        <v>345.8</v>
      </c>
      <c r="AZ91" s="626">
        <v>345.8</v>
      </c>
      <c r="BA91" s="626">
        <v>321</v>
      </c>
      <c r="BB91" s="626">
        <v>321</v>
      </c>
      <c r="BC91" s="627">
        <v>379.3</v>
      </c>
      <c r="BD91" s="626">
        <v>389.6</v>
      </c>
      <c r="BE91" s="627">
        <v>389.6</v>
      </c>
      <c r="BF91" s="627">
        <v>417.7</v>
      </c>
      <c r="BG91" s="738">
        <v>417.7</v>
      </c>
      <c r="BH91" s="660">
        <v>394.7</v>
      </c>
      <c r="BI91" s="623">
        <v>377.8</v>
      </c>
      <c r="BJ91" s="623">
        <v>379.6</v>
      </c>
      <c r="BK91" s="623">
        <v>384.8</v>
      </c>
      <c r="BL91" s="623">
        <v>384.8</v>
      </c>
      <c r="BM91" s="623">
        <v>453.3</v>
      </c>
      <c r="BN91" s="623">
        <v>453.3</v>
      </c>
      <c r="BO91" s="623">
        <v>457</v>
      </c>
      <c r="BP91" s="623">
        <v>457</v>
      </c>
      <c r="BQ91" s="623">
        <v>582.70000000000005</v>
      </c>
      <c r="BR91" s="623">
        <v>582.70000000000005</v>
      </c>
      <c r="BS91" s="659">
        <v>582.70000000000005</v>
      </c>
      <c r="BT91" s="660">
        <v>582.70000000000005</v>
      </c>
      <c r="BU91" s="623">
        <v>582.70000000000005</v>
      </c>
      <c r="BV91" s="623">
        <v>582.70000000000005</v>
      </c>
      <c r="BW91" s="623">
        <v>581.12699999999995</v>
      </c>
      <c r="BX91" s="623">
        <v>589.34299999999996</v>
      </c>
      <c r="BY91" s="623">
        <v>622.73099999999999</v>
      </c>
      <c r="BZ91" s="623">
        <v>627.33500000000004</v>
      </c>
      <c r="CA91" s="623">
        <v>650.46799999999996</v>
      </c>
      <c r="CB91" s="623">
        <v>664.33600000000001</v>
      </c>
      <c r="CC91" s="623">
        <v>680.76800000000003</v>
      </c>
      <c r="CD91" s="623">
        <v>680.76800000000003</v>
      </c>
      <c r="CE91" s="659">
        <f>+'ANEXO I CADIEEL'!CE12</f>
        <v>705.18353999999999</v>
      </c>
      <c r="CF91" s="660">
        <f>+'ANEXO I CADIEEL'!CF12</f>
        <v>736.99896000000012</v>
      </c>
      <c r="CG91" s="623">
        <f>+'ANEXO I CADIEEL'!CG12</f>
        <v>746.73005000000012</v>
      </c>
      <c r="CH91" s="623">
        <f>'ANEXO I CADIEEL'!CH12</f>
        <v>754.88785000000007</v>
      </c>
      <c r="CI91" s="623">
        <f>'ANEXO I CADIEEL'!CI12</f>
        <v>794.04529000000002</v>
      </c>
      <c r="CJ91" s="623">
        <f>'ANEXO I CADIEEL'!CJ12</f>
        <v>811.8176400000001</v>
      </c>
      <c r="CK91" s="623">
        <f>'ANEXO I CADIEEL'!CK12</f>
        <v>833.14446000000009</v>
      </c>
      <c r="CL91" s="623">
        <f>'ANEXO I CADIEEL'!CL12</f>
        <v>847.53715</v>
      </c>
      <c r="CM91" s="623">
        <f>'ANEXO I CADIEEL'!CM12</f>
        <v>862.86216000000013</v>
      </c>
      <c r="CN91" s="623">
        <f>'ANEXO I CADIEEL'!CN12</f>
        <v>867.87338000000011</v>
      </c>
      <c r="CO91" s="623">
        <f>'ANEXO I CADIEEL'!CO12</f>
        <v>867.87338000000011</v>
      </c>
      <c r="CP91" s="623">
        <f>+CO91</f>
        <v>867.87338000000011</v>
      </c>
      <c r="CQ91" s="659">
        <f>'ANEXO I CADIEEL'!CQ12</f>
        <v>881.97472000000005</v>
      </c>
      <c r="CR91" s="660">
        <f>'ANEXO I CADIEEL'!CR12</f>
        <v>881.97472000000005</v>
      </c>
      <c r="CS91" s="623">
        <f>'ANEXO I CADIEEL'!CS12</f>
        <v>862.45427000000007</v>
      </c>
      <c r="CT91" s="740" t="s">
        <v>524</v>
      </c>
      <c r="CU91" s="740" t="s">
        <v>524</v>
      </c>
      <c r="CV91" s="740" t="s">
        <v>524</v>
      </c>
      <c r="CW91" s="740" t="s">
        <v>524</v>
      </c>
      <c r="CX91" s="740" t="s">
        <v>524</v>
      </c>
      <c r="CY91" s="740" t="s">
        <v>524</v>
      </c>
      <c r="CZ91" s="740" t="s">
        <v>524</v>
      </c>
      <c r="DA91" s="740" t="s">
        <v>524</v>
      </c>
      <c r="DB91" s="740" t="s">
        <v>524</v>
      </c>
      <c r="DC91" s="777" t="s">
        <v>524</v>
      </c>
      <c r="DD91" s="785" t="s">
        <v>524</v>
      </c>
      <c r="DE91" s="740" t="s">
        <v>524</v>
      </c>
      <c r="DF91" s="797" t="s">
        <v>524</v>
      </c>
      <c r="DG91" s="777" t="s">
        <v>524</v>
      </c>
      <c r="DH91" s="740" t="s">
        <v>524</v>
      </c>
      <c r="DI91" s="740" t="s">
        <v>524</v>
      </c>
      <c r="DJ91" s="740" t="s">
        <v>524</v>
      </c>
      <c r="DK91" s="777" t="s">
        <v>524</v>
      </c>
      <c r="DL91" s="898" t="s">
        <v>524</v>
      </c>
      <c r="DM91" s="110"/>
      <c r="DN91" s="110"/>
      <c r="DO91" s="110"/>
    </row>
    <row r="92" spans="1:119" s="115" customFormat="1" ht="18.95" customHeight="1">
      <c r="A92" s="114"/>
      <c r="B92" s="613">
        <v>72</v>
      </c>
      <c r="C92" s="614" t="s">
        <v>176</v>
      </c>
      <c r="D92" s="615" t="s">
        <v>177</v>
      </c>
      <c r="E92" s="614" t="s">
        <v>918</v>
      </c>
      <c r="F92" s="615"/>
      <c r="G92" s="614" t="s">
        <v>919</v>
      </c>
      <c r="H92" s="614" t="s">
        <v>920</v>
      </c>
      <c r="I92" s="647" t="s">
        <v>921</v>
      </c>
      <c r="J92" s="652"/>
      <c r="K92" s="671">
        <v>98.77</v>
      </c>
      <c r="L92" s="667">
        <v>107.66</v>
      </c>
      <c r="M92" s="618">
        <v>134.63</v>
      </c>
      <c r="N92" s="618">
        <v>133.29</v>
      </c>
      <c r="O92" s="618">
        <v>161.88</v>
      </c>
      <c r="P92" s="618">
        <v>169.85</v>
      </c>
      <c r="Q92" s="618">
        <v>194.69</v>
      </c>
      <c r="R92" s="618">
        <v>196.84</v>
      </c>
      <c r="S92" s="618">
        <v>204.35</v>
      </c>
      <c r="T92" s="618">
        <v>204.04</v>
      </c>
      <c r="U92" s="618">
        <v>205.25</v>
      </c>
      <c r="V92" s="618">
        <v>191.68</v>
      </c>
      <c r="W92" s="618">
        <v>191.68</v>
      </c>
      <c r="X92" s="618">
        <v>191.68</v>
      </c>
      <c r="Y92" s="618">
        <v>191.68</v>
      </c>
      <c r="Z92" s="618">
        <v>191.68</v>
      </c>
      <c r="AA92" s="618">
        <v>191.99</v>
      </c>
      <c r="AB92" s="618">
        <v>191.99</v>
      </c>
      <c r="AC92" s="618">
        <v>193</v>
      </c>
      <c r="AD92" s="618">
        <v>193</v>
      </c>
      <c r="AE92" s="618">
        <v>192.69</v>
      </c>
      <c r="AF92" s="618">
        <v>192.69</v>
      </c>
      <c r="AG92" s="618">
        <v>185.17</v>
      </c>
      <c r="AH92" s="618">
        <v>192.69</v>
      </c>
      <c r="AI92" s="766">
        <v>192.68</v>
      </c>
      <c r="AJ92" s="774">
        <v>192.68</v>
      </c>
      <c r="AK92" s="618">
        <v>193.73</v>
      </c>
      <c r="AL92" s="618">
        <v>193.73</v>
      </c>
      <c r="AM92" s="618">
        <v>204.84</v>
      </c>
      <c r="AN92" s="618">
        <v>204.84</v>
      </c>
      <c r="AO92" s="618">
        <v>206.79</v>
      </c>
      <c r="AP92" s="618">
        <v>211.87</v>
      </c>
      <c r="AQ92" s="618">
        <v>211.87</v>
      </c>
      <c r="AR92" s="618">
        <v>213.02</v>
      </c>
      <c r="AS92" s="618">
        <v>205.74</v>
      </c>
      <c r="AT92" s="618">
        <v>211.58</v>
      </c>
      <c r="AU92" s="766">
        <v>213.11</v>
      </c>
      <c r="AV92" s="769">
        <v>217.41</v>
      </c>
      <c r="AW92" s="619">
        <v>217.41</v>
      </c>
      <c r="AX92" s="619">
        <v>217.66</v>
      </c>
      <c r="AY92" s="619">
        <v>219.1</v>
      </c>
      <c r="AZ92" s="619">
        <v>220.73</v>
      </c>
      <c r="BA92" s="619">
        <v>220.73</v>
      </c>
      <c r="BB92" s="619">
        <v>223.24</v>
      </c>
      <c r="BC92" s="620">
        <v>224.2</v>
      </c>
      <c r="BD92" s="619">
        <v>232.24</v>
      </c>
      <c r="BE92" s="620">
        <v>234.59</v>
      </c>
      <c r="BF92" s="620">
        <v>234.91</v>
      </c>
      <c r="BG92" s="750">
        <v>268.25</v>
      </c>
      <c r="BH92" s="662">
        <v>269.20999999999998</v>
      </c>
      <c r="BI92" s="617">
        <v>276.67</v>
      </c>
      <c r="BJ92" s="617">
        <v>276.67</v>
      </c>
      <c r="BK92" s="617">
        <v>277.70999999999998</v>
      </c>
      <c r="BL92" s="617">
        <v>277.70999999999998</v>
      </c>
      <c r="BM92" s="617">
        <v>280.14</v>
      </c>
      <c r="BN92" s="617">
        <v>280.81</v>
      </c>
      <c r="BO92" s="617">
        <v>280.81</v>
      </c>
      <c r="BP92" s="617">
        <v>282.58999999999997</v>
      </c>
      <c r="BQ92" s="617">
        <v>282.58999999999997</v>
      </c>
      <c r="BR92" s="617">
        <v>284.08999999999997</v>
      </c>
      <c r="BS92" s="737">
        <v>290.33999999999997</v>
      </c>
      <c r="BT92" s="662">
        <v>290.33999999999997</v>
      </c>
      <c r="BU92" s="617">
        <v>290.33999999999997</v>
      </c>
      <c r="BV92" s="617">
        <v>292.52</v>
      </c>
      <c r="BW92" s="617">
        <v>293.64999999999998</v>
      </c>
      <c r="BX92" s="617">
        <v>296.37</v>
      </c>
      <c r="BY92" s="617">
        <v>298.55</v>
      </c>
      <c r="BZ92" s="617">
        <v>298.55</v>
      </c>
      <c r="CA92" s="617">
        <v>357.83</v>
      </c>
      <c r="CB92" s="617">
        <v>304.11</v>
      </c>
      <c r="CC92" s="617">
        <v>316.20999999999998</v>
      </c>
      <c r="CD92" s="617">
        <v>322.8</v>
      </c>
      <c r="CE92" s="737">
        <v>325.19</v>
      </c>
      <c r="CF92" s="662">
        <v>327.27999999999997</v>
      </c>
      <c r="CG92" s="617">
        <v>329.41</v>
      </c>
      <c r="CH92" s="617">
        <v>332.63</v>
      </c>
      <c r="CI92" s="617">
        <v>334.92</v>
      </c>
      <c r="CJ92" s="617">
        <v>338.67</v>
      </c>
      <c r="CK92" s="617">
        <v>346.75</v>
      </c>
      <c r="CL92" s="617">
        <v>355.73</v>
      </c>
      <c r="CM92" s="617">
        <v>355.73</v>
      </c>
      <c r="CN92" s="617">
        <v>363.6</v>
      </c>
      <c r="CO92" s="617">
        <v>368.41</v>
      </c>
      <c r="CP92" s="617">
        <v>362.02</v>
      </c>
      <c r="CQ92" s="737">
        <v>365.36</v>
      </c>
      <c r="CR92" s="662">
        <v>373.88</v>
      </c>
      <c r="CS92" s="617">
        <v>371.77</v>
      </c>
      <c r="CT92" s="617">
        <v>376.36</v>
      </c>
      <c r="CU92" s="617">
        <v>389.92</v>
      </c>
      <c r="CV92" s="623">
        <v>393.19</v>
      </c>
      <c r="CW92" s="623">
        <v>396.98</v>
      </c>
      <c r="CX92" s="623">
        <v>411.36</v>
      </c>
      <c r="CY92" s="623">
        <v>411.36</v>
      </c>
      <c r="CZ92" s="623">
        <v>409.03</v>
      </c>
      <c r="DA92" s="623">
        <v>409.03</v>
      </c>
      <c r="DB92" s="725">
        <v>417.72</v>
      </c>
      <c r="DC92" s="659">
        <v>417.72</v>
      </c>
      <c r="DD92" s="783">
        <v>436.06</v>
      </c>
      <c r="DE92" s="623">
        <v>425.88</v>
      </c>
      <c r="DF92" s="725">
        <v>418.86</v>
      </c>
      <c r="DG92" s="659">
        <v>422.71</v>
      </c>
      <c r="DH92" s="623">
        <v>427.46</v>
      </c>
      <c r="DI92" s="623">
        <v>420.47</v>
      </c>
      <c r="DJ92" s="623">
        <v>427.38</v>
      </c>
      <c r="DK92" s="659">
        <v>411.39</v>
      </c>
      <c r="DL92" s="897">
        <v>422.84</v>
      </c>
      <c r="DM92" s="110">
        <f t="shared" si="0"/>
        <v>1.0278324704052115</v>
      </c>
      <c r="DN92" s="110"/>
      <c r="DO92" s="110"/>
    </row>
    <row r="93" spans="1:119" s="115" customFormat="1" ht="21.75" customHeight="1">
      <c r="A93" s="114"/>
      <c r="B93" s="644">
        <v>73</v>
      </c>
      <c r="C93" s="645"/>
      <c r="D93" s="646" t="s">
        <v>178</v>
      </c>
      <c r="E93" s="621" t="s">
        <v>918</v>
      </c>
      <c r="F93" s="622"/>
      <c r="G93" s="632" t="s">
        <v>924</v>
      </c>
      <c r="H93" s="621" t="s">
        <v>920</v>
      </c>
      <c r="I93" s="390" t="s">
        <v>424</v>
      </c>
      <c r="J93" s="676"/>
      <c r="K93" s="669">
        <v>102.1</v>
      </c>
      <c r="L93" s="665">
        <v>106.4</v>
      </c>
      <c r="M93" s="625">
        <v>113</v>
      </c>
      <c r="N93" s="625">
        <v>119.5</v>
      </c>
      <c r="O93" s="625">
        <v>140.6</v>
      </c>
      <c r="P93" s="625">
        <v>147.9</v>
      </c>
      <c r="Q93" s="625">
        <v>149.1</v>
      </c>
      <c r="R93" s="625">
        <v>153.30000000000001</v>
      </c>
      <c r="S93" s="625">
        <v>153.30000000000001</v>
      </c>
      <c r="T93" s="625">
        <v>153.30000000000001</v>
      </c>
      <c r="U93" s="625">
        <v>153.30000000000001</v>
      </c>
      <c r="V93" s="625">
        <v>153.30000000000001</v>
      </c>
      <c r="W93" s="625">
        <v>153.19999999999999</v>
      </c>
      <c r="X93" s="625">
        <v>153.19999999999999</v>
      </c>
      <c r="Y93" s="625">
        <v>153.19999999999999</v>
      </c>
      <c r="Z93" s="625">
        <v>153.19999999999999</v>
      </c>
      <c r="AA93" s="625">
        <v>153.19999999999999</v>
      </c>
      <c r="AB93" s="625">
        <v>153.19999999999999</v>
      </c>
      <c r="AC93" s="625">
        <v>153.19999999999999</v>
      </c>
      <c r="AD93" s="625">
        <v>153.1</v>
      </c>
      <c r="AE93" s="625">
        <v>153.30000000000001</v>
      </c>
      <c r="AF93" s="625">
        <v>153.30000000000001</v>
      </c>
      <c r="AG93" s="625">
        <v>153.19999999999999</v>
      </c>
      <c r="AH93" s="625">
        <v>153.80000000000001</v>
      </c>
      <c r="AI93" s="764">
        <v>153.80000000000001</v>
      </c>
      <c r="AJ93" s="772">
        <v>156.69999999999999</v>
      </c>
      <c r="AK93" s="625">
        <v>161.30000000000001</v>
      </c>
      <c r="AL93" s="625">
        <v>161.6</v>
      </c>
      <c r="AM93" s="625">
        <v>161.69999999999999</v>
      </c>
      <c r="AN93" s="625">
        <v>162.69999999999999</v>
      </c>
      <c r="AO93" s="625">
        <v>163.5</v>
      </c>
      <c r="AP93" s="625">
        <v>167.8</v>
      </c>
      <c r="AQ93" s="625">
        <v>167.8</v>
      </c>
      <c r="AR93" s="625">
        <v>168.7</v>
      </c>
      <c r="AS93" s="625">
        <v>169.4</v>
      </c>
      <c r="AT93" s="625">
        <v>169.3</v>
      </c>
      <c r="AU93" s="764">
        <v>169.3</v>
      </c>
      <c r="AV93" s="752">
        <v>174.8</v>
      </c>
      <c r="AW93" s="626">
        <v>175.4</v>
      </c>
      <c r="AX93" s="626">
        <v>177.7</v>
      </c>
      <c r="AY93" s="626">
        <v>177.6</v>
      </c>
      <c r="AZ93" s="626">
        <v>177.6</v>
      </c>
      <c r="BA93" s="626">
        <v>177.6</v>
      </c>
      <c r="BB93" s="626">
        <v>177.6</v>
      </c>
      <c r="BC93" s="627">
        <v>177.6</v>
      </c>
      <c r="BD93" s="626">
        <v>177.6</v>
      </c>
      <c r="BE93" s="627">
        <v>178</v>
      </c>
      <c r="BF93" s="627">
        <v>178.6</v>
      </c>
      <c r="BG93" s="738">
        <v>178.6</v>
      </c>
      <c r="BH93" s="660">
        <v>183</v>
      </c>
      <c r="BI93" s="623">
        <v>183.2</v>
      </c>
      <c r="BJ93" s="623">
        <v>183.2</v>
      </c>
      <c r="BK93" s="623">
        <v>183.2</v>
      </c>
      <c r="BL93" s="623">
        <v>183.2</v>
      </c>
      <c r="BM93" s="623">
        <v>187.9</v>
      </c>
      <c r="BN93" s="623">
        <v>190.2</v>
      </c>
      <c r="BO93" s="623">
        <v>190.5</v>
      </c>
      <c r="BP93" s="623">
        <v>192.9</v>
      </c>
      <c r="BQ93" s="623">
        <v>193.3</v>
      </c>
      <c r="BR93" s="623">
        <v>200.6</v>
      </c>
      <c r="BS93" s="659">
        <v>200.6</v>
      </c>
      <c r="BT93" s="660">
        <v>205.7</v>
      </c>
      <c r="BU93" s="623">
        <v>206.1</v>
      </c>
      <c r="BV93" s="623">
        <v>209</v>
      </c>
      <c r="BW93" s="623">
        <v>214.4</v>
      </c>
      <c r="BX93" s="623">
        <v>224.1</v>
      </c>
      <c r="BY93" s="623">
        <v>232.3</v>
      </c>
      <c r="BZ93" s="623">
        <v>237.7</v>
      </c>
      <c r="CA93" s="623">
        <v>241.3</v>
      </c>
      <c r="CB93" s="623">
        <v>241.6</v>
      </c>
      <c r="CC93" s="623">
        <v>241.6</v>
      </c>
      <c r="CD93" s="623">
        <v>245.1</v>
      </c>
      <c r="CE93" s="659">
        <v>245.1</v>
      </c>
      <c r="CF93" s="660">
        <v>247.1</v>
      </c>
      <c r="CG93" s="623">
        <v>259.60000000000002</v>
      </c>
      <c r="CH93" s="623">
        <v>262.3</v>
      </c>
      <c r="CI93" s="623">
        <v>262.3</v>
      </c>
      <c r="CJ93" s="623">
        <v>267.8</v>
      </c>
      <c r="CK93" s="623">
        <v>269.2</v>
      </c>
      <c r="CL93" s="623">
        <v>264.8</v>
      </c>
      <c r="CM93" s="623">
        <v>266.8</v>
      </c>
      <c r="CN93" s="623">
        <v>271.10000000000002</v>
      </c>
      <c r="CO93" s="623">
        <v>273.7</v>
      </c>
      <c r="CP93" s="623">
        <v>273.7</v>
      </c>
      <c r="CQ93" s="659">
        <v>273.7</v>
      </c>
      <c r="CR93" s="660">
        <v>274.3</v>
      </c>
      <c r="CS93" s="623">
        <v>274.3</v>
      </c>
      <c r="CT93" s="623">
        <v>276.3</v>
      </c>
      <c r="CU93" s="623">
        <v>277.5</v>
      </c>
      <c r="CV93" s="623">
        <v>277.8</v>
      </c>
      <c r="CW93" s="623">
        <v>285.7</v>
      </c>
      <c r="CX93" s="623">
        <v>286.60000000000002</v>
      </c>
      <c r="CY93" s="623">
        <v>287.3</v>
      </c>
      <c r="CZ93" s="623">
        <v>287.7</v>
      </c>
      <c r="DA93" s="623">
        <v>296.2</v>
      </c>
      <c r="DB93" s="725">
        <v>304.7</v>
      </c>
      <c r="DC93" s="659">
        <v>304.8</v>
      </c>
      <c r="DD93" s="783">
        <v>310.60000000000002</v>
      </c>
      <c r="DE93" s="623">
        <v>316</v>
      </c>
      <c r="DF93" s="725">
        <v>317.5</v>
      </c>
      <c r="DG93" s="659">
        <v>317.5</v>
      </c>
      <c r="DH93" s="623">
        <v>320</v>
      </c>
      <c r="DI93" s="623">
        <v>319.89999999999998</v>
      </c>
      <c r="DJ93" s="623">
        <v>325.3</v>
      </c>
      <c r="DK93" s="659">
        <v>327.60000000000002</v>
      </c>
      <c r="DL93" s="897">
        <v>329.4</v>
      </c>
      <c r="DM93" s="110">
        <f t="shared" si="0"/>
        <v>1.0054945054945053</v>
      </c>
      <c r="DN93" s="110"/>
      <c r="DO93" s="110"/>
    </row>
    <row r="94" spans="1:119" s="115" customFormat="1" ht="18.95" customHeight="1">
      <c r="A94" s="114"/>
      <c r="B94" s="408">
        <v>74</v>
      </c>
      <c r="C94" s="621" t="s">
        <v>179</v>
      </c>
      <c r="D94" s="622" t="s">
        <v>180</v>
      </c>
      <c r="E94" s="614" t="s">
        <v>918</v>
      </c>
      <c r="F94" s="615"/>
      <c r="G94" s="614" t="s">
        <v>929</v>
      </c>
      <c r="H94" s="614" t="s">
        <v>930</v>
      </c>
      <c r="I94" s="647" t="s">
        <v>921</v>
      </c>
      <c r="J94" s="652"/>
      <c r="K94" s="671">
        <v>92.3</v>
      </c>
      <c r="L94" s="667">
        <v>117.9</v>
      </c>
      <c r="M94" s="618">
        <v>142.30000000000001</v>
      </c>
      <c r="N94" s="618">
        <v>176.5</v>
      </c>
      <c r="O94" s="618">
        <v>224.9</v>
      </c>
      <c r="P94" s="618">
        <v>249</v>
      </c>
      <c r="Q94" s="618">
        <v>270.3</v>
      </c>
      <c r="R94" s="618">
        <v>259</v>
      </c>
      <c r="S94" s="618">
        <v>252.3</v>
      </c>
      <c r="T94" s="618">
        <v>248.1</v>
      </c>
      <c r="U94" s="618">
        <v>249.3</v>
      </c>
      <c r="V94" s="618">
        <v>245.9</v>
      </c>
      <c r="W94" s="618">
        <v>247.1</v>
      </c>
      <c r="X94" s="618">
        <v>240.8</v>
      </c>
      <c r="Y94" s="618">
        <v>235.9</v>
      </c>
      <c r="Z94" s="618">
        <v>236.3</v>
      </c>
      <c r="AA94" s="618">
        <v>227.5</v>
      </c>
      <c r="AB94" s="618">
        <v>226.6</v>
      </c>
      <c r="AC94" s="618">
        <v>220.3</v>
      </c>
      <c r="AD94" s="618">
        <v>209.3</v>
      </c>
      <c r="AE94" s="618">
        <v>209.7</v>
      </c>
      <c r="AF94" s="618">
        <v>209.7</v>
      </c>
      <c r="AG94" s="618">
        <v>208.9</v>
      </c>
      <c r="AH94" s="618">
        <v>206.5</v>
      </c>
      <c r="AI94" s="766">
        <v>204.3</v>
      </c>
      <c r="AJ94" s="774">
        <v>200.5</v>
      </c>
      <c r="AK94" s="618">
        <v>200.5</v>
      </c>
      <c r="AL94" s="618">
        <v>200</v>
      </c>
      <c r="AM94" s="618">
        <v>198.3</v>
      </c>
      <c r="AN94" s="618">
        <v>191</v>
      </c>
      <c r="AO94" s="618">
        <v>190</v>
      </c>
      <c r="AP94" s="618">
        <v>190.4</v>
      </c>
      <c r="AQ94" s="618">
        <v>191.4</v>
      </c>
      <c r="AR94" s="618">
        <v>191.3</v>
      </c>
      <c r="AS94" s="618">
        <v>191.7</v>
      </c>
      <c r="AT94" s="618">
        <v>191.7</v>
      </c>
      <c r="AU94" s="766">
        <v>191.2</v>
      </c>
      <c r="AV94" s="769">
        <v>191.1</v>
      </c>
      <c r="AW94" s="619">
        <v>189.8</v>
      </c>
      <c r="AX94" s="619">
        <v>190</v>
      </c>
      <c r="AY94" s="619">
        <v>190.2</v>
      </c>
      <c r="AZ94" s="619">
        <v>191.3</v>
      </c>
      <c r="BA94" s="619">
        <v>191</v>
      </c>
      <c r="BB94" s="619">
        <v>190.9</v>
      </c>
      <c r="BC94" s="620">
        <v>190.9</v>
      </c>
      <c r="BD94" s="619">
        <v>191</v>
      </c>
      <c r="BE94" s="620">
        <v>191.2</v>
      </c>
      <c r="BF94" s="620">
        <v>192.2</v>
      </c>
      <c r="BG94" s="750">
        <v>194.7</v>
      </c>
      <c r="BH94" s="662">
        <v>195.1</v>
      </c>
      <c r="BI94" s="617">
        <v>197.3</v>
      </c>
      <c r="BJ94" s="617">
        <v>198.5</v>
      </c>
      <c r="BK94" s="617">
        <v>202</v>
      </c>
      <c r="BL94" s="617">
        <v>201.6</v>
      </c>
      <c r="BM94" s="617">
        <v>205.3</v>
      </c>
      <c r="BN94" s="617">
        <v>208.2</v>
      </c>
      <c r="BO94" s="617">
        <v>208.1</v>
      </c>
      <c r="BP94" s="617">
        <v>208.6</v>
      </c>
      <c r="BQ94" s="617">
        <v>208.8</v>
      </c>
      <c r="BR94" s="617">
        <v>207.6</v>
      </c>
      <c r="BS94" s="737">
        <v>208.6</v>
      </c>
      <c r="BT94" s="662">
        <v>209.6</v>
      </c>
      <c r="BU94" s="617">
        <v>211</v>
      </c>
      <c r="BV94" s="617">
        <v>215.7</v>
      </c>
      <c r="BW94" s="617">
        <v>215.4</v>
      </c>
      <c r="BX94" s="617">
        <v>215.4</v>
      </c>
      <c r="BY94" s="617">
        <v>215.2</v>
      </c>
      <c r="BZ94" s="617">
        <v>216.5</v>
      </c>
      <c r="CA94" s="617">
        <v>217.8</v>
      </c>
      <c r="CB94" s="617">
        <v>217.5</v>
      </c>
      <c r="CC94" s="617">
        <v>218.1</v>
      </c>
      <c r="CD94" s="617">
        <v>218.8</v>
      </c>
      <c r="CE94" s="737">
        <v>223</v>
      </c>
      <c r="CF94" s="662">
        <v>222.9</v>
      </c>
      <c r="CG94" s="617">
        <v>222.9</v>
      </c>
      <c r="CH94" s="617">
        <v>223.7</v>
      </c>
      <c r="CI94" s="617">
        <v>223.3</v>
      </c>
      <c r="CJ94" s="617">
        <v>229</v>
      </c>
      <c r="CK94" s="617">
        <v>229.8</v>
      </c>
      <c r="CL94" s="617">
        <v>228</v>
      </c>
      <c r="CM94" s="617">
        <v>227.9</v>
      </c>
      <c r="CN94" s="617">
        <v>227.9</v>
      </c>
      <c r="CO94" s="617">
        <v>229.3</v>
      </c>
      <c r="CP94" s="617">
        <v>237.7</v>
      </c>
      <c r="CQ94" s="737">
        <v>246.7</v>
      </c>
      <c r="CR94" s="662">
        <v>247.8</v>
      </c>
      <c r="CS94" s="617">
        <v>248.8</v>
      </c>
      <c r="CT94" s="617">
        <v>257.60000000000002</v>
      </c>
      <c r="CU94" s="617">
        <v>258.8</v>
      </c>
      <c r="CV94" s="623">
        <v>263.60000000000002</v>
      </c>
      <c r="CW94" s="623">
        <v>268.39999999999998</v>
      </c>
      <c r="CX94" s="623">
        <v>269.7</v>
      </c>
      <c r="CY94" s="623">
        <v>273.3</v>
      </c>
      <c r="CZ94" s="623">
        <v>274.39999999999998</v>
      </c>
      <c r="DA94" s="623">
        <v>275</v>
      </c>
      <c r="DB94" s="725">
        <v>277.10000000000002</v>
      </c>
      <c r="DC94" s="659">
        <v>276.2</v>
      </c>
      <c r="DD94" s="783">
        <v>278.60000000000002</v>
      </c>
      <c r="DE94" s="623">
        <v>282.8</v>
      </c>
      <c r="DF94" s="725">
        <v>284.5</v>
      </c>
      <c r="DG94" s="659">
        <v>285.10000000000002</v>
      </c>
      <c r="DH94" s="623">
        <v>288.39999999999998</v>
      </c>
      <c r="DI94" s="623">
        <v>292.8</v>
      </c>
      <c r="DJ94" s="623">
        <v>292.8</v>
      </c>
      <c r="DK94" s="659">
        <v>293.89999999999998</v>
      </c>
      <c r="DL94" s="897">
        <v>297.10000000000002</v>
      </c>
      <c r="DM94" s="110">
        <f t="shared" si="0"/>
        <v>1.0108880571623002</v>
      </c>
      <c r="DN94" s="110"/>
      <c r="DO94" s="110"/>
    </row>
    <row r="95" spans="1:119" s="115" customFormat="1" ht="18.95" customHeight="1">
      <c r="A95" s="114"/>
      <c r="B95" s="408">
        <v>75</v>
      </c>
      <c r="C95" s="621" t="s">
        <v>181</v>
      </c>
      <c r="D95" s="622" t="s">
        <v>182</v>
      </c>
      <c r="E95" s="621" t="s">
        <v>918</v>
      </c>
      <c r="F95" s="622"/>
      <c r="G95" s="621" t="s">
        <v>929</v>
      </c>
      <c r="H95" s="621" t="s">
        <v>930</v>
      </c>
      <c r="I95" s="390" t="s">
        <v>921</v>
      </c>
      <c r="J95" s="651"/>
      <c r="K95" s="669">
        <v>93.7</v>
      </c>
      <c r="L95" s="665">
        <v>116.5</v>
      </c>
      <c r="M95" s="625">
        <v>137.69999999999999</v>
      </c>
      <c r="N95" s="625">
        <v>172.6</v>
      </c>
      <c r="O95" s="625">
        <v>210.5</v>
      </c>
      <c r="P95" s="625">
        <v>232.4</v>
      </c>
      <c r="Q95" s="625">
        <v>248.5</v>
      </c>
      <c r="R95" s="625">
        <v>247.2</v>
      </c>
      <c r="S95" s="625">
        <v>220.7</v>
      </c>
      <c r="T95" s="625">
        <v>205.9</v>
      </c>
      <c r="U95" s="625">
        <v>204.7</v>
      </c>
      <c r="V95" s="625">
        <v>201.1</v>
      </c>
      <c r="W95" s="625">
        <v>201.1</v>
      </c>
      <c r="X95" s="625">
        <v>194.8</v>
      </c>
      <c r="Y95" s="625">
        <v>192</v>
      </c>
      <c r="Z95" s="625">
        <v>192.6</v>
      </c>
      <c r="AA95" s="625">
        <v>188.6</v>
      </c>
      <c r="AB95" s="625">
        <v>186.7</v>
      </c>
      <c r="AC95" s="625">
        <v>182.9</v>
      </c>
      <c r="AD95" s="625">
        <v>181.7</v>
      </c>
      <c r="AE95" s="625">
        <v>182.4</v>
      </c>
      <c r="AF95" s="625">
        <v>182.4</v>
      </c>
      <c r="AG95" s="625">
        <v>180.6</v>
      </c>
      <c r="AH95" s="625">
        <v>178.8</v>
      </c>
      <c r="AI95" s="764">
        <v>178.8</v>
      </c>
      <c r="AJ95" s="772">
        <v>177.4</v>
      </c>
      <c r="AK95" s="625">
        <v>177.6</v>
      </c>
      <c r="AL95" s="625">
        <v>177.6</v>
      </c>
      <c r="AM95" s="625">
        <v>176.4</v>
      </c>
      <c r="AN95" s="625">
        <v>175.2</v>
      </c>
      <c r="AO95" s="625">
        <v>175.3</v>
      </c>
      <c r="AP95" s="625">
        <v>175.6</v>
      </c>
      <c r="AQ95" s="625">
        <v>176.5</v>
      </c>
      <c r="AR95" s="625">
        <v>176.5</v>
      </c>
      <c r="AS95" s="625">
        <v>176.3</v>
      </c>
      <c r="AT95" s="625">
        <v>175.8</v>
      </c>
      <c r="AU95" s="764">
        <v>175.9</v>
      </c>
      <c r="AV95" s="752">
        <v>175.9</v>
      </c>
      <c r="AW95" s="626">
        <v>175.9</v>
      </c>
      <c r="AX95" s="626">
        <v>175.9</v>
      </c>
      <c r="AY95" s="626">
        <v>175.5</v>
      </c>
      <c r="AZ95" s="626">
        <v>176</v>
      </c>
      <c r="BA95" s="626">
        <v>175.7</v>
      </c>
      <c r="BB95" s="626">
        <v>175.7</v>
      </c>
      <c r="BC95" s="627">
        <v>176.9</v>
      </c>
      <c r="BD95" s="626">
        <v>176.9</v>
      </c>
      <c r="BE95" s="627">
        <v>176.6</v>
      </c>
      <c r="BF95" s="627">
        <v>177.8</v>
      </c>
      <c r="BG95" s="738">
        <v>180.2</v>
      </c>
      <c r="BH95" s="660">
        <v>179.9</v>
      </c>
      <c r="BI95" s="623">
        <v>181.2</v>
      </c>
      <c r="BJ95" s="623">
        <v>181.6</v>
      </c>
      <c r="BK95" s="623">
        <v>186.3</v>
      </c>
      <c r="BL95" s="623">
        <v>187.1</v>
      </c>
      <c r="BM95" s="623">
        <v>193.5</v>
      </c>
      <c r="BN95" s="623">
        <v>193.5</v>
      </c>
      <c r="BO95" s="623">
        <v>193.5</v>
      </c>
      <c r="BP95" s="623">
        <v>193.7</v>
      </c>
      <c r="BQ95" s="623">
        <v>193.7</v>
      </c>
      <c r="BR95" s="623">
        <v>193.7</v>
      </c>
      <c r="BS95" s="659">
        <v>194.8</v>
      </c>
      <c r="BT95" s="660">
        <v>198.4</v>
      </c>
      <c r="BU95" s="623">
        <v>199.3</v>
      </c>
      <c r="BV95" s="623">
        <v>199.6</v>
      </c>
      <c r="BW95" s="623">
        <v>202.2</v>
      </c>
      <c r="BX95" s="623">
        <v>210.5</v>
      </c>
      <c r="BY95" s="623">
        <v>209.3</v>
      </c>
      <c r="BZ95" s="623">
        <v>209.4</v>
      </c>
      <c r="CA95" s="623">
        <v>211.4</v>
      </c>
      <c r="CB95" s="623">
        <v>213.5</v>
      </c>
      <c r="CC95" s="623">
        <v>214.2</v>
      </c>
      <c r="CD95" s="623">
        <v>214.2</v>
      </c>
      <c r="CE95" s="659">
        <v>217.6</v>
      </c>
      <c r="CF95" s="660">
        <v>213.2</v>
      </c>
      <c r="CG95" s="623">
        <v>218.4</v>
      </c>
      <c r="CH95" s="623">
        <v>218.3</v>
      </c>
      <c r="CI95" s="623">
        <v>218.3</v>
      </c>
      <c r="CJ95" s="623">
        <v>231.4</v>
      </c>
      <c r="CK95" s="623">
        <v>233.1</v>
      </c>
      <c r="CL95" s="623">
        <v>232.1</v>
      </c>
      <c r="CM95" s="623">
        <v>231.6</v>
      </c>
      <c r="CN95" s="623">
        <v>231.6</v>
      </c>
      <c r="CO95" s="623">
        <v>231.6</v>
      </c>
      <c r="CP95" s="623">
        <v>241.4</v>
      </c>
      <c r="CQ95" s="659">
        <v>246.4</v>
      </c>
      <c r="CR95" s="660">
        <v>249.1</v>
      </c>
      <c r="CS95" s="623">
        <v>249.8</v>
      </c>
      <c r="CT95" s="623">
        <v>257.60000000000002</v>
      </c>
      <c r="CU95" s="623">
        <v>259</v>
      </c>
      <c r="CV95" s="623">
        <v>262</v>
      </c>
      <c r="CW95" s="623">
        <v>263.39999999999998</v>
      </c>
      <c r="CX95" s="623">
        <v>264.2</v>
      </c>
      <c r="CY95" s="623">
        <v>269.39999999999998</v>
      </c>
      <c r="CZ95" s="623">
        <v>269.7</v>
      </c>
      <c r="DA95" s="623">
        <v>265.89999999999998</v>
      </c>
      <c r="DB95" s="725">
        <v>269.7</v>
      </c>
      <c r="DC95" s="659">
        <v>269.2</v>
      </c>
      <c r="DD95" s="783">
        <v>271.2</v>
      </c>
      <c r="DE95" s="623">
        <v>275.3</v>
      </c>
      <c r="DF95" s="725">
        <v>275.7</v>
      </c>
      <c r="DG95" s="659">
        <v>272.3</v>
      </c>
      <c r="DH95" s="623">
        <v>276</v>
      </c>
      <c r="DI95" s="623">
        <v>278.10000000000002</v>
      </c>
      <c r="DJ95" s="623">
        <v>276.7</v>
      </c>
      <c r="DK95" s="659">
        <v>279.8</v>
      </c>
      <c r="DL95" s="897">
        <v>283.8</v>
      </c>
      <c r="DM95" s="110">
        <f t="shared" ref="DM95:DM158" si="1">+DL95/DK95</f>
        <v>1.0142959256611865</v>
      </c>
      <c r="DN95" s="110"/>
      <c r="DO95" s="110"/>
    </row>
    <row r="96" spans="1:119" s="115" customFormat="1" ht="18.95" customHeight="1">
      <c r="A96" s="114"/>
      <c r="B96" s="408">
        <v>76</v>
      </c>
      <c r="C96" s="621" t="s">
        <v>207</v>
      </c>
      <c r="D96" s="622" t="s">
        <v>208</v>
      </c>
      <c r="E96" s="621" t="s">
        <v>918</v>
      </c>
      <c r="F96" s="622"/>
      <c r="G96" s="632" t="s">
        <v>924</v>
      </c>
      <c r="H96" s="621" t="s">
        <v>920</v>
      </c>
      <c r="I96" s="390" t="s">
        <v>209</v>
      </c>
      <c r="J96" s="676"/>
      <c r="K96" s="669">
        <v>97</v>
      </c>
      <c r="L96" s="665">
        <v>114.4</v>
      </c>
      <c r="M96" s="625">
        <v>142.1</v>
      </c>
      <c r="N96" s="625">
        <v>153</v>
      </c>
      <c r="O96" s="625">
        <v>176.5</v>
      </c>
      <c r="P96" s="625">
        <v>192</v>
      </c>
      <c r="Q96" s="625">
        <v>187.9</v>
      </c>
      <c r="R96" s="625">
        <v>196.6</v>
      </c>
      <c r="S96" s="625">
        <v>181.3</v>
      </c>
      <c r="T96" s="625">
        <v>181.5</v>
      </c>
      <c r="U96" s="625">
        <v>180.6</v>
      </c>
      <c r="V96" s="625">
        <v>174.6</v>
      </c>
      <c r="W96" s="625">
        <v>177.4</v>
      </c>
      <c r="X96" s="625">
        <v>178.3</v>
      </c>
      <c r="Y96" s="625">
        <v>177.2</v>
      </c>
      <c r="Z96" s="625">
        <v>177.9</v>
      </c>
      <c r="AA96" s="625">
        <v>177.6</v>
      </c>
      <c r="AB96" s="625">
        <v>177.1</v>
      </c>
      <c r="AC96" s="625">
        <v>175.4</v>
      </c>
      <c r="AD96" s="625">
        <v>174.1</v>
      </c>
      <c r="AE96" s="625">
        <v>174.4</v>
      </c>
      <c r="AF96" s="625">
        <v>174.4</v>
      </c>
      <c r="AG96" s="625">
        <v>175.3</v>
      </c>
      <c r="AH96" s="625">
        <v>175.3</v>
      </c>
      <c r="AI96" s="764">
        <v>175.4</v>
      </c>
      <c r="AJ96" s="772">
        <v>176.2</v>
      </c>
      <c r="AK96" s="625">
        <v>179</v>
      </c>
      <c r="AL96" s="625">
        <v>179</v>
      </c>
      <c r="AM96" s="625">
        <v>176.1</v>
      </c>
      <c r="AN96" s="625">
        <v>182</v>
      </c>
      <c r="AO96" s="625">
        <v>182.6</v>
      </c>
      <c r="AP96" s="625">
        <v>182.6</v>
      </c>
      <c r="AQ96" s="625">
        <v>185.6</v>
      </c>
      <c r="AR96" s="625">
        <v>184.7</v>
      </c>
      <c r="AS96" s="625">
        <v>191.2</v>
      </c>
      <c r="AT96" s="625">
        <v>191</v>
      </c>
      <c r="AU96" s="764">
        <v>191</v>
      </c>
      <c r="AV96" s="752">
        <v>192.1</v>
      </c>
      <c r="AW96" s="626">
        <v>194.8</v>
      </c>
      <c r="AX96" s="626">
        <v>195.8</v>
      </c>
      <c r="AY96" s="626">
        <v>195.5</v>
      </c>
      <c r="AZ96" s="626">
        <v>197.5</v>
      </c>
      <c r="BA96" s="626">
        <v>199.2</v>
      </c>
      <c r="BB96" s="626">
        <v>200</v>
      </c>
      <c r="BC96" s="627">
        <v>203</v>
      </c>
      <c r="BD96" s="626">
        <v>203.6</v>
      </c>
      <c r="BE96" s="627">
        <v>203.1</v>
      </c>
      <c r="BF96" s="627">
        <v>204.5</v>
      </c>
      <c r="BG96" s="738">
        <v>213.6</v>
      </c>
      <c r="BH96" s="660">
        <v>213.3</v>
      </c>
      <c r="BI96" s="623">
        <v>211.8</v>
      </c>
      <c r="BJ96" s="623">
        <v>211.4</v>
      </c>
      <c r="BK96" s="623">
        <v>218.6</v>
      </c>
      <c r="BL96" s="623">
        <v>226.3</v>
      </c>
      <c r="BM96" s="623">
        <v>226.1</v>
      </c>
      <c r="BN96" s="623">
        <v>226.1</v>
      </c>
      <c r="BO96" s="623">
        <v>226.1</v>
      </c>
      <c r="BP96" s="623">
        <v>232.2</v>
      </c>
      <c r="BQ96" s="623">
        <v>229.9</v>
      </c>
      <c r="BR96" s="623">
        <v>229.1</v>
      </c>
      <c r="BS96" s="659">
        <v>229.1</v>
      </c>
      <c r="BT96" s="660">
        <v>228.8</v>
      </c>
      <c r="BU96" s="623">
        <v>228.8</v>
      </c>
      <c r="BV96" s="623">
        <v>230.7</v>
      </c>
      <c r="BW96" s="623">
        <v>240.9</v>
      </c>
      <c r="BX96" s="623">
        <v>241.9</v>
      </c>
      <c r="BY96" s="623">
        <v>243.5</v>
      </c>
      <c r="BZ96" s="623">
        <v>252.3</v>
      </c>
      <c r="CA96" s="623">
        <v>259.5</v>
      </c>
      <c r="CB96" s="623">
        <v>260.8</v>
      </c>
      <c r="CC96" s="623">
        <v>261.89999999999998</v>
      </c>
      <c r="CD96" s="623">
        <v>263.7</v>
      </c>
      <c r="CE96" s="659">
        <v>268.2</v>
      </c>
      <c r="CF96" s="660">
        <v>274.7</v>
      </c>
      <c r="CG96" s="623">
        <v>276.2</v>
      </c>
      <c r="CH96" s="623">
        <v>279.7</v>
      </c>
      <c r="CI96" s="623">
        <v>283.5</v>
      </c>
      <c r="CJ96" s="623">
        <v>298.89999999999998</v>
      </c>
      <c r="CK96" s="623">
        <v>296.60000000000002</v>
      </c>
      <c r="CL96" s="623">
        <v>297.7</v>
      </c>
      <c r="CM96" s="623">
        <v>301.2</v>
      </c>
      <c r="CN96" s="623">
        <v>301.2</v>
      </c>
      <c r="CO96" s="623">
        <v>304.8</v>
      </c>
      <c r="CP96" s="623">
        <v>309</v>
      </c>
      <c r="CQ96" s="659">
        <v>315</v>
      </c>
      <c r="CR96" s="660">
        <v>314.2</v>
      </c>
      <c r="CS96" s="623">
        <v>308</v>
      </c>
      <c r="CT96" s="623">
        <v>305.60000000000002</v>
      </c>
      <c r="CU96" s="623">
        <v>306.60000000000002</v>
      </c>
      <c r="CV96" s="623">
        <v>306.39999999999998</v>
      </c>
      <c r="CW96" s="623">
        <v>305.7</v>
      </c>
      <c r="CX96" s="623">
        <v>306.10000000000002</v>
      </c>
      <c r="CY96" s="623">
        <v>313</v>
      </c>
      <c r="CZ96" s="623">
        <v>313.89999999999998</v>
      </c>
      <c r="DA96" s="623">
        <v>319.3</v>
      </c>
      <c r="DB96" s="725">
        <v>323.10000000000002</v>
      </c>
      <c r="DC96" s="659">
        <v>324.5</v>
      </c>
      <c r="DD96" s="783">
        <v>325.10000000000002</v>
      </c>
      <c r="DE96" s="623">
        <v>327.10000000000002</v>
      </c>
      <c r="DF96" s="725">
        <v>337.7</v>
      </c>
      <c r="DG96" s="659">
        <v>338.6</v>
      </c>
      <c r="DH96" s="623">
        <v>347.4</v>
      </c>
      <c r="DI96" s="623">
        <v>352.4</v>
      </c>
      <c r="DJ96" s="623">
        <v>352.4</v>
      </c>
      <c r="DK96" s="659">
        <v>358.8</v>
      </c>
      <c r="DL96" s="897">
        <v>362.6</v>
      </c>
      <c r="DM96" s="110">
        <f t="shared" si="1"/>
        <v>1.0105908584169454</v>
      </c>
      <c r="DN96" s="110"/>
      <c r="DO96" s="110"/>
    </row>
    <row r="97" spans="1:122" s="115" customFormat="1" ht="16.5" customHeight="1">
      <c r="A97" s="114"/>
      <c r="B97" s="408">
        <v>77</v>
      </c>
      <c r="C97" s="621" t="s">
        <v>210</v>
      </c>
      <c r="D97" s="622" t="s">
        <v>211</v>
      </c>
      <c r="E97" s="621" t="s">
        <v>918</v>
      </c>
      <c r="F97" s="622"/>
      <c r="G97" s="621" t="s">
        <v>929</v>
      </c>
      <c r="H97" s="621" t="s">
        <v>930</v>
      </c>
      <c r="I97" s="390" t="s">
        <v>47</v>
      </c>
      <c r="J97" s="651"/>
      <c r="K97" s="669">
        <v>87.4</v>
      </c>
      <c r="L97" s="665">
        <v>87.4</v>
      </c>
      <c r="M97" s="625">
        <v>88.3</v>
      </c>
      <c r="N97" s="625">
        <v>88.4</v>
      </c>
      <c r="O97" s="625">
        <v>99.1</v>
      </c>
      <c r="P97" s="625">
        <v>99.4</v>
      </c>
      <c r="Q97" s="625">
        <v>107.7</v>
      </c>
      <c r="R97" s="625">
        <v>128.6</v>
      </c>
      <c r="S97" s="625">
        <v>124.5</v>
      </c>
      <c r="T97" s="625">
        <v>126.3</v>
      </c>
      <c r="U97" s="625">
        <v>127.4</v>
      </c>
      <c r="V97" s="625">
        <v>125.2</v>
      </c>
      <c r="W97" s="625">
        <v>124.5</v>
      </c>
      <c r="X97" s="625">
        <v>123.5</v>
      </c>
      <c r="Y97" s="625">
        <v>123.7</v>
      </c>
      <c r="Z97" s="625">
        <v>124.2</v>
      </c>
      <c r="AA97" s="625">
        <v>124</v>
      </c>
      <c r="AB97" s="625">
        <v>125.7</v>
      </c>
      <c r="AC97" s="625">
        <v>125.2</v>
      </c>
      <c r="AD97" s="625">
        <v>128.19999999999999</v>
      </c>
      <c r="AE97" s="625">
        <v>132.30000000000001</v>
      </c>
      <c r="AF97" s="625">
        <v>143.19999999999999</v>
      </c>
      <c r="AG97" s="625">
        <v>141.4</v>
      </c>
      <c r="AH97" s="625">
        <v>169.9</v>
      </c>
      <c r="AI97" s="764">
        <v>189.9</v>
      </c>
      <c r="AJ97" s="772">
        <v>196.6</v>
      </c>
      <c r="AK97" s="625">
        <v>203.3</v>
      </c>
      <c r="AL97" s="625">
        <v>203.6</v>
      </c>
      <c r="AM97" s="625">
        <v>217.8</v>
      </c>
      <c r="AN97" s="625">
        <v>226.5</v>
      </c>
      <c r="AO97" s="625">
        <v>230.1</v>
      </c>
      <c r="AP97" s="625">
        <v>237.7</v>
      </c>
      <c r="AQ97" s="625">
        <v>238.5</v>
      </c>
      <c r="AR97" s="625">
        <v>237.7</v>
      </c>
      <c r="AS97" s="625">
        <v>235.5</v>
      </c>
      <c r="AT97" s="625">
        <v>235.5</v>
      </c>
      <c r="AU97" s="764">
        <v>232.8</v>
      </c>
      <c r="AV97" s="752">
        <v>232.7</v>
      </c>
      <c r="AW97" s="626">
        <v>230.9</v>
      </c>
      <c r="AX97" s="626">
        <v>231.9</v>
      </c>
      <c r="AY97" s="626">
        <v>232.8</v>
      </c>
      <c r="AZ97" s="626">
        <v>232.8</v>
      </c>
      <c r="BA97" s="626">
        <v>233</v>
      </c>
      <c r="BB97" s="626">
        <v>233.4</v>
      </c>
      <c r="BC97" s="627">
        <v>232.3</v>
      </c>
      <c r="BD97" s="626">
        <v>232.9</v>
      </c>
      <c r="BE97" s="627">
        <v>230.2</v>
      </c>
      <c r="BF97" s="627">
        <v>238.4</v>
      </c>
      <c r="BG97" s="738">
        <v>245.4</v>
      </c>
      <c r="BH97" s="660">
        <v>255.7</v>
      </c>
      <c r="BI97" s="623">
        <v>261.10000000000002</v>
      </c>
      <c r="BJ97" s="623">
        <v>271.5</v>
      </c>
      <c r="BK97" s="623">
        <v>301.8</v>
      </c>
      <c r="BL97" s="623">
        <v>344</v>
      </c>
      <c r="BM97" s="623">
        <v>349.6</v>
      </c>
      <c r="BN97" s="623">
        <v>362.3</v>
      </c>
      <c r="BO97" s="623">
        <v>366.1</v>
      </c>
      <c r="BP97" s="623">
        <v>366.1</v>
      </c>
      <c r="BQ97" s="623">
        <v>367.1</v>
      </c>
      <c r="BR97" s="623">
        <v>372.8</v>
      </c>
      <c r="BS97" s="659">
        <v>372.9</v>
      </c>
      <c r="BT97" s="660">
        <v>376.1</v>
      </c>
      <c r="BU97" s="623">
        <v>377.3</v>
      </c>
      <c r="BV97" s="623">
        <v>390.8</v>
      </c>
      <c r="BW97" s="623">
        <v>390.8</v>
      </c>
      <c r="BX97" s="623">
        <v>393.1</v>
      </c>
      <c r="BY97" s="623">
        <v>388.9</v>
      </c>
      <c r="BZ97" s="623">
        <v>396.7</v>
      </c>
      <c r="CA97" s="623">
        <v>402.3</v>
      </c>
      <c r="CB97" s="623">
        <v>402.3</v>
      </c>
      <c r="CC97" s="623">
        <v>404.6</v>
      </c>
      <c r="CD97" s="623">
        <v>405.7</v>
      </c>
      <c r="CE97" s="659">
        <v>411.6</v>
      </c>
      <c r="CF97" s="660">
        <v>412.2</v>
      </c>
      <c r="CG97" s="623">
        <v>414</v>
      </c>
      <c r="CH97" s="623">
        <v>412.5</v>
      </c>
      <c r="CI97" s="623">
        <v>417.7</v>
      </c>
      <c r="CJ97" s="623">
        <v>419.2</v>
      </c>
      <c r="CK97" s="623">
        <v>426</v>
      </c>
      <c r="CL97" s="623">
        <v>427.6</v>
      </c>
      <c r="CM97" s="623">
        <v>429.1</v>
      </c>
      <c r="CN97" s="623">
        <v>429.1</v>
      </c>
      <c r="CO97" s="623">
        <v>429.1</v>
      </c>
      <c r="CP97" s="623">
        <v>432.1</v>
      </c>
      <c r="CQ97" s="659">
        <v>431.9</v>
      </c>
      <c r="CR97" s="660">
        <v>431.9</v>
      </c>
      <c r="CS97" s="623">
        <v>430.7</v>
      </c>
      <c r="CT97" s="623">
        <v>430.7</v>
      </c>
      <c r="CU97" s="623">
        <v>430.7</v>
      </c>
      <c r="CV97" s="623">
        <v>430.7</v>
      </c>
      <c r="CW97" s="623">
        <v>430.7</v>
      </c>
      <c r="CX97" s="623">
        <v>430.6</v>
      </c>
      <c r="CY97" s="623">
        <v>437.2</v>
      </c>
      <c r="CZ97" s="623">
        <v>438.3</v>
      </c>
      <c r="DA97" s="623">
        <v>438.2</v>
      </c>
      <c r="DB97" s="725">
        <v>438.3</v>
      </c>
      <c r="DC97" s="659">
        <v>438.3</v>
      </c>
      <c r="DD97" s="783">
        <v>439.9</v>
      </c>
      <c r="DE97" s="623">
        <v>441.9</v>
      </c>
      <c r="DF97" s="725">
        <v>446.5</v>
      </c>
      <c r="DG97" s="659">
        <v>450.1</v>
      </c>
      <c r="DH97" s="623">
        <v>450</v>
      </c>
      <c r="DI97" s="623">
        <v>454.1</v>
      </c>
      <c r="DJ97" s="623">
        <v>459.7</v>
      </c>
      <c r="DK97" s="659">
        <v>461.8</v>
      </c>
      <c r="DL97" s="897">
        <v>463.4</v>
      </c>
      <c r="DM97" s="110">
        <f t="shared" si="1"/>
        <v>1.0034647033347768</v>
      </c>
      <c r="DN97" s="110"/>
      <c r="DO97" s="110"/>
    </row>
    <row r="98" spans="1:122" s="115" customFormat="1" ht="18.95" customHeight="1">
      <c r="A98" s="114"/>
      <c r="B98" s="408">
        <v>78</v>
      </c>
      <c r="C98" s="621" t="s">
        <v>212</v>
      </c>
      <c r="D98" s="622" t="s">
        <v>213</v>
      </c>
      <c r="E98" s="621" t="s">
        <v>918</v>
      </c>
      <c r="F98" s="622"/>
      <c r="G98" s="621" t="s">
        <v>929</v>
      </c>
      <c r="H98" s="621" t="s">
        <v>930</v>
      </c>
      <c r="I98" s="390" t="s">
        <v>47</v>
      </c>
      <c r="J98" s="651"/>
      <c r="K98" s="669">
        <v>92.4</v>
      </c>
      <c r="L98" s="665">
        <v>93.5</v>
      </c>
      <c r="M98" s="625">
        <v>92.7</v>
      </c>
      <c r="N98" s="625">
        <v>93.5</v>
      </c>
      <c r="O98" s="625">
        <v>100.3</v>
      </c>
      <c r="P98" s="625">
        <v>99.4</v>
      </c>
      <c r="Q98" s="625">
        <v>101</v>
      </c>
      <c r="R98" s="625">
        <v>125.1</v>
      </c>
      <c r="S98" s="625">
        <v>126.5</v>
      </c>
      <c r="T98" s="625">
        <v>124.2</v>
      </c>
      <c r="U98" s="625">
        <v>125.5</v>
      </c>
      <c r="V98" s="625">
        <v>123.9</v>
      </c>
      <c r="W98" s="625">
        <v>123.9</v>
      </c>
      <c r="X98" s="625">
        <v>125.7</v>
      </c>
      <c r="Y98" s="625">
        <v>129.6</v>
      </c>
      <c r="Z98" s="625">
        <v>127.9</v>
      </c>
      <c r="AA98" s="625">
        <v>131.4</v>
      </c>
      <c r="AB98" s="625">
        <v>128.5</v>
      </c>
      <c r="AC98" s="625">
        <v>127.3</v>
      </c>
      <c r="AD98" s="625">
        <v>125.4</v>
      </c>
      <c r="AE98" s="625">
        <v>136</v>
      </c>
      <c r="AF98" s="625">
        <v>138.5</v>
      </c>
      <c r="AG98" s="625">
        <v>141.9</v>
      </c>
      <c r="AH98" s="625">
        <v>153.69999999999999</v>
      </c>
      <c r="AI98" s="764">
        <v>163.69999999999999</v>
      </c>
      <c r="AJ98" s="772">
        <v>176.2</v>
      </c>
      <c r="AK98" s="625">
        <v>184</v>
      </c>
      <c r="AL98" s="625">
        <v>192.5</v>
      </c>
      <c r="AM98" s="625">
        <v>201</v>
      </c>
      <c r="AN98" s="625">
        <v>215</v>
      </c>
      <c r="AO98" s="625">
        <v>220.1</v>
      </c>
      <c r="AP98" s="625">
        <v>224.1</v>
      </c>
      <c r="AQ98" s="625">
        <v>224.2</v>
      </c>
      <c r="AR98" s="625">
        <v>220</v>
      </c>
      <c r="AS98" s="625">
        <v>212.7</v>
      </c>
      <c r="AT98" s="625">
        <v>205.6</v>
      </c>
      <c r="AU98" s="764">
        <v>205.6</v>
      </c>
      <c r="AV98" s="752">
        <v>206</v>
      </c>
      <c r="AW98" s="626">
        <v>206.1</v>
      </c>
      <c r="AX98" s="626">
        <v>208.7</v>
      </c>
      <c r="AY98" s="626">
        <v>209.2</v>
      </c>
      <c r="AZ98" s="626">
        <v>209.8</v>
      </c>
      <c r="BA98" s="626">
        <v>209.8</v>
      </c>
      <c r="BB98" s="626">
        <v>205.1</v>
      </c>
      <c r="BC98" s="627">
        <v>205.1</v>
      </c>
      <c r="BD98" s="626">
        <v>205.1</v>
      </c>
      <c r="BE98" s="627">
        <v>212.3</v>
      </c>
      <c r="BF98" s="627">
        <v>215.4</v>
      </c>
      <c r="BG98" s="738">
        <v>223</v>
      </c>
      <c r="BH98" s="660">
        <v>229.7</v>
      </c>
      <c r="BI98" s="623">
        <v>236.1</v>
      </c>
      <c r="BJ98" s="623">
        <v>249.5</v>
      </c>
      <c r="BK98" s="623">
        <v>262.89999999999998</v>
      </c>
      <c r="BL98" s="623">
        <v>265.7</v>
      </c>
      <c r="BM98" s="623">
        <v>271.39999999999998</v>
      </c>
      <c r="BN98" s="623">
        <v>281.60000000000002</v>
      </c>
      <c r="BO98" s="623">
        <v>286.5</v>
      </c>
      <c r="BP98" s="623">
        <v>288.60000000000002</v>
      </c>
      <c r="BQ98" s="623">
        <v>287.7</v>
      </c>
      <c r="BR98" s="623">
        <v>291.5</v>
      </c>
      <c r="BS98" s="659">
        <v>293.39999999999998</v>
      </c>
      <c r="BT98" s="660">
        <v>294.5</v>
      </c>
      <c r="BU98" s="623">
        <v>300</v>
      </c>
      <c r="BV98" s="623">
        <v>309.5</v>
      </c>
      <c r="BW98" s="623">
        <v>312.5</v>
      </c>
      <c r="BX98" s="623">
        <v>304.39999999999998</v>
      </c>
      <c r="BY98" s="623">
        <v>307.5</v>
      </c>
      <c r="BZ98" s="623">
        <v>322</v>
      </c>
      <c r="CA98" s="623">
        <v>324.89999999999998</v>
      </c>
      <c r="CB98" s="623">
        <v>326.5</v>
      </c>
      <c r="CC98" s="623">
        <v>327.2</v>
      </c>
      <c r="CD98" s="623">
        <v>332.6</v>
      </c>
      <c r="CE98" s="659">
        <v>332.6</v>
      </c>
      <c r="CF98" s="660">
        <v>329.7</v>
      </c>
      <c r="CG98" s="623">
        <v>333.4</v>
      </c>
      <c r="CH98" s="623">
        <v>333.4</v>
      </c>
      <c r="CI98" s="623">
        <v>336.9</v>
      </c>
      <c r="CJ98" s="623">
        <v>340.1</v>
      </c>
      <c r="CK98" s="623">
        <v>339.9</v>
      </c>
      <c r="CL98" s="623">
        <v>351.5</v>
      </c>
      <c r="CM98" s="623">
        <v>355.6</v>
      </c>
      <c r="CN98" s="623">
        <v>360.4</v>
      </c>
      <c r="CO98" s="623">
        <v>360.4</v>
      </c>
      <c r="CP98" s="623">
        <v>360.4</v>
      </c>
      <c r="CQ98" s="659">
        <v>361.1</v>
      </c>
      <c r="CR98" s="660">
        <v>361.1</v>
      </c>
      <c r="CS98" s="623">
        <v>360.9</v>
      </c>
      <c r="CT98" s="623">
        <v>348.7</v>
      </c>
      <c r="CU98" s="623">
        <v>348.7</v>
      </c>
      <c r="CV98" s="623">
        <v>360.2</v>
      </c>
      <c r="CW98" s="623">
        <v>354.4</v>
      </c>
      <c r="CX98" s="623">
        <v>354.4</v>
      </c>
      <c r="CY98" s="623">
        <v>353.6</v>
      </c>
      <c r="CZ98" s="623">
        <v>359.2</v>
      </c>
      <c r="DA98" s="623">
        <v>359.2</v>
      </c>
      <c r="DB98" s="725">
        <v>359.2</v>
      </c>
      <c r="DC98" s="659">
        <v>365.9</v>
      </c>
      <c r="DD98" s="783">
        <v>363.7</v>
      </c>
      <c r="DE98" s="623">
        <v>364.9</v>
      </c>
      <c r="DF98" s="725">
        <v>363.3</v>
      </c>
      <c r="DG98" s="659">
        <v>366.5</v>
      </c>
      <c r="DH98" s="623">
        <v>361.6</v>
      </c>
      <c r="DI98" s="623">
        <v>364.3</v>
      </c>
      <c r="DJ98" s="623">
        <v>368</v>
      </c>
      <c r="DK98" s="659">
        <v>377.3</v>
      </c>
      <c r="DL98" s="897">
        <v>377.2</v>
      </c>
      <c r="DM98" s="110">
        <f t="shared" si="1"/>
        <v>0.99973495891863229</v>
      </c>
      <c r="DN98" s="110"/>
      <c r="DO98" s="110"/>
    </row>
    <row r="99" spans="1:122" s="115" customFormat="1" ht="20.25" customHeight="1">
      <c r="A99" s="114"/>
      <c r="B99" s="408">
        <v>79</v>
      </c>
      <c r="C99" s="621" t="s">
        <v>214</v>
      </c>
      <c r="D99" s="622" t="s">
        <v>215</v>
      </c>
      <c r="E99" s="621" t="s">
        <v>918</v>
      </c>
      <c r="F99" s="622"/>
      <c r="G99" s="621" t="s">
        <v>929</v>
      </c>
      <c r="H99" s="621" t="s">
        <v>930</v>
      </c>
      <c r="I99" s="390" t="s">
        <v>196</v>
      </c>
      <c r="J99" s="651"/>
      <c r="K99" s="669">
        <v>89.5</v>
      </c>
      <c r="L99" s="665">
        <v>90.3</v>
      </c>
      <c r="M99" s="625">
        <v>92.9</v>
      </c>
      <c r="N99" s="625">
        <v>92.9</v>
      </c>
      <c r="O99" s="625">
        <v>94.8</v>
      </c>
      <c r="P99" s="625">
        <v>98.8</v>
      </c>
      <c r="Q99" s="625">
        <v>101</v>
      </c>
      <c r="R99" s="625">
        <v>105.6</v>
      </c>
      <c r="S99" s="625">
        <v>106.4</v>
      </c>
      <c r="T99" s="625">
        <v>106.6</v>
      </c>
      <c r="U99" s="625">
        <v>107.8</v>
      </c>
      <c r="V99" s="625">
        <v>108.2</v>
      </c>
      <c r="W99" s="625">
        <v>107.3</v>
      </c>
      <c r="X99" s="625">
        <v>107.1</v>
      </c>
      <c r="Y99" s="625">
        <v>106.7</v>
      </c>
      <c r="Z99" s="625">
        <v>106.7</v>
      </c>
      <c r="AA99" s="625">
        <v>107</v>
      </c>
      <c r="AB99" s="625">
        <v>107.5</v>
      </c>
      <c r="AC99" s="625">
        <v>108.9</v>
      </c>
      <c r="AD99" s="625">
        <v>110</v>
      </c>
      <c r="AE99" s="625">
        <v>111.7</v>
      </c>
      <c r="AF99" s="625">
        <v>114.1</v>
      </c>
      <c r="AG99" s="625">
        <v>114.8</v>
      </c>
      <c r="AH99" s="625">
        <v>117.6</v>
      </c>
      <c r="AI99" s="764">
        <v>117.7</v>
      </c>
      <c r="AJ99" s="772">
        <v>118.7</v>
      </c>
      <c r="AK99" s="625">
        <v>119.8</v>
      </c>
      <c r="AL99" s="625">
        <v>124.9</v>
      </c>
      <c r="AM99" s="625">
        <v>134.5</v>
      </c>
      <c r="AN99" s="625">
        <v>139.1</v>
      </c>
      <c r="AO99" s="625">
        <v>145</v>
      </c>
      <c r="AP99" s="625">
        <v>148.19999999999999</v>
      </c>
      <c r="AQ99" s="625">
        <v>148.19999999999999</v>
      </c>
      <c r="AR99" s="625">
        <v>149.4</v>
      </c>
      <c r="AS99" s="625">
        <v>147.80000000000001</v>
      </c>
      <c r="AT99" s="625">
        <v>148</v>
      </c>
      <c r="AU99" s="764">
        <v>149.30000000000001</v>
      </c>
      <c r="AV99" s="752">
        <v>150.69999999999999</v>
      </c>
      <c r="AW99" s="626">
        <v>153</v>
      </c>
      <c r="AX99" s="626">
        <v>153.6</v>
      </c>
      <c r="AY99" s="626">
        <v>154</v>
      </c>
      <c r="AZ99" s="626">
        <v>154.4</v>
      </c>
      <c r="BA99" s="626">
        <v>158.30000000000001</v>
      </c>
      <c r="BB99" s="626">
        <v>158.1</v>
      </c>
      <c r="BC99" s="627">
        <v>158.30000000000001</v>
      </c>
      <c r="BD99" s="626">
        <v>161.4</v>
      </c>
      <c r="BE99" s="627">
        <v>161.5</v>
      </c>
      <c r="BF99" s="627">
        <v>161.69999999999999</v>
      </c>
      <c r="BG99" s="738">
        <v>162.1</v>
      </c>
      <c r="BH99" s="660">
        <v>167.7</v>
      </c>
      <c r="BI99" s="623">
        <v>168.2</v>
      </c>
      <c r="BJ99" s="623">
        <v>169</v>
      </c>
      <c r="BK99" s="623">
        <v>173.3</v>
      </c>
      <c r="BL99" s="623">
        <v>178.1</v>
      </c>
      <c r="BM99" s="623">
        <v>180.7</v>
      </c>
      <c r="BN99" s="623">
        <v>181.5</v>
      </c>
      <c r="BO99" s="623">
        <v>186.4</v>
      </c>
      <c r="BP99" s="623">
        <v>189.7</v>
      </c>
      <c r="BQ99" s="623">
        <v>197.4</v>
      </c>
      <c r="BR99" s="623">
        <v>201</v>
      </c>
      <c r="BS99" s="659">
        <v>201.1</v>
      </c>
      <c r="BT99" s="660">
        <v>209.4</v>
      </c>
      <c r="BU99" s="623">
        <v>212</v>
      </c>
      <c r="BV99" s="623">
        <v>224.5</v>
      </c>
      <c r="BW99" s="623">
        <v>238.2</v>
      </c>
      <c r="BX99" s="623">
        <v>253.5</v>
      </c>
      <c r="BY99" s="623">
        <v>270.8</v>
      </c>
      <c r="BZ99" s="623">
        <v>296.89999999999998</v>
      </c>
      <c r="CA99" s="623">
        <v>301.2</v>
      </c>
      <c r="CB99" s="623">
        <v>300.60000000000002</v>
      </c>
      <c r="CC99" s="623">
        <v>313.2</v>
      </c>
      <c r="CD99" s="623">
        <v>315.10000000000002</v>
      </c>
      <c r="CE99" s="659">
        <v>315.60000000000002</v>
      </c>
      <c r="CF99" s="660">
        <v>319.10000000000002</v>
      </c>
      <c r="CG99" s="623">
        <v>321.2</v>
      </c>
      <c r="CH99" s="623">
        <v>319.2</v>
      </c>
      <c r="CI99" s="623">
        <v>321.89999999999998</v>
      </c>
      <c r="CJ99" s="623">
        <v>323.7</v>
      </c>
      <c r="CK99" s="623">
        <v>325.89999999999998</v>
      </c>
      <c r="CL99" s="623">
        <v>329.4</v>
      </c>
      <c r="CM99" s="623">
        <v>329.3</v>
      </c>
      <c r="CN99" s="623">
        <v>329.3</v>
      </c>
      <c r="CO99" s="623">
        <v>328.4</v>
      </c>
      <c r="CP99" s="623">
        <v>329.5</v>
      </c>
      <c r="CQ99" s="659">
        <v>329.5</v>
      </c>
      <c r="CR99" s="660">
        <v>329.5</v>
      </c>
      <c r="CS99" s="623">
        <v>326.10000000000002</v>
      </c>
      <c r="CT99" s="623">
        <v>327.2</v>
      </c>
      <c r="CU99" s="623">
        <v>329.1</v>
      </c>
      <c r="CV99" s="623">
        <v>327.2</v>
      </c>
      <c r="CW99" s="623">
        <v>327.60000000000002</v>
      </c>
      <c r="CX99" s="623">
        <v>326.8</v>
      </c>
      <c r="CY99" s="623">
        <v>325.8</v>
      </c>
      <c r="CZ99" s="623">
        <v>326.60000000000002</v>
      </c>
      <c r="DA99" s="623">
        <v>326.60000000000002</v>
      </c>
      <c r="DB99" s="725">
        <v>327.8</v>
      </c>
      <c r="DC99" s="659">
        <v>328.2</v>
      </c>
      <c r="DD99" s="783">
        <v>327.39999999999998</v>
      </c>
      <c r="DE99" s="623">
        <v>328.4</v>
      </c>
      <c r="DF99" s="725">
        <v>329.8</v>
      </c>
      <c r="DG99" s="659">
        <v>329.1</v>
      </c>
      <c r="DH99" s="623">
        <v>327.5</v>
      </c>
      <c r="DI99" s="623">
        <v>328.1</v>
      </c>
      <c r="DJ99" s="623">
        <v>328.7</v>
      </c>
      <c r="DK99" s="659">
        <v>328.7</v>
      </c>
      <c r="DL99" s="897">
        <v>329</v>
      </c>
      <c r="DM99" s="110">
        <f t="shared" si="1"/>
        <v>1.0009126863401279</v>
      </c>
      <c r="DN99" s="110"/>
      <c r="DO99" s="110"/>
    </row>
    <row r="100" spans="1:122" s="115" customFormat="1" ht="18" customHeight="1">
      <c r="A100" s="114"/>
      <c r="B100" s="408">
        <v>80</v>
      </c>
      <c r="C100" s="621" t="s">
        <v>216</v>
      </c>
      <c r="D100" s="622" t="s">
        <v>217</v>
      </c>
      <c r="E100" s="621" t="s">
        <v>918</v>
      </c>
      <c r="F100" s="622"/>
      <c r="G100" s="621" t="s">
        <v>929</v>
      </c>
      <c r="H100" s="621" t="s">
        <v>930</v>
      </c>
      <c r="I100" s="390" t="s">
        <v>218</v>
      </c>
      <c r="J100" s="651"/>
      <c r="K100" s="669">
        <v>97.9</v>
      </c>
      <c r="L100" s="665">
        <v>107.5</v>
      </c>
      <c r="M100" s="625">
        <v>108.9</v>
      </c>
      <c r="N100" s="625">
        <v>111.9</v>
      </c>
      <c r="O100" s="625">
        <v>169.7</v>
      </c>
      <c r="P100" s="625">
        <v>172.4</v>
      </c>
      <c r="Q100" s="625">
        <v>187.2</v>
      </c>
      <c r="R100" s="625">
        <v>188.3</v>
      </c>
      <c r="S100" s="625">
        <v>188.3</v>
      </c>
      <c r="T100" s="625">
        <v>190.9</v>
      </c>
      <c r="U100" s="625">
        <v>190.9</v>
      </c>
      <c r="V100" s="625">
        <v>188</v>
      </c>
      <c r="W100" s="625">
        <v>187.9</v>
      </c>
      <c r="X100" s="625">
        <v>190.3</v>
      </c>
      <c r="Y100" s="625">
        <v>190.2</v>
      </c>
      <c r="Z100" s="625">
        <v>188.5</v>
      </c>
      <c r="AA100" s="625">
        <v>188.5</v>
      </c>
      <c r="AB100" s="625">
        <v>188.5</v>
      </c>
      <c r="AC100" s="625">
        <v>188.5</v>
      </c>
      <c r="AD100" s="625">
        <v>188.5</v>
      </c>
      <c r="AE100" s="625">
        <v>188.5</v>
      </c>
      <c r="AF100" s="625">
        <v>188.5</v>
      </c>
      <c r="AG100" s="625">
        <v>188.5</v>
      </c>
      <c r="AH100" s="625">
        <v>193</v>
      </c>
      <c r="AI100" s="764">
        <v>200.2</v>
      </c>
      <c r="AJ100" s="772">
        <v>206.4</v>
      </c>
      <c r="AK100" s="625">
        <v>215</v>
      </c>
      <c r="AL100" s="625">
        <v>235.3</v>
      </c>
      <c r="AM100" s="625">
        <v>238.6</v>
      </c>
      <c r="AN100" s="625">
        <v>243.9</v>
      </c>
      <c r="AO100" s="625">
        <v>243.9</v>
      </c>
      <c r="AP100" s="625">
        <v>243.9</v>
      </c>
      <c r="AQ100" s="625">
        <v>243.9</v>
      </c>
      <c r="AR100" s="625">
        <v>243.9</v>
      </c>
      <c r="AS100" s="625">
        <v>249.1</v>
      </c>
      <c r="AT100" s="625">
        <v>258.7</v>
      </c>
      <c r="AU100" s="764">
        <v>258.7</v>
      </c>
      <c r="AV100" s="752">
        <v>258.7</v>
      </c>
      <c r="AW100" s="626">
        <v>260.3</v>
      </c>
      <c r="AX100" s="626">
        <v>261.60000000000002</v>
      </c>
      <c r="AY100" s="626">
        <v>261.60000000000002</v>
      </c>
      <c r="AZ100" s="626">
        <v>263.39999999999998</v>
      </c>
      <c r="BA100" s="626">
        <v>264.60000000000002</v>
      </c>
      <c r="BB100" s="626">
        <v>269.60000000000002</v>
      </c>
      <c r="BC100" s="627">
        <v>274.8</v>
      </c>
      <c r="BD100" s="626">
        <v>275.10000000000002</v>
      </c>
      <c r="BE100" s="627">
        <v>277.5</v>
      </c>
      <c r="BF100" s="627">
        <v>278.5</v>
      </c>
      <c r="BG100" s="738">
        <v>282.5</v>
      </c>
      <c r="BH100" s="660">
        <v>289.7</v>
      </c>
      <c r="BI100" s="623">
        <v>293.7</v>
      </c>
      <c r="BJ100" s="623">
        <v>295.8</v>
      </c>
      <c r="BK100" s="623">
        <v>307.3</v>
      </c>
      <c r="BL100" s="623">
        <v>337.8</v>
      </c>
      <c r="BM100" s="623">
        <v>433.1</v>
      </c>
      <c r="BN100" s="623">
        <v>399.7</v>
      </c>
      <c r="BO100" s="623">
        <v>395.7</v>
      </c>
      <c r="BP100" s="623">
        <v>395.7</v>
      </c>
      <c r="BQ100" s="623">
        <v>391</v>
      </c>
      <c r="BR100" s="623">
        <v>398.7</v>
      </c>
      <c r="BS100" s="659">
        <v>398.7</v>
      </c>
      <c r="BT100" s="660">
        <v>403</v>
      </c>
      <c r="BU100" s="623">
        <v>409.7</v>
      </c>
      <c r="BV100" s="623">
        <v>405.9</v>
      </c>
      <c r="BW100" s="623">
        <v>410.7</v>
      </c>
      <c r="BX100" s="623">
        <v>437.2</v>
      </c>
      <c r="BY100" s="623">
        <v>447.6</v>
      </c>
      <c r="BZ100" s="623">
        <v>467.3</v>
      </c>
      <c r="CA100" s="623">
        <v>467.3</v>
      </c>
      <c r="CB100" s="623">
        <v>467.3</v>
      </c>
      <c r="CC100" s="623">
        <v>471.3</v>
      </c>
      <c r="CD100" s="623">
        <v>476.7</v>
      </c>
      <c r="CE100" s="659">
        <v>477.6</v>
      </c>
      <c r="CF100" s="660">
        <v>477.6</v>
      </c>
      <c r="CG100" s="623">
        <v>484.5</v>
      </c>
      <c r="CH100" s="623">
        <v>510.6</v>
      </c>
      <c r="CI100" s="623">
        <v>524.5</v>
      </c>
      <c r="CJ100" s="623">
        <v>544.9</v>
      </c>
      <c r="CK100" s="623">
        <v>523.6</v>
      </c>
      <c r="CL100" s="623">
        <v>520.1</v>
      </c>
      <c r="CM100" s="623">
        <v>520.1</v>
      </c>
      <c r="CN100" s="623">
        <v>520.1</v>
      </c>
      <c r="CO100" s="623">
        <v>516.29999999999995</v>
      </c>
      <c r="CP100" s="623">
        <v>514</v>
      </c>
      <c r="CQ100" s="659">
        <v>512.70000000000005</v>
      </c>
      <c r="CR100" s="660">
        <v>512.70000000000005</v>
      </c>
      <c r="CS100" s="623">
        <v>512.70000000000005</v>
      </c>
      <c r="CT100" s="623">
        <v>512.70000000000005</v>
      </c>
      <c r="CU100" s="623">
        <v>506.1</v>
      </c>
      <c r="CV100" s="623">
        <v>489</v>
      </c>
      <c r="CW100" s="623">
        <v>485.6</v>
      </c>
      <c r="CX100" s="623">
        <v>495.5</v>
      </c>
      <c r="CY100" s="623">
        <v>507.6</v>
      </c>
      <c r="CZ100" s="623">
        <v>512</v>
      </c>
      <c r="DA100" s="623">
        <v>544.1</v>
      </c>
      <c r="DB100" s="725">
        <v>528.1</v>
      </c>
      <c r="DC100" s="659">
        <v>538.4</v>
      </c>
      <c r="DD100" s="783">
        <v>564</v>
      </c>
      <c r="DE100" s="623">
        <v>541.29999999999995</v>
      </c>
      <c r="DF100" s="725">
        <v>550.1</v>
      </c>
      <c r="DG100" s="659">
        <v>558.79999999999995</v>
      </c>
      <c r="DH100" s="623">
        <v>605.6</v>
      </c>
      <c r="DI100" s="623">
        <v>627.9</v>
      </c>
      <c r="DJ100" s="623">
        <v>634.6</v>
      </c>
      <c r="DK100" s="659">
        <v>660.5</v>
      </c>
      <c r="DL100" s="897">
        <v>686.1</v>
      </c>
      <c r="DM100" s="110">
        <f t="shared" si="1"/>
        <v>1.0387585162755488</v>
      </c>
      <c r="DN100" s="110"/>
      <c r="DO100" s="110"/>
    </row>
    <row r="101" spans="1:122" s="115" customFormat="1" ht="18.95" customHeight="1">
      <c r="A101" s="114"/>
      <c r="B101" s="408">
        <v>81</v>
      </c>
      <c r="C101" s="632"/>
      <c r="D101" s="622" t="s">
        <v>219</v>
      </c>
      <c r="E101" s="621" t="s">
        <v>918</v>
      </c>
      <c r="F101" s="622"/>
      <c r="G101" s="632" t="s">
        <v>924</v>
      </c>
      <c r="H101" s="621" t="s">
        <v>920</v>
      </c>
      <c r="I101" s="390" t="s">
        <v>220</v>
      </c>
      <c r="J101" s="676"/>
      <c r="K101" s="669">
        <v>99.2</v>
      </c>
      <c r="L101" s="665">
        <v>102.6</v>
      </c>
      <c r="M101" s="625">
        <v>104.3</v>
      </c>
      <c r="N101" s="625">
        <v>104</v>
      </c>
      <c r="O101" s="625">
        <v>115</v>
      </c>
      <c r="P101" s="625">
        <v>116.4</v>
      </c>
      <c r="Q101" s="625">
        <v>123.6</v>
      </c>
      <c r="R101" s="625">
        <v>132.4</v>
      </c>
      <c r="S101" s="625">
        <v>147.19999999999999</v>
      </c>
      <c r="T101" s="625">
        <v>154.9</v>
      </c>
      <c r="U101" s="625">
        <v>157.69999999999999</v>
      </c>
      <c r="V101" s="625">
        <v>159.80000000000001</v>
      </c>
      <c r="W101" s="625">
        <v>159.9</v>
      </c>
      <c r="X101" s="625">
        <v>160.69999999999999</v>
      </c>
      <c r="Y101" s="625">
        <v>161.30000000000001</v>
      </c>
      <c r="Z101" s="625">
        <v>162.9</v>
      </c>
      <c r="AA101" s="625">
        <v>164.2</v>
      </c>
      <c r="AB101" s="625">
        <v>167.1</v>
      </c>
      <c r="AC101" s="625">
        <v>170</v>
      </c>
      <c r="AD101" s="625">
        <v>170.7</v>
      </c>
      <c r="AE101" s="625">
        <v>170.2</v>
      </c>
      <c r="AF101" s="625">
        <v>171.8</v>
      </c>
      <c r="AG101" s="625">
        <v>175.6</v>
      </c>
      <c r="AH101" s="625">
        <v>176.1</v>
      </c>
      <c r="AI101" s="764">
        <v>177.4</v>
      </c>
      <c r="AJ101" s="772">
        <v>174.4</v>
      </c>
      <c r="AK101" s="625">
        <v>175.3</v>
      </c>
      <c r="AL101" s="625">
        <v>175.3</v>
      </c>
      <c r="AM101" s="625">
        <v>178.1</v>
      </c>
      <c r="AN101" s="625">
        <v>179.1</v>
      </c>
      <c r="AO101" s="625">
        <v>179.6</v>
      </c>
      <c r="AP101" s="625">
        <v>184.8</v>
      </c>
      <c r="AQ101" s="625">
        <v>184.5</v>
      </c>
      <c r="AR101" s="625">
        <v>184.6</v>
      </c>
      <c r="AS101" s="625">
        <v>184.9</v>
      </c>
      <c r="AT101" s="625">
        <v>187</v>
      </c>
      <c r="AU101" s="764">
        <v>192.9</v>
      </c>
      <c r="AV101" s="752">
        <v>195.8</v>
      </c>
      <c r="AW101" s="626">
        <v>203.4</v>
      </c>
      <c r="AX101" s="626">
        <v>210.2</v>
      </c>
      <c r="AY101" s="626">
        <v>213.5</v>
      </c>
      <c r="AZ101" s="626">
        <v>212.3</v>
      </c>
      <c r="BA101" s="626">
        <v>214.4</v>
      </c>
      <c r="BB101" s="626">
        <v>216.6</v>
      </c>
      <c r="BC101" s="627">
        <v>221</v>
      </c>
      <c r="BD101" s="626">
        <v>222.1</v>
      </c>
      <c r="BE101" s="627">
        <v>225.1</v>
      </c>
      <c r="BF101" s="627">
        <v>228.6</v>
      </c>
      <c r="BG101" s="738">
        <v>229.8</v>
      </c>
      <c r="BH101" s="660">
        <v>228.9</v>
      </c>
      <c r="BI101" s="623">
        <v>231.1</v>
      </c>
      <c r="BJ101" s="623">
        <v>234.8</v>
      </c>
      <c r="BK101" s="623">
        <v>235.6</v>
      </c>
      <c r="BL101" s="623">
        <v>236.6</v>
      </c>
      <c r="BM101" s="623">
        <v>245.3</v>
      </c>
      <c r="BN101" s="623">
        <v>249.6</v>
      </c>
      <c r="BO101" s="623">
        <v>252.8</v>
      </c>
      <c r="BP101" s="623">
        <v>252.2</v>
      </c>
      <c r="BQ101" s="623">
        <v>252.8</v>
      </c>
      <c r="BR101" s="623">
        <v>254.7</v>
      </c>
      <c r="BS101" s="659">
        <v>256.5</v>
      </c>
      <c r="BT101" s="660">
        <v>257.3</v>
      </c>
      <c r="BU101" s="623">
        <v>263.89999999999998</v>
      </c>
      <c r="BV101" s="623">
        <v>266.5</v>
      </c>
      <c r="BW101" s="623">
        <v>266.39999999999998</v>
      </c>
      <c r="BX101" s="623">
        <v>275.8</v>
      </c>
      <c r="BY101" s="623">
        <v>280.60000000000002</v>
      </c>
      <c r="BZ101" s="623">
        <v>288</v>
      </c>
      <c r="CA101" s="623">
        <v>292.5</v>
      </c>
      <c r="CB101" s="623">
        <v>298.2</v>
      </c>
      <c r="CC101" s="623">
        <v>301.8</v>
      </c>
      <c r="CD101" s="623">
        <v>307.89999999999998</v>
      </c>
      <c r="CE101" s="659">
        <v>309.5</v>
      </c>
      <c r="CF101" s="660">
        <v>319.2</v>
      </c>
      <c r="CG101" s="623">
        <v>330.7</v>
      </c>
      <c r="CH101" s="623">
        <v>333.4</v>
      </c>
      <c r="CI101" s="623">
        <v>345.7</v>
      </c>
      <c r="CJ101" s="623">
        <v>354.2</v>
      </c>
      <c r="CK101" s="623">
        <v>359.8</v>
      </c>
      <c r="CL101" s="623">
        <v>367.6</v>
      </c>
      <c r="CM101" s="623">
        <v>369.1</v>
      </c>
      <c r="CN101" s="623">
        <v>369.1</v>
      </c>
      <c r="CO101" s="623">
        <v>364.8</v>
      </c>
      <c r="CP101" s="623">
        <v>365.1</v>
      </c>
      <c r="CQ101" s="659">
        <v>370.2</v>
      </c>
      <c r="CR101" s="660">
        <v>371.8</v>
      </c>
      <c r="CS101" s="623">
        <v>378.7</v>
      </c>
      <c r="CT101" s="623">
        <v>377.3</v>
      </c>
      <c r="CU101" s="623">
        <v>378.9</v>
      </c>
      <c r="CV101" s="623">
        <v>381.7</v>
      </c>
      <c r="CW101" s="623">
        <v>381.7</v>
      </c>
      <c r="CX101" s="623">
        <v>377.5</v>
      </c>
      <c r="CY101" s="623">
        <v>377.5</v>
      </c>
      <c r="CZ101" s="623">
        <v>377.8</v>
      </c>
      <c r="DA101" s="623">
        <v>378.5</v>
      </c>
      <c r="DB101" s="725">
        <v>382.2</v>
      </c>
      <c r="DC101" s="659">
        <v>383.3</v>
      </c>
      <c r="DD101" s="783">
        <v>394.3</v>
      </c>
      <c r="DE101" s="623">
        <v>401.9</v>
      </c>
      <c r="DF101" s="725">
        <v>409.3</v>
      </c>
      <c r="DG101" s="659">
        <v>417.9</v>
      </c>
      <c r="DH101" s="623">
        <v>437.9</v>
      </c>
      <c r="DI101" s="623">
        <v>448.9</v>
      </c>
      <c r="DJ101" s="623">
        <v>450.5</v>
      </c>
      <c r="DK101" s="659">
        <v>463.1</v>
      </c>
      <c r="DL101" s="897">
        <v>472.6</v>
      </c>
      <c r="DM101" s="110">
        <f t="shared" si="1"/>
        <v>1.0205139278773483</v>
      </c>
      <c r="DN101" s="110"/>
      <c r="DO101" s="110"/>
    </row>
    <row r="102" spans="1:122" s="115" customFormat="1" ht="29.25" customHeight="1">
      <c r="A102" s="114"/>
      <c r="B102" s="408">
        <v>82</v>
      </c>
      <c r="C102" s="621">
        <v>20</v>
      </c>
      <c r="D102" s="628" t="s">
        <v>748</v>
      </c>
      <c r="E102" s="621" t="s">
        <v>918</v>
      </c>
      <c r="F102" s="622"/>
      <c r="G102" s="621" t="s">
        <v>223</v>
      </c>
      <c r="H102" s="621" t="s">
        <v>930</v>
      </c>
      <c r="I102" s="390" t="s">
        <v>121</v>
      </c>
      <c r="J102" s="674"/>
      <c r="K102" s="669">
        <v>91.05</v>
      </c>
      <c r="L102" s="665">
        <v>92.86</v>
      </c>
      <c r="M102" s="625">
        <v>100.48</v>
      </c>
      <c r="N102" s="625">
        <v>108.09</v>
      </c>
      <c r="O102" s="625">
        <v>125.15</v>
      </c>
      <c r="P102" s="625">
        <v>131.84</v>
      </c>
      <c r="Q102" s="625">
        <v>144.30000000000001</v>
      </c>
      <c r="R102" s="625">
        <v>150.93</v>
      </c>
      <c r="S102" s="625">
        <v>155.9</v>
      </c>
      <c r="T102" s="625">
        <v>156.77000000000001</v>
      </c>
      <c r="U102" s="625">
        <v>158.69</v>
      </c>
      <c r="V102" s="625">
        <v>158.96</v>
      </c>
      <c r="W102" s="625">
        <v>156.15</v>
      </c>
      <c r="X102" s="625">
        <v>159.91999999999999</v>
      </c>
      <c r="Y102" s="625">
        <v>161.09</v>
      </c>
      <c r="Z102" s="625">
        <v>160.08000000000001</v>
      </c>
      <c r="AA102" s="625">
        <v>158.69999999999999</v>
      </c>
      <c r="AB102" s="625">
        <v>158.78</v>
      </c>
      <c r="AC102" s="625">
        <v>158.56</v>
      </c>
      <c r="AD102" s="625">
        <v>157.15</v>
      </c>
      <c r="AE102" s="625">
        <v>157.96</v>
      </c>
      <c r="AF102" s="625">
        <v>158.27000000000001</v>
      </c>
      <c r="AG102" s="625">
        <v>158.49</v>
      </c>
      <c r="AH102" s="625">
        <v>157.62</v>
      </c>
      <c r="AI102" s="764">
        <v>159.04</v>
      </c>
      <c r="AJ102" s="772">
        <v>160</v>
      </c>
      <c r="AK102" s="625">
        <v>165.94</v>
      </c>
      <c r="AL102" s="625">
        <v>173.68</v>
      </c>
      <c r="AM102" s="625">
        <v>177.82</v>
      </c>
      <c r="AN102" s="625">
        <v>180.27</v>
      </c>
      <c r="AO102" s="625">
        <v>182.52</v>
      </c>
      <c r="AP102" s="625">
        <v>184.18</v>
      </c>
      <c r="AQ102" s="625">
        <v>186.85</v>
      </c>
      <c r="AR102" s="625">
        <v>189.89</v>
      </c>
      <c r="AS102" s="625">
        <v>193.51</v>
      </c>
      <c r="AT102" s="625">
        <v>192.74</v>
      </c>
      <c r="AU102" s="764">
        <v>200.52</v>
      </c>
      <c r="AV102" s="752">
        <v>217</v>
      </c>
      <c r="AW102" s="626">
        <v>217.05</v>
      </c>
      <c r="AX102" s="626">
        <v>220.47</v>
      </c>
      <c r="AY102" s="626">
        <v>222.34</v>
      </c>
      <c r="AZ102" s="626">
        <v>222.65</v>
      </c>
      <c r="BA102" s="626">
        <v>227.61</v>
      </c>
      <c r="BB102" s="626">
        <v>228.91</v>
      </c>
      <c r="BC102" s="627">
        <v>229.19</v>
      </c>
      <c r="BD102" s="626">
        <v>233.76</v>
      </c>
      <c r="BE102" s="627">
        <v>236.19</v>
      </c>
      <c r="BF102" s="627">
        <v>240.63</v>
      </c>
      <c r="BG102" s="738">
        <v>242.09</v>
      </c>
      <c r="BH102" s="660">
        <v>244.2</v>
      </c>
      <c r="BI102" s="623">
        <v>247.04</v>
      </c>
      <c r="BJ102" s="623">
        <v>247.8</v>
      </c>
      <c r="BK102" s="623">
        <v>248.95</v>
      </c>
      <c r="BL102" s="623">
        <v>251.72</v>
      </c>
      <c r="BM102" s="623">
        <v>259.16000000000003</v>
      </c>
      <c r="BN102" s="623">
        <v>268.01</v>
      </c>
      <c r="BO102" s="623">
        <v>272.64</v>
      </c>
      <c r="BP102" s="623">
        <v>268.77</v>
      </c>
      <c r="BQ102" s="623">
        <v>270.77999999999997</v>
      </c>
      <c r="BR102" s="623">
        <v>275.70999999999998</v>
      </c>
      <c r="BS102" s="659">
        <v>275.44</v>
      </c>
      <c r="BT102" s="660">
        <v>278.67</v>
      </c>
      <c r="BU102" s="623">
        <v>283.60000000000002</v>
      </c>
      <c r="BV102" s="623">
        <v>283.67</v>
      </c>
      <c r="BW102" s="623">
        <v>288.39</v>
      </c>
      <c r="BX102" s="623">
        <v>291</v>
      </c>
      <c r="BY102" s="623">
        <v>296.17</v>
      </c>
      <c r="BZ102" s="623">
        <v>305.26</v>
      </c>
      <c r="CA102" s="623">
        <v>319.07</v>
      </c>
      <c r="CB102" s="623">
        <v>327.32</v>
      </c>
      <c r="CC102" s="623">
        <v>333.55</v>
      </c>
      <c r="CD102" s="623">
        <v>335.02</v>
      </c>
      <c r="CE102" s="659">
        <v>340.05</v>
      </c>
      <c r="CF102" s="660">
        <v>346.75</v>
      </c>
      <c r="CG102" s="623">
        <v>355.43</v>
      </c>
      <c r="CH102" s="623">
        <v>357.82</v>
      </c>
      <c r="CI102" s="623">
        <v>363.58</v>
      </c>
      <c r="CJ102" s="623">
        <v>364.84</v>
      </c>
      <c r="CK102" s="623">
        <v>374.82</v>
      </c>
      <c r="CL102" s="623">
        <v>387.63</v>
      </c>
      <c r="CM102" s="623">
        <v>390.6</v>
      </c>
      <c r="CN102" s="623">
        <v>395.45</v>
      </c>
      <c r="CO102" s="623">
        <v>397.64</v>
      </c>
      <c r="CP102" s="623">
        <v>401.61</v>
      </c>
      <c r="CQ102" s="659">
        <v>400.76</v>
      </c>
      <c r="CR102" s="660">
        <v>402.66</v>
      </c>
      <c r="CS102" s="623">
        <v>402.86</v>
      </c>
      <c r="CT102" s="623">
        <v>403.09</v>
      </c>
      <c r="CU102" s="623">
        <v>403.86</v>
      </c>
      <c r="CV102" s="623">
        <v>400.44</v>
      </c>
      <c r="CW102" s="623">
        <v>403.91</v>
      </c>
      <c r="CX102" s="623">
        <v>404.97</v>
      </c>
      <c r="CY102" s="623">
        <v>404.78</v>
      </c>
      <c r="CZ102" s="623">
        <v>408.63</v>
      </c>
      <c r="DA102" s="623">
        <v>409.06</v>
      </c>
      <c r="DB102" s="725">
        <v>413.31</v>
      </c>
      <c r="DC102" s="659">
        <v>414.24</v>
      </c>
      <c r="DD102" s="783">
        <v>416.35</v>
      </c>
      <c r="DE102" s="623">
        <v>421.39</v>
      </c>
      <c r="DF102" s="725">
        <v>436.06</v>
      </c>
      <c r="DG102" s="659">
        <v>446.18</v>
      </c>
      <c r="DH102" s="623">
        <v>448.43</v>
      </c>
      <c r="DI102" s="623">
        <v>458.33</v>
      </c>
      <c r="DJ102" s="623">
        <v>462.19</v>
      </c>
      <c r="DK102" s="659">
        <v>464.9</v>
      </c>
      <c r="DL102" s="897">
        <v>463.61</v>
      </c>
      <c r="DM102" s="110">
        <f t="shared" si="1"/>
        <v>0.99722520972252104</v>
      </c>
      <c r="DN102" s="110"/>
      <c r="DO102" s="110"/>
    </row>
    <row r="103" spans="1:122" s="115" customFormat="1" ht="21.75" customHeight="1">
      <c r="A103" s="114"/>
      <c r="B103" s="408">
        <v>83</v>
      </c>
      <c r="C103" s="621">
        <v>292</v>
      </c>
      <c r="D103" s="622" t="s">
        <v>224</v>
      </c>
      <c r="E103" s="621" t="s">
        <v>918</v>
      </c>
      <c r="F103" s="622"/>
      <c r="G103" s="621" t="s">
        <v>223</v>
      </c>
      <c r="H103" s="621" t="s">
        <v>930</v>
      </c>
      <c r="I103" s="390" t="s">
        <v>423</v>
      </c>
      <c r="J103" s="651"/>
      <c r="K103" s="669">
        <v>102.51</v>
      </c>
      <c r="L103" s="665">
        <v>109.63</v>
      </c>
      <c r="M103" s="625">
        <v>117.3</v>
      </c>
      <c r="N103" s="625">
        <v>141.19</v>
      </c>
      <c r="O103" s="625">
        <v>165.77</v>
      </c>
      <c r="P103" s="625">
        <v>181.76</v>
      </c>
      <c r="Q103" s="625">
        <v>205.91</v>
      </c>
      <c r="R103" s="625">
        <v>211.67</v>
      </c>
      <c r="S103" s="625">
        <v>212.12</v>
      </c>
      <c r="T103" s="625">
        <v>211.41</v>
      </c>
      <c r="U103" s="625">
        <v>213.54</v>
      </c>
      <c r="V103" s="625">
        <v>215.2</v>
      </c>
      <c r="W103" s="625">
        <v>216.22</v>
      </c>
      <c r="X103" s="625">
        <v>210.1</v>
      </c>
      <c r="Y103" s="625">
        <v>208.5</v>
      </c>
      <c r="Z103" s="625">
        <v>207.22</v>
      </c>
      <c r="AA103" s="625">
        <v>205.53</v>
      </c>
      <c r="AB103" s="625">
        <v>203.5</v>
      </c>
      <c r="AC103" s="625">
        <v>204.6</v>
      </c>
      <c r="AD103" s="625">
        <v>206.01</v>
      </c>
      <c r="AE103" s="625">
        <v>208.55</v>
      </c>
      <c r="AF103" s="625">
        <v>207.19</v>
      </c>
      <c r="AG103" s="625">
        <v>206.79</v>
      </c>
      <c r="AH103" s="625">
        <v>207.4</v>
      </c>
      <c r="AI103" s="764">
        <v>211.61</v>
      </c>
      <c r="AJ103" s="772">
        <v>212.96</v>
      </c>
      <c r="AK103" s="625">
        <v>217.55</v>
      </c>
      <c r="AL103" s="625">
        <v>223.19</v>
      </c>
      <c r="AM103" s="625">
        <v>224.48</v>
      </c>
      <c r="AN103" s="625">
        <v>230.5</v>
      </c>
      <c r="AO103" s="625">
        <v>232.87</v>
      </c>
      <c r="AP103" s="625">
        <v>233.41</v>
      </c>
      <c r="AQ103" s="625">
        <v>236.4</v>
      </c>
      <c r="AR103" s="625">
        <v>236.93</v>
      </c>
      <c r="AS103" s="625">
        <v>237.47</v>
      </c>
      <c r="AT103" s="625">
        <v>237.59</v>
      </c>
      <c r="AU103" s="764">
        <v>240.15</v>
      </c>
      <c r="AV103" s="752">
        <v>216.17</v>
      </c>
      <c r="AW103" s="626">
        <v>250.89</v>
      </c>
      <c r="AX103" s="626">
        <v>252.02</v>
      </c>
      <c r="AY103" s="626">
        <v>251.9</v>
      </c>
      <c r="AZ103" s="626">
        <v>252.86</v>
      </c>
      <c r="BA103" s="626">
        <v>253.4</v>
      </c>
      <c r="BB103" s="626">
        <v>255</v>
      </c>
      <c r="BC103" s="627">
        <v>257.06</v>
      </c>
      <c r="BD103" s="626">
        <v>261.47000000000003</v>
      </c>
      <c r="BE103" s="627">
        <v>263.62</v>
      </c>
      <c r="BF103" s="627">
        <v>264.24</v>
      </c>
      <c r="BG103" s="738">
        <v>268.44</v>
      </c>
      <c r="BH103" s="660">
        <v>270.8</v>
      </c>
      <c r="BI103" s="623">
        <v>272.8</v>
      </c>
      <c r="BJ103" s="623">
        <v>275.3</v>
      </c>
      <c r="BK103" s="623">
        <v>275.99</v>
      </c>
      <c r="BL103" s="623">
        <v>276.68</v>
      </c>
      <c r="BM103" s="623">
        <v>280.37</v>
      </c>
      <c r="BN103" s="623">
        <v>284.91000000000003</v>
      </c>
      <c r="BO103" s="623">
        <v>288.25</v>
      </c>
      <c r="BP103" s="623">
        <v>290.45</v>
      </c>
      <c r="BQ103" s="623">
        <v>292.33</v>
      </c>
      <c r="BR103" s="623">
        <v>291.57</v>
      </c>
      <c r="BS103" s="659">
        <v>292.86</v>
      </c>
      <c r="BT103" s="660">
        <v>293.02999999999997</v>
      </c>
      <c r="BU103" s="623">
        <v>295.75</v>
      </c>
      <c r="BV103" s="623">
        <v>296.64999999999998</v>
      </c>
      <c r="BW103" s="623">
        <v>299.89</v>
      </c>
      <c r="BX103" s="623">
        <v>303.62</v>
      </c>
      <c r="BY103" s="623">
        <v>305.82</v>
      </c>
      <c r="BZ103" s="623">
        <v>309.12</v>
      </c>
      <c r="CA103" s="623">
        <v>317.08</v>
      </c>
      <c r="CB103" s="623">
        <v>319.87</v>
      </c>
      <c r="CC103" s="623">
        <v>324.16000000000003</v>
      </c>
      <c r="CD103" s="623">
        <v>328.17</v>
      </c>
      <c r="CE103" s="659">
        <v>332.5</v>
      </c>
      <c r="CF103" s="660">
        <v>342.73</v>
      </c>
      <c r="CG103" s="623">
        <v>343.74</v>
      </c>
      <c r="CH103" s="623">
        <v>349.94</v>
      </c>
      <c r="CI103" s="623">
        <v>354.24</v>
      </c>
      <c r="CJ103" s="623">
        <v>357.44</v>
      </c>
      <c r="CK103" s="623">
        <v>362.74</v>
      </c>
      <c r="CL103" s="623">
        <v>368</v>
      </c>
      <c r="CM103" s="623">
        <v>373.34</v>
      </c>
      <c r="CN103" s="623">
        <v>378.67</v>
      </c>
      <c r="CO103" s="623">
        <v>383.11</v>
      </c>
      <c r="CP103" s="623">
        <v>388.76</v>
      </c>
      <c r="CQ103" s="659">
        <v>391.06</v>
      </c>
      <c r="CR103" s="660">
        <v>394.13</v>
      </c>
      <c r="CS103" s="623">
        <v>395.52</v>
      </c>
      <c r="CT103" s="623">
        <v>398.39</v>
      </c>
      <c r="CU103" s="623">
        <v>400.48</v>
      </c>
      <c r="CV103" s="623">
        <v>403.45</v>
      </c>
      <c r="CW103" s="623">
        <v>405.16</v>
      </c>
      <c r="CX103" s="623">
        <v>407.63</v>
      </c>
      <c r="CY103" s="623">
        <v>414.66</v>
      </c>
      <c r="CZ103" s="623">
        <v>418.25</v>
      </c>
      <c r="DA103" s="623">
        <v>419.83</v>
      </c>
      <c r="DB103" s="725">
        <v>422.16</v>
      </c>
      <c r="DC103" s="659">
        <v>423.25</v>
      </c>
      <c r="DD103" s="783">
        <v>424.12</v>
      </c>
      <c r="DE103" s="623">
        <v>431.55</v>
      </c>
      <c r="DF103" s="725">
        <v>440.34</v>
      </c>
      <c r="DG103" s="659">
        <v>449.05</v>
      </c>
      <c r="DH103" s="623">
        <v>453.38</v>
      </c>
      <c r="DI103" s="623">
        <v>458.64</v>
      </c>
      <c r="DJ103" s="623">
        <v>465.27</v>
      </c>
      <c r="DK103" s="659">
        <v>471.64</v>
      </c>
      <c r="DL103" s="897">
        <v>476.84</v>
      </c>
      <c r="DM103" s="110">
        <f t="shared" si="1"/>
        <v>1.0110253583241455</v>
      </c>
      <c r="DN103" s="110"/>
      <c r="DO103" s="110"/>
    </row>
    <row r="104" spans="1:122" s="115" customFormat="1" ht="18.95" customHeight="1">
      <c r="A104" s="114"/>
      <c r="B104" s="408">
        <v>84</v>
      </c>
      <c r="C104" s="632" t="s">
        <v>225</v>
      </c>
      <c r="D104" s="622" t="s">
        <v>749</v>
      </c>
      <c r="E104" s="621" t="s">
        <v>918</v>
      </c>
      <c r="F104" s="622"/>
      <c r="G104" s="621" t="s">
        <v>515</v>
      </c>
      <c r="H104" s="621"/>
      <c r="I104" s="390" t="s">
        <v>83</v>
      </c>
      <c r="J104" s="676" t="s">
        <v>443</v>
      </c>
      <c r="K104" s="669">
        <v>100</v>
      </c>
      <c r="L104" s="665">
        <v>117</v>
      </c>
      <c r="M104" s="625">
        <v>134</v>
      </c>
      <c r="N104" s="625">
        <v>152</v>
      </c>
      <c r="O104" s="625">
        <v>188</v>
      </c>
      <c r="P104" s="625">
        <v>254</v>
      </c>
      <c r="Q104" s="625">
        <v>267</v>
      </c>
      <c r="R104" s="625">
        <v>273</v>
      </c>
      <c r="S104" s="625">
        <v>279</v>
      </c>
      <c r="T104" s="625">
        <v>284</v>
      </c>
      <c r="U104" s="625">
        <v>284</v>
      </c>
      <c r="V104" s="625">
        <v>284</v>
      </c>
      <c r="W104" s="625">
        <v>284</v>
      </c>
      <c r="X104" s="625">
        <v>284</v>
      </c>
      <c r="Y104" s="625">
        <v>284</v>
      </c>
      <c r="Z104" s="625">
        <v>284</v>
      </c>
      <c r="AA104" s="625">
        <v>284</v>
      </c>
      <c r="AB104" s="625">
        <v>284</v>
      </c>
      <c r="AC104" s="625">
        <v>284</v>
      </c>
      <c r="AD104" s="625">
        <v>284</v>
      </c>
      <c r="AE104" s="625">
        <v>284</v>
      </c>
      <c r="AF104" s="625">
        <v>284</v>
      </c>
      <c r="AG104" s="625">
        <v>284</v>
      </c>
      <c r="AH104" s="625">
        <v>284</v>
      </c>
      <c r="AI104" s="764">
        <v>284</v>
      </c>
      <c r="AJ104" s="772">
        <v>270</v>
      </c>
      <c r="AK104" s="625">
        <v>270</v>
      </c>
      <c r="AL104" s="625">
        <v>270</v>
      </c>
      <c r="AM104" s="625">
        <v>270</v>
      </c>
      <c r="AN104" s="625">
        <v>270</v>
      </c>
      <c r="AO104" s="625">
        <v>270</v>
      </c>
      <c r="AP104" s="625">
        <v>270</v>
      </c>
      <c r="AQ104" s="625">
        <v>270</v>
      </c>
      <c r="AR104" s="625">
        <v>270</v>
      </c>
      <c r="AS104" s="625">
        <v>270</v>
      </c>
      <c r="AT104" s="625">
        <v>270</v>
      </c>
      <c r="AU104" s="764">
        <v>270</v>
      </c>
      <c r="AV104" s="752">
        <v>270</v>
      </c>
      <c r="AW104" s="626">
        <v>270</v>
      </c>
      <c r="AX104" s="626">
        <v>270</v>
      </c>
      <c r="AY104" s="626">
        <v>270</v>
      </c>
      <c r="AZ104" s="626">
        <v>270</v>
      </c>
      <c r="BA104" s="626">
        <v>270</v>
      </c>
      <c r="BB104" s="626">
        <v>270</v>
      </c>
      <c r="BC104" s="627">
        <v>270</v>
      </c>
      <c r="BD104" s="626">
        <v>270</v>
      </c>
      <c r="BE104" s="627">
        <v>270</v>
      </c>
      <c r="BF104" s="627">
        <v>270</v>
      </c>
      <c r="BG104" s="738">
        <v>270</v>
      </c>
      <c r="BH104" s="660">
        <v>270</v>
      </c>
      <c r="BI104" s="623">
        <v>270</v>
      </c>
      <c r="BJ104" s="623">
        <v>270</v>
      </c>
      <c r="BK104" s="623">
        <v>270</v>
      </c>
      <c r="BL104" s="623">
        <v>270</v>
      </c>
      <c r="BM104" s="623">
        <v>270</v>
      </c>
      <c r="BN104" s="623">
        <v>270</v>
      </c>
      <c r="BO104" s="623">
        <v>270</v>
      </c>
      <c r="BP104" s="623">
        <v>270</v>
      </c>
      <c r="BQ104" s="623">
        <v>270</v>
      </c>
      <c r="BR104" s="623">
        <v>270</v>
      </c>
      <c r="BS104" s="659">
        <v>270</v>
      </c>
      <c r="BT104" s="660">
        <v>270</v>
      </c>
      <c r="BU104" s="623">
        <v>270</v>
      </c>
      <c r="BV104" s="623">
        <v>270</v>
      </c>
      <c r="BW104" s="623">
        <v>270</v>
      </c>
      <c r="BX104" s="623">
        <v>270</v>
      </c>
      <c r="BY104" s="623">
        <v>270</v>
      </c>
      <c r="BZ104" s="623">
        <v>270</v>
      </c>
      <c r="CA104" s="623">
        <v>270</v>
      </c>
      <c r="CB104" s="623">
        <v>270</v>
      </c>
      <c r="CC104" s="623">
        <v>270</v>
      </c>
      <c r="CD104" s="623">
        <v>270</v>
      </c>
      <c r="CE104" s="659">
        <f>+'ANEXO I CADIEEL'!CE14</f>
        <v>270</v>
      </c>
      <c r="CF104" s="660">
        <f>+'ANEXO I CADIEEL'!CF14</f>
        <v>270</v>
      </c>
      <c r="CG104" s="623">
        <f>+'ANEXO I CADIEEL'!CG14</f>
        <v>270</v>
      </c>
      <c r="CH104" s="623">
        <f>'ANEXO I CADIEEL'!CH14</f>
        <v>270</v>
      </c>
      <c r="CI104" s="623">
        <f>'ANEXO I CADIEEL'!CI14</f>
        <v>270</v>
      </c>
      <c r="CJ104" s="623">
        <f>'ANEXO I CADIEEL'!CJ14</f>
        <v>270</v>
      </c>
      <c r="CK104" s="623">
        <f>'ANEXO I CADIEEL'!CK14</f>
        <v>270</v>
      </c>
      <c r="CL104" s="623">
        <f>'ANEXO I CADIEEL'!CL14</f>
        <v>270</v>
      </c>
      <c r="CM104" s="623">
        <f>'ANEXO I CADIEEL'!CM14</f>
        <v>270</v>
      </c>
      <c r="CN104" s="623">
        <f>'ANEXO I CADIEEL'!CN14</f>
        <v>270</v>
      </c>
      <c r="CO104" s="623">
        <f>'ANEXO I CADIEEL'!CO14</f>
        <v>270</v>
      </c>
      <c r="CP104" s="623">
        <f>+CO104</f>
        <v>270</v>
      </c>
      <c r="CQ104" s="659">
        <f>'ANEXO I CADIEEL'!CQ14</f>
        <v>270</v>
      </c>
      <c r="CR104" s="660">
        <f>'ANEXO I CADIEEL'!CR14</f>
        <v>270</v>
      </c>
      <c r="CS104" s="623">
        <f>'ANEXO I CADIEEL'!CS14</f>
        <v>270</v>
      </c>
      <c r="CT104" s="740" t="s">
        <v>524</v>
      </c>
      <c r="CU104" s="740" t="s">
        <v>524</v>
      </c>
      <c r="CV104" s="740" t="s">
        <v>524</v>
      </c>
      <c r="CW104" s="740" t="s">
        <v>524</v>
      </c>
      <c r="CX104" s="740" t="s">
        <v>524</v>
      </c>
      <c r="CY104" s="740" t="s">
        <v>524</v>
      </c>
      <c r="CZ104" s="740" t="s">
        <v>524</v>
      </c>
      <c r="DA104" s="740" t="s">
        <v>524</v>
      </c>
      <c r="DB104" s="740" t="s">
        <v>524</v>
      </c>
      <c r="DC104" s="777" t="s">
        <v>524</v>
      </c>
      <c r="DD104" s="785" t="s">
        <v>524</v>
      </c>
      <c r="DE104" s="740" t="s">
        <v>524</v>
      </c>
      <c r="DF104" s="797" t="s">
        <v>524</v>
      </c>
      <c r="DG104" s="777" t="s">
        <v>524</v>
      </c>
      <c r="DH104" s="740" t="s">
        <v>524</v>
      </c>
      <c r="DI104" s="740" t="s">
        <v>524</v>
      </c>
      <c r="DJ104" s="740" t="s">
        <v>524</v>
      </c>
      <c r="DK104" s="777" t="s">
        <v>524</v>
      </c>
      <c r="DL104" s="898" t="s">
        <v>524</v>
      </c>
      <c r="DM104" s="110"/>
      <c r="DN104" s="110"/>
      <c r="DO104" s="110"/>
    </row>
    <row r="105" spans="1:122" s="115" customFormat="1" ht="19.5" customHeight="1">
      <c r="A105" s="114"/>
      <c r="B105" s="408">
        <v>85</v>
      </c>
      <c r="C105" s="621">
        <v>31</v>
      </c>
      <c r="D105" s="622" t="s">
        <v>227</v>
      </c>
      <c r="E105" s="621" t="s">
        <v>918</v>
      </c>
      <c r="F105" s="622"/>
      <c r="G105" s="621" t="s">
        <v>223</v>
      </c>
      <c r="H105" s="621" t="s">
        <v>930</v>
      </c>
      <c r="I105" s="390" t="s">
        <v>422</v>
      </c>
      <c r="J105" s="676"/>
      <c r="K105" s="669">
        <v>82.6</v>
      </c>
      <c r="L105" s="665">
        <v>87.9</v>
      </c>
      <c r="M105" s="625">
        <v>103.38</v>
      </c>
      <c r="N105" s="625">
        <v>131.44</v>
      </c>
      <c r="O105" s="625">
        <v>152.13999999999999</v>
      </c>
      <c r="P105" s="625">
        <v>175.65</v>
      </c>
      <c r="Q105" s="625">
        <v>189.43</v>
      </c>
      <c r="R105" s="625">
        <v>191.25</v>
      </c>
      <c r="S105" s="625">
        <v>193.04</v>
      </c>
      <c r="T105" s="625">
        <v>194.91</v>
      </c>
      <c r="U105" s="625">
        <v>195.4</v>
      </c>
      <c r="V105" s="625">
        <v>196.8</v>
      </c>
      <c r="W105" s="625">
        <v>194.25</v>
      </c>
      <c r="X105" s="625">
        <v>189.81</v>
      </c>
      <c r="Y105" s="625">
        <v>182.7</v>
      </c>
      <c r="Z105" s="625">
        <v>184.89</v>
      </c>
      <c r="AA105" s="625">
        <v>180.65</v>
      </c>
      <c r="AB105" s="625">
        <v>178.98</v>
      </c>
      <c r="AC105" s="625">
        <v>178.4</v>
      </c>
      <c r="AD105" s="625">
        <v>179.17</v>
      </c>
      <c r="AE105" s="625">
        <v>182.71</v>
      </c>
      <c r="AF105" s="625">
        <v>185.31</v>
      </c>
      <c r="AG105" s="625">
        <v>184.52</v>
      </c>
      <c r="AH105" s="625">
        <v>188.09</v>
      </c>
      <c r="AI105" s="764">
        <v>192.44</v>
      </c>
      <c r="AJ105" s="772">
        <v>196.85</v>
      </c>
      <c r="AK105" s="625">
        <v>208.68</v>
      </c>
      <c r="AL105" s="625">
        <v>216.54</v>
      </c>
      <c r="AM105" s="625">
        <v>217.8</v>
      </c>
      <c r="AN105" s="625">
        <v>224.15</v>
      </c>
      <c r="AO105" s="625">
        <v>231.64</v>
      </c>
      <c r="AP105" s="625">
        <v>231</v>
      </c>
      <c r="AQ105" s="625">
        <v>234.67</v>
      </c>
      <c r="AR105" s="625">
        <v>230.66</v>
      </c>
      <c r="AS105" s="625">
        <v>236.64</v>
      </c>
      <c r="AT105" s="625">
        <v>241.09</v>
      </c>
      <c r="AU105" s="764">
        <v>247.71</v>
      </c>
      <c r="AV105" s="752">
        <v>249.92</v>
      </c>
      <c r="AW105" s="626">
        <v>248.22</v>
      </c>
      <c r="AX105" s="626">
        <v>255.21</v>
      </c>
      <c r="AY105" s="626">
        <v>258.33999999999997</v>
      </c>
      <c r="AZ105" s="626">
        <v>259.25</v>
      </c>
      <c r="BA105" s="626">
        <v>258.7</v>
      </c>
      <c r="BB105" s="626">
        <v>259.3</v>
      </c>
      <c r="BC105" s="627">
        <v>263.67</v>
      </c>
      <c r="BD105" s="626">
        <v>268.95</v>
      </c>
      <c r="BE105" s="627">
        <v>278.06</v>
      </c>
      <c r="BF105" s="627">
        <v>286.57</v>
      </c>
      <c r="BG105" s="738">
        <v>292.85000000000002</v>
      </c>
      <c r="BH105" s="660">
        <v>293.32</v>
      </c>
      <c r="BI105" s="623">
        <v>303.76</v>
      </c>
      <c r="BJ105" s="623">
        <v>316.02999999999997</v>
      </c>
      <c r="BK105" s="623">
        <v>332.95</v>
      </c>
      <c r="BL105" s="623">
        <v>379.37</v>
      </c>
      <c r="BM105" s="623">
        <v>387.31</v>
      </c>
      <c r="BN105" s="623">
        <v>389.56</v>
      </c>
      <c r="BO105" s="623">
        <v>409.31</v>
      </c>
      <c r="BP105" s="623">
        <v>411.43</v>
      </c>
      <c r="BQ105" s="623">
        <v>410.5</v>
      </c>
      <c r="BR105" s="623">
        <v>401.84</v>
      </c>
      <c r="BS105" s="659">
        <v>400.51</v>
      </c>
      <c r="BT105" s="660">
        <v>389.71</v>
      </c>
      <c r="BU105" s="623">
        <v>383.97</v>
      </c>
      <c r="BV105" s="623">
        <v>378.05</v>
      </c>
      <c r="BW105" s="623">
        <v>403.72</v>
      </c>
      <c r="BX105" s="623">
        <v>413.42</v>
      </c>
      <c r="BY105" s="623">
        <v>414.58</v>
      </c>
      <c r="BZ105" s="623">
        <v>423.6</v>
      </c>
      <c r="CA105" s="623">
        <v>437.31</v>
      </c>
      <c r="CB105" s="623">
        <v>436.3</v>
      </c>
      <c r="CC105" s="623">
        <v>440.8</v>
      </c>
      <c r="CD105" s="623">
        <v>444.16</v>
      </c>
      <c r="CE105" s="659">
        <v>441.44</v>
      </c>
      <c r="CF105" s="660">
        <v>442.96</v>
      </c>
      <c r="CG105" s="623">
        <v>444.34</v>
      </c>
      <c r="CH105" s="623">
        <v>457.93</v>
      </c>
      <c r="CI105" s="623">
        <v>466.34</v>
      </c>
      <c r="CJ105" s="623">
        <v>481.92</v>
      </c>
      <c r="CK105" s="623">
        <v>476.4</v>
      </c>
      <c r="CL105" s="623">
        <v>475.55</v>
      </c>
      <c r="CM105" s="623">
        <v>472.31</v>
      </c>
      <c r="CN105" s="623">
        <v>472.99</v>
      </c>
      <c r="CO105" s="623">
        <v>475.91</v>
      </c>
      <c r="CP105" s="623">
        <v>445.54</v>
      </c>
      <c r="CQ105" s="659">
        <v>439.47</v>
      </c>
      <c r="CR105" s="660">
        <v>436.67</v>
      </c>
      <c r="CS105" s="623">
        <v>424.87</v>
      </c>
      <c r="CT105" s="623">
        <v>424.2</v>
      </c>
      <c r="CU105" s="623">
        <v>422.46</v>
      </c>
      <c r="CV105" s="623">
        <v>425.79</v>
      </c>
      <c r="CW105" s="623">
        <v>429.43</v>
      </c>
      <c r="CX105" s="623">
        <v>438.2</v>
      </c>
      <c r="CY105" s="623">
        <v>448.9</v>
      </c>
      <c r="CZ105" s="623">
        <v>451.39</v>
      </c>
      <c r="DA105" s="623">
        <v>461.79</v>
      </c>
      <c r="DB105" s="725">
        <v>466.13</v>
      </c>
      <c r="DC105" s="659">
        <v>471.97</v>
      </c>
      <c r="DD105" s="783">
        <v>488.65</v>
      </c>
      <c r="DE105" s="623">
        <v>499.4</v>
      </c>
      <c r="DF105" s="725">
        <v>502.82</v>
      </c>
      <c r="DG105" s="659">
        <v>512.65</v>
      </c>
      <c r="DH105" s="623">
        <v>508.02</v>
      </c>
      <c r="DI105" s="623">
        <v>506.52</v>
      </c>
      <c r="DJ105" s="623">
        <v>503.13</v>
      </c>
      <c r="DK105" s="659">
        <v>506.14</v>
      </c>
      <c r="DL105" s="897">
        <v>512.34</v>
      </c>
      <c r="DM105" s="110">
        <f t="shared" si="1"/>
        <v>1.0122495752163434</v>
      </c>
      <c r="DN105" s="110"/>
      <c r="DO105" s="110"/>
    </row>
    <row r="106" spans="1:122" s="115" customFormat="1" ht="19.5" customHeight="1">
      <c r="A106" s="114"/>
      <c r="B106" s="408">
        <v>86</v>
      </c>
      <c r="C106" s="621">
        <v>29</v>
      </c>
      <c r="D106" s="622" t="s">
        <v>228</v>
      </c>
      <c r="E106" s="621" t="s">
        <v>918</v>
      </c>
      <c r="F106" s="622"/>
      <c r="G106" s="621" t="s">
        <v>223</v>
      </c>
      <c r="H106" s="621" t="s">
        <v>930</v>
      </c>
      <c r="I106" s="390" t="s">
        <v>197</v>
      </c>
      <c r="J106" s="674"/>
      <c r="K106" s="669">
        <v>96.16</v>
      </c>
      <c r="L106" s="665">
        <v>102.41</v>
      </c>
      <c r="M106" s="625">
        <v>113.89</v>
      </c>
      <c r="N106" s="625">
        <v>125.37</v>
      </c>
      <c r="O106" s="625">
        <v>133.56</v>
      </c>
      <c r="P106" s="625">
        <v>159.34</v>
      </c>
      <c r="Q106" s="625">
        <v>174.27</v>
      </c>
      <c r="R106" s="625">
        <v>177.79</v>
      </c>
      <c r="S106" s="625">
        <v>179.03</v>
      </c>
      <c r="T106" s="625">
        <v>179.21</v>
      </c>
      <c r="U106" s="625">
        <v>180.08</v>
      </c>
      <c r="V106" s="625">
        <v>183.19</v>
      </c>
      <c r="W106" s="625">
        <v>181.75</v>
      </c>
      <c r="X106" s="625">
        <v>179.75</v>
      </c>
      <c r="Y106" s="625">
        <v>178.21</v>
      </c>
      <c r="Z106" s="625">
        <v>178.79</v>
      </c>
      <c r="AA106" s="625">
        <v>177.8</v>
      </c>
      <c r="AB106" s="625">
        <v>177.01</v>
      </c>
      <c r="AC106" s="625">
        <v>176.74</v>
      </c>
      <c r="AD106" s="625">
        <v>177.32</v>
      </c>
      <c r="AE106" s="625">
        <v>177.84</v>
      </c>
      <c r="AF106" s="625">
        <v>176.99</v>
      </c>
      <c r="AG106" s="625">
        <v>176.61</v>
      </c>
      <c r="AH106" s="625">
        <v>177.07</v>
      </c>
      <c r="AI106" s="764">
        <v>178.31</v>
      </c>
      <c r="AJ106" s="772">
        <v>179.53</v>
      </c>
      <c r="AK106" s="625">
        <v>183.2</v>
      </c>
      <c r="AL106" s="625">
        <v>187.02</v>
      </c>
      <c r="AM106" s="625">
        <v>189.58</v>
      </c>
      <c r="AN106" s="625">
        <v>191.94</v>
      </c>
      <c r="AO106" s="625">
        <v>194.23</v>
      </c>
      <c r="AP106" s="625">
        <v>194.62</v>
      </c>
      <c r="AQ106" s="625">
        <v>195.96</v>
      </c>
      <c r="AR106" s="625">
        <v>197.29</v>
      </c>
      <c r="AS106" s="625">
        <v>198.53</v>
      </c>
      <c r="AT106" s="625">
        <v>199.67</v>
      </c>
      <c r="AU106" s="764">
        <v>202.07</v>
      </c>
      <c r="AV106" s="752">
        <v>195.51</v>
      </c>
      <c r="AW106" s="626">
        <v>209.24</v>
      </c>
      <c r="AX106" s="626">
        <v>211.66</v>
      </c>
      <c r="AY106" s="626">
        <v>213.48</v>
      </c>
      <c r="AZ106" s="626">
        <v>214.66</v>
      </c>
      <c r="BA106" s="626">
        <v>215.77</v>
      </c>
      <c r="BB106" s="626">
        <v>218.33</v>
      </c>
      <c r="BC106" s="627">
        <v>219.75</v>
      </c>
      <c r="BD106" s="626">
        <v>222.96</v>
      </c>
      <c r="BE106" s="627">
        <v>225.73</v>
      </c>
      <c r="BF106" s="627">
        <v>226.17</v>
      </c>
      <c r="BG106" s="738">
        <v>230.75</v>
      </c>
      <c r="BH106" s="660">
        <v>234.31</v>
      </c>
      <c r="BI106" s="623">
        <v>235.93</v>
      </c>
      <c r="BJ106" s="623">
        <v>238.18</v>
      </c>
      <c r="BK106" s="623">
        <v>239.48</v>
      </c>
      <c r="BL106" s="623">
        <v>241.79</v>
      </c>
      <c r="BM106" s="623">
        <v>245.25</v>
      </c>
      <c r="BN106" s="623">
        <v>248.01</v>
      </c>
      <c r="BO106" s="623">
        <v>251.87</v>
      </c>
      <c r="BP106" s="623">
        <v>254.65</v>
      </c>
      <c r="BQ106" s="623">
        <v>255.77</v>
      </c>
      <c r="BR106" s="623">
        <v>255.88</v>
      </c>
      <c r="BS106" s="659">
        <v>256.83</v>
      </c>
      <c r="BT106" s="660">
        <v>257.47000000000003</v>
      </c>
      <c r="BU106" s="623">
        <v>260.14999999999998</v>
      </c>
      <c r="BV106" s="623">
        <v>262.92</v>
      </c>
      <c r="BW106" s="623">
        <v>266.02999999999997</v>
      </c>
      <c r="BX106" s="623">
        <v>269.98</v>
      </c>
      <c r="BY106" s="623">
        <v>276.5</v>
      </c>
      <c r="BZ106" s="623">
        <v>278.31</v>
      </c>
      <c r="CA106" s="623">
        <v>285.3</v>
      </c>
      <c r="CB106" s="623">
        <v>287.25</v>
      </c>
      <c r="CC106" s="623">
        <v>290.82</v>
      </c>
      <c r="CD106" s="623">
        <v>294.52</v>
      </c>
      <c r="CE106" s="659">
        <v>297.51</v>
      </c>
      <c r="CF106" s="660">
        <v>302.06</v>
      </c>
      <c r="CG106" s="623">
        <v>305.85000000000002</v>
      </c>
      <c r="CH106" s="623">
        <v>311.14999999999998</v>
      </c>
      <c r="CI106" s="623">
        <v>316.32</v>
      </c>
      <c r="CJ106" s="623">
        <v>318.14</v>
      </c>
      <c r="CK106" s="623">
        <v>325.26</v>
      </c>
      <c r="CL106" s="623">
        <v>330.42</v>
      </c>
      <c r="CM106" s="623">
        <v>333.56</v>
      </c>
      <c r="CN106" s="623">
        <v>336.4</v>
      </c>
      <c r="CO106" s="623">
        <v>339.07</v>
      </c>
      <c r="CP106" s="623">
        <v>341.77</v>
      </c>
      <c r="CQ106" s="659">
        <v>342.65</v>
      </c>
      <c r="CR106" s="660">
        <v>344.18</v>
      </c>
      <c r="CS106" s="623">
        <v>344.29</v>
      </c>
      <c r="CT106" s="623">
        <v>345.6</v>
      </c>
      <c r="CU106" s="623">
        <v>347.1</v>
      </c>
      <c r="CV106" s="623">
        <v>351.16</v>
      </c>
      <c r="CW106" s="623">
        <v>353.79</v>
      </c>
      <c r="CX106" s="623">
        <v>355.96</v>
      </c>
      <c r="CY106" s="623">
        <v>358.57</v>
      </c>
      <c r="CZ106" s="623">
        <v>360.64</v>
      </c>
      <c r="DA106" s="623">
        <v>366.56</v>
      </c>
      <c r="DB106" s="725">
        <v>370.8</v>
      </c>
      <c r="DC106" s="659">
        <v>372.58</v>
      </c>
      <c r="DD106" s="783">
        <v>375.32</v>
      </c>
      <c r="DE106" s="623">
        <v>381.66</v>
      </c>
      <c r="DF106" s="725">
        <v>387.71</v>
      </c>
      <c r="DG106" s="659">
        <v>393.72</v>
      </c>
      <c r="DH106" s="623">
        <v>400.1</v>
      </c>
      <c r="DI106" s="623">
        <v>406.34</v>
      </c>
      <c r="DJ106" s="623">
        <v>409.68</v>
      </c>
      <c r="DK106" s="659">
        <v>413.44</v>
      </c>
      <c r="DL106" s="897">
        <v>418.29</v>
      </c>
      <c r="DM106" s="110">
        <f t="shared" si="1"/>
        <v>1.0117308436532508</v>
      </c>
      <c r="DN106" s="110"/>
      <c r="DO106" s="110"/>
      <c r="DP106" s="116"/>
    </row>
    <row r="107" spans="1:122" s="115" customFormat="1" ht="21" customHeight="1">
      <c r="A107" s="114"/>
      <c r="B107" s="408">
        <v>87</v>
      </c>
      <c r="C107" s="621">
        <v>29</v>
      </c>
      <c r="D107" s="622" t="s">
        <v>230</v>
      </c>
      <c r="E107" s="621" t="s">
        <v>918</v>
      </c>
      <c r="F107" s="622"/>
      <c r="G107" s="621" t="s">
        <v>223</v>
      </c>
      <c r="H107" s="621" t="s">
        <v>229</v>
      </c>
      <c r="I107" s="390" t="s">
        <v>198</v>
      </c>
      <c r="J107" s="676"/>
      <c r="K107" s="669">
        <v>86.98</v>
      </c>
      <c r="L107" s="665">
        <v>96.77</v>
      </c>
      <c r="M107" s="625">
        <v>124.1</v>
      </c>
      <c r="N107" s="625">
        <v>151.43</v>
      </c>
      <c r="O107" s="625">
        <v>177.29</v>
      </c>
      <c r="P107" s="625">
        <v>233.84</v>
      </c>
      <c r="Q107" s="625">
        <v>250.46</v>
      </c>
      <c r="R107" s="625">
        <v>254.83</v>
      </c>
      <c r="S107" s="625">
        <v>274.5</v>
      </c>
      <c r="T107" s="625">
        <v>269.93</v>
      </c>
      <c r="U107" s="625">
        <v>270.97000000000003</v>
      </c>
      <c r="V107" s="625">
        <v>245.33</v>
      </c>
      <c r="W107" s="625">
        <v>240.5</v>
      </c>
      <c r="X107" s="625">
        <v>235.25</v>
      </c>
      <c r="Y107" s="625">
        <v>232.29</v>
      </c>
      <c r="Z107" s="625">
        <v>219.12</v>
      </c>
      <c r="AA107" s="625">
        <v>208.84</v>
      </c>
      <c r="AB107" s="625">
        <v>201.61</v>
      </c>
      <c r="AC107" s="625">
        <v>199.82</v>
      </c>
      <c r="AD107" s="625">
        <v>195.1</v>
      </c>
      <c r="AE107" s="625">
        <v>200.55</v>
      </c>
      <c r="AF107" s="625">
        <v>200.67</v>
      </c>
      <c r="AG107" s="625">
        <v>197.49</v>
      </c>
      <c r="AH107" s="625">
        <v>198.58</v>
      </c>
      <c r="AI107" s="764">
        <v>203.2</v>
      </c>
      <c r="AJ107" s="772">
        <v>201.71</v>
      </c>
      <c r="AK107" s="625">
        <v>202.78</v>
      </c>
      <c r="AL107" s="625">
        <v>201.87</v>
      </c>
      <c r="AM107" s="625">
        <v>197.8</v>
      </c>
      <c r="AN107" s="625">
        <v>201.36</v>
      </c>
      <c r="AO107" s="625">
        <v>203.29</v>
      </c>
      <c r="AP107" s="625">
        <v>202</v>
      </c>
      <c r="AQ107" s="625">
        <v>205.35</v>
      </c>
      <c r="AR107" s="625">
        <v>201.39</v>
      </c>
      <c r="AS107" s="625">
        <v>200.73</v>
      </c>
      <c r="AT107" s="625">
        <v>200.83</v>
      </c>
      <c r="AU107" s="764">
        <v>202.68</v>
      </c>
      <c r="AV107" s="752">
        <v>201.91</v>
      </c>
      <c r="AW107" s="626">
        <v>200.03</v>
      </c>
      <c r="AX107" s="626">
        <v>201.18</v>
      </c>
      <c r="AY107" s="626">
        <v>201.25</v>
      </c>
      <c r="AZ107" s="626">
        <v>201.16</v>
      </c>
      <c r="BA107" s="626">
        <v>199.75</v>
      </c>
      <c r="BB107" s="626">
        <v>199.21</v>
      </c>
      <c r="BC107" s="627">
        <v>200.06</v>
      </c>
      <c r="BD107" s="626">
        <v>200.96</v>
      </c>
      <c r="BE107" s="627">
        <v>202.99</v>
      </c>
      <c r="BF107" s="627">
        <v>203.01</v>
      </c>
      <c r="BG107" s="738">
        <v>205.3</v>
      </c>
      <c r="BH107" s="660">
        <v>207.32</v>
      </c>
      <c r="BI107" s="623">
        <v>208.67</v>
      </c>
      <c r="BJ107" s="623">
        <v>210.06</v>
      </c>
      <c r="BK107" s="623">
        <v>205.17</v>
      </c>
      <c r="BL107" s="623">
        <v>205.6</v>
      </c>
      <c r="BM107" s="623">
        <v>205.98</v>
      </c>
      <c r="BN107" s="623">
        <v>207.15</v>
      </c>
      <c r="BO107" s="623">
        <v>210.4</v>
      </c>
      <c r="BP107" s="623">
        <v>211.75</v>
      </c>
      <c r="BQ107" s="623">
        <v>209.37</v>
      </c>
      <c r="BR107" s="623">
        <v>205.57</v>
      </c>
      <c r="BS107" s="659">
        <v>205.82</v>
      </c>
      <c r="BT107" s="660">
        <v>206.59</v>
      </c>
      <c r="BU107" s="623">
        <v>209</v>
      </c>
      <c r="BV107" s="623">
        <v>207.55</v>
      </c>
      <c r="BW107" s="623">
        <v>208.09</v>
      </c>
      <c r="BX107" s="623">
        <v>210.07</v>
      </c>
      <c r="BY107" s="623">
        <v>210.61</v>
      </c>
      <c r="BZ107" s="623">
        <v>211.83</v>
      </c>
      <c r="CA107" s="623">
        <v>214.05</v>
      </c>
      <c r="CB107" s="623">
        <v>213.93</v>
      </c>
      <c r="CC107" s="623">
        <v>215.54</v>
      </c>
      <c r="CD107" s="623">
        <v>215.07</v>
      </c>
      <c r="CE107" s="659">
        <v>217.04</v>
      </c>
      <c r="CF107" s="660">
        <v>215.69</v>
      </c>
      <c r="CG107" s="623">
        <v>220.42</v>
      </c>
      <c r="CH107" s="623">
        <v>221.77</v>
      </c>
      <c r="CI107" s="623">
        <v>225.23</v>
      </c>
      <c r="CJ107" s="623">
        <v>226.13</v>
      </c>
      <c r="CK107" s="623">
        <v>224.52</v>
      </c>
      <c r="CL107" s="623">
        <v>224.32</v>
      </c>
      <c r="CM107" s="623">
        <v>225.54</v>
      </c>
      <c r="CN107" s="623">
        <v>225.71</v>
      </c>
      <c r="CO107" s="623">
        <v>230.59</v>
      </c>
      <c r="CP107" s="623">
        <v>231.96</v>
      </c>
      <c r="CQ107" s="659">
        <v>235.11</v>
      </c>
      <c r="CR107" s="660">
        <v>236.1</v>
      </c>
      <c r="CS107" s="623">
        <v>239.19</v>
      </c>
      <c r="CT107" s="623">
        <v>243.08</v>
      </c>
      <c r="CU107" s="623">
        <v>246.93</v>
      </c>
      <c r="CV107" s="623">
        <v>248.53</v>
      </c>
      <c r="CW107" s="623">
        <v>248.84</v>
      </c>
      <c r="CX107" s="623">
        <v>250.02</v>
      </c>
      <c r="CY107" s="623">
        <v>253.12</v>
      </c>
      <c r="CZ107" s="623">
        <v>254.32</v>
      </c>
      <c r="DA107" s="623">
        <v>255.29</v>
      </c>
      <c r="DB107" s="725">
        <v>255.08</v>
      </c>
      <c r="DC107" s="659">
        <v>255.21</v>
      </c>
      <c r="DD107" s="783">
        <v>256.14</v>
      </c>
      <c r="DE107" s="623">
        <v>258.68</v>
      </c>
      <c r="DF107" s="725">
        <v>259.64</v>
      </c>
      <c r="DG107" s="659">
        <v>260.64</v>
      </c>
      <c r="DH107" s="623">
        <v>263.70999999999998</v>
      </c>
      <c r="DI107" s="623">
        <v>263.48</v>
      </c>
      <c r="DJ107" s="623">
        <v>265.2</v>
      </c>
      <c r="DK107" s="659">
        <v>265.69</v>
      </c>
      <c r="DL107" s="897">
        <v>267.23</v>
      </c>
      <c r="DM107" s="110">
        <f t="shared" si="1"/>
        <v>1.0057962286875683</v>
      </c>
      <c r="DN107" s="110"/>
      <c r="DO107" s="110"/>
    </row>
    <row r="108" spans="1:122" s="115" customFormat="1" ht="18.95" customHeight="1">
      <c r="A108" s="114"/>
      <c r="B108" s="408">
        <v>88</v>
      </c>
      <c r="C108" s="621" t="s">
        <v>231</v>
      </c>
      <c r="D108" s="622" t="s">
        <v>232</v>
      </c>
      <c r="E108" s="621" t="s">
        <v>233</v>
      </c>
      <c r="F108" s="621" t="s">
        <v>234</v>
      </c>
      <c r="G108" s="621" t="s">
        <v>737</v>
      </c>
      <c r="H108" s="621" t="s">
        <v>930</v>
      </c>
      <c r="I108" s="390" t="s">
        <v>921</v>
      </c>
      <c r="J108" s="676" t="s">
        <v>235</v>
      </c>
      <c r="K108" s="669">
        <v>2.2799999999999998</v>
      </c>
      <c r="L108" s="728">
        <v>2.2799999999999998</v>
      </c>
      <c r="M108" s="729">
        <v>2.2799999999999998</v>
      </c>
      <c r="N108" s="729">
        <v>2.2799999999999998</v>
      </c>
      <c r="O108" s="729">
        <v>2.2799999999999998</v>
      </c>
      <c r="P108" s="729">
        <v>2.82</v>
      </c>
      <c r="Q108" s="729">
        <v>2.82</v>
      </c>
      <c r="R108" s="729">
        <v>2.82</v>
      </c>
      <c r="S108" s="729">
        <v>2.82</v>
      </c>
      <c r="T108" s="729">
        <v>3.27</v>
      </c>
      <c r="U108" s="729">
        <v>3.27</v>
      </c>
      <c r="V108" s="729">
        <v>3.27</v>
      </c>
      <c r="W108" s="729">
        <v>3.27</v>
      </c>
      <c r="X108" s="729">
        <v>3.27</v>
      </c>
      <c r="Y108" s="729">
        <v>3.27</v>
      </c>
      <c r="Z108" s="729">
        <v>3.27</v>
      </c>
      <c r="AA108" s="729">
        <v>3.27</v>
      </c>
      <c r="AB108" s="729">
        <v>3.27</v>
      </c>
      <c r="AC108" s="729">
        <v>3.27</v>
      </c>
      <c r="AD108" s="729">
        <v>3.27</v>
      </c>
      <c r="AE108" s="729">
        <v>3.27</v>
      </c>
      <c r="AF108" s="729">
        <v>3.27</v>
      </c>
      <c r="AG108" s="729">
        <v>3.3</v>
      </c>
      <c r="AH108" s="729">
        <v>3.3</v>
      </c>
      <c r="AI108" s="767">
        <v>3.3</v>
      </c>
      <c r="AJ108" s="775">
        <v>3.3</v>
      </c>
      <c r="AK108" s="729">
        <v>3.3</v>
      </c>
      <c r="AL108" s="729">
        <v>3.3</v>
      </c>
      <c r="AM108" s="729">
        <v>3.3</v>
      </c>
      <c r="AN108" s="729">
        <v>3.3</v>
      </c>
      <c r="AO108" s="729">
        <v>3.3</v>
      </c>
      <c r="AP108" s="729">
        <v>3.56</v>
      </c>
      <c r="AQ108" s="729">
        <v>3.56</v>
      </c>
      <c r="AR108" s="729">
        <v>3.56</v>
      </c>
      <c r="AS108" s="729">
        <v>3.56</v>
      </c>
      <c r="AT108" s="729">
        <v>3.64</v>
      </c>
      <c r="AU108" s="767">
        <v>3.64</v>
      </c>
      <c r="AV108" s="770">
        <v>3.64</v>
      </c>
      <c r="AW108" s="730">
        <v>3.64</v>
      </c>
      <c r="AX108" s="730">
        <v>3.74</v>
      </c>
      <c r="AY108" s="730">
        <v>3.74</v>
      </c>
      <c r="AZ108" s="730">
        <v>3.74</v>
      </c>
      <c r="BA108" s="730">
        <v>3.86</v>
      </c>
      <c r="BB108" s="730">
        <v>3.86</v>
      </c>
      <c r="BC108" s="731">
        <v>3.86</v>
      </c>
      <c r="BD108" s="730">
        <v>4.01</v>
      </c>
      <c r="BE108" s="731">
        <v>4.01</v>
      </c>
      <c r="BF108" s="731">
        <v>4.01</v>
      </c>
      <c r="BG108" s="757">
        <v>4.01</v>
      </c>
      <c r="BH108" s="755">
        <v>4.01</v>
      </c>
      <c r="BI108" s="732">
        <v>4.1900000000000004</v>
      </c>
      <c r="BJ108" s="732">
        <v>4.1900000000000004</v>
      </c>
      <c r="BK108" s="732">
        <v>4.1900000000000004</v>
      </c>
      <c r="BL108" s="732">
        <v>4.5199999999999996</v>
      </c>
      <c r="BM108" s="732">
        <v>4.5199999999999996</v>
      </c>
      <c r="BN108" s="732">
        <v>4.6900000000000004</v>
      </c>
      <c r="BO108" s="732">
        <v>4.6900000000000004</v>
      </c>
      <c r="BP108" s="732">
        <v>4.6900000000000004</v>
      </c>
      <c r="BQ108" s="732">
        <v>4.6900000000000004</v>
      </c>
      <c r="BR108" s="732">
        <v>4.92</v>
      </c>
      <c r="BS108" s="753">
        <v>4.92</v>
      </c>
      <c r="BT108" s="755">
        <v>4.92</v>
      </c>
      <c r="BU108" s="732">
        <v>4.92</v>
      </c>
      <c r="BV108" s="732">
        <v>5.07</v>
      </c>
      <c r="BW108" s="732">
        <v>5.07</v>
      </c>
      <c r="BX108" s="732">
        <v>5.31</v>
      </c>
      <c r="BY108" s="732">
        <v>5.31</v>
      </c>
      <c r="BZ108" s="732">
        <v>5.31</v>
      </c>
      <c r="CA108" s="732">
        <v>5.31</v>
      </c>
      <c r="CB108" s="732">
        <v>5.31</v>
      </c>
      <c r="CC108" s="732">
        <v>5.31</v>
      </c>
      <c r="CD108" s="732">
        <v>5.31</v>
      </c>
      <c r="CE108" s="753">
        <v>5.31</v>
      </c>
      <c r="CF108" s="755">
        <v>5.31</v>
      </c>
      <c r="CG108" s="732">
        <v>5.31</v>
      </c>
      <c r="CH108" s="732">
        <v>5.31</v>
      </c>
      <c r="CI108" s="732">
        <v>5.31</v>
      </c>
      <c r="CJ108" s="732">
        <v>6.76</v>
      </c>
      <c r="CK108" s="732">
        <v>6.76</v>
      </c>
      <c r="CL108" s="732">
        <v>6.76</v>
      </c>
      <c r="CM108" s="732">
        <v>6.76</v>
      </c>
      <c r="CN108" s="623">
        <v>6.76</v>
      </c>
      <c r="CO108" s="732">
        <v>7.17</v>
      </c>
      <c r="CP108" s="732">
        <v>7.45</v>
      </c>
      <c r="CQ108" s="659">
        <v>7.45</v>
      </c>
      <c r="CR108" s="660">
        <v>7.45</v>
      </c>
      <c r="CS108" s="623">
        <v>7.45</v>
      </c>
      <c r="CT108" s="623">
        <v>8.06</v>
      </c>
      <c r="CU108" s="623">
        <v>8.06</v>
      </c>
      <c r="CV108" s="623">
        <v>8.06</v>
      </c>
      <c r="CW108" s="623">
        <v>8.06</v>
      </c>
      <c r="CX108" s="623">
        <v>8.3000000000000007</v>
      </c>
      <c r="CY108" s="623">
        <v>8.3000000000000007</v>
      </c>
      <c r="CZ108" s="623">
        <v>8.3000000000000007</v>
      </c>
      <c r="DA108" s="623">
        <v>8.3000000000000007</v>
      </c>
      <c r="DB108" s="725">
        <v>8.3000000000000007</v>
      </c>
      <c r="DC108" s="659">
        <v>8.3000000000000007</v>
      </c>
      <c r="DD108" s="783">
        <v>8.3000000000000007</v>
      </c>
      <c r="DE108" s="623">
        <v>8.3000000000000007</v>
      </c>
      <c r="DF108" s="725">
        <v>8.3000000000000007</v>
      </c>
      <c r="DG108" s="659">
        <v>8.3000000000000007</v>
      </c>
      <c r="DH108" s="623">
        <v>8.3000000000000007</v>
      </c>
      <c r="DI108" s="623">
        <v>8.3000000000000007</v>
      </c>
      <c r="DJ108" s="623">
        <v>8.3000000000000007</v>
      </c>
      <c r="DK108" s="659">
        <v>9.24</v>
      </c>
      <c r="DL108" s="897">
        <v>9.24</v>
      </c>
      <c r="DM108" s="110">
        <f t="shared" si="1"/>
        <v>1</v>
      </c>
      <c r="DN108" s="110"/>
      <c r="DO108" s="110"/>
    </row>
    <row r="109" spans="1:122" s="115" customFormat="1" ht="18.95" customHeight="1">
      <c r="A109" s="114"/>
      <c r="B109" s="408">
        <v>89</v>
      </c>
      <c r="C109" s="632" t="s">
        <v>236</v>
      </c>
      <c r="D109" s="622" t="s">
        <v>237</v>
      </c>
      <c r="E109" s="621" t="s">
        <v>918</v>
      </c>
      <c r="F109" s="622"/>
      <c r="G109" s="621" t="s">
        <v>515</v>
      </c>
      <c r="H109" s="621"/>
      <c r="I109" s="390" t="s">
        <v>83</v>
      </c>
      <c r="J109" s="676" t="s">
        <v>442</v>
      </c>
      <c r="K109" s="669">
        <v>100</v>
      </c>
      <c r="L109" s="665">
        <v>134</v>
      </c>
      <c r="M109" s="625">
        <v>168</v>
      </c>
      <c r="N109" s="625">
        <v>217</v>
      </c>
      <c r="O109" s="625">
        <v>237</v>
      </c>
      <c r="P109" s="625">
        <v>273</v>
      </c>
      <c r="Q109" s="625">
        <v>294</v>
      </c>
      <c r="R109" s="625">
        <v>292</v>
      </c>
      <c r="S109" s="625">
        <v>291</v>
      </c>
      <c r="T109" s="625">
        <v>294</v>
      </c>
      <c r="U109" s="625">
        <v>286</v>
      </c>
      <c r="V109" s="625">
        <v>292</v>
      </c>
      <c r="W109" s="625">
        <v>282</v>
      </c>
      <c r="X109" s="625">
        <v>281</v>
      </c>
      <c r="Y109" s="625">
        <v>250</v>
      </c>
      <c r="Z109" s="625">
        <v>244</v>
      </c>
      <c r="AA109" s="625">
        <v>241</v>
      </c>
      <c r="AB109" s="625">
        <v>240</v>
      </c>
      <c r="AC109" s="625">
        <v>237</v>
      </c>
      <c r="AD109" s="625">
        <v>235</v>
      </c>
      <c r="AE109" s="625">
        <v>240</v>
      </c>
      <c r="AF109" s="625">
        <v>235</v>
      </c>
      <c r="AG109" s="625">
        <v>238</v>
      </c>
      <c r="AH109" s="625">
        <v>253</v>
      </c>
      <c r="AI109" s="764">
        <v>206</v>
      </c>
      <c r="AJ109" s="772">
        <v>269</v>
      </c>
      <c r="AK109" s="625">
        <v>269</v>
      </c>
      <c r="AL109" s="625">
        <v>250.6</v>
      </c>
      <c r="AM109" s="625">
        <v>255.1</v>
      </c>
      <c r="AN109" s="625">
        <v>260</v>
      </c>
      <c r="AO109" s="625">
        <v>261.8</v>
      </c>
      <c r="AP109" s="625">
        <v>262.10000000000002</v>
      </c>
      <c r="AQ109" s="625">
        <v>268.5</v>
      </c>
      <c r="AR109" s="625">
        <v>279.8</v>
      </c>
      <c r="AS109" s="625">
        <v>279.8</v>
      </c>
      <c r="AT109" s="625">
        <v>268.5</v>
      </c>
      <c r="AU109" s="764">
        <v>279</v>
      </c>
      <c r="AV109" s="752">
        <v>273.3</v>
      </c>
      <c r="AW109" s="626">
        <v>272.7</v>
      </c>
      <c r="AX109" s="626">
        <v>272.7</v>
      </c>
      <c r="AY109" s="626">
        <v>272</v>
      </c>
      <c r="AZ109" s="626">
        <v>273</v>
      </c>
      <c r="BA109" s="626">
        <v>265.8</v>
      </c>
      <c r="BB109" s="626">
        <v>265.8</v>
      </c>
      <c r="BC109" s="627">
        <v>316.5</v>
      </c>
      <c r="BD109" s="626">
        <v>320.60000000000002</v>
      </c>
      <c r="BE109" s="626">
        <v>314.39999999999998</v>
      </c>
      <c r="BF109" s="626">
        <v>278.3</v>
      </c>
      <c r="BG109" s="749">
        <v>320</v>
      </c>
      <c r="BH109" s="660">
        <v>325.7</v>
      </c>
      <c r="BI109" s="623">
        <v>307.55</v>
      </c>
      <c r="BJ109" s="623">
        <v>316.60000000000002</v>
      </c>
      <c r="BK109" s="623">
        <v>344.8</v>
      </c>
      <c r="BL109" s="623">
        <v>348.5</v>
      </c>
      <c r="BM109" s="623">
        <v>370</v>
      </c>
      <c r="BN109" s="623">
        <v>371</v>
      </c>
      <c r="BO109" s="623">
        <v>371.5</v>
      </c>
      <c r="BP109" s="623">
        <v>372</v>
      </c>
      <c r="BQ109" s="623">
        <v>393.2</v>
      </c>
      <c r="BR109" s="623">
        <v>393.2</v>
      </c>
      <c r="BS109" s="659">
        <v>393.2</v>
      </c>
      <c r="BT109" s="660">
        <v>393.2</v>
      </c>
      <c r="BU109" s="623">
        <v>393.2</v>
      </c>
      <c r="BV109" s="623">
        <v>393.2</v>
      </c>
      <c r="BW109" s="623">
        <v>389.81799999999998</v>
      </c>
      <c r="BX109" s="623">
        <v>396.54199999999997</v>
      </c>
      <c r="BY109" s="623">
        <v>417.65699999999998</v>
      </c>
      <c r="BZ109" s="623">
        <v>420.88099999999997</v>
      </c>
      <c r="CA109" s="623">
        <v>436.767</v>
      </c>
      <c r="CB109" s="623">
        <v>444.19799999999998</v>
      </c>
      <c r="CC109" s="623">
        <v>451.66899999999998</v>
      </c>
      <c r="CD109" s="623">
        <v>451.66899999999998</v>
      </c>
      <c r="CE109" s="659">
        <f>+'ANEXO I CADIEEL'!CE16</f>
        <v>463.77940000000001</v>
      </c>
      <c r="CF109" s="660">
        <f>+'ANEXO I CADIEEL'!CF16</f>
        <v>484.10784000000001</v>
      </c>
      <c r="CG109" s="623">
        <f>+'ANEXO I CADIEEL'!CG16</f>
        <v>492.95483999999999</v>
      </c>
      <c r="CH109" s="623">
        <f>'ANEXO I CADIEEL'!CH16</f>
        <v>498.30236000000002</v>
      </c>
      <c r="CI109" s="623">
        <f>'ANEXO I CADIEEL'!CI16</f>
        <v>518.8273999999999</v>
      </c>
      <c r="CJ109" s="623">
        <f>'ANEXO I CADIEEL'!CJ16</f>
        <v>527.87099999999998</v>
      </c>
      <c r="CK109" s="623">
        <f>'ANEXO I CADIEEL'!CK16</f>
        <v>538.17283999999995</v>
      </c>
      <c r="CL109" s="623">
        <f>'ANEXO I CADIEEL'!CL16</f>
        <v>543.52035999999998</v>
      </c>
      <c r="CM109" s="623">
        <f>'ANEXO I CADIEEL'!CM16</f>
        <v>550.63727999999992</v>
      </c>
      <c r="CN109" s="623">
        <f>'ANEXO I CADIEEL'!CN16</f>
        <v>551.62027999999987</v>
      </c>
      <c r="CO109" s="623">
        <f>'ANEXO I CADIEEL'!CO16</f>
        <v>551.62027999999987</v>
      </c>
      <c r="CP109" s="623">
        <f>+CO109</f>
        <v>551.62027999999987</v>
      </c>
      <c r="CQ109" s="659">
        <f>'ANEXO I CADIEEL'!CQ16</f>
        <v>565.81479999999999</v>
      </c>
      <c r="CR109" s="660">
        <f>'ANEXO I CADIEEL'!CR16</f>
        <v>565.81479999999999</v>
      </c>
      <c r="CS109" s="623">
        <f>'ANEXO I CADIEEL'!CS16</f>
        <v>550.55864000000008</v>
      </c>
      <c r="CT109" s="740" t="s">
        <v>524</v>
      </c>
      <c r="CU109" s="740" t="s">
        <v>524</v>
      </c>
      <c r="CV109" s="740" t="s">
        <v>524</v>
      </c>
      <c r="CW109" s="740" t="s">
        <v>524</v>
      </c>
      <c r="CX109" s="740" t="s">
        <v>524</v>
      </c>
      <c r="CY109" s="740" t="s">
        <v>524</v>
      </c>
      <c r="CZ109" s="740" t="s">
        <v>524</v>
      </c>
      <c r="DA109" s="740" t="s">
        <v>524</v>
      </c>
      <c r="DB109" s="740" t="s">
        <v>524</v>
      </c>
      <c r="DC109" s="777" t="s">
        <v>524</v>
      </c>
      <c r="DD109" s="785" t="s">
        <v>524</v>
      </c>
      <c r="DE109" s="740" t="s">
        <v>524</v>
      </c>
      <c r="DF109" s="797" t="s">
        <v>524</v>
      </c>
      <c r="DG109" s="777" t="s">
        <v>524</v>
      </c>
      <c r="DH109" s="740" t="s">
        <v>524</v>
      </c>
      <c r="DI109" s="740" t="s">
        <v>944</v>
      </c>
      <c r="DJ109" s="740" t="s">
        <v>944</v>
      </c>
      <c r="DK109" s="777" t="s">
        <v>944</v>
      </c>
      <c r="DL109" s="898" t="s">
        <v>524</v>
      </c>
      <c r="DM109" s="110"/>
      <c r="DN109" s="110"/>
      <c r="DO109" s="111"/>
      <c r="DQ109" s="116"/>
      <c r="DR109" s="117"/>
    </row>
    <row r="110" spans="1:122" s="115" customFormat="1" ht="18.95" customHeight="1">
      <c r="A110" s="114"/>
      <c r="B110" s="408">
        <v>90</v>
      </c>
      <c r="C110" s="621" t="s">
        <v>238</v>
      </c>
      <c r="D110" s="622" t="s">
        <v>239</v>
      </c>
      <c r="E110" s="621" t="s">
        <v>918</v>
      </c>
      <c r="F110" s="622"/>
      <c r="G110" s="621" t="s">
        <v>919</v>
      </c>
      <c r="H110" s="621" t="s">
        <v>920</v>
      </c>
      <c r="I110" s="390" t="s">
        <v>921</v>
      </c>
      <c r="J110" s="651"/>
      <c r="K110" s="669">
        <v>98.11</v>
      </c>
      <c r="L110" s="665">
        <v>98.11</v>
      </c>
      <c r="M110" s="625">
        <v>98.11</v>
      </c>
      <c r="N110" s="625">
        <v>112.75</v>
      </c>
      <c r="O110" s="625">
        <v>128.16</v>
      </c>
      <c r="P110" s="625">
        <v>167.34</v>
      </c>
      <c r="Q110" s="625">
        <v>197.82</v>
      </c>
      <c r="R110" s="625">
        <v>202.86</v>
      </c>
      <c r="S110" s="625">
        <v>204.31</v>
      </c>
      <c r="T110" s="625">
        <v>202.8</v>
      </c>
      <c r="U110" s="625">
        <v>199.83</v>
      </c>
      <c r="V110" s="625">
        <v>199.83</v>
      </c>
      <c r="W110" s="625">
        <v>199.83</v>
      </c>
      <c r="X110" s="625">
        <v>204.31</v>
      </c>
      <c r="Y110" s="625">
        <v>204.31</v>
      </c>
      <c r="Z110" s="625">
        <v>204.31</v>
      </c>
      <c r="AA110" s="625">
        <v>207.29</v>
      </c>
      <c r="AB110" s="625">
        <v>207.29</v>
      </c>
      <c r="AC110" s="625">
        <v>207.29</v>
      </c>
      <c r="AD110" s="625">
        <v>198.21</v>
      </c>
      <c r="AE110" s="625">
        <v>198.21</v>
      </c>
      <c r="AF110" s="625">
        <v>198.21</v>
      </c>
      <c r="AG110" s="625">
        <v>198.21</v>
      </c>
      <c r="AH110" s="625">
        <v>198.21</v>
      </c>
      <c r="AI110" s="764">
        <v>198.21</v>
      </c>
      <c r="AJ110" s="772">
        <v>198.21</v>
      </c>
      <c r="AK110" s="625">
        <v>198.21</v>
      </c>
      <c r="AL110" s="625">
        <v>198.21</v>
      </c>
      <c r="AM110" s="625">
        <v>198.12</v>
      </c>
      <c r="AN110" s="625">
        <v>203.22</v>
      </c>
      <c r="AO110" s="625">
        <v>227.96</v>
      </c>
      <c r="AP110" s="625">
        <v>227.96</v>
      </c>
      <c r="AQ110" s="625">
        <v>227.96</v>
      </c>
      <c r="AR110" s="625">
        <v>226.66</v>
      </c>
      <c r="AS110" s="625">
        <v>226.66</v>
      </c>
      <c r="AT110" s="625">
        <v>232.72</v>
      </c>
      <c r="AU110" s="764">
        <v>236.3</v>
      </c>
      <c r="AV110" s="752">
        <v>236.3</v>
      </c>
      <c r="AW110" s="626">
        <v>245.97</v>
      </c>
      <c r="AX110" s="626">
        <v>254.71</v>
      </c>
      <c r="AY110" s="626">
        <v>256.77</v>
      </c>
      <c r="AZ110" s="626">
        <v>269.83</v>
      </c>
      <c r="BA110" s="626">
        <v>269.83</v>
      </c>
      <c r="BB110" s="626">
        <v>269.83</v>
      </c>
      <c r="BC110" s="627">
        <v>269.83</v>
      </c>
      <c r="BD110" s="626">
        <v>287.64999999999998</v>
      </c>
      <c r="BE110" s="627">
        <v>293.72000000000003</v>
      </c>
      <c r="BF110" s="627">
        <v>291.26</v>
      </c>
      <c r="BG110" s="738">
        <v>291.26</v>
      </c>
      <c r="BH110" s="660">
        <v>297.55</v>
      </c>
      <c r="BI110" s="623">
        <v>297.55</v>
      </c>
      <c r="BJ110" s="623">
        <v>298.23</v>
      </c>
      <c r="BK110" s="623">
        <v>298.23</v>
      </c>
      <c r="BL110" s="623">
        <v>300.92</v>
      </c>
      <c r="BM110" s="623">
        <v>300.89</v>
      </c>
      <c r="BN110" s="623">
        <v>300.89</v>
      </c>
      <c r="BO110" s="623">
        <v>314.45</v>
      </c>
      <c r="BP110" s="623">
        <v>314.45</v>
      </c>
      <c r="BQ110" s="623">
        <v>314.45</v>
      </c>
      <c r="BR110" s="623">
        <v>314.45</v>
      </c>
      <c r="BS110" s="659">
        <v>318.91000000000003</v>
      </c>
      <c r="BT110" s="660">
        <v>318.91000000000003</v>
      </c>
      <c r="BU110" s="623">
        <v>318.91000000000003</v>
      </c>
      <c r="BV110" s="623">
        <v>318.97000000000003</v>
      </c>
      <c r="BW110" s="623">
        <v>323.45</v>
      </c>
      <c r="BX110" s="623">
        <v>335.34</v>
      </c>
      <c r="BY110" s="623">
        <v>335.34</v>
      </c>
      <c r="BZ110" s="623">
        <v>349.59</v>
      </c>
      <c r="CA110" s="623">
        <v>364.22</v>
      </c>
      <c r="CB110" s="623">
        <v>364.22</v>
      </c>
      <c r="CC110" s="623">
        <v>367.45</v>
      </c>
      <c r="CD110" s="623">
        <v>382.08</v>
      </c>
      <c r="CE110" s="659">
        <v>383.69</v>
      </c>
      <c r="CF110" s="660">
        <v>383.69</v>
      </c>
      <c r="CG110" s="623">
        <v>385.37</v>
      </c>
      <c r="CH110" s="623">
        <v>407.81</v>
      </c>
      <c r="CI110" s="623">
        <v>422.86</v>
      </c>
      <c r="CJ110" s="623">
        <v>425.96</v>
      </c>
      <c r="CK110" s="623">
        <v>433.23</v>
      </c>
      <c r="CL110" s="623">
        <v>433.23</v>
      </c>
      <c r="CM110" s="623">
        <v>434.12</v>
      </c>
      <c r="CN110" s="623">
        <v>437.12</v>
      </c>
      <c r="CO110" s="623">
        <v>431.26</v>
      </c>
      <c r="CP110" s="623">
        <v>432.39</v>
      </c>
      <c r="CQ110" s="659">
        <v>432.63</v>
      </c>
      <c r="CR110" s="660">
        <v>432.49</v>
      </c>
      <c r="CS110" s="623">
        <v>432.49</v>
      </c>
      <c r="CT110" s="623">
        <v>432.49</v>
      </c>
      <c r="CU110" s="623">
        <v>434.55</v>
      </c>
      <c r="CV110" s="623">
        <v>434.55</v>
      </c>
      <c r="CW110" s="623">
        <v>455.5</v>
      </c>
      <c r="CX110" s="623">
        <v>483.44</v>
      </c>
      <c r="CY110" s="623">
        <v>519.14</v>
      </c>
      <c r="CZ110" s="623">
        <v>515.49</v>
      </c>
      <c r="DA110" s="623">
        <v>526.74</v>
      </c>
      <c r="DB110" s="725">
        <v>542.66999999999996</v>
      </c>
      <c r="DC110" s="659">
        <v>550.61</v>
      </c>
      <c r="DD110" s="783">
        <v>559.04</v>
      </c>
      <c r="DE110" s="623">
        <v>556.14</v>
      </c>
      <c r="DF110" s="725">
        <v>582.66</v>
      </c>
      <c r="DG110" s="659">
        <v>607.1</v>
      </c>
      <c r="DH110" s="623">
        <v>606.35</v>
      </c>
      <c r="DI110" s="623">
        <v>606.48</v>
      </c>
      <c r="DJ110" s="623">
        <v>613.84</v>
      </c>
      <c r="DK110" s="659">
        <v>630.75</v>
      </c>
      <c r="DL110" s="897">
        <v>635.76</v>
      </c>
      <c r="DM110" s="110">
        <f t="shared" si="1"/>
        <v>1.0079429250891796</v>
      </c>
      <c r="DN110" s="110"/>
      <c r="DO110" s="110"/>
      <c r="DP110" s="116"/>
      <c r="DQ110" s="117"/>
    </row>
    <row r="111" spans="1:122" s="115" customFormat="1" ht="18.95" customHeight="1">
      <c r="A111" s="114"/>
      <c r="B111" s="408">
        <v>91</v>
      </c>
      <c r="C111" s="621" t="s">
        <v>240</v>
      </c>
      <c r="D111" s="622" t="s">
        <v>241</v>
      </c>
      <c r="E111" s="621" t="s">
        <v>918</v>
      </c>
      <c r="F111" s="622"/>
      <c r="G111" s="621" t="s">
        <v>929</v>
      </c>
      <c r="H111" s="621" t="s">
        <v>930</v>
      </c>
      <c r="I111" s="390" t="s">
        <v>921</v>
      </c>
      <c r="J111" s="651"/>
      <c r="K111" s="669">
        <v>95.2</v>
      </c>
      <c r="L111" s="665">
        <v>101.4</v>
      </c>
      <c r="M111" s="625">
        <v>104.6</v>
      </c>
      <c r="N111" s="625">
        <v>121.5</v>
      </c>
      <c r="O111" s="625">
        <v>136.30000000000001</v>
      </c>
      <c r="P111" s="625">
        <v>138.4</v>
      </c>
      <c r="Q111" s="625">
        <v>139.1</v>
      </c>
      <c r="R111" s="625">
        <v>140.5</v>
      </c>
      <c r="S111" s="625">
        <v>142.30000000000001</v>
      </c>
      <c r="T111" s="625">
        <v>142.30000000000001</v>
      </c>
      <c r="U111" s="625">
        <v>142.30000000000001</v>
      </c>
      <c r="V111" s="625">
        <v>142.30000000000001</v>
      </c>
      <c r="W111" s="625">
        <v>142.30000000000001</v>
      </c>
      <c r="X111" s="625">
        <v>146.6</v>
      </c>
      <c r="Y111" s="625">
        <v>148.19999999999999</v>
      </c>
      <c r="Z111" s="625">
        <v>148.19999999999999</v>
      </c>
      <c r="AA111" s="625">
        <v>148.19999999999999</v>
      </c>
      <c r="AB111" s="625">
        <v>148.19999999999999</v>
      </c>
      <c r="AC111" s="625">
        <v>148.19999999999999</v>
      </c>
      <c r="AD111" s="625">
        <v>144.19999999999999</v>
      </c>
      <c r="AE111" s="625">
        <v>146.30000000000001</v>
      </c>
      <c r="AF111" s="625">
        <v>146.30000000000001</v>
      </c>
      <c r="AG111" s="625">
        <v>148.80000000000001</v>
      </c>
      <c r="AH111" s="625">
        <v>148.80000000000001</v>
      </c>
      <c r="AI111" s="764">
        <v>150.19999999999999</v>
      </c>
      <c r="AJ111" s="772">
        <v>154.1</v>
      </c>
      <c r="AK111" s="625">
        <v>154.1</v>
      </c>
      <c r="AL111" s="625">
        <v>155</v>
      </c>
      <c r="AM111" s="625">
        <v>158.6</v>
      </c>
      <c r="AN111" s="625">
        <v>159.30000000000001</v>
      </c>
      <c r="AO111" s="625">
        <v>159.30000000000001</v>
      </c>
      <c r="AP111" s="625">
        <v>159.30000000000001</v>
      </c>
      <c r="AQ111" s="625">
        <v>159.19999999999999</v>
      </c>
      <c r="AR111" s="625">
        <v>159.30000000000001</v>
      </c>
      <c r="AS111" s="625">
        <v>159.30000000000001</v>
      </c>
      <c r="AT111" s="625">
        <v>159.30000000000001</v>
      </c>
      <c r="AU111" s="764">
        <v>164</v>
      </c>
      <c r="AV111" s="752">
        <v>164</v>
      </c>
      <c r="AW111" s="626">
        <v>164</v>
      </c>
      <c r="AX111" s="626">
        <v>164.5</v>
      </c>
      <c r="AY111" s="626">
        <v>165.4</v>
      </c>
      <c r="AZ111" s="626">
        <v>165.5</v>
      </c>
      <c r="BA111" s="626">
        <v>165.5</v>
      </c>
      <c r="BB111" s="626">
        <v>165.5</v>
      </c>
      <c r="BC111" s="627">
        <v>165.5</v>
      </c>
      <c r="BD111" s="626">
        <v>295.60000000000002</v>
      </c>
      <c r="BE111" s="627">
        <v>165.8</v>
      </c>
      <c r="BF111" s="627">
        <v>165.8</v>
      </c>
      <c r="BG111" s="738">
        <v>168.3</v>
      </c>
      <c r="BH111" s="660">
        <v>172.9</v>
      </c>
      <c r="BI111" s="623">
        <v>173</v>
      </c>
      <c r="BJ111" s="623">
        <v>173</v>
      </c>
      <c r="BK111" s="623">
        <v>173</v>
      </c>
      <c r="BL111" s="623">
        <v>173</v>
      </c>
      <c r="BM111" s="623">
        <v>175.8</v>
      </c>
      <c r="BN111" s="623">
        <v>185.6</v>
      </c>
      <c r="BO111" s="623">
        <v>185.6</v>
      </c>
      <c r="BP111" s="623">
        <v>185.6</v>
      </c>
      <c r="BQ111" s="623">
        <v>185.6</v>
      </c>
      <c r="BR111" s="623">
        <v>185.6</v>
      </c>
      <c r="BS111" s="659">
        <v>185.6</v>
      </c>
      <c r="BT111" s="660">
        <v>188.7</v>
      </c>
      <c r="BU111" s="623">
        <v>188.7</v>
      </c>
      <c r="BV111" s="623">
        <v>189</v>
      </c>
      <c r="BW111" s="623">
        <v>189</v>
      </c>
      <c r="BX111" s="623">
        <v>197.3</v>
      </c>
      <c r="BY111" s="623">
        <v>196.8</v>
      </c>
      <c r="BZ111" s="623">
        <v>201.2</v>
      </c>
      <c r="CA111" s="623">
        <v>201.2</v>
      </c>
      <c r="CB111" s="623">
        <v>206</v>
      </c>
      <c r="CC111" s="623">
        <v>211.3</v>
      </c>
      <c r="CD111" s="623">
        <v>215.1</v>
      </c>
      <c r="CE111" s="659">
        <v>217.7</v>
      </c>
      <c r="CF111" s="660">
        <v>220.1</v>
      </c>
      <c r="CG111" s="623">
        <v>222.1</v>
      </c>
      <c r="CH111" s="623">
        <v>227.3</v>
      </c>
      <c r="CI111" s="623">
        <v>236</v>
      </c>
      <c r="CJ111" s="623">
        <v>236</v>
      </c>
      <c r="CK111" s="623">
        <v>237.6</v>
      </c>
      <c r="CL111" s="623">
        <v>240.1</v>
      </c>
      <c r="CM111" s="623">
        <v>240.1</v>
      </c>
      <c r="CN111" s="623">
        <v>246.6</v>
      </c>
      <c r="CO111" s="623">
        <v>250.6</v>
      </c>
      <c r="CP111" s="623">
        <v>251.9</v>
      </c>
      <c r="CQ111" s="659">
        <v>257.2</v>
      </c>
      <c r="CR111" s="660">
        <v>258.3</v>
      </c>
      <c r="CS111" s="623">
        <v>259.10000000000002</v>
      </c>
      <c r="CT111" s="623">
        <v>264.39999999999998</v>
      </c>
      <c r="CU111" s="623">
        <v>265.10000000000002</v>
      </c>
      <c r="CV111" s="623">
        <v>265.5</v>
      </c>
      <c r="CW111" s="623">
        <v>274.2</v>
      </c>
      <c r="CX111" s="623">
        <v>269.5</v>
      </c>
      <c r="CY111" s="623">
        <v>270.2</v>
      </c>
      <c r="CZ111" s="623">
        <v>278.60000000000002</v>
      </c>
      <c r="DA111" s="623">
        <v>286.2</v>
      </c>
      <c r="DB111" s="725">
        <v>286.2</v>
      </c>
      <c r="DC111" s="659">
        <v>286.5</v>
      </c>
      <c r="DD111" s="783">
        <v>286.5</v>
      </c>
      <c r="DE111" s="623">
        <v>288.3</v>
      </c>
      <c r="DF111" s="725">
        <v>293</v>
      </c>
      <c r="DG111" s="659">
        <v>301.7</v>
      </c>
      <c r="DH111" s="623">
        <v>312.39999999999998</v>
      </c>
      <c r="DI111" s="623">
        <v>333</v>
      </c>
      <c r="DJ111" s="623">
        <v>334.1</v>
      </c>
      <c r="DK111" s="659">
        <v>334.6</v>
      </c>
      <c r="DL111" s="897">
        <v>338.2</v>
      </c>
      <c r="DM111" s="110">
        <f t="shared" si="1"/>
        <v>1.0107591153616258</v>
      </c>
      <c r="DN111" s="110"/>
      <c r="DO111" s="110"/>
    </row>
    <row r="112" spans="1:122" s="115" customFormat="1" ht="23.25" customHeight="1">
      <c r="A112" s="114"/>
      <c r="B112" s="408">
        <v>92</v>
      </c>
      <c r="C112" s="621"/>
      <c r="D112" s="622" t="s">
        <v>242</v>
      </c>
      <c r="E112" s="621" t="s">
        <v>918</v>
      </c>
      <c r="F112" s="622"/>
      <c r="G112" s="632" t="s">
        <v>924</v>
      </c>
      <c r="H112" s="621" t="s">
        <v>920</v>
      </c>
      <c r="I112" s="390" t="s">
        <v>420</v>
      </c>
      <c r="J112" s="676"/>
      <c r="K112" s="669">
        <v>108</v>
      </c>
      <c r="L112" s="665">
        <v>113.7</v>
      </c>
      <c r="M112" s="625">
        <v>124.7</v>
      </c>
      <c r="N112" s="625">
        <v>137.6</v>
      </c>
      <c r="O112" s="625">
        <v>175.7</v>
      </c>
      <c r="P112" s="625">
        <v>180.6</v>
      </c>
      <c r="Q112" s="625">
        <v>194.2</v>
      </c>
      <c r="R112" s="625">
        <v>201.2</v>
      </c>
      <c r="S112" s="625">
        <v>204</v>
      </c>
      <c r="T112" s="625">
        <v>206.6</v>
      </c>
      <c r="U112" s="625">
        <v>206.6</v>
      </c>
      <c r="V112" s="625">
        <v>206.6</v>
      </c>
      <c r="W112" s="625">
        <v>206.6</v>
      </c>
      <c r="X112" s="625">
        <v>206.6</v>
      </c>
      <c r="Y112" s="625">
        <v>210.2</v>
      </c>
      <c r="Z112" s="625">
        <v>206.6</v>
      </c>
      <c r="AA112" s="625">
        <v>206.6</v>
      </c>
      <c r="AB112" s="625">
        <v>206.6</v>
      </c>
      <c r="AC112" s="625">
        <v>206.6</v>
      </c>
      <c r="AD112" s="625">
        <v>206.6</v>
      </c>
      <c r="AE112" s="625">
        <v>206.6</v>
      </c>
      <c r="AF112" s="625">
        <v>206.6</v>
      </c>
      <c r="AG112" s="625">
        <v>206.6</v>
      </c>
      <c r="AH112" s="625">
        <v>206.6</v>
      </c>
      <c r="AI112" s="764">
        <v>210.9</v>
      </c>
      <c r="AJ112" s="772">
        <v>216.3</v>
      </c>
      <c r="AK112" s="625">
        <v>229.2</v>
      </c>
      <c r="AL112" s="625">
        <v>252.1</v>
      </c>
      <c r="AM112" s="625">
        <v>257.89999999999998</v>
      </c>
      <c r="AN112" s="625">
        <v>257.89999999999998</v>
      </c>
      <c r="AO112" s="625">
        <v>257.89999999999998</v>
      </c>
      <c r="AP112" s="625">
        <v>263.5</v>
      </c>
      <c r="AQ112" s="625">
        <v>265.7</v>
      </c>
      <c r="AR112" s="625">
        <v>268.60000000000002</v>
      </c>
      <c r="AS112" s="625">
        <v>268.60000000000002</v>
      </c>
      <c r="AT112" s="625">
        <v>268.8</v>
      </c>
      <c r="AU112" s="764">
        <v>272</v>
      </c>
      <c r="AV112" s="752">
        <v>272</v>
      </c>
      <c r="AW112" s="626">
        <v>274.2</v>
      </c>
      <c r="AX112" s="626">
        <v>285.89999999999998</v>
      </c>
      <c r="AY112" s="626">
        <v>287.8</v>
      </c>
      <c r="AZ112" s="626">
        <v>287.8</v>
      </c>
      <c r="BA112" s="626">
        <v>287.8</v>
      </c>
      <c r="BB112" s="626">
        <v>290.7</v>
      </c>
      <c r="BC112" s="627">
        <v>290.7</v>
      </c>
      <c r="BD112" s="626">
        <v>290.7</v>
      </c>
      <c r="BE112" s="627">
        <v>290.7</v>
      </c>
      <c r="BF112" s="627">
        <v>299.5</v>
      </c>
      <c r="BG112" s="738">
        <v>304.89999999999998</v>
      </c>
      <c r="BH112" s="660">
        <v>309</v>
      </c>
      <c r="BI112" s="623">
        <v>329.2</v>
      </c>
      <c r="BJ112" s="623">
        <v>329.2</v>
      </c>
      <c r="BK112" s="623">
        <v>329.2</v>
      </c>
      <c r="BL112" s="623">
        <v>332.3</v>
      </c>
      <c r="BM112" s="623">
        <v>371.3</v>
      </c>
      <c r="BN112" s="623">
        <v>377.9</v>
      </c>
      <c r="BO112" s="623">
        <v>380.3</v>
      </c>
      <c r="BP112" s="623">
        <v>380.3</v>
      </c>
      <c r="BQ112" s="623">
        <v>380.3</v>
      </c>
      <c r="BR112" s="623">
        <v>380.3</v>
      </c>
      <c r="BS112" s="659">
        <v>380</v>
      </c>
      <c r="BT112" s="660">
        <v>379.7</v>
      </c>
      <c r="BU112" s="623">
        <v>379.7</v>
      </c>
      <c r="BV112" s="623">
        <v>390.5</v>
      </c>
      <c r="BW112" s="623">
        <v>392.5</v>
      </c>
      <c r="BX112" s="623">
        <v>392.5</v>
      </c>
      <c r="BY112" s="623">
        <v>392.4</v>
      </c>
      <c r="BZ112" s="623">
        <v>393.8</v>
      </c>
      <c r="CA112" s="623">
        <v>393.8</v>
      </c>
      <c r="CB112" s="623">
        <v>393.8</v>
      </c>
      <c r="CC112" s="623">
        <v>393.8</v>
      </c>
      <c r="CD112" s="623">
        <v>402.3</v>
      </c>
      <c r="CE112" s="659">
        <v>402.3</v>
      </c>
      <c r="CF112" s="660">
        <v>402.3</v>
      </c>
      <c r="CG112" s="623">
        <v>402.3</v>
      </c>
      <c r="CH112" s="623">
        <v>405</v>
      </c>
      <c r="CI112" s="623">
        <v>419.4</v>
      </c>
      <c r="CJ112" s="623">
        <v>451.4</v>
      </c>
      <c r="CK112" s="623">
        <v>453.3</v>
      </c>
      <c r="CL112" s="623">
        <v>453.3</v>
      </c>
      <c r="CM112" s="623">
        <v>453.3</v>
      </c>
      <c r="CN112" s="623">
        <v>453.3</v>
      </c>
      <c r="CO112" s="623">
        <v>453.3</v>
      </c>
      <c r="CP112" s="623">
        <v>453.3</v>
      </c>
      <c r="CQ112" s="659">
        <v>453.3</v>
      </c>
      <c r="CR112" s="660">
        <v>453.3</v>
      </c>
      <c r="CS112" s="623">
        <v>453.3</v>
      </c>
      <c r="CT112" s="623">
        <v>453.3</v>
      </c>
      <c r="CU112" s="623">
        <v>453.8</v>
      </c>
      <c r="CV112" s="623">
        <v>453.3</v>
      </c>
      <c r="CW112" s="623">
        <v>442.5</v>
      </c>
      <c r="CX112" s="623">
        <v>452.8</v>
      </c>
      <c r="CY112" s="623">
        <v>461.9</v>
      </c>
      <c r="CZ112" s="623">
        <v>461.9</v>
      </c>
      <c r="DA112" s="623">
        <v>464.4</v>
      </c>
      <c r="DB112" s="725">
        <v>464.4</v>
      </c>
      <c r="DC112" s="659">
        <v>464.4</v>
      </c>
      <c r="DD112" s="783">
        <v>464.4</v>
      </c>
      <c r="DE112" s="623">
        <v>466.9</v>
      </c>
      <c r="DF112" s="725">
        <v>472.2</v>
      </c>
      <c r="DG112" s="659">
        <v>482.8</v>
      </c>
      <c r="DH112" s="623">
        <v>487.1</v>
      </c>
      <c r="DI112" s="623">
        <v>492.4</v>
      </c>
      <c r="DJ112" s="623">
        <v>505.9</v>
      </c>
      <c r="DK112" s="659">
        <v>517.79999999999995</v>
      </c>
      <c r="DL112" s="897">
        <v>517.79999999999995</v>
      </c>
      <c r="DM112" s="110">
        <f t="shared" si="1"/>
        <v>1</v>
      </c>
      <c r="DN112" s="110"/>
      <c r="DO112" s="110"/>
    </row>
    <row r="113" spans="1:119" s="115" customFormat="1" ht="18.95" customHeight="1">
      <c r="A113" s="114"/>
      <c r="B113" s="408">
        <v>93</v>
      </c>
      <c r="C113" s="621" t="s">
        <v>243</v>
      </c>
      <c r="D113" s="622" t="s">
        <v>244</v>
      </c>
      <c r="E113" s="621" t="s">
        <v>918</v>
      </c>
      <c r="F113" s="622"/>
      <c r="G113" s="621" t="s">
        <v>929</v>
      </c>
      <c r="H113" s="621" t="s">
        <v>930</v>
      </c>
      <c r="I113" s="390" t="s">
        <v>921</v>
      </c>
      <c r="J113" s="651"/>
      <c r="K113" s="669">
        <v>93.3</v>
      </c>
      <c r="L113" s="665">
        <v>101.5</v>
      </c>
      <c r="M113" s="625">
        <v>108.8</v>
      </c>
      <c r="N113" s="625">
        <v>116.7</v>
      </c>
      <c r="O113" s="625">
        <v>135</v>
      </c>
      <c r="P113" s="625">
        <v>149.19999999999999</v>
      </c>
      <c r="Q113" s="625">
        <v>166.2</v>
      </c>
      <c r="R113" s="625">
        <v>187.1</v>
      </c>
      <c r="S113" s="625">
        <v>199.5</v>
      </c>
      <c r="T113" s="625">
        <v>200.6</v>
      </c>
      <c r="U113" s="625">
        <v>200.6</v>
      </c>
      <c r="V113" s="625">
        <v>200.8</v>
      </c>
      <c r="W113" s="625">
        <v>200</v>
      </c>
      <c r="X113" s="625">
        <v>197.5</v>
      </c>
      <c r="Y113" s="625">
        <v>197</v>
      </c>
      <c r="Z113" s="625">
        <v>195.5</v>
      </c>
      <c r="AA113" s="625">
        <v>199.7</v>
      </c>
      <c r="AB113" s="625">
        <v>196.1</v>
      </c>
      <c r="AC113" s="625">
        <v>199.9</v>
      </c>
      <c r="AD113" s="625">
        <v>195.3</v>
      </c>
      <c r="AE113" s="625">
        <v>198.5</v>
      </c>
      <c r="AF113" s="625">
        <v>193.4</v>
      </c>
      <c r="AG113" s="625">
        <v>199</v>
      </c>
      <c r="AH113" s="625">
        <v>199</v>
      </c>
      <c r="AI113" s="764">
        <v>199.3</v>
      </c>
      <c r="AJ113" s="772">
        <v>199.7</v>
      </c>
      <c r="AK113" s="625">
        <v>209.5</v>
      </c>
      <c r="AL113" s="625">
        <v>217.4</v>
      </c>
      <c r="AM113" s="625">
        <v>219.3</v>
      </c>
      <c r="AN113" s="625">
        <v>223.7</v>
      </c>
      <c r="AO113" s="625">
        <v>227.6</v>
      </c>
      <c r="AP113" s="625">
        <v>230.9</v>
      </c>
      <c r="AQ113" s="625">
        <v>232.4</v>
      </c>
      <c r="AR113" s="625">
        <v>240.6</v>
      </c>
      <c r="AS113" s="625">
        <v>239.9</v>
      </c>
      <c r="AT113" s="625">
        <v>243.5</v>
      </c>
      <c r="AU113" s="764">
        <v>244.6</v>
      </c>
      <c r="AV113" s="752">
        <v>244.2</v>
      </c>
      <c r="AW113" s="626">
        <v>251.3</v>
      </c>
      <c r="AX113" s="626">
        <v>251.3</v>
      </c>
      <c r="AY113" s="626">
        <v>249.7</v>
      </c>
      <c r="AZ113" s="626">
        <v>248.2</v>
      </c>
      <c r="BA113" s="626">
        <v>248.2</v>
      </c>
      <c r="BB113" s="626">
        <v>252.3</v>
      </c>
      <c r="BC113" s="627">
        <v>252.2</v>
      </c>
      <c r="BD113" s="626">
        <v>252.2</v>
      </c>
      <c r="BE113" s="627">
        <v>252.5</v>
      </c>
      <c r="BF113" s="627">
        <v>252.4</v>
      </c>
      <c r="BG113" s="738">
        <v>252.5</v>
      </c>
      <c r="BH113" s="660">
        <v>253.3</v>
      </c>
      <c r="BI113" s="623">
        <v>253.3</v>
      </c>
      <c r="BJ113" s="623">
        <v>253.3</v>
      </c>
      <c r="BK113" s="623">
        <v>253.3</v>
      </c>
      <c r="BL113" s="623">
        <v>263.2</v>
      </c>
      <c r="BM113" s="623">
        <v>263.2</v>
      </c>
      <c r="BN113" s="623">
        <v>266.2</v>
      </c>
      <c r="BO113" s="623">
        <v>274.89999999999998</v>
      </c>
      <c r="BP113" s="623">
        <v>274.2</v>
      </c>
      <c r="BQ113" s="623">
        <v>274.89999999999998</v>
      </c>
      <c r="BR113" s="623">
        <v>274.89999999999998</v>
      </c>
      <c r="BS113" s="659">
        <v>276.89999999999998</v>
      </c>
      <c r="BT113" s="660">
        <v>280.39999999999998</v>
      </c>
      <c r="BU113" s="623">
        <v>280.89999999999998</v>
      </c>
      <c r="BV113" s="623">
        <v>284.8</v>
      </c>
      <c r="BW113" s="623">
        <v>286.8</v>
      </c>
      <c r="BX113" s="623">
        <v>287.60000000000002</v>
      </c>
      <c r="BY113" s="623">
        <v>288.2</v>
      </c>
      <c r="BZ113" s="623">
        <v>297.7</v>
      </c>
      <c r="CA113" s="623">
        <v>306.5</v>
      </c>
      <c r="CB113" s="623">
        <v>309.5</v>
      </c>
      <c r="CC113" s="623">
        <v>312.7</v>
      </c>
      <c r="CD113" s="623">
        <v>317.10000000000002</v>
      </c>
      <c r="CE113" s="659">
        <v>318</v>
      </c>
      <c r="CF113" s="660">
        <v>324.39999999999998</v>
      </c>
      <c r="CG113" s="623">
        <v>332.9</v>
      </c>
      <c r="CH113" s="623">
        <v>340</v>
      </c>
      <c r="CI113" s="623">
        <v>345.5</v>
      </c>
      <c r="CJ113" s="623">
        <v>355.5</v>
      </c>
      <c r="CK113" s="623">
        <v>372.8</v>
      </c>
      <c r="CL113" s="623">
        <v>390.6</v>
      </c>
      <c r="CM113" s="623">
        <v>398.7</v>
      </c>
      <c r="CN113" s="623">
        <v>398.7</v>
      </c>
      <c r="CO113" s="623">
        <v>404.6</v>
      </c>
      <c r="CP113" s="623">
        <v>411.9</v>
      </c>
      <c r="CQ113" s="659">
        <v>406.5</v>
      </c>
      <c r="CR113" s="660">
        <v>410.1</v>
      </c>
      <c r="CS113" s="623">
        <v>409.2</v>
      </c>
      <c r="CT113" s="623">
        <v>401.2</v>
      </c>
      <c r="CU113" s="623">
        <v>396</v>
      </c>
      <c r="CV113" s="623">
        <v>400.1</v>
      </c>
      <c r="CW113" s="623">
        <v>404.6</v>
      </c>
      <c r="CX113" s="623">
        <v>413.9</v>
      </c>
      <c r="CY113" s="623">
        <v>413.9</v>
      </c>
      <c r="CZ113" s="623">
        <v>424.6</v>
      </c>
      <c r="DA113" s="623">
        <v>433.4</v>
      </c>
      <c r="DB113" s="725">
        <v>434.7</v>
      </c>
      <c r="DC113" s="659">
        <v>436</v>
      </c>
      <c r="DD113" s="783">
        <v>438.6</v>
      </c>
      <c r="DE113" s="623">
        <v>449</v>
      </c>
      <c r="DF113" s="725">
        <v>450.8</v>
      </c>
      <c r="DG113" s="659">
        <v>464.3</v>
      </c>
      <c r="DH113" s="623">
        <v>473.1</v>
      </c>
      <c r="DI113" s="623">
        <v>477.4</v>
      </c>
      <c r="DJ113" s="623">
        <v>474</v>
      </c>
      <c r="DK113" s="659">
        <v>483.9</v>
      </c>
      <c r="DL113" s="897">
        <v>501.4</v>
      </c>
      <c r="DM113" s="110">
        <f t="shared" si="1"/>
        <v>1.0361644967968588</v>
      </c>
      <c r="DN113" s="110"/>
      <c r="DO113" s="110"/>
    </row>
    <row r="114" spans="1:119" s="115" customFormat="1" ht="35.25" customHeight="1">
      <c r="A114" s="114"/>
      <c r="B114" s="408">
        <v>94</v>
      </c>
      <c r="C114" s="621" t="s">
        <v>245</v>
      </c>
      <c r="D114" s="622" t="s">
        <v>246</v>
      </c>
      <c r="E114" s="621" t="s">
        <v>918</v>
      </c>
      <c r="F114" s="622"/>
      <c r="G114" s="621" t="s">
        <v>515</v>
      </c>
      <c r="H114" s="621"/>
      <c r="I114" s="390" t="s">
        <v>124</v>
      </c>
      <c r="J114" s="676" t="s">
        <v>444</v>
      </c>
      <c r="K114" s="669">
        <v>100</v>
      </c>
      <c r="L114" s="665">
        <v>131</v>
      </c>
      <c r="M114" s="625">
        <v>162</v>
      </c>
      <c r="N114" s="625">
        <v>172</v>
      </c>
      <c r="O114" s="625">
        <v>197</v>
      </c>
      <c r="P114" s="625">
        <v>233</v>
      </c>
      <c r="Q114" s="625">
        <v>245</v>
      </c>
      <c r="R114" s="625">
        <v>253</v>
      </c>
      <c r="S114" s="625">
        <v>252</v>
      </c>
      <c r="T114" s="625">
        <v>256</v>
      </c>
      <c r="U114" s="625">
        <v>254</v>
      </c>
      <c r="V114" s="625">
        <v>253</v>
      </c>
      <c r="W114" s="625">
        <v>253</v>
      </c>
      <c r="X114" s="625">
        <v>253</v>
      </c>
      <c r="Y114" s="625">
        <v>244</v>
      </c>
      <c r="Z114" s="625">
        <v>243</v>
      </c>
      <c r="AA114" s="625">
        <v>235</v>
      </c>
      <c r="AB114" s="625">
        <v>233</v>
      </c>
      <c r="AC114" s="625">
        <v>230</v>
      </c>
      <c r="AD114" s="625">
        <v>230</v>
      </c>
      <c r="AE114" s="625">
        <v>230</v>
      </c>
      <c r="AF114" s="625">
        <v>230</v>
      </c>
      <c r="AG114" s="625">
        <v>230</v>
      </c>
      <c r="AH114" s="625">
        <v>240</v>
      </c>
      <c r="AI114" s="764">
        <v>241</v>
      </c>
      <c r="AJ114" s="772">
        <v>250</v>
      </c>
      <c r="AK114" s="625">
        <v>259</v>
      </c>
      <c r="AL114" s="625">
        <v>258.8</v>
      </c>
      <c r="AM114" s="625">
        <v>260</v>
      </c>
      <c r="AN114" s="625">
        <v>268.2</v>
      </c>
      <c r="AO114" s="625">
        <v>279</v>
      </c>
      <c r="AP114" s="625">
        <v>279.2</v>
      </c>
      <c r="AQ114" s="625">
        <v>285</v>
      </c>
      <c r="AR114" s="625">
        <v>299.5</v>
      </c>
      <c r="AS114" s="625">
        <v>299.5</v>
      </c>
      <c r="AT114" s="625">
        <v>305.3</v>
      </c>
      <c r="AU114" s="764">
        <v>318.8</v>
      </c>
      <c r="AV114" s="752">
        <v>318.8</v>
      </c>
      <c r="AW114" s="626">
        <v>319</v>
      </c>
      <c r="AX114" s="626">
        <v>318.8</v>
      </c>
      <c r="AY114" s="626">
        <v>321.8</v>
      </c>
      <c r="AZ114" s="626">
        <v>321.8</v>
      </c>
      <c r="BA114" s="626">
        <v>321.8</v>
      </c>
      <c r="BB114" s="626">
        <v>321.8</v>
      </c>
      <c r="BC114" s="627">
        <v>334</v>
      </c>
      <c r="BD114" s="626">
        <v>347.4</v>
      </c>
      <c r="BE114" s="627">
        <v>347.4</v>
      </c>
      <c r="BF114" s="627">
        <v>354.3</v>
      </c>
      <c r="BG114" s="738">
        <v>355.3</v>
      </c>
      <c r="BH114" s="660">
        <v>396.1</v>
      </c>
      <c r="BI114" s="623">
        <v>387.08</v>
      </c>
      <c r="BJ114" s="623">
        <v>401.875</v>
      </c>
      <c r="BK114" s="623">
        <v>410.5</v>
      </c>
      <c r="BL114" s="623">
        <v>434.8</v>
      </c>
      <c r="BM114" s="623">
        <v>448.5</v>
      </c>
      <c r="BN114" s="623">
        <v>449</v>
      </c>
      <c r="BO114" s="623">
        <v>454.8</v>
      </c>
      <c r="BP114" s="623">
        <v>455.3</v>
      </c>
      <c r="BQ114" s="623">
        <v>457.2</v>
      </c>
      <c r="BR114" s="623">
        <v>457.2</v>
      </c>
      <c r="BS114" s="659">
        <v>457.2</v>
      </c>
      <c r="BT114" s="660">
        <v>457.2</v>
      </c>
      <c r="BU114" s="623">
        <v>457.2</v>
      </c>
      <c r="BV114" s="623">
        <v>457.2</v>
      </c>
      <c r="BW114" s="623">
        <v>453.45100000000002</v>
      </c>
      <c r="BX114" s="623">
        <v>458.892</v>
      </c>
      <c r="BY114" s="623">
        <v>480.92899999999997</v>
      </c>
      <c r="BZ114" s="623">
        <v>482.11700000000002</v>
      </c>
      <c r="CA114" s="623">
        <v>501.68599999999998</v>
      </c>
      <c r="CB114" s="623">
        <v>508.36099999999999</v>
      </c>
      <c r="CC114" s="623">
        <v>516.72699999999998</v>
      </c>
      <c r="CD114" s="623">
        <v>516.72699999999998</v>
      </c>
      <c r="CE114" s="659">
        <f>+'ANEXO I CADIEEL'!CE18</f>
        <v>525.78</v>
      </c>
      <c r="CF114" s="660">
        <f>+'ANEXO I CADIEEL'!CF18</f>
        <v>540.73043999999993</v>
      </c>
      <c r="CG114" s="623">
        <f>+'ANEXO I CADIEEL'!CG18</f>
        <v>546.39972</v>
      </c>
      <c r="CH114" s="623">
        <f>'ANEXO I CADIEEL'!CH18</f>
        <v>552.5261999999999</v>
      </c>
      <c r="CI114" s="623">
        <f>'ANEXO I CADIEEL'!CI18</f>
        <v>572.04863999999998</v>
      </c>
      <c r="CJ114" s="623">
        <f>'ANEXO I CADIEEL'!CJ18</f>
        <v>577.76364000000001</v>
      </c>
      <c r="CK114" s="623">
        <f>'ANEXO I CADIEEL'!CK18</f>
        <v>587.31912000000011</v>
      </c>
      <c r="CL114" s="623">
        <f>'ANEXO I CADIEEL'!CL18</f>
        <v>586.95335999999998</v>
      </c>
      <c r="CM114" s="623">
        <f>'ANEXO I CADIEEL'!CM18</f>
        <v>600.25788</v>
      </c>
      <c r="CN114" s="623">
        <f>'ANEXO I CADIEEL'!CN18</f>
        <v>600.44076000000007</v>
      </c>
      <c r="CO114" s="623">
        <f>'ANEXO I CADIEEL'!CO18</f>
        <v>600.44076000000007</v>
      </c>
      <c r="CP114" s="623">
        <f>+CO114</f>
        <v>600.44076000000007</v>
      </c>
      <c r="CQ114" s="659">
        <f>'ANEXO I CADIEEL'!CQ18</f>
        <v>614.2482</v>
      </c>
      <c r="CR114" s="660">
        <f>'ANEXO I CADIEEL'!CR18</f>
        <v>614.2482</v>
      </c>
      <c r="CS114" s="623">
        <f>'ANEXO I CADIEEL'!CS18</f>
        <v>609.03611999999998</v>
      </c>
      <c r="CT114" s="740" t="s">
        <v>524</v>
      </c>
      <c r="CU114" s="740" t="s">
        <v>524</v>
      </c>
      <c r="CV114" s="740" t="s">
        <v>524</v>
      </c>
      <c r="CW114" s="740" t="s">
        <v>524</v>
      </c>
      <c r="CX114" s="740" t="s">
        <v>524</v>
      </c>
      <c r="CY114" s="740" t="s">
        <v>524</v>
      </c>
      <c r="CZ114" s="740" t="s">
        <v>524</v>
      </c>
      <c r="DA114" s="740" t="s">
        <v>524</v>
      </c>
      <c r="DB114" s="740" t="s">
        <v>524</v>
      </c>
      <c r="DC114" s="777" t="s">
        <v>524</v>
      </c>
      <c r="DD114" s="785" t="s">
        <v>524</v>
      </c>
      <c r="DE114" s="740" t="s">
        <v>524</v>
      </c>
      <c r="DF114" s="797" t="s">
        <v>524</v>
      </c>
      <c r="DG114" s="777" t="s">
        <v>524</v>
      </c>
      <c r="DH114" s="740" t="s">
        <v>524</v>
      </c>
      <c r="DI114" s="740" t="s">
        <v>524</v>
      </c>
      <c r="DJ114" s="740" t="s">
        <v>524</v>
      </c>
      <c r="DK114" s="777" t="s">
        <v>524</v>
      </c>
      <c r="DL114" s="898" t="s">
        <v>524</v>
      </c>
      <c r="DM114" s="110"/>
      <c r="DN114" s="110"/>
      <c r="DO114" s="110"/>
    </row>
    <row r="115" spans="1:119" s="115" customFormat="1" ht="18.95" customHeight="1">
      <c r="A115" s="114"/>
      <c r="B115" s="408">
        <v>95</v>
      </c>
      <c r="C115" s="621" t="s">
        <v>247</v>
      </c>
      <c r="D115" s="622" t="s">
        <v>250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96.66</v>
      </c>
      <c r="L115" s="665">
        <v>97.07</v>
      </c>
      <c r="M115" s="625">
        <v>100.02</v>
      </c>
      <c r="N115" s="625">
        <v>103.91</v>
      </c>
      <c r="O115" s="625">
        <v>106.66</v>
      </c>
      <c r="P115" s="625">
        <v>129.97</v>
      </c>
      <c r="Q115" s="625">
        <v>126.73</v>
      </c>
      <c r="R115" s="625">
        <v>132.49</v>
      </c>
      <c r="S115" s="625">
        <v>130.6</v>
      </c>
      <c r="T115" s="625">
        <v>138.12</v>
      </c>
      <c r="U115" s="625">
        <v>141.47999999999999</v>
      </c>
      <c r="V115" s="625">
        <v>141.16</v>
      </c>
      <c r="W115" s="625">
        <v>127.31</v>
      </c>
      <c r="X115" s="625">
        <v>134.35</v>
      </c>
      <c r="Y115" s="625">
        <v>144.03</v>
      </c>
      <c r="Z115" s="625">
        <v>143.97</v>
      </c>
      <c r="AA115" s="625">
        <v>134.54</v>
      </c>
      <c r="AB115" s="625">
        <v>134.99</v>
      </c>
      <c r="AC115" s="625">
        <v>134.93</v>
      </c>
      <c r="AD115" s="625">
        <v>135.66999999999999</v>
      </c>
      <c r="AE115" s="625">
        <v>144.36000000000001</v>
      </c>
      <c r="AF115" s="625">
        <v>144.36000000000001</v>
      </c>
      <c r="AG115" s="625">
        <v>142.18</v>
      </c>
      <c r="AH115" s="625">
        <v>143.55000000000001</v>
      </c>
      <c r="AI115" s="764">
        <v>146.66999999999999</v>
      </c>
      <c r="AJ115" s="772">
        <v>147.68</v>
      </c>
      <c r="AK115" s="625">
        <v>140.34</v>
      </c>
      <c r="AL115" s="625">
        <v>147.21</v>
      </c>
      <c r="AM115" s="625">
        <v>152.77000000000001</v>
      </c>
      <c r="AN115" s="625">
        <v>153.07</v>
      </c>
      <c r="AO115" s="625">
        <v>150.26</v>
      </c>
      <c r="AP115" s="625">
        <v>153.96</v>
      </c>
      <c r="AQ115" s="625">
        <v>153.19</v>
      </c>
      <c r="AR115" s="625">
        <v>152.87</v>
      </c>
      <c r="AS115" s="625">
        <v>153.51</v>
      </c>
      <c r="AT115" s="625">
        <v>153.41</v>
      </c>
      <c r="AU115" s="764">
        <v>155.06</v>
      </c>
      <c r="AV115" s="752">
        <v>155.06</v>
      </c>
      <c r="AW115" s="626">
        <v>158.02000000000001</v>
      </c>
      <c r="AX115" s="626">
        <v>158.03</v>
      </c>
      <c r="AY115" s="626">
        <v>158.27000000000001</v>
      </c>
      <c r="AZ115" s="626">
        <v>158.27000000000001</v>
      </c>
      <c r="BA115" s="626">
        <v>158.9</v>
      </c>
      <c r="BB115" s="626">
        <v>159.91999999999999</v>
      </c>
      <c r="BC115" s="627">
        <v>159.91999999999999</v>
      </c>
      <c r="BD115" s="626">
        <v>164.02</v>
      </c>
      <c r="BE115" s="627">
        <v>165.68</v>
      </c>
      <c r="BF115" s="627">
        <v>168.71</v>
      </c>
      <c r="BG115" s="738">
        <v>168.71</v>
      </c>
      <c r="BH115" s="660">
        <v>174.59</v>
      </c>
      <c r="BI115" s="623">
        <v>183.31</v>
      </c>
      <c r="BJ115" s="623">
        <v>183.31</v>
      </c>
      <c r="BK115" s="623">
        <v>190.06</v>
      </c>
      <c r="BL115" s="623">
        <v>193.23</v>
      </c>
      <c r="BM115" s="623">
        <v>193.23</v>
      </c>
      <c r="BN115" s="623">
        <v>195.99</v>
      </c>
      <c r="BO115" s="623">
        <v>195.99</v>
      </c>
      <c r="BP115" s="623">
        <v>198.09</v>
      </c>
      <c r="BQ115" s="623">
        <v>198.09</v>
      </c>
      <c r="BR115" s="623">
        <v>198.09</v>
      </c>
      <c r="BS115" s="659">
        <v>202.01</v>
      </c>
      <c r="BT115" s="660">
        <v>206.55</v>
      </c>
      <c r="BU115" s="623">
        <v>208.85</v>
      </c>
      <c r="BV115" s="623">
        <v>228.2</v>
      </c>
      <c r="BW115" s="623">
        <v>230.49</v>
      </c>
      <c r="BX115" s="623">
        <v>232.01</v>
      </c>
      <c r="BY115" s="623">
        <v>234.47</v>
      </c>
      <c r="BZ115" s="623">
        <v>234.46</v>
      </c>
      <c r="CA115" s="623">
        <v>238.77</v>
      </c>
      <c r="CB115" s="623">
        <v>238.77</v>
      </c>
      <c r="CC115" s="623">
        <v>241.46</v>
      </c>
      <c r="CD115" s="623">
        <v>244.75</v>
      </c>
      <c r="CE115" s="659">
        <v>249.26</v>
      </c>
      <c r="CF115" s="660">
        <v>253.26</v>
      </c>
      <c r="CG115" s="623">
        <v>262.06</v>
      </c>
      <c r="CH115" s="623">
        <v>265.51</v>
      </c>
      <c r="CI115" s="623">
        <v>268.31</v>
      </c>
      <c r="CJ115" s="623">
        <v>270.63</v>
      </c>
      <c r="CK115" s="623">
        <v>284.36</v>
      </c>
      <c r="CL115" s="623">
        <v>285.26</v>
      </c>
      <c r="CM115" s="623">
        <v>276.04000000000002</v>
      </c>
      <c r="CN115" s="623">
        <v>290.14</v>
      </c>
      <c r="CO115" s="623">
        <v>290.14</v>
      </c>
      <c r="CP115" s="623">
        <v>290.14</v>
      </c>
      <c r="CQ115" s="659">
        <v>290.14</v>
      </c>
      <c r="CR115" s="660">
        <v>307.43</v>
      </c>
      <c r="CS115" s="623">
        <v>307.43</v>
      </c>
      <c r="CT115" s="623">
        <v>307.43</v>
      </c>
      <c r="CU115" s="623">
        <v>302.63</v>
      </c>
      <c r="CV115" s="623">
        <v>302.63</v>
      </c>
      <c r="CW115" s="623">
        <v>306.63</v>
      </c>
      <c r="CX115" s="623">
        <v>304.47000000000003</v>
      </c>
      <c r="CY115" s="623">
        <v>307.55</v>
      </c>
      <c r="CZ115" s="623">
        <v>311.89999999999998</v>
      </c>
      <c r="DA115" s="623">
        <v>314.13</v>
      </c>
      <c r="DB115" s="725">
        <v>329.89</v>
      </c>
      <c r="DC115" s="659">
        <v>329.89</v>
      </c>
      <c r="DD115" s="783">
        <v>329.89</v>
      </c>
      <c r="DE115" s="623">
        <v>330.66</v>
      </c>
      <c r="DF115" s="725">
        <v>337.98</v>
      </c>
      <c r="DG115" s="659">
        <v>339.45</v>
      </c>
      <c r="DH115" s="623">
        <v>352.54</v>
      </c>
      <c r="DI115" s="623">
        <v>356.94</v>
      </c>
      <c r="DJ115" s="623">
        <v>357.57</v>
      </c>
      <c r="DK115" s="659">
        <v>361.73</v>
      </c>
      <c r="DL115" s="897">
        <v>361.72</v>
      </c>
      <c r="DM115" s="110">
        <f t="shared" si="1"/>
        <v>0.9999723550714622</v>
      </c>
      <c r="DN115" s="110"/>
      <c r="DO115" s="110"/>
    </row>
    <row r="116" spans="1:119" s="115" customFormat="1" ht="18.95" customHeight="1">
      <c r="A116" s="114"/>
      <c r="B116" s="408">
        <v>96</v>
      </c>
      <c r="C116" s="621" t="s">
        <v>251</v>
      </c>
      <c r="D116" s="622" t="s">
        <v>252</v>
      </c>
      <c r="E116" s="621" t="s">
        <v>918</v>
      </c>
      <c r="F116" s="622"/>
      <c r="G116" s="621" t="s">
        <v>919</v>
      </c>
      <c r="H116" s="621" t="s">
        <v>920</v>
      </c>
      <c r="I116" s="390"/>
      <c r="J116" s="651"/>
      <c r="K116" s="669">
        <v>118.2</v>
      </c>
      <c r="L116" s="665">
        <v>116.15</v>
      </c>
      <c r="M116" s="625">
        <v>119.36</v>
      </c>
      <c r="N116" s="625">
        <v>135.93</v>
      </c>
      <c r="O116" s="625">
        <v>164.26</v>
      </c>
      <c r="P116" s="625">
        <v>196.45</v>
      </c>
      <c r="Q116" s="625">
        <v>239.69</v>
      </c>
      <c r="R116" s="625">
        <v>268.20999999999998</v>
      </c>
      <c r="S116" s="625">
        <v>290.24</v>
      </c>
      <c r="T116" s="625">
        <v>306.37</v>
      </c>
      <c r="U116" s="625">
        <v>315.87</v>
      </c>
      <c r="V116" s="625">
        <v>314.8</v>
      </c>
      <c r="W116" s="625">
        <v>314.61</v>
      </c>
      <c r="X116" s="625">
        <v>329.58</v>
      </c>
      <c r="Y116" s="625">
        <v>329.25</v>
      </c>
      <c r="Z116" s="625">
        <v>329.86</v>
      </c>
      <c r="AA116" s="625">
        <v>329.86</v>
      </c>
      <c r="AB116" s="625">
        <v>329.86</v>
      </c>
      <c r="AC116" s="625">
        <v>322.29000000000002</v>
      </c>
      <c r="AD116" s="625">
        <v>321.02999999999997</v>
      </c>
      <c r="AE116" s="625">
        <v>321.52</v>
      </c>
      <c r="AF116" s="625">
        <v>320.7</v>
      </c>
      <c r="AG116" s="625">
        <v>320.7</v>
      </c>
      <c r="AH116" s="625">
        <v>320.7</v>
      </c>
      <c r="AI116" s="764">
        <v>320.67</v>
      </c>
      <c r="AJ116" s="772">
        <v>321.14999999999998</v>
      </c>
      <c r="AK116" s="625">
        <v>321.14999999999998</v>
      </c>
      <c r="AL116" s="625">
        <v>322.19</v>
      </c>
      <c r="AM116" s="625">
        <v>322.41000000000003</v>
      </c>
      <c r="AN116" s="625">
        <v>323.56</v>
      </c>
      <c r="AO116" s="625">
        <v>324.01</v>
      </c>
      <c r="AP116" s="625">
        <v>323.45999999999998</v>
      </c>
      <c r="AQ116" s="625">
        <v>328.2</v>
      </c>
      <c r="AR116" s="625">
        <v>329.49</v>
      </c>
      <c r="AS116" s="625">
        <v>329.49</v>
      </c>
      <c r="AT116" s="625">
        <v>329.49</v>
      </c>
      <c r="AU116" s="764">
        <v>329.43</v>
      </c>
      <c r="AV116" s="752">
        <v>329.36</v>
      </c>
      <c r="AW116" s="626">
        <v>329.36</v>
      </c>
      <c r="AX116" s="626">
        <v>331.96</v>
      </c>
      <c r="AY116" s="626">
        <v>328.85</v>
      </c>
      <c r="AZ116" s="626">
        <v>328.85</v>
      </c>
      <c r="BA116" s="626">
        <v>328.85</v>
      </c>
      <c r="BB116" s="626">
        <v>328.85</v>
      </c>
      <c r="BC116" s="627">
        <v>328.92</v>
      </c>
      <c r="BD116" s="626">
        <v>328.88</v>
      </c>
      <c r="BE116" s="627">
        <v>330.14</v>
      </c>
      <c r="BF116" s="627">
        <v>330.72</v>
      </c>
      <c r="BG116" s="738">
        <v>330.72</v>
      </c>
      <c r="BH116" s="660">
        <v>330.72</v>
      </c>
      <c r="BI116" s="623">
        <v>330.72</v>
      </c>
      <c r="BJ116" s="623">
        <v>330.72</v>
      </c>
      <c r="BK116" s="623">
        <v>330.62</v>
      </c>
      <c r="BL116" s="623">
        <v>330.79</v>
      </c>
      <c r="BM116" s="623">
        <v>331.18</v>
      </c>
      <c r="BN116" s="623">
        <v>331.2</v>
      </c>
      <c r="BO116" s="623">
        <v>331.18</v>
      </c>
      <c r="BP116" s="623">
        <v>331.2</v>
      </c>
      <c r="BQ116" s="623">
        <v>331.2</v>
      </c>
      <c r="BR116" s="623">
        <v>331.2</v>
      </c>
      <c r="BS116" s="659">
        <v>331.2</v>
      </c>
      <c r="BT116" s="660">
        <v>331.2</v>
      </c>
      <c r="BU116" s="623">
        <v>331.2</v>
      </c>
      <c r="BV116" s="623">
        <v>331.2</v>
      </c>
      <c r="BW116" s="623">
        <v>331.2</v>
      </c>
      <c r="BX116" s="623">
        <v>334.34</v>
      </c>
      <c r="BY116" s="623">
        <v>335.12</v>
      </c>
      <c r="BZ116" s="623">
        <v>338.4</v>
      </c>
      <c r="CA116" s="623">
        <v>342.8</v>
      </c>
      <c r="CB116" s="623">
        <v>344.41</v>
      </c>
      <c r="CC116" s="623">
        <v>344.81</v>
      </c>
      <c r="CD116" s="623">
        <v>350.86</v>
      </c>
      <c r="CE116" s="659">
        <v>358.4</v>
      </c>
      <c r="CF116" s="660">
        <v>351.91</v>
      </c>
      <c r="CG116" s="623">
        <v>334.19</v>
      </c>
      <c r="CH116" s="623">
        <v>330.19</v>
      </c>
      <c r="CI116" s="623">
        <v>341.96</v>
      </c>
      <c r="CJ116" s="623">
        <v>367.35</v>
      </c>
      <c r="CK116" s="623">
        <v>381.04</v>
      </c>
      <c r="CL116" s="623">
        <v>384.24</v>
      </c>
      <c r="CM116" s="623">
        <v>384.8</v>
      </c>
      <c r="CN116" s="623">
        <v>387.33</v>
      </c>
      <c r="CO116" s="623">
        <v>389.03</v>
      </c>
      <c r="CP116" s="623">
        <v>393.59</v>
      </c>
      <c r="CQ116" s="659">
        <v>405.88</v>
      </c>
      <c r="CR116" s="660">
        <v>410.41</v>
      </c>
      <c r="CS116" s="623">
        <v>420.96</v>
      </c>
      <c r="CT116" s="623">
        <v>430.4</v>
      </c>
      <c r="CU116" s="623">
        <v>454.8</v>
      </c>
      <c r="CV116" s="623">
        <v>465.17</v>
      </c>
      <c r="CW116" s="623">
        <v>471.72</v>
      </c>
      <c r="CX116" s="623">
        <v>483.54</v>
      </c>
      <c r="CY116" s="623">
        <v>485.11</v>
      </c>
      <c r="CZ116" s="623">
        <v>486.9</v>
      </c>
      <c r="DA116" s="623">
        <v>497.77</v>
      </c>
      <c r="DB116" s="725">
        <v>502.4</v>
      </c>
      <c r="DC116" s="659">
        <v>503.41</v>
      </c>
      <c r="DD116" s="783">
        <v>504.16</v>
      </c>
      <c r="DE116" s="623">
        <v>505.46</v>
      </c>
      <c r="DF116" s="725">
        <v>508.61</v>
      </c>
      <c r="DG116" s="659">
        <v>529.4</v>
      </c>
      <c r="DH116" s="623">
        <v>540.15</v>
      </c>
      <c r="DI116" s="623">
        <v>558.12</v>
      </c>
      <c r="DJ116" s="623">
        <v>569.94000000000005</v>
      </c>
      <c r="DK116" s="659">
        <v>578.08000000000004</v>
      </c>
      <c r="DL116" s="897">
        <v>585.37</v>
      </c>
      <c r="DM116" s="110">
        <f t="shared" si="1"/>
        <v>1.0126107113202325</v>
      </c>
      <c r="DN116" s="110"/>
      <c r="DO116" s="110"/>
    </row>
    <row r="117" spans="1:119" s="115" customFormat="1" ht="18.95" customHeight="1">
      <c r="A117" s="114"/>
      <c r="B117" s="408">
        <v>97</v>
      </c>
      <c r="C117" s="621" t="s">
        <v>253</v>
      </c>
      <c r="D117" s="622" t="s">
        <v>254</v>
      </c>
      <c r="E117" s="621" t="s">
        <v>918</v>
      </c>
      <c r="F117" s="622"/>
      <c r="G117" s="621" t="s">
        <v>929</v>
      </c>
      <c r="H117" s="621" t="s">
        <v>930</v>
      </c>
      <c r="I117" s="390"/>
      <c r="J117" s="651"/>
      <c r="K117" s="669">
        <v>98.3</v>
      </c>
      <c r="L117" s="665">
        <v>102.5</v>
      </c>
      <c r="M117" s="625">
        <v>129.19999999999999</v>
      </c>
      <c r="N117" s="625">
        <v>134.4</v>
      </c>
      <c r="O117" s="625">
        <v>175.1</v>
      </c>
      <c r="P117" s="625">
        <v>176.7</v>
      </c>
      <c r="Q117" s="625">
        <v>182.7</v>
      </c>
      <c r="R117" s="625">
        <v>198.7</v>
      </c>
      <c r="S117" s="625">
        <v>204.6</v>
      </c>
      <c r="T117" s="625">
        <v>204.6</v>
      </c>
      <c r="U117" s="625">
        <v>204.6</v>
      </c>
      <c r="V117" s="625">
        <v>204.6</v>
      </c>
      <c r="W117" s="625">
        <v>206.5</v>
      </c>
      <c r="X117" s="625">
        <v>206.5</v>
      </c>
      <c r="Y117" s="625">
        <v>208.9</v>
      </c>
      <c r="Z117" s="625">
        <v>217.3</v>
      </c>
      <c r="AA117" s="625">
        <v>216.4</v>
      </c>
      <c r="AB117" s="625">
        <v>207</v>
      </c>
      <c r="AC117" s="625">
        <v>207</v>
      </c>
      <c r="AD117" s="625">
        <v>206.4</v>
      </c>
      <c r="AE117" s="625">
        <v>203.8</v>
      </c>
      <c r="AF117" s="625">
        <v>203.8</v>
      </c>
      <c r="AG117" s="625">
        <v>204.7</v>
      </c>
      <c r="AH117" s="625">
        <v>204.7</v>
      </c>
      <c r="AI117" s="764">
        <v>211.4</v>
      </c>
      <c r="AJ117" s="772">
        <v>215.7</v>
      </c>
      <c r="AK117" s="625">
        <v>219.8</v>
      </c>
      <c r="AL117" s="625">
        <v>236.2</v>
      </c>
      <c r="AM117" s="625">
        <v>234.9</v>
      </c>
      <c r="AN117" s="625">
        <v>234.9</v>
      </c>
      <c r="AO117" s="625">
        <v>235.6</v>
      </c>
      <c r="AP117" s="625">
        <v>238.3</v>
      </c>
      <c r="AQ117" s="625">
        <v>244.7</v>
      </c>
      <c r="AR117" s="625">
        <v>244.7</v>
      </c>
      <c r="AS117" s="625">
        <v>261.10000000000002</v>
      </c>
      <c r="AT117" s="625">
        <v>261.10000000000002</v>
      </c>
      <c r="AU117" s="764">
        <v>261.10000000000002</v>
      </c>
      <c r="AV117" s="752">
        <v>265.3</v>
      </c>
      <c r="AW117" s="626">
        <v>273.10000000000002</v>
      </c>
      <c r="AX117" s="626">
        <v>281.3</v>
      </c>
      <c r="AY117" s="626">
        <v>289.89999999999998</v>
      </c>
      <c r="AZ117" s="626">
        <v>291.3</v>
      </c>
      <c r="BA117" s="626">
        <v>290.3</v>
      </c>
      <c r="BB117" s="626">
        <v>290.3</v>
      </c>
      <c r="BC117" s="627">
        <v>290.3</v>
      </c>
      <c r="BD117" s="626">
        <v>290.3</v>
      </c>
      <c r="BE117" s="627">
        <v>289.5</v>
      </c>
      <c r="BF117" s="627">
        <v>312.8</v>
      </c>
      <c r="BG117" s="738">
        <v>313.39999999999998</v>
      </c>
      <c r="BH117" s="660">
        <v>313.39999999999998</v>
      </c>
      <c r="BI117" s="623">
        <v>304.60000000000002</v>
      </c>
      <c r="BJ117" s="623">
        <v>321</v>
      </c>
      <c r="BK117" s="623">
        <v>318.60000000000002</v>
      </c>
      <c r="BL117" s="623">
        <v>329</v>
      </c>
      <c r="BM117" s="623">
        <v>333.2</v>
      </c>
      <c r="BN117" s="623">
        <v>340.5</v>
      </c>
      <c r="BO117" s="623">
        <v>340.5</v>
      </c>
      <c r="BP117" s="623">
        <v>340.7</v>
      </c>
      <c r="BQ117" s="623">
        <v>335.9</v>
      </c>
      <c r="BR117" s="623">
        <v>338</v>
      </c>
      <c r="BS117" s="659">
        <v>338</v>
      </c>
      <c r="BT117" s="660">
        <v>338</v>
      </c>
      <c r="BU117" s="623">
        <v>338</v>
      </c>
      <c r="BV117" s="623">
        <v>338.6</v>
      </c>
      <c r="BW117" s="623">
        <v>342.1</v>
      </c>
      <c r="BX117" s="623">
        <v>342.1</v>
      </c>
      <c r="BY117" s="623">
        <v>342.1</v>
      </c>
      <c r="BZ117" s="623">
        <v>347.7</v>
      </c>
      <c r="CA117" s="623">
        <v>352.4</v>
      </c>
      <c r="CB117" s="623">
        <v>352.4</v>
      </c>
      <c r="CC117" s="623">
        <v>356</v>
      </c>
      <c r="CD117" s="623">
        <v>358</v>
      </c>
      <c r="CE117" s="659">
        <v>358</v>
      </c>
      <c r="CF117" s="660">
        <v>358</v>
      </c>
      <c r="CG117" s="623">
        <v>359.1</v>
      </c>
      <c r="CH117" s="623">
        <v>350.2</v>
      </c>
      <c r="CI117" s="623">
        <v>353.1</v>
      </c>
      <c r="CJ117" s="623">
        <v>355.1</v>
      </c>
      <c r="CK117" s="623">
        <v>366</v>
      </c>
      <c r="CL117" s="623">
        <v>373.5</v>
      </c>
      <c r="CM117" s="623">
        <v>385.3</v>
      </c>
      <c r="CN117" s="623">
        <v>385.3</v>
      </c>
      <c r="CO117" s="623">
        <v>385.3</v>
      </c>
      <c r="CP117" s="623">
        <v>385.3</v>
      </c>
      <c r="CQ117" s="659">
        <v>389.8</v>
      </c>
      <c r="CR117" s="660">
        <v>389.8</v>
      </c>
      <c r="CS117" s="623">
        <v>393.3</v>
      </c>
      <c r="CT117" s="623">
        <v>393.3</v>
      </c>
      <c r="CU117" s="623">
        <v>393.3</v>
      </c>
      <c r="CV117" s="623">
        <v>390.9</v>
      </c>
      <c r="CW117" s="623">
        <v>396.4</v>
      </c>
      <c r="CX117" s="623">
        <v>398.6</v>
      </c>
      <c r="CY117" s="623">
        <v>401.9</v>
      </c>
      <c r="CZ117" s="623">
        <v>410.9</v>
      </c>
      <c r="DA117" s="623">
        <v>421.6</v>
      </c>
      <c r="DB117" s="725">
        <v>426.4</v>
      </c>
      <c r="DC117" s="659">
        <v>426.4</v>
      </c>
      <c r="DD117" s="783">
        <v>431.9</v>
      </c>
      <c r="DE117" s="623">
        <v>449</v>
      </c>
      <c r="DF117" s="725">
        <v>460.7</v>
      </c>
      <c r="DG117" s="659">
        <v>468.2</v>
      </c>
      <c r="DH117" s="623">
        <v>470.4</v>
      </c>
      <c r="DI117" s="623">
        <v>475.7</v>
      </c>
      <c r="DJ117" s="623">
        <v>478</v>
      </c>
      <c r="DK117" s="659">
        <v>478.4</v>
      </c>
      <c r="DL117" s="897">
        <v>484.5</v>
      </c>
      <c r="DM117" s="110">
        <f t="shared" si="1"/>
        <v>1.0127508361204014</v>
      </c>
      <c r="DN117" s="110"/>
      <c r="DO117" s="110"/>
    </row>
    <row r="118" spans="1:119" s="115" customFormat="1" ht="21.75" customHeight="1">
      <c r="A118" s="114"/>
      <c r="B118" s="408">
        <v>98</v>
      </c>
      <c r="C118" s="621" t="s">
        <v>255</v>
      </c>
      <c r="D118" s="622" t="s">
        <v>256</v>
      </c>
      <c r="E118" s="621" t="s">
        <v>918</v>
      </c>
      <c r="F118" s="622"/>
      <c r="G118" s="621" t="s">
        <v>919</v>
      </c>
      <c r="H118" s="621" t="s">
        <v>920</v>
      </c>
      <c r="I118" s="390" t="s">
        <v>416</v>
      </c>
      <c r="J118" s="651"/>
      <c r="K118" s="669">
        <v>91.63</v>
      </c>
      <c r="L118" s="665">
        <v>97.87</v>
      </c>
      <c r="M118" s="625">
        <v>111.38</v>
      </c>
      <c r="N118" s="625">
        <v>132.13</v>
      </c>
      <c r="O118" s="625">
        <v>169.51</v>
      </c>
      <c r="P118" s="625">
        <v>173.67</v>
      </c>
      <c r="Q118" s="625">
        <v>198.39</v>
      </c>
      <c r="R118" s="625">
        <v>223.2</v>
      </c>
      <c r="S118" s="625">
        <v>240.73</v>
      </c>
      <c r="T118" s="625">
        <v>254.68</v>
      </c>
      <c r="U118" s="625">
        <v>259.41000000000003</v>
      </c>
      <c r="V118" s="625">
        <v>259.56</v>
      </c>
      <c r="W118" s="625">
        <v>259.56</v>
      </c>
      <c r="X118" s="625">
        <v>259.56</v>
      </c>
      <c r="Y118" s="625">
        <v>267.58</v>
      </c>
      <c r="Z118" s="625">
        <v>277.60000000000002</v>
      </c>
      <c r="AA118" s="625">
        <v>277.60000000000002</v>
      </c>
      <c r="AB118" s="625">
        <v>283.58</v>
      </c>
      <c r="AC118" s="625">
        <v>283.58</v>
      </c>
      <c r="AD118" s="625">
        <v>280.54000000000002</v>
      </c>
      <c r="AE118" s="625">
        <v>280.54000000000002</v>
      </c>
      <c r="AF118" s="625">
        <v>280.54000000000002</v>
      </c>
      <c r="AG118" s="625">
        <v>280.54000000000002</v>
      </c>
      <c r="AH118" s="625">
        <v>280.54000000000002</v>
      </c>
      <c r="AI118" s="764">
        <v>285.81</v>
      </c>
      <c r="AJ118" s="772">
        <v>289.45</v>
      </c>
      <c r="AK118" s="625">
        <v>326.10000000000002</v>
      </c>
      <c r="AL118" s="625">
        <v>340.55</v>
      </c>
      <c r="AM118" s="625">
        <v>350.74</v>
      </c>
      <c r="AN118" s="625">
        <v>353.38</v>
      </c>
      <c r="AO118" s="625">
        <v>364.74</v>
      </c>
      <c r="AP118" s="625">
        <v>364.74</v>
      </c>
      <c r="AQ118" s="625">
        <v>364.76</v>
      </c>
      <c r="AR118" s="625">
        <v>368.31</v>
      </c>
      <c r="AS118" s="625">
        <v>371.65</v>
      </c>
      <c r="AT118" s="625">
        <v>388.01</v>
      </c>
      <c r="AU118" s="764">
        <v>388.96</v>
      </c>
      <c r="AV118" s="752">
        <v>388.96</v>
      </c>
      <c r="AW118" s="626">
        <v>388.96</v>
      </c>
      <c r="AX118" s="626">
        <v>388.96</v>
      </c>
      <c r="AY118" s="626">
        <v>366.57</v>
      </c>
      <c r="AZ118" s="626">
        <v>366.57</v>
      </c>
      <c r="BA118" s="626">
        <v>366.57</v>
      </c>
      <c r="BB118" s="626">
        <v>368.54</v>
      </c>
      <c r="BC118" s="627">
        <v>374.34</v>
      </c>
      <c r="BD118" s="626">
        <v>374.34</v>
      </c>
      <c r="BE118" s="627">
        <v>374.31</v>
      </c>
      <c r="BF118" s="627">
        <v>374.31</v>
      </c>
      <c r="BG118" s="738">
        <v>374.31</v>
      </c>
      <c r="BH118" s="660">
        <v>375.42</v>
      </c>
      <c r="BI118" s="623">
        <v>375.42</v>
      </c>
      <c r="BJ118" s="623">
        <v>376.7</v>
      </c>
      <c r="BK118" s="623">
        <v>376.7</v>
      </c>
      <c r="BL118" s="623">
        <v>376.7</v>
      </c>
      <c r="BM118" s="623">
        <v>376.7</v>
      </c>
      <c r="BN118" s="623">
        <v>376.7</v>
      </c>
      <c r="BO118" s="623">
        <v>376.7</v>
      </c>
      <c r="BP118" s="623">
        <v>376.7</v>
      </c>
      <c r="BQ118" s="623">
        <v>376.7</v>
      </c>
      <c r="BR118" s="623">
        <v>377.62</v>
      </c>
      <c r="BS118" s="659">
        <v>383.58</v>
      </c>
      <c r="BT118" s="660">
        <v>383.58</v>
      </c>
      <c r="BU118" s="623">
        <v>383.58</v>
      </c>
      <c r="BV118" s="623">
        <v>393.21</v>
      </c>
      <c r="BW118" s="623">
        <v>393.4</v>
      </c>
      <c r="BX118" s="623">
        <v>393.4</v>
      </c>
      <c r="BY118" s="623">
        <v>395.93</v>
      </c>
      <c r="BZ118" s="623">
        <v>395.93</v>
      </c>
      <c r="CA118" s="623">
        <v>396.65</v>
      </c>
      <c r="CB118" s="623">
        <v>415.68</v>
      </c>
      <c r="CC118" s="623">
        <v>415.68</v>
      </c>
      <c r="CD118" s="623">
        <v>418.09</v>
      </c>
      <c r="CE118" s="659">
        <v>420.89</v>
      </c>
      <c r="CF118" s="660">
        <v>433.46</v>
      </c>
      <c r="CG118" s="623">
        <v>433.46</v>
      </c>
      <c r="CH118" s="623">
        <v>433.46</v>
      </c>
      <c r="CI118" s="623">
        <v>451.41</v>
      </c>
      <c r="CJ118" s="623">
        <v>451.41</v>
      </c>
      <c r="CK118" s="623">
        <v>482.83</v>
      </c>
      <c r="CL118" s="623">
        <v>492.49</v>
      </c>
      <c r="CM118" s="623">
        <v>492.49</v>
      </c>
      <c r="CN118" s="623">
        <v>526.75</v>
      </c>
      <c r="CO118" s="623">
        <v>526.75</v>
      </c>
      <c r="CP118" s="623">
        <v>526.75</v>
      </c>
      <c r="CQ118" s="659">
        <v>526.75</v>
      </c>
      <c r="CR118" s="660">
        <v>526.75</v>
      </c>
      <c r="CS118" s="623">
        <v>526.75</v>
      </c>
      <c r="CT118" s="623">
        <v>526.75</v>
      </c>
      <c r="CU118" s="623">
        <v>526.75</v>
      </c>
      <c r="CV118" s="623">
        <v>526.75</v>
      </c>
      <c r="CW118" s="623">
        <v>526.75</v>
      </c>
      <c r="CX118" s="623">
        <v>532.78</v>
      </c>
      <c r="CY118" s="623">
        <v>532.78</v>
      </c>
      <c r="CZ118" s="623">
        <v>532.78</v>
      </c>
      <c r="DA118" s="623">
        <v>537.76</v>
      </c>
      <c r="DB118" s="725">
        <v>537.76</v>
      </c>
      <c r="DC118" s="659">
        <v>533.17999999999995</v>
      </c>
      <c r="DD118" s="783">
        <v>533.33000000000004</v>
      </c>
      <c r="DE118" s="623">
        <v>558.57000000000005</v>
      </c>
      <c r="DF118" s="725">
        <v>565.89</v>
      </c>
      <c r="DG118" s="659">
        <v>565.35</v>
      </c>
      <c r="DH118" s="623">
        <v>565.35</v>
      </c>
      <c r="DI118" s="623">
        <v>574.70000000000005</v>
      </c>
      <c r="DJ118" s="623">
        <v>574.70000000000005</v>
      </c>
      <c r="DK118" s="659">
        <v>574.73</v>
      </c>
      <c r="DL118" s="897">
        <v>587.05999999999995</v>
      </c>
      <c r="DM118" s="110">
        <f t="shared" si="1"/>
        <v>1.0214535521027264</v>
      </c>
      <c r="DN118" s="110"/>
      <c r="DO118" s="110"/>
    </row>
    <row r="119" spans="1:119" s="115" customFormat="1" ht="21.75" customHeight="1">
      <c r="A119" s="114"/>
      <c r="B119" s="408">
        <v>99</v>
      </c>
      <c r="C119" s="621" t="s">
        <v>257</v>
      </c>
      <c r="D119" s="622" t="s">
        <v>258</v>
      </c>
      <c r="E119" s="621" t="s">
        <v>918</v>
      </c>
      <c r="F119" s="621"/>
      <c r="G119" s="621" t="s">
        <v>919</v>
      </c>
      <c r="H119" s="621" t="s">
        <v>930</v>
      </c>
      <c r="I119" s="390" t="s">
        <v>415</v>
      </c>
      <c r="J119" s="675"/>
      <c r="K119" s="669">
        <v>85.86</v>
      </c>
      <c r="L119" s="665">
        <v>94.04</v>
      </c>
      <c r="M119" s="625">
        <v>104.01</v>
      </c>
      <c r="N119" s="625">
        <v>117.75</v>
      </c>
      <c r="O119" s="625">
        <v>146.38999999999999</v>
      </c>
      <c r="P119" s="625">
        <v>157.80000000000001</v>
      </c>
      <c r="Q119" s="625">
        <v>156.91</v>
      </c>
      <c r="R119" s="625">
        <v>186.11</v>
      </c>
      <c r="S119" s="625">
        <v>186.11</v>
      </c>
      <c r="T119" s="625">
        <v>186.11</v>
      </c>
      <c r="U119" s="625">
        <v>197.52</v>
      </c>
      <c r="V119" s="625">
        <v>197.52</v>
      </c>
      <c r="W119" s="625">
        <v>197.52</v>
      </c>
      <c r="X119" s="625">
        <v>197.52</v>
      </c>
      <c r="Y119" s="625">
        <v>197.52</v>
      </c>
      <c r="Z119" s="625">
        <v>197.52</v>
      </c>
      <c r="AA119" s="625">
        <v>186.11</v>
      </c>
      <c r="AB119" s="625">
        <v>186.11</v>
      </c>
      <c r="AC119" s="625">
        <v>197.52</v>
      </c>
      <c r="AD119" s="625">
        <v>197.52</v>
      </c>
      <c r="AE119" s="625">
        <v>197.52</v>
      </c>
      <c r="AF119" s="625">
        <v>197.52</v>
      </c>
      <c r="AG119" s="625">
        <v>197.52</v>
      </c>
      <c r="AH119" s="625">
        <v>197.52</v>
      </c>
      <c r="AI119" s="764">
        <v>197.52</v>
      </c>
      <c r="AJ119" s="772">
        <v>217.81</v>
      </c>
      <c r="AK119" s="625">
        <v>217.81</v>
      </c>
      <c r="AL119" s="625">
        <v>217.81</v>
      </c>
      <c r="AM119" s="625">
        <v>217.81</v>
      </c>
      <c r="AN119" s="625">
        <v>234.38</v>
      </c>
      <c r="AO119" s="625">
        <v>240.05</v>
      </c>
      <c r="AP119" s="625">
        <v>240.05</v>
      </c>
      <c r="AQ119" s="625">
        <v>240.05</v>
      </c>
      <c r="AR119" s="625">
        <v>240.05</v>
      </c>
      <c r="AS119" s="625">
        <v>244.5</v>
      </c>
      <c r="AT119" s="625">
        <v>251.81</v>
      </c>
      <c r="AU119" s="764">
        <v>251.81</v>
      </c>
      <c r="AV119" s="752">
        <v>251.81</v>
      </c>
      <c r="AW119" s="626">
        <v>252.4</v>
      </c>
      <c r="AX119" s="626">
        <v>252.4</v>
      </c>
      <c r="AY119" s="626">
        <v>252.4</v>
      </c>
      <c r="AZ119" s="626">
        <v>266.25</v>
      </c>
      <c r="BA119" s="626">
        <v>266.25</v>
      </c>
      <c r="BB119" s="626">
        <v>274.81</v>
      </c>
      <c r="BC119" s="627">
        <v>274.81</v>
      </c>
      <c r="BD119" s="626">
        <v>274.81</v>
      </c>
      <c r="BE119" s="627">
        <v>290.81</v>
      </c>
      <c r="BF119" s="627">
        <v>291.86</v>
      </c>
      <c r="BG119" s="738">
        <v>291.86</v>
      </c>
      <c r="BH119" s="660">
        <v>282.25</v>
      </c>
      <c r="BI119" s="623">
        <v>290.81</v>
      </c>
      <c r="BJ119" s="623">
        <v>282.25</v>
      </c>
      <c r="BK119" s="623">
        <v>290.81</v>
      </c>
      <c r="BL119" s="623">
        <v>300.06</v>
      </c>
      <c r="BM119" s="623">
        <v>300.06</v>
      </c>
      <c r="BN119" s="623">
        <v>318.93</v>
      </c>
      <c r="BO119" s="623">
        <v>318.93</v>
      </c>
      <c r="BP119" s="623">
        <v>318.93</v>
      </c>
      <c r="BQ119" s="623">
        <v>318.93</v>
      </c>
      <c r="BR119" s="623">
        <v>318.93</v>
      </c>
      <c r="BS119" s="659">
        <v>318.93</v>
      </c>
      <c r="BT119" s="660">
        <v>318.93</v>
      </c>
      <c r="BU119" s="623">
        <v>338.3</v>
      </c>
      <c r="BV119" s="623">
        <v>338.3</v>
      </c>
      <c r="BW119" s="623">
        <v>369.67</v>
      </c>
      <c r="BX119" s="623">
        <v>384.45</v>
      </c>
      <c r="BY119" s="623">
        <v>384.45</v>
      </c>
      <c r="BZ119" s="623">
        <v>392.98</v>
      </c>
      <c r="CA119" s="623">
        <v>402.6</v>
      </c>
      <c r="CB119" s="623">
        <v>402.6</v>
      </c>
      <c r="CC119" s="623">
        <v>402.6</v>
      </c>
      <c r="CD119" s="623">
        <v>402.6</v>
      </c>
      <c r="CE119" s="659">
        <v>407.16</v>
      </c>
      <c r="CF119" s="660">
        <v>419.71</v>
      </c>
      <c r="CG119" s="623">
        <v>430.54</v>
      </c>
      <c r="CH119" s="623">
        <v>430.25</v>
      </c>
      <c r="CI119" s="623">
        <v>443.43</v>
      </c>
      <c r="CJ119" s="623">
        <v>459.82</v>
      </c>
      <c r="CK119" s="623">
        <v>459.82</v>
      </c>
      <c r="CL119" s="623">
        <v>459.82</v>
      </c>
      <c r="CM119" s="623">
        <v>470.8</v>
      </c>
      <c r="CN119" s="623">
        <v>470.8</v>
      </c>
      <c r="CO119" s="623">
        <v>470.8</v>
      </c>
      <c r="CP119" s="623">
        <v>470.8</v>
      </c>
      <c r="CQ119" s="659">
        <v>452.5</v>
      </c>
      <c r="CR119" s="660">
        <v>452.5</v>
      </c>
      <c r="CS119" s="623">
        <v>470.8</v>
      </c>
      <c r="CT119" s="623">
        <v>470.8</v>
      </c>
      <c r="CU119" s="623">
        <v>470.8</v>
      </c>
      <c r="CV119" s="623">
        <v>470.8</v>
      </c>
      <c r="CW119" s="623">
        <v>470.8</v>
      </c>
      <c r="CX119" s="623">
        <v>470.8</v>
      </c>
      <c r="CY119" s="623">
        <v>470.8</v>
      </c>
      <c r="CZ119" s="623">
        <v>492.58</v>
      </c>
      <c r="DA119" s="623">
        <v>492.58</v>
      </c>
      <c r="DB119" s="725">
        <v>501.73</v>
      </c>
      <c r="DC119" s="659">
        <v>502.06</v>
      </c>
      <c r="DD119" s="783">
        <v>517.77</v>
      </c>
      <c r="DE119" s="623">
        <v>518.92999999999995</v>
      </c>
      <c r="DF119" s="725">
        <v>521.45000000000005</v>
      </c>
      <c r="DG119" s="659">
        <v>521.45000000000005</v>
      </c>
      <c r="DH119" s="623">
        <v>528.52</v>
      </c>
      <c r="DI119" s="623">
        <v>531.61</v>
      </c>
      <c r="DJ119" s="623">
        <v>535.59</v>
      </c>
      <c r="DK119" s="659">
        <v>536.11</v>
      </c>
      <c r="DL119" s="897">
        <v>536.70000000000005</v>
      </c>
      <c r="DM119" s="110">
        <f t="shared" si="1"/>
        <v>1.0011005204155865</v>
      </c>
      <c r="DN119" s="110"/>
      <c r="DO119" s="110"/>
    </row>
    <row r="120" spans="1:119" s="115" customFormat="1" ht="18.95" customHeight="1">
      <c r="A120" s="114"/>
      <c r="B120" s="408">
        <v>100</v>
      </c>
      <c r="C120" s="621" t="s">
        <v>259</v>
      </c>
      <c r="D120" s="622" t="s">
        <v>260</v>
      </c>
      <c r="E120" s="621" t="s">
        <v>918</v>
      </c>
      <c r="F120" s="622"/>
      <c r="G120" s="621" t="s">
        <v>929</v>
      </c>
      <c r="H120" s="621" t="s">
        <v>930</v>
      </c>
      <c r="I120" s="390"/>
      <c r="J120" s="651"/>
      <c r="K120" s="669">
        <v>101.7</v>
      </c>
      <c r="L120" s="665">
        <v>113.9</v>
      </c>
      <c r="M120" s="625">
        <v>137.30000000000001</v>
      </c>
      <c r="N120" s="625">
        <v>141.9</v>
      </c>
      <c r="O120" s="625">
        <v>160.69999999999999</v>
      </c>
      <c r="P120" s="625">
        <v>175.9</v>
      </c>
      <c r="Q120" s="625">
        <v>176.2</v>
      </c>
      <c r="R120" s="625">
        <v>185.2</v>
      </c>
      <c r="S120" s="625">
        <v>192.7</v>
      </c>
      <c r="T120" s="625">
        <v>189.3</v>
      </c>
      <c r="U120" s="625">
        <v>190.8</v>
      </c>
      <c r="V120" s="625">
        <v>193.2</v>
      </c>
      <c r="W120" s="625">
        <v>195.6</v>
      </c>
      <c r="X120" s="625">
        <v>195.3</v>
      </c>
      <c r="Y120" s="625">
        <v>196.4</v>
      </c>
      <c r="Z120" s="625">
        <v>195.2</v>
      </c>
      <c r="AA120" s="625">
        <v>195</v>
      </c>
      <c r="AB120" s="625">
        <v>196.5</v>
      </c>
      <c r="AC120" s="625">
        <v>197.9</v>
      </c>
      <c r="AD120" s="625">
        <v>197.6</v>
      </c>
      <c r="AE120" s="625">
        <v>197.6</v>
      </c>
      <c r="AF120" s="625">
        <v>197.6</v>
      </c>
      <c r="AG120" s="625">
        <v>197.6</v>
      </c>
      <c r="AH120" s="625">
        <v>197.6</v>
      </c>
      <c r="AI120" s="764">
        <v>197.6</v>
      </c>
      <c r="AJ120" s="772">
        <v>199.5</v>
      </c>
      <c r="AK120" s="625">
        <v>198.8</v>
      </c>
      <c r="AL120" s="625">
        <v>203.5</v>
      </c>
      <c r="AM120" s="625">
        <v>209.8</v>
      </c>
      <c r="AN120" s="625">
        <v>209.2</v>
      </c>
      <c r="AO120" s="625">
        <v>214.6</v>
      </c>
      <c r="AP120" s="625">
        <v>211</v>
      </c>
      <c r="AQ120" s="625">
        <v>206.9</v>
      </c>
      <c r="AR120" s="625">
        <v>206.5</v>
      </c>
      <c r="AS120" s="625">
        <v>203.1</v>
      </c>
      <c r="AT120" s="625">
        <v>203.7</v>
      </c>
      <c r="AU120" s="764">
        <v>210</v>
      </c>
      <c r="AV120" s="752">
        <v>211.3</v>
      </c>
      <c r="AW120" s="626">
        <v>211.4</v>
      </c>
      <c r="AX120" s="626">
        <v>212.4</v>
      </c>
      <c r="AY120" s="626">
        <v>215.5</v>
      </c>
      <c r="AZ120" s="626">
        <v>221.1</v>
      </c>
      <c r="BA120" s="626">
        <v>221.9</v>
      </c>
      <c r="BB120" s="626">
        <v>224.2</v>
      </c>
      <c r="BC120" s="627">
        <v>225.5</v>
      </c>
      <c r="BD120" s="626">
        <v>256.10000000000002</v>
      </c>
      <c r="BE120" s="627">
        <v>231.2</v>
      </c>
      <c r="BF120" s="627">
        <v>226</v>
      </c>
      <c r="BG120" s="738">
        <v>232.7</v>
      </c>
      <c r="BH120" s="660">
        <v>234.4</v>
      </c>
      <c r="BI120" s="623">
        <v>236.3</v>
      </c>
      <c r="BJ120" s="623">
        <v>236.3</v>
      </c>
      <c r="BK120" s="623">
        <v>239.3</v>
      </c>
      <c r="BL120" s="623">
        <v>247</v>
      </c>
      <c r="BM120" s="623">
        <v>247.9</v>
      </c>
      <c r="BN120" s="623">
        <v>249</v>
      </c>
      <c r="BO120" s="623">
        <v>248.7</v>
      </c>
      <c r="BP120" s="623">
        <v>250.2</v>
      </c>
      <c r="BQ120" s="623">
        <v>250.6</v>
      </c>
      <c r="BR120" s="623">
        <v>258.10000000000002</v>
      </c>
      <c r="BS120" s="659">
        <v>258.8</v>
      </c>
      <c r="BT120" s="660">
        <v>260.60000000000002</v>
      </c>
      <c r="BU120" s="623">
        <v>264.3</v>
      </c>
      <c r="BV120" s="623">
        <v>263.2</v>
      </c>
      <c r="BW120" s="623">
        <v>268.10000000000002</v>
      </c>
      <c r="BX120" s="623">
        <v>279</v>
      </c>
      <c r="BY120" s="623">
        <v>278.10000000000002</v>
      </c>
      <c r="BZ120" s="623">
        <v>278.10000000000002</v>
      </c>
      <c r="CA120" s="623">
        <v>285.10000000000002</v>
      </c>
      <c r="CB120" s="623">
        <v>287</v>
      </c>
      <c r="CC120" s="623">
        <v>293.10000000000002</v>
      </c>
      <c r="CD120" s="623">
        <v>307.10000000000002</v>
      </c>
      <c r="CE120" s="659">
        <v>307.10000000000002</v>
      </c>
      <c r="CF120" s="660">
        <v>307.60000000000002</v>
      </c>
      <c r="CG120" s="623">
        <v>308.10000000000002</v>
      </c>
      <c r="CH120" s="623">
        <v>315.7</v>
      </c>
      <c r="CI120" s="623">
        <v>300.2</v>
      </c>
      <c r="CJ120" s="623">
        <v>306.2</v>
      </c>
      <c r="CK120" s="623">
        <v>321.5</v>
      </c>
      <c r="CL120" s="623">
        <v>322.39999999999998</v>
      </c>
      <c r="CM120" s="623">
        <v>341.2</v>
      </c>
      <c r="CN120" s="623">
        <v>343.7</v>
      </c>
      <c r="CO120" s="623">
        <v>343.7</v>
      </c>
      <c r="CP120" s="623">
        <v>358.4</v>
      </c>
      <c r="CQ120" s="659">
        <v>359.4</v>
      </c>
      <c r="CR120" s="660">
        <v>351.8</v>
      </c>
      <c r="CS120" s="623">
        <v>341.9</v>
      </c>
      <c r="CT120" s="623">
        <v>348.2</v>
      </c>
      <c r="CU120" s="623">
        <v>348.2</v>
      </c>
      <c r="CV120" s="623">
        <v>332.6</v>
      </c>
      <c r="CW120" s="623">
        <v>335.9</v>
      </c>
      <c r="CX120" s="623">
        <v>335.9</v>
      </c>
      <c r="CY120" s="623">
        <v>340.6</v>
      </c>
      <c r="CZ120" s="623">
        <v>338.2</v>
      </c>
      <c r="DA120" s="623">
        <v>342.7</v>
      </c>
      <c r="DB120" s="725">
        <v>344.5</v>
      </c>
      <c r="DC120" s="659">
        <v>346.2</v>
      </c>
      <c r="DD120" s="783">
        <v>348.7</v>
      </c>
      <c r="DE120" s="623">
        <v>353.1</v>
      </c>
      <c r="DF120" s="725">
        <v>353.8</v>
      </c>
      <c r="DG120" s="659">
        <v>361.4</v>
      </c>
      <c r="DH120" s="623">
        <v>369</v>
      </c>
      <c r="DI120" s="623">
        <v>358.1</v>
      </c>
      <c r="DJ120" s="623">
        <v>366</v>
      </c>
      <c r="DK120" s="659">
        <v>372.6</v>
      </c>
      <c r="DL120" s="897">
        <v>372.6</v>
      </c>
      <c r="DM120" s="110">
        <f t="shared" si="1"/>
        <v>1</v>
      </c>
      <c r="DN120" s="110"/>
      <c r="DO120" s="110"/>
    </row>
    <row r="121" spans="1:119" s="115" customFormat="1" ht="18.95" customHeight="1">
      <c r="A121" s="114"/>
      <c r="B121" s="644">
        <v>101</v>
      </c>
      <c r="C121" s="645" t="s">
        <v>261</v>
      </c>
      <c r="D121" s="646" t="s">
        <v>262</v>
      </c>
      <c r="E121" s="645" t="s">
        <v>918</v>
      </c>
      <c r="F121" s="646"/>
      <c r="G121" s="645" t="s">
        <v>929</v>
      </c>
      <c r="H121" s="645" t="s">
        <v>930</v>
      </c>
      <c r="I121" s="876" t="s">
        <v>921</v>
      </c>
      <c r="J121" s="869"/>
      <c r="K121" s="877">
        <v>96.4</v>
      </c>
      <c r="L121" s="878">
        <v>111.2</v>
      </c>
      <c r="M121" s="879">
        <v>129.9</v>
      </c>
      <c r="N121" s="879">
        <v>121.6</v>
      </c>
      <c r="O121" s="879">
        <v>140</v>
      </c>
      <c r="P121" s="879">
        <v>155.30000000000001</v>
      </c>
      <c r="Q121" s="879">
        <v>171.6</v>
      </c>
      <c r="R121" s="879">
        <v>170</v>
      </c>
      <c r="S121" s="879">
        <v>169.3</v>
      </c>
      <c r="T121" s="879">
        <v>166.2</v>
      </c>
      <c r="U121" s="879">
        <v>175.8</v>
      </c>
      <c r="V121" s="879">
        <v>177.4</v>
      </c>
      <c r="W121" s="879">
        <v>175.8</v>
      </c>
      <c r="X121" s="879">
        <v>177.9</v>
      </c>
      <c r="Y121" s="879">
        <v>177.9</v>
      </c>
      <c r="Z121" s="879">
        <v>181.4</v>
      </c>
      <c r="AA121" s="879">
        <v>182.4</v>
      </c>
      <c r="AB121" s="879">
        <v>179.4</v>
      </c>
      <c r="AC121" s="879">
        <v>179.4</v>
      </c>
      <c r="AD121" s="879">
        <v>179.2</v>
      </c>
      <c r="AE121" s="879">
        <v>178.5</v>
      </c>
      <c r="AF121" s="879">
        <v>178.5</v>
      </c>
      <c r="AG121" s="879">
        <v>181.4</v>
      </c>
      <c r="AH121" s="879">
        <v>182</v>
      </c>
      <c r="AI121" s="880">
        <v>182</v>
      </c>
      <c r="AJ121" s="881">
        <v>181.7</v>
      </c>
      <c r="AK121" s="879">
        <v>184.2</v>
      </c>
      <c r="AL121" s="879">
        <v>182.8</v>
      </c>
      <c r="AM121" s="879">
        <v>186.5</v>
      </c>
      <c r="AN121" s="879">
        <v>187.2</v>
      </c>
      <c r="AO121" s="879">
        <v>190.6</v>
      </c>
      <c r="AP121" s="879">
        <v>194.5</v>
      </c>
      <c r="AQ121" s="879">
        <v>193.7</v>
      </c>
      <c r="AR121" s="879">
        <v>195.7</v>
      </c>
      <c r="AS121" s="879">
        <v>199.4</v>
      </c>
      <c r="AT121" s="879">
        <v>203.7</v>
      </c>
      <c r="AU121" s="880">
        <v>206</v>
      </c>
      <c r="AV121" s="882">
        <v>208.2</v>
      </c>
      <c r="AW121" s="883">
        <v>215.4</v>
      </c>
      <c r="AX121" s="883">
        <v>215.4</v>
      </c>
      <c r="AY121" s="883">
        <v>221.1</v>
      </c>
      <c r="AZ121" s="883">
        <v>223.1</v>
      </c>
      <c r="BA121" s="883">
        <v>224.4</v>
      </c>
      <c r="BB121" s="883">
        <v>226.9</v>
      </c>
      <c r="BC121" s="884">
        <v>233.2</v>
      </c>
      <c r="BD121" s="883">
        <v>236.9</v>
      </c>
      <c r="BE121" s="884">
        <v>236.9</v>
      </c>
      <c r="BF121" s="884">
        <v>239.1</v>
      </c>
      <c r="BG121" s="885">
        <v>240.3</v>
      </c>
      <c r="BH121" s="886">
        <v>244.7</v>
      </c>
      <c r="BI121" s="887">
        <v>248.4</v>
      </c>
      <c r="BJ121" s="887">
        <v>249</v>
      </c>
      <c r="BK121" s="887">
        <v>251.3</v>
      </c>
      <c r="BL121" s="887">
        <v>250.7</v>
      </c>
      <c r="BM121" s="887">
        <v>251.5</v>
      </c>
      <c r="BN121" s="887">
        <v>251.5</v>
      </c>
      <c r="BO121" s="887">
        <v>254</v>
      </c>
      <c r="BP121" s="887">
        <v>252.3</v>
      </c>
      <c r="BQ121" s="887">
        <v>252.3</v>
      </c>
      <c r="BR121" s="887">
        <v>258.2</v>
      </c>
      <c r="BS121" s="888">
        <v>259.5</v>
      </c>
      <c r="BT121" s="886">
        <v>259.5</v>
      </c>
      <c r="BU121" s="887">
        <v>261.7</v>
      </c>
      <c r="BV121" s="887">
        <v>262.39999999999998</v>
      </c>
      <c r="BW121" s="887">
        <v>270.10000000000002</v>
      </c>
      <c r="BX121" s="887">
        <v>273.8</v>
      </c>
      <c r="BY121" s="887">
        <v>270.2</v>
      </c>
      <c r="BZ121" s="887">
        <v>270.2</v>
      </c>
      <c r="CA121" s="887">
        <v>277.39999999999998</v>
      </c>
      <c r="CB121" s="887">
        <v>281.5</v>
      </c>
      <c r="CC121" s="887">
        <v>281.5</v>
      </c>
      <c r="CD121" s="887">
        <v>285.10000000000002</v>
      </c>
      <c r="CE121" s="888">
        <v>288.60000000000002</v>
      </c>
      <c r="CF121" s="886">
        <v>299.8</v>
      </c>
      <c r="CG121" s="887">
        <v>306.10000000000002</v>
      </c>
      <c r="CH121" s="887">
        <v>306.60000000000002</v>
      </c>
      <c r="CI121" s="887">
        <v>318.3</v>
      </c>
      <c r="CJ121" s="887">
        <v>324.7</v>
      </c>
      <c r="CK121" s="887">
        <v>333.2</v>
      </c>
      <c r="CL121" s="887">
        <v>328.8</v>
      </c>
      <c r="CM121" s="887">
        <v>334.3</v>
      </c>
      <c r="CN121" s="887">
        <v>334.3</v>
      </c>
      <c r="CO121" s="887">
        <v>337.7</v>
      </c>
      <c r="CP121" s="887">
        <v>340.5</v>
      </c>
      <c r="CQ121" s="888">
        <v>347.6</v>
      </c>
      <c r="CR121" s="886">
        <v>350.5</v>
      </c>
      <c r="CS121" s="887">
        <v>345.3</v>
      </c>
      <c r="CT121" s="887">
        <v>348.6</v>
      </c>
      <c r="CU121" s="887">
        <v>349.2</v>
      </c>
      <c r="CV121" s="887">
        <v>352.4</v>
      </c>
      <c r="CW121" s="887">
        <v>357</v>
      </c>
      <c r="CX121" s="887">
        <v>356.6</v>
      </c>
      <c r="CY121" s="887">
        <v>362.3</v>
      </c>
      <c r="CZ121" s="887">
        <v>357.1</v>
      </c>
      <c r="DA121" s="887">
        <v>368.8</v>
      </c>
      <c r="DB121" s="889">
        <v>372.2</v>
      </c>
      <c r="DC121" s="888">
        <v>376.4</v>
      </c>
      <c r="DD121" s="890">
        <v>384.5</v>
      </c>
      <c r="DE121" s="887">
        <v>390.1</v>
      </c>
      <c r="DF121" s="889">
        <v>390.1</v>
      </c>
      <c r="DG121" s="888">
        <v>390.3</v>
      </c>
      <c r="DH121" s="887">
        <v>404.9</v>
      </c>
      <c r="DI121" s="887">
        <v>408.1</v>
      </c>
      <c r="DJ121" s="623">
        <v>417.3</v>
      </c>
      <c r="DK121" s="659">
        <v>432.2</v>
      </c>
      <c r="DL121" s="897">
        <v>432</v>
      </c>
      <c r="DM121" s="110">
        <f t="shared" si="1"/>
        <v>0.99953725127255899</v>
      </c>
      <c r="DN121" s="110"/>
      <c r="DO121" s="110"/>
    </row>
    <row r="122" spans="1:119" s="115" customFormat="1" ht="18.95" customHeight="1">
      <c r="A122" s="114"/>
      <c r="B122" s="408">
        <v>102</v>
      </c>
      <c r="C122" s="621" t="s">
        <v>263</v>
      </c>
      <c r="D122" s="622" t="s">
        <v>264</v>
      </c>
      <c r="E122" s="621" t="s">
        <v>918</v>
      </c>
      <c r="F122" s="622"/>
      <c r="G122" s="621" t="s">
        <v>919</v>
      </c>
      <c r="H122" s="621" t="s">
        <v>920</v>
      </c>
      <c r="I122" s="390" t="s">
        <v>921</v>
      </c>
      <c r="J122" s="651"/>
      <c r="K122" s="669">
        <v>104.07</v>
      </c>
      <c r="L122" s="665">
        <v>114.95</v>
      </c>
      <c r="M122" s="625">
        <v>147.22999999999999</v>
      </c>
      <c r="N122" s="625">
        <v>155.47</v>
      </c>
      <c r="O122" s="625">
        <v>185.61</v>
      </c>
      <c r="P122" s="625">
        <v>200.33</v>
      </c>
      <c r="Q122" s="625">
        <v>217.6</v>
      </c>
      <c r="R122" s="625">
        <v>217.76</v>
      </c>
      <c r="S122" s="625">
        <v>214.89</v>
      </c>
      <c r="T122" s="625">
        <v>221.13</v>
      </c>
      <c r="U122" s="625">
        <v>224.97</v>
      </c>
      <c r="V122" s="625">
        <v>224.99</v>
      </c>
      <c r="W122" s="625">
        <v>224.99</v>
      </c>
      <c r="X122" s="625">
        <v>224.99</v>
      </c>
      <c r="Y122" s="625">
        <v>224.99</v>
      </c>
      <c r="Z122" s="625">
        <v>224.99</v>
      </c>
      <c r="AA122" s="625">
        <v>227.34</v>
      </c>
      <c r="AB122" s="625">
        <v>226.76</v>
      </c>
      <c r="AC122" s="625">
        <v>227.32</v>
      </c>
      <c r="AD122" s="625">
        <v>227.32</v>
      </c>
      <c r="AE122" s="625">
        <v>225.83</v>
      </c>
      <c r="AF122" s="625">
        <v>225.83</v>
      </c>
      <c r="AG122" s="625">
        <v>225.83</v>
      </c>
      <c r="AH122" s="625">
        <v>225.83</v>
      </c>
      <c r="AI122" s="764">
        <v>225.83</v>
      </c>
      <c r="AJ122" s="772">
        <v>225.83</v>
      </c>
      <c r="AK122" s="625">
        <v>227.33</v>
      </c>
      <c r="AL122" s="625">
        <v>228.48</v>
      </c>
      <c r="AM122" s="625">
        <v>229.42</v>
      </c>
      <c r="AN122" s="625">
        <v>231.38</v>
      </c>
      <c r="AO122" s="625">
        <v>234.34</v>
      </c>
      <c r="AP122" s="625">
        <v>235.23</v>
      </c>
      <c r="AQ122" s="625">
        <v>236.43</v>
      </c>
      <c r="AR122" s="625">
        <v>239.23</v>
      </c>
      <c r="AS122" s="625">
        <v>244.17</v>
      </c>
      <c r="AT122" s="625">
        <v>244.17</v>
      </c>
      <c r="AU122" s="764">
        <v>248.8</v>
      </c>
      <c r="AV122" s="752">
        <v>257.45</v>
      </c>
      <c r="AW122" s="626">
        <v>257.45</v>
      </c>
      <c r="AX122" s="626">
        <v>257.45</v>
      </c>
      <c r="AY122" s="626">
        <v>261.13</v>
      </c>
      <c r="AZ122" s="626">
        <v>269.08999999999997</v>
      </c>
      <c r="BA122" s="626">
        <v>269.08999999999997</v>
      </c>
      <c r="BB122" s="626">
        <v>279.24</v>
      </c>
      <c r="BC122" s="627">
        <v>278.95999999999998</v>
      </c>
      <c r="BD122" s="626">
        <v>279.24</v>
      </c>
      <c r="BE122" s="627">
        <v>279.24</v>
      </c>
      <c r="BF122" s="627">
        <v>279.24</v>
      </c>
      <c r="BG122" s="738">
        <v>284.79000000000002</v>
      </c>
      <c r="BH122" s="660">
        <v>286.64999999999998</v>
      </c>
      <c r="BI122" s="623">
        <v>285.16000000000003</v>
      </c>
      <c r="BJ122" s="623">
        <v>285.16000000000003</v>
      </c>
      <c r="BK122" s="623">
        <v>292.42</v>
      </c>
      <c r="BL122" s="623">
        <v>292.92</v>
      </c>
      <c r="BM122" s="623">
        <v>296.61</v>
      </c>
      <c r="BN122" s="623">
        <v>303.31</v>
      </c>
      <c r="BO122" s="623">
        <v>308.89999999999998</v>
      </c>
      <c r="BP122" s="623">
        <v>309.41000000000003</v>
      </c>
      <c r="BQ122" s="623">
        <v>311.16000000000003</v>
      </c>
      <c r="BR122" s="623">
        <v>316.10000000000002</v>
      </c>
      <c r="BS122" s="659">
        <v>319.14999999999998</v>
      </c>
      <c r="BT122" s="660">
        <v>318.60000000000002</v>
      </c>
      <c r="BU122" s="623">
        <v>320.3</v>
      </c>
      <c r="BV122" s="623">
        <v>318.19</v>
      </c>
      <c r="BW122" s="623">
        <v>324.79000000000002</v>
      </c>
      <c r="BX122" s="623">
        <v>325.33999999999997</v>
      </c>
      <c r="BY122" s="623">
        <v>331.21</v>
      </c>
      <c r="BZ122" s="623">
        <v>331.21</v>
      </c>
      <c r="CA122" s="623">
        <v>331.72</v>
      </c>
      <c r="CB122" s="623">
        <v>339.46</v>
      </c>
      <c r="CC122" s="623">
        <v>339.46</v>
      </c>
      <c r="CD122" s="623">
        <v>341.28</v>
      </c>
      <c r="CE122" s="659">
        <v>352.21</v>
      </c>
      <c r="CF122" s="660">
        <v>351.12</v>
      </c>
      <c r="CG122" s="623">
        <v>356.87</v>
      </c>
      <c r="CH122" s="623">
        <v>378.34</v>
      </c>
      <c r="CI122" s="623">
        <v>386.41</v>
      </c>
      <c r="CJ122" s="623">
        <v>394.86</v>
      </c>
      <c r="CK122" s="623">
        <v>398.17</v>
      </c>
      <c r="CL122" s="623">
        <v>398.17</v>
      </c>
      <c r="CM122" s="623">
        <v>401.76</v>
      </c>
      <c r="CN122" s="623">
        <v>415.82</v>
      </c>
      <c r="CO122" s="623">
        <v>419.1</v>
      </c>
      <c r="CP122" s="623">
        <v>435.31</v>
      </c>
      <c r="CQ122" s="659">
        <v>439.4</v>
      </c>
      <c r="CR122" s="660">
        <v>453.44</v>
      </c>
      <c r="CS122" s="623">
        <v>455.21</v>
      </c>
      <c r="CT122" s="623">
        <v>458.87</v>
      </c>
      <c r="CU122" s="623">
        <v>472.51</v>
      </c>
      <c r="CV122" s="623">
        <v>475.4</v>
      </c>
      <c r="CW122" s="623">
        <v>484.37</v>
      </c>
      <c r="CX122" s="623">
        <v>484.37</v>
      </c>
      <c r="CY122" s="623">
        <v>499.13</v>
      </c>
      <c r="CZ122" s="623">
        <v>499.13</v>
      </c>
      <c r="DA122" s="623">
        <v>511.52</v>
      </c>
      <c r="DB122" s="725">
        <v>511.52</v>
      </c>
      <c r="DC122" s="659">
        <v>519.84</v>
      </c>
      <c r="DD122" s="783">
        <v>519.61</v>
      </c>
      <c r="DE122" s="623">
        <v>527.45000000000005</v>
      </c>
      <c r="DF122" s="725">
        <v>514.52</v>
      </c>
      <c r="DG122" s="659">
        <v>529.91999999999996</v>
      </c>
      <c r="DH122" s="623">
        <v>529.91</v>
      </c>
      <c r="DI122" s="623">
        <v>532.15</v>
      </c>
      <c r="DJ122" s="623">
        <v>539.32000000000005</v>
      </c>
      <c r="DK122" s="659">
        <v>543.80999999999995</v>
      </c>
      <c r="DL122" s="897">
        <v>559.86</v>
      </c>
      <c r="DM122" s="110">
        <f t="shared" si="1"/>
        <v>1.0295139846637613</v>
      </c>
      <c r="DN122" s="110"/>
      <c r="DO122" s="110"/>
    </row>
    <row r="123" spans="1:119" s="115" customFormat="1" ht="18.95" customHeight="1">
      <c r="A123" s="114"/>
      <c r="B123" s="408">
        <v>103</v>
      </c>
      <c r="C123" s="621" t="s">
        <v>265</v>
      </c>
      <c r="D123" s="622" t="s">
        <v>266</v>
      </c>
      <c r="E123" s="621" t="s">
        <v>918</v>
      </c>
      <c r="F123" s="622"/>
      <c r="G123" s="621" t="s">
        <v>929</v>
      </c>
      <c r="H123" s="621" t="s">
        <v>930</v>
      </c>
      <c r="I123" s="390" t="s">
        <v>921</v>
      </c>
      <c r="J123" s="651"/>
      <c r="K123" s="669">
        <v>96.5</v>
      </c>
      <c r="L123" s="665">
        <v>100.4</v>
      </c>
      <c r="M123" s="625">
        <v>101.2</v>
      </c>
      <c r="N123" s="625">
        <v>106.5</v>
      </c>
      <c r="O123" s="625">
        <v>116.3</v>
      </c>
      <c r="P123" s="625">
        <v>118</v>
      </c>
      <c r="Q123" s="625">
        <v>120.3</v>
      </c>
      <c r="R123" s="625">
        <v>122.7</v>
      </c>
      <c r="S123" s="625">
        <v>126.5</v>
      </c>
      <c r="T123" s="625">
        <v>127.3</v>
      </c>
      <c r="U123" s="625">
        <v>126.4</v>
      </c>
      <c r="V123" s="625">
        <v>130.19999999999999</v>
      </c>
      <c r="W123" s="625">
        <v>132.9</v>
      </c>
      <c r="X123" s="625">
        <v>130.19999999999999</v>
      </c>
      <c r="Y123" s="625">
        <v>133.69999999999999</v>
      </c>
      <c r="Z123" s="625">
        <v>133.69999999999999</v>
      </c>
      <c r="AA123" s="625">
        <v>132.19999999999999</v>
      </c>
      <c r="AB123" s="625">
        <v>134.19999999999999</v>
      </c>
      <c r="AC123" s="625">
        <v>133.6</v>
      </c>
      <c r="AD123" s="625">
        <v>133.30000000000001</v>
      </c>
      <c r="AE123" s="625">
        <v>140.4</v>
      </c>
      <c r="AF123" s="625">
        <v>146.19999999999999</v>
      </c>
      <c r="AG123" s="625">
        <v>146.19999999999999</v>
      </c>
      <c r="AH123" s="625">
        <v>146.19999999999999</v>
      </c>
      <c r="AI123" s="764">
        <v>147.9</v>
      </c>
      <c r="AJ123" s="772">
        <v>146.1</v>
      </c>
      <c r="AK123" s="625">
        <v>147.69999999999999</v>
      </c>
      <c r="AL123" s="625">
        <v>151.30000000000001</v>
      </c>
      <c r="AM123" s="625">
        <v>154.6</v>
      </c>
      <c r="AN123" s="625">
        <v>154.69999999999999</v>
      </c>
      <c r="AO123" s="625">
        <v>154.69999999999999</v>
      </c>
      <c r="AP123" s="625">
        <v>154.69999999999999</v>
      </c>
      <c r="AQ123" s="625">
        <v>163.69999999999999</v>
      </c>
      <c r="AR123" s="625">
        <v>166.9</v>
      </c>
      <c r="AS123" s="625">
        <v>168.9</v>
      </c>
      <c r="AT123" s="625">
        <v>171.3</v>
      </c>
      <c r="AU123" s="764">
        <v>170.9</v>
      </c>
      <c r="AV123" s="752">
        <v>174</v>
      </c>
      <c r="AW123" s="626">
        <v>179.6</v>
      </c>
      <c r="AX123" s="626">
        <v>182.4</v>
      </c>
      <c r="AY123" s="626">
        <v>188.3</v>
      </c>
      <c r="AZ123" s="626">
        <v>196.2</v>
      </c>
      <c r="BA123" s="626">
        <v>199.2</v>
      </c>
      <c r="BB123" s="626">
        <v>197.5</v>
      </c>
      <c r="BC123" s="627">
        <v>199.2</v>
      </c>
      <c r="BD123" s="626">
        <v>202.6</v>
      </c>
      <c r="BE123" s="627">
        <v>200.4</v>
      </c>
      <c r="BF123" s="627">
        <v>260.7</v>
      </c>
      <c r="BG123" s="738">
        <v>205.9</v>
      </c>
      <c r="BH123" s="660">
        <v>210.4</v>
      </c>
      <c r="BI123" s="623">
        <v>213.4</v>
      </c>
      <c r="BJ123" s="623">
        <v>211</v>
      </c>
      <c r="BK123" s="623">
        <v>210.1</v>
      </c>
      <c r="BL123" s="623">
        <v>220.1</v>
      </c>
      <c r="BM123" s="623">
        <v>222.4</v>
      </c>
      <c r="BN123" s="623">
        <v>225.6</v>
      </c>
      <c r="BO123" s="623">
        <v>223.3</v>
      </c>
      <c r="BP123" s="623">
        <v>220.1</v>
      </c>
      <c r="BQ123" s="623">
        <v>224.2</v>
      </c>
      <c r="BR123" s="623">
        <v>230.6</v>
      </c>
      <c r="BS123" s="659">
        <v>230.6</v>
      </c>
      <c r="BT123" s="660">
        <v>233.8</v>
      </c>
      <c r="BU123" s="623">
        <v>234.3</v>
      </c>
      <c r="BV123" s="623">
        <v>232.2</v>
      </c>
      <c r="BW123" s="623">
        <v>234.7</v>
      </c>
      <c r="BX123" s="623">
        <v>234.7</v>
      </c>
      <c r="BY123" s="623">
        <v>240.2</v>
      </c>
      <c r="BZ123" s="623">
        <v>247.6</v>
      </c>
      <c r="CA123" s="623">
        <v>247.6</v>
      </c>
      <c r="CB123" s="623">
        <v>254.9</v>
      </c>
      <c r="CC123" s="623">
        <v>257.2</v>
      </c>
      <c r="CD123" s="623">
        <v>263.3</v>
      </c>
      <c r="CE123" s="659">
        <v>265.10000000000002</v>
      </c>
      <c r="CF123" s="660">
        <v>265</v>
      </c>
      <c r="CG123" s="623">
        <v>265.3</v>
      </c>
      <c r="CH123" s="623">
        <v>265.8</v>
      </c>
      <c r="CI123" s="623">
        <v>271.5</v>
      </c>
      <c r="CJ123" s="623">
        <v>271.3</v>
      </c>
      <c r="CK123" s="623">
        <v>273</v>
      </c>
      <c r="CL123" s="623">
        <v>288.8</v>
      </c>
      <c r="CM123" s="623">
        <v>288.8</v>
      </c>
      <c r="CN123" s="623">
        <v>288.8</v>
      </c>
      <c r="CO123" s="623">
        <v>288.8</v>
      </c>
      <c r="CP123" s="623">
        <v>290.3</v>
      </c>
      <c r="CQ123" s="659">
        <v>288.8</v>
      </c>
      <c r="CR123" s="660">
        <v>287.89999999999998</v>
      </c>
      <c r="CS123" s="623">
        <v>289.3</v>
      </c>
      <c r="CT123" s="623">
        <v>307.3</v>
      </c>
      <c r="CU123" s="623">
        <v>302.5</v>
      </c>
      <c r="CV123" s="623">
        <v>302.5</v>
      </c>
      <c r="CW123" s="623">
        <v>308.5</v>
      </c>
      <c r="CX123" s="623">
        <v>308.5</v>
      </c>
      <c r="CY123" s="623">
        <v>308.5</v>
      </c>
      <c r="CZ123" s="623">
        <v>310.60000000000002</v>
      </c>
      <c r="DA123" s="623">
        <v>310.60000000000002</v>
      </c>
      <c r="DB123" s="725">
        <v>314.7</v>
      </c>
      <c r="DC123" s="659">
        <v>314.7</v>
      </c>
      <c r="DD123" s="783">
        <v>314.7</v>
      </c>
      <c r="DE123" s="623">
        <v>314.7</v>
      </c>
      <c r="DF123" s="725">
        <v>331.7</v>
      </c>
      <c r="DG123" s="659">
        <v>331.7</v>
      </c>
      <c r="DH123" s="623">
        <v>331.7</v>
      </c>
      <c r="DI123" s="623">
        <v>331.7</v>
      </c>
      <c r="DJ123" s="623">
        <v>331.7</v>
      </c>
      <c r="DK123" s="659">
        <v>331.7</v>
      </c>
      <c r="DL123" s="897">
        <v>331.7</v>
      </c>
      <c r="DM123" s="110">
        <f t="shared" si="1"/>
        <v>1</v>
      </c>
      <c r="DN123" s="110"/>
      <c r="DO123" s="110"/>
    </row>
    <row r="124" spans="1:119" s="115" customFormat="1" ht="18.95" customHeight="1">
      <c r="A124" s="114"/>
      <c r="B124" s="408">
        <v>104</v>
      </c>
      <c r="C124" s="621" t="s">
        <v>267</v>
      </c>
      <c r="D124" s="622" t="s">
        <v>268</v>
      </c>
      <c r="E124" s="621" t="s">
        <v>918</v>
      </c>
      <c r="F124" s="622"/>
      <c r="G124" s="621" t="s">
        <v>929</v>
      </c>
      <c r="H124" s="621" t="s">
        <v>930</v>
      </c>
      <c r="I124" s="390" t="s">
        <v>78</v>
      </c>
      <c r="J124" s="651"/>
      <c r="K124" s="669">
        <v>124.9</v>
      </c>
      <c r="L124" s="665">
        <v>128.1</v>
      </c>
      <c r="M124" s="625">
        <v>147.1</v>
      </c>
      <c r="N124" s="625">
        <v>195.5</v>
      </c>
      <c r="O124" s="625">
        <v>254.4</v>
      </c>
      <c r="P124" s="625">
        <v>232.9</v>
      </c>
      <c r="Q124" s="625">
        <v>245.2</v>
      </c>
      <c r="R124" s="625">
        <v>245.2</v>
      </c>
      <c r="S124" s="625">
        <v>245.2</v>
      </c>
      <c r="T124" s="625">
        <v>248.5</v>
      </c>
      <c r="U124" s="625">
        <v>259.10000000000002</v>
      </c>
      <c r="V124" s="625">
        <v>258.60000000000002</v>
      </c>
      <c r="W124" s="625">
        <v>258.39999999999998</v>
      </c>
      <c r="X124" s="625">
        <v>252.1</v>
      </c>
      <c r="Y124" s="625">
        <v>246.4</v>
      </c>
      <c r="Z124" s="625">
        <v>242.3</v>
      </c>
      <c r="AA124" s="625">
        <v>234</v>
      </c>
      <c r="AB124" s="625">
        <v>232.2</v>
      </c>
      <c r="AC124" s="625">
        <v>231.4</v>
      </c>
      <c r="AD124" s="625">
        <v>231.4</v>
      </c>
      <c r="AE124" s="625">
        <v>232.6</v>
      </c>
      <c r="AF124" s="625">
        <v>236.1</v>
      </c>
      <c r="AG124" s="625">
        <v>234.9</v>
      </c>
      <c r="AH124" s="625">
        <v>235.1</v>
      </c>
      <c r="AI124" s="764">
        <v>235.7</v>
      </c>
      <c r="AJ124" s="772">
        <v>236.2</v>
      </c>
      <c r="AK124" s="625">
        <v>239.9</v>
      </c>
      <c r="AL124" s="625">
        <v>239.9</v>
      </c>
      <c r="AM124" s="625">
        <v>240.3</v>
      </c>
      <c r="AN124" s="625">
        <v>252.5</v>
      </c>
      <c r="AO124" s="625">
        <v>262.7</v>
      </c>
      <c r="AP124" s="625">
        <v>263.89999999999998</v>
      </c>
      <c r="AQ124" s="625">
        <v>272.7</v>
      </c>
      <c r="AR124" s="625">
        <v>290.8</v>
      </c>
      <c r="AS124" s="625">
        <v>303.89999999999998</v>
      </c>
      <c r="AT124" s="625">
        <v>322.8</v>
      </c>
      <c r="AU124" s="764">
        <v>322.8</v>
      </c>
      <c r="AV124" s="752">
        <v>325.7</v>
      </c>
      <c r="AW124" s="626">
        <v>325.7</v>
      </c>
      <c r="AX124" s="626">
        <v>325.7</v>
      </c>
      <c r="AY124" s="626">
        <v>321.8</v>
      </c>
      <c r="AZ124" s="626">
        <v>326.39999999999998</v>
      </c>
      <c r="BA124" s="626">
        <v>326.39999999999998</v>
      </c>
      <c r="BB124" s="626">
        <v>323.60000000000002</v>
      </c>
      <c r="BC124" s="627">
        <v>323.60000000000002</v>
      </c>
      <c r="BD124" s="626">
        <v>323.60000000000002</v>
      </c>
      <c r="BE124" s="627">
        <v>328.1</v>
      </c>
      <c r="BF124" s="627">
        <v>333.6</v>
      </c>
      <c r="BG124" s="738">
        <v>336.5</v>
      </c>
      <c r="BH124" s="660">
        <v>336.5</v>
      </c>
      <c r="BI124" s="623">
        <v>336.5</v>
      </c>
      <c r="BJ124" s="623">
        <v>338.1</v>
      </c>
      <c r="BK124" s="623">
        <v>338.1</v>
      </c>
      <c r="BL124" s="623">
        <v>338.1</v>
      </c>
      <c r="BM124" s="623">
        <v>350.7</v>
      </c>
      <c r="BN124" s="623">
        <v>360.5</v>
      </c>
      <c r="BO124" s="623">
        <v>360.5</v>
      </c>
      <c r="BP124" s="623">
        <v>359.9</v>
      </c>
      <c r="BQ124" s="623">
        <v>370.2</v>
      </c>
      <c r="BR124" s="623">
        <v>382.1</v>
      </c>
      <c r="BS124" s="659">
        <v>382.1</v>
      </c>
      <c r="BT124" s="660">
        <v>378.7</v>
      </c>
      <c r="BU124" s="623">
        <v>375</v>
      </c>
      <c r="BV124" s="623">
        <v>375.1</v>
      </c>
      <c r="BW124" s="623">
        <v>384.8</v>
      </c>
      <c r="BX124" s="623">
        <v>391.6</v>
      </c>
      <c r="BY124" s="623">
        <v>391.6</v>
      </c>
      <c r="BZ124" s="623">
        <v>395.8</v>
      </c>
      <c r="CA124" s="623">
        <v>412.9</v>
      </c>
      <c r="CB124" s="623">
        <v>412.1</v>
      </c>
      <c r="CC124" s="623">
        <v>412.1</v>
      </c>
      <c r="CD124" s="623">
        <v>412.1</v>
      </c>
      <c r="CE124" s="659">
        <v>410.5</v>
      </c>
      <c r="CF124" s="660">
        <v>413.6</v>
      </c>
      <c r="CG124" s="623">
        <v>436.2</v>
      </c>
      <c r="CH124" s="623">
        <v>443.8</v>
      </c>
      <c r="CI124" s="623">
        <v>457</v>
      </c>
      <c r="CJ124" s="623">
        <v>460.8</v>
      </c>
      <c r="CK124" s="623">
        <v>457.5</v>
      </c>
      <c r="CL124" s="623">
        <v>465.2</v>
      </c>
      <c r="CM124" s="623">
        <v>465.2</v>
      </c>
      <c r="CN124" s="623">
        <v>465.2</v>
      </c>
      <c r="CO124" s="623">
        <v>465.4</v>
      </c>
      <c r="CP124" s="623">
        <v>480</v>
      </c>
      <c r="CQ124" s="659">
        <v>480</v>
      </c>
      <c r="CR124" s="660">
        <v>477.5</v>
      </c>
      <c r="CS124" s="623">
        <v>460.8</v>
      </c>
      <c r="CT124" s="623">
        <v>458.2</v>
      </c>
      <c r="CU124" s="623">
        <v>458.2</v>
      </c>
      <c r="CV124" s="623">
        <v>465.4</v>
      </c>
      <c r="CW124" s="623">
        <v>477.8</v>
      </c>
      <c r="CX124" s="623">
        <v>478.2</v>
      </c>
      <c r="CY124" s="623">
        <v>476.8</v>
      </c>
      <c r="CZ124" s="623">
        <v>488.2</v>
      </c>
      <c r="DA124" s="623">
        <v>488.2</v>
      </c>
      <c r="DB124" s="725">
        <v>488.2</v>
      </c>
      <c r="DC124" s="659">
        <v>496.3</v>
      </c>
      <c r="DD124" s="783">
        <v>496.3</v>
      </c>
      <c r="DE124" s="623">
        <v>518.20000000000005</v>
      </c>
      <c r="DF124" s="725">
        <v>553.4</v>
      </c>
      <c r="DG124" s="659">
        <v>547.70000000000005</v>
      </c>
      <c r="DH124" s="623">
        <v>547.70000000000005</v>
      </c>
      <c r="DI124" s="623">
        <v>556.29999999999995</v>
      </c>
      <c r="DJ124" s="623">
        <v>563.29999999999995</v>
      </c>
      <c r="DK124" s="659">
        <v>563.29999999999995</v>
      </c>
      <c r="DL124" s="897">
        <v>563.29999999999995</v>
      </c>
      <c r="DM124" s="110">
        <f t="shared" si="1"/>
        <v>1</v>
      </c>
      <c r="DN124" s="110"/>
      <c r="DO124" s="110"/>
    </row>
    <row r="125" spans="1:119" s="115" customFormat="1" ht="18.95" customHeight="1">
      <c r="A125" s="114"/>
      <c r="B125" s="408">
        <v>105</v>
      </c>
      <c r="C125" s="621" t="s">
        <v>269</v>
      </c>
      <c r="D125" s="622" t="s">
        <v>270</v>
      </c>
      <c r="E125" s="621" t="s">
        <v>918</v>
      </c>
      <c r="F125" s="622"/>
      <c r="G125" s="621" t="s">
        <v>929</v>
      </c>
      <c r="H125" s="621" t="s">
        <v>930</v>
      </c>
      <c r="I125" s="390" t="s">
        <v>921</v>
      </c>
      <c r="J125" s="651"/>
      <c r="K125" s="669">
        <v>101</v>
      </c>
      <c r="L125" s="665">
        <v>111.7</v>
      </c>
      <c r="M125" s="625">
        <v>118.5</v>
      </c>
      <c r="N125" s="625">
        <v>127.6</v>
      </c>
      <c r="O125" s="625">
        <v>134.9</v>
      </c>
      <c r="P125" s="625">
        <v>158</v>
      </c>
      <c r="Q125" s="625">
        <v>158</v>
      </c>
      <c r="R125" s="625">
        <v>158</v>
      </c>
      <c r="S125" s="625">
        <v>158</v>
      </c>
      <c r="T125" s="625">
        <v>159.4</v>
      </c>
      <c r="U125" s="625">
        <v>159.4</v>
      </c>
      <c r="V125" s="625">
        <v>157.1</v>
      </c>
      <c r="W125" s="625">
        <v>157.6</v>
      </c>
      <c r="X125" s="625">
        <v>156.5</v>
      </c>
      <c r="Y125" s="625">
        <v>157.1</v>
      </c>
      <c r="Z125" s="625">
        <v>159.1</v>
      </c>
      <c r="AA125" s="625">
        <v>157.19999999999999</v>
      </c>
      <c r="AB125" s="625">
        <v>157.1</v>
      </c>
      <c r="AC125" s="625">
        <v>157.1</v>
      </c>
      <c r="AD125" s="625">
        <v>157.1</v>
      </c>
      <c r="AE125" s="625">
        <v>157.1</v>
      </c>
      <c r="AF125" s="625">
        <v>157.1</v>
      </c>
      <c r="AG125" s="625">
        <v>157.1</v>
      </c>
      <c r="AH125" s="625">
        <v>157.1</v>
      </c>
      <c r="AI125" s="764">
        <v>157.1</v>
      </c>
      <c r="AJ125" s="772">
        <v>133.6</v>
      </c>
      <c r="AK125" s="625">
        <v>133.6</v>
      </c>
      <c r="AL125" s="625">
        <v>136.30000000000001</v>
      </c>
      <c r="AM125" s="625">
        <v>136.30000000000001</v>
      </c>
      <c r="AN125" s="625">
        <v>136.30000000000001</v>
      </c>
      <c r="AO125" s="625">
        <v>136.30000000000001</v>
      </c>
      <c r="AP125" s="625">
        <v>136.30000000000001</v>
      </c>
      <c r="AQ125" s="625">
        <v>136.30000000000001</v>
      </c>
      <c r="AR125" s="625">
        <v>137.1</v>
      </c>
      <c r="AS125" s="625">
        <v>137.1</v>
      </c>
      <c r="AT125" s="625">
        <v>137.1</v>
      </c>
      <c r="AU125" s="764">
        <v>140.30000000000001</v>
      </c>
      <c r="AV125" s="752">
        <v>141.80000000000001</v>
      </c>
      <c r="AW125" s="626">
        <v>141.80000000000001</v>
      </c>
      <c r="AX125" s="626">
        <v>141.80000000000001</v>
      </c>
      <c r="AY125" s="626">
        <v>142.5</v>
      </c>
      <c r="AZ125" s="626">
        <v>142.5</v>
      </c>
      <c r="BA125" s="626">
        <v>142.5</v>
      </c>
      <c r="BB125" s="626">
        <v>142.5</v>
      </c>
      <c r="BC125" s="627">
        <v>144.19999999999999</v>
      </c>
      <c r="BD125" s="626">
        <v>144.19999999999999</v>
      </c>
      <c r="BE125" s="627">
        <v>144.19999999999999</v>
      </c>
      <c r="BF125" s="627">
        <v>149.1</v>
      </c>
      <c r="BG125" s="738">
        <v>149.1</v>
      </c>
      <c r="BH125" s="660">
        <v>150.1</v>
      </c>
      <c r="BI125" s="623">
        <v>150.1</v>
      </c>
      <c r="BJ125" s="623">
        <v>150.1</v>
      </c>
      <c r="BK125" s="623">
        <v>151.1</v>
      </c>
      <c r="BL125" s="623">
        <v>157</v>
      </c>
      <c r="BM125" s="623">
        <v>158.30000000000001</v>
      </c>
      <c r="BN125" s="623">
        <v>158.30000000000001</v>
      </c>
      <c r="BO125" s="623">
        <v>162</v>
      </c>
      <c r="BP125" s="623">
        <v>162</v>
      </c>
      <c r="BQ125" s="623">
        <v>162</v>
      </c>
      <c r="BR125" s="623">
        <v>162</v>
      </c>
      <c r="BS125" s="659">
        <v>162</v>
      </c>
      <c r="BT125" s="660">
        <v>162</v>
      </c>
      <c r="BU125" s="623">
        <v>162</v>
      </c>
      <c r="BV125" s="623">
        <v>162</v>
      </c>
      <c r="BW125" s="623">
        <v>162</v>
      </c>
      <c r="BX125" s="623">
        <v>162</v>
      </c>
      <c r="BY125" s="623">
        <v>165.2</v>
      </c>
      <c r="BZ125" s="623">
        <v>169.5</v>
      </c>
      <c r="CA125" s="623">
        <v>171</v>
      </c>
      <c r="CB125" s="623">
        <v>171</v>
      </c>
      <c r="CC125" s="623">
        <v>166.4</v>
      </c>
      <c r="CD125" s="623">
        <v>166.4</v>
      </c>
      <c r="CE125" s="659">
        <v>166.4</v>
      </c>
      <c r="CF125" s="660">
        <v>166.4</v>
      </c>
      <c r="CG125" s="623">
        <v>172.3</v>
      </c>
      <c r="CH125" s="623">
        <v>173.5</v>
      </c>
      <c r="CI125" s="623">
        <v>174.8</v>
      </c>
      <c r="CJ125" s="623">
        <v>177.3</v>
      </c>
      <c r="CK125" s="623">
        <v>179.6</v>
      </c>
      <c r="CL125" s="623">
        <v>183.5</v>
      </c>
      <c r="CM125" s="623">
        <v>183.5</v>
      </c>
      <c r="CN125" s="623">
        <v>183.5</v>
      </c>
      <c r="CO125" s="623">
        <v>183.5</v>
      </c>
      <c r="CP125" s="623">
        <v>183.5</v>
      </c>
      <c r="CQ125" s="659">
        <v>183.5</v>
      </c>
      <c r="CR125" s="660">
        <v>183.5</v>
      </c>
      <c r="CS125" s="623">
        <v>183.5</v>
      </c>
      <c r="CT125" s="623">
        <v>189</v>
      </c>
      <c r="CU125" s="623">
        <v>189</v>
      </c>
      <c r="CV125" s="623">
        <v>187.2</v>
      </c>
      <c r="CW125" s="623">
        <v>187.2</v>
      </c>
      <c r="CX125" s="623">
        <v>187.2</v>
      </c>
      <c r="CY125" s="623">
        <v>187.2</v>
      </c>
      <c r="CZ125" s="623">
        <v>187.2</v>
      </c>
      <c r="DA125" s="623">
        <v>187.2</v>
      </c>
      <c r="DB125" s="725">
        <v>192.6</v>
      </c>
      <c r="DC125" s="659">
        <v>192.6</v>
      </c>
      <c r="DD125" s="783">
        <v>192.6</v>
      </c>
      <c r="DE125" s="623">
        <v>195.6</v>
      </c>
      <c r="DF125" s="725">
        <v>195.6</v>
      </c>
      <c r="DG125" s="659">
        <v>195.6</v>
      </c>
      <c r="DH125" s="623">
        <v>195.6</v>
      </c>
      <c r="DI125" s="623">
        <v>195.6</v>
      </c>
      <c r="DJ125" s="623">
        <v>195.6</v>
      </c>
      <c r="DK125" s="659">
        <v>195.6</v>
      </c>
      <c r="DL125" s="897">
        <v>195.6</v>
      </c>
      <c r="DM125" s="110">
        <f t="shared" si="1"/>
        <v>1</v>
      </c>
      <c r="DN125" s="110"/>
      <c r="DO125" s="110"/>
    </row>
    <row r="126" spans="1:119" s="115" customFormat="1" ht="18.95" customHeight="1">
      <c r="A126" s="114"/>
      <c r="B126" s="408">
        <v>106</v>
      </c>
      <c r="C126" s="621">
        <v>23</v>
      </c>
      <c r="D126" s="622" t="s">
        <v>271</v>
      </c>
      <c r="E126" s="621" t="s">
        <v>918</v>
      </c>
      <c r="F126" s="622"/>
      <c r="G126" s="621" t="s">
        <v>223</v>
      </c>
      <c r="H126" s="621" t="s">
        <v>930</v>
      </c>
      <c r="I126" s="390" t="s">
        <v>272</v>
      </c>
      <c r="J126" s="651"/>
      <c r="K126" s="669">
        <v>120.95</v>
      </c>
      <c r="L126" s="665">
        <v>120.21</v>
      </c>
      <c r="M126" s="625">
        <v>122.66</v>
      </c>
      <c r="N126" s="625">
        <v>138</v>
      </c>
      <c r="O126" s="625">
        <v>180.99</v>
      </c>
      <c r="P126" s="625">
        <v>223.5</v>
      </c>
      <c r="Q126" s="625">
        <v>267.45999999999998</v>
      </c>
      <c r="R126" s="625">
        <v>296.68</v>
      </c>
      <c r="S126" s="625">
        <v>315.25</v>
      </c>
      <c r="T126" s="625">
        <v>334.26</v>
      </c>
      <c r="U126" s="625">
        <v>343.8</v>
      </c>
      <c r="V126" s="625">
        <v>343.24</v>
      </c>
      <c r="W126" s="625">
        <v>338.83</v>
      </c>
      <c r="X126" s="625">
        <v>355.25</v>
      </c>
      <c r="Y126" s="625">
        <v>359.09</v>
      </c>
      <c r="Z126" s="625">
        <v>362.37</v>
      </c>
      <c r="AA126" s="625">
        <v>359.13</v>
      </c>
      <c r="AB126" s="625">
        <v>360.13</v>
      </c>
      <c r="AC126" s="625">
        <v>350</v>
      </c>
      <c r="AD126" s="625">
        <v>349.33</v>
      </c>
      <c r="AE126" s="625">
        <v>349.23</v>
      </c>
      <c r="AF126" s="625">
        <v>348.66</v>
      </c>
      <c r="AG126" s="625">
        <v>350.91</v>
      </c>
      <c r="AH126" s="625">
        <v>350.18</v>
      </c>
      <c r="AI126" s="764">
        <v>350.52</v>
      </c>
      <c r="AJ126" s="772">
        <v>351.9</v>
      </c>
      <c r="AK126" s="625">
        <v>354.69</v>
      </c>
      <c r="AL126" s="625">
        <v>353.57</v>
      </c>
      <c r="AM126" s="625">
        <v>353.72</v>
      </c>
      <c r="AN126" s="625">
        <v>358.99</v>
      </c>
      <c r="AO126" s="625">
        <v>360.97</v>
      </c>
      <c r="AP126" s="625">
        <v>362.72</v>
      </c>
      <c r="AQ126" s="625">
        <v>371.44</v>
      </c>
      <c r="AR126" s="625">
        <v>372.23</v>
      </c>
      <c r="AS126" s="625">
        <v>371.07</v>
      </c>
      <c r="AT126" s="625">
        <v>371.7</v>
      </c>
      <c r="AU126" s="764">
        <v>371.72</v>
      </c>
      <c r="AV126" s="752">
        <v>372.47</v>
      </c>
      <c r="AW126" s="626">
        <v>373.22</v>
      </c>
      <c r="AX126" s="626">
        <v>377.02</v>
      </c>
      <c r="AY126" s="626">
        <v>377.33</v>
      </c>
      <c r="AZ126" s="626">
        <v>380.39</v>
      </c>
      <c r="BA126" s="627" t="s">
        <v>482</v>
      </c>
      <c r="BB126" s="627">
        <v>380.13</v>
      </c>
      <c r="BC126" s="627">
        <v>382.13</v>
      </c>
      <c r="BD126" s="626">
        <v>382.93</v>
      </c>
      <c r="BE126" s="627">
        <v>388.63</v>
      </c>
      <c r="BF126" s="627">
        <v>392.08</v>
      </c>
      <c r="BG126" s="738">
        <v>389.83</v>
      </c>
      <c r="BH126" s="660">
        <v>391</v>
      </c>
      <c r="BI126" s="623">
        <v>391.66</v>
      </c>
      <c r="BJ126" s="623">
        <v>398.16</v>
      </c>
      <c r="BK126" s="623">
        <v>394.6</v>
      </c>
      <c r="BL126" s="623">
        <v>397.73</v>
      </c>
      <c r="BM126" s="623">
        <v>397.49</v>
      </c>
      <c r="BN126" s="623">
        <v>399.93</v>
      </c>
      <c r="BO126" s="623">
        <v>401.29</v>
      </c>
      <c r="BP126" s="623">
        <v>405.43</v>
      </c>
      <c r="BQ126" s="623">
        <v>406.87</v>
      </c>
      <c r="BR126" s="623">
        <v>405.04</v>
      </c>
      <c r="BS126" s="659">
        <v>404.56</v>
      </c>
      <c r="BT126" s="660">
        <v>403.94</v>
      </c>
      <c r="BU126" s="623">
        <v>403.3</v>
      </c>
      <c r="BV126" s="623">
        <v>403.03</v>
      </c>
      <c r="BW126" s="623">
        <v>406.22</v>
      </c>
      <c r="BX126" s="623">
        <v>410.88</v>
      </c>
      <c r="BY126" s="623">
        <v>417.26</v>
      </c>
      <c r="BZ126" s="623">
        <v>436.88</v>
      </c>
      <c r="CA126" s="623">
        <v>437.48</v>
      </c>
      <c r="CB126" s="623">
        <v>432.41</v>
      </c>
      <c r="CC126" s="623">
        <v>429.68</v>
      </c>
      <c r="CD126" s="623">
        <v>434.55</v>
      </c>
      <c r="CE126" s="659">
        <v>442.91</v>
      </c>
      <c r="CF126" s="660">
        <v>438.98</v>
      </c>
      <c r="CG126" s="623">
        <v>422.32</v>
      </c>
      <c r="CH126" s="623">
        <v>419.27</v>
      </c>
      <c r="CI126" s="623">
        <v>432.29</v>
      </c>
      <c r="CJ126" s="623">
        <v>449.92</v>
      </c>
      <c r="CK126" s="623">
        <v>461.76</v>
      </c>
      <c r="CL126" s="623">
        <v>467.34</v>
      </c>
      <c r="CM126" s="623">
        <v>466.03</v>
      </c>
      <c r="CN126" s="623">
        <v>470.14</v>
      </c>
      <c r="CO126" s="623">
        <v>475.03</v>
      </c>
      <c r="CP126" s="623">
        <v>479.57</v>
      </c>
      <c r="CQ126" s="659">
        <v>484.62</v>
      </c>
      <c r="CR126" s="660">
        <v>487.27</v>
      </c>
      <c r="CS126" s="623">
        <v>494.07</v>
      </c>
      <c r="CT126" s="623">
        <v>499.58</v>
      </c>
      <c r="CU126" s="623">
        <v>517.97</v>
      </c>
      <c r="CV126" s="623">
        <v>534.30999999999995</v>
      </c>
      <c r="CW126" s="623">
        <v>551.24</v>
      </c>
      <c r="CX126" s="623">
        <v>568.07000000000005</v>
      </c>
      <c r="CY126" s="623">
        <v>569.07000000000005</v>
      </c>
      <c r="CZ126" s="623">
        <v>571.26</v>
      </c>
      <c r="DA126" s="623">
        <v>585.61</v>
      </c>
      <c r="DB126" s="725">
        <v>589.37</v>
      </c>
      <c r="DC126" s="659">
        <v>594.92999999999995</v>
      </c>
      <c r="DD126" s="783">
        <v>593.14</v>
      </c>
      <c r="DE126" s="623">
        <v>593.13</v>
      </c>
      <c r="DF126" s="725">
        <v>595.91999999999996</v>
      </c>
      <c r="DG126" s="659">
        <v>621.74</v>
      </c>
      <c r="DH126" s="623">
        <v>643.32000000000005</v>
      </c>
      <c r="DI126" s="623">
        <v>663.13</v>
      </c>
      <c r="DJ126" s="623">
        <v>686.18</v>
      </c>
      <c r="DK126" s="659">
        <v>698.8</v>
      </c>
      <c r="DL126" s="897">
        <v>705.11</v>
      </c>
      <c r="DM126" s="110">
        <f t="shared" si="1"/>
        <v>1.0090297653119635</v>
      </c>
      <c r="DN126" s="110"/>
      <c r="DO126" s="110"/>
    </row>
    <row r="127" spans="1:119" s="115" customFormat="1" ht="18.95" customHeight="1">
      <c r="A127" s="114"/>
      <c r="B127" s="408">
        <v>107</v>
      </c>
      <c r="C127" s="621" t="s">
        <v>273</v>
      </c>
      <c r="D127" s="622" t="s">
        <v>746</v>
      </c>
      <c r="E127" s="621" t="s">
        <v>918</v>
      </c>
      <c r="F127" s="622"/>
      <c r="G127" s="621" t="s">
        <v>929</v>
      </c>
      <c r="H127" s="621" t="s">
        <v>930</v>
      </c>
      <c r="I127" s="390" t="s">
        <v>47</v>
      </c>
      <c r="J127" s="651"/>
      <c r="K127" s="669">
        <v>105.4</v>
      </c>
      <c r="L127" s="665">
        <v>113.2</v>
      </c>
      <c r="M127" s="625">
        <v>133.9</v>
      </c>
      <c r="N127" s="625">
        <v>140.80000000000001</v>
      </c>
      <c r="O127" s="625">
        <v>153.69999999999999</v>
      </c>
      <c r="P127" s="625">
        <v>160</v>
      </c>
      <c r="Q127" s="625">
        <v>165.5</v>
      </c>
      <c r="R127" s="625">
        <v>165.5</v>
      </c>
      <c r="S127" s="625">
        <v>158.69999999999999</v>
      </c>
      <c r="T127" s="625">
        <v>166.1</v>
      </c>
      <c r="U127" s="625">
        <v>170.4</v>
      </c>
      <c r="V127" s="625">
        <v>178.5</v>
      </c>
      <c r="W127" s="625">
        <v>178.5</v>
      </c>
      <c r="X127" s="625">
        <v>178.5</v>
      </c>
      <c r="Y127" s="625">
        <v>178.5</v>
      </c>
      <c r="Z127" s="625">
        <v>178.5</v>
      </c>
      <c r="AA127" s="625">
        <v>178.5</v>
      </c>
      <c r="AB127" s="625">
        <v>177.7</v>
      </c>
      <c r="AC127" s="625">
        <v>177.7</v>
      </c>
      <c r="AD127" s="625">
        <v>177.7</v>
      </c>
      <c r="AE127" s="625">
        <v>178.9</v>
      </c>
      <c r="AF127" s="625">
        <v>181.6</v>
      </c>
      <c r="AG127" s="625">
        <v>181.6</v>
      </c>
      <c r="AH127" s="625">
        <v>184.9</v>
      </c>
      <c r="AI127" s="764">
        <v>186.3</v>
      </c>
      <c r="AJ127" s="772">
        <v>188.4</v>
      </c>
      <c r="AK127" s="625">
        <v>188.4</v>
      </c>
      <c r="AL127" s="625">
        <v>192.7</v>
      </c>
      <c r="AM127" s="625">
        <v>197.4</v>
      </c>
      <c r="AN127" s="625">
        <v>197.4</v>
      </c>
      <c r="AO127" s="625">
        <v>197.4</v>
      </c>
      <c r="AP127" s="625">
        <v>207.3</v>
      </c>
      <c r="AQ127" s="625">
        <v>209.3</v>
      </c>
      <c r="AR127" s="625">
        <v>209.3</v>
      </c>
      <c r="AS127" s="625">
        <v>213.8</v>
      </c>
      <c r="AT127" s="625">
        <v>215.4</v>
      </c>
      <c r="AU127" s="764">
        <v>215.4</v>
      </c>
      <c r="AV127" s="752">
        <v>219</v>
      </c>
      <c r="AW127" s="626">
        <v>219</v>
      </c>
      <c r="AX127" s="626">
        <v>219</v>
      </c>
      <c r="AY127" s="626">
        <v>219</v>
      </c>
      <c r="AZ127" s="626">
        <v>223.5</v>
      </c>
      <c r="BA127" s="626">
        <v>223.5</v>
      </c>
      <c r="BB127" s="626">
        <v>223.5</v>
      </c>
      <c r="BC127" s="627">
        <v>223.5</v>
      </c>
      <c r="BD127" s="626">
        <v>223.5</v>
      </c>
      <c r="BE127" s="627">
        <v>223.5</v>
      </c>
      <c r="BF127" s="627">
        <v>221.5</v>
      </c>
      <c r="BG127" s="738">
        <v>226.3</v>
      </c>
      <c r="BH127" s="660">
        <v>226.3</v>
      </c>
      <c r="BI127" s="623">
        <v>226.3</v>
      </c>
      <c r="BJ127" s="623">
        <v>237.2</v>
      </c>
      <c r="BK127" s="623">
        <v>237.2</v>
      </c>
      <c r="BL127" s="623">
        <v>237.2</v>
      </c>
      <c r="BM127" s="623">
        <v>237.2</v>
      </c>
      <c r="BN127" s="623">
        <v>244.6</v>
      </c>
      <c r="BO127" s="623">
        <v>244.6</v>
      </c>
      <c r="BP127" s="623">
        <v>244.6</v>
      </c>
      <c r="BQ127" s="623">
        <v>261.60000000000002</v>
      </c>
      <c r="BR127" s="623">
        <v>261.60000000000002</v>
      </c>
      <c r="BS127" s="659">
        <v>270.7</v>
      </c>
      <c r="BT127" s="660">
        <v>279</v>
      </c>
      <c r="BU127" s="623">
        <v>279</v>
      </c>
      <c r="BV127" s="623">
        <v>279</v>
      </c>
      <c r="BW127" s="623">
        <v>281.2</v>
      </c>
      <c r="BX127" s="623">
        <v>281.2</v>
      </c>
      <c r="BY127" s="623">
        <v>281.2</v>
      </c>
      <c r="BZ127" s="623">
        <v>295.60000000000002</v>
      </c>
      <c r="CA127" s="623">
        <v>295.60000000000002</v>
      </c>
      <c r="CB127" s="623">
        <v>312.2</v>
      </c>
      <c r="CC127" s="623">
        <v>315.10000000000002</v>
      </c>
      <c r="CD127" s="623">
        <v>319</v>
      </c>
      <c r="CE127" s="659">
        <v>322</v>
      </c>
      <c r="CF127" s="660">
        <v>326.3</v>
      </c>
      <c r="CG127" s="623">
        <v>331.1</v>
      </c>
      <c r="CH127" s="623">
        <v>346.1</v>
      </c>
      <c r="CI127" s="623">
        <v>348.1</v>
      </c>
      <c r="CJ127" s="623">
        <v>359.7</v>
      </c>
      <c r="CK127" s="623">
        <v>359.7</v>
      </c>
      <c r="CL127" s="623">
        <v>376.6</v>
      </c>
      <c r="CM127" s="623">
        <v>376.6</v>
      </c>
      <c r="CN127" s="623">
        <v>382.2</v>
      </c>
      <c r="CO127" s="623">
        <v>382.2</v>
      </c>
      <c r="CP127" s="623">
        <v>386</v>
      </c>
      <c r="CQ127" s="659">
        <v>386</v>
      </c>
      <c r="CR127" s="660">
        <v>386</v>
      </c>
      <c r="CS127" s="623">
        <v>386</v>
      </c>
      <c r="CT127" s="623">
        <v>386</v>
      </c>
      <c r="CU127" s="623">
        <v>383.3</v>
      </c>
      <c r="CV127" s="623">
        <v>404.4</v>
      </c>
      <c r="CW127" s="623">
        <v>404.4</v>
      </c>
      <c r="CX127" s="623">
        <v>404.4</v>
      </c>
      <c r="CY127" s="623">
        <v>411.7</v>
      </c>
      <c r="CZ127" s="623">
        <v>416.5</v>
      </c>
      <c r="DA127" s="623">
        <v>416.5</v>
      </c>
      <c r="DB127" s="725">
        <v>416.5</v>
      </c>
      <c r="DC127" s="659">
        <v>416.5</v>
      </c>
      <c r="DD127" s="783">
        <v>416.5</v>
      </c>
      <c r="DE127" s="623">
        <v>419.4</v>
      </c>
      <c r="DF127" s="725">
        <v>423.8</v>
      </c>
      <c r="DG127" s="659">
        <v>432.3</v>
      </c>
      <c r="DH127" s="623">
        <v>436.9</v>
      </c>
      <c r="DI127" s="623">
        <v>442.2</v>
      </c>
      <c r="DJ127" s="623">
        <v>442.2</v>
      </c>
      <c r="DK127" s="659">
        <v>445.3</v>
      </c>
      <c r="DL127" s="897">
        <v>453.3</v>
      </c>
      <c r="DM127" s="110">
        <f t="shared" si="1"/>
        <v>1.0179654165730967</v>
      </c>
      <c r="DN127" s="110"/>
      <c r="DO127" s="110"/>
    </row>
    <row r="128" spans="1:119" s="115" customFormat="1" ht="24.75" customHeight="1" thickBot="1">
      <c r="A128" s="114"/>
      <c r="B128" s="407">
        <v>108</v>
      </c>
      <c r="C128" s="636" t="s">
        <v>274</v>
      </c>
      <c r="D128" s="637" t="s">
        <v>275</v>
      </c>
      <c r="E128" s="636" t="s">
        <v>918</v>
      </c>
      <c r="F128" s="637"/>
      <c r="G128" s="636" t="s">
        <v>929</v>
      </c>
      <c r="H128" s="636" t="s">
        <v>930</v>
      </c>
      <c r="I128" s="638" t="s">
        <v>421</v>
      </c>
      <c r="J128" s="684"/>
      <c r="K128" s="670">
        <v>97.7</v>
      </c>
      <c r="L128" s="666">
        <v>104.5</v>
      </c>
      <c r="M128" s="639">
        <v>115.8</v>
      </c>
      <c r="N128" s="639">
        <v>137</v>
      </c>
      <c r="O128" s="639">
        <v>147.30000000000001</v>
      </c>
      <c r="P128" s="639">
        <v>156.4</v>
      </c>
      <c r="Q128" s="639">
        <v>159.30000000000001</v>
      </c>
      <c r="R128" s="639">
        <v>159.30000000000001</v>
      </c>
      <c r="S128" s="639">
        <v>157</v>
      </c>
      <c r="T128" s="639">
        <v>163</v>
      </c>
      <c r="U128" s="639">
        <v>167.4</v>
      </c>
      <c r="V128" s="639">
        <v>170</v>
      </c>
      <c r="W128" s="639">
        <v>170</v>
      </c>
      <c r="X128" s="639">
        <v>170</v>
      </c>
      <c r="Y128" s="639">
        <v>170</v>
      </c>
      <c r="Z128" s="639">
        <v>171</v>
      </c>
      <c r="AA128" s="639">
        <v>171</v>
      </c>
      <c r="AB128" s="639">
        <v>171.4</v>
      </c>
      <c r="AC128" s="639">
        <v>171.4</v>
      </c>
      <c r="AD128" s="639">
        <v>171.4</v>
      </c>
      <c r="AE128" s="639">
        <v>172.8</v>
      </c>
      <c r="AF128" s="639">
        <v>171.9</v>
      </c>
      <c r="AG128" s="639">
        <v>171.9</v>
      </c>
      <c r="AH128" s="639">
        <v>174.6</v>
      </c>
      <c r="AI128" s="765">
        <v>179.5</v>
      </c>
      <c r="AJ128" s="773">
        <v>181.2</v>
      </c>
      <c r="AK128" s="639">
        <v>186.3</v>
      </c>
      <c r="AL128" s="639">
        <v>196.3</v>
      </c>
      <c r="AM128" s="639">
        <v>197.6</v>
      </c>
      <c r="AN128" s="639">
        <v>201</v>
      </c>
      <c r="AO128" s="639">
        <v>204.7</v>
      </c>
      <c r="AP128" s="639">
        <v>204.7</v>
      </c>
      <c r="AQ128" s="639">
        <v>209.7</v>
      </c>
      <c r="AR128" s="639">
        <v>209.4</v>
      </c>
      <c r="AS128" s="639">
        <v>211.1</v>
      </c>
      <c r="AT128" s="639">
        <v>216.3</v>
      </c>
      <c r="AU128" s="765">
        <v>215.4</v>
      </c>
      <c r="AV128" s="768">
        <v>224.6</v>
      </c>
      <c r="AW128" s="640">
        <v>224.6</v>
      </c>
      <c r="AX128" s="640">
        <v>224.6</v>
      </c>
      <c r="AY128" s="640">
        <v>229.7</v>
      </c>
      <c r="AZ128" s="640">
        <v>229.7</v>
      </c>
      <c r="BA128" s="640">
        <v>229.7</v>
      </c>
      <c r="BB128" s="640">
        <v>229.7</v>
      </c>
      <c r="BC128" s="641">
        <v>229.7</v>
      </c>
      <c r="BD128" s="640">
        <v>231.8</v>
      </c>
      <c r="BE128" s="641">
        <v>231.8</v>
      </c>
      <c r="BF128" s="641">
        <v>240.1</v>
      </c>
      <c r="BG128" s="751">
        <v>242.5</v>
      </c>
      <c r="BH128" s="661">
        <v>242.5</v>
      </c>
      <c r="BI128" s="642">
        <v>244.5</v>
      </c>
      <c r="BJ128" s="642">
        <v>250.9</v>
      </c>
      <c r="BK128" s="642">
        <v>250.9</v>
      </c>
      <c r="BL128" s="642">
        <v>250.9</v>
      </c>
      <c r="BM128" s="642">
        <v>250.9</v>
      </c>
      <c r="BN128" s="642">
        <v>255</v>
      </c>
      <c r="BO128" s="642">
        <v>255</v>
      </c>
      <c r="BP128" s="642">
        <v>255</v>
      </c>
      <c r="BQ128" s="642">
        <v>260.10000000000002</v>
      </c>
      <c r="BR128" s="642">
        <v>260.10000000000002</v>
      </c>
      <c r="BS128" s="736">
        <v>259.8</v>
      </c>
      <c r="BT128" s="661">
        <v>266.3</v>
      </c>
      <c r="BU128" s="642">
        <v>266.3</v>
      </c>
      <c r="BV128" s="642">
        <v>266.3</v>
      </c>
      <c r="BW128" s="642">
        <v>278.10000000000002</v>
      </c>
      <c r="BX128" s="642">
        <v>284.8</v>
      </c>
      <c r="BY128" s="642">
        <v>284.8</v>
      </c>
      <c r="BZ128" s="642">
        <v>287</v>
      </c>
      <c r="CA128" s="642">
        <v>289.39999999999998</v>
      </c>
      <c r="CB128" s="642">
        <v>297</v>
      </c>
      <c r="CC128" s="642">
        <v>302.10000000000002</v>
      </c>
      <c r="CD128" s="642">
        <v>305.39999999999998</v>
      </c>
      <c r="CE128" s="736">
        <v>314.8</v>
      </c>
      <c r="CF128" s="661">
        <v>320</v>
      </c>
      <c r="CG128" s="642">
        <v>323.8</v>
      </c>
      <c r="CH128" s="642">
        <v>340.1</v>
      </c>
      <c r="CI128" s="642">
        <v>341.9</v>
      </c>
      <c r="CJ128" s="642">
        <v>355.6</v>
      </c>
      <c r="CK128" s="642">
        <v>355.6</v>
      </c>
      <c r="CL128" s="642">
        <v>365.7</v>
      </c>
      <c r="CM128" s="642">
        <v>379.1</v>
      </c>
      <c r="CN128" s="642">
        <v>379.1</v>
      </c>
      <c r="CO128" s="642">
        <v>379.1</v>
      </c>
      <c r="CP128" s="642">
        <v>387.5</v>
      </c>
      <c r="CQ128" s="736">
        <v>387.5</v>
      </c>
      <c r="CR128" s="661">
        <v>387.5</v>
      </c>
      <c r="CS128" s="642">
        <v>387.5</v>
      </c>
      <c r="CT128" s="642">
        <v>387.5</v>
      </c>
      <c r="CU128" s="642">
        <v>384.9</v>
      </c>
      <c r="CV128" s="642">
        <v>381.2</v>
      </c>
      <c r="CW128" s="642">
        <v>381.2</v>
      </c>
      <c r="CX128" s="642">
        <v>381.2</v>
      </c>
      <c r="CY128" s="642">
        <v>382.6</v>
      </c>
      <c r="CZ128" s="642">
        <v>388.9</v>
      </c>
      <c r="DA128" s="642">
        <v>397.1</v>
      </c>
      <c r="DB128" s="726">
        <v>399.7</v>
      </c>
      <c r="DC128" s="736">
        <v>401.9</v>
      </c>
      <c r="DD128" s="784">
        <v>406</v>
      </c>
      <c r="DE128" s="642">
        <v>415.2</v>
      </c>
      <c r="DF128" s="726">
        <v>426.2</v>
      </c>
      <c r="DG128" s="736">
        <v>435.7</v>
      </c>
      <c r="DH128" s="642">
        <v>435.7</v>
      </c>
      <c r="DI128" s="642">
        <v>450</v>
      </c>
      <c r="DJ128" s="642">
        <v>458.5</v>
      </c>
      <c r="DK128" s="736">
        <v>466.1</v>
      </c>
      <c r="DL128" s="901">
        <v>464.7</v>
      </c>
      <c r="DM128" s="110">
        <f t="shared" si="1"/>
        <v>0.99699635271400977</v>
      </c>
      <c r="DN128" s="110"/>
      <c r="DO128" s="110"/>
    </row>
    <row r="129" spans="1:119" s="115" customFormat="1" ht="20.25" customHeight="1">
      <c r="A129" s="114"/>
      <c r="B129" s="613">
        <v>109</v>
      </c>
      <c r="C129" s="614" t="s">
        <v>276</v>
      </c>
      <c r="D129" s="615" t="s">
        <v>277</v>
      </c>
      <c r="E129" s="614" t="s">
        <v>918</v>
      </c>
      <c r="F129" s="615"/>
      <c r="G129" s="614" t="s">
        <v>929</v>
      </c>
      <c r="H129" s="614" t="s">
        <v>930</v>
      </c>
      <c r="I129" s="647" t="s">
        <v>414</v>
      </c>
      <c r="J129" s="652"/>
      <c r="K129" s="671">
        <v>125.8</v>
      </c>
      <c r="L129" s="667">
        <v>144.80000000000001</v>
      </c>
      <c r="M129" s="618">
        <v>186.8</v>
      </c>
      <c r="N129" s="618">
        <v>220.2</v>
      </c>
      <c r="O129" s="618">
        <v>268.7</v>
      </c>
      <c r="P129" s="618">
        <v>295</v>
      </c>
      <c r="Q129" s="618">
        <v>334.5</v>
      </c>
      <c r="R129" s="618">
        <v>336.7</v>
      </c>
      <c r="S129" s="618">
        <v>337.2</v>
      </c>
      <c r="T129" s="618">
        <v>318.39999999999998</v>
      </c>
      <c r="U129" s="618">
        <v>318.10000000000002</v>
      </c>
      <c r="V129" s="618">
        <v>316.60000000000002</v>
      </c>
      <c r="W129" s="618">
        <v>314.8</v>
      </c>
      <c r="X129" s="618">
        <v>314.8</v>
      </c>
      <c r="Y129" s="618">
        <v>316.39999999999998</v>
      </c>
      <c r="Z129" s="618">
        <v>326.5</v>
      </c>
      <c r="AA129" s="618">
        <v>328.5</v>
      </c>
      <c r="AB129" s="618">
        <v>328.3</v>
      </c>
      <c r="AC129" s="618">
        <v>323.60000000000002</v>
      </c>
      <c r="AD129" s="618">
        <v>318.3</v>
      </c>
      <c r="AE129" s="618">
        <v>316</v>
      </c>
      <c r="AF129" s="618">
        <v>300.39999999999998</v>
      </c>
      <c r="AG129" s="618">
        <v>305.10000000000002</v>
      </c>
      <c r="AH129" s="618">
        <v>305.5</v>
      </c>
      <c r="AI129" s="766">
        <v>305.5</v>
      </c>
      <c r="AJ129" s="774">
        <v>302</v>
      </c>
      <c r="AK129" s="618">
        <v>303.8</v>
      </c>
      <c r="AL129" s="618">
        <v>310.5</v>
      </c>
      <c r="AM129" s="618">
        <v>312.5</v>
      </c>
      <c r="AN129" s="618">
        <v>308.89999999999998</v>
      </c>
      <c r="AO129" s="618">
        <v>308.89999999999998</v>
      </c>
      <c r="AP129" s="618">
        <v>308.89999999999998</v>
      </c>
      <c r="AQ129" s="618">
        <v>313.2</v>
      </c>
      <c r="AR129" s="618">
        <v>322.89999999999998</v>
      </c>
      <c r="AS129" s="618">
        <v>328.5</v>
      </c>
      <c r="AT129" s="618">
        <v>322.2</v>
      </c>
      <c r="AU129" s="766">
        <v>324.10000000000002</v>
      </c>
      <c r="AV129" s="769">
        <v>329</v>
      </c>
      <c r="AW129" s="619">
        <v>341.5</v>
      </c>
      <c r="AX129" s="619">
        <v>348.7</v>
      </c>
      <c r="AY129" s="619">
        <v>348.7</v>
      </c>
      <c r="AZ129" s="619">
        <v>349.3</v>
      </c>
      <c r="BA129" s="619">
        <v>349.3</v>
      </c>
      <c r="BB129" s="619">
        <v>353.6</v>
      </c>
      <c r="BC129" s="620">
        <v>353.6</v>
      </c>
      <c r="BD129" s="619">
        <v>351.7</v>
      </c>
      <c r="BE129" s="620">
        <v>358.2</v>
      </c>
      <c r="BF129" s="620">
        <v>410.1</v>
      </c>
      <c r="BG129" s="750">
        <v>411</v>
      </c>
      <c r="BH129" s="662">
        <v>409.2</v>
      </c>
      <c r="BI129" s="617">
        <v>409.2</v>
      </c>
      <c r="BJ129" s="617">
        <v>405.9</v>
      </c>
      <c r="BK129" s="617">
        <v>402.4</v>
      </c>
      <c r="BL129" s="617">
        <v>405</v>
      </c>
      <c r="BM129" s="617">
        <v>409.1</v>
      </c>
      <c r="BN129" s="617">
        <v>417.5</v>
      </c>
      <c r="BO129" s="617">
        <v>423.2</v>
      </c>
      <c r="BP129" s="617">
        <v>425.2</v>
      </c>
      <c r="BQ129" s="617">
        <v>420.1</v>
      </c>
      <c r="BR129" s="617">
        <v>415.3</v>
      </c>
      <c r="BS129" s="737">
        <v>415.3</v>
      </c>
      <c r="BT129" s="662">
        <v>415.3</v>
      </c>
      <c r="BU129" s="617">
        <v>410.1</v>
      </c>
      <c r="BV129" s="617">
        <v>405.8</v>
      </c>
      <c r="BW129" s="617">
        <v>405.1</v>
      </c>
      <c r="BX129" s="617">
        <v>409.9</v>
      </c>
      <c r="BY129" s="617">
        <v>411.9</v>
      </c>
      <c r="BZ129" s="617">
        <v>413.7</v>
      </c>
      <c r="CA129" s="617">
        <v>436.1</v>
      </c>
      <c r="CB129" s="617">
        <v>436.1</v>
      </c>
      <c r="CC129" s="617">
        <v>438.9</v>
      </c>
      <c r="CD129" s="617">
        <v>438.6</v>
      </c>
      <c r="CE129" s="737">
        <v>438.6</v>
      </c>
      <c r="CF129" s="662">
        <v>448.9</v>
      </c>
      <c r="CG129" s="617">
        <v>448.9</v>
      </c>
      <c r="CH129" s="617">
        <v>454.7</v>
      </c>
      <c r="CI129" s="617">
        <v>454.8</v>
      </c>
      <c r="CJ129" s="617">
        <v>460.8</v>
      </c>
      <c r="CK129" s="617">
        <v>457.8</v>
      </c>
      <c r="CL129" s="617">
        <v>467.8</v>
      </c>
      <c r="CM129" s="617">
        <v>488.2</v>
      </c>
      <c r="CN129" s="617">
        <v>488.2</v>
      </c>
      <c r="CO129" s="617">
        <v>487.8</v>
      </c>
      <c r="CP129" s="617">
        <v>487.8</v>
      </c>
      <c r="CQ129" s="737">
        <v>485.1</v>
      </c>
      <c r="CR129" s="662">
        <v>485.1</v>
      </c>
      <c r="CS129" s="617">
        <v>482.5</v>
      </c>
      <c r="CT129" s="617">
        <v>466.4</v>
      </c>
      <c r="CU129" s="617">
        <v>504.8</v>
      </c>
      <c r="CV129" s="617">
        <v>504.8</v>
      </c>
      <c r="CW129" s="617">
        <v>504.5</v>
      </c>
      <c r="CX129" s="617">
        <v>508.9</v>
      </c>
      <c r="CY129" s="617">
        <v>517.6</v>
      </c>
      <c r="CZ129" s="617">
        <v>532</v>
      </c>
      <c r="DA129" s="617">
        <v>532</v>
      </c>
      <c r="DB129" s="798">
        <v>544</v>
      </c>
      <c r="DC129" s="737">
        <v>544</v>
      </c>
      <c r="DD129" s="786">
        <v>550.20000000000005</v>
      </c>
      <c r="DE129" s="617">
        <v>557.20000000000005</v>
      </c>
      <c r="DF129" s="737">
        <v>562.70000000000005</v>
      </c>
      <c r="DG129" s="737">
        <v>562.70000000000005</v>
      </c>
      <c r="DH129" s="643">
        <v>562.70000000000005</v>
      </c>
      <c r="DI129" s="643">
        <v>577.29999999999995</v>
      </c>
      <c r="DJ129" s="643">
        <v>600.70000000000005</v>
      </c>
      <c r="DK129" s="906">
        <v>617.70000000000005</v>
      </c>
      <c r="DL129" s="899">
        <v>617.70000000000005</v>
      </c>
      <c r="DM129" s="110">
        <f t="shared" si="1"/>
        <v>1</v>
      </c>
      <c r="DN129" s="110"/>
      <c r="DO129" s="110"/>
    </row>
    <row r="130" spans="1:119" s="115" customFormat="1" ht="18.95" customHeight="1">
      <c r="A130" s="114"/>
      <c r="B130" s="408">
        <v>110</v>
      </c>
      <c r="C130" s="621" t="s">
        <v>279</v>
      </c>
      <c r="D130" s="622" t="s">
        <v>280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70.2</v>
      </c>
      <c r="L130" s="665">
        <v>77.900000000000006</v>
      </c>
      <c r="M130" s="625">
        <v>85.4</v>
      </c>
      <c r="N130" s="625">
        <v>86.7</v>
      </c>
      <c r="O130" s="625">
        <v>95.3</v>
      </c>
      <c r="P130" s="625">
        <v>82.2</v>
      </c>
      <c r="Q130" s="625">
        <v>95.5</v>
      </c>
      <c r="R130" s="625">
        <v>101.1</v>
      </c>
      <c r="S130" s="625">
        <v>101.1</v>
      </c>
      <c r="T130" s="625">
        <v>101.1</v>
      </c>
      <c r="U130" s="625">
        <v>102.2</v>
      </c>
      <c r="V130" s="625">
        <v>100.2</v>
      </c>
      <c r="W130" s="625">
        <v>104.2</v>
      </c>
      <c r="X130" s="625">
        <v>100.5</v>
      </c>
      <c r="Y130" s="625">
        <v>100.5</v>
      </c>
      <c r="Z130" s="625">
        <v>100.5</v>
      </c>
      <c r="AA130" s="625">
        <v>100.5</v>
      </c>
      <c r="AB130" s="625">
        <v>100.5</v>
      </c>
      <c r="AC130" s="625">
        <v>100.1</v>
      </c>
      <c r="AD130" s="625">
        <v>101.6</v>
      </c>
      <c r="AE130" s="625">
        <v>101.3</v>
      </c>
      <c r="AF130" s="625">
        <v>97.8</v>
      </c>
      <c r="AG130" s="625">
        <v>97.8</v>
      </c>
      <c r="AH130" s="625">
        <v>95.7</v>
      </c>
      <c r="AI130" s="764">
        <v>95.7</v>
      </c>
      <c r="AJ130" s="772">
        <v>93.1</v>
      </c>
      <c r="AK130" s="625">
        <v>93.1</v>
      </c>
      <c r="AL130" s="625">
        <v>93.1</v>
      </c>
      <c r="AM130" s="625">
        <v>102.8</v>
      </c>
      <c r="AN130" s="625">
        <v>102.8</v>
      </c>
      <c r="AO130" s="625">
        <v>102.8</v>
      </c>
      <c r="AP130" s="625">
        <v>102.8</v>
      </c>
      <c r="AQ130" s="625">
        <v>102.8</v>
      </c>
      <c r="AR130" s="625">
        <v>102.8</v>
      </c>
      <c r="AS130" s="625">
        <v>102.8</v>
      </c>
      <c r="AT130" s="625">
        <v>102.8</v>
      </c>
      <c r="AU130" s="764">
        <v>102.8</v>
      </c>
      <c r="AV130" s="752">
        <v>102.8</v>
      </c>
      <c r="AW130" s="626">
        <v>102.8</v>
      </c>
      <c r="AX130" s="626">
        <v>102.8</v>
      </c>
      <c r="AY130" s="626">
        <v>102.8</v>
      </c>
      <c r="AZ130" s="626">
        <v>104.3</v>
      </c>
      <c r="BA130" s="626">
        <v>102.8</v>
      </c>
      <c r="BB130" s="626">
        <v>105.2</v>
      </c>
      <c r="BC130" s="627">
        <v>106.7</v>
      </c>
      <c r="BD130" s="626">
        <v>108.6</v>
      </c>
      <c r="BE130" s="627">
        <v>108.6</v>
      </c>
      <c r="BF130" s="627">
        <v>108.6</v>
      </c>
      <c r="BG130" s="738">
        <v>109.8</v>
      </c>
      <c r="BH130" s="660">
        <v>109.8</v>
      </c>
      <c r="BI130" s="623">
        <v>111.2</v>
      </c>
      <c r="BJ130" s="623">
        <v>111.2</v>
      </c>
      <c r="BK130" s="623">
        <v>111.2</v>
      </c>
      <c r="BL130" s="623">
        <v>118.5</v>
      </c>
      <c r="BM130" s="623">
        <v>129.1</v>
      </c>
      <c r="BN130" s="623">
        <v>130.5</v>
      </c>
      <c r="BO130" s="623">
        <v>130.5</v>
      </c>
      <c r="BP130" s="623">
        <v>130.5</v>
      </c>
      <c r="BQ130" s="623">
        <v>130.5</v>
      </c>
      <c r="BR130" s="623">
        <v>132.9</v>
      </c>
      <c r="BS130" s="659">
        <v>130.5</v>
      </c>
      <c r="BT130" s="660">
        <v>130.5</v>
      </c>
      <c r="BU130" s="623">
        <v>133.4</v>
      </c>
      <c r="BV130" s="623">
        <v>134.1</v>
      </c>
      <c r="BW130" s="623">
        <v>134.1</v>
      </c>
      <c r="BX130" s="623">
        <v>131.69999999999999</v>
      </c>
      <c r="BY130" s="623">
        <v>131.9</v>
      </c>
      <c r="BZ130" s="623">
        <v>134.1</v>
      </c>
      <c r="CA130" s="623">
        <v>135.9</v>
      </c>
      <c r="CB130" s="623">
        <v>135.9</v>
      </c>
      <c r="CC130" s="623">
        <v>135.9</v>
      </c>
      <c r="CD130" s="623">
        <v>135.9</v>
      </c>
      <c r="CE130" s="659">
        <v>137.4</v>
      </c>
      <c r="CF130" s="660">
        <v>139.1</v>
      </c>
      <c r="CG130" s="623">
        <v>139.1</v>
      </c>
      <c r="CH130" s="623">
        <v>152.1</v>
      </c>
      <c r="CI130" s="623">
        <v>146.80000000000001</v>
      </c>
      <c r="CJ130" s="623">
        <v>146.80000000000001</v>
      </c>
      <c r="CK130" s="623">
        <v>148.19999999999999</v>
      </c>
      <c r="CL130" s="623">
        <v>150.6</v>
      </c>
      <c r="CM130" s="623">
        <v>156</v>
      </c>
      <c r="CN130" s="623">
        <v>156</v>
      </c>
      <c r="CO130" s="623">
        <v>156</v>
      </c>
      <c r="CP130" s="623">
        <v>158.1</v>
      </c>
      <c r="CQ130" s="659">
        <v>158</v>
      </c>
      <c r="CR130" s="660">
        <v>158</v>
      </c>
      <c r="CS130" s="623">
        <v>156.69999999999999</v>
      </c>
      <c r="CT130" s="623">
        <v>156.69999999999999</v>
      </c>
      <c r="CU130" s="623">
        <v>156.69999999999999</v>
      </c>
      <c r="CV130" s="623">
        <v>156.69999999999999</v>
      </c>
      <c r="CW130" s="623">
        <v>156.69999999999999</v>
      </c>
      <c r="CX130" s="623">
        <v>156.69999999999999</v>
      </c>
      <c r="CY130" s="623">
        <v>158.5</v>
      </c>
      <c r="CZ130" s="623">
        <v>158.5</v>
      </c>
      <c r="DA130" s="623">
        <v>170.5</v>
      </c>
      <c r="DB130" s="725">
        <v>170.5</v>
      </c>
      <c r="DC130" s="659">
        <v>174.2</v>
      </c>
      <c r="DD130" s="783">
        <v>174.2</v>
      </c>
      <c r="DE130" s="623">
        <v>174.2</v>
      </c>
      <c r="DF130" s="725">
        <v>174.2</v>
      </c>
      <c r="DG130" s="659">
        <v>174.2</v>
      </c>
      <c r="DH130" s="623">
        <v>174.2</v>
      </c>
      <c r="DI130" s="623">
        <v>174.2</v>
      </c>
      <c r="DJ130" s="623">
        <v>174.2</v>
      </c>
      <c r="DK130" s="659">
        <v>186.5</v>
      </c>
      <c r="DL130" s="897">
        <v>189.4</v>
      </c>
      <c r="DM130" s="110">
        <f t="shared" si="1"/>
        <v>1.0155495978552278</v>
      </c>
      <c r="DN130" s="110"/>
      <c r="DO130" s="110"/>
    </row>
    <row r="131" spans="1:119" s="115" customFormat="1" ht="18.95" customHeight="1">
      <c r="A131" s="114"/>
      <c r="B131" s="408">
        <v>111</v>
      </c>
      <c r="C131" s="632" t="s">
        <v>281</v>
      </c>
      <c r="D131" s="622" t="s">
        <v>282</v>
      </c>
      <c r="E131" s="621" t="s">
        <v>918</v>
      </c>
      <c r="F131" s="622"/>
      <c r="G131" s="621" t="s">
        <v>515</v>
      </c>
      <c r="H131" s="621"/>
      <c r="I131" s="390" t="s">
        <v>83</v>
      </c>
      <c r="J131" s="676" t="s">
        <v>11</v>
      </c>
      <c r="K131" s="669">
        <v>100</v>
      </c>
      <c r="L131" s="665">
        <v>134</v>
      </c>
      <c r="M131" s="625">
        <v>168</v>
      </c>
      <c r="N131" s="625">
        <v>214</v>
      </c>
      <c r="O131" s="625">
        <v>234</v>
      </c>
      <c r="P131" s="625">
        <v>255</v>
      </c>
      <c r="Q131" s="625">
        <v>272</v>
      </c>
      <c r="R131" s="625">
        <v>276</v>
      </c>
      <c r="S131" s="625">
        <v>272</v>
      </c>
      <c r="T131" s="625">
        <v>277</v>
      </c>
      <c r="U131" s="625">
        <v>270</v>
      </c>
      <c r="V131" s="625">
        <v>269</v>
      </c>
      <c r="W131" s="625">
        <v>260</v>
      </c>
      <c r="X131" s="625">
        <v>256</v>
      </c>
      <c r="Y131" s="625">
        <v>255</v>
      </c>
      <c r="Z131" s="625">
        <v>240</v>
      </c>
      <c r="AA131" s="625">
        <v>236</v>
      </c>
      <c r="AB131" s="625">
        <v>233</v>
      </c>
      <c r="AC131" s="625">
        <v>229</v>
      </c>
      <c r="AD131" s="625">
        <v>234</v>
      </c>
      <c r="AE131" s="625">
        <v>240</v>
      </c>
      <c r="AF131" s="625">
        <v>241</v>
      </c>
      <c r="AG131" s="625">
        <v>241</v>
      </c>
      <c r="AH131" s="625">
        <v>243</v>
      </c>
      <c r="AI131" s="764">
        <v>244</v>
      </c>
      <c r="AJ131" s="772">
        <v>260</v>
      </c>
      <c r="AK131" s="625">
        <v>263</v>
      </c>
      <c r="AL131" s="625">
        <v>265.60000000000002</v>
      </c>
      <c r="AM131" s="625">
        <v>270.2</v>
      </c>
      <c r="AN131" s="625">
        <v>277</v>
      </c>
      <c r="AO131" s="625">
        <v>278.39999999999998</v>
      </c>
      <c r="AP131" s="625">
        <v>279.8</v>
      </c>
      <c r="AQ131" s="625">
        <v>279.8</v>
      </c>
      <c r="AR131" s="625">
        <v>295.8</v>
      </c>
      <c r="AS131" s="625">
        <v>295.8</v>
      </c>
      <c r="AT131" s="625">
        <v>292.2</v>
      </c>
      <c r="AU131" s="764">
        <v>298.60000000000002</v>
      </c>
      <c r="AV131" s="752">
        <v>278.39999999999998</v>
      </c>
      <c r="AW131" s="626">
        <v>278.39999999999998</v>
      </c>
      <c r="AX131" s="626">
        <v>278.39999999999998</v>
      </c>
      <c r="AY131" s="626">
        <v>278.39999999999998</v>
      </c>
      <c r="AZ131" s="626">
        <v>278.39999999999998</v>
      </c>
      <c r="BA131" s="626">
        <v>278.39999999999998</v>
      </c>
      <c r="BB131" s="626">
        <v>278.39999999999998</v>
      </c>
      <c r="BC131" s="627">
        <v>325.8</v>
      </c>
      <c r="BD131" s="626">
        <v>335.8</v>
      </c>
      <c r="BE131" s="627">
        <v>335.8</v>
      </c>
      <c r="BF131" s="627">
        <v>336.4</v>
      </c>
      <c r="BG131" s="738">
        <v>336.4</v>
      </c>
      <c r="BH131" s="660">
        <v>391.5</v>
      </c>
      <c r="BI131" s="623">
        <v>391.5</v>
      </c>
      <c r="BJ131" s="623">
        <v>416.2</v>
      </c>
      <c r="BK131" s="623">
        <v>421.8</v>
      </c>
      <c r="BL131" s="623">
        <v>450.8</v>
      </c>
      <c r="BM131" s="623">
        <v>458.4</v>
      </c>
      <c r="BN131" s="623">
        <v>458.4</v>
      </c>
      <c r="BO131" s="623">
        <v>467</v>
      </c>
      <c r="BP131" s="623">
        <v>468</v>
      </c>
      <c r="BQ131" s="623">
        <v>468</v>
      </c>
      <c r="BR131" s="623">
        <v>468</v>
      </c>
      <c r="BS131" s="659">
        <v>468</v>
      </c>
      <c r="BT131" s="660">
        <v>468</v>
      </c>
      <c r="BU131" s="623">
        <v>468</v>
      </c>
      <c r="BV131" s="623">
        <v>468</v>
      </c>
      <c r="BW131" s="623">
        <v>466.64299999999997</v>
      </c>
      <c r="BX131" s="623">
        <v>471.83800000000002</v>
      </c>
      <c r="BY131" s="623">
        <v>492.33600000000001</v>
      </c>
      <c r="BZ131" s="623">
        <v>495.846</v>
      </c>
      <c r="CA131" s="623">
        <v>512.17899999999997</v>
      </c>
      <c r="CB131" s="623">
        <v>519.24599999999998</v>
      </c>
      <c r="CC131" s="623">
        <v>528.13800000000003</v>
      </c>
      <c r="CD131" s="623">
        <v>528.13800000000003</v>
      </c>
      <c r="CE131" s="659">
        <f>+'ANEXO I CADIEEL'!CE20</f>
        <v>538.52759999999989</v>
      </c>
      <c r="CF131" s="660">
        <f>'ANEXO I CADIEEL'!CF20</f>
        <v>555.51600000000008</v>
      </c>
      <c r="CG131" s="623">
        <f>'ANEXO I CADIEEL'!CG20</f>
        <v>560.85120000000006</v>
      </c>
      <c r="CH131" s="623">
        <f>'ANEXO I CADIEEL'!CH20</f>
        <v>566.37360000000001</v>
      </c>
      <c r="CI131" s="623">
        <f>'ANEXO I CADIEEL'!CI20</f>
        <v>584.25119999999993</v>
      </c>
      <c r="CJ131" s="623">
        <f>'ANEXO I CADIEEL'!CJ20</f>
        <v>590.24160000000006</v>
      </c>
      <c r="CK131" s="623">
        <f>'ANEXO I CADIEEL'!CK20</f>
        <v>599.27400000000011</v>
      </c>
      <c r="CL131" s="623">
        <f>'ANEXO I CADIEEL'!CL20</f>
        <v>599.97599999999989</v>
      </c>
      <c r="CM131" s="623">
        <f>'ANEXO I CADIEEL'!CM20</f>
        <v>613.17359999999996</v>
      </c>
      <c r="CN131" s="623">
        <f>'ANEXO I CADIEEL'!CN20</f>
        <v>613.6884</v>
      </c>
      <c r="CO131" s="623">
        <f>'ANEXO I CADIEEL'!CO20</f>
        <v>613.6884</v>
      </c>
      <c r="CP131" s="623">
        <f>+CO131</f>
        <v>613.6884</v>
      </c>
      <c r="CQ131" s="659">
        <f>'ANEXO I CADIEEL'!CQ20</f>
        <v>632.64240000000007</v>
      </c>
      <c r="CR131" s="660">
        <f>'ANEXO I CADIEEL'!CR20</f>
        <v>632.64240000000007</v>
      </c>
      <c r="CS131" s="623">
        <f>'ANEXO I CADIEEL'!CS20</f>
        <v>631.14480000000015</v>
      </c>
      <c r="CT131" s="740" t="s">
        <v>524</v>
      </c>
      <c r="CU131" s="740" t="s">
        <v>524</v>
      </c>
      <c r="CV131" s="740" t="s">
        <v>524</v>
      </c>
      <c r="CW131" s="740" t="s">
        <v>524</v>
      </c>
      <c r="CX131" s="740" t="s">
        <v>524</v>
      </c>
      <c r="CY131" s="740" t="s">
        <v>524</v>
      </c>
      <c r="CZ131" s="740" t="s">
        <v>524</v>
      </c>
      <c r="DA131" s="740" t="s">
        <v>524</v>
      </c>
      <c r="DB131" s="740" t="s">
        <v>524</v>
      </c>
      <c r="DC131" s="777" t="s">
        <v>524</v>
      </c>
      <c r="DD131" s="785" t="s">
        <v>524</v>
      </c>
      <c r="DE131" s="740" t="s">
        <v>524</v>
      </c>
      <c r="DF131" s="797" t="s">
        <v>524</v>
      </c>
      <c r="DG131" s="777" t="s">
        <v>524</v>
      </c>
      <c r="DH131" s="740" t="s">
        <v>524</v>
      </c>
      <c r="DI131" s="740" t="s">
        <v>524</v>
      </c>
      <c r="DJ131" s="740" t="s">
        <v>524</v>
      </c>
      <c r="DK131" s="777" t="s">
        <v>524</v>
      </c>
      <c r="DL131" s="898" t="s">
        <v>524</v>
      </c>
      <c r="DM131" s="110"/>
      <c r="DN131" s="110"/>
      <c r="DO131" s="110"/>
    </row>
    <row r="132" spans="1:119" s="115" customFormat="1" ht="18.95" customHeight="1">
      <c r="A132" s="114"/>
      <c r="B132" s="613">
        <v>112</v>
      </c>
      <c r="C132" s="614">
        <v>24</v>
      </c>
      <c r="D132" s="615" t="s">
        <v>283</v>
      </c>
      <c r="E132" s="614" t="s">
        <v>918</v>
      </c>
      <c r="F132" s="615"/>
      <c r="G132" s="614" t="s">
        <v>223</v>
      </c>
      <c r="H132" s="614" t="s">
        <v>930</v>
      </c>
      <c r="I132" s="647" t="s">
        <v>284</v>
      </c>
      <c r="J132" s="652"/>
      <c r="K132" s="671">
        <v>111.25</v>
      </c>
      <c r="L132" s="667">
        <v>115.22</v>
      </c>
      <c r="M132" s="618">
        <v>135.13</v>
      </c>
      <c r="N132" s="618">
        <v>146.26</v>
      </c>
      <c r="O132" s="618">
        <v>180.65</v>
      </c>
      <c r="P132" s="618">
        <v>199.32</v>
      </c>
      <c r="Q132" s="618">
        <v>216.25</v>
      </c>
      <c r="R132" s="618">
        <v>221.83</v>
      </c>
      <c r="S132" s="618">
        <v>229.92</v>
      </c>
      <c r="T132" s="618">
        <v>228.74</v>
      </c>
      <c r="U132" s="618">
        <v>231.16</v>
      </c>
      <c r="V132" s="618">
        <v>234.56</v>
      </c>
      <c r="W132" s="618">
        <v>232.22</v>
      </c>
      <c r="X132" s="618">
        <v>231.46</v>
      </c>
      <c r="Y132" s="618">
        <v>233.25</v>
      </c>
      <c r="Z132" s="618">
        <v>235.72</v>
      </c>
      <c r="AA132" s="618">
        <v>233.95</v>
      </c>
      <c r="AB132" s="618">
        <v>232.31</v>
      </c>
      <c r="AC132" s="618">
        <v>229.26</v>
      </c>
      <c r="AD132" s="618">
        <v>228.38</v>
      </c>
      <c r="AE132" s="618">
        <v>228.89</v>
      </c>
      <c r="AF132" s="618">
        <v>230.34</v>
      </c>
      <c r="AG132" s="618">
        <v>229.07</v>
      </c>
      <c r="AH132" s="618">
        <v>230.01</v>
      </c>
      <c r="AI132" s="766">
        <v>231.13</v>
      </c>
      <c r="AJ132" s="774">
        <v>232.37</v>
      </c>
      <c r="AK132" s="618">
        <v>235.06</v>
      </c>
      <c r="AL132" s="618">
        <v>235.26</v>
      </c>
      <c r="AM132" s="618">
        <v>235.83</v>
      </c>
      <c r="AN132" s="618">
        <v>238.16</v>
      </c>
      <c r="AO132" s="618">
        <v>240.37</v>
      </c>
      <c r="AP132" s="618">
        <v>242.22</v>
      </c>
      <c r="AQ132" s="618">
        <v>245.8</v>
      </c>
      <c r="AR132" s="618">
        <v>253.62</v>
      </c>
      <c r="AS132" s="618">
        <v>254.66</v>
      </c>
      <c r="AT132" s="618">
        <v>257.19</v>
      </c>
      <c r="AU132" s="766">
        <v>260.35000000000002</v>
      </c>
      <c r="AV132" s="769">
        <v>262.27999999999997</v>
      </c>
      <c r="AW132" s="619">
        <v>263.94</v>
      </c>
      <c r="AX132" s="619">
        <v>263.33999999999997</v>
      </c>
      <c r="AY132" s="619">
        <v>265.91000000000003</v>
      </c>
      <c r="AZ132" s="619">
        <v>264.95</v>
      </c>
      <c r="BA132" s="619">
        <v>264.92</v>
      </c>
      <c r="BB132" s="619">
        <v>263.94</v>
      </c>
      <c r="BC132" s="620">
        <v>264.39</v>
      </c>
      <c r="BD132" s="619">
        <v>266.86</v>
      </c>
      <c r="BE132" s="620">
        <v>272.70999999999998</v>
      </c>
      <c r="BF132" s="620">
        <v>277.91000000000003</v>
      </c>
      <c r="BG132" s="750">
        <v>279.98</v>
      </c>
      <c r="BH132" s="662">
        <v>280.69</v>
      </c>
      <c r="BI132" s="617">
        <v>280.79000000000002</v>
      </c>
      <c r="BJ132" s="617">
        <v>281.89</v>
      </c>
      <c r="BK132" s="617">
        <v>283.25</v>
      </c>
      <c r="BL132" s="617">
        <v>284.74</v>
      </c>
      <c r="BM132" s="617">
        <v>287.66000000000003</v>
      </c>
      <c r="BN132" s="617">
        <v>289.72000000000003</v>
      </c>
      <c r="BO132" s="617">
        <v>292</v>
      </c>
      <c r="BP132" s="617">
        <v>293.66000000000003</v>
      </c>
      <c r="BQ132" s="617">
        <v>294.68</v>
      </c>
      <c r="BR132" s="617">
        <v>294.52</v>
      </c>
      <c r="BS132" s="737">
        <v>293.93</v>
      </c>
      <c r="BT132" s="662">
        <v>294.7</v>
      </c>
      <c r="BU132" s="617">
        <v>295.04000000000002</v>
      </c>
      <c r="BV132" s="617">
        <v>295.37</v>
      </c>
      <c r="BW132" s="617">
        <v>299.14999999999998</v>
      </c>
      <c r="BX132" s="617">
        <v>300.52999999999997</v>
      </c>
      <c r="BY132" s="617">
        <v>304.08</v>
      </c>
      <c r="BZ132" s="617">
        <v>308.13</v>
      </c>
      <c r="CA132" s="617">
        <v>315.29000000000002</v>
      </c>
      <c r="CB132" s="617">
        <v>319.24</v>
      </c>
      <c r="CC132" s="617">
        <v>323.48</v>
      </c>
      <c r="CD132" s="617">
        <v>329.22</v>
      </c>
      <c r="CE132" s="737">
        <v>334.98</v>
      </c>
      <c r="CF132" s="662">
        <v>340.09</v>
      </c>
      <c r="CG132" s="617">
        <v>343.47</v>
      </c>
      <c r="CH132" s="617">
        <v>348.68</v>
      </c>
      <c r="CI132" s="617">
        <v>355.34</v>
      </c>
      <c r="CJ132" s="617">
        <v>358.49</v>
      </c>
      <c r="CK132" s="617">
        <v>361.82</v>
      </c>
      <c r="CL132" s="617">
        <v>371.19</v>
      </c>
      <c r="CM132" s="617">
        <v>378.03</v>
      </c>
      <c r="CN132" s="617">
        <v>383.47</v>
      </c>
      <c r="CO132" s="617">
        <v>388.51</v>
      </c>
      <c r="CP132" s="617">
        <v>387.95</v>
      </c>
      <c r="CQ132" s="737">
        <v>381.33</v>
      </c>
      <c r="CR132" s="662">
        <v>373.13</v>
      </c>
      <c r="CS132" s="617">
        <v>367.99</v>
      </c>
      <c r="CT132" s="617">
        <v>370.78</v>
      </c>
      <c r="CU132" s="617">
        <v>372.87</v>
      </c>
      <c r="CV132" s="623">
        <v>374.91</v>
      </c>
      <c r="CW132" s="623">
        <v>378.82</v>
      </c>
      <c r="CX132" s="623">
        <v>383.26</v>
      </c>
      <c r="CY132" s="623">
        <v>390.71</v>
      </c>
      <c r="CZ132" s="623">
        <v>391.96</v>
      </c>
      <c r="DA132" s="623">
        <v>398.91</v>
      </c>
      <c r="DB132" s="725">
        <v>406.11</v>
      </c>
      <c r="DC132" s="659">
        <v>412.14</v>
      </c>
      <c r="DD132" s="783">
        <v>414.14</v>
      </c>
      <c r="DE132" s="623">
        <v>420.9</v>
      </c>
      <c r="DF132" s="725">
        <v>426.79</v>
      </c>
      <c r="DG132" s="659">
        <v>433.21</v>
      </c>
      <c r="DH132" s="623">
        <v>436.53</v>
      </c>
      <c r="DI132" s="623">
        <v>435.56</v>
      </c>
      <c r="DJ132" s="623">
        <v>436.41</v>
      </c>
      <c r="DK132" s="659">
        <v>440.47</v>
      </c>
      <c r="DL132" s="897">
        <v>443.96</v>
      </c>
      <c r="DM132" s="110">
        <f t="shared" si="1"/>
        <v>1.0079233545984969</v>
      </c>
      <c r="DN132" s="110"/>
      <c r="DO132" s="110"/>
    </row>
    <row r="133" spans="1:119" s="115" customFormat="1" ht="33" customHeight="1">
      <c r="A133" s="114"/>
      <c r="B133" s="408">
        <v>113</v>
      </c>
      <c r="C133" s="405" t="s">
        <v>76</v>
      </c>
      <c r="D133" s="622" t="s">
        <v>285</v>
      </c>
      <c r="E133" s="621" t="s">
        <v>233</v>
      </c>
      <c r="F133" s="621" t="s">
        <v>234</v>
      </c>
      <c r="G133" s="621" t="s">
        <v>737</v>
      </c>
      <c r="H133" s="621" t="s">
        <v>930</v>
      </c>
      <c r="I133" s="390" t="s">
        <v>417</v>
      </c>
      <c r="J133" s="676" t="s">
        <v>235</v>
      </c>
      <c r="K133" s="669">
        <v>12.29</v>
      </c>
      <c r="L133" s="728">
        <v>12.29</v>
      </c>
      <c r="M133" s="729">
        <v>12.29</v>
      </c>
      <c r="N133" s="729">
        <v>12.29</v>
      </c>
      <c r="O133" s="729">
        <v>13.72</v>
      </c>
      <c r="P133" s="729">
        <v>13.72</v>
      </c>
      <c r="Q133" s="729">
        <v>13.72</v>
      </c>
      <c r="R133" s="729">
        <v>19.62</v>
      </c>
      <c r="S133" s="729">
        <v>19.62</v>
      </c>
      <c r="T133" s="729">
        <v>19.62</v>
      </c>
      <c r="U133" s="729">
        <v>19.62</v>
      </c>
      <c r="V133" s="729">
        <v>19.09</v>
      </c>
      <c r="W133" s="729">
        <v>20.02</v>
      </c>
      <c r="X133" s="729">
        <v>20.02</v>
      </c>
      <c r="Y133" s="729">
        <v>20.37</v>
      </c>
      <c r="Z133" s="729">
        <v>20.37</v>
      </c>
      <c r="AA133" s="729">
        <v>20.37</v>
      </c>
      <c r="AB133" s="729">
        <v>23.96</v>
      </c>
      <c r="AC133" s="729">
        <v>23.96</v>
      </c>
      <c r="AD133" s="729">
        <v>23.96</v>
      </c>
      <c r="AE133" s="729">
        <v>23.96</v>
      </c>
      <c r="AF133" s="729">
        <v>23.96</v>
      </c>
      <c r="AG133" s="729">
        <v>22.33</v>
      </c>
      <c r="AH133" s="729">
        <v>22.33</v>
      </c>
      <c r="AI133" s="767">
        <v>22.33</v>
      </c>
      <c r="AJ133" s="775">
        <v>23.7</v>
      </c>
      <c r="AK133" s="729">
        <v>23.7</v>
      </c>
      <c r="AL133" s="729">
        <v>23.7</v>
      </c>
      <c r="AM133" s="729">
        <v>23.7</v>
      </c>
      <c r="AN133" s="729">
        <v>23.7</v>
      </c>
      <c r="AO133" s="729">
        <v>23.7</v>
      </c>
      <c r="AP133" s="729">
        <v>23.7</v>
      </c>
      <c r="AQ133" s="729">
        <v>23.7</v>
      </c>
      <c r="AR133" s="729">
        <v>23.7</v>
      </c>
      <c r="AS133" s="729">
        <v>23.7</v>
      </c>
      <c r="AT133" s="729">
        <v>23.7</v>
      </c>
      <c r="AU133" s="767">
        <v>23.7</v>
      </c>
      <c r="AV133" s="770">
        <v>23.7</v>
      </c>
      <c r="AW133" s="730">
        <v>23.11</v>
      </c>
      <c r="AX133" s="730">
        <v>23.11</v>
      </c>
      <c r="AY133" s="730">
        <v>23.11</v>
      </c>
      <c r="AZ133" s="730">
        <v>23.93</v>
      </c>
      <c r="BA133" s="730">
        <v>23.93</v>
      </c>
      <c r="BB133" s="730">
        <v>23.93</v>
      </c>
      <c r="BC133" s="731">
        <v>23.93</v>
      </c>
      <c r="BD133" s="730">
        <v>23.93</v>
      </c>
      <c r="BE133" s="731">
        <v>23.93</v>
      </c>
      <c r="BF133" s="731">
        <v>23.93</v>
      </c>
      <c r="BG133" s="757">
        <v>23.93</v>
      </c>
      <c r="BH133" s="755">
        <v>23.93</v>
      </c>
      <c r="BI133" s="732">
        <v>23.93</v>
      </c>
      <c r="BJ133" s="732">
        <v>23.93</v>
      </c>
      <c r="BK133" s="732">
        <v>23.93</v>
      </c>
      <c r="BL133" s="732">
        <v>23.93</v>
      </c>
      <c r="BM133" s="732">
        <f>+BL133</f>
        <v>23.93</v>
      </c>
      <c r="BN133" s="732">
        <f>+BM133</f>
        <v>23.93</v>
      </c>
      <c r="BO133" s="732">
        <v>23.93</v>
      </c>
      <c r="BP133" s="732">
        <v>23.93</v>
      </c>
      <c r="BQ133" s="732">
        <v>23.93</v>
      </c>
      <c r="BR133" s="732">
        <v>23.93</v>
      </c>
      <c r="BS133" s="753">
        <v>23.93</v>
      </c>
      <c r="BT133" s="755">
        <v>23.93</v>
      </c>
      <c r="BU133" s="732">
        <v>23.93</v>
      </c>
      <c r="BV133" s="732">
        <v>28.3</v>
      </c>
      <c r="BW133" s="732">
        <v>28.3</v>
      </c>
      <c r="BX133" s="732">
        <v>28.3</v>
      </c>
      <c r="BY133" s="732">
        <v>28.3</v>
      </c>
      <c r="BZ133" s="732">
        <v>28.3</v>
      </c>
      <c r="CA133" s="732">
        <v>28.3</v>
      </c>
      <c r="CB133" s="732">
        <v>28.3</v>
      </c>
      <c r="CC133" s="732">
        <v>28.3</v>
      </c>
      <c r="CD133" s="732">
        <v>28.3</v>
      </c>
      <c r="CE133" s="753">
        <v>32.4</v>
      </c>
      <c r="CF133" s="755">
        <v>32.4</v>
      </c>
      <c r="CG133" s="732">
        <v>41.23</v>
      </c>
      <c r="CH133" s="732">
        <v>41.23</v>
      </c>
      <c r="CI133" s="732">
        <v>41.23</v>
      </c>
      <c r="CJ133" s="732">
        <v>41.23</v>
      </c>
      <c r="CK133" s="732">
        <v>41.23</v>
      </c>
      <c r="CL133" s="732">
        <f>34.11+10.72</f>
        <v>44.83</v>
      </c>
      <c r="CM133" s="732">
        <f>34.11+10.72</f>
        <v>44.83</v>
      </c>
      <c r="CN133" s="623">
        <f>34.11+11.9</f>
        <v>46.01</v>
      </c>
      <c r="CO133" s="732">
        <f>34.11+11.9</f>
        <v>46.01</v>
      </c>
      <c r="CP133" s="732">
        <f>34.11+11.9</f>
        <v>46.01</v>
      </c>
      <c r="CQ133" s="659">
        <f>36.5+11.9</f>
        <v>48.4</v>
      </c>
      <c r="CR133" s="660">
        <f>36.5+11.9</f>
        <v>48.4</v>
      </c>
      <c r="CS133" s="623">
        <f>36.5+12.61</f>
        <v>49.11</v>
      </c>
      <c r="CT133" s="623">
        <f>36.5+12.61</f>
        <v>49.11</v>
      </c>
      <c r="CU133" s="623">
        <f>36.5+12.61</f>
        <v>49.11</v>
      </c>
      <c r="CV133" s="623">
        <f>36.5+12.61</f>
        <v>49.11</v>
      </c>
      <c r="CW133" s="623">
        <f>38.27+12.61</f>
        <v>50.88</v>
      </c>
      <c r="CX133" s="623">
        <f>38.27+12.61</f>
        <v>50.88</v>
      </c>
      <c r="CY133" s="623">
        <f>38.27+12.86</f>
        <v>51.13</v>
      </c>
      <c r="CZ133" s="623">
        <f>38.27+12.86</f>
        <v>51.13</v>
      </c>
      <c r="DA133" s="623">
        <f>38.27+12.86</f>
        <v>51.13</v>
      </c>
      <c r="DB133" s="725">
        <f>38.27+12.86</f>
        <v>51.13</v>
      </c>
      <c r="DC133" s="659">
        <f>42.59+13.63</f>
        <v>56.220000000000006</v>
      </c>
      <c r="DD133" s="783">
        <f>42.59+13.63</f>
        <v>56.220000000000006</v>
      </c>
      <c r="DE133" s="623">
        <f>42.59+14.45</f>
        <v>57.040000000000006</v>
      </c>
      <c r="DF133" s="725">
        <f>42.59+14.45</f>
        <v>57.040000000000006</v>
      </c>
      <c r="DG133" s="659">
        <f>42.59+14.45</f>
        <v>57.040000000000006</v>
      </c>
      <c r="DH133" s="623">
        <f>42.59+14.45</f>
        <v>57.040000000000006</v>
      </c>
      <c r="DI133" s="623">
        <f>42.59+15.9</f>
        <v>58.49</v>
      </c>
      <c r="DJ133" s="623">
        <f>42.59+15.9</f>
        <v>58.49</v>
      </c>
      <c r="DK133" s="659">
        <f>48+15.9</f>
        <v>63.9</v>
      </c>
      <c r="DL133" s="897">
        <f>48+15.9</f>
        <v>63.9</v>
      </c>
      <c r="DM133" s="110">
        <f t="shared" si="1"/>
        <v>1</v>
      </c>
      <c r="DN133" s="110"/>
      <c r="DO133" s="110"/>
    </row>
    <row r="134" spans="1:119" s="115" customFormat="1" ht="18.95" customHeight="1">
      <c r="A134" s="114"/>
      <c r="B134" s="613">
        <v>114</v>
      </c>
      <c r="C134" s="739" t="s">
        <v>286</v>
      </c>
      <c r="D134" s="615" t="s">
        <v>287</v>
      </c>
      <c r="E134" s="614" t="s">
        <v>918</v>
      </c>
      <c r="F134" s="615"/>
      <c r="G134" s="614" t="s">
        <v>515</v>
      </c>
      <c r="H134" s="614"/>
      <c r="I134" s="647" t="s">
        <v>83</v>
      </c>
      <c r="J134" s="676" t="s">
        <v>445</v>
      </c>
      <c r="K134" s="671">
        <v>100</v>
      </c>
      <c r="L134" s="667">
        <v>130</v>
      </c>
      <c r="M134" s="618">
        <v>161</v>
      </c>
      <c r="N134" s="618">
        <v>199</v>
      </c>
      <c r="O134" s="618">
        <v>219</v>
      </c>
      <c r="P134" s="618">
        <v>251</v>
      </c>
      <c r="Q134" s="618">
        <v>262</v>
      </c>
      <c r="R134" s="618">
        <v>262</v>
      </c>
      <c r="S134" s="618">
        <v>260</v>
      </c>
      <c r="T134" s="618">
        <v>262</v>
      </c>
      <c r="U134" s="618">
        <v>259</v>
      </c>
      <c r="V134" s="618">
        <v>258</v>
      </c>
      <c r="W134" s="618">
        <v>253</v>
      </c>
      <c r="X134" s="618">
        <v>245</v>
      </c>
      <c r="Y134" s="618">
        <v>240</v>
      </c>
      <c r="Z134" s="618">
        <v>235</v>
      </c>
      <c r="AA134" s="618">
        <v>230</v>
      </c>
      <c r="AB134" s="618">
        <v>226</v>
      </c>
      <c r="AC134" s="618">
        <v>224</v>
      </c>
      <c r="AD134" s="618">
        <v>227</v>
      </c>
      <c r="AE134" s="618">
        <v>232</v>
      </c>
      <c r="AF134" s="618">
        <v>239</v>
      </c>
      <c r="AG134" s="618">
        <v>237</v>
      </c>
      <c r="AH134" s="618">
        <v>239</v>
      </c>
      <c r="AI134" s="766">
        <v>236</v>
      </c>
      <c r="AJ134" s="774">
        <v>268</v>
      </c>
      <c r="AK134" s="618">
        <v>271</v>
      </c>
      <c r="AL134" s="618">
        <v>257</v>
      </c>
      <c r="AM134" s="618">
        <v>259.39999999999998</v>
      </c>
      <c r="AN134" s="618">
        <v>259.60000000000002</v>
      </c>
      <c r="AO134" s="618">
        <v>260.39999999999998</v>
      </c>
      <c r="AP134" s="618">
        <v>262.89999999999998</v>
      </c>
      <c r="AQ134" s="618">
        <v>265.10000000000002</v>
      </c>
      <c r="AR134" s="618">
        <v>279.10000000000002</v>
      </c>
      <c r="AS134" s="618">
        <v>279.10000000000002</v>
      </c>
      <c r="AT134" s="618">
        <v>280.3</v>
      </c>
      <c r="AU134" s="766">
        <v>292.60000000000002</v>
      </c>
      <c r="AV134" s="769">
        <v>283.39999999999998</v>
      </c>
      <c r="AW134" s="619">
        <v>292.5</v>
      </c>
      <c r="AX134" s="619">
        <v>285.10000000000002</v>
      </c>
      <c r="AY134" s="619">
        <v>284.10000000000002</v>
      </c>
      <c r="AZ134" s="619">
        <v>284.89999999999998</v>
      </c>
      <c r="BA134" s="619">
        <v>295</v>
      </c>
      <c r="BB134" s="619">
        <v>301.3</v>
      </c>
      <c r="BC134" s="620">
        <v>324</v>
      </c>
      <c r="BD134" s="619">
        <v>333</v>
      </c>
      <c r="BE134" s="620">
        <v>314.3</v>
      </c>
      <c r="BF134" s="620">
        <v>333.5</v>
      </c>
      <c r="BG134" s="750">
        <v>333.5</v>
      </c>
      <c r="BH134" s="662">
        <v>381.8</v>
      </c>
      <c r="BI134" s="617">
        <v>346</v>
      </c>
      <c r="BJ134" s="617">
        <v>346</v>
      </c>
      <c r="BK134" s="617">
        <v>413</v>
      </c>
      <c r="BL134" s="617">
        <v>435.2</v>
      </c>
      <c r="BM134" s="617">
        <v>442</v>
      </c>
      <c r="BN134" s="617">
        <v>442</v>
      </c>
      <c r="BO134" s="617">
        <v>449.4</v>
      </c>
      <c r="BP134" s="617">
        <v>450.2</v>
      </c>
      <c r="BQ134" s="617">
        <v>458.9</v>
      </c>
      <c r="BR134" s="617">
        <v>458.9</v>
      </c>
      <c r="BS134" s="737">
        <v>458.9</v>
      </c>
      <c r="BT134" s="662">
        <v>458.9</v>
      </c>
      <c r="BU134" s="617">
        <v>458.9</v>
      </c>
      <c r="BV134" s="617">
        <v>458.9</v>
      </c>
      <c r="BW134" s="617">
        <v>458.07400000000001</v>
      </c>
      <c r="BX134" s="617">
        <v>463.58100000000002</v>
      </c>
      <c r="BY134" s="617">
        <v>483.95600000000002</v>
      </c>
      <c r="BZ134" s="617">
        <v>488.40699999999998</v>
      </c>
      <c r="CA134" s="617">
        <v>504.83600000000001</v>
      </c>
      <c r="CB134" s="617">
        <v>513.50900000000001</v>
      </c>
      <c r="CC134" s="617">
        <v>523.42100000000005</v>
      </c>
      <c r="CD134" s="617">
        <v>523.42100000000005</v>
      </c>
      <c r="CE134" s="737">
        <f>+'ANEXO I CADIEEL'!CE22</f>
        <v>535.44452000000001</v>
      </c>
      <c r="CF134" s="662">
        <f>+'ANEXO I CADIEEL'!CF22</f>
        <v>554.81010000000003</v>
      </c>
      <c r="CG134" s="617">
        <f>+'ANEXO I CADIEEL'!CG22</f>
        <v>562.88673999999992</v>
      </c>
      <c r="CH134" s="617">
        <f>'ANEXO I CADIEEL'!CH22</f>
        <v>568.48531999999989</v>
      </c>
      <c r="CI134" s="617">
        <f>'ANEXO I CADIEEL'!CI22</f>
        <v>586.33653000000004</v>
      </c>
      <c r="CJ134" s="617">
        <f>'ANEXO I CADIEEL'!CJ22</f>
        <v>593.31180999999992</v>
      </c>
      <c r="CK134" s="617">
        <f>'ANEXO I CADIEEL'!CK22</f>
        <v>603.68295000000001</v>
      </c>
      <c r="CL134" s="617">
        <f>'ANEXO I CADIEEL'!CL22</f>
        <v>606.34456999999998</v>
      </c>
      <c r="CM134" s="617">
        <f>'ANEXO I CADIEEL'!CM22</f>
        <v>619.19377000000009</v>
      </c>
      <c r="CN134" s="617">
        <f>'ANEXO I CADIEEL'!CN22</f>
        <v>621.12114999999994</v>
      </c>
      <c r="CO134" s="617">
        <f>'ANEXO I CADIEEL'!CO22</f>
        <v>621.12114999999994</v>
      </c>
      <c r="CP134" s="617">
        <f>+CO134</f>
        <v>621.12114999999994</v>
      </c>
      <c r="CQ134" s="737">
        <f>'ANEXO I CADIEEL'!CQ22</f>
        <v>641.54219999999998</v>
      </c>
      <c r="CR134" s="662">
        <f>'ANEXO I CADIEEL'!CR22</f>
        <v>641.54219999999998</v>
      </c>
      <c r="CS134" s="617">
        <f>'ANEXO I CADIEEL'!CS22</f>
        <v>639.79837999999995</v>
      </c>
      <c r="CT134" s="740" t="s">
        <v>524</v>
      </c>
      <c r="CU134" s="740" t="s">
        <v>524</v>
      </c>
      <c r="CV134" s="740" t="s">
        <v>524</v>
      </c>
      <c r="CW134" s="740" t="s">
        <v>524</v>
      </c>
      <c r="CX134" s="740" t="s">
        <v>524</v>
      </c>
      <c r="CY134" s="740" t="s">
        <v>524</v>
      </c>
      <c r="CZ134" s="740" t="s">
        <v>524</v>
      </c>
      <c r="DA134" s="740" t="s">
        <v>524</v>
      </c>
      <c r="DB134" s="740" t="s">
        <v>524</v>
      </c>
      <c r="DC134" s="777" t="s">
        <v>524</v>
      </c>
      <c r="DD134" s="785" t="s">
        <v>524</v>
      </c>
      <c r="DE134" s="740" t="s">
        <v>524</v>
      </c>
      <c r="DF134" s="797" t="s">
        <v>524</v>
      </c>
      <c r="DG134" s="777" t="s">
        <v>524</v>
      </c>
      <c r="DH134" s="740" t="s">
        <v>524</v>
      </c>
      <c r="DI134" s="740" t="s">
        <v>524</v>
      </c>
      <c r="DJ134" s="740" t="s">
        <v>524</v>
      </c>
      <c r="DK134" s="777" t="s">
        <v>524</v>
      </c>
      <c r="DL134" s="898" t="s">
        <v>524</v>
      </c>
      <c r="DM134" s="110"/>
      <c r="DN134" s="110"/>
      <c r="DO134" s="110"/>
    </row>
    <row r="135" spans="1:119" s="115" customFormat="1" ht="21" customHeight="1">
      <c r="A135" s="114"/>
      <c r="B135" s="408">
        <v>115</v>
      </c>
      <c r="C135" s="621" t="s">
        <v>288</v>
      </c>
      <c r="D135" s="622" t="s">
        <v>484</v>
      </c>
      <c r="E135" s="621" t="s">
        <v>918</v>
      </c>
      <c r="F135" s="622"/>
      <c r="G135" s="621" t="s">
        <v>929</v>
      </c>
      <c r="H135" s="621" t="s">
        <v>930</v>
      </c>
      <c r="I135" s="390" t="s">
        <v>441</v>
      </c>
      <c r="J135" s="651"/>
      <c r="K135" s="669">
        <v>124.2</v>
      </c>
      <c r="L135" s="665">
        <v>136.9</v>
      </c>
      <c r="M135" s="625">
        <v>150.5</v>
      </c>
      <c r="N135" s="625">
        <v>152.9</v>
      </c>
      <c r="O135" s="625">
        <v>171.6</v>
      </c>
      <c r="P135" s="625">
        <v>162.9</v>
      </c>
      <c r="Q135" s="625">
        <v>169.4</v>
      </c>
      <c r="R135" s="625">
        <v>168.6</v>
      </c>
      <c r="S135" s="625">
        <v>175.8</v>
      </c>
      <c r="T135" s="625">
        <v>175.8</v>
      </c>
      <c r="U135" s="625">
        <v>169.8</v>
      </c>
      <c r="V135" s="625">
        <v>183.5</v>
      </c>
      <c r="W135" s="625">
        <v>182.5</v>
      </c>
      <c r="X135" s="625">
        <v>182.5</v>
      </c>
      <c r="Y135" s="625">
        <v>189.6</v>
      </c>
      <c r="Z135" s="625">
        <v>189</v>
      </c>
      <c r="AA135" s="625">
        <v>192.8</v>
      </c>
      <c r="AB135" s="625">
        <v>191.5</v>
      </c>
      <c r="AC135" s="625">
        <v>191.5</v>
      </c>
      <c r="AD135" s="625">
        <v>187.5</v>
      </c>
      <c r="AE135" s="625">
        <v>188.9</v>
      </c>
      <c r="AF135" s="625">
        <v>184</v>
      </c>
      <c r="AG135" s="625">
        <v>184.6</v>
      </c>
      <c r="AH135" s="625">
        <v>184.6</v>
      </c>
      <c r="AI135" s="764">
        <v>184.6</v>
      </c>
      <c r="AJ135" s="772">
        <v>190.4</v>
      </c>
      <c r="AK135" s="625">
        <v>196.2</v>
      </c>
      <c r="AL135" s="625">
        <v>194.6</v>
      </c>
      <c r="AM135" s="625">
        <v>195.8</v>
      </c>
      <c r="AN135" s="625">
        <v>197.1</v>
      </c>
      <c r="AO135" s="625">
        <v>201.8</v>
      </c>
      <c r="AP135" s="625">
        <v>203.3</v>
      </c>
      <c r="AQ135" s="625">
        <v>207.1</v>
      </c>
      <c r="AR135" s="625">
        <v>203.4</v>
      </c>
      <c r="AS135" s="625">
        <v>206.2</v>
      </c>
      <c r="AT135" s="625">
        <v>207.8</v>
      </c>
      <c r="AU135" s="764">
        <v>212.6</v>
      </c>
      <c r="AV135" s="752">
        <v>214.2</v>
      </c>
      <c r="AW135" s="626">
        <v>220.9</v>
      </c>
      <c r="AX135" s="626">
        <v>220.9</v>
      </c>
      <c r="AY135" s="626">
        <v>220</v>
      </c>
      <c r="AZ135" s="626">
        <v>218.2</v>
      </c>
      <c r="BA135" s="626">
        <v>219</v>
      </c>
      <c r="BB135" s="626">
        <v>218.8</v>
      </c>
      <c r="BC135" s="627">
        <v>219</v>
      </c>
      <c r="BD135" s="626">
        <v>220.5</v>
      </c>
      <c r="BE135" s="627">
        <v>223.4</v>
      </c>
      <c r="BF135" s="627">
        <v>225.8</v>
      </c>
      <c r="BG135" s="738">
        <v>226.6</v>
      </c>
      <c r="BH135" s="660">
        <v>226.2</v>
      </c>
      <c r="BI135" s="623">
        <v>230.8</v>
      </c>
      <c r="BJ135" s="623">
        <v>230.2</v>
      </c>
      <c r="BK135" s="623">
        <v>230.2</v>
      </c>
      <c r="BL135" s="623">
        <v>231.7</v>
      </c>
      <c r="BM135" s="623">
        <v>234.2</v>
      </c>
      <c r="BN135" s="623">
        <v>234.2</v>
      </c>
      <c r="BO135" s="623">
        <v>234.2</v>
      </c>
      <c r="BP135" s="623">
        <v>238.9</v>
      </c>
      <c r="BQ135" s="623">
        <v>243.1</v>
      </c>
      <c r="BR135" s="623">
        <v>244.4</v>
      </c>
      <c r="BS135" s="659">
        <v>249.3</v>
      </c>
      <c r="BT135" s="660">
        <v>249.3</v>
      </c>
      <c r="BU135" s="623">
        <v>249.3</v>
      </c>
      <c r="BV135" s="623">
        <v>256</v>
      </c>
      <c r="BW135" s="623">
        <v>254.3</v>
      </c>
      <c r="BX135" s="623">
        <v>260.10000000000002</v>
      </c>
      <c r="BY135" s="623">
        <v>273.3</v>
      </c>
      <c r="BZ135" s="623">
        <v>281.8</v>
      </c>
      <c r="CA135" s="623">
        <v>291.3</v>
      </c>
      <c r="CB135" s="623">
        <v>298.89999999999998</v>
      </c>
      <c r="CC135" s="623">
        <v>314.3</v>
      </c>
      <c r="CD135" s="623">
        <v>320.39999999999998</v>
      </c>
      <c r="CE135" s="659">
        <v>321.89999999999998</v>
      </c>
      <c r="CF135" s="660">
        <v>330.4</v>
      </c>
      <c r="CG135" s="623">
        <v>320.89999999999998</v>
      </c>
      <c r="CH135" s="623">
        <v>336.8</v>
      </c>
      <c r="CI135" s="623">
        <v>345.2</v>
      </c>
      <c r="CJ135" s="623">
        <v>354.1</v>
      </c>
      <c r="CK135" s="623">
        <v>359.9</v>
      </c>
      <c r="CL135" s="623">
        <v>363.1</v>
      </c>
      <c r="CM135" s="623">
        <v>380.8</v>
      </c>
      <c r="CN135" s="623">
        <v>386.1</v>
      </c>
      <c r="CO135" s="623">
        <v>386.1</v>
      </c>
      <c r="CP135" s="623">
        <v>398</v>
      </c>
      <c r="CQ135" s="659">
        <v>397.9</v>
      </c>
      <c r="CR135" s="660">
        <v>397.9</v>
      </c>
      <c r="CS135" s="623">
        <v>395.5</v>
      </c>
      <c r="CT135" s="623">
        <v>397.9</v>
      </c>
      <c r="CU135" s="623">
        <v>386.1</v>
      </c>
      <c r="CV135" s="623">
        <v>386.1</v>
      </c>
      <c r="CW135" s="623">
        <v>380.1</v>
      </c>
      <c r="CX135" s="623">
        <v>383.1</v>
      </c>
      <c r="CY135" s="623">
        <v>383.1</v>
      </c>
      <c r="CZ135" s="623">
        <v>391.8</v>
      </c>
      <c r="DA135" s="623">
        <v>397.2</v>
      </c>
      <c r="DB135" s="725">
        <v>397.2</v>
      </c>
      <c r="DC135" s="659">
        <v>394.8</v>
      </c>
      <c r="DD135" s="783">
        <v>392.1</v>
      </c>
      <c r="DE135" s="623">
        <v>399.1</v>
      </c>
      <c r="DF135" s="725">
        <v>408.1</v>
      </c>
      <c r="DG135" s="659">
        <v>418.4</v>
      </c>
      <c r="DH135" s="623">
        <v>421.6</v>
      </c>
      <c r="DI135" s="623">
        <v>423.7</v>
      </c>
      <c r="DJ135" s="623">
        <v>424.4</v>
      </c>
      <c r="DK135" s="659">
        <v>441</v>
      </c>
      <c r="DL135" s="897">
        <v>442.1</v>
      </c>
      <c r="DM135" s="110">
        <f t="shared" si="1"/>
        <v>1.0024943310657597</v>
      </c>
      <c r="DN135" s="110"/>
      <c r="DO135" s="110"/>
    </row>
    <row r="136" spans="1:119" s="115" customFormat="1" ht="18.95" customHeight="1">
      <c r="A136" s="114"/>
      <c r="B136" s="408">
        <v>116</v>
      </c>
      <c r="C136" s="621" t="s">
        <v>290</v>
      </c>
      <c r="D136" s="622" t="s">
        <v>291</v>
      </c>
      <c r="E136" s="621" t="s">
        <v>233</v>
      </c>
      <c r="F136" s="621" t="s">
        <v>619</v>
      </c>
      <c r="G136" s="621" t="s">
        <v>737</v>
      </c>
      <c r="H136" s="621" t="s">
        <v>930</v>
      </c>
      <c r="I136" s="390" t="s">
        <v>289</v>
      </c>
      <c r="J136" s="676" t="s">
        <v>735</v>
      </c>
      <c r="K136" s="669">
        <v>44.56</v>
      </c>
      <c r="L136" s="728">
        <v>44.56</v>
      </c>
      <c r="M136" s="729">
        <v>44.56</v>
      </c>
      <c r="N136" s="729">
        <v>44.56</v>
      </c>
      <c r="O136" s="729">
        <v>44.56</v>
      </c>
      <c r="P136" s="729">
        <v>77.349999999999994</v>
      </c>
      <c r="Q136" s="729">
        <v>77.349999999999994</v>
      </c>
      <c r="R136" s="729">
        <v>77.349999999999994</v>
      </c>
      <c r="S136" s="729">
        <v>77.349999999999994</v>
      </c>
      <c r="T136" s="729">
        <v>77.349999999999994</v>
      </c>
      <c r="U136" s="729">
        <v>86.32</v>
      </c>
      <c r="V136" s="729">
        <v>95.29</v>
      </c>
      <c r="W136" s="729">
        <v>95.29</v>
      </c>
      <c r="X136" s="729">
        <v>95.29</v>
      </c>
      <c r="Y136" s="729">
        <v>95.29</v>
      </c>
      <c r="Z136" s="729">
        <v>95.29</v>
      </c>
      <c r="AA136" s="729">
        <v>95.29</v>
      </c>
      <c r="AB136" s="729">
        <v>95.29</v>
      </c>
      <c r="AC136" s="729">
        <v>95.29</v>
      </c>
      <c r="AD136" s="729">
        <v>95.29</v>
      </c>
      <c r="AE136" s="729">
        <v>95.29</v>
      </c>
      <c r="AF136" s="729">
        <v>95.29</v>
      </c>
      <c r="AG136" s="729">
        <v>95.29</v>
      </c>
      <c r="AH136" s="729">
        <v>95.29</v>
      </c>
      <c r="AI136" s="767">
        <v>95.29</v>
      </c>
      <c r="AJ136" s="775">
        <v>95.29</v>
      </c>
      <c r="AK136" s="729">
        <v>95.29</v>
      </c>
      <c r="AL136" s="729">
        <v>95.29</v>
      </c>
      <c r="AM136" s="729">
        <v>95.29</v>
      </c>
      <c r="AN136" s="729">
        <v>95.29</v>
      </c>
      <c r="AO136" s="729">
        <v>95.29</v>
      </c>
      <c r="AP136" s="729">
        <v>95.29</v>
      </c>
      <c r="AQ136" s="729">
        <v>95.29</v>
      </c>
      <c r="AR136" s="729">
        <v>95.29</v>
      </c>
      <c r="AS136" s="729">
        <v>95.29</v>
      </c>
      <c r="AT136" s="729">
        <v>95.29</v>
      </c>
      <c r="AU136" s="767">
        <v>95.29</v>
      </c>
      <c r="AV136" s="770">
        <v>95.29</v>
      </c>
      <c r="AW136" s="730">
        <v>95.29</v>
      </c>
      <c r="AX136" s="730">
        <v>95.29</v>
      </c>
      <c r="AY136" s="730">
        <v>95.29</v>
      </c>
      <c r="AZ136" s="730">
        <v>78.59</v>
      </c>
      <c r="BA136" s="730">
        <v>78.59</v>
      </c>
      <c r="BB136" s="730">
        <v>78.59</v>
      </c>
      <c r="BC136" s="731">
        <v>78.59</v>
      </c>
      <c r="BD136" s="730">
        <v>78.59</v>
      </c>
      <c r="BE136" s="731">
        <v>78.59</v>
      </c>
      <c r="BF136" s="731">
        <v>78.59</v>
      </c>
      <c r="BG136" s="757">
        <v>78.59</v>
      </c>
      <c r="BH136" s="755">
        <v>78.59</v>
      </c>
      <c r="BI136" s="732">
        <v>110.31</v>
      </c>
      <c r="BJ136" s="732">
        <v>110.31</v>
      </c>
      <c r="BK136" s="732">
        <v>110.31</v>
      </c>
      <c r="BL136" s="732">
        <v>110.31</v>
      </c>
      <c r="BM136" s="732">
        <f>+BL136</f>
        <v>110.31</v>
      </c>
      <c r="BN136" s="732">
        <v>110.31</v>
      </c>
      <c r="BO136" s="732">
        <v>110.31</v>
      </c>
      <c r="BP136" s="732">
        <v>110.31</v>
      </c>
      <c r="BQ136" s="732">
        <v>110.31</v>
      </c>
      <c r="BR136" s="732">
        <v>110.31</v>
      </c>
      <c r="BS136" s="753">
        <v>110.31</v>
      </c>
      <c r="BT136" s="755">
        <v>110.31</v>
      </c>
      <c r="BU136" s="732">
        <v>110.31</v>
      </c>
      <c r="BV136" s="732">
        <v>127</v>
      </c>
      <c r="BW136" s="732">
        <v>127</v>
      </c>
      <c r="BX136" s="732">
        <v>127</v>
      </c>
      <c r="BY136" s="732">
        <v>127</v>
      </c>
      <c r="BZ136" s="732">
        <v>127</v>
      </c>
      <c r="CA136" s="732">
        <v>134.08000000000001</v>
      </c>
      <c r="CB136" s="732">
        <v>134.08000000000001</v>
      </c>
      <c r="CC136" s="732">
        <v>134.08000000000001</v>
      </c>
      <c r="CD136" s="732">
        <v>134.08000000000001</v>
      </c>
      <c r="CE136" s="753">
        <v>134.08000000000001</v>
      </c>
      <c r="CF136" s="755">
        <v>155.22</v>
      </c>
      <c r="CG136" s="732">
        <v>155.22</v>
      </c>
      <c r="CH136" s="732">
        <v>155.22</v>
      </c>
      <c r="CI136" s="732">
        <v>155.22</v>
      </c>
      <c r="CJ136" s="732">
        <v>179.69</v>
      </c>
      <c r="CK136" s="732">
        <v>179.69</v>
      </c>
      <c r="CL136" s="732">
        <v>179.69</v>
      </c>
      <c r="CM136" s="732">
        <v>179.69</v>
      </c>
      <c r="CN136" s="623">
        <v>179.69</v>
      </c>
      <c r="CO136" s="732">
        <v>179.69</v>
      </c>
      <c r="CP136" s="732">
        <v>179.69</v>
      </c>
      <c r="CQ136" s="659">
        <v>179.69</v>
      </c>
      <c r="CR136" s="660">
        <v>179.69</v>
      </c>
      <c r="CS136" s="623">
        <v>179.69</v>
      </c>
      <c r="CT136" s="623">
        <v>179.69</v>
      </c>
      <c r="CU136" s="623">
        <v>179.69</v>
      </c>
      <c r="CV136" s="623">
        <v>179.69</v>
      </c>
      <c r="CW136" s="623">
        <v>179.69</v>
      </c>
      <c r="CX136" s="623">
        <v>179.69</v>
      </c>
      <c r="CY136" s="623">
        <v>179.69</v>
      </c>
      <c r="CZ136" s="623">
        <v>179.69</v>
      </c>
      <c r="DA136" s="623">
        <v>179.69</v>
      </c>
      <c r="DB136" s="623">
        <v>179.69</v>
      </c>
      <c r="DC136" s="659">
        <v>179.69</v>
      </c>
      <c r="DD136" s="783">
        <v>179.69</v>
      </c>
      <c r="DE136" s="623">
        <v>179.69</v>
      </c>
      <c r="DF136" s="725">
        <v>179.69</v>
      </c>
      <c r="DG136" s="659">
        <v>179.69</v>
      </c>
      <c r="DH136" s="623">
        <v>179.69</v>
      </c>
      <c r="DI136" s="740" t="s">
        <v>524</v>
      </c>
      <c r="DJ136" s="740" t="s">
        <v>524</v>
      </c>
      <c r="DK136" s="777" t="s">
        <v>524</v>
      </c>
      <c r="DL136" s="898" t="s">
        <v>524</v>
      </c>
      <c r="DM136" s="110"/>
      <c r="DN136" s="110"/>
      <c r="DO136" s="110"/>
    </row>
    <row r="137" spans="1:119" s="115" customFormat="1" ht="15.75" customHeight="1">
      <c r="A137" s="114"/>
      <c r="B137" s="408">
        <v>117</v>
      </c>
      <c r="C137" s="621" t="s">
        <v>292</v>
      </c>
      <c r="D137" s="622" t="s">
        <v>293</v>
      </c>
      <c r="E137" s="621" t="s">
        <v>918</v>
      </c>
      <c r="F137" s="622"/>
      <c r="G137" s="621" t="s">
        <v>919</v>
      </c>
      <c r="H137" s="621" t="s">
        <v>920</v>
      </c>
      <c r="I137" s="390" t="s">
        <v>294</v>
      </c>
      <c r="J137" s="651"/>
      <c r="K137" s="669">
        <v>106.96</v>
      </c>
      <c r="L137" s="665">
        <v>113.47</v>
      </c>
      <c r="M137" s="625">
        <v>120.35</v>
      </c>
      <c r="N137" s="625">
        <v>123.04</v>
      </c>
      <c r="O137" s="625">
        <v>143.91999999999999</v>
      </c>
      <c r="P137" s="625">
        <v>173.18</v>
      </c>
      <c r="Q137" s="625">
        <v>175.86</v>
      </c>
      <c r="R137" s="625">
        <v>183.95</v>
      </c>
      <c r="S137" s="625">
        <v>188.91</v>
      </c>
      <c r="T137" s="625">
        <v>197.1</v>
      </c>
      <c r="U137" s="625">
        <v>193.25</v>
      </c>
      <c r="V137" s="625">
        <v>193.25</v>
      </c>
      <c r="W137" s="625">
        <v>198.15</v>
      </c>
      <c r="X137" s="625">
        <v>196.7</v>
      </c>
      <c r="Y137" s="625">
        <v>198.15</v>
      </c>
      <c r="Z137" s="625">
        <v>198.15</v>
      </c>
      <c r="AA137" s="625">
        <v>198.53</v>
      </c>
      <c r="AB137" s="625">
        <v>201.75</v>
      </c>
      <c r="AC137" s="625">
        <v>201.75</v>
      </c>
      <c r="AD137" s="625">
        <v>201.75</v>
      </c>
      <c r="AE137" s="625">
        <v>201.75</v>
      </c>
      <c r="AF137" s="625">
        <v>201.75</v>
      </c>
      <c r="AG137" s="625">
        <v>205.41</v>
      </c>
      <c r="AH137" s="625">
        <v>205.26</v>
      </c>
      <c r="AI137" s="764">
        <v>205.23</v>
      </c>
      <c r="AJ137" s="772">
        <v>205.23</v>
      </c>
      <c r="AK137" s="625">
        <v>220.15</v>
      </c>
      <c r="AL137" s="625">
        <v>220.72</v>
      </c>
      <c r="AM137" s="625">
        <v>232.93</v>
      </c>
      <c r="AN137" s="625">
        <v>232.93</v>
      </c>
      <c r="AO137" s="625">
        <v>247.92</v>
      </c>
      <c r="AP137" s="625">
        <v>240.66</v>
      </c>
      <c r="AQ137" s="625">
        <v>248.59</v>
      </c>
      <c r="AR137" s="625">
        <v>248.59</v>
      </c>
      <c r="AS137" s="625">
        <v>248.59</v>
      </c>
      <c r="AT137" s="625">
        <v>258.08</v>
      </c>
      <c r="AU137" s="764">
        <v>265.24</v>
      </c>
      <c r="AV137" s="752">
        <v>265.24</v>
      </c>
      <c r="AW137" s="626">
        <v>265.24</v>
      </c>
      <c r="AX137" s="626">
        <v>265.24</v>
      </c>
      <c r="AY137" s="626">
        <v>265.24</v>
      </c>
      <c r="AZ137" s="626">
        <v>265.24</v>
      </c>
      <c r="BA137" s="626">
        <v>265.24</v>
      </c>
      <c r="BB137" s="626">
        <v>266.3</v>
      </c>
      <c r="BC137" s="627">
        <v>267.95999999999998</v>
      </c>
      <c r="BD137" s="626">
        <v>267.95999999999998</v>
      </c>
      <c r="BE137" s="627">
        <v>270.95</v>
      </c>
      <c r="BF137" s="627">
        <v>270.94</v>
      </c>
      <c r="BG137" s="738">
        <v>276.43</v>
      </c>
      <c r="BH137" s="660">
        <v>279.43</v>
      </c>
      <c r="BI137" s="623">
        <v>288.39</v>
      </c>
      <c r="BJ137" s="623">
        <v>288.39</v>
      </c>
      <c r="BK137" s="623">
        <v>305.52999999999997</v>
      </c>
      <c r="BL137" s="623">
        <v>308.26</v>
      </c>
      <c r="BM137" s="623">
        <v>325.02</v>
      </c>
      <c r="BN137" s="623">
        <v>325.02</v>
      </c>
      <c r="BO137" s="623">
        <v>345.27</v>
      </c>
      <c r="BP137" s="623">
        <v>346.62</v>
      </c>
      <c r="BQ137" s="623">
        <v>346.62</v>
      </c>
      <c r="BR137" s="623">
        <v>350.12</v>
      </c>
      <c r="BS137" s="659">
        <v>350.12</v>
      </c>
      <c r="BT137" s="660">
        <v>357.79</v>
      </c>
      <c r="BU137" s="623">
        <v>366.45</v>
      </c>
      <c r="BV137" s="623">
        <v>366.45</v>
      </c>
      <c r="BW137" s="623">
        <v>369.18</v>
      </c>
      <c r="BX137" s="623">
        <v>374.43</v>
      </c>
      <c r="BY137" s="623">
        <v>376.07</v>
      </c>
      <c r="BZ137" s="623">
        <v>390.25</v>
      </c>
      <c r="CA137" s="623">
        <v>388.61</v>
      </c>
      <c r="CB137" s="623">
        <v>390.52</v>
      </c>
      <c r="CC137" s="623">
        <v>397.71</v>
      </c>
      <c r="CD137" s="623">
        <v>410.91</v>
      </c>
      <c r="CE137" s="659">
        <v>410.94</v>
      </c>
      <c r="CF137" s="660">
        <v>421.59</v>
      </c>
      <c r="CG137" s="623">
        <v>424.41</v>
      </c>
      <c r="CH137" s="623">
        <v>425.26</v>
      </c>
      <c r="CI137" s="623">
        <v>426.99</v>
      </c>
      <c r="CJ137" s="623">
        <v>426.99</v>
      </c>
      <c r="CK137" s="623">
        <v>433.93</v>
      </c>
      <c r="CL137" s="623">
        <v>440.74</v>
      </c>
      <c r="CM137" s="623">
        <v>448.01</v>
      </c>
      <c r="CN137" s="623">
        <v>456.41</v>
      </c>
      <c r="CO137" s="623">
        <v>463.56</v>
      </c>
      <c r="CP137" s="623">
        <v>472.56</v>
      </c>
      <c r="CQ137" s="659">
        <v>475.55</v>
      </c>
      <c r="CR137" s="660">
        <v>475.55</v>
      </c>
      <c r="CS137" s="623">
        <v>475.55</v>
      </c>
      <c r="CT137" s="623">
        <v>475.55</v>
      </c>
      <c r="CU137" s="623">
        <v>478.21</v>
      </c>
      <c r="CV137" s="623">
        <v>487.3</v>
      </c>
      <c r="CW137" s="623">
        <v>495.45</v>
      </c>
      <c r="CX137" s="623">
        <v>509.43</v>
      </c>
      <c r="CY137" s="623">
        <v>512.71</v>
      </c>
      <c r="CZ137" s="623">
        <v>516.11</v>
      </c>
      <c r="DA137" s="623">
        <v>523.08000000000004</v>
      </c>
      <c r="DB137" s="725">
        <v>529.87</v>
      </c>
      <c r="DC137" s="659">
        <v>532.11</v>
      </c>
      <c r="DD137" s="783">
        <v>532.69000000000005</v>
      </c>
      <c r="DE137" s="623">
        <v>551.19000000000005</v>
      </c>
      <c r="DF137" s="725">
        <v>551.19000000000005</v>
      </c>
      <c r="DG137" s="659">
        <v>551.19000000000005</v>
      </c>
      <c r="DH137" s="623">
        <v>600.24</v>
      </c>
      <c r="DI137" s="623">
        <v>600.24</v>
      </c>
      <c r="DJ137" s="623">
        <v>611.23</v>
      </c>
      <c r="DK137" s="659">
        <v>625.37</v>
      </c>
      <c r="DL137" s="897">
        <v>635.16999999999996</v>
      </c>
      <c r="DM137" s="110">
        <f t="shared" si="1"/>
        <v>1.0156707229320241</v>
      </c>
      <c r="DN137" s="110"/>
      <c r="DO137" s="110"/>
    </row>
    <row r="138" spans="1:119" s="115" customFormat="1" ht="19.5" customHeight="1">
      <c r="A138" s="114"/>
      <c r="B138" s="613">
        <v>118</v>
      </c>
      <c r="C138" s="614" t="s">
        <v>295</v>
      </c>
      <c r="D138" s="615" t="s">
        <v>296</v>
      </c>
      <c r="E138" s="614" t="s">
        <v>918</v>
      </c>
      <c r="F138" s="615"/>
      <c r="G138" s="614" t="s">
        <v>919</v>
      </c>
      <c r="H138" s="614" t="s">
        <v>920</v>
      </c>
      <c r="I138" s="647" t="s">
        <v>428</v>
      </c>
      <c r="J138" s="652"/>
      <c r="K138" s="671">
        <v>109.5</v>
      </c>
      <c r="L138" s="667">
        <v>113.05</v>
      </c>
      <c r="M138" s="618">
        <v>128.77000000000001</v>
      </c>
      <c r="N138" s="618">
        <v>131.41</v>
      </c>
      <c r="O138" s="618">
        <v>163.56</v>
      </c>
      <c r="P138" s="618">
        <v>176.19</v>
      </c>
      <c r="Q138" s="618">
        <v>203.93</v>
      </c>
      <c r="R138" s="618">
        <v>210.6</v>
      </c>
      <c r="S138" s="618">
        <v>245.08</v>
      </c>
      <c r="T138" s="618">
        <v>245.08</v>
      </c>
      <c r="U138" s="618">
        <v>245.08</v>
      </c>
      <c r="V138" s="618">
        <v>245.08</v>
      </c>
      <c r="W138" s="618">
        <v>245.08</v>
      </c>
      <c r="X138" s="618">
        <v>245.08</v>
      </c>
      <c r="Y138" s="618">
        <v>245.08</v>
      </c>
      <c r="Z138" s="618">
        <v>247.92</v>
      </c>
      <c r="AA138" s="618">
        <v>247.99</v>
      </c>
      <c r="AB138" s="618">
        <v>247.99</v>
      </c>
      <c r="AC138" s="618">
        <v>247.99</v>
      </c>
      <c r="AD138" s="618">
        <v>247.99</v>
      </c>
      <c r="AE138" s="618">
        <v>247.99</v>
      </c>
      <c r="AF138" s="618">
        <v>247.99</v>
      </c>
      <c r="AG138" s="618">
        <v>247.99</v>
      </c>
      <c r="AH138" s="618">
        <v>251.4</v>
      </c>
      <c r="AI138" s="766">
        <v>251.06</v>
      </c>
      <c r="AJ138" s="774">
        <v>251.06</v>
      </c>
      <c r="AK138" s="618">
        <v>264.77999999999997</v>
      </c>
      <c r="AL138" s="618">
        <v>276.06</v>
      </c>
      <c r="AM138" s="618">
        <v>280.27999999999997</v>
      </c>
      <c r="AN138" s="618">
        <v>323.83</v>
      </c>
      <c r="AO138" s="618">
        <v>335.98</v>
      </c>
      <c r="AP138" s="618">
        <v>335.89</v>
      </c>
      <c r="AQ138" s="618">
        <v>335.89</v>
      </c>
      <c r="AR138" s="618">
        <v>335.89</v>
      </c>
      <c r="AS138" s="618">
        <v>335.89</v>
      </c>
      <c r="AT138" s="618">
        <v>369.92</v>
      </c>
      <c r="AU138" s="766">
        <v>369.92</v>
      </c>
      <c r="AV138" s="769">
        <v>369.92</v>
      </c>
      <c r="AW138" s="619">
        <v>369.92</v>
      </c>
      <c r="AX138" s="619">
        <v>369.92</v>
      </c>
      <c r="AY138" s="619">
        <v>382.99</v>
      </c>
      <c r="AZ138" s="619">
        <v>382.99</v>
      </c>
      <c r="BA138" s="619">
        <v>382.99</v>
      </c>
      <c r="BB138" s="619">
        <v>387.31</v>
      </c>
      <c r="BC138" s="620">
        <v>387.31</v>
      </c>
      <c r="BD138" s="619">
        <v>387.31</v>
      </c>
      <c r="BE138" s="620">
        <v>387.31</v>
      </c>
      <c r="BF138" s="620">
        <v>387.31</v>
      </c>
      <c r="BG138" s="750">
        <v>387.31</v>
      </c>
      <c r="BH138" s="662">
        <v>387.31</v>
      </c>
      <c r="BI138" s="617">
        <v>387.31</v>
      </c>
      <c r="BJ138" s="617">
        <v>398.74</v>
      </c>
      <c r="BK138" s="617">
        <v>398.74</v>
      </c>
      <c r="BL138" s="617">
        <v>398.74</v>
      </c>
      <c r="BM138" s="617">
        <v>398.74</v>
      </c>
      <c r="BN138" s="617">
        <v>398.74</v>
      </c>
      <c r="BO138" s="617">
        <v>398.74</v>
      </c>
      <c r="BP138" s="617">
        <v>398.74</v>
      </c>
      <c r="BQ138" s="617">
        <v>398.74</v>
      </c>
      <c r="BR138" s="617">
        <v>398.74</v>
      </c>
      <c r="BS138" s="737">
        <v>400.92</v>
      </c>
      <c r="BT138" s="662">
        <v>400.92</v>
      </c>
      <c r="BU138" s="617">
        <v>400.92</v>
      </c>
      <c r="BV138" s="617">
        <v>408.63</v>
      </c>
      <c r="BW138" s="617">
        <v>409.58</v>
      </c>
      <c r="BX138" s="617">
        <v>411.22</v>
      </c>
      <c r="BY138" s="617">
        <v>411.22</v>
      </c>
      <c r="BZ138" s="617">
        <v>411.22</v>
      </c>
      <c r="CA138" s="617">
        <v>411.22</v>
      </c>
      <c r="CB138" s="617">
        <v>426.09</v>
      </c>
      <c r="CC138" s="617">
        <v>426.09</v>
      </c>
      <c r="CD138" s="617">
        <v>433.44</v>
      </c>
      <c r="CE138" s="737">
        <v>434.48</v>
      </c>
      <c r="CF138" s="662">
        <v>462.37</v>
      </c>
      <c r="CG138" s="617">
        <v>468.42</v>
      </c>
      <c r="CH138" s="617">
        <v>481.11</v>
      </c>
      <c r="CI138" s="617">
        <v>484.53</v>
      </c>
      <c r="CJ138" s="617">
        <v>485.75</v>
      </c>
      <c r="CK138" s="617">
        <v>495.61</v>
      </c>
      <c r="CL138" s="617">
        <v>487.5</v>
      </c>
      <c r="CM138" s="617">
        <v>493.3</v>
      </c>
      <c r="CN138" s="617">
        <v>495.8</v>
      </c>
      <c r="CO138" s="617">
        <v>495.8</v>
      </c>
      <c r="CP138" s="617">
        <v>512.77</v>
      </c>
      <c r="CQ138" s="737">
        <v>512.77</v>
      </c>
      <c r="CR138" s="662">
        <v>512.77</v>
      </c>
      <c r="CS138" s="617">
        <v>512.77</v>
      </c>
      <c r="CT138" s="617">
        <v>512.77</v>
      </c>
      <c r="CU138" s="617">
        <v>512.77</v>
      </c>
      <c r="CV138" s="623">
        <v>534.4</v>
      </c>
      <c r="CW138" s="623">
        <v>534.4</v>
      </c>
      <c r="CX138" s="623">
        <v>512.77</v>
      </c>
      <c r="CY138" s="623">
        <v>512.77</v>
      </c>
      <c r="CZ138" s="623">
        <v>533.47</v>
      </c>
      <c r="DA138" s="623">
        <v>541.41</v>
      </c>
      <c r="DB138" s="725">
        <v>541.6</v>
      </c>
      <c r="DC138" s="659">
        <v>544.76</v>
      </c>
      <c r="DD138" s="783">
        <v>544.57000000000005</v>
      </c>
      <c r="DE138" s="623">
        <v>562.38</v>
      </c>
      <c r="DF138" s="725">
        <v>562.38</v>
      </c>
      <c r="DG138" s="659">
        <v>562.38</v>
      </c>
      <c r="DH138" s="623">
        <v>562.77</v>
      </c>
      <c r="DI138" s="623">
        <v>562.38</v>
      </c>
      <c r="DJ138" s="623">
        <v>562.38</v>
      </c>
      <c r="DK138" s="659">
        <v>556.23</v>
      </c>
      <c r="DL138" s="897">
        <v>556.62</v>
      </c>
      <c r="DM138" s="110">
        <f t="shared" si="1"/>
        <v>1.0007011488053503</v>
      </c>
      <c r="DN138" s="110"/>
      <c r="DO138" s="110"/>
    </row>
    <row r="139" spans="1:119" s="115" customFormat="1" ht="18.95" customHeight="1">
      <c r="A139" s="114"/>
      <c r="B139" s="408">
        <v>119</v>
      </c>
      <c r="C139" s="632" t="s">
        <v>297</v>
      </c>
      <c r="D139" s="622" t="s">
        <v>299</v>
      </c>
      <c r="E139" s="621" t="s">
        <v>918</v>
      </c>
      <c r="F139" s="622"/>
      <c r="G139" s="621" t="s">
        <v>515</v>
      </c>
      <c r="H139" s="621"/>
      <c r="I139" s="390" t="s">
        <v>83</v>
      </c>
      <c r="J139" s="676" t="s">
        <v>758</v>
      </c>
      <c r="K139" s="669">
        <v>100</v>
      </c>
      <c r="L139" s="665">
        <v>133</v>
      </c>
      <c r="M139" s="625">
        <v>167</v>
      </c>
      <c r="N139" s="625">
        <v>214</v>
      </c>
      <c r="O139" s="625">
        <v>231</v>
      </c>
      <c r="P139" s="625">
        <v>281</v>
      </c>
      <c r="Q139" s="625">
        <v>286</v>
      </c>
      <c r="R139" s="625">
        <v>284</v>
      </c>
      <c r="S139" s="625">
        <v>284</v>
      </c>
      <c r="T139" s="625">
        <v>284</v>
      </c>
      <c r="U139" s="625">
        <v>284</v>
      </c>
      <c r="V139" s="625">
        <v>284</v>
      </c>
      <c r="W139" s="625">
        <v>270</v>
      </c>
      <c r="X139" s="625">
        <v>262</v>
      </c>
      <c r="Y139" s="625">
        <v>255</v>
      </c>
      <c r="Z139" s="625">
        <v>251</v>
      </c>
      <c r="AA139" s="625">
        <v>246</v>
      </c>
      <c r="AB139" s="625">
        <v>244</v>
      </c>
      <c r="AC139" s="625">
        <v>240</v>
      </c>
      <c r="AD139" s="625">
        <v>246</v>
      </c>
      <c r="AE139" s="625">
        <v>250</v>
      </c>
      <c r="AF139" s="625">
        <v>249</v>
      </c>
      <c r="AG139" s="625">
        <v>249</v>
      </c>
      <c r="AH139" s="625">
        <v>253</v>
      </c>
      <c r="AI139" s="764">
        <v>251</v>
      </c>
      <c r="AJ139" s="772">
        <v>272</v>
      </c>
      <c r="AK139" s="625">
        <v>288</v>
      </c>
      <c r="AL139" s="625">
        <v>287.5</v>
      </c>
      <c r="AM139" s="625">
        <v>287.5</v>
      </c>
      <c r="AN139" s="625">
        <v>287.5</v>
      </c>
      <c r="AO139" s="625">
        <v>287.5</v>
      </c>
      <c r="AP139" s="625">
        <v>287.5</v>
      </c>
      <c r="AQ139" s="625">
        <v>287.5</v>
      </c>
      <c r="AR139" s="625">
        <v>313.5</v>
      </c>
      <c r="AS139" s="625">
        <v>313.5</v>
      </c>
      <c r="AT139" s="625">
        <v>315.89999999999998</v>
      </c>
      <c r="AU139" s="764">
        <v>315.60000000000002</v>
      </c>
      <c r="AV139" s="752">
        <v>318</v>
      </c>
      <c r="AW139" s="626">
        <v>318</v>
      </c>
      <c r="AX139" s="626">
        <v>330.9</v>
      </c>
      <c r="AY139" s="626">
        <v>346</v>
      </c>
      <c r="AZ139" s="626">
        <v>346</v>
      </c>
      <c r="BA139" s="626">
        <v>346</v>
      </c>
      <c r="BB139" s="626">
        <v>346</v>
      </c>
      <c r="BC139" s="627">
        <v>442.5</v>
      </c>
      <c r="BD139" s="626">
        <v>450.9</v>
      </c>
      <c r="BE139" s="627">
        <v>450.9</v>
      </c>
      <c r="BF139" s="627">
        <v>451.2</v>
      </c>
      <c r="BG139" s="738">
        <v>451.2</v>
      </c>
      <c r="BH139" s="660">
        <v>540.9</v>
      </c>
      <c r="BI139" s="623">
        <v>540.9</v>
      </c>
      <c r="BJ139" s="623">
        <v>621.4</v>
      </c>
      <c r="BK139" s="623">
        <v>634.4</v>
      </c>
      <c r="BL139" s="623">
        <v>665.1</v>
      </c>
      <c r="BM139" s="623">
        <v>669.8</v>
      </c>
      <c r="BN139" s="623">
        <v>669.8</v>
      </c>
      <c r="BO139" s="623">
        <v>681.8</v>
      </c>
      <c r="BP139" s="623">
        <v>682</v>
      </c>
      <c r="BQ139" s="623">
        <v>682</v>
      </c>
      <c r="BR139" s="623">
        <v>682</v>
      </c>
      <c r="BS139" s="659">
        <v>682</v>
      </c>
      <c r="BT139" s="660">
        <v>682</v>
      </c>
      <c r="BU139" s="623">
        <v>682</v>
      </c>
      <c r="BV139" s="623">
        <v>682</v>
      </c>
      <c r="BW139" s="623">
        <v>682.40899999999999</v>
      </c>
      <c r="BX139" s="623">
        <v>702.18700000000001</v>
      </c>
      <c r="BY139" s="623">
        <v>718.96400000000006</v>
      </c>
      <c r="BZ139" s="623">
        <v>724.07899999999995</v>
      </c>
      <c r="CA139" s="623">
        <v>739.01499999999999</v>
      </c>
      <c r="CB139" s="623">
        <v>746.79</v>
      </c>
      <c r="CC139" s="623">
        <v>765.95399999999995</v>
      </c>
      <c r="CD139" s="623">
        <v>756.95399999999995</v>
      </c>
      <c r="CE139" s="659">
        <f>+'ANEXO I CADIEEL'!CE24</f>
        <v>779.52600000000007</v>
      </c>
      <c r="CF139" s="660">
        <f>+'ANEXO I CADIEEL'!CF24</f>
        <v>806.87419999999997</v>
      </c>
      <c r="CG139" s="623">
        <f>+'ANEXO I CADIEEL'!CG24</f>
        <v>813.69420000000002</v>
      </c>
      <c r="CH139" s="623">
        <f>'ANEXO I CADIEEL'!CH24</f>
        <v>827.1296000000001</v>
      </c>
      <c r="CI139" s="623">
        <f>'ANEXO I CADIEEL'!CI24</f>
        <v>863.88939999999991</v>
      </c>
      <c r="CJ139" s="623">
        <f>'ANEXO I CADIEEL'!CJ24</f>
        <v>917.76739999999995</v>
      </c>
      <c r="CK139" s="623">
        <f>'ANEXO I CADIEEL'!CK24</f>
        <v>921.9276000000001</v>
      </c>
      <c r="CL139" s="623">
        <f>'ANEXO I CADIEEL'!CL24</f>
        <v>934.13539999999989</v>
      </c>
      <c r="CM139" s="623">
        <f>'ANEXO I CADIEEL'!CM24</f>
        <v>946.47959999999989</v>
      </c>
      <c r="CN139" s="623">
        <f>'ANEXO I CADIEEL'!CN24</f>
        <v>948.9348</v>
      </c>
      <c r="CO139" s="623">
        <f>'ANEXO I CADIEEL'!CO24</f>
        <v>948.9348</v>
      </c>
      <c r="CP139" s="623">
        <f>+CO139</f>
        <v>948.9348</v>
      </c>
      <c r="CQ139" s="659">
        <f>'ANEXO I CADIEEL'!CQ24</f>
        <v>967.07600000000014</v>
      </c>
      <c r="CR139" s="660">
        <f>'ANEXO I CADIEEL'!CR24</f>
        <v>967.07600000000014</v>
      </c>
      <c r="CS139" s="623">
        <f>'ANEXO I CADIEEL'!CS24</f>
        <v>954.45899999999995</v>
      </c>
      <c r="CT139" s="740" t="s">
        <v>524</v>
      </c>
      <c r="CU139" s="740" t="s">
        <v>524</v>
      </c>
      <c r="CV139" s="740" t="s">
        <v>524</v>
      </c>
      <c r="CW139" s="740" t="s">
        <v>524</v>
      </c>
      <c r="CX139" s="740" t="s">
        <v>524</v>
      </c>
      <c r="CY139" s="740" t="s">
        <v>524</v>
      </c>
      <c r="CZ139" s="740" t="s">
        <v>524</v>
      </c>
      <c r="DA139" s="740" t="s">
        <v>524</v>
      </c>
      <c r="DB139" s="740" t="s">
        <v>524</v>
      </c>
      <c r="DC139" s="777" t="s">
        <v>524</v>
      </c>
      <c r="DD139" s="785" t="s">
        <v>524</v>
      </c>
      <c r="DE139" s="740" t="s">
        <v>524</v>
      </c>
      <c r="DF139" s="797" t="s">
        <v>524</v>
      </c>
      <c r="DG139" s="777" t="s">
        <v>524</v>
      </c>
      <c r="DH139" s="740" t="s">
        <v>524</v>
      </c>
      <c r="DI139" s="740" t="s">
        <v>524</v>
      </c>
      <c r="DJ139" s="740" t="s">
        <v>524</v>
      </c>
      <c r="DK139" s="777" t="s">
        <v>524</v>
      </c>
      <c r="DL139" s="898" t="s">
        <v>524</v>
      </c>
      <c r="DM139" s="110"/>
      <c r="DN139" s="110"/>
      <c r="DO139" s="110"/>
    </row>
    <row r="140" spans="1:119" s="150" customFormat="1" ht="21" customHeight="1">
      <c r="A140" s="148"/>
      <c r="B140" s="408">
        <v>120</v>
      </c>
      <c r="C140" s="633" t="s">
        <v>300</v>
      </c>
      <c r="D140" s="622" t="s">
        <v>301</v>
      </c>
      <c r="E140" s="621" t="s">
        <v>918</v>
      </c>
      <c r="F140" s="622"/>
      <c r="G140" s="621" t="s">
        <v>302</v>
      </c>
      <c r="H140" s="621" t="s">
        <v>930</v>
      </c>
      <c r="I140" s="390" t="s">
        <v>131</v>
      </c>
      <c r="J140" s="674" t="s">
        <v>303</v>
      </c>
      <c r="K140" s="669">
        <v>100.94</v>
      </c>
      <c r="L140" s="665">
        <v>104.95</v>
      </c>
      <c r="M140" s="625">
        <v>106.57</v>
      </c>
      <c r="N140" s="625">
        <v>109.78</v>
      </c>
      <c r="O140" s="625">
        <v>119.75</v>
      </c>
      <c r="P140" s="625">
        <v>124.37</v>
      </c>
      <c r="Q140" s="625">
        <v>130.9</v>
      </c>
      <c r="R140" s="625">
        <v>134.85</v>
      </c>
      <c r="S140" s="625">
        <v>137.69999999999999</v>
      </c>
      <c r="T140" s="625">
        <v>139.46</v>
      </c>
      <c r="U140" s="625">
        <v>140.07</v>
      </c>
      <c r="V140" s="625">
        <v>140.80000000000001</v>
      </c>
      <c r="W140" s="625">
        <v>140.01</v>
      </c>
      <c r="X140" s="625">
        <v>141.44999999999999</v>
      </c>
      <c r="Y140" s="625">
        <v>141.75</v>
      </c>
      <c r="Z140" s="625">
        <v>141.24</v>
      </c>
      <c r="AA140" s="625">
        <v>141.15</v>
      </c>
      <c r="AB140" s="625">
        <v>140.61000000000001</v>
      </c>
      <c r="AC140" s="625">
        <v>140.63</v>
      </c>
      <c r="AD140" s="625">
        <v>140.58000000000001</v>
      </c>
      <c r="AE140" s="625">
        <v>140.38999999999999</v>
      </c>
      <c r="AF140" s="625">
        <v>140.03</v>
      </c>
      <c r="AG140" s="625">
        <v>139.94999999999999</v>
      </c>
      <c r="AH140" s="625">
        <v>140.09</v>
      </c>
      <c r="AI140" s="764">
        <v>140.26</v>
      </c>
      <c r="AJ140" s="772">
        <v>140.37</v>
      </c>
      <c r="AK140" s="625">
        <v>140.76</v>
      </c>
      <c r="AL140" s="625">
        <v>141.28</v>
      </c>
      <c r="AM140" s="625">
        <v>142.16</v>
      </c>
      <c r="AN140" s="625">
        <v>142.86000000000001</v>
      </c>
      <c r="AO140" s="625">
        <v>143.32</v>
      </c>
      <c r="AP140" s="625">
        <v>143.44999999999999</v>
      </c>
      <c r="AQ140" s="625">
        <v>144.04</v>
      </c>
      <c r="AR140" s="625">
        <v>144.29</v>
      </c>
      <c r="AS140" s="625">
        <v>144.72999999999999</v>
      </c>
      <c r="AT140" s="625">
        <v>144.69</v>
      </c>
      <c r="AU140" s="764">
        <v>145.05000000000001</v>
      </c>
      <c r="AV140" s="752">
        <v>146.68</v>
      </c>
      <c r="AW140" s="626">
        <v>147.16999999999999</v>
      </c>
      <c r="AX140" s="626">
        <v>148.66999999999999</v>
      </c>
      <c r="AY140" s="626">
        <v>149.72</v>
      </c>
      <c r="AZ140" s="626">
        <v>150.82</v>
      </c>
      <c r="BA140" s="633">
        <v>151.69</v>
      </c>
      <c r="BB140" s="627">
        <v>153</v>
      </c>
      <c r="BC140" s="627">
        <v>154.37</v>
      </c>
      <c r="BD140" s="626">
        <v>155.03</v>
      </c>
      <c r="BE140" s="627">
        <v>155.78</v>
      </c>
      <c r="BF140" s="627">
        <v>156.41999999999999</v>
      </c>
      <c r="BG140" s="738">
        <v>158.37</v>
      </c>
      <c r="BH140" s="660">
        <v>160.11000000000001</v>
      </c>
      <c r="BI140" s="623">
        <v>160.79</v>
      </c>
      <c r="BJ140" s="623">
        <v>162.30000000000001</v>
      </c>
      <c r="BK140" s="623">
        <v>163.09</v>
      </c>
      <c r="BL140" s="623">
        <v>164.15</v>
      </c>
      <c r="BM140" s="623">
        <v>164.87</v>
      </c>
      <c r="BN140" s="623">
        <v>164.87</v>
      </c>
      <c r="BO140" s="623">
        <v>166.37</v>
      </c>
      <c r="BP140" s="623">
        <v>167.44</v>
      </c>
      <c r="BQ140" s="623">
        <v>168.32</v>
      </c>
      <c r="BR140" s="623">
        <v>169.29</v>
      </c>
      <c r="BS140" s="659">
        <v>169.84</v>
      </c>
      <c r="BT140" s="660">
        <v>171.29</v>
      </c>
      <c r="BU140" s="623">
        <v>172.09</v>
      </c>
      <c r="BV140" s="623">
        <v>173.13</v>
      </c>
      <c r="BW140" s="623">
        <v>173.94</v>
      </c>
      <c r="BX140" s="623">
        <v>175.09</v>
      </c>
      <c r="BY140" s="623">
        <v>176.06</v>
      </c>
      <c r="BZ140" s="623">
        <v>177.8</v>
      </c>
      <c r="CA140" s="623">
        <v>179.28</v>
      </c>
      <c r="CB140" s="623">
        <v>181.32</v>
      </c>
      <c r="CC140" s="623">
        <v>183.6</v>
      </c>
      <c r="CD140" s="623">
        <v>189.58</v>
      </c>
      <c r="CE140" s="659">
        <v>191.16</v>
      </c>
      <c r="CF140" s="660">
        <v>195.51</v>
      </c>
      <c r="CG140" s="623">
        <v>194.85</v>
      </c>
      <c r="CH140" s="623">
        <v>196.29</v>
      </c>
      <c r="CI140" s="623">
        <v>198.49</v>
      </c>
      <c r="CJ140" s="623">
        <f>'ANEXO TRANSP.'!M13</f>
        <v>201.36810500000001</v>
      </c>
      <c r="CK140" s="623">
        <f>'ANEXO TRANSP.'!N13</f>
        <v>200.83218200000002</v>
      </c>
      <c r="CL140" s="623">
        <f>'ANEXO TRANSP.'!O13</f>
        <v>201.64599100000001</v>
      </c>
      <c r="CM140" s="623">
        <f>+'ANEXO TRANSP.'!P13</f>
        <v>202.85678000000001</v>
      </c>
      <c r="CN140" s="623">
        <f>+'ANEXO TRANSP.'!Q13</f>
        <v>203.353005</v>
      </c>
      <c r="CO140" s="623">
        <f>+'ANEXO TRANSP.'!R13</f>
        <v>205.67533800000001</v>
      </c>
      <c r="CP140" s="623">
        <f>+'ANEXO TRANSP.'!S13</f>
        <v>205.695187</v>
      </c>
      <c r="CQ140" s="659">
        <f>+'ANEXO TRANSP.'!T13</f>
        <v>205.55624400000002</v>
      </c>
      <c r="CR140" s="660">
        <f>'ANEXO TRANSP.'!U13</f>
        <v>215.04406600000004</v>
      </c>
      <c r="CS140" s="623">
        <f>'ANEXO TRANSP.'!V13</f>
        <v>223.89671999999999</v>
      </c>
      <c r="CT140" s="623">
        <f>'ANEXO TRANSP.'!W13</f>
        <v>224.43264300000001</v>
      </c>
      <c r="CU140" s="623">
        <f>'ANEXO TRANSP.'!X13</f>
        <v>225.48463999999998</v>
      </c>
      <c r="CV140" s="623">
        <f>'ANEXO TRANSP.'!Y13</f>
        <v>225.56403600000002</v>
      </c>
      <c r="CW140" s="623">
        <f>'ANEXO TRANSP.'!Z13</f>
        <v>226.85422100000002</v>
      </c>
      <c r="CX140" s="623">
        <f>'ANEXO TRANSP.'!AA13</f>
        <v>229.55368500000003</v>
      </c>
      <c r="CY140" s="623">
        <f>'ANEXO TRANSP.'!AB13</f>
        <v>230.20870199999999</v>
      </c>
      <c r="CZ140" s="623">
        <f>'ANEXO TRANSP.'!AC13</f>
        <v>231.37979300000001</v>
      </c>
      <c r="DA140" s="623">
        <f>'ANEXO TRANSP.'!AD13</f>
        <v>232.63028</v>
      </c>
      <c r="DB140" s="659">
        <f>'ANEXO TRANSP.'!AE13</f>
        <v>233.82122000000001</v>
      </c>
      <c r="DC140" s="659">
        <f>'ANEXO TRANSP.'!AF13</f>
        <v>235.36944199999999</v>
      </c>
      <c r="DD140" s="783">
        <f>'ANEXO TRANSP.'!AG13</f>
        <v>236.61992899999998</v>
      </c>
      <c r="DE140" s="623">
        <f>'ANEXO TRANSP.'!AH13</f>
        <v>237.31464400000002</v>
      </c>
      <c r="DF140" s="725">
        <f>'ANEXO TRANSP.'!AI13</f>
        <v>238.664376</v>
      </c>
      <c r="DG140" s="659">
        <f>'ANEXO TRANSP.'!AJ13</f>
        <v>240.609578</v>
      </c>
      <c r="DH140" s="623">
        <f>'ANEXO TRANSP.'!AK13</f>
        <v>241.56233000000003</v>
      </c>
      <c r="DI140" s="623">
        <f>'ANEXO TRANSP.'!AL13</f>
        <v>243.24949500000002</v>
      </c>
      <c r="DJ140" s="623">
        <f>'ANEXO TRANSP.'!AM13</f>
        <v>244.559529</v>
      </c>
      <c r="DK140" s="659">
        <f>'ANEXO TRANSP.'!AN13</f>
        <v>244.99620700000006</v>
      </c>
      <c r="DL140" s="659">
        <f>'ANEXO TRANSP.'!AO13</f>
        <v>245.75046900000001</v>
      </c>
      <c r="DM140" s="110">
        <f t="shared" si="1"/>
        <v>1.0030786680709711</v>
      </c>
      <c r="DN140" s="149"/>
      <c r="DO140" s="149"/>
    </row>
    <row r="141" spans="1:119" s="115" customFormat="1" ht="18.95" customHeight="1">
      <c r="A141" s="114"/>
      <c r="B141" s="408">
        <v>121</v>
      </c>
      <c r="C141" s="632" t="s">
        <v>304</v>
      </c>
      <c r="D141" s="622" t="s">
        <v>745</v>
      </c>
      <c r="E141" s="621" t="s">
        <v>918</v>
      </c>
      <c r="F141" s="622"/>
      <c r="G141" s="621" t="s">
        <v>515</v>
      </c>
      <c r="H141" s="621"/>
      <c r="I141" s="390" t="s">
        <v>306</v>
      </c>
      <c r="J141" s="676" t="s">
        <v>446</v>
      </c>
      <c r="K141" s="669">
        <v>100</v>
      </c>
      <c r="L141" s="665">
        <v>125</v>
      </c>
      <c r="M141" s="625">
        <v>150</v>
      </c>
      <c r="N141" s="625">
        <v>170</v>
      </c>
      <c r="O141" s="625">
        <v>210</v>
      </c>
      <c r="P141" s="625">
        <v>205</v>
      </c>
      <c r="Q141" s="625">
        <v>238</v>
      </c>
      <c r="R141" s="625">
        <v>238</v>
      </c>
      <c r="S141" s="625">
        <v>236</v>
      </c>
      <c r="T141" s="625">
        <v>237</v>
      </c>
      <c r="U141" s="625">
        <v>236</v>
      </c>
      <c r="V141" s="625">
        <v>236</v>
      </c>
      <c r="W141" s="625">
        <v>236</v>
      </c>
      <c r="X141" s="625">
        <v>225</v>
      </c>
      <c r="Y141" s="625">
        <v>225</v>
      </c>
      <c r="Z141" s="625">
        <v>218</v>
      </c>
      <c r="AA141" s="625">
        <v>211</v>
      </c>
      <c r="AB141" s="625">
        <v>205</v>
      </c>
      <c r="AC141" s="625">
        <v>208</v>
      </c>
      <c r="AD141" s="625">
        <v>204</v>
      </c>
      <c r="AE141" s="625">
        <v>208</v>
      </c>
      <c r="AF141" s="625">
        <v>208</v>
      </c>
      <c r="AG141" s="625">
        <v>208</v>
      </c>
      <c r="AH141" s="625">
        <v>229</v>
      </c>
      <c r="AI141" s="764">
        <v>229</v>
      </c>
      <c r="AJ141" s="772">
        <v>247</v>
      </c>
      <c r="AK141" s="625">
        <v>248</v>
      </c>
      <c r="AL141" s="625">
        <v>250.9</v>
      </c>
      <c r="AM141" s="625">
        <v>251.3</v>
      </c>
      <c r="AN141" s="625">
        <v>251.3</v>
      </c>
      <c r="AO141" s="625">
        <v>251.3</v>
      </c>
      <c r="AP141" s="625">
        <v>251.3</v>
      </c>
      <c r="AQ141" s="625">
        <v>251.3</v>
      </c>
      <c r="AR141" s="625">
        <v>276.7</v>
      </c>
      <c r="AS141" s="625">
        <v>276.7</v>
      </c>
      <c r="AT141" s="625">
        <v>285.7</v>
      </c>
      <c r="AU141" s="764">
        <v>284.3</v>
      </c>
      <c r="AV141" s="752">
        <v>313.7</v>
      </c>
      <c r="AW141" s="626">
        <v>313.7</v>
      </c>
      <c r="AX141" s="626">
        <v>315.3</v>
      </c>
      <c r="AY141" s="626">
        <v>315.7</v>
      </c>
      <c r="AZ141" s="626">
        <v>319</v>
      </c>
      <c r="BA141" s="626">
        <v>326.7</v>
      </c>
      <c r="BB141" s="626">
        <v>326.7</v>
      </c>
      <c r="BC141" s="627">
        <v>334</v>
      </c>
      <c r="BD141" s="626">
        <v>337.3</v>
      </c>
      <c r="BE141" s="627">
        <v>337.3</v>
      </c>
      <c r="BF141" s="627">
        <v>345.4</v>
      </c>
      <c r="BG141" s="738">
        <v>345.4</v>
      </c>
      <c r="BH141" s="660">
        <v>316.10000000000002</v>
      </c>
      <c r="BI141" s="623">
        <v>316.10000000000002</v>
      </c>
      <c r="BJ141" s="623">
        <v>365.5</v>
      </c>
      <c r="BK141" s="623">
        <v>359</v>
      </c>
      <c r="BL141" s="623">
        <v>364</v>
      </c>
      <c r="BM141" s="623">
        <v>364</v>
      </c>
      <c r="BN141" s="623">
        <v>375.7</v>
      </c>
      <c r="BO141" s="623">
        <v>375.7</v>
      </c>
      <c r="BP141" s="623">
        <v>385.7</v>
      </c>
      <c r="BQ141" s="623">
        <v>389</v>
      </c>
      <c r="BR141" s="623">
        <v>389</v>
      </c>
      <c r="BS141" s="659">
        <v>389</v>
      </c>
      <c r="BT141" s="660">
        <v>389</v>
      </c>
      <c r="BU141" s="623">
        <v>389</v>
      </c>
      <c r="BV141" s="623">
        <v>389</v>
      </c>
      <c r="BW141" s="623">
        <v>393.47399999999999</v>
      </c>
      <c r="BX141" s="623">
        <v>398.33600000000001</v>
      </c>
      <c r="BY141" s="623">
        <v>415.452</v>
      </c>
      <c r="BZ141" s="623">
        <v>425.76100000000002</v>
      </c>
      <c r="CA141" s="623">
        <v>433.774</v>
      </c>
      <c r="CB141" s="623">
        <v>446.572</v>
      </c>
      <c r="CC141" s="623">
        <f>'ANEXO I CADIEEL'!CC26</f>
        <v>459.68129999999996</v>
      </c>
      <c r="CD141" s="623">
        <f>'ANEXO I CADIEEL'!CD26</f>
        <v>459.68129999999996</v>
      </c>
      <c r="CE141" s="659">
        <f>+'ANEXO I CADIEEL'!CE26</f>
        <v>477.18630000000007</v>
      </c>
      <c r="CF141" s="660">
        <f>+'ANEXO I CADIEEL'!CF26</f>
        <v>508.65639999999996</v>
      </c>
      <c r="CG141" s="623">
        <f>+'ANEXO I CADIEEL'!CG26</f>
        <v>515.89179999999999</v>
      </c>
      <c r="CH141" s="623">
        <f>'ANEXO I CADIEEL'!CH26</f>
        <v>520.05409999999995</v>
      </c>
      <c r="CI141" s="623">
        <f>'ANEXO I CADIEEL'!CI26</f>
        <v>534.44709999999998</v>
      </c>
      <c r="CJ141" s="623">
        <f>'ANEXO I CADIEEL'!CJ26</f>
        <v>544.36659999999995</v>
      </c>
      <c r="CK141" s="623">
        <f>'ANEXO I CADIEEL'!CK26</f>
        <v>555.18079999999998</v>
      </c>
      <c r="CL141" s="623">
        <f>'ANEXO I CADIEEL'!CL26</f>
        <v>564.43899999999996</v>
      </c>
      <c r="CM141" s="623">
        <f>'ANEXO I CADIEEL'!CM26</f>
        <v>575.05870000000004</v>
      </c>
      <c r="CN141" s="623">
        <f>'ANEXO I CADIEEL'!CN26</f>
        <v>579.72669999999994</v>
      </c>
      <c r="CO141" s="623">
        <f>'ANEXO I CADIEEL'!CO26</f>
        <v>579.72669999999994</v>
      </c>
      <c r="CP141" s="623">
        <f>+CO141</f>
        <v>579.72669999999994</v>
      </c>
      <c r="CQ141" s="659">
        <f>'ANEXO I CADIEEL'!CQ26</f>
        <v>607.73469999999998</v>
      </c>
      <c r="CR141" s="660">
        <f>'ANEXO I CADIEEL'!CR26</f>
        <v>607.73469999999998</v>
      </c>
      <c r="CS141" s="623">
        <f>'ANEXO I CADIEEL'!CS26</f>
        <v>611.35239999999999</v>
      </c>
      <c r="CT141" s="740" t="s">
        <v>524</v>
      </c>
      <c r="CU141" s="740" t="s">
        <v>524</v>
      </c>
      <c r="CV141" s="740" t="s">
        <v>524</v>
      </c>
      <c r="CW141" s="740" t="s">
        <v>524</v>
      </c>
      <c r="CX141" s="740" t="s">
        <v>524</v>
      </c>
      <c r="CY141" s="740" t="s">
        <v>524</v>
      </c>
      <c r="CZ141" s="740" t="s">
        <v>524</v>
      </c>
      <c r="DA141" s="740" t="s">
        <v>524</v>
      </c>
      <c r="DB141" s="740" t="s">
        <v>524</v>
      </c>
      <c r="DC141" s="777" t="s">
        <v>524</v>
      </c>
      <c r="DD141" s="785" t="s">
        <v>524</v>
      </c>
      <c r="DE141" s="740" t="s">
        <v>524</v>
      </c>
      <c r="DF141" s="797" t="s">
        <v>524</v>
      </c>
      <c r="DG141" s="777" t="s">
        <v>524</v>
      </c>
      <c r="DH141" s="740" t="s">
        <v>524</v>
      </c>
      <c r="DI141" s="740" t="s">
        <v>524</v>
      </c>
      <c r="DJ141" s="740" t="s">
        <v>524</v>
      </c>
      <c r="DK141" s="777" t="s">
        <v>524</v>
      </c>
      <c r="DL141" s="898" t="s">
        <v>524</v>
      </c>
      <c r="DM141" s="110"/>
      <c r="DN141" s="110"/>
      <c r="DO141" s="110"/>
    </row>
    <row r="142" spans="1:119" s="115" customFormat="1" ht="18.95" customHeight="1">
      <c r="A142" s="114"/>
      <c r="B142" s="408">
        <v>122</v>
      </c>
      <c r="C142" s="621" t="s">
        <v>307</v>
      </c>
      <c r="D142" s="622" t="s">
        <v>308</v>
      </c>
      <c r="E142" s="621" t="s">
        <v>918</v>
      </c>
      <c r="F142" s="622"/>
      <c r="G142" s="621" t="s">
        <v>929</v>
      </c>
      <c r="H142" s="621" t="s">
        <v>930</v>
      </c>
      <c r="I142" s="390" t="s">
        <v>921</v>
      </c>
      <c r="J142" s="651"/>
      <c r="K142" s="669">
        <v>98.4</v>
      </c>
      <c r="L142" s="665">
        <v>106</v>
      </c>
      <c r="M142" s="625">
        <v>122.3</v>
      </c>
      <c r="N142" s="625">
        <v>129.9</v>
      </c>
      <c r="O142" s="625">
        <v>148.5</v>
      </c>
      <c r="P142" s="625">
        <v>159.19999999999999</v>
      </c>
      <c r="Q142" s="625">
        <v>167.4</v>
      </c>
      <c r="R142" s="625">
        <v>168.4</v>
      </c>
      <c r="S142" s="625">
        <v>176.5</v>
      </c>
      <c r="T142" s="625">
        <v>177.5</v>
      </c>
      <c r="U142" s="625">
        <v>185.3</v>
      </c>
      <c r="V142" s="625">
        <v>185.3</v>
      </c>
      <c r="W142" s="625">
        <v>185.3</v>
      </c>
      <c r="X142" s="625">
        <v>185.3</v>
      </c>
      <c r="Y142" s="625">
        <v>185.3</v>
      </c>
      <c r="Z142" s="625">
        <v>185.3</v>
      </c>
      <c r="AA142" s="625">
        <v>185.3</v>
      </c>
      <c r="AB142" s="625">
        <v>185.3</v>
      </c>
      <c r="AC142" s="625">
        <v>185.3</v>
      </c>
      <c r="AD142" s="625">
        <v>185.3</v>
      </c>
      <c r="AE142" s="625">
        <v>186.4</v>
      </c>
      <c r="AF142" s="625">
        <v>188.6</v>
      </c>
      <c r="AG142" s="625">
        <v>190</v>
      </c>
      <c r="AH142" s="625">
        <v>190.9</v>
      </c>
      <c r="AI142" s="764">
        <v>192.1</v>
      </c>
      <c r="AJ142" s="772">
        <v>191.9</v>
      </c>
      <c r="AK142" s="625">
        <v>191.9</v>
      </c>
      <c r="AL142" s="625">
        <v>196.1</v>
      </c>
      <c r="AM142" s="625">
        <v>200.8</v>
      </c>
      <c r="AN142" s="625">
        <v>200.8</v>
      </c>
      <c r="AO142" s="625">
        <v>202.2</v>
      </c>
      <c r="AP142" s="625">
        <v>203.2</v>
      </c>
      <c r="AQ142" s="625">
        <v>208</v>
      </c>
      <c r="AR142" s="625">
        <v>199.3</v>
      </c>
      <c r="AS142" s="625">
        <v>202.5</v>
      </c>
      <c r="AT142" s="625">
        <v>206.2</v>
      </c>
      <c r="AU142" s="764">
        <v>206.6</v>
      </c>
      <c r="AV142" s="752">
        <v>209</v>
      </c>
      <c r="AW142" s="626">
        <v>209</v>
      </c>
      <c r="AX142" s="626">
        <v>209</v>
      </c>
      <c r="AY142" s="626">
        <v>209.6</v>
      </c>
      <c r="AZ142" s="626">
        <v>213.3</v>
      </c>
      <c r="BA142" s="626">
        <v>213.3</v>
      </c>
      <c r="BB142" s="626">
        <v>215.5</v>
      </c>
      <c r="BC142" s="627">
        <v>215.5</v>
      </c>
      <c r="BD142" s="626">
        <v>217.4</v>
      </c>
      <c r="BE142" s="627">
        <v>218.3</v>
      </c>
      <c r="BF142" s="627">
        <v>225.9</v>
      </c>
      <c r="BG142" s="738">
        <v>227.1</v>
      </c>
      <c r="BH142" s="660">
        <v>227.1</v>
      </c>
      <c r="BI142" s="623">
        <v>228.9</v>
      </c>
      <c r="BJ142" s="623">
        <v>244.3</v>
      </c>
      <c r="BK142" s="623">
        <v>244.3</v>
      </c>
      <c r="BL142" s="623">
        <v>251.8</v>
      </c>
      <c r="BM142" s="623">
        <v>251.8</v>
      </c>
      <c r="BN142" s="623">
        <v>262.5</v>
      </c>
      <c r="BO142" s="623">
        <v>264.2</v>
      </c>
      <c r="BP142" s="623">
        <v>268</v>
      </c>
      <c r="BQ142" s="623">
        <v>289</v>
      </c>
      <c r="BR142" s="623">
        <v>289</v>
      </c>
      <c r="BS142" s="659">
        <v>286.8</v>
      </c>
      <c r="BT142" s="660">
        <v>299.7</v>
      </c>
      <c r="BU142" s="623">
        <v>301.3</v>
      </c>
      <c r="BV142" s="623">
        <v>301.3</v>
      </c>
      <c r="BW142" s="623">
        <v>314.2</v>
      </c>
      <c r="BX142" s="623">
        <v>314.2</v>
      </c>
      <c r="BY142" s="623">
        <v>314.60000000000002</v>
      </c>
      <c r="BZ142" s="623">
        <v>319.39999999999998</v>
      </c>
      <c r="CA142" s="623">
        <v>327.2</v>
      </c>
      <c r="CB142" s="623">
        <v>336.6</v>
      </c>
      <c r="CC142" s="623">
        <v>365.2</v>
      </c>
      <c r="CD142" s="623">
        <v>365.2</v>
      </c>
      <c r="CE142" s="659">
        <v>370.5</v>
      </c>
      <c r="CF142" s="660">
        <v>370.5</v>
      </c>
      <c r="CG142" s="623">
        <v>378.7</v>
      </c>
      <c r="CH142" s="623">
        <v>391</v>
      </c>
      <c r="CI142" s="623">
        <v>409.3</v>
      </c>
      <c r="CJ142" s="623">
        <v>428.7</v>
      </c>
      <c r="CK142" s="623">
        <v>433.1</v>
      </c>
      <c r="CL142" s="623">
        <v>433.1</v>
      </c>
      <c r="CM142" s="623">
        <v>433.1</v>
      </c>
      <c r="CN142" s="623">
        <v>437.7</v>
      </c>
      <c r="CO142" s="623">
        <v>451.4</v>
      </c>
      <c r="CP142" s="623">
        <v>458.7</v>
      </c>
      <c r="CQ142" s="659">
        <v>458.7</v>
      </c>
      <c r="CR142" s="660">
        <v>458.7</v>
      </c>
      <c r="CS142" s="623">
        <v>458.7</v>
      </c>
      <c r="CT142" s="623">
        <v>458.7</v>
      </c>
      <c r="CU142" s="623">
        <v>458.7</v>
      </c>
      <c r="CV142" s="623">
        <v>472.4</v>
      </c>
      <c r="CW142" s="623">
        <v>472.4</v>
      </c>
      <c r="CX142" s="623">
        <v>472.4</v>
      </c>
      <c r="CY142" s="623">
        <v>478.7</v>
      </c>
      <c r="CZ142" s="623">
        <v>485.4</v>
      </c>
      <c r="DA142" s="623">
        <v>485.4</v>
      </c>
      <c r="DB142" s="725">
        <v>485.4</v>
      </c>
      <c r="DC142" s="659">
        <v>485.4</v>
      </c>
      <c r="DD142" s="783">
        <v>494.1</v>
      </c>
      <c r="DE142" s="623">
        <v>484</v>
      </c>
      <c r="DF142" s="725">
        <v>484</v>
      </c>
      <c r="DG142" s="659">
        <v>484</v>
      </c>
      <c r="DH142" s="623">
        <v>505.1</v>
      </c>
      <c r="DI142" s="623">
        <v>509.6</v>
      </c>
      <c r="DJ142" s="623">
        <v>510.9</v>
      </c>
      <c r="DK142" s="659">
        <v>521.4</v>
      </c>
      <c r="DL142" s="897">
        <v>521.4</v>
      </c>
      <c r="DM142" s="110">
        <f t="shared" si="1"/>
        <v>1</v>
      </c>
      <c r="DN142" s="110"/>
      <c r="DO142" s="110"/>
    </row>
    <row r="143" spans="1:119" s="115" customFormat="1" ht="18.95" customHeight="1">
      <c r="A143" s="114"/>
      <c r="B143" s="408">
        <v>123</v>
      </c>
      <c r="C143" s="621" t="s">
        <v>309</v>
      </c>
      <c r="D143" s="622" t="s">
        <v>310</v>
      </c>
      <c r="E143" s="621" t="s">
        <v>918</v>
      </c>
      <c r="F143" s="622"/>
      <c r="G143" s="633" t="s">
        <v>919</v>
      </c>
      <c r="H143" s="621" t="s">
        <v>920</v>
      </c>
      <c r="I143" s="390" t="s">
        <v>311</v>
      </c>
      <c r="J143" s="651"/>
      <c r="K143" s="669">
        <v>83.3</v>
      </c>
      <c r="L143" s="665">
        <v>91.78</v>
      </c>
      <c r="M143" s="625">
        <v>105.25</v>
      </c>
      <c r="N143" s="625">
        <v>105.25</v>
      </c>
      <c r="O143" s="625">
        <v>131.77000000000001</v>
      </c>
      <c r="P143" s="625">
        <v>144.78</v>
      </c>
      <c r="Q143" s="625">
        <v>176.83</v>
      </c>
      <c r="R143" s="625">
        <v>176.83</v>
      </c>
      <c r="S143" s="625">
        <v>184.11</v>
      </c>
      <c r="T143" s="625">
        <v>184.11</v>
      </c>
      <c r="U143" s="625">
        <v>190.93</v>
      </c>
      <c r="V143" s="625">
        <v>190.93</v>
      </c>
      <c r="W143" s="625">
        <v>190.93</v>
      </c>
      <c r="X143" s="625">
        <v>197.58</v>
      </c>
      <c r="Y143" s="625">
        <v>197.58</v>
      </c>
      <c r="Z143" s="625">
        <v>197.58</v>
      </c>
      <c r="AA143" s="625">
        <v>197.58</v>
      </c>
      <c r="AB143" s="625">
        <v>197.58</v>
      </c>
      <c r="AC143" s="625">
        <v>197.58</v>
      </c>
      <c r="AD143" s="625">
        <v>197.58</v>
      </c>
      <c r="AE143" s="625">
        <v>197.58</v>
      </c>
      <c r="AF143" s="625">
        <v>197.58</v>
      </c>
      <c r="AG143" s="625">
        <v>197.58</v>
      </c>
      <c r="AH143" s="625">
        <v>197.58</v>
      </c>
      <c r="AI143" s="764">
        <v>197.58</v>
      </c>
      <c r="AJ143" s="772">
        <v>197.58</v>
      </c>
      <c r="AK143" s="625">
        <v>197.58</v>
      </c>
      <c r="AL143" s="625">
        <v>197.58</v>
      </c>
      <c r="AM143" s="625">
        <v>197.58</v>
      </c>
      <c r="AN143" s="625">
        <v>197.58</v>
      </c>
      <c r="AO143" s="625">
        <v>197.58</v>
      </c>
      <c r="AP143" s="625">
        <v>187.58</v>
      </c>
      <c r="AQ143" s="625">
        <v>204.6</v>
      </c>
      <c r="AR143" s="625">
        <v>204.6</v>
      </c>
      <c r="AS143" s="625">
        <v>204.6</v>
      </c>
      <c r="AT143" s="625">
        <v>204.6</v>
      </c>
      <c r="AU143" s="764">
        <v>204.6</v>
      </c>
      <c r="AV143" s="752">
        <v>204.6</v>
      </c>
      <c r="AW143" s="626">
        <v>204.6</v>
      </c>
      <c r="AX143" s="626">
        <v>204.6</v>
      </c>
      <c r="AY143" s="626">
        <v>204.6</v>
      </c>
      <c r="AZ143" s="626">
        <v>204.6</v>
      </c>
      <c r="BA143" s="627">
        <v>204.57</v>
      </c>
      <c r="BB143" s="627">
        <v>204.57</v>
      </c>
      <c r="BC143" s="627">
        <v>204.57</v>
      </c>
      <c r="BD143" s="626">
        <v>204.57</v>
      </c>
      <c r="BE143" s="627">
        <v>204.57</v>
      </c>
      <c r="BF143" s="627">
        <v>204.57</v>
      </c>
      <c r="BG143" s="738">
        <v>204.57</v>
      </c>
      <c r="BH143" s="663">
        <v>204.57</v>
      </c>
      <c r="BI143" s="627">
        <v>204.57</v>
      </c>
      <c r="BJ143" s="627">
        <v>204.57</v>
      </c>
      <c r="BK143" s="627">
        <v>204.57</v>
      </c>
      <c r="BL143" s="627">
        <v>204.57</v>
      </c>
      <c r="BM143" s="627">
        <v>204.57</v>
      </c>
      <c r="BN143" s="627">
        <v>204.57</v>
      </c>
      <c r="BO143" s="627">
        <v>205.34</v>
      </c>
      <c r="BP143" s="627">
        <v>205.34</v>
      </c>
      <c r="BQ143" s="627">
        <v>205.34</v>
      </c>
      <c r="BR143" s="627">
        <v>205.34</v>
      </c>
      <c r="BS143" s="738">
        <v>205.34</v>
      </c>
      <c r="BT143" s="663">
        <v>205.34</v>
      </c>
      <c r="BU143" s="627">
        <v>211.49</v>
      </c>
      <c r="BV143" s="627">
        <v>211.49</v>
      </c>
      <c r="BW143" s="627">
        <v>211.49</v>
      </c>
      <c r="BX143" s="627">
        <v>211.49</v>
      </c>
      <c r="BY143" s="627">
        <v>218.93</v>
      </c>
      <c r="BZ143" s="627">
        <v>218.93</v>
      </c>
      <c r="CA143" s="627">
        <v>218.93</v>
      </c>
      <c r="CB143" s="627">
        <v>218.93</v>
      </c>
      <c r="CC143" s="627">
        <v>223.54</v>
      </c>
      <c r="CD143" s="627">
        <v>223.27</v>
      </c>
      <c r="CE143" s="738">
        <v>227.76</v>
      </c>
      <c r="CF143" s="663">
        <v>227.76</v>
      </c>
      <c r="CG143" s="627">
        <v>227.76</v>
      </c>
      <c r="CH143" s="623">
        <v>227.76</v>
      </c>
      <c r="CI143" s="623">
        <v>234.64</v>
      </c>
      <c r="CJ143" s="623">
        <v>234.64</v>
      </c>
      <c r="CK143" s="623">
        <v>239</v>
      </c>
      <c r="CL143" s="623">
        <v>239</v>
      </c>
      <c r="CM143" s="623">
        <v>239</v>
      </c>
      <c r="CN143" s="623">
        <v>239</v>
      </c>
      <c r="CO143" s="623">
        <v>244.4</v>
      </c>
      <c r="CP143" s="623">
        <v>244.4</v>
      </c>
      <c r="CQ143" s="659">
        <v>244.4</v>
      </c>
      <c r="CR143" s="660">
        <v>244.4</v>
      </c>
      <c r="CS143" s="623">
        <v>244.4</v>
      </c>
      <c r="CT143" s="623">
        <v>244.4</v>
      </c>
      <c r="CU143" s="623">
        <v>244.4</v>
      </c>
      <c r="CV143" s="623">
        <v>244.4</v>
      </c>
      <c r="CW143" s="623">
        <v>244.4</v>
      </c>
      <c r="CX143" s="623">
        <v>251.74</v>
      </c>
      <c r="CY143" s="623">
        <v>251.74</v>
      </c>
      <c r="CZ143" s="623">
        <v>251.74</v>
      </c>
      <c r="DA143" s="623">
        <v>251.74</v>
      </c>
      <c r="DB143" s="725">
        <v>261.74</v>
      </c>
      <c r="DC143" s="659">
        <v>261.74</v>
      </c>
      <c r="DD143" s="783">
        <v>261.74</v>
      </c>
      <c r="DE143" s="623">
        <v>274.87</v>
      </c>
      <c r="DF143" s="725">
        <v>274.87</v>
      </c>
      <c r="DG143" s="659">
        <v>274.87</v>
      </c>
      <c r="DH143" s="623">
        <v>274.87</v>
      </c>
      <c r="DI143" s="623">
        <v>274.87</v>
      </c>
      <c r="DJ143" s="623">
        <v>274.87</v>
      </c>
      <c r="DK143" s="659">
        <v>274.87</v>
      </c>
      <c r="DL143" s="897">
        <v>276.77</v>
      </c>
      <c r="DM143" s="110">
        <f t="shared" si="1"/>
        <v>1.0069123585695055</v>
      </c>
      <c r="DN143" s="110"/>
      <c r="DO143" s="110"/>
    </row>
    <row r="144" spans="1:119" s="115" customFormat="1" ht="18.95" customHeight="1">
      <c r="A144" s="114"/>
      <c r="B144" s="408">
        <v>124</v>
      </c>
      <c r="C144" s="621" t="s">
        <v>312</v>
      </c>
      <c r="D144" s="622" t="s">
        <v>313</v>
      </c>
      <c r="E144" s="621" t="s">
        <v>918</v>
      </c>
      <c r="F144" s="622"/>
      <c r="G144" s="621" t="s">
        <v>929</v>
      </c>
      <c r="H144" s="621" t="s">
        <v>930</v>
      </c>
      <c r="I144" s="390" t="s">
        <v>314</v>
      </c>
      <c r="J144" s="651"/>
      <c r="K144" s="669">
        <v>93.8</v>
      </c>
      <c r="L144" s="665">
        <v>95.6</v>
      </c>
      <c r="M144" s="625">
        <v>98</v>
      </c>
      <c r="N144" s="625">
        <v>105.4</v>
      </c>
      <c r="O144" s="625">
        <v>114.6</v>
      </c>
      <c r="P144" s="625">
        <v>114</v>
      </c>
      <c r="Q144" s="625">
        <v>121.7</v>
      </c>
      <c r="R144" s="625">
        <v>137</v>
      </c>
      <c r="S144" s="625">
        <v>145.5</v>
      </c>
      <c r="T144" s="625">
        <v>151.30000000000001</v>
      </c>
      <c r="U144" s="625">
        <v>159.30000000000001</v>
      </c>
      <c r="V144" s="625">
        <v>166.7</v>
      </c>
      <c r="W144" s="625">
        <v>164.6</v>
      </c>
      <c r="X144" s="625">
        <v>164.7</v>
      </c>
      <c r="Y144" s="625">
        <v>162.1</v>
      </c>
      <c r="Z144" s="625">
        <v>158.69999999999999</v>
      </c>
      <c r="AA144" s="625">
        <v>160.19999999999999</v>
      </c>
      <c r="AB144" s="625">
        <v>164</v>
      </c>
      <c r="AC144" s="625">
        <v>168.5</v>
      </c>
      <c r="AD144" s="625">
        <v>166.6</v>
      </c>
      <c r="AE144" s="625">
        <v>167</v>
      </c>
      <c r="AF144" s="625">
        <v>168</v>
      </c>
      <c r="AG144" s="625">
        <v>167.3</v>
      </c>
      <c r="AH144" s="625">
        <v>166.6</v>
      </c>
      <c r="AI144" s="764">
        <v>170.2</v>
      </c>
      <c r="AJ144" s="772">
        <v>169</v>
      </c>
      <c r="AK144" s="625">
        <v>172.6</v>
      </c>
      <c r="AL144" s="625">
        <v>179.1</v>
      </c>
      <c r="AM144" s="625">
        <v>179.1</v>
      </c>
      <c r="AN144" s="625">
        <v>182.6</v>
      </c>
      <c r="AO144" s="625">
        <v>181.9</v>
      </c>
      <c r="AP144" s="625">
        <v>182.3</v>
      </c>
      <c r="AQ144" s="625">
        <v>185.1</v>
      </c>
      <c r="AR144" s="625">
        <v>187.3</v>
      </c>
      <c r="AS144" s="625">
        <v>185.8</v>
      </c>
      <c r="AT144" s="625">
        <v>191.3</v>
      </c>
      <c r="AU144" s="764">
        <v>195.8</v>
      </c>
      <c r="AV144" s="752">
        <v>199.7</v>
      </c>
      <c r="AW144" s="626">
        <v>205.2</v>
      </c>
      <c r="AX144" s="626">
        <v>205.2</v>
      </c>
      <c r="AY144" s="626">
        <v>202.3</v>
      </c>
      <c r="AZ144" s="626">
        <v>204.3</v>
      </c>
      <c r="BA144" s="626">
        <v>211.9</v>
      </c>
      <c r="BB144" s="626">
        <v>212.9</v>
      </c>
      <c r="BC144" s="627">
        <v>212.9</v>
      </c>
      <c r="BD144" s="626">
        <v>214.9</v>
      </c>
      <c r="BE144" s="627">
        <v>216.8</v>
      </c>
      <c r="BF144" s="627">
        <v>217.5</v>
      </c>
      <c r="BG144" s="738">
        <v>220.4</v>
      </c>
      <c r="BH144" s="660">
        <v>221.2</v>
      </c>
      <c r="BI144" s="623">
        <v>223</v>
      </c>
      <c r="BJ144" s="623">
        <v>218.3</v>
      </c>
      <c r="BK144" s="623">
        <v>225.9</v>
      </c>
      <c r="BL144" s="623">
        <v>231.9</v>
      </c>
      <c r="BM144" s="623">
        <v>234.1</v>
      </c>
      <c r="BN144" s="623">
        <v>238.7</v>
      </c>
      <c r="BO144" s="623">
        <v>240.4</v>
      </c>
      <c r="BP144" s="623">
        <v>240.4</v>
      </c>
      <c r="BQ144" s="623">
        <v>240.4</v>
      </c>
      <c r="BR144" s="623">
        <v>247.3</v>
      </c>
      <c r="BS144" s="659">
        <v>249.2</v>
      </c>
      <c r="BT144" s="660">
        <v>262.60000000000002</v>
      </c>
      <c r="BU144" s="623">
        <v>264.39999999999998</v>
      </c>
      <c r="BV144" s="623">
        <v>277.89999999999998</v>
      </c>
      <c r="BW144" s="623">
        <v>280.5</v>
      </c>
      <c r="BX144" s="623">
        <v>280.7</v>
      </c>
      <c r="BY144" s="623">
        <v>285.7</v>
      </c>
      <c r="BZ144" s="623">
        <v>296</v>
      </c>
      <c r="CA144" s="623">
        <v>297.7</v>
      </c>
      <c r="CB144" s="623">
        <v>297.7</v>
      </c>
      <c r="CC144" s="623">
        <v>301.60000000000002</v>
      </c>
      <c r="CD144" s="623">
        <v>310.2</v>
      </c>
      <c r="CE144" s="659">
        <v>309.3</v>
      </c>
      <c r="CF144" s="660">
        <v>315.3</v>
      </c>
      <c r="CG144" s="623">
        <v>316.39999999999998</v>
      </c>
      <c r="CH144" s="623">
        <v>317</v>
      </c>
      <c r="CI144" s="623">
        <v>335.9</v>
      </c>
      <c r="CJ144" s="623">
        <v>339.2</v>
      </c>
      <c r="CK144" s="623">
        <v>346.3</v>
      </c>
      <c r="CL144" s="623">
        <v>359.9</v>
      </c>
      <c r="CM144" s="623">
        <v>366.1</v>
      </c>
      <c r="CN144" s="623">
        <v>366.1</v>
      </c>
      <c r="CO144" s="623">
        <v>366.1</v>
      </c>
      <c r="CP144" s="623">
        <v>367.8</v>
      </c>
      <c r="CQ144" s="659">
        <v>367.8</v>
      </c>
      <c r="CR144" s="660">
        <v>367.8</v>
      </c>
      <c r="CS144" s="623">
        <v>367.9</v>
      </c>
      <c r="CT144" s="623">
        <v>367.8</v>
      </c>
      <c r="CU144" s="623">
        <v>367.8</v>
      </c>
      <c r="CV144" s="623">
        <v>367.9</v>
      </c>
      <c r="CW144" s="623">
        <v>370.1</v>
      </c>
      <c r="CX144" s="623">
        <v>370.1</v>
      </c>
      <c r="CY144" s="623">
        <v>377.5</v>
      </c>
      <c r="CZ144" s="623">
        <v>379.6</v>
      </c>
      <c r="DA144" s="623">
        <v>379.6</v>
      </c>
      <c r="DB144" s="725">
        <v>379.6</v>
      </c>
      <c r="DC144" s="659">
        <v>380</v>
      </c>
      <c r="DD144" s="783">
        <v>381.8</v>
      </c>
      <c r="DE144" s="623">
        <v>386.7</v>
      </c>
      <c r="DF144" s="725">
        <v>393.7</v>
      </c>
      <c r="DG144" s="659">
        <v>396</v>
      </c>
      <c r="DH144" s="623">
        <v>400.9</v>
      </c>
      <c r="DI144" s="623">
        <v>400.9</v>
      </c>
      <c r="DJ144" s="623">
        <v>400.8</v>
      </c>
      <c r="DK144" s="659">
        <v>407</v>
      </c>
      <c r="DL144" s="897">
        <v>423.2</v>
      </c>
      <c r="DM144" s="110">
        <f t="shared" si="1"/>
        <v>1.0398034398034397</v>
      </c>
      <c r="DN144" s="110"/>
      <c r="DO144" s="110"/>
    </row>
    <row r="145" spans="1:119" s="115" customFormat="1" ht="15.75" customHeight="1">
      <c r="A145" s="114"/>
      <c r="B145" s="408">
        <v>125</v>
      </c>
      <c r="C145" s="621" t="s">
        <v>315</v>
      </c>
      <c r="D145" s="622" t="s">
        <v>316</v>
      </c>
      <c r="E145" s="621" t="s">
        <v>918</v>
      </c>
      <c r="F145" s="622"/>
      <c r="G145" s="621" t="s">
        <v>929</v>
      </c>
      <c r="H145" s="621" t="s">
        <v>930</v>
      </c>
      <c r="I145" s="390" t="s">
        <v>921</v>
      </c>
      <c r="J145" s="651"/>
      <c r="K145" s="669">
        <v>99.7</v>
      </c>
      <c r="L145" s="665">
        <v>104.7</v>
      </c>
      <c r="M145" s="625">
        <v>109.4</v>
      </c>
      <c r="N145" s="625">
        <v>107.5</v>
      </c>
      <c r="O145" s="625">
        <v>116.8</v>
      </c>
      <c r="P145" s="625">
        <v>118.9</v>
      </c>
      <c r="Q145" s="625">
        <v>120.6</v>
      </c>
      <c r="R145" s="625">
        <v>121.9</v>
      </c>
      <c r="S145" s="625">
        <v>123.2</v>
      </c>
      <c r="T145" s="625">
        <v>130.4</v>
      </c>
      <c r="U145" s="625">
        <v>133.1</v>
      </c>
      <c r="V145" s="625">
        <v>140.9</v>
      </c>
      <c r="W145" s="625">
        <v>145.1</v>
      </c>
      <c r="X145" s="625">
        <v>144.5</v>
      </c>
      <c r="Y145" s="625">
        <v>147.1</v>
      </c>
      <c r="Z145" s="625">
        <v>151.30000000000001</v>
      </c>
      <c r="AA145" s="625">
        <v>155</v>
      </c>
      <c r="AB145" s="625">
        <v>154.19999999999999</v>
      </c>
      <c r="AC145" s="625">
        <v>154.1</v>
      </c>
      <c r="AD145" s="625">
        <v>157.1</v>
      </c>
      <c r="AE145" s="625">
        <v>160.9</v>
      </c>
      <c r="AF145" s="625">
        <v>164.9</v>
      </c>
      <c r="AG145" s="625">
        <v>169.4</v>
      </c>
      <c r="AH145" s="625">
        <v>171.3</v>
      </c>
      <c r="AI145" s="764">
        <v>172.8</v>
      </c>
      <c r="AJ145" s="772">
        <v>174.8</v>
      </c>
      <c r="AK145" s="625">
        <v>186.2</v>
      </c>
      <c r="AL145" s="625">
        <v>192.5</v>
      </c>
      <c r="AM145" s="625">
        <v>203.6</v>
      </c>
      <c r="AN145" s="625">
        <v>206.7</v>
      </c>
      <c r="AO145" s="625">
        <v>211.4</v>
      </c>
      <c r="AP145" s="625">
        <v>214.3</v>
      </c>
      <c r="AQ145" s="625">
        <v>219.2</v>
      </c>
      <c r="AR145" s="625">
        <v>219.9</v>
      </c>
      <c r="AS145" s="625">
        <v>221.8</v>
      </c>
      <c r="AT145" s="625">
        <v>223.9</v>
      </c>
      <c r="AU145" s="764">
        <v>227.5</v>
      </c>
      <c r="AV145" s="752">
        <v>229.4</v>
      </c>
      <c r="AW145" s="626">
        <v>234.7</v>
      </c>
      <c r="AX145" s="626">
        <v>243.2</v>
      </c>
      <c r="AY145" s="626">
        <v>244.2</v>
      </c>
      <c r="AZ145" s="626">
        <v>248</v>
      </c>
      <c r="BA145" s="626">
        <v>250.2</v>
      </c>
      <c r="BB145" s="626">
        <v>250.9</v>
      </c>
      <c r="BC145" s="627">
        <v>251.3</v>
      </c>
      <c r="BD145" s="626">
        <v>252.6</v>
      </c>
      <c r="BE145" s="627">
        <v>253.4</v>
      </c>
      <c r="BF145" s="627">
        <v>257.8</v>
      </c>
      <c r="BG145" s="738">
        <v>258.89999999999998</v>
      </c>
      <c r="BH145" s="660">
        <v>263.89999999999998</v>
      </c>
      <c r="BI145" s="623">
        <v>267.2</v>
      </c>
      <c r="BJ145" s="623">
        <v>271.7</v>
      </c>
      <c r="BK145" s="623">
        <v>274.5</v>
      </c>
      <c r="BL145" s="623">
        <v>279.60000000000002</v>
      </c>
      <c r="BM145" s="623">
        <v>280.8</v>
      </c>
      <c r="BN145" s="623">
        <v>281.39999999999998</v>
      </c>
      <c r="BO145" s="623">
        <v>281</v>
      </c>
      <c r="BP145" s="623">
        <v>282.89999999999998</v>
      </c>
      <c r="BQ145" s="623">
        <v>281.3</v>
      </c>
      <c r="BR145" s="623">
        <v>284.89999999999998</v>
      </c>
      <c r="BS145" s="659">
        <v>285.60000000000002</v>
      </c>
      <c r="BT145" s="660">
        <v>295.2</v>
      </c>
      <c r="BU145" s="623">
        <v>300.10000000000002</v>
      </c>
      <c r="BV145" s="623">
        <v>305.8</v>
      </c>
      <c r="BW145" s="623">
        <v>313.3</v>
      </c>
      <c r="BX145" s="623">
        <v>317.39999999999998</v>
      </c>
      <c r="BY145" s="623">
        <v>325.8</v>
      </c>
      <c r="BZ145" s="623">
        <v>335</v>
      </c>
      <c r="CA145" s="623">
        <v>337.7</v>
      </c>
      <c r="CB145" s="623">
        <v>338.9</v>
      </c>
      <c r="CC145" s="623">
        <v>344.7</v>
      </c>
      <c r="CD145" s="623">
        <v>349.3</v>
      </c>
      <c r="CE145" s="659">
        <v>357.2</v>
      </c>
      <c r="CF145" s="660">
        <v>358.2</v>
      </c>
      <c r="CG145" s="623">
        <v>358.2</v>
      </c>
      <c r="CH145" s="623">
        <v>361.1</v>
      </c>
      <c r="CI145" s="623">
        <v>368.5</v>
      </c>
      <c r="CJ145" s="623">
        <v>370.1</v>
      </c>
      <c r="CK145" s="623">
        <v>376.3</v>
      </c>
      <c r="CL145" s="623">
        <v>386.4</v>
      </c>
      <c r="CM145" s="623">
        <v>391.4</v>
      </c>
      <c r="CN145" s="623">
        <v>398.5</v>
      </c>
      <c r="CO145" s="623">
        <v>400</v>
      </c>
      <c r="CP145" s="623">
        <v>407.4</v>
      </c>
      <c r="CQ145" s="659">
        <v>406.9</v>
      </c>
      <c r="CR145" s="660">
        <v>409.3</v>
      </c>
      <c r="CS145" s="623">
        <v>420.4</v>
      </c>
      <c r="CT145" s="623">
        <v>417.1</v>
      </c>
      <c r="CU145" s="623">
        <v>424.4</v>
      </c>
      <c r="CV145" s="623">
        <v>426.1</v>
      </c>
      <c r="CW145" s="623">
        <v>426.7</v>
      </c>
      <c r="CX145" s="623">
        <v>428.6</v>
      </c>
      <c r="CY145" s="623">
        <v>437.3</v>
      </c>
      <c r="CZ145" s="623">
        <v>438.4</v>
      </c>
      <c r="DA145" s="623">
        <v>438.4</v>
      </c>
      <c r="DB145" s="725">
        <v>443.9</v>
      </c>
      <c r="DC145" s="659">
        <v>451.6</v>
      </c>
      <c r="DD145" s="783">
        <v>457.3</v>
      </c>
      <c r="DE145" s="623">
        <v>462.2</v>
      </c>
      <c r="DF145" s="725">
        <v>465.6</v>
      </c>
      <c r="DG145" s="659">
        <v>466.1</v>
      </c>
      <c r="DH145" s="623">
        <v>466.1</v>
      </c>
      <c r="DI145" s="623">
        <v>474.4</v>
      </c>
      <c r="DJ145" s="623">
        <v>481.3</v>
      </c>
      <c r="DK145" s="659">
        <v>482.4</v>
      </c>
      <c r="DL145" s="897">
        <v>487.2</v>
      </c>
      <c r="DM145" s="110">
        <f t="shared" si="1"/>
        <v>1.0099502487562189</v>
      </c>
      <c r="DN145" s="110"/>
      <c r="DO145" s="110"/>
    </row>
    <row r="146" spans="1:119" s="115" customFormat="1" ht="18.95" customHeight="1">
      <c r="A146" s="114"/>
      <c r="B146" s="408">
        <v>126</v>
      </c>
      <c r="C146" s="621" t="s">
        <v>317</v>
      </c>
      <c r="D146" s="622" t="s">
        <v>318</v>
      </c>
      <c r="E146" s="621" t="s">
        <v>918</v>
      </c>
      <c r="F146" s="622"/>
      <c r="G146" s="621" t="s">
        <v>929</v>
      </c>
      <c r="H146" s="621" t="s">
        <v>930</v>
      </c>
      <c r="I146" s="390" t="s">
        <v>921</v>
      </c>
      <c r="J146" s="651"/>
      <c r="K146" s="669">
        <v>100.3</v>
      </c>
      <c r="L146" s="665">
        <v>111.4</v>
      </c>
      <c r="M146" s="625">
        <v>149</v>
      </c>
      <c r="N146" s="625">
        <v>186.9</v>
      </c>
      <c r="O146" s="625">
        <v>229.7</v>
      </c>
      <c r="P146" s="625">
        <v>240.2</v>
      </c>
      <c r="Q146" s="625">
        <v>279.8</v>
      </c>
      <c r="R146" s="625">
        <v>258.89999999999998</v>
      </c>
      <c r="S146" s="625">
        <v>252.5</v>
      </c>
      <c r="T146" s="625">
        <v>286.89999999999998</v>
      </c>
      <c r="U146" s="625">
        <v>297.8</v>
      </c>
      <c r="V146" s="625">
        <v>287.60000000000002</v>
      </c>
      <c r="W146" s="625">
        <v>295.8</v>
      </c>
      <c r="X146" s="625">
        <v>277.5</v>
      </c>
      <c r="Y146" s="625">
        <v>278.8</v>
      </c>
      <c r="Z146" s="625">
        <v>271.89999999999998</v>
      </c>
      <c r="AA146" s="625">
        <v>261.89999999999998</v>
      </c>
      <c r="AB146" s="625">
        <v>272.60000000000002</v>
      </c>
      <c r="AC146" s="625">
        <v>277.39999999999998</v>
      </c>
      <c r="AD146" s="625">
        <v>269.8</v>
      </c>
      <c r="AE146" s="625">
        <v>270.60000000000002</v>
      </c>
      <c r="AF146" s="625">
        <v>286.60000000000002</v>
      </c>
      <c r="AG146" s="625">
        <v>286</v>
      </c>
      <c r="AH146" s="625">
        <v>286</v>
      </c>
      <c r="AI146" s="764">
        <v>292</v>
      </c>
      <c r="AJ146" s="772">
        <v>291.5</v>
      </c>
      <c r="AK146" s="625">
        <v>289.8</v>
      </c>
      <c r="AL146" s="625">
        <v>289.8</v>
      </c>
      <c r="AM146" s="625">
        <v>286.39999999999998</v>
      </c>
      <c r="AN146" s="625">
        <v>289.10000000000002</v>
      </c>
      <c r="AO146" s="625">
        <v>289.10000000000002</v>
      </c>
      <c r="AP146" s="625">
        <v>289.10000000000002</v>
      </c>
      <c r="AQ146" s="625">
        <v>295.8</v>
      </c>
      <c r="AR146" s="625">
        <v>295.8</v>
      </c>
      <c r="AS146" s="625">
        <v>295.8</v>
      </c>
      <c r="AT146" s="625">
        <v>304.8</v>
      </c>
      <c r="AU146" s="764">
        <v>304.8</v>
      </c>
      <c r="AV146" s="752">
        <v>312.3</v>
      </c>
      <c r="AW146" s="626">
        <v>319.7</v>
      </c>
      <c r="AX146" s="626">
        <v>318.2</v>
      </c>
      <c r="AY146" s="626">
        <v>322.89999999999998</v>
      </c>
      <c r="AZ146" s="626">
        <v>326.60000000000002</v>
      </c>
      <c r="BA146" s="626">
        <v>324.39999999999998</v>
      </c>
      <c r="BB146" s="626">
        <v>316.2</v>
      </c>
      <c r="BC146" s="627">
        <v>318.7</v>
      </c>
      <c r="BD146" s="626">
        <v>318.7</v>
      </c>
      <c r="BE146" s="627">
        <v>327</v>
      </c>
      <c r="BF146" s="627">
        <v>336.4</v>
      </c>
      <c r="BG146" s="738">
        <v>325.5</v>
      </c>
      <c r="BH146" s="660">
        <v>336.4</v>
      </c>
      <c r="BI146" s="623">
        <v>331</v>
      </c>
      <c r="BJ146" s="623">
        <v>334.2</v>
      </c>
      <c r="BK146" s="623">
        <v>344</v>
      </c>
      <c r="BL146" s="623">
        <v>344</v>
      </c>
      <c r="BM146" s="623">
        <v>344</v>
      </c>
      <c r="BN146" s="623">
        <v>344</v>
      </c>
      <c r="BO146" s="623">
        <v>344</v>
      </c>
      <c r="BP146" s="623">
        <v>344</v>
      </c>
      <c r="BQ146" s="623">
        <v>344</v>
      </c>
      <c r="BR146" s="623">
        <v>344</v>
      </c>
      <c r="BS146" s="659">
        <v>375.7</v>
      </c>
      <c r="BT146" s="660">
        <v>357.7</v>
      </c>
      <c r="BU146" s="623">
        <v>357.7</v>
      </c>
      <c r="BV146" s="623">
        <v>357.7</v>
      </c>
      <c r="BW146" s="623">
        <v>375.9</v>
      </c>
      <c r="BX146" s="623">
        <v>380</v>
      </c>
      <c r="BY146" s="623">
        <v>402.9</v>
      </c>
      <c r="BZ146" s="623">
        <v>389.9</v>
      </c>
      <c r="CA146" s="623">
        <v>389.9</v>
      </c>
      <c r="CB146" s="623">
        <v>389.9</v>
      </c>
      <c r="CC146" s="623">
        <v>408.1</v>
      </c>
      <c r="CD146" s="623">
        <v>408.1</v>
      </c>
      <c r="CE146" s="659">
        <v>416.2</v>
      </c>
      <c r="CF146" s="660">
        <v>425.3</v>
      </c>
      <c r="CG146" s="623">
        <v>434.5</v>
      </c>
      <c r="CH146" s="623">
        <v>425.3</v>
      </c>
      <c r="CI146" s="623">
        <v>434.5</v>
      </c>
      <c r="CJ146" s="623">
        <v>411.3</v>
      </c>
      <c r="CK146" s="623">
        <v>418.4</v>
      </c>
      <c r="CL146" s="623">
        <v>418.4</v>
      </c>
      <c r="CM146" s="623">
        <v>418.4</v>
      </c>
      <c r="CN146" s="623">
        <v>418.4</v>
      </c>
      <c r="CO146" s="623">
        <v>408.4</v>
      </c>
      <c r="CP146" s="623">
        <v>408.4</v>
      </c>
      <c r="CQ146" s="659">
        <v>408.3</v>
      </c>
      <c r="CR146" s="660">
        <v>408.3</v>
      </c>
      <c r="CS146" s="623">
        <v>408.3</v>
      </c>
      <c r="CT146" s="623">
        <v>408.3</v>
      </c>
      <c r="CU146" s="623">
        <v>428</v>
      </c>
      <c r="CV146" s="623">
        <v>408.3</v>
      </c>
      <c r="CW146" s="623">
        <v>416.3</v>
      </c>
      <c r="CX146" s="623">
        <v>415.4</v>
      </c>
      <c r="CY146" s="623">
        <v>408.3</v>
      </c>
      <c r="CZ146" s="623">
        <v>413.5</v>
      </c>
      <c r="DA146" s="623">
        <v>416.6</v>
      </c>
      <c r="DB146" s="725">
        <v>413.5</v>
      </c>
      <c r="DC146" s="659">
        <v>413.5</v>
      </c>
      <c r="DD146" s="783">
        <v>413.5</v>
      </c>
      <c r="DE146" s="623">
        <v>423.7</v>
      </c>
      <c r="DF146" s="725">
        <v>423.7</v>
      </c>
      <c r="DG146" s="659">
        <v>434.9</v>
      </c>
      <c r="DH146" s="623">
        <v>434.9</v>
      </c>
      <c r="DI146" s="623">
        <v>444.4</v>
      </c>
      <c r="DJ146" s="623">
        <v>444.4</v>
      </c>
      <c r="DK146" s="659">
        <v>444.4</v>
      </c>
      <c r="DL146" s="897">
        <v>448.4</v>
      </c>
      <c r="DM146" s="110">
        <f t="shared" si="1"/>
        <v>1.0090009000900091</v>
      </c>
      <c r="DN146" s="110"/>
      <c r="DO146" s="110"/>
    </row>
    <row r="147" spans="1:119" s="115" customFormat="1" ht="18.95" customHeight="1">
      <c r="A147" s="114"/>
      <c r="B147" s="408">
        <v>127</v>
      </c>
      <c r="C147" s="621" t="s">
        <v>319</v>
      </c>
      <c r="D147" s="622" t="s">
        <v>320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100.9</v>
      </c>
      <c r="L147" s="665">
        <v>100.9</v>
      </c>
      <c r="M147" s="625">
        <v>102.8</v>
      </c>
      <c r="N147" s="625">
        <v>102.1</v>
      </c>
      <c r="O147" s="625">
        <v>107.2</v>
      </c>
      <c r="P147" s="625">
        <v>111.9</v>
      </c>
      <c r="Q147" s="625">
        <v>114.2</v>
      </c>
      <c r="R147" s="625">
        <v>115.5</v>
      </c>
      <c r="S147" s="625">
        <v>118.2</v>
      </c>
      <c r="T147" s="625">
        <v>120</v>
      </c>
      <c r="U147" s="625">
        <v>119.9</v>
      </c>
      <c r="V147" s="625">
        <v>119.9</v>
      </c>
      <c r="W147" s="625">
        <v>122.9</v>
      </c>
      <c r="X147" s="625">
        <v>122.8</v>
      </c>
      <c r="Y147" s="625">
        <v>122.9</v>
      </c>
      <c r="Z147" s="625">
        <v>125.5</v>
      </c>
      <c r="AA147" s="625">
        <v>125.5</v>
      </c>
      <c r="AB147" s="625">
        <v>125.5</v>
      </c>
      <c r="AC147" s="625">
        <v>125.5</v>
      </c>
      <c r="AD147" s="625">
        <v>125.5</v>
      </c>
      <c r="AE147" s="625">
        <v>125.5</v>
      </c>
      <c r="AF147" s="625">
        <v>125.5</v>
      </c>
      <c r="AG147" s="625">
        <v>125.5</v>
      </c>
      <c r="AH147" s="625">
        <v>125.5</v>
      </c>
      <c r="AI147" s="764">
        <v>125.5</v>
      </c>
      <c r="AJ147" s="772">
        <v>125.5</v>
      </c>
      <c r="AK147" s="625">
        <v>125.9</v>
      </c>
      <c r="AL147" s="625">
        <v>129.4</v>
      </c>
      <c r="AM147" s="625">
        <v>129.4</v>
      </c>
      <c r="AN147" s="625">
        <v>134.5</v>
      </c>
      <c r="AO147" s="625">
        <v>134.5</v>
      </c>
      <c r="AP147" s="625">
        <v>134.5</v>
      </c>
      <c r="AQ147" s="625">
        <v>134.5</v>
      </c>
      <c r="AR147" s="625">
        <v>134.5</v>
      </c>
      <c r="AS147" s="625">
        <v>134.5</v>
      </c>
      <c r="AT147" s="625">
        <v>137.19999999999999</v>
      </c>
      <c r="AU147" s="764">
        <v>143.5</v>
      </c>
      <c r="AV147" s="752">
        <v>143.5</v>
      </c>
      <c r="AW147" s="626">
        <v>148.6</v>
      </c>
      <c r="AX147" s="626">
        <v>148.6</v>
      </c>
      <c r="AY147" s="626">
        <v>151.6</v>
      </c>
      <c r="AZ147" s="626">
        <v>151.6</v>
      </c>
      <c r="BA147" s="626">
        <v>152.80000000000001</v>
      </c>
      <c r="BB147" s="626">
        <v>152.80000000000001</v>
      </c>
      <c r="BC147" s="627">
        <v>161.69999999999999</v>
      </c>
      <c r="BD147" s="626">
        <v>163.6</v>
      </c>
      <c r="BE147" s="627">
        <v>165</v>
      </c>
      <c r="BF147" s="627">
        <v>169.9</v>
      </c>
      <c r="BG147" s="738">
        <v>169.3</v>
      </c>
      <c r="BH147" s="660">
        <v>170.2</v>
      </c>
      <c r="BI147" s="623">
        <v>172</v>
      </c>
      <c r="BJ147" s="623">
        <v>172</v>
      </c>
      <c r="BK147" s="623">
        <v>172</v>
      </c>
      <c r="BL147" s="623">
        <v>174.8</v>
      </c>
      <c r="BM147" s="623">
        <v>174.8</v>
      </c>
      <c r="BN147" s="623">
        <v>177</v>
      </c>
      <c r="BO147" s="623">
        <v>180.2</v>
      </c>
      <c r="BP147" s="623">
        <v>180.2</v>
      </c>
      <c r="BQ147" s="623">
        <v>180.2</v>
      </c>
      <c r="BR147" s="623">
        <v>180.2</v>
      </c>
      <c r="BS147" s="659">
        <v>191.6</v>
      </c>
      <c r="BT147" s="660">
        <v>204.6</v>
      </c>
      <c r="BU147" s="623">
        <v>204.6</v>
      </c>
      <c r="BV147" s="623">
        <v>211.9</v>
      </c>
      <c r="BW147" s="623">
        <v>220.3</v>
      </c>
      <c r="BX147" s="623">
        <v>223</v>
      </c>
      <c r="BY147" s="623">
        <v>232</v>
      </c>
      <c r="BZ147" s="623">
        <v>232</v>
      </c>
      <c r="CA147" s="623">
        <v>236.2</v>
      </c>
      <c r="CB147" s="623">
        <v>238.7</v>
      </c>
      <c r="CC147" s="623">
        <v>238.7</v>
      </c>
      <c r="CD147" s="623">
        <v>245.7</v>
      </c>
      <c r="CE147" s="659">
        <v>246.8</v>
      </c>
      <c r="CF147" s="660">
        <v>253.3</v>
      </c>
      <c r="CG147" s="623">
        <v>258.5</v>
      </c>
      <c r="CH147" s="623">
        <v>261.60000000000002</v>
      </c>
      <c r="CI147" s="623">
        <v>261.60000000000002</v>
      </c>
      <c r="CJ147" s="623">
        <v>266.2</v>
      </c>
      <c r="CK147" s="623">
        <v>275.7</v>
      </c>
      <c r="CL147" s="623">
        <v>275.7</v>
      </c>
      <c r="CM147" s="623">
        <v>275.7</v>
      </c>
      <c r="CN147" s="623">
        <v>275.7</v>
      </c>
      <c r="CO147" s="623">
        <v>275.7</v>
      </c>
      <c r="CP147" s="623">
        <v>279.7</v>
      </c>
      <c r="CQ147" s="659">
        <v>283.39999999999998</v>
      </c>
      <c r="CR147" s="660">
        <v>291.3</v>
      </c>
      <c r="CS147" s="623">
        <v>287.3</v>
      </c>
      <c r="CT147" s="623">
        <v>287.3</v>
      </c>
      <c r="CU147" s="623">
        <v>287.3</v>
      </c>
      <c r="CV147" s="623">
        <v>287.3</v>
      </c>
      <c r="CW147" s="623">
        <v>287.3</v>
      </c>
      <c r="CX147" s="623">
        <v>287.3</v>
      </c>
      <c r="CY147" s="623">
        <v>294.5</v>
      </c>
      <c r="CZ147" s="623">
        <v>294.5</v>
      </c>
      <c r="DA147" s="623">
        <v>294.5</v>
      </c>
      <c r="DB147" s="725">
        <v>297.60000000000002</v>
      </c>
      <c r="DC147" s="659">
        <v>297.60000000000002</v>
      </c>
      <c r="DD147" s="783">
        <v>305.2</v>
      </c>
      <c r="DE147" s="623">
        <v>305.2</v>
      </c>
      <c r="DF147" s="725">
        <v>314.39999999999998</v>
      </c>
      <c r="DG147" s="659">
        <v>314.39999999999998</v>
      </c>
      <c r="DH147" s="623">
        <v>327.2</v>
      </c>
      <c r="DI147" s="623">
        <v>318.39999999999998</v>
      </c>
      <c r="DJ147" s="623">
        <v>325.8</v>
      </c>
      <c r="DK147" s="659">
        <v>325.8</v>
      </c>
      <c r="DL147" s="897">
        <v>331.7</v>
      </c>
      <c r="DM147" s="110">
        <f t="shared" si="1"/>
        <v>1.018109269490485</v>
      </c>
      <c r="DN147" s="110"/>
      <c r="DO147" s="110"/>
    </row>
    <row r="148" spans="1:119" s="115" customFormat="1" ht="33.75" customHeight="1">
      <c r="A148" s="114"/>
      <c r="B148" s="408">
        <v>128</v>
      </c>
      <c r="C148" s="621">
        <v>31</v>
      </c>
      <c r="D148" s="622" t="s">
        <v>227</v>
      </c>
      <c r="E148" s="621"/>
      <c r="F148" s="622"/>
      <c r="G148" s="633" t="s">
        <v>405</v>
      </c>
      <c r="H148" s="621" t="s">
        <v>229</v>
      </c>
      <c r="I148" s="390" t="s">
        <v>777</v>
      </c>
      <c r="J148" s="651" t="s">
        <v>321</v>
      </c>
      <c r="K148" s="669"/>
      <c r="L148" s="665"/>
      <c r="M148" s="625"/>
      <c r="N148" s="625"/>
      <c r="O148" s="625"/>
      <c r="P148" s="625"/>
      <c r="Q148" s="625"/>
      <c r="R148" s="625"/>
      <c r="S148" s="625"/>
      <c r="T148" s="625"/>
      <c r="U148" s="625"/>
      <c r="V148" s="625"/>
      <c r="W148" s="625"/>
      <c r="X148" s="625">
        <v>281</v>
      </c>
      <c r="Y148" s="625">
        <v>298.8</v>
      </c>
      <c r="Z148" s="625">
        <v>292.36</v>
      </c>
      <c r="AA148" s="625">
        <v>277.93</v>
      </c>
      <c r="AB148" s="625">
        <v>268.61</v>
      </c>
      <c r="AC148" s="625">
        <v>271.61</v>
      </c>
      <c r="AD148" s="625">
        <v>268.2</v>
      </c>
      <c r="AE148" s="625">
        <v>278.31</v>
      </c>
      <c r="AF148" s="625">
        <v>277.72000000000003</v>
      </c>
      <c r="AG148" s="625">
        <v>273.72000000000003</v>
      </c>
      <c r="AH148" s="625">
        <v>277.72000000000003</v>
      </c>
      <c r="AI148" s="764">
        <v>281.13</v>
      </c>
      <c r="AJ148" s="772">
        <v>276.54000000000002</v>
      </c>
      <c r="AK148" s="625">
        <v>279.49</v>
      </c>
      <c r="AL148" s="625">
        <v>278.31</v>
      </c>
      <c r="AM148" s="625">
        <v>272.54000000000002</v>
      </c>
      <c r="AN148" s="625">
        <v>278.89999999999998</v>
      </c>
      <c r="AO148" s="625">
        <v>281.70999999999998</v>
      </c>
      <c r="AP148" s="625">
        <v>281.01</v>
      </c>
      <c r="AQ148" s="625">
        <v>285.60000000000002</v>
      </c>
      <c r="AR148" s="625">
        <v>284.42</v>
      </c>
      <c r="AS148" s="625">
        <v>283.23</v>
      </c>
      <c r="AT148" s="625">
        <v>247.45</v>
      </c>
      <c r="AU148" s="764">
        <v>282.64999999999998</v>
      </c>
      <c r="AV148" s="752">
        <v>281.47000000000003</v>
      </c>
      <c r="AW148" s="626">
        <v>279.24</v>
      </c>
      <c r="AX148" s="626">
        <v>279.24</v>
      </c>
      <c r="AY148" s="626">
        <v>278.06</v>
      </c>
      <c r="AZ148" s="626">
        <v>278.06</v>
      </c>
      <c r="BA148" s="628">
        <v>276.24</v>
      </c>
      <c r="BB148" s="628">
        <v>274.58</v>
      </c>
      <c r="BC148" s="627">
        <v>275.18</v>
      </c>
      <c r="BD148" s="626">
        <v>278.02999999999997</v>
      </c>
      <c r="BE148" s="627">
        <v>282.77</v>
      </c>
      <c r="BF148" s="627">
        <v>282.18</v>
      </c>
      <c r="BG148" s="738">
        <v>283.83</v>
      </c>
      <c r="BH148" s="660">
        <v>287.95</v>
      </c>
      <c r="BI148" s="623">
        <v>290.83</v>
      </c>
      <c r="BJ148" s="623">
        <v>278.58</v>
      </c>
      <c r="BK148" s="623">
        <v>278.58</v>
      </c>
      <c r="BL148" s="623">
        <v>276.35000000000002</v>
      </c>
      <c r="BM148" s="623">
        <v>279.18</v>
      </c>
      <c r="BN148" s="623">
        <v>279.18</v>
      </c>
      <c r="BO148" s="623">
        <v>278.58</v>
      </c>
      <c r="BP148" s="623">
        <v>280.35000000000002</v>
      </c>
      <c r="BQ148" s="623">
        <v>280.97000000000003</v>
      </c>
      <c r="BR148" s="623">
        <v>279.79000000000002</v>
      </c>
      <c r="BS148" s="659">
        <v>278.14</v>
      </c>
      <c r="BT148" s="660">
        <v>279.79000000000002</v>
      </c>
      <c r="BU148" s="623">
        <v>280.38</v>
      </c>
      <c r="BV148" s="623">
        <v>280.97000000000003</v>
      </c>
      <c r="BW148" s="623">
        <v>280.38</v>
      </c>
      <c r="BX148" s="623">
        <v>279.79000000000002</v>
      </c>
      <c r="BY148" s="623">
        <v>279.2</v>
      </c>
      <c r="BZ148" s="623">
        <v>281.58999999999997</v>
      </c>
      <c r="CA148" s="623">
        <v>285</v>
      </c>
      <c r="CB148" s="623">
        <v>285</v>
      </c>
      <c r="CC148" s="623">
        <v>305.94</v>
      </c>
      <c r="CD148" s="623">
        <v>303.72000000000003</v>
      </c>
      <c r="CE148" s="659">
        <v>304.77</v>
      </c>
      <c r="CF148" s="660">
        <v>303.72000000000003</v>
      </c>
      <c r="CG148" s="623">
        <v>285</v>
      </c>
      <c r="CH148" s="623">
        <v>285</v>
      </c>
      <c r="CI148" s="623">
        <v>285</v>
      </c>
      <c r="CJ148" s="623">
        <v>285.38</v>
      </c>
      <c r="CK148" s="623">
        <v>276.5</v>
      </c>
      <c r="CL148" s="623">
        <v>280.23</v>
      </c>
      <c r="CM148" s="623">
        <v>280.23</v>
      </c>
      <c r="CN148" s="623">
        <v>283.31</v>
      </c>
      <c r="CO148" s="623">
        <v>291.48</v>
      </c>
      <c r="CP148" s="623">
        <v>300.83</v>
      </c>
      <c r="CQ148" s="659">
        <v>309.24</v>
      </c>
      <c r="CR148" s="660">
        <v>311.79000000000002</v>
      </c>
      <c r="CS148" s="623">
        <v>315.57</v>
      </c>
      <c r="CT148" s="623">
        <v>327.07</v>
      </c>
      <c r="CU148" s="623">
        <v>330.23</v>
      </c>
      <c r="CV148" s="623">
        <v>333.4</v>
      </c>
      <c r="CW148" s="623">
        <v>336.55</v>
      </c>
      <c r="CX148" s="623">
        <v>339.11</v>
      </c>
      <c r="CY148" s="623">
        <v>342.03</v>
      </c>
      <c r="CZ148" s="623">
        <v>342.57</v>
      </c>
      <c r="DA148" s="623">
        <v>341.1</v>
      </c>
      <c r="DB148" s="725">
        <v>340.67</v>
      </c>
      <c r="DC148" s="659">
        <v>340.03</v>
      </c>
      <c r="DD148" s="783">
        <v>340.03</v>
      </c>
      <c r="DE148" s="623">
        <v>343.11</v>
      </c>
      <c r="DF148" s="725">
        <v>343.65</v>
      </c>
      <c r="DG148" s="659">
        <v>344.58</v>
      </c>
      <c r="DH148" s="623">
        <v>345.65</v>
      </c>
      <c r="DI148" s="623">
        <v>348.59</v>
      </c>
      <c r="DJ148" s="623">
        <v>341.38</v>
      </c>
      <c r="DK148" s="659">
        <v>341.38</v>
      </c>
      <c r="DL148" s="897">
        <v>350.6</v>
      </c>
      <c r="DM148" s="110">
        <f t="shared" si="1"/>
        <v>1.0270080262464116</v>
      </c>
      <c r="DN148" s="110"/>
      <c r="DO148" s="110"/>
    </row>
    <row r="149" spans="1:119" s="115" customFormat="1" ht="32.25" customHeight="1">
      <c r="A149" s="114"/>
      <c r="B149" s="408">
        <v>129</v>
      </c>
      <c r="C149" s="621">
        <v>3311</v>
      </c>
      <c r="D149" s="622" t="s">
        <v>322</v>
      </c>
      <c r="E149" s="621"/>
      <c r="F149" s="622"/>
      <c r="G149" s="633" t="s">
        <v>403</v>
      </c>
      <c r="H149" s="621"/>
      <c r="I149" s="390" t="s">
        <v>323</v>
      </c>
      <c r="J149" s="651" t="s">
        <v>324</v>
      </c>
      <c r="K149" s="669"/>
      <c r="L149" s="665"/>
      <c r="M149" s="625"/>
      <c r="N149" s="625"/>
      <c r="O149" s="625"/>
      <c r="P149" s="625"/>
      <c r="Q149" s="625"/>
      <c r="R149" s="625"/>
      <c r="S149" s="625"/>
      <c r="T149" s="625"/>
      <c r="U149" s="625"/>
      <c r="V149" s="625"/>
      <c r="W149" s="625"/>
      <c r="X149" s="625">
        <v>172.74</v>
      </c>
      <c r="Y149" s="625">
        <v>174.67</v>
      </c>
      <c r="Z149" s="625">
        <v>174.03</v>
      </c>
      <c r="AA149" s="625">
        <v>173.12</v>
      </c>
      <c r="AB149" s="625">
        <v>172.63</v>
      </c>
      <c r="AC149" s="625">
        <v>172.22</v>
      </c>
      <c r="AD149" s="625">
        <v>171.04</v>
      </c>
      <c r="AE149" s="625">
        <v>172.07</v>
      </c>
      <c r="AF149" s="625">
        <v>171.9</v>
      </c>
      <c r="AG149" s="625">
        <v>171.92</v>
      </c>
      <c r="AH149" s="625">
        <v>172.02</v>
      </c>
      <c r="AI149" s="764">
        <v>172.36</v>
      </c>
      <c r="AJ149" s="772">
        <v>172.43</v>
      </c>
      <c r="AK149" s="625">
        <v>174.48</v>
      </c>
      <c r="AL149" s="625">
        <v>175.49</v>
      </c>
      <c r="AM149" s="625">
        <v>177.04</v>
      </c>
      <c r="AN149" s="625">
        <v>177.37</v>
      </c>
      <c r="AO149" s="625">
        <v>177.32</v>
      </c>
      <c r="AP149" s="625">
        <v>177.79</v>
      </c>
      <c r="AQ149" s="625">
        <v>178.85</v>
      </c>
      <c r="AR149" s="625">
        <v>177.1</v>
      </c>
      <c r="AS149" s="625">
        <v>177.21</v>
      </c>
      <c r="AT149" s="625">
        <v>177.42</v>
      </c>
      <c r="AU149" s="764">
        <v>177.46</v>
      </c>
      <c r="AV149" s="752">
        <v>179.64</v>
      </c>
      <c r="AW149" s="626">
        <v>179.61</v>
      </c>
      <c r="AX149" s="626">
        <v>180.21</v>
      </c>
      <c r="AY149" s="626">
        <v>180.28</v>
      </c>
      <c r="AZ149" s="626">
        <v>180.91</v>
      </c>
      <c r="BA149" s="626">
        <v>180.89</v>
      </c>
      <c r="BB149" s="626">
        <v>187.11</v>
      </c>
      <c r="BC149" s="627">
        <v>187.87</v>
      </c>
      <c r="BD149" s="626">
        <v>188.56</v>
      </c>
      <c r="BE149" s="627">
        <v>189.23</v>
      </c>
      <c r="BF149" s="627">
        <v>188.69</v>
      </c>
      <c r="BG149" s="738">
        <v>190.14</v>
      </c>
      <c r="BH149" s="660">
        <v>189.9</v>
      </c>
      <c r="BI149" s="623">
        <v>190.82</v>
      </c>
      <c r="BJ149" s="623">
        <v>190.85</v>
      </c>
      <c r="BK149" s="623">
        <v>191.97</v>
      </c>
      <c r="BL149" s="623">
        <v>197.61</v>
      </c>
      <c r="BM149" s="623">
        <v>197.89</v>
      </c>
      <c r="BN149" s="623">
        <v>201.4</v>
      </c>
      <c r="BO149" s="623">
        <v>201.63</v>
      </c>
      <c r="BP149" s="623">
        <v>201.66</v>
      </c>
      <c r="BQ149" s="623">
        <v>202.39</v>
      </c>
      <c r="BR149" s="623">
        <v>203.01</v>
      </c>
      <c r="BS149" s="659">
        <v>202.46</v>
      </c>
      <c r="BT149" s="660">
        <v>202.43</v>
      </c>
      <c r="BU149" s="623">
        <v>202.65</v>
      </c>
      <c r="BV149" s="623">
        <v>203.67</v>
      </c>
      <c r="BW149" s="623">
        <v>207.55</v>
      </c>
      <c r="BX149" s="623">
        <v>213.82</v>
      </c>
      <c r="BY149" s="623">
        <v>215.35</v>
      </c>
      <c r="BZ149" s="623">
        <v>216.21</v>
      </c>
      <c r="CA149" s="623">
        <v>222.28</v>
      </c>
      <c r="CB149" s="623">
        <v>222.86</v>
      </c>
      <c r="CC149" s="623">
        <v>224.29</v>
      </c>
      <c r="CD149" s="623">
        <v>224.98</v>
      </c>
      <c r="CE149" s="659">
        <v>226.22</v>
      </c>
      <c r="CF149" s="660">
        <v>226.28</v>
      </c>
      <c r="CG149" s="623">
        <v>230.01</v>
      </c>
      <c r="CH149" s="623">
        <v>230.46</v>
      </c>
      <c r="CI149" s="623">
        <v>235.66</v>
      </c>
      <c r="CJ149" s="623">
        <v>236.94</v>
      </c>
      <c r="CK149" s="623">
        <v>243.88</v>
      </c>
      <c r="CL149" s="623">
        <v>258.69</v>
      </c>
      <c r="CM149" s="623">
        <v>264.14</v>
      </c>
      <c r="CN149" s="623">
        <v>264.69</v>
      </c>
      <c r="CO149" s="623">
        <v>265.37</v>
      </c>
      <c r="CP149" s="623">
        <v>265.57</v>
      </c>
      <c r="CQ149" s="659">
        <v>266.89999999999998</v>
      </c>
      <c r="CR149" s="660">
        <v>267.55</v>
      </c>
      <c r="CS149" s="623">
        <v>267.97000000000003</v>
      </c>
      <c r="CT149" s="623">
        <v>269.63</v>
      </c>
      <c r="CU149" s="623">
        <v>270.49</v>
      </c>
      <c r="CV149" s="623">
        <v>270.8</v>
      </c>
      <c r="CW149" s="623">
        <v>273.39999999999998</v>
      </c>
      <c r="CX149" s="623">
        <v>273.39</v>
      </c>
      <c r="CY149" s="623">
        <v>276.66000000000003</v>
      </c>
      <c r="CZ149" s="623">
        <v>277.75</v>
      </c>
      <c r="DA149" s="623">
        <v>284.45999999999998</v>
      </c>
      <c r="DB149" s="725">
        <v>287.85000000000002</v>
      </c>
      <c r="DC149" s="659">
        <v>287.87</v>
      </c>
      <c r="DD149" s="783">
        <v>295.19</v>
      </c>
      <c r="DE149" s="623">
        <v>290.3</v>
      </c>
      <c r="DF149" s="725">
        <v>294.32</v>
      </c>
      <c r="DG149" s="659">
        <v>294.36</v>
      </c>
      <c r="DH149" s="623">
        <v>303.23</v>
      </c>
      <c r="DI149" s="623">
        <v>303.26</v>
      </c>
      <c r="DJ149" s="623">
        <v>304.22000000000003</v>
      </c>
      <c r="DK149" s="659">
        <v>307.42</v>
      </c>
      <c r="DL149" s="897">
        <v>314.29000000000002</v>
      </c>
      <c r="DM149" s="110">
        <f t="shared" si="1"/>
        <v>1.0223472773404463</v>
      </c>
      <c r="DN149" s="110"/>
      <c r="DO149" s="110"/>
    </row>
    <row r="150" spans="1:119" s="115" customFormat="1" ht="30.75" customHeight="1">
      <c r="A150" s="114"/>
      <c r="B150" s="408">
        <v>130</v>
      </c>
      <c r="C150" s="621">
        <v>33</v>
      </c>
      <c r="D150" s="622" t="s">
        <v>325</v>
      </c>
      <c r="E150" s="621"/>
      <c r="F150" s="622"/>
      <c r="G150" s="633" t="s">
        <v>404</v>
      </c>
      <c r="H150" s="621"/>
      <c r="I150" s="390" t="s">
        <v>326</v>
      </c>
      <c r="J150" s="651" t="s">
        <v>327</v>
      </c>
      <c r="K150" s="669"/>
      <c r="L150" s="665"/>
      <c r="M150" s="625"/>
      <c r="N150" s="625"/>
      <c r="O150" s="625"/>
      <c r="P150" s="625"/>
      <c r="Q150" s="625"/>
      <c r="R150" s="625"/>
      <c r="S150" s="625"/>
      <c r="T150" s="625"/>
      <c r="U150" s="625"/>
      <c r="V150" s="625"/>
      <c r="W150" s="625"/>
      <c r="X150" s="625">
        <v>150.91999999999999</v>
      </c>
      <c r="Y150" s="625">
        <v>151.65</v>
      </c>
      <c r="Z150" s="625">
        <v>151.31</v>
      </c>
      <c r="AA150" s="625">
        <v>150.82</v>
      </c>
      <c r="AB150" s="625">
        <v>150.56</v>
      </c>
      <c r="AC150" s="625">
        <v>150.34</v>
      </c>
      <c r="AD150" s="625">
        <v>149.69999999999999</v>
      </c>
      <c r="AE150" s="625">
        <v>151.1</v>
      </c>
      <c r="AF150" s="625">
        <v>151</v>
      </c>
      <c r="AG150" s="625">
        <v>151.02000000000001</v>
      </c>
      <c r="AH150" s="625">
        <v>151.07</v>
      </c>
      <c r="AI150" s="764">
        <v>151.25</v>
      </c>
      <c r="AJ150" s="772">
        <v>151.29</v>
      </c>
      <c r="AK150" s="625">
        <v>152.38999999999999</v>
      </c>
      <c r="AL150" s="625">
        <v>152.93</v>
      </c>
      <c r="AM150" s="625">
        <v>153.76</v>
      </c>
      <c r="AN150" s="625">
        <v>153.94</v>
      </c>
      <c r="AO150" s="625">
        <v>153.91</v>
      </c>
      <c r="AP150" s="625">
        <v>154.16999999999999</v>
      </c>
      <c r="AQ150" s="625">
        <v>154.72999999999999</v>
      </c>
      <c r="AR150" s="625">
        <v>152.79</v>
      </c>
      <c r="AS150" s="625">
        <v>152.21</v>
      </c>
      <c r="AT150" s="625">
        <v>152.96</v>
      </c>
      <c r="AU150" s="764">
        <v>152.99</v>
      </c>
      <c r="AV150" s="752">
        <v>154.15</v>
      </c>
      <c r="AW150" s="626">
        <v>154.13999999999999</v>
      </c>
      <c r="AX150" s="626">
        <v>154.47</v>
      </c>
      <c r="AY150" s="626">
        <v>154.5</v>
      </c>
      <c r="AZ150" s="626">
        <v>155.05000000000001</v>
      </c>
      <c r="BA150" s="626">
        <v>155.24</v>
      </c>
      <c r="BB150" s="626">
        <v>158.37</v>
      </c>
      <c r="BC150" s="627">
        <v>158.57</v>
      </c>
      <c r="BD150" s="626">
        <v>158.94</v>
      </c>
      <c r="BE150" s="627">
        <v>159.22999999999999</v>
      </c>
      <c r="BF150" s="627">
        <v>159.16</v>
      </c>
      <c r="BG150" s="738">
        <v>159.63999999999999</v>
      </c>
      <c r="BH150" s="660">
        <v>159.96</v>
      </c>
      <c r="BI150" s="623">
        <v>160.49</v>
      </c>
      <c r="BJ150" s="623">
        <v>162.32</v>
      </c>
      <c r="BK150" s="623">
        <v>163.29</v>
      </c>
      <c r="BL150" s="623">
        <v>166.17</v>
      </c>
      <c r="BM150" s="623">
        <v>166.71</v>
      </c>
      <c r="BN150" s="623">
        <v>166.8</v>
      </c>
      <c r="BO150" s="623">
        <v>167</v>
      </c>
      <c r="BP150" s="623">
        <v>166.88</v>
      </c>
      <c r="BQ150" s="623">
        <v>167.44</v>
      </c>
      <c r="BR150" s="623">
        <v>167.56</v>
      </c>
      <c r="BS150" s="659">
        <v>167.26</v>
      </c>
      <c r="BT150" s="660">
        <v>167.92</v>
      </c>
      <c r="BU150" s="623">
        <v>167.22</v>
      </c>
      <c r="BV150" s="623">
        <v>168.46</v>
      </c>
      <c r="BW150" s="623">
        <v>173.26</v>
      </c>
      <c r="BX150" s="623">
        <v>177.77</v>
      </c>
      <c r="BY150" s="623">
        <v>178.55</v>
      </c>
      <c r="BZ150" s="623">
        <v>179</v>
      </c>
      <c r="CA150" s="623">
        <v>184.9</v>
      </c>
      <c r="CB150" s="623">
        <v>187.38</v>
      </c>
      <c r="CC150" s="623">
        <v>189.45</v>
      </c>
      <c r="CD150" s="623">
        <v>189.61</v>
      </c>
      <c r="CE150" s="659">
        <v>190.6</v>
      </c>
      <c r="CF150" s="660">
        <v>191.63</v>
      </c>
      <c r="CG150" s="623">
        <v>193.03</v>
      </c>
      <c r="CH150" s="623">
        <v>196.94</v>
      </c>
      <c r="CI150" s="623">
        <v>199.73</v>
      </c>
      <c r="CJ150" s="623">
        <v>200.9</v>
      </c>
      <c r="CK150" s="623">
        <v>204.83</v>
      </c>
      <c r="CL150" s="623">
        <v>212.32</v>
      </c>
      <c r="CM150" s="623">
        <v>215.18</v>
      </c>
      <c r="CN150" s="623">
        <v>217.95</v>
      </c>
      <c r="CO150" s="623">
        <v>219.35</v>
      </c>
      <c r="CP150" s="623">
        <v>219.89</v>
      </c>
      <c r="CQ150" s="659">
        <v>224.11</v>
      </c>
      <c r="CR150" s="660">
        <v>224.45</v>
      </c>
      <c r="CS150" s="623">
        <v>226.92</v>
      </c>
      <c r="CT150" s="623">
        <v>228.06</v>
      </c>
      <c r="CU150" s="623">
        <v>230.07</v>
      </c>
      <c r="CV150" s="623">
        <v>230.45</v>
      </c>
      <c r="CW150" s="623">
        <v>232.42</v>
      </c>
      <c r="CX150" s="623">
        <v>232.19</v>
      </c>
      <c r="CY150" s="623">
        <v>234.5</v>
      </c>
      <c r="CZ150" s="623">
        <v>236.21</v>
      </c>
      <c r="DA150" s="623">
        <v>239.89</v>
      </c>
      <c r="DB150" s="725">
        <v>242.01</v>
      </c>
      <c r="DC150" s="659">
        <v>242.56</v>
      </c>
      <c r="DD150" s="783">
        <v>247.55</v>
      </c>
      <c r="DE150" s="623">
        <v>245.08</v>
      </c>
      <c r="DF150" s="725">
        <v>249.13</v>
      </c>
      <c r="DG150" s="659">
        <v>249.2</v>
      </c>
      <c r="DH150" s="623">
        <v>253.4</v>
      </c>
      <c r="DI150" s="623">
        <v>253.45</v>
      </c>
      <c r="DJ150" s="623">
        <v>254.51</v>
      </c>
      <c r="DK150" s="659">
        <v>256.37</v>
      </c>
      <c r="DL150" s="897">
        <v>259.33</v>
      </c>
      <c r="DM150" s="110">
        <f t="shared" si="1"/>
        <v>1.0115458126925927</v>
      </c>
      <c r="DN150" s="110"/>
      <c r="DO150" s="110"/>
    </row>
    <row r="151" spans="1:119" s="115" customFormat="1" ht="13.5" customHeight="1">
      <c r="A151" s="114"/>
      <c r="B151" s="408"/>
      <c r="C151" s="621"/>
      <c r="D151" s="622"/>
      <c r="E151" s="621"/>
      <c r="F151" s="622"/>
      <c r="G151" s="621"/>
      <c r="H151" s="621"/>
      <c r="I151" s="390"/>
      <c r="J151" s="651"/>
      <c r="K151" s="669"/>
      <c r="L151" s="665"/>
      <c r="M151" s="625"/>
      <c r="N151" s="625"/>
      <c r="O151" s="625"/>
      <c r="P151" s="625"/>
      <c r="Q151" s="625"/>
      <c r="R151" s="625"/>
      <c r="S151" s="625"/>
      <c r="T151" s="625"/>
      <c r="U151" s="625"/>
      <c r="V151" s="625"/>
      <c r="W151" s="625"/>
      <c r="X151" s="625"/>
      <c r="Y151" s="625"/>
      <c r="Z151" s="625"/>
      <c r="AA151" s="625"/>
      <c r="AB151" s="625"/>
      <c r="AC151" s="625"/>
      <c r="AD151" s="625"/>
      <c r="AE151" s="625"/>
      <c r="AF151" s="625"/>
      <c r="AG151" s="625"/>
      <c r="AH151" s="625"/>
      <c r="AI151" s="764"/>
      <c r="AJ151" s="772"/>
      <c r="AK151" s="625"/>
      <c r="AL151" s="625"/>
      <c r="AM151" s="625"/>
      <c r="AN151" s="625"/>
      <c r="AO151" s="625"/>
      <c r="AP151" s="625"/>
      <c r="AQ151" s="625"/>
      <c r="AR151" s="625"/>
      <c r="AS151" s="625"/>
      <c r="AT151" s="625"/>
      <c r="AU151" s="764"/>
      <c r="AV151" s="752"/>
      <c r="AW151" s="626"/>
      <c r="AX151" s="626"/>
      <c r="AY151" s="626"/>
      <c r="AZ151" s="626"/>
      <c r="BA151" s="628"/>
      <c r="BB151" s="628"/>
      <c r="BC151" s="627"/>
      <c r="BD151" s="626"/>
      <c r="BE151" s="627"/>
      <c r="BF151" s="627"/>
      <c r="BG151" s="738"/>
      <c r="BH151" s="660"/>
      <c r="BI151" s="623"/>
      <c r="BJ151" s="623"/>
      <c r="BK151" s="623"/>
      <c r="BL151" s="623"/>
      <c r="BM151" s="623"/>
      <c r="BN151" s="623"/>
      <c r="BO151" s="623"/>
      <c r="BP151" s="623"/>
      <c r="BQ151" s="623"/>
      <c r="BR151" s="623"/>
      <c r="BS151" s="659"/>
      <c r="BT151" s="660"/>
      <c r="BU151" s="623"/>
      <c r="BV151" s="623"/>
      <c r="BW151" s="623"/>
      <c r="BX151" s="623"/>
      <c r="BY151" s="623"/>
      <c r="BZ151" s="623"/>
      <c r="CA151" s="623"/>
      <c r="CB151" s="623"/>
      <c r="CC151" s="623"/>
      <c r="CD151" s="623"/>
      <c r="CE151" s="659"/>
      <c r="CF151" s="660"/>
      <c r="CG151" s="623"/>
      <c r="CH151" s="623"/>
      <c r="CI151" s="623"/>
      <c r="CJ151" s="623"/>
      <c r="CK151" s="623"/>
      <c r="CL151" s="623"/>
      <c r="CM151" s="623"/>
      <c r="CN151" s="623"/>
      <c r="CO151" s="623"/>
      <c r="CP151" s="623"/>
      <c r="CQ151" s="659"/>
      <c r="CR151" s="660"/>
      <c r="CS151" s="623"/>
      <c r="CT151" s="623"/>
      <c r="CU151" s="623"/>
      <c r="CV151" s="623"/>
      <c r="CW151" s="623"/>
      <c r="CX151" s="623"/>
      <c r="CY151" s="623"/>
      <c r="CZ151" s="623"/>
      <c r="DA151" s="623"/>
      <c r="DB151" s="725"/>
      <c r="DC151" s="659"/>
      <c r="DD151" s="783"/>
      <c r="DE151" s="623"/>
      <c r="DF151" s="725"/>
      <c r="DG151" s="659"/>
      <c r="DH151" s="623"/>
      <c r="DI151" s="623"/>
      <c r="DJ151" s="623"/>
      <c r="DK151" s="659"/>
      <c r="DL151" s="897"/>
      <c r="DM151" s="110"/>
      <c r="DN151" s="110"/>
      <c r="DO151" s="110"/>
    </row>
    <row r="152" spans="1:119" s="115" customFormat="1" ht="25.5" customHeight="1">
      <c r="A152" s="114"/>
      <c r="B152" s="408">
        <v>131</v>
      </c>
      <c r="C152" s="621"/>
      <c r="D152" s="622" t="s">
        <v>328</v>
      </c>
      <c r="E152" s="621"/>
      <c r="F152" s="622"/>
      <c r="G152" s="621" t="s">
        <v>900</v>
      </c>
      <c r="H152" s="621"/>
      <c r="I152" s="390" t="s">
        <v>430</v>
      </c>
      <c r="J152" s="2921" t="s">
        <v>635</v>
      </c>
      <c r="K152" s="669">
        <v>100</v>
      </c>
      <c r="L152" s="665">
        <v>104.37057546329473</v>
      </c>
      <c r="M152" s="625">
        <v>106.62529245673582</v>
      </c>
      <c r="N152" s="625">
        <v>110.80928041801189</v>
      </c>
      <c r="O152" s="625">
        <v>148.52108926290339</v>
      </c>
      <c r="P152" s="625">
        <v>176.74287182652893</v>
      </c>
      <c r="Q152" s="625">
        <v>203.76250318085769</v>
      </c>
      <c r="R152" s="625">
        <v>214.86549871576145</v>
      </c>
      <c r="S152" s="625">
        <v>219.03486108947766</v>
      </c>
      <c r="T152" s="625">
        <v>225.58399917142199</v>
      </c>
      <c r="U152" s="625">
        <v>230.22145055504089</v>
      </c>
      <c r="V152" s="625">
        <v>231.02317013100028</v>
      </c>
      <c r="W152" s="625">
        <v>231.43180172947612</v>
      </c>
      <c r="X152" s="625">
        <v>233.96</v>
      </c>
      <c r="Y152" s="625">
        <v>233.41</v>
      </c>
      <c r="Z152" s="625">
        <v>233.69</v>
      </c>
      <c r="AA152" s="625">
        <v>232.84</v>
      </c>
      <c r="AB152" s="625">
        <v>232.63</v>
      </c>
      <c r="AC152" s="625">
        <v>232.7</v>
      </c>
      <c r="AD152" s="625">
        <v>234.84</v>
      </c>
      <c r="AE152" s="625">
        <v>236.86</v>
      </c>
      <c r="AF152" s="625">
        <v>235.85</v>
      </c>
      <c r="AG152" s="625">
        <v>236.42</v>
      </c>
      <c r="AH152" s="625">
        <v>237.29</v>
      </c>
      <c r="AI152" s="764">
        <v>240.36</v>
      </c>
      <c r="AJ152" s="772">
        <v>243.02</v>
      </c>
      <c r="AK152" s="625">
        <v>246.28</v>
      </c>
      <c r="AL152" s="625">
        <v>249.48</v>
      </c>
      <c r="AM152" s="625">
        <v>251.02</v>
      </c>
      <c r="AN152" s="625">
        <v>255.4</v>
      </c>
      <c r="AO152" s="625">
        <v>257.58999999999997</v>
      </c>
      <c r="AP152" s="625">
        <v>258.29000000000002</v>
      </c>
      <c r="AQ152" s="625">
        <v>263.47000000000003</v>
      </c>
      <c r="AR152" s="625">
        <f>+'ANEXO D'!AD30</f>
        <v>264.89999999999998</v>
      </c>
      <c r="AS152" s="625">
        <f>+'ANEXO D'!AE30</f>
        <v>265.3</v>
      </c>
      <c r="AT152" s="625">
        <f>+'ANEXO D'!AF30</f>
        <v>265.38</v>
      </c>
      <c r="AU152" s="764">
        <f>+'ANEXO D'!AG30</f>
        <v>266.81</v>
      </c>
      <c r="AV152" s="752">
        <f>+'ANEXO D'!AH30</f>
        <v>255.51</v>
      </c>
      <c r="AW152" s="626">
        <f>+'ANEXO D'!AI30</f>
        <v>274.48</v>
      </c>
      <c r="AX152" s="626">
        <f>+'ANEXO D'!AJ30</f>
        <v>285.08</v>
      </c>
      <c r="AY152" s="626">
        <f>+'ANEXO D'!AK30</f>
        <v>286.47000000000003</v>
      </c>
      <c r="AZ152" s="626">
        <f>+'ANEXO D'!AL30</f>
        <v>286.82</v>
      </c>
      <c r="BA152" s="626">
        <f>+'ANEXO D'!AM30</f>
        <v>286.17</v>
      </c>
      <c r="BB152" s="626">
        <f>+'ANEXO D'!AN30</f>
        <v>286.63</v>
      </c>
      <c r="BC152" s="626">
        <f>+'ANEXO D'!AO30</f>
        <v>287.73</v>
      </c>
      <c r="BD152" s="626">
        <f>+'ANEXO D'!AP30</f>
        <v>290.23</v>
      </c>
      <c r="BE152" s="626">
        <f>+'ANEXO D'!AQ30</f>
        <v>291.54000000000002</v>
      </c>
      <c r="BF152" s="626">
        <f>+'ANEXO D'!AR30</f>
        <v>299.19</v>
      </c>
      <c r="BG152" s="749">
        <f>+'ANEXO D'!AS30</f>
        <v>301.79000000000002</v>
      </c>
      <c r="BH152" s="660">
        <f>+'ANEXO D'!AT30</f>
        <v>305.11</v>
      </c>
      <c r="BI152" s="623">
        <f>+'ANEXO D'!AU30</f>
        <v>306.18</v>
      </c>
      <c r="BJ152" s="623">
        <f>+'ANEXO D'!AV30</f>
        <v>309.91000000000003</v>
      </c>
      <c r="BK152" s="623">
        <f>+'ANEXO D'!AW30</f>
        <v>309.91000000000003</v>
      </c>
      <c r="BL152" s="623">
        <f>+'ANEXO D'!AX30</f>
        <v>314.08999999999997</v>
      </c>
      <c r="BM152" s="623">
        <f>+'ANEXO D'!AY30</f>
        <v>316.25</v>
      </c>
      <c r="BN152" s="623">
        <f>+'ANEXO D'!AZ30</f>
        <v>320.33999999999997</v>
      </c>
      <c r="BO152" s="623">
        <f>+'ANEXO D'!BA30</f>
        <v>322.19</v>
      </c>
      <c r="BP152" s="623">
        <f>+'ANEXO D'!BB30</f>
        <v>313</v>
      </c>
      <c r="BQ152" s="623">
        <f>+'ANEXO D'!BC30</f>
        <v>329.04</v>
      </c>
      <c r="BR152" s="623">
        <f>+'ANEXO D'!BD30</f>
        <v>328.71</v>
      </c>
      <c r="BS152" s="659">
        <f>+'ANEXO D'!BE30</f>
        <v>329.53</v>
      </c>
      <c r="BT152" s="660">
        <f>+'ANEXO D'!BF30</f>
        <v>333.82</v>
      </c>
      <c r="BU152" s="623">
        <f>+'ANEXO D'!BG30</f>
        <v>335.28</v>
      </c>
      <c r="BV152" s="623">
        <f>+'ANEXO D'!BH30</f>
        <v>335.83</v>
      </c>
      <c r="BW152" s="623">
        <f>+'ANEXO D'!BI30</f>
        <v>337.63</v>
      </c>
      <c r="BX152" s="623">
        <f>+'ANEXO D'!BJ30</f>
        <v>346.66</v>
      </c>
      <c r="BY152" s="623">
        <f>+'ANEXO D'!BK30</f>
        <v>348.41</v>
      </c>
      <c r="BZ152" s="623">
        <f>+'ANEXO D'!BL30</f>
        <v>355.64</v>
      </c>
      <c r="CA152" s="623">
        <f>+'ANEXO D'!BM30</f>
        <v>359.37</v>
      </c>
      <c r="CB152" s="623">
        <f>+'ANEXO D'!BN30</f>
        <v>361.83</v>
      </c>
      <c r="CC152" s="623">
        <v>364.72</v>
      </c>
      <c r="CD152" s="623">
        <f>+'ANEXO D'!BP30</f>
        <v>368.02</v>
      </c>
      <c r="CE152" s="659">
        <f>+'ANEXO D'!BQ30</f>
        <v>380.08</v>
      </c>
      <c r="CF152" s="660">
        <f>+'ANEXO D'!BR30</f>
        <v>376.75</v>
      </c>
      <c r="CG152" s="623">
        <f>+'ANEXO D'!BS30</f>
        <v>371.39</v>
      </c>
      <c r="CH152" s="623">
        <f>+'ANEXO D'!BT30</f>
        <v>375.08</v>
      </c>
      <c r="CI152" s="623">
        <f>+'ANEXO D'!BU30</f>
        <v>385.93</v>
      </c>
      <c r="CJ152" s="623">
        <f>+'ANEXO D'!BV30</f>
        <v>392.9</v>
      </c>
      <c r="CK152" s="623">
        <f>+'ANEXO D'!BW30</f>
        <v>397.75</v>
      </c>
      <c r="CL152" s="623">
        <f>+'ANEXO D'!BX30</f>
        <v>407.69</v>
      </c>
      <c r="CM152" s="623">
        <f>+'ANEXO D'!BY30</f>
        <v>409.17</v>
      </c>
      <c r="CN152" s="623">
        <f>+'ANEXO D'!BZ30</f>
        <v>414.6</v>
      </c>
      <c r="CO152" s="623">
        <f>+'ANEXO D'!CA30</f>
        <v>418.7</v>
      </c>
      <c r="CP152" s="623">
        <f>+'ANEXO D'!CB30</f>
        <v>422.74</v>
      </c>
      <c r="CQ152" s="659">
        <f>+'ANEXO D'!CC30</f>
        <v>425.11</v>
      </c>
      <c r="CR152" s="660">
        <f>'ANEXO D'!CD30</f>
        <v>428.89</v>
      </c>
      <c r="CS152" s="623">
        <f>'ANEXO D'!CE30</f>
        <v>432.17</v>
      </c>
      <c r="CT152" s="623">
        <f>'ANEXO D'!CF30</f>
        <v>437.04</v>
      </c>
      <c r="CU152" s="623">
        <f>'ANEXO D'!CG30</f>
        <v>443.7</v>
      </c>
      <c r="CV152" s="623">
        <f>'ANEXO D'!CH30</f>
        <v>452.42</v>
      </c>
      <c r="CW152" s="623">
        <f>'ANEXO D'!CI30</f>
        <v>461.64</v>
      </c>
      <c r="CX152" s="623">
        <f>'ANEXO D'!CJ30</f>
        <v>469.59</v>
      </c>
      <c r="CY152" s="623">
        <f>'ANEXO D'!CK30</f>
        <v>474.19</v>
      </c>
      <c r="CZ152" s="623">
        <f>'ANEXO D'!CL30</f>
        <v>476.98</v>
      </c>
      <c r="DA152" s="623">
        <f>'ANEXO D'!CM30</f>
        <v>487.52</v>
      </c>
      <c r="DB152" s="659">
        <f>'ANEXO D'!CN30</f>
        <v>489.46</v>
      </c>
      <c r="DC152" s="659">
        <f>'ANEXO D'!CO30</f>
        <v>490.87</v>
      </c>
      <c r="DD152" s="783">
        <f>'ANEXO D'!CP30</f>
        <v>491.52</v>
      </c>
      <c r="DE152" s="623">
        <f>'ANEXO D'!CQ30</f>
        <v>496.5</v>
      </c>
      <c r="DF152" s="725">
        <f>'ANEXO D'!CR30</f>
        <v>507.87</v>
      </c>
      <c r="DG152" s="659">
        <f>'ANEXO D'!CS30</f>
        <v>517.70000000000005</v>
      </c>
      <c r="DH152" s="623">
        <f>'ANEXO D'!CT30</f>
        <v>532.33000000000004</v>
      </c>
      <c r="DI152" s="623">
        <f>'ANEXO D'!CU30</f>
        <v>541.04</v>
      </c>
      <c r="DJ152" s="623">
        <f>'ANEXO D'!CV30</f>
        <v>548.22</v>
      </c>
      <c r="DK152" s="659">
        <f>'ANEXO D'!CW30</f>
        <v>561.04</v>
      </c>
      <c r="DL152" s="897">
        <f>'ANEXO D'!CX30</f>
        <v>566.73</v>
      </c>
      <c r="DM152" s="110">
        <f t="shared" si="1"/>
        <v>1.0101418793668901</v>
      </c>
      <c r="DN152" s="111"/>
      <c r="DO152" s="111"/>
    </row>
    <row r="153" spans="1:119" s="115" customFormat="1" ht="18.95" customHeight="1">
      <c r="A153" s="114"/>
      <c r="B153" s="408">
        <v>132</v>
      </c>
      <c r="C153" s="621"/>
      <c r="D153" s="622" t="s">
        <v>329</v>
      </c>
      <c r="E153" s="621"/>
      <c r="F153" s="622"/>
      <c r="G153" s="621" t="s">
        <v>900</v>
      </c>
      <c r="H153" s="621"/>
      <c r="I153" s="390" t="s">
        <v>429</v>
      </c>
      <c r="J153" s="2921"/>
      <c r="K153" s="669">
        <v>100</v>
      </c>
      <c r="L153" s="665">
        <v>103.7934543201402</v>
      </c>
      <c r="M153" s="625">
        <v>106.87457893866952</v>
      </c>
      <c r="N153" s="625">
        <v>112.60697926410184</v>
      </c>
      <c r="O153" s="625">
        <v>150.95807763445018</v>
      </c>
      <c r="P153" s="625">
        <v>182.26659300128304</v>
      </c>
      <c r="Q153" s="625">
        <v>212.45694019125477</v>
      </c>
      <c r="R153" s="625">
        <v>225.07458964888869</v>
      </c>
      <c r="S153" s="625">
        <v>230.91151752008113</v>
      </c>
      <c r="T153" s="625">
        <v>240.53172543539068</v>
      </c>
      <c r="U153" s="625">
        <v>245.87571233649248</v>
      </c>
      <c r="V153" s="625">
        <v>246.99320770677079</v>
      </c>
      <c r="W153" s="625">
        <v>247.22168600781256</v>
      </c>
      <c r="X153" s="625">
        <v>252.63</v>
      </c>
      <c r="Y153" s="625">
        <v>252.47</v>
      </c>
      <c r="Z153" s="625">
        <v>253</v>
      </c>
      <c r="AA153" s="625">
        <v>252.4</v>
      </c>
      <c r="AB153" s="625">
        <v>252.16</v>
      </c>
      <c r="AC153" s="625">
        <v>251.88</v>
      </c>
      <c r="AD153" s="625">
        <v>253.28</v>
      </c>
      <c r="AE153" s="625">
        <v>254.14</v>
      </c>
      <c r="AF153" s="625">
        <v>254.05</v>
      </c>
      <c r="AG153" s="625">
        <v>254.45</v>
      </c>
      <c r="AH153" s="625">
        <v>255.04</v>
      </c>
      <c r="AI153" s="764">
        <v>257.42</v>
      </c>
      <c r="AJ153" s="772">
        <v>259.52</v>
      </c>
      <c r="AK153" s="625">
        <v>262.14</v>
      </c>
      <c r="AL153" s="625">
        <v>264.74</v>
      </c>
      <c r="AM153" s="625">
        <v>266.5</v>
      </c>
      <c r="AN153" s="625">
        <v>270.61</v>
      </c>
      <c r="AO153" s="625">
        <v>272.95</v>
      </c>
      <c r="AP153" s="625">
        <v>273.8</v>
      </c>
      <c r="AQ153" s="625">
        <v>280.14</v>
      </c>
      <c r="AR153" s="625">
        <v>282.02</v>
      </c>
      <c r="AS153" s="625">
        <f>+'ANEXO D'!AE55</f>
        <v>282.33</v>
      </c>
      <c r="AT153" s="625">
        <f>+'ANEXO D'!AF55</f>
        <v>282.41000000000003</v>
      </c>
      <c r="AU153" s="764">
        <f>+'ANEXO D'!AG55</f>
        <v>283.58999999999997</v>
      </c>
      <c r="AV153" s="752">
        <f>+'ANEXO D'!AH55</f>
        <v>274.52999999999997</v>
      </c>
      <c r="AW153" s="626">
        <f>+'ANEXO D'!AI55</f>
        <v>289.41000000000003</v>
      </c>
      <c r="AX153" s="626">
        <f>+'ANEXO D'!AJ55</f>
        <v>297.60000000000002</v>
      </c>
      <c r="AY153" s="626">
        <f>+'ANEXO D'!AK55</f>
        <v>298.52999999999997</v>
      </c>
      <c r="AZ153" s="626">
        <f>+'ANEXO D'!AL55</f>
        <v>298.66000000000003</v>
      </c>
      <c r="BA153" s="626">
        <f>+'ANEXO D'!AM55</f>
        <v>297.56</v>
      </c>
      <c r="BB153" s="626">
        <f>+'ANEXO D'!AN55</f>
        <v>297.58999999999997</v>
      </c>
      <c r="BC153" s="626">
        <f>+'ANEXO D'!AO55</f>
        <v>298.42</v>
      </c>
      <c r="BD153" s="626">
        <f>+'ANEXO D'!AP55</f>
        <v>300.43</v>
      </c>
      <c r="BE153" s="626">
        <f>+'ANEXO D'!AQ55</f>
        <v>301.58</v>
      </c>
      <c r="BF153" s="626">
        <f>+'ANEXO D'!AR55</f>
        <v>307.43</v>
      </c>
      <c r="BG153" s="749">
        <f>+'ANEXO D'!AS55</f>
        <v>309.67</v>
      </c>
      <c r="BH153" s="660">
        <f>+'ANEXO D'!AT55</f>
        <v>312.11</v>
      </c>
      <c r="BI153" s="623">
        <f>+'ANEXO D'!AU55</f>
        <v>312.97000000000003</v>
      </c>
      <c r="BJ153" s="623">
        <f>+'ANEXO D'!AV55</f>
        <v>317.39999999999998</v>
      </c>
      <c r="BK153" s="623">
        <f>+'ANEXO D'!AW55</f>
        <v>315.7</v>
      </c>
      <c r="BL153" s="623">
        <f>+'ANEXO D'!AX55</f>
        <v>318.86</v>
      </c>
      <c r="BM153" s="623">
        <f>+'ANEXO D'!AY55</f>
        <v>320.68</v>
      </c>
      <c r="BN153" s="623">
        <f>+'ANEXO D'!AZ55</f>
        <v>323.76</v>
      </c>
      <c r="BO153" s="623">
        <f>+'ANEXO D'!BA55</f>
        <v>325.2</v>
      </c>
      <c r="BP153" s="623">
        <f>+'ANEXO D'!BB55</f>
        <v>319.02</v>
      </c>
      <c r="BQ153" s="623">
        <f>+'ANEXO D'!BC55</f>
        <v>330.18</v>
      </c>
      <c r="BR153" s="623">
        <f>+'ANEXO D'!BD55</f>
        <v>330</v>
      </c>
      <c r="BS153" s="659">
        <f>+'ANEXO D'!BE55</f>
        <v>330.71</v>
      </c>
      <c r="BT153" s="660">
        <f>+'ANEXO D'!BF55</f>
        <v>333.96</v>
      </c>
      <c r="BU153" s="623">
        <f>+'ANEXO D'!BG55</f>
        <v>335.15</v>
      </c>
      <c r="BV153" s="623">
        <f>+'ANEXO D'!BH55</f>
        <v>335.61</v>
      </c>
      <c r="BW153" s="623">
        <f>+'ANEXO D'!BI55</f>
        <v>337</v>
      </c>
      <c r="BX153" s="623">
        <f>+'ANEXO D'!BJ55</f>
        <v>344.55</v>
      </c>
      <c r="BY153" s="623">
        <f>+'ANEXO D'!BK55</f>
        <v>346.3</v>
      </c>
      <c r="BZ153" s="623">
        <f>+'ANEXO D'!BL55</f>
        <v>352.67</v>
      </c>
      <c r="CA153" s="623">
        <f>+'ANEXO D'!BM55</f>
        <v>355.28</v>
      </c>
      <c r="CB153" s="623">
        <f>+'ANEXO D'!BN55</f>
        <v>357.85</v>
      </c>
      <c r="CC153" s="623">
        <v>360.5</v>
      </c>
      <c r="CD153" s="623">
        <f>+'ANEXO D'!BP55</f>
        <v>363.83</v>
      </c>
      <c r="CE153" s="659">
        <f>+'ANEXO D'!BQ55</f>
        <v>374.17</v>
      </c>
      <c r="CF153" s="660">
        <f>+'ANEXO D'!BR55</f>
        <v>371.24</v>
      </c>
      <c r="CG153" s="623">
        <f>+'ANEXO D'!BS55</f>
        <v>363.27</v>
      </c>
      <c r="CH153" s="623">
        <f>+'ANEXO D'!BT55</f>
        <v>366.39</v>
      </c>
      <c r="CI153" s="623">
        <f>+'ANEXO D'!BU55</f>
        <v>375.54</v>
      </c>
      <c r="CJ153" s="623">
        <f>+'ANEXO D'!BV55</f>
        <v>383.43</v>
      </c>
      <c r="CK153" s="623">
        <f>+'ANEXO D'!BW55</f>
        <v>389.57</v>
      </c>
      <c r="CL153" s="623">
        <f>+'ANEXO D'!BX55</f>
        <v>398.65</v>
      </c>
      <c r="CM153" s="623">
        <f>+'ANEXO D'!BY55</f>
        <v>399.95</v>
      </c>
      <c r="CN153" s="623">
        <f>+'ANEXO D'!BZ55</f>
        <v>404.52</v>
      </c>
      <c r="CO153" s="623">
        <f>+'ANEXO D'!CA55</f>
        <v>407.99</v>
      </c>
      <c r="CP153" s="623">
        <f>+'ANEXO D'!CB55</f>
        <v>411.81</v>
      </c>
      <c r="CQ153" s="659">
        <f>+'ANEXO D'!CC55</f>
        <v>414.31</v>
      </c>
      <c r="CR153" s="660">
        <f>'ANEXO D'!CD55</f>
        <v>418.66</v>
      </c>
      <c r="CS153" s="623">
        <f>'ANEXO D'!CE55</f>
        <v>422.92</v>
      </c>
      <c r="CT153" s="623">
        <f>'ANEXO D'!CF55</f>
        <v>428.88</v>
      </c>
      <c r="CU153" s="623">
        <f>'ANEXO D'!CG55</f>
        <v>437.65</v>
      </c>
      <c r="CV153" s="623">
        <f>'ANEXO D'!CH55</f>
        <v>446.67</v>
      </c>
      <c r="CW153" s="623">
        <f>'ANEXO D'!CI55</f>
        <v>456.51</v>
      </c>
      <c r="CX153" s="623">
        <f>'ANEXO D'!CJ55</f>
        <v>466.98</v>
      </c>
      <c r="CY153" s="623">
        <f>'ANEXO D'!CK55</f>
        <v>471.14</v>
      </c>
      <c r="CZ153" s="623">
        <f>'ANEXO D'!CL55</f>
        <v>473.86</v>
      </c>
      <c r="DA153" s="623">
        <f>'ANEXO D'!CM55</f>
        <v>484.62</v>
      </c>
      <c r="DB153" s="659">
        <f>'ANEXO D'!CN55</f>
        <v>486.64</v>
      </c>
      <c r="DC153" s="659">
        <f>'ANEXO D'!CO55</f>
        <v>488.27</v>
      </c>
      <c r="DD153" s="783">
        <f>'ANEXO D'!CP55</f>
        <v>488.93</v>
      </c>
      <c r="DE153" s="623">
        <f>'ANEXO D'!CQ55</f>
        <v>493.43</v>
      </c>
      <c r="DF153" s="725">
        <f>'ANEXO D'!CR55</f>
        <v>503.29</v>
      </c>
      <c r="DG153" s="659">
        <f>'ANEXO D'!CS55</f>
        <v>514.30999999999995</v>
      </c>
      <c r="DH153" s="623">
        <f>'ANEXO D'!CT55</f>
        <v>528.45000000000005</v>
      </c>
      <c r="DI153" s="623">
        <f>'ANEXO D'!CU55</f>
        <v>539.11</v>
      </c>
      <c r="DJ153" s="623">
        <f>'ANEXO D'!CV55</f>
        <v>547.04</v>
      </c>
      <c r="DK153" s="659">
        <f>'ANEXO D'!CW55</f>
        <v>559.29</v>
      </c>
      <c r="DL153" s="897">
        <f>'ANEXO D'!CX55</f>
        <v>565.58000000000004</v>
      </c>
      <c r="DM153" s="110">
        <f t="shared" si="1"/>
        <v>1.0112464016878544</v>
      </c>
      <c r="DN153" s="111"/>
      <c r="DO153" s="111"/>
    </row>
    <row r="154" spans="1:119" s="115" customFormat="1" ht="18.95" customHeight="1">
      <c r="A154" s="114"/>
      <c r="B154" s="408">
        <v>133</v>
      </c>
      <c r="C154" s="621"/>
      <c r="D154" s="622" t="s">
        <v>750</v>
      </c>
      <c r="E154" s="621"/>
      <c r="F154" s="622"/>
      <c r="G154" s="621" t="s">
        <v>900</v>
      </c>
      <c r="H154" s="621"/>
      <c r="I154" s="390" t="s">
        <v>353</v>
      </c>
      <c r="J154" s="2921"/>
      <c r="K154" s="669">
        <v>100</v>
      </c>
      <c r="L154" s="665">
        <v>106.76745057688221</v>
      </c>
      <c r="M154" s="625">
        <v>125.96171214809937</v>
      </c>
      <c r="N154" s="625">
        <v>145.55408379314167</v>
      </c>
      <c r="O154" s="625">
        <v>177.43446161807776</v>
      </c>
      <c r="P154" s="625">
        <v>225.62009710889765</v>
      </c>
      <c r="Q154" s="625">
        <v>252.18389523141474</v>
      </c>
      <c r="R154" s="625">
        <v>263.37354795093842</v>
      </c>
      <c r="S154" s="625">
        <v>278.13928333934348</v>
      </c>
      <c r="T154" s="625">
        <v>284.00878190010491</v>
      </c>
      <c r="U154" s="625">
        <v>287.57535718044227</v>
      </c>
      <c r="V154" s="625">
        <v>276.87501132936205</v>
      </c>
      <c r="W154" s="625">
        <v>275.06840960501353</v>
      </c>
      <c r="X154" s="625">
        <v>275.49</v>
      </c>
      <c r="Y154" s="625">
        <v>274.63</v>
      </c>
      <c r="Z154" s="625">
        <v>268.68</v>
      </c>
      <c r="AA154" s="625">
        <v>263.27999999999997</v>
      </c>
      <c r="AB154" s="625">
        <v>260.02999999999997</v>
      </c>
      <c r="AC154" s="625">
        <v>258.91000000000003</v>
      </c>
      <c r="AD154" s="625">
        <v>257.7</v>
      </c>
      <c r="AE154" s="625">
        <v>260.16000000000003</v>
      </c>
      <c r="AF154" s="625">
        <v>261.08999999999997</v>
      </c>
      <c r="AG154" s="625">
        <v>260</v>
      </c>
      <c r="AH154" s="625">
        <v>261.02</v>
      </c>
      <c r="AI154" s="764">
        <v>264.16000000000003</v>
      </c>
      <c r="AJ154" s="772">
        <v>265.13</v>
      </c>
      <c r="AK154" s="625">
        <v>266.5</v>
      </c>
      <c r="AL154" s="625">
        <v>266.17</v>
      </c>
      <c r="AM154" s="625">
        <v>265.67</v>
      </c>
      <c r="AN154" s="625">
        <v>268.89999999999998</v>
      </c>
      <c r="AO154" s="625">
        <v>271.39999999999998</v>
      </c>
      <c r="AP154" s="625">
        <v>271.89</v>
      </c>
      <c r="AQ154" s="625">
        <v>276.85000000000002</v>
      </c>
      <c r="AR154" s="625">
        <v>275.92</v>
      </c>
      <c r="AS154" s="625">
        <f>+'ANEXO D'!AE74</f>
        <v>275.66000000000003</v>
      </c>
      <c r="AT154" s="625">
        <f>+'ANEXO D'!AF74</f>
        <v>275.74</v>
      </c>
      <c r="AU154" s="764">
        <f>+'ANEXO D'!AG74</f>
        <v>276.77999999999997</v>
      </c>
      <c r="AV154" s="752">
        <f>+'ANEXO D'!AH74</f>
        <v>277.73</v>
      </c>
      <c r="AW154" s="626">
        <f>+'ANEXO D'!AI74</f>
        <v>276.69</v>
      </c>
      <c r="AX154" s="626">
        <f>+'ANEXO D'!AJ74</f>
        <v>285.75</v>
      </c>
      <c r="AY154" s="626">
        <f>+'ANEXO D'!AK74</f>
        <v>286.99</v>
      </c>
      <c r="AZ154" s="626">
        <f>+'ANEXO D'!AL74</f>
        <v>286.69</v>
      </c>
      <c r="BA154" s="626">
        <f>+'ANEXO D'!AM74</f>
        <v>284.73</v>
      </c>
      <c r="BB154" s="626">
        <f>+'ANEXO D'!AN74</f>
        <v>283.41000000000003</v>
      </c>
      <c r="BC154" s="626">
        <f>+'ANEXO D'!AO74</f>
        <v>283.87</v>
      </c>
      <c r="BD154" s="626">
        <f>+'ANEXO D'!AP74</f>
        <v>284.45</v>
      </c>
      <c r="BE154" s="626">
        <f>+'ANEXO D'!AQ74</f>
        <v>285.77</v>
      </c>
      <c r="BF154" s="626">
        <f>+'ANEXO D'!AR74</f>
        <v>292.45999999999998</v>
      </c>
      <c r="BG154" s="749">
        <f>+'ANEXO D'!AS74</f>
        <v>294.37</v>
      </c>
      <c r="BH154" s="660">
        <f>+'ANEXO D'!AT74</f>
        <v>297.16000000000003</v>
      </c>
      <c r="BI154" s="623">
        <f>+'ANEXO D'!AU74</f>
        <v>297.88</v>
      </c>
      <c r="BJ154" s="623">
        <f>+'ANEXO D'!AV74</f>
        <v>301.3</v>
      </c>
      <c r="BK154" s="623">
        <f>+'ANEXO D'!AW74</f>
        <v>297.47000000000003</v>
      </c>
      <c r="BL154" s="623">
        <f>+'ANEXO D'!AX74</f>
        <v>301.13</v>
      </c>
      <c r="BM154" s="623">
        <f>+'ANEXO D'!AY74</f>
        <v>301.64</v>
      </c>
      <c r="BN154" s="623">
        <f>+'ANEXO D'!AZ74</f>
        <v>303.61</v>
      </c>
      <c r="BO154" s="623">
        <f>+'ANEXO D'!BA74</f>
        <v>305.39</v>
      </c>
      <c r="BP154" s="623">
        <f>+'ANEXO D'!BB74</f>
        <v>297.95</v>
      </c>
      <c r="BQ154" s="623">
        <f>+'ANEXO D'!BC74</f>
        <v>308.5</v>
      </c>
      <c r="BR154" s="623">
        <f>+'ANEXO D'!BD74</f>
        <v>306.64999999999998</v>
      </c>
      <c r="BS154" s="659">
        <f>+'ANEXO D'!BE74</f>
        <v>307.02</v>
      </c>
      <c r="BT154" s="660">
        <f>+'ANEXO D'!BF74</f>
        <v>311.25</v>
      </c>
      <c r="BU154" s="623">
        <f>+'ANEXO D'!BG74</f>
        <v>312.58999999999997</v>
      </c>
      <c r="BV154" s="623">
        <f>+'ANEXO D'!BH74</f>
        <v>311.89999999999998</v>
      </c>
      <c r="BW154" s="623">
        <f>+'ANEXO D'!BI74</f>
        <v>312.18</v>
      </c>
      <c r="BX154" s="623">
        <f>+'ANEXO D'!BJ74</f>
        <v>319.77</v>
      </c>
      <c r="BY154" s="623">
        <f>+'ANEXO D'!BK74</f>
        <v>320.72000000000003</v>
      </c>
      <c r="BZ154" s="623">
        <f>+'ANEXO D'!BL74</f>
        <v>326.45999999999998</v>
      </c>
      <c r="CA154" s="623">
        <f>+'ANEXO D'!BM74</f>
        <v>327.22000000000003</v>
      </c>
      <c r="CB154" s="623">
        <f>+'ANEXO D'!BN74</f>
        <v>328.69</v>
      </c>
      <c r="CC154" s="623">
        <v>330.34</v>
      </c>
      <c r="CD154" s="623">
        <f>+'ANEXO D'!BP74</f>
        <v>331.82</v>
      </c>
      <c r="CE154" s="659">
        <f>+'ANEXO D'!BQ74</f>
        <v>341.91</v>
      </c>
      <c r="CF154" s="660">
        <f>+'ANEXO D'!BR74</f>
        <v>333.8</v>
      </c>
      <c r="CG154" s="623">
        <f>+'ANEXO D'!BS74</f>
        <v>329.11</v>
      </c>
      <c r="CH154" s="623">
        <f>+'ANEXO D'!BT74</f>
        <v>332.33</v>
      </c>
      <c r="CI154" s="623">
        <f>+'ANEXO D'!BU74</f>
        <v>342.36</v>
      </c>
      <c r="CJ154" s="623">
        <f>+'ANEXO D'!BV74</f>
        <v>348.66</v>
      </c>
      <c r="CK154" s="623">
        <f>+'ANEXO D'!BW74</f>
        <v>351.55</v>
      </c>
      <c r="CL154" s="623">
        <f>+'ANEXO D'!BX74</f>
        <v>359.26</v>
      </c>
      <c r="CM154" s="623">
        <f>+'ANEXO D'!BY74</f>
        <v>359.59</v>
      </c>
      <c r="CN154" s="623">
        <f>+'ANEXO D'!BZ74</f>
        <v>362.09</v>
      </c>
      <c r="CO154" s="623">
        <f>+'ANEXO D'!CA74</f>
        <v>366.49</v>
      </c>
      <c r="CP154" s="623">
        <f>+'ANEXO D'!CB74</f>
        <v>368.38</v>
      </c>
      <c r="CQ154" s="659">
        <f>+'ANEXO D'!CC74</f>
        <v>371.37</v>
      </c>
      <c r="CR154" s="660">
        <f>+'ANEXO D'!CD74</f>
        <v>374.55</v>
      </c>
      <c r="CS154" s="623">
        <f>+'ANEXO D'!CE74</f>
        <v>379.25</v>
      </c>
      <c r="CT154" s="623">
        <f>+'ANEXO D'!CF74</f>
        <v>385.26</v>
      </c>
      <c r="CU154" s="623">
        <f>+'ANEXO D'!CG74</f>
        <v>393.78</v>
      </c>
      <c r="CV154" s="623">
        <f>+'ANEXO D'!CH74</f>
        <v>401.7</v>
      </c>
      <c r="CW154" s="623">
        <f>+'ANEXO D'!CI74</f>
        <v>409.83</v>
      </c>
      <c r="CX154" s="623">
        <f>+'ANEXO D'!CJ74</f>
        <v>418.31</v>
      </c>
      <c r="CY154" s="623">
        <f>+'ANEXO D'!CK74</f>
        <v>421.15</v>
      </c>
      <c r="CZ154" s="623">
        <f>+'ANEXO D'!CL74</f>
        <v>423.21</v>
      </c>
      <c r="DA154" s="623">
        <f>+'ANEXO D'!CM74</f>
        <v>433.29</v>
      </c>
      <c r="DB154" s="659">
        <f>+'ANEXO D'!CN74</f>
        <v>434.2</v>
      </c>
      <c r="DC154" s="659">
        <f>+'ANEXO D'!CO74</f>
        <v>435.37</v>
      </c>
      <c r="DD154" s="783">
        <f>+'ANEXO D'!CP74</f>
        <v>436.24</v>
      </c>
      <c r="DE154" s="623">
        <f>+'ANEXO D'!CQ74</f>
        <v>439.42</v>
      </c>
      <c r="DF154" s="725">
        <f>+'ANEXO D'!CR74</f>
        <v>446.84</v>
      </c>
      <c r="DG154" s="659">
        <f>+'ANEXO D'!CS74</f>
        <v>453.59</v>
      </c>
      <c r="DH154" s="623">
        <f>+'ANEXO D'!CT74</f>
        <v>467.19</v>
      </c>
      <c r="DI154" s="623">
        <f>+'ANEXO D'!CU74</f>
        <v>474.05</v>
      </c>
      <c r="DJ154" s="623">
        <f>+'ANEXO D'!CV74</f>
        <v>479.35</v>
      </c>
      <c r="DK154" s="659">
        <f>+'ANEXO D'!CW74</f>
        <v>488.83</v>
      </c>
      <c r="DL154" s="897">
        <f>+'ANEXO D'!CX74</f>
        <v>493.07</v>
      </c>
      <c r="DM154" s="110">
        <f t="shared" si="1"/>
        <v>1.008673772067999</v>
      </c>
      <c r="DN154" s="111"/>
      <c r="DO154" s="111"/>
    </row>
    <row r="155" spans="1:119" s="115" customFormat="1" ht="18.95" customHeight="1">
      <c r="A155" s="114"/>
      <c r="B155" s="408">
        <v>134</v>
      </c>
      <c r="C155" s="621">
        <v>30</v>
      </c>
      <c r="D155" s="622" t="s">
        <v>751</v>
      </c>
      <c r="E155" s="621" t="s">
        <v>918</v>
      </c>
      <c r="F155" s="622"/>
      <c r="G155" s="621" t="s">
        <v>223</v>
      </c>
      <c r="H155" s="621" t="s">
        <v>229</v>
      </c>
      <c r="I155" s="390" t="s">
        <v>334</v>
      </c>
      <c r="J155" s="674"/>
      <c r="K155" s="669">
        <v>78.05</v>
      </c>
      <c r="L155" s="665">
        <v>86.74</v>
      </c>
      <c r="M155" s="625">
        <v>140.44999999999999</v>
      </c>
      <c r="N155" s="625">
        <v>157</v>
      </c>
      <c r="O155" s="625">
        <v>193.97</v>
      </c>
      <c r="P155" s="625">
        <v>225.26</v>
      </c>
      <c r="Q155" s="625">
        <v>242.12</v>
      </c>
      <c r="R155" s="625">
        <v>237.06</v>
      </c>
      <c r="S155" s="625">
        <v>239.77</v>
      </c>
      <c r="T155" s="625">
        <v>239.92</v>
      </c>
      <c r="U155" s="625">
        <v>241.07</v>
      </c>
      <c r="V155" s="625">
        <v>236.94</v>
      </c>
      <c r="W155" s="625">
        <v>237.86</v>
      </c>
      <c r="X155" s="625">
        <v>222.83</v>
      </c>
      <c r="Y155" s="625">
        <v>219.15</v>
      </c>
      <c r="Z155" s="625">
        <v>215.07</v>
      </c>
      <c r="AA155" s="625">
        <v>208.48</v>
      </c>
      <c r="AB155" s="625">
        <v>205.67</v>
      </c>
      <c r="AC155" s="625">
        <v>202.31</v>
      </c>
      <c r="AD155" s="625">
        <v>201.34</v>
      </c>
      <c r="AE155" s="625">
        <v>197.95</v>
      </c>
      <c r="AF155" s="625">
        <v>197.77</v>
      </c>
      <c r="AG155" s="625">
        <v>196.43</v>
      </c>
      <c r="AH155" s="625">
        <v>196.45</v>
      </c>
      <c r="AI155" s="764">
        <v>199.56</v>
      </c>
      <c r="AJ155" s="772">
        <v>193.39</v>
      </c>
      <c r="AK155" s="625">
        <v>194.33</v>
      </c>
      <c r="AL155" s="625">
        <v>194.33</v>
      </c>
      <c r="AM155" s="625">
        <v>191.17</v>
      </c>
      <c r="AN155" s="625">
        <v>193.7</v>
      </c>
      <c r="AO155" s="625">
        <v>195.19</v>
      </c>
      <c r="AP155" s="625">
        <v>194.81</v>
      </c>
      <c r="AQ155" s="625">
        <v>197.38</v>
      </c>
      <c r="AR155" s="625">
        <v>196.63</v>
      </c>
      <c r="AS155" s="625">
        <v>195.85</v>
      </c>
      <c r="AT155" s="625">
        <v>194.85</v>
      </c>
      <c r="AU155" s="764">
        <v>195.81</v>
      </c>
      <c r="AV155" s="752">
        <v>194.59</v>
      </c>
      <c r="AW155" s="626">
        <v>184.52</v>
      </c>
      <c r="AX155" s="626">
        <v>193.91</v>
      </c>
      <c r="AY155" s="626">
        <v>193.23</v>
      </c>
      <c r="AZ155" s="626">
        <v>192.89</v>
      </c>
      <c r="BA155" s="626">
        <v>192.21</v>
      </c>
      <c r="BB155" s="626">
        <v>192.03</v>
      </c>
      <c r="BC155" s="627">
        <v>192.45</v>
      </c>
      <c r="BD155" s="626">
        <v>192.99</v>
      </c>
      <c r="BE155" s="627">
        <v>194.66</v>
      </c>
      <c r="BF155" s="627">
        <v>194.44</v>
      </c>
      <c r="BG155" s="738">
        <v>196.03</v>
      </c>
      <c r="BH155" s="660">
        <v>194.25</v>
      </c>
      <c r="BI155" s="623">
        <v>192.09</v>
      </c>
      <c r="BJ155" s="623">
        <v>192.14</v>
      </c>
      <c r="BK155" s="623">
        <v>192.24</v>
      </c>
      <c r="BL155" s="623">
        <v>191.79</v>
      </c>
      <c r="BM155" s="623">
        <v>192.27</v>
      </c>
      <c r="BN155" s="623">
        <v>192.3</v>
      </c>
      <c r="BO155" s="623">
        <v>192.25</v>
      </c>
      <c r="BP155" s="623">
        <v>192.73</v>
      </c>
      <c r="BQ155" s="623">
        <v>192.68</v>
      </c>
      <c r="BR155" s="623">
        <v>189.53</v>
      </c>
      <c r="BS155" s="659">
        <v>189.39</v>
      </c>
      <c r="BT155" s="660">
        <v>190.15</v>
      </c>
      <c r="BU155" s="623">
        <v>192.8</v>
      </c>
      <c r="BV155" s="623">
        <v>192.8</v>
      </c>
      <c r="BW155" s="623">
        <v>192.64</v>
      </c>
      <c r="BX155" s="623">
        <v>193.04</v>
      </c>
      <c r="BY155" s="623">
        <v>192.98</v>
      </c>
      <c r="BZ155" s="623">
        <v>194.29</v>
      </c>
      <c r="CA155" s="623">
        <v>198.82</v>
      </c>
      <c r="CB155" s="623">
        <v>195.37</v>
      </c>
      <c r="CC155" s="623">
        <v>206.96</v>
      </c>
      <c r="CD155" s="623">
        <v>205.72</v>
      </c>
      <c r="CE155" s="659">
        <v>205.82</v>
      </c>
      <c r="CF155" s="660">
        <v>205.77</v>
      </c>
      <c r="CG155" s="623">
        <v>206.35</v>
      </c>
      <c r="CH155" s="623">
        <v>208.17</v>
      </c>
      <c r="CI155" s="623">
        <v>207.26</v>
      </c>
      <c r="CJ155" s="623">
        <v>207.26</v>
      </c>
      <c r="CK155" s="623">
        <v>205.51</v>
      </c>
      <c r="CL155" s="623">
        <v>205.06</v>
      </c>
      <c r="CM155" s="623">
        <v>205.06</v>
      </c>
      <c r="CN155" s="623">
        <v>211.43</v>
      </c>
      <c r="CO155" s="623">
        <v>215.13</v>
      </c>
      <c r="CP155" s="623">
        <v>221.99</v>
      </c>
      <c r="CQ155" s="659">
        <v>226.09</v>
      </c>
      <c r="CR155" s="660">
        <v>227.36</v>
      </c>
      <c r="CS155" s="623">
        <v>228.32</v>
      </c>
      <c r="CT155" s="623">
        <v>243.72</v>
      </c>
      <c r="CU155" s="623">
        <v>235.78</v>
      </c>
      <c r="CV155" s="623">
        <v>239.88</v>
      </c>
      <c r="CW155" s="623">
        <v>241.58</v>
      </c>
      <c r="CX155" s="623">
        <v>243.56</v>
      </c>
      <c r="CY155" s="623">
        <v>245.7</v>
      </c>
      <c r="CZ155" s="623">
        <v>245.14</v>
      </c>
      <c r="DA155" s="623">
        <v>245.14</v>
      </c>
      <c r="DB155" s="725">
        <v>244.23</v>
      </c>
      <c r="DC155" s="659">
        <v>244.28</v>
      </c>
      <c r="DD155" s="783">
        <v>244.33</v>
      </c>
      <c r="DE155" s="623">
        <v>246.38</v>
      </c>
      <c r="DF155" s="725">
        <v>246.58</v>
      </c>
      <c r="DG155" s="659">
        <v>248.43</v>
      </c>
      <c r="DH155" s="623">
        <v>248.15</v>
      </c>
      <c r="DI155" s="623">
        <v>249.05</v>
      </c>
      <c r="DJ155" s="623">
        <v>249.33</v>
      </c>
      <c r="DK155" s="659">
        <v>249.34</v>
      </c>
      <c r="DL155" s="897">
        <v>249.62</v>
      </c>
      <c r="DM155" s="110">
        <f t="shared" si="1"/>
        <v>1.0011229646266142</v>
      </c>
      <c r="DN155" s="110"/>
      <c r="DO155" s="110"/>
    </row>
    <row r="156" spans="1:119" s="115" customFormat="1" ht="18.95" customHeight="1">
      <c r="A156" s="114"/>
      <c r="B156" s="408">
        <v>136</v>
      </c>
      <c r="C156" s="621" t="s">
        <v>471</v>
      </c>
      <c r="D156" s="628" t="s">
        <v>472</v>
      </c>
      <c r="E156" s="621" t="s">
        <v>918</v>
      </c>
      <c r="F156" s="622"/>
      <c r="G156" s="621" t="s">
        <v>929</v>
      </c>
      <c r="H156" s="621"/>
      <c r="I156" s="390" t="s">
        <v>470</v>
      </c>
      <c r="J156" s="651"/>
      <c r="K156" s="669">
        <v>92.4</v>
      </c>
      <c r="L156" s="665"/>
      <c r="M156" s="625">
        <v>93.4</v>
      </c>
      <c r="N156" s="625">
        <v>93.3</v>
      </c>
      <c r="O156" s="625">
        <v>95.6</v>
      </c>
      <c r="P156" s="625">
        <v>103.6</v>
      </c>
      <c r="Q156" s="625">
        <v>103.6</v>
      </c>
      <c r="R156" s="625">
        <v>107.2</v>
      </c>
      <c r="S156" s="625">
        <v>107.3</v>
      </c>
      <c r="T156" s="625">
        <v>106.8</v>
      </c>
      <c r="U156" s="625">
        <v>107.2</v>
      </c>
      <c r="V156" s="625">
        <v>114.7</v>
      </c>
      <c r="W156" s="625">
        <v>117.6</v>
      </c>
      <c r="X156" s="625">
        <v>120.5</v>
      </c>
      <c r="Y156" s="625">
        <v>125.8</v>
      </c>
      <c r="Z156" s="625">
        <v>123.3</v>
      </c>
      <c r="AA156" s="625">
        <v>122.2</v>
      </c>
      <c r="AB156" s="625">
        <v>123.5</v>
      </c>
      <c r="AC156" s="625">
        <v>130.30000000000001</v>
      </c>
      <c r="AD156" s="625">
        <v>135.30000000000001</v>
      </c>
      <c r="AE156" s="625">
        <v>138.80000000000001</v>
      </c>
      <c r="AF156" s="625">
        <v>140.4</v>
      </c>
      <c r="AG156" s="625">
        <v>151.80000000000001</v>
      </c>
      <c r="AH156" s="625">
        <v>162.9</v>
      </c>
      <c r="AI156" s="764">
        <v>162.9</v>
      </c>
      <c r="AJ156" s="772">
        <v>174</v>
      </c>
      <c r="AK156" s="625">
        <v>183.1</v>
      </c>
      <c r="AL156" s="625">
        <v>184.6</v>
      </c>
      <c r="AM156" s="625">
        <v>184.7</v>
      </c>
      <c r="AN156" s="625">
        <v>187.7</v>
      </c>
      <c r="AO156" s="625">
        <v>188</v>
      </c>
      <c r="AP156" s="625">
        <v>190</v>
      </c>
      <c r="AQ156" s="625">
        <v>190</v>
      </c>
      <c r="AR156" s="625">
        <v>190</v>
      </c>
      <c r="AS156" s="625">
        <v>192.9</v>
      </c>
      <c r="AT156" s="625">
        <v>192.9</v>
      </c>
      <c r="AU156" s="764">
        <v>192.6</v>
      </c>
      <c r="AV156" s="752">
        <v>195.5</v>
      </c>
      <c r="AW156" s="626">
        <v>195.5</v>
      </c>
      <c r="AX156" s="627">
        <v>195.5</v>
      </c>
      <c r="AY156" s="626">
        <v>195.5</v>
      </c>
      <c r="AZ156" s="626">
        <v>199.8</v>
      </c>
      <c r="BA156" s="626">
        <v>199.8</v>
      </c>
      <c r="BB156" s="626">
        <v>201.4</v>
      </c>
      <c r="BC156" s="627">
        <v>202.5</v>
      </c>
      <c r="BD156" s="626">
        <v>203.1</v>
      </c>
      <c r="BE156" s="627">
        <v>206.4</v>
      </c>
      <c r="BF156" s="627">
        <v>214.1</v>
      </c>
      <c r="BG156" s="738">
        <v>216.6</v>
      </c>
      <c r="BH156" s="660">
        <v>217.9</v>
      </c>
      <c r="BI156" s="623">
        <v>219</v>
      </c>
      <c r="BJ156" s="623">
        <v>219</v>
      </c>
      <c r="BK156" s="623">
        <v>226.2</v>
      </c>
      <c r="BL156" s="623">
        <v>229.2</v>
      </c>
      <c r="BM156" s="623">
        <v>236.5</v>
      </c>
      <c r="BN156" s="623">
        <v>238.5</v>
      </c>
      <c r="BO156" s="623">
        <v>238.5</v>
      </c>
      <c r="BP156" s="623">
        <v>239.7</v>
      </c>
      <c r="BQ156" s="623">
        <v>239.7</v>
      </c>
      <c r="BR156" s="623">
        <v>246.8</v>
      </c>
      <c r="BS156" s="659">
        <v>250.1</v>
      </c>
      <c r="BT156" s="660">
        <v>250.4</v>
      </c>
      <c r="BU156" s="623">
        <v>250.4</v>
      </c>
      <c r="BV156" s="623">
        <v>252.2</v>
      </c>
      <c r="BW156" s="623">
        <v>257.7</v>
      </c>
      <c r="BX156" s="623">
        <v>261.60000000000002</v>
      </c>
      <c r="BY156" s="623">
        <v>282.89999999999998</v>
      </c>
      <c r="BZ156" s="623">
        <v>285</v>
      </c>
      <c r="CA156" s="623">
        <v>287.7</v>
      </c>
      <c r="CB156" s="623">
        <v>287.7</v>
      </c>
      <c r="CC156" s="623">
        <v>287.7</v>
      </c>
      <c r="CD156" s="623">
        <v>287.7</v>
      </c>
      <c r="CE156" s="659">
        <v>296.3</v>
      </c>
      <c r="CF156" s="660">
        <v>300.7</v>
      </c>
      <c r="CG156" s="623">
        <v>300.7</v>
      </c>
      <c r="CH156" s="623">
        <v>300.7</v>
      </c>
      <c r="CI156" s="623">
        <v>300.7</v>
      </c>
      <c r="CJ156" s="623">
        <v>300.7</v>
      </c>
      <c r="CK156" s="623">
        <v>371.9</v>
      </c>
      <c r="CL156" s="623">
        <v>372.8</v>
      </c>
      <c r="CM156" s="623">
        <v>372.8</v>
      </c>
      <c r="CN156" s="623">
        <v>372.8</v>
      </c>
      <c r="CO156" s="623">
        <v>372.8</v>
      </c>
      <c r="CP156" s="623">
        <v>372.8</v>
      </c>
      <c r="CQ156" s="659">
        <v>372.8</v>
      </c>
      <c r="CR156" s="660">
        <v>372.8</v>
      </c>
      <c r="CS156" s="623">
        <v>372.8</v>
      </c>
      <c r="CT156" s="623">
        <v>372.8</v>
      </c>
      <c r="CU156" s="623">
        <v>372.8</v>
      </c>
      <c r="CV156" s="623">
        <v>372.8</v>
      </c>
      <c r="CW156" s="623">
        <v>372.8</v>
      </c>
      <c r="CX156" s="623">
        <v>372.8</v>
      </c>
      <c r="CY156" s="623">
        <v>372.8</v>
      </c>
      <c r="CZ156" s="623">
        <v>372.8</v>
      </c>
      <c r="DA156" s="623">
        <v>372.8</v>
      </c>
      <c r="DB156" s="725">
        <v>372.8</v>
      </c>
      <c r="DC156" s="659">
        <v>372.8</v>
      </c>
      <c r="DD156" s="783">
        <v>376.1</v>
      </c>
      <c r="DE156" s="623">
        <v>376.1</v>
      </c>
      <c r="DF156" s="725">
        <v>373.1</v>
      </c>
      <c r="DG156" s="659">
        <v>376.9</v>
      </c>
      <c r="DH156" s="623">
        <v>378.2</v>
      </c>
      <c r="DI156" s="623">
        <v>379</v>
      </c>
      <c r="DJ156" s="623">
        <v>379</v>
      </c>
      <c r="DK156" s="659">
        <v>383.2</v>
      </c>
      <c r="DL156" s="897">
        <v>383.2</v>
      </c>
      <c r="DM156" s="110">
        <f t="shared" si="1"/>
        <v>1</v>
      </c>
      <c r="DN156" s="110"/>
      <c r="DO156" s="110"/>
    </row>
    <row r="157" spans="1:119" s="115" customFormat="1" ht="18.95" customHeight="1">
      <c r="A157" s="114"/>
      <c r="B157" s="408">
        <v>137</v>
      </c>
      <c r="C157" s="621">
        <v>80</v>
      </c>
      <c r="D157" s="628" t="s">
        <v>105</v>
      </c>
      <c r="E157" s="621" t="s">
        <v>918</v>
      </c>
      <c r="F157" s="622"/>
      <c r="G157" s="621" t="s">
        <v>505</v>
      </c>
      <c r="H157" s="621"/>
      <c r="I157" s="390" t="s">
        <v>506</v>
      </c>
      <c r="J157" s="651"/>
      <c r="K157" s="669">
        <v>185</v>
      </c>
      <c r="L157" s="665">
        <v>185</v>
      </c>
      <c r="M157" s="625">
        <v>185</v>
      </c>
      <c r="N157" s="625">
        <v>205</v>
      </c>
      <c r="O157" s="625">
        <v>290</v>
      </c>
      <c r="P157" s="625">
        <v>400</v>
      </c>
      <c r="Q157" s="625">
        <v>460</v>
      </c>
      <c r="R157" s="625">
        <v>540</v>
      </c>
      <c r="S157" s="625">
        <v>540</v>
      </c>
      <c r="T157" s="625">
        <v>540</v>
      </c>
      <c r="U157" s="625">
        <v>540</v>
      </c>
      <c r="V157" s="625">
        <v>540</v>
      </c>
      <c r="W157" s="625">
        <v>540</v>
      </c>
      <c r="X157" s="625">
        <v>540</v>
      </c>
      <c r="Y157" s="625">
        <v>620</v>
      </c>
      <c r="Z157" s="625">
        <v>710</v>
      </c>
      <c r="AA157" s="625">
        <v>600</v>
      </c>
      <c r="AB157" s="625">
        <v>540</v>
      </c>
      <c r="AC157" s="625">
        <v>540</v>
      </c>
      <c r="AD157" s="625">
        <v>540</v>
      </c>
      <c r="AE157" s="625">
        <v>540</v>
      </c>
      <c r="AF157" s="625">
        <v>540</v>
      </c>
      <c r="AG157" s="625">
        <v>540</v>
      </c>
      <c r="AH157" s="625">
        <v>540</v>
      </c>
      <c r="AI157" s="764">
        <v>540</v>
      </c>
      <c r="AJ157" s="772">
        <v>700</v>
      </c>
      <c r="AK157" s="625">
        <v>700</v>
      </c>
      <c r="AL157" s="625">
        <v>700</v>
      </c>
      <c r="AM157" s="625">
        <v>700</v>
      </c>
      <c r="AN157" s="625">
        <v>700</v>
      </c>
      <c r="AO157" s="625">
        <v>750</v>
      </c>
      <c r="AP157" s="625">
        <v>600</v>
      </c>
      <c r="AQ157" s="625">
        <v>600</v>
      </c>
      <c r="AR157" s="625">
        <v>600</v>
      </c>
      <c r="AS157" s="625">
        <v>600</v>
      </c>
      <c r="AT157" s="625">
        <v>700</v>
      </c>
      <c r="AU157" s="764">
        <v>700</v>
      </c>
      <c r="AV157" s="752">
        <v>700</v>
      </c>
      <c r="AW157" s="626">
        <v>700</v>
      </c>
      <c r="AX157" s="627">
        <v>700</v>
      </c>
      <c r="AY157" s="626">
        <v>700</v>
      </c>
      <c r="AZ157" s="626">
        <v>750</v>
      </c>
      <c r="BA157" s="626">
        <v>750</v>
      </c>
      <c r="BB157" s="626">
        <v>750</v>
      </c>
      <c r="BC157" s="627">
        <v>750</v>
      </c>
      <c r="BD157" s="626">
        <v>970</v>
      </c>
      <c r="BE157" s="627">
        <v>970</v>
      </c>
      <c r="BF157" s="627">
        <v>970</v>
      </c>
      <c r="BG157" s="738">
        <v>970</v>
      </c>
      <c r="BH157" s="660">
        <v>970</v>
      </c>
      <c r="BI157" s="623">
        <v>970</v>
      </c>
      <c r="BJ157" s="623">
        <v>970</v>
      </c>
      <c r="BK157" s="623">
        <v>970</v>
      </c>
      <c r="BL157" s="623">
        <v>970</v>
      </c>
      <c r="BM157" s="623">
        <v>970</v>
      </c>
      <c r="BN157" s="623">
        <v>970</v>
      </c>
      <c r="BO157" s="623">
        <v>970</v>
      </c>
      <c r="BP157" s="623">
        <v>970</v>
      </c>
      <c r="BQ157" s="623">
        <v>970</v>
      </c>
      <c r="BR157" s="623">
        <v>970</v>
      </c>
      <c r="BS157" s="659">
        <v>970</v>
      </c>
      <c r="BT157" s="660">
        <v>970</v>
      </c>
      <c r="BU157" s="623">
        <v>970</v>
      </c>
      <c r="BV157" s="623">
        <v>970</v>
      </c>
      <c r="BW157" s="623">
        <v>970</v>
      </c>
      <c r="BX157" s="623">
        <v>970</v>
      </c>
      <c r="BY157" s="623">
        <v>970</v>
      </c>
      <c r="BZ157" s="623">
        <v>970</v>
      </c>
      <c r="CA157" s="623">
        <v>970</v>
      </c>
      <c r="CB157" s="623">
        <v>970</v>
      </c>
      <c r="CC157" s="623">
        <v>970</v>
      </c>
      <c r="CD157" s="623">
        <v>1180</v>
      </c>
      <c r="CE157" s="659">
        <v>1180</v>
      </c>
      <c r="CF157" s="660">
        <v>1180</v>
      </c>
      <c r="CG157" s="623">
        <v>1180</v>
      </c>
      <c r="CH157" s="623">
        <v>1180</v>
      </c>
      <c r="CI157" s="623">
        <v>1280</v>
      </c>
      <c r="CJ157" s="623">
        <v>1370</v>
      </c>
      <c r="CK157" s="623">
        <v>1370</v>
      </c>
      <c r="CL157" s="623">
        <v>1370</v>
      </c>
      <c r="CM157" s="623">
        <v>1370</v>
      </c>
      <c r="CN157" s="623">
        <v>1370</v>
      </c>
      <c r="CO157" s="623">
        <v>1370</v>
      </c>
      <c r="CP157" s="623">
        <v>1370</v>
      </c>
      <c r="CQ157" s="659">
        <v>1370</v>
      </c>
      <c r="CR157" s="660">
        <v>1300</v>
      </c>
      <c r="CS157" s="623">
        <v>1300</v>
      </c>
      <c r="CT157" s="623">
        <v>1300</v>
      </c>
      <c r="CU157" s="623">
        <v>1300</v>
      </c>
      <c r="CV157" s="623">
        <v>1300</v>
      </c>
      <c r="CW157" s="623">
        <v>1300</v>
      </c>
      <c r="CX157" s="623">
        <v>1300</v>
      </c>
      <c r="CY157" s="623">
        <v>1300</v>
      </c>
      <c r="CZ157" s="704">
        <v>1520</v>
      </c>
      <c r="DA157" s="704">
        <v>1520</v>
      </c>
      <c r="DB157" s="727">
        <v>1520</v>
      </c>
      <c r="DC157" s="778">
        <v>1520</v>
      </c>
      <c r="DD157" s="788">
        <v>1520</v>
      </c>
      <c r="DE157" s="704">
        <v>1520</v>
      </c>
      <c r="DF157" s="727">
        <v>1520</v>
      </c>
      <c r="DG157" s="778">
        <v>1520</v>
      </c>
      <c r="DH157" s="704">
        <v>1520</v>
      </c>
      <c r="DI157" s="704">
        <v>1590</v>
      </c>
      <c r="DJ157" s="704">
        <v>1590</v>
      </c>
      <c r="DK157" s="778">
        <v>1590</v>
      </c>
      <c r="DL157" s="900">
        <v>1590</v>
      </c>
      <c r="DM157" s="110">
        <f t="shared" si="1"/>
        <v>1</v>
      </c>
      <c r="DN157" s="110"/>
      <c r="DO157" s="110"/>
    </row>
    <row r="158" spans="1:119" s="115" customFormat="1" ht="18.95" customHeight="1">
      <c r="A158" s="114"/>
      <c r="B158" s="408">
        <v>138</v>
      </c>
      <c r="C158" s="621">
        <v>81</v>
      </c>
      <c r="D158" s="628" t="s">
        <v>504</v>
      </c>
      <c r="E158" s="621" t="s">
        <v>918</v>
      </c>
      <c r="F158" s="622"/>
      <c r="G158" s="621" t="s">
        <v>505</v>
      </c>
      <c r="H158" s="621"/>
      <c r="I158" s="390" t="s">
        <v>506</v>
      </c>
      <c r="J158" s="651"/>
      <c r="K158" s="669">
        <v>235</v>
      </c>
      <c r="L158" s="665">
        <v>235</v>
      </c>
      <c r="M158" s="625">
        <v>235</v>
      </c>
      <c r="N158" s="625">
        <v>275</v>
      </c>
      <c r="O158" s="625">
        <v>350</v>
      </c>
      <c r="P158" s="625">
        <v>530</v>
      </c>
      <c r="Q158" s="625">
        <v>600</v>
      </c>
      <c r="R158" s="625">
        <v>690</v>
      </c>
      <c r="S158" s="625">
        <v>690</v>
      </c>
      <c r="T158" s="625">
        <v>690</v>
      </c>
      <c r="U158" s="625">
        <v>690</v>
      </c>
      <c r="V158" s="625">
        <v>690</v>
      </c>
      <c r="W158" s="625">
        <v>690</v>
      </c>
      <c r="X158" s="625">
        <v>690</v>
      </c>
      <c r="Y158" s="625">
        <v>790</v>
      </c>
      <c r="Z158" s="625">
        <v>900</v>
      </c>
      <c r="AA158" s="625">
        <v>780</v>
      </c>
      <c r="AB158" s="625">
        <v>700</v>
      </c>
      <c r="AC158" s="625">
        <v>700</v>
      </c>
      <c r="AD158" s="625">
        <v>700</v>
      </c>
      <c r="AE158" s="625">
        <v>700</v>
      </c>
      <c r="AF158" s="625">
        <v>700</v>
      </c>
      <c r="AG158" s="625">
        <v>700</v>
      </c>
      <c r="AH158" s="625">
        <v>700</v>
      </c>
      <c r="AI158" s="764">
        <v>700</v>
      </c>
      <c r="AJ158" s="772">
        <v>660</v>
      </c>
      <c r="AK158" s="625">
        <v>660</v>
      </c>
      <c r="AL158" s="625">
        <v>660</v>
      </c>
      <c r="AM158" s="625">
        <v>660</v>
      </c>
      <c r="AN158" s="625">
        <v>660</v>
      </c>
      <c r="AO158" s="625">
        <v>720</v>
      </c>
      <c r="AP158" s="625">
        <v>750</v>
      </c>
      <c r="AQ158" s="625">
        <v>750</v>
      </c>
      <c r="AR158" s="625">
        <v>750</v>
      </c>
      <c r="AS158" s="625">
        <v>750</v>
      </c>
      <c r="AT158" s="625">
        <v>850</v>
      </c>
      <c r="AU158" s="764">
        <v>850</v>
      </c>
      <c r="AV158" s="752">
        <v>850</v>
      </c>
      <c r="AW158" s="626">
        <v>850</v>
      </c>
      <c r="AX158" s="627">
        <v>850</v>
      </c>
      <c r="AY158" s="626">
        <v>850</v>
      </c>
      <c r="AZ158" s="626">
        <v>1000</v>
      </c>
      <c r="BA158" s="626">
        <v>1000</v>
      </c>
      <c r="BB158" s="626">
        <v>1000</v>
      </c>
      <c r="BC158" s="627">
        <v>1000</v>
      </c>
      <c r="BD158" s="626">
        <v>1320</v>
      </c>
      <c r="BE158" s="627">
        <v>1270</v>
      </c>
      <c r="BF158" s="627">
        <v>1270</v>
      </c>
      <c r="BG158" s="738">
        <v>1270</v>
      </c>
      <c r="BH158" s="660">
        <v>1270</v>
      </c>
      <c r="BI158" s="623">
        <v>1270</v>
      </c>
      <c r="BJ158" s="623">
        <v>1270</v>
      </c>
      <c r="BK158" s="623">
        <v>1270</v>
      </c>
      <c r="BL158" s="623">
        <v>1270</v>
      </c>
      <c r="BM158" s="623">
        <v>1270</v>
      </c>
      <c r="BN158" s="623">
        <v>1270</v>
      </c>
      <c r="BO158" s="623">
        <v>1270</v>
      </c>
      <c r="BP158" s="623">
        <v>1270</v>
      </c>
      <c r="BQ158" s="623">
        <v>1270</v>
      </c>
      <c r="BR158" s="623">
        <v>1270</v>
      </c>
      <c r="BS158" s="659">
        <v>1270</v>
      </c>
      <c r="BT158" s="660">
        <v>1270</v>
      </c>
      <c r="BU158" s="623">
        <v>1270</v>
      </c>
      <c r="BV158" s="623">
        <v>1270</v>
      </c>
      <c r="BW158" s="623">
        <v>1270</v>
      </c>
      <c r="BX158" s="623">
        <v>1270</v>
      </c>
      <c r="BY158" s="623">
        <v>1270</v>
      </c>
      <c r="BZ158" s="623">
        <v>1270</v>
      </c>
      <c r="CA158" s="623">
        <v>1270</v>
      </c>
      <c r="CB158" s="623">
        <v>1270</v>
      </c>
      <c r="CC158" s="623">
        <v>1270</v>
      </c>
      <c r="CD158" s="623">
        <v>1910</v>
      </c>
      <c r="CE158" s="659">
        <v>1910</v>
      </c>
      <c r="CF158" s="660">
        <v>1910</v>
      </c>
      <c r="CG158" s="623">
        <v>1910</v>
      </c>
      <c r="CH158" s="623">
        <v>1910</v>
      </c>
      <c r="CI158" s="623">
        <v>2050</v>
      </c>
      <c r="CJ158" s="623">
        <v>2240</v>
      </c>
      <c r="CK158" s="623">
        <v>2240</v>
      </c>
      <c r="CL158" s="623">
        <v>2240</v>
      </c>
      <c r="CM158" s="623">
        <v>2240</v>
      </c>
      <c r="CN158" s="623">
        <v>2240</v>
      </c>
      <c r="CO158" s="623">
        <v>2240</v>
      </c>
      <c r="CP158" s="623">
        <v>2240</v>
      </c>
      <c r="CQ158" s="659">
        <v>2240</v>
      </c>
      <c r="CR158" s="660">
        <v>2130</v>
      </c>
      <c r="CS158" s="623">
        <v>2130</v>
      </c>
      <c r="CT158" s="623">
        <v>2130</v>
      </c>
      <c r="CU158" s="623">
        <v>2130</v>
      </c>
      <c r="CV158" s="623">
        <v>2130</v>
      </c>
      <c r="CW158" s="623">
        <v>2130</v>
      </c>
      <c r="CX158" s="623">
        <v>2130</v>
      </c>
      <c r="CY158" s="623">
        <v>2130</v>
      </c>
      <c r="CZ158" s="704">
        <v>2480</v>
      </c>
      <c r="DA158" s="704">
        <v>2480</v>
      </c>
      <c r="DB158" s="727">
        <v>2480</v>
      </c>
      <c r="DC158" s="778">
        <v>2480</v>
      </c>
      <c r="DD158" s="788">
        <v>2480</v>
      </c>
      <c r="DE158" s="704">
        <v>2480</v>
      </c>
      <c r="DF158" s="727">
        <v>2480</v>
      </c>
      <c r="DG158" s="778">
        <v>2480</v>
      </c>
      <c r="DH158" s="704">
        <v>2480</v>
      </c>
      <c r="DI158" s="704">
        <v>2520</v>
      </c>
      <c r="DJ158" s="704">
        <v>2520</v>
      </c>
      <c r="DK158" s="778">
        <v>2520</v>
      </c>
      <c r="DL158" s="900">
        <v>2520</v>
      </c>
      <c r="DM158" s="110">
        <f t="shared" si="1"/>
        <v>1</v>
      </c>
      <c r="DN158" s="110"/>
      <c r="DO158" s="110"/>
    </row>
    <row r="159" spans="1:119" s="150" customFormat="1" ht="18.95" customHeight="1">
      <c r="A159" s="148"/>
      <c r="B159" s="644">
        <v>201</v>
      </c>
      <c r="C159" s="646"/>
      <c r="D159" s="646" t="s">
        <v>335</v>
      </c>
      <c r="E159" s="645" t="s">
        <v>918</v>
      </c>
      <c r="F159" s="646"/>
      <c r="G159" s="645" t="s">
        <v>336</v>
      </c>
      <c r="H159" s="645"/>
      <c r="I159" s="892" t="s">
        <v>337</v>
      </c>
      <c r="J159" s="893" t="s">
        <v>200</v>
      </c>
      <c r="K159" s="877">
        <v>100</v>
      </c>
      <c r="L159" s="878">
        <v>106.48</v>
      </c>
      <c r="M159" s="879">
        <v>118.6</v>
      </c>
      <c r="N159" s="879">
        <v>131</v>
      </c>
      <c r="O159" s="879">
        <v>142.25</v>
      </c>
      <c r="P159" s="879">
        <v>168.02</v>
      </c>
      <c r="Q159" s="879">
        <v>183.54</v>
      </c>
      <c r="R159" s="879">
        <v>188.03</v>
      </c>
      <c r="S159" s="879">
        <v>190.68</v>
      </c>
      <c r="T159" s="879">
        <v>191.63</v>
      </c>
      <c r="U159" s="879">
        <v>192.56</v>
      </c>
      <c r="V159" s="879">
        <v>193</v>
      </c>
      <c r="W159" s="879">
        <v>193.23</v>
      </c>
      <c r="X159" s="879">
        <f>+'ANEXOA-AMORTIZACION'!H55</f>
        <v>191.72</v>
      </c>
      <c r="Y159" s="879">
        <f>+'ANEXOA-AMORTIZACION'!I55</f>
        <v>190.49</v>
      </c>
      <c r="Z159" s="879">
        <f>+'ANEXOA-AMORTIZACION'!J55</f>
        <v>190.77</v>
      </c>
      <c r="AA159" s="879">
        <f>+'ANEXOA-AMORTIZACION'!K55</f>
        <v>189.3</v>
      </c>
      <c r="AB159" s="879">
        <f>+'ANEXOA-AMORTIZACION'!L55</f>
        <v>188.4</v>
      </c>
      <c r="AC159" s="879">
        <f>+'ANEXOA-AMORTIZACION'!M55</f>
        <v>188.12</v>
      </c>
      <c r="AD159" s="879">
        <f>+'ANEXOA-AMORTIZACION'!N55</f>
        <v>188.61</v>
      </c>
      <c r="AE159" s="879">
        <f>+'ANEXOA-AMORTIZACION'!O55</f>
        <v>189.51</v>
      </c>
      <c r="AF159" s="879">
        <f>+'ANEXOA-AMORTIZACION'!P55</f>
        <v>188.71</v>
      </c>
      <c r="AG159" s="879">
        <f>+'ANEXOA-AMORTIZACION'!Q55</f>
        <v>188.54</v>
      </c>
      <c r="AH159" s="879">
        <f>+'ANEXOA-AMORTIZACION'!R55</f>
        <v>189.29</v>
      </c>
      <c r="AI159" s="880">
        <f>+'ANEXOA-AMORTIZACION'!S55</f>
        <v>190.95</v>
      </c>
      <c r="AJ159" s="881">
        <f>+'ANEXOA-AMORTIZACION'!T55</f>
        <v>191.92</v>
      </c>
      <c r="AK159" s="879">
        <f>+'ANEXOA-AMORTIZACION'!U55</f>
        <v>195.63</v>
      </c>
      <c r="AL159" s="879">
        <f>+'ANEXOA-AMORTIZACION'!V55</f>
        <v>199.15</v>
      </c>
      <c r="AM159" s="879">
        <f>+'ANEXOA-AMORTIZACION'!W55</f>
        <v>201.68</v>
      </c>
      <c r="AN159" s="879">
        <f>+'ANEXOA-AMORTIZACION'!X55</f>
        <v>204.2</v>
      </c>
      <c r="AO159" s="879">
        <f>+'ANEXOA-AMORTIZACION'!Y55</f>
        <v>206.31</v>
      </c>
      <c r="AP159" s="879">
        <f>+'ANEXOA-AMORTIZACION'!Z55</f>
        <v>206.98</v>
      </c>
      <c r="AQ159" s="879">
        <f>+'ANEXOA-AMORTIZACION'!AA55</f>
        <v>209.02</v>
      </c>
      <c r="AR159" s="879">
        <f>+'ANEXOA-AMORTIZACION'!AB55</f>
        <v>210.28</v>
      </c>
      <c r="AS159" s="879">
        <f>+'ANEXOA-AMORTIZACION'!AC55</f>
        <v>211.58</v>
      </c>
      <c r="AT159" s="879">
        <f>+'ANEXOA-AMORTIZACION'!AD55</f>
        <v>212.11</v>
      </c>
      <c r="AU159" s="880">
        <f>+'ANEXOA-AMORTIZACION'!AE55</f>
        <v>214.59</v>
      </c>
      <c r="AV159" s="882">
        <f>+'ANEXOA-AMORTIZACION'!AF55</f>
        <v>208.38</v>
      </c>
      <c r="AW159" s="883">
        <f>+'ANEXOA-AMORTIZACION'!AG55</f>
        <v>220.94</v>
      </c>
      <c r="AX159" s="883">
        <f>+'ANEXOA-AMORTIZACION'!AH55</f>
        <v>223.85</v>
      </c>
      <c r="AY159" s="883">
        <f>+'ANEXOA-AMORTIZACION'!AI55</f>
        <v>225.95</v>
      </c>
      <c r="AZ159" s="883">
        <f>+'ANEXOA-AMORTIZACION'!AJ55</f>
        <v>226.98</v>
      </c>
      <c r="BA159" s="883">
        <f>+'ANEXOA-AMORTIZACION'!AK55</f>
        <v>227.97</v>
      </c>
      <c r="BB159" s="883">
        <f>+'ANEXOA-AMORTIZACION'!AL55</f>
        <v>230.76</v>
      </c>
      <c r="BC159" s="883">
        <f>+'ANEXOA-AMORTIZACION'!AM55</f>
        <v>232.49</v>
      </c>
      <c r="BD159" s="883">
        <f>+'ANEXOA-AMORTIZACION'!AN55</f>
        <v>235.98</v>
      </c>
      <c r="BE159" s="883">
        <f>+'ANEXOA-AMORTIZACION'!AO55</f>
        <v>238.92</v>
      </c>
      <c r="BF159" s="883">
        <f>+'ANEXOA-AMORTIZACION'!AP55</f>
        <v>239.37</v>
      </c>
      <c r="BG159" s="896">
        <f>+'ANEXOA-AMORTIZACION'!AQ55</f>
        <v>243.78</v>
      </c>
      <c r="BH159" s="886">
        <f>+'ANEXOA-AMORTIZACION'!AR55</f>
        <v>247.41</v>
      </c>
      <c r="BI159" s="887">
        <f>+'ANEXOA-AMORTIZACION'!AS55</f>
        <v>248.83</v>
      </c>
      <c r="BJ159" s="887">
        <f>+'ANEXOA-AMORTIZACION'!AT55</f>
        <v>251.27</v>
      </c>
      <c r="BK159" s="887">
        <f>+'ANEXOA-AMORTIZACION'!AU55</f>
        <v>253.01</v>
      </c>
      <c r="BL159" s="887">
        <f>+'ANEXOA-AMORTIZACION'!AV55</f>
        <v>255.17</v>
      </c>
      <c r="BM159" s="887">
        <f>+'ANEXOA-AMORTIZACION'!AW55</f>
        <v>258.57</v>
      </c>
      <c r="BN159" s="887">
        <f>+'ANEXOA-AMORTIZACION'!AX55</f>
        <v>261.3</v>
      </c>
      <c r="BO159" s="887">
        <f>+'ANEXOA-AMORTIZACION'!AY55</f>
        <v>264.72000000000003</v>
      </c>
      <c r="BP159" s="887">
        <f>+'ANEXOA-AMORTIZACION'!AZ55</f>
        <v>267.42</v>
      </c>
      <c r="BQ159" s="887">
        <f>+'ANEXOA-AMORTIZACION'!BA55</f>
        <v>268.43</v>
      </c>
      <c r="BR159" s="887">
        <f>+'ANEXOA-AMORTIZACION'!BB55</f>
        <v>268.52999999999997</v>
      </c>
      <c r="BS159" s="888">
        <f>+'ANEXOA-AMORTIZACION'!BC55</f>
        <v>269.64</v>
      </c>
      <c r="BT159" s="886">
        <f>+'ANEXOA-AMORTIZACION'!BD55</f>
        <v>270.35000000000002</v>
      </c>
      <c r="BU159" s="887">
        <f>+'ANEXOA-AMORTIZACION'!BE55</f>
        <v>273.06</v>
      </c>
      <c r="BV159" s="887">
        <f>+'ANEXOA-AMORTIZACION'!BF55</f>
        <v>275.76</v>
      </c>
      <c r="BW159" s="887">
        <f>+'ANEXOA-AMORTIZACION'!BG55</f>
        <v>279.29000000000002</v>
      </c>
      <c r="BX159" s="887">
        <f>+'ANEXOA-AMORTIZACION'!BH55</f>
        <v>283.44</v>
      </c>
      <c r="BY159" s="887">
        <f>+'ANEXOA-AMORTIZACION'!BI55</f>
        <v>290.08999999999997</v>
      </c>
      <c r="BZ159" s="887">
        <f>+'ANEXOA-AMORTIZACION'!BJ55</f>
        <v>292.67</v>
      </c>
      <c r="CA159" s="887">
        <f>+'ANEXOA-AMORTIZACION'!BK55</f>
        <v>299.24</v>
      </c>
      <c r="CB159" s="887">
        <f>+'ANEXOA-AMORTIZACION'!BL55</f>
        <v>301.43</v>
      </c>
      <c r="CC159" s="887">
        <v>305.10000000000002</v>
      </c>
      <c r="CD159" s="887">
        <f>+'ANEXOA-AMORTIZACION'!BN55</f>
        <v>308.81</v>
      </c>
      <c r="CE159" s="888">
        <f>+'ANEXOA-AMORTIZACION'!BO55</f>
        <v>311.77</v>
      </c>
      <c r="CF159" s="886">
        <f>+'ANEXOA-AMORTIZACION'!BP55</f>
        <v>316.19</v>
      </c>
      <c r="CG159" s="887">
        <f>+'ANEXOA-AMORTIZACION'!BQ55</f>
        <v>319.54000000000002</v>
      </c>
      <c r="CH159" s="887">
        <f>+'ANEXOA-AMORTIZACION'!BR55</f>
        <v>324.24</v>
      </c>
      <c r="CI159" s="887">
        <f>+'ANEXOA-AMORTIZACION'!BS55</f>
        <v>328.8</v>
      </c>
      <c r="CJ159" s="887">
        <f>+'ANEXOA-AMORTIZACION'!BT55</f>
        <v>330.41</v>
      </c>
      <c r="CK159" s="887">
        <f>+'ANEXOA-AMORTIZACION'!BU55</f>
        <v>336.71</v>
      </c>
      <c r="CL159" s="887">
        <f>+'ANEXOA-AMORTIZACION'!BV55</f>
        <v>341.26</v>
      </c>
      <c r="CM159" s="887">
        <f>+'ANEXOA-AMORTIZACION'!BW55</f>
        <v>344.04</v>
      </c>
      <c r="CN159" s="887">
        <f>+'ANEXOA-AMORTIZACION'!BX55</f>
        <v>346.55</v>
      </c>
      <c r="CO159" s="887">
        <f>+'ANEXOA-AMORTIZACION'!BY55</f>
        <v>348.91</v>
      </c>
      <c r="CP159" s="887">
        <f>+'ANEXOA-AMORTIZACION'!BZ55</f>
        <v>351.05</v>
      </c>
      <c r="CQ159" s="888">
        <f>+'ANEXOA-AMORTIZACION'!CA55</f>
        <v>351.82</v>
      </c>
      <c r="CR159" s="886">
        <f>+'ANEXOA-AMORTIZACION'!CB55</f>
        <v>353.4</v>
      </c>
      <c r="CS159" s="887">
        <f>+'ANEXOA-AMORTIZACION'!CC55</f>
        <v>353.5</v>
      </c>
      <c r="CT159" s="887">
        <f>+'ANEXOA-AMORTIZACION'!CD55</f>
        <v>354.66</v>
      </c>
      <c r="CU159" s="887">
        <f>+'ANEXOA-AMORTIZACION'!CE55</f>
        <v>356.57</v>
      </c>
      <c r="CV159" s="887">
        <f>+'ANEXOA-AMORTIZACION'!CF55</f>
        <v>360.45</v>
      </c>
      <c r="CW159" s="887">
        <f>+'ANEXOA-AMORTIZACION'!CG55</f>
        <v>364.13</v>
      </c>
      <c r="CX159" s="887">
        <f>+'ANEXOA-AMORTIZACION'!CH55</f>
        <v>366.46</v>
      </c>
      <c r="CY159" s="887">
        <f>+'ANEXOA-AMORTIZACION'!CI55</f>
        <v>369.12</v>
      </c>
      <c r="CZ159" s="887">
        <f>+'ANEXOA-AMORTIZACION'!CJ55</f>
        <v>371.11</v>
      </c>
      <c r="DA159" s="887">
        <f>+'ANEXOA-AMORTIZACION'!CK55</f>
        <v>377.74</v>
      </c>
      <c r="DB159" s="888">
        <f>+'ANEXOA-AMORTIZACION'!CL55</f>
        <v>382.1</v>
      </c>
      <c r="DC159" s="888">
        <f>+'ANEXOA-AMORTIZACION'!CM55</f>
        <v>383.88</v>
      </c>
      <c r="DD159" s="890">
        <f>+'ANEXOA-AMORTIZACION'!CN55</f>
        <v>386.57</v>
      </c>
      <c r="DE159" s="887">
        <f>+'ANEXOA-AMORTIZACION'!CO55</f>
        <v>393.22</v>
      </c>
      <c r="DF159" s="889">
        <f>+'ANEXOA-AMORTIZACION'!CP55</f>
        <v>400.5</v>
      </c>
      <c r="DG159" s="888">
        <f>+'ANEXOA-AMORTIZACION'!CQ55</f>
        <v>404.39</v>
      </c>
      <c r="DH159" s="887">
        <f>+'ANEXOA-AMORTIZACION'!CR55</f>
        <v>412.68</v>
      </c>
      <c r="DI159" s="887">
        <f>+'ANEXOA-AMORTIZACION'!CS55</f>
        <v>418.8</v>
      </c>
      <c r="DJ159" s="623">
        <f>+'ANEXOA-AMORTIZACION'!CT55</f>
        <v>422.56</v>
      </c>
      <c r="DK159" s="659">
        <f>+'ANEXOA-AMORTIZACION'!CU55</f>
        <v>427</v>
      </c>
      <c r="DL159" s="897">
        <f>+'ANEXOA-AMORTIZACION'!CV55</f>
        <v>431.87</v>
      </c>
      <c r="DM159" s="110">
        <f t="shared" ref="DM159:DM210" si="2">+DL159/DK159</f>
        <v>1.0114051522248244</v>
      </c>
      <c r="DN159" s="151"/>
      <c r="DO159" s="151"/>
    </row>
    <row r="160" spans="1:119" s="150" customFormat="1" ht="18.95" customHeight="1">
      <c r="A160" s="148"/>
      <c r="B160" s="408">
        <v>202</v>
      </c>
      <c r="C160" s="622"/>
      <c r="D160" s="622" t="s">
        <v>338</v>
      </c>
      <c r="E160" s="621" t="s">
        <v>918</v>
      </c>
      <c r="F160" s="622"/>
      <c r="G160" s="621" t="s">
        <v>336</v>
      </c>
      <c r="H160" s="621"/>
      <c r="I160" s="631" t="s">
        <v>339</v>
      </c>
      <c r="J160" s="676" t="s">
        <v>201</v>
      </c>
      <c r="K160" s="669">
        <v>100</v>
      </c>
      <c r="L160" s="665">
        <v>109.79300000000001</v>
      </c>
      <c r="M160" s="625">
        <v>135.72</v>
      </c>
      <c r="N160" s="625">
        <v>162.22</v>
      </c>
      <c r="O160" s="625">
        <v>191.06800000000001</v>
      </c>
      <c r="P160" s="625">
        <v>242.53899999999996</v>
      </c>
      <c r="Q160" s="625">
        <v>260.56</v>
      </c>
      <c r="R160" s="625">
        <v>266.82299999999998</v>
      </c>
      <c r="S160" s="625">
        <v>285.76099999999997</v>
      </c>
      <c r="T160" s="625">
        <v>283.66699999999997</v>
      </c>
      <c r="U160" s="625">
        <v>284.83</v>
      </c>
      <c r="V160" s="625">
        <v>266.58699999999999</v>
      </c>
      <c r="W160" s="625">
        <v>263.81700000000001</v>
      </c>
      <c r="X160" s="625">
        <f>+'ANEXOA-AMORTIZACION'!H23</f>
        <v>254.98599999999999</v>
      </c>
      <c r="Y160" s="625">
        <f>+'ANEXOA-AMORTIZACION'!I23</f>
        <v>252.86099999999999</v>
      </c>
      <c r="Z160" s="625">
        <f>+'ANEXOA-AMORTIZACION'!J23</f>
        <v>241.81</v>
      </c>
      <c r="AA160" s="625">
        <f>+'ANEXOA-AMORTIZACION'!K23</f>
        <v>232.339</v>
      </c>
      <c r="AB160" s="625">
        <f>+'ANEXOA-AMORTIZACION'!L23</f>
        <v>226.11099999999999</v>
      </c>
      <c r="AC160" s="625">
        <f>+'ANEXOA-AMORTIZACION'!M23</f>
        <v>224.58199999999997</v>
      </c>
      <c r="AD160" s="625">
        <f>+'ANEXOA-AMORTIZACION'!N23</f>
        <v>220.75700000000001</v>
      </c>
      <c r="AE160" s="625">
        <f>+'ANEXOA-AMORTIZACION'!O23</f>
        <v>226.01899999999998</v>
      </c>
      <c r="AF160" s="625">
        <f>+'ANEXOA-AMORTIZACION'!P23</f>
        <v>226.00599999999997</v>
      </c>
      <c r="AG160" s="625">
        <f>+'ANEXOA-AMORTIZACION'!Q23</f>
        <v>223.786</v>
      </c>
      <c r="AH160" s="625">
        <f>+'ANEXOA-AMORTIZACION'!R23</f>
        <v>225.34299999999996</v>
      </c>
      <c r="AI160" s="764">
        <f>+'ANEXOA-AMORTIZACION'!S23</f>
        <v>230.2</v>
      </c>
      <c r="AJ160" s="772">
        <f>+'ANEXOA-AMORTIZACION'!T23</f>
        <v>228.77099999999999</v>
      </c>
      <c r="AK160" s="625">
        <f>+'ANEXOA-AMORTIZACION'!U23</f>
        <v>230.55899999999997</v>
      </c>
      <c r="AL160" s="625">
        <f>+'ANEXOA-AMORTIZACION'!V23</f>
        <v>230.12199999999999</v>
      </c>
      <c r="AM160" s="625">
        <f>+'ANEXOA-AMORTIZACION'!W23</f>
        <v>227.38899999999998</v>
      </c>
      <c r="AN160" s="625">
        <f>+'ANEXOA-AMORTIZACION'!X23</f>
        <v>231.12799999999999</v>
      </c>
      <c r="AO160" s="625">
        <f>+'ANEXOA-AMORTIZACION'!Y23</f>
        <v>232.83799999999997</v>
      </c>
      <c r="AP160" s="625">
        <f>+'ANEXOA-AMORTIZACION'!Z23</f>
        <v>232.46499999999997</v>
      </c>
      <c r="AQ160" s="625">
        <f>+'ANEXOA-AMORTIZACION'!AA23</f>
        <v>236.864</v>
      </c>
      <c r="AR160" s="625">
        <f>+'ANEXOA-AMORTIZACION'!AB23</f>
        <v>233.84099999999998</v>
      </c>
      <c r="AS160" s="625">
        <f>+'ANEXOA-AMORTIZACION'!AC23</f>
        <v>233.73199999999997</v>
      </c>
      <c r="AT160" s="625">
        <f>+'ANEXOA-AMORTIZACION'!AD23</f>
        <v>232.86099999999999</v>
      </c>
      <c r="AU160" s="764">
        <f>+'ANEXOA-AMORTIZACION'!AE23</f>
        <v>235.05700000000002</v>
      </c>
      <c r="AV160" s="752">
        <f>+'ANEXOA-AMORTIZACION'!AF23</f>
        <v>233.60599999999999</v>
      </c>
      <c r="AW160" s="626">
        <f>+'ANEXOA-AMORTIZACION'!AG23</f>
        <v>232.94299999999998</v>
      </c>
      <c r="AX160" s="626">
        <f>+'ANEXOA-AMORTIZACION'!AH23</f>
        <v>235.40600000000001</v>
      </c>
      <c r="AY160" s="626">
        <f>+'ANEXOA-AMORTIZACION'!AI23</f>
        <v>236.47099999999998</v>
      </c>
      <c r="AZ160" s="626">
        <f>+'ANEXOA-AMORTIZACION'!AJ23</f>
        <v>236.36700000000002</v>
      </c>
      <c r="BA160" s="626">
        <f>+'ANEXOA-AMORTIZACION'!AK23</f>
        <v>235.22699999999998</v>
      </c>
      <c r="BB160" s="626">
        <f>+'ANEXOA-AMORTIZACION'!AL23</f>
        <v>235.86099999999999</v>
      </c>
      <c r="BC160" s="626">
        <f>+'ANEXOA-AMORTIZACION'!AM23</f>
        <v>237.47999999999996</v>
      </c>
      <c r="BD160" s="626">
        <f>+'ANEXOA-AMORTIZACION'!AN23</f>
        <v>239.51799999999997</v>
      </c>
      <c r="BE160" s="626">
        <f>+'ANEXOA-AMORTIZACION'!AO23</f>
        <v>242.14599999999999</v>
      </c>
      <c r="BF160" s="626">
        <f>+'ANEXOA-AMORTIZACION'!AP23</f>
        <v>242.27699999999999</v>
      </c>
      <c r="BG160" s="758">
        <f>+'ANEXOA-AMORTIZACION'!AQ23</f>
        <v>244.85599999999999</v>
      </c>
      <c r="BH160" s="756">
        <f>+'ANEXOA-AMORTIZACION'!AR23</f>
        <v>247.416</v>
      </c>
      <c r="BI160" s="634">
        <f>+'ANEXOA-AMORTIZACION'!AS23</f>
        <v>248.50799999999998</v>
      </c>
      <c r="BJ160" s="634">
        <f>+'ANEXOA-AMORTIZACION'!AT23</f>
        <v>250.512</v>
      </c>
      <c r="BK160" s="634">
        <f>+'ANEXOA-AMORTIZACION'!AU23</f>
        <v>247.76899999999998</v>
      </c>
      <c r="BL160" s="634">
        <f>+'ANEXOA-AMORTIZACION'!AV23</f>
        <v>248.33499999999998</v>
      </c>
      <c r="BM160" s="634">
        <f>+'ANEXOA-AMORTIZACION'!AW23</f>
        <v>249.33199999999999</v>
      </c>
      <c r="BN160" s="634">
        <f>+'ANEXOA-AMORTIZACION'!AX23</f>
        <v>250.87099999999998</v>
      </c>
      <c r="BO160" s="634">
        <f>+'ANEXOA-AMORTIZACION'!AY23</f>
        <v>253.48199999999997</v>
      </c>
      <c r="BP160" s="634">
        <f>+'ANEXOA-AMORTIZACION'!AZ23</f>
        <v>255.05699999999999</v>
      </c>
      <c r="BQ160" s="634">
        <f>+'ANEXOA-AMORTIZACION'!BA23</f>
        <v>253.18699999999998</v>
      </c>
      <c r="BR160" s="634">
        <f>+'ANEXOA-AMORTIZACION'!BB23</f>
        <v>250.12799999999999</v>
      </c>
      <c r="BS160" s="754">
        <f>+'ANEXOA-AMORTIZACION'!BC23</f>
        <v>250.86199999999997</v>
      </c>
      <c r="BT160" s="756">
        <f>+'ANEXOA-AMORTIZACION'!BD23</f>
        <v>251.78099999999995</v>
      </c>
      <c r="BU160" s="634">
        <f>+'ANEXOA-AMORTIZACION'!BE23</f>
        <v>254.40799999999996</v>
      </c>
      <c r="BV160" s="634">
        <f>+'ANEXOA-AMORTIZACION'!BF23</f>
        <v>253.74299999999999</v>
      </c>
      <c r="BW160" s="623">
        <f>+'ANEXOA-AMORTIZACION'!BG23</f>
        <v>255.73399999999998</v>
      </c>
      <c r="BX160" s="623">
        <f>+'ANEXOA-AMORTIZACION'!BH23</f>
        <v>258.65899999999999</v>
      </c>
      <c r="BY160" s="623">
        <f>+'ANEXOA-AMORTIZACION'!BI23</f>
        <v>260.86599999999999</v>
      </c>
      <c r="BZ160" s="623">
        <f>+'ANEXOA-AMORTIZACION'!BJ23</f>
        <v>263.81099999999998</v>
      </c>
      <c r="CA160" s="623">
        <f>+'ANEXOA-AMORTIZACION'!BK23</f>
        <v>266.37900000000002</v>
      </c>
      <c r="CB160" s="623">
        <f>+'ANEXOA-AMORTIZACION'!BL23</f>
        <v>267.202</v>
      </c>
      <c r="CC160" s="623">
        <v>269.53800000000001</v>
      </c>
      <c r="CD160" s="623">
        <f>+'ANEXOA-AMORTIZACION'!BN23</f>
        <v>270.02699999999999</v>
      </c>
      <c r="CE160" s="659">
        <f>+'ANEXOA-AMORTIZACION'!BO23</f>
        <v>272.24299999999999</v>
      </c>
      <c r="CF160" s="660">
        <f>+'ANEXOA-AMORTIZACION'!BP23</f>
        <v>271.971</v>
      </c>
      <c r="CG160" s="623">
        <f>+'ANEXOA-AMORTIZACION'!BQ23</f>
        <v>275.77199999999999</v>
      </c>
      <c r="CH160" s="623">
        <f>+'ANEXOA-AMORTIZACION'!BR23</f>
        <v>276.86399999999998</v>
      </c>
      <c r="CI160" s="623">
        <f>+'ANEXOA-AMORTIZACION'!BS23</f>
        <v>279.64299999999997</v>
      </c>
      <c r="CJ160" s="623">
        <f>+'ANEXOA-AMORTIZACION'!BT23</f>
        <v>280.37099999999998</v>
      </c>
      <c r="CK160" s="623">
        <f>+'ANEXOA-AMORTIZACION'!BU23</f>
        <v>279.07599999999996</v>
      </c>
      <c r="CL160" s="623">
        <f>+'ANEXOA-AMORTIZACION'!BV23</f>
        <v>278.91499999999996</v>
      </c>
      <c r="CM160" s="623">
        <f>+'ANEXOA-AMORTIZACION'!BW23</f>
        <v>279.89499999999998</v>
      </c>
      <c r="CN160" s="623">
        <f>+'ANEXOA-AMORTIZACION'!BX23</f>
        <v>280.03499999999997</v>
      </c>
      <c r="CO160" s="623">
        <f>+'ANEXOA-AMORTIZACION'!BY23</f>
        <v>283.96199999999999</v>
      </c>
      <c r="CP160" s="623">
        <f>+'ANEXOA-AMORTIZACION'!BZ23</f>
        <v>284.55999999999995</v>
      </c>
      <c r="CQ160" s="659">
        <f>+'ANEXOA-AMORTIZACION'!CA23</f>
        <v>287.09399999999999</v>
      </c>
      <c r="CR160" s="660">
        <f>+'ANEXOA-AMORTIZACION'!CB23</f>
        <v>288.34199999999998</v>
      </c>
      <c r="CS160" s="623">
        <f>+'ANEXOA-AMORTIZACION'!CC23</f>
        <v>290.827</v>
      </c>
      <c r="CT160" s="623">
        <f>+'ANEXOA-AMORTIZACION'!CD23</f>
        <v>293.96300000000002</v>
      </c>
      <c r="CU160" s="623">
        <f>+'ANEXOA-AMORTIZACION'!CE23</f>
        <v>298.22399999999999</v>
      </c>
      <c r="CV160" s="623">
        <f>+'ANEXOA-AMORTIZACION'!CF23</f>
        <v>300.11199999999997</v>
      </c>
      <c r="CW160" s="623">
        <f>+'ANEXOA-AMORTIZACION'!CG23</f>
        <v>303.05799999999999</v>
      </c>
      <c r="CX160" s="623">
        <f>+'ANEXOA-AMORTIZACION'!CH23</f>
        <v>304.84699999999998</v>
      </c>
      <c r="CY160" s="623">
        <f>+'ANEXOA-AMORTIZACION'!CI23</f>
        <v>308.02600000000001</v>
      </c>
      <c r="CZ160" s="623">
        <f>+'ANEXOA-AMORTIZACION'!CJ23</f>
        <v>309.32199999999995</v>
      </c>
      <c r="DA160" s="623">
        <f>+'ANEXOA-AMORTIZACION'!CK23</f>
        <v>312.88299999999998</v>
      </c>
      <c r="DB160" s="659">
        <f>+'ANEXOA-AMORTIZACION'!CL23</f>
        <v>313.94200000000001</v>
      </c>
      <c r="DC160" s="659">
        <f>+'ANEXOA-AMORTIZACION'!CM23</f>
        <v>314.46699999999998</v>
      </c>
      <c r="DD160" s="783">
        <f>+'ANEXOA-AMORTIZACION'!CN23</f>
        <v>315.75599999999997</v>
      </c>
      <c r="DE160" s="623">
        <f>+'ANEXOA-AMORTIZACION'!CO23</f>
        <v>319.89400000000001</v>
      </c>
      <c r="DF160" s="725">
        <f>+'ANEXOA-AMORTIZACION'!CP23</f>
        <v>324.53199999999998</v>
      </c>
      <c r="DG160" s="659">
        <f>+'ANEXOA-AMORTIZACION'!CQ23</f>
        <v>322.49299999999999</v>
      </c>
      <c r="DH160" s="623">
        <f>+'ANEXOA-AMORTIZACION'!CR23</f>
        <v>330.255</v>
      </c>
      <c r="DI160" s="623">
        <f>+'ANEXOA-AMORTIZACION'!CS23</f>
        <v>331.27300000000002</v>
      </c>
      <c r="DJ160" s="623">
        <f>+'ANEXOA-AMORTIZACION'!CT23</f>
        <v>334.27299999999997</v>
      </c>
      <c r="DK160" s="659">
        <f>+'ANEXOA-AMORTIZACION'!CU23</f>
        <v>336.91199999999998</v>
      </c>
      <c r="DL160" s="897">
        <f>+'ANEXOA-AMORTIZACION'!CV23</f>
        <v>339.31799999999998</v>
      </c>
      <c r="DM160" s="110">
        <f t="shared" si="2"/>
        <v>1.0071413306738852</v>
      </c>
      <c r="DN160" s="151"/>
      <c r="DO160" s="151"/>
    </row>
    <row r="161" spans="1:119" s="150" customFormat="1" ht="18.95" customHeight="1">
      <c r="A161" s="148"/>
      <c r="B161" s="408">
        <v>203</v>
      </c>
      <c r="C161" s="622"/>
      <c r="D161" s="622" t="s">
        <v>340</v>
      </c>
      <c r="E161" s="621" t="s">
        <v>918</v>
      </c>
      <c r="F161" s="622"/>
      <c r="G161" s="621" t="s">
        <v>336</v>
      </c>
      <c r="H161" s="621"/>
      <c r="I161" s="631" t="s">
        <v>339</v>
      </c>
      <c r="J161" s="676" t="s">
        <v>202</v>
      </c>
      <c r="K161" s="669">
        <v>100</v>
      </c>
      <c r="L161" s="665">
        <v>106.82</v>
      </c>
      <c r="M161" s="625">
        <v>125</v>
      </c>
      <c r="N161" s="625">
        <v>143.65</v>
      </c>
      <c r="O161" s="625">
        <v>164.04</v>
      </c>
      <c r="P161" s="625">
        <v>200.39</v>
      </c>
      <c r="Q161" s="625">
        <v>212.88</v>
      </c>
      <c r="R161" s="625">
        <v>218.45</v>
      </c>
      <c r="S161" s="625">
        <v>232.67</v>
      </c>
      <c r="T161" s="625">
        <v>231.85</v>
      </c>
      <c r="U161" s="625">
        <v>232.76</v>
      </c>
      <c r="V161" s="625">
        <v>220.02</v>
      </c>
      <c r="W161" s="625">
        <v>217.89</v>
      </c>
      <c r="X161" s="625">
        <f>+'ANEXOA-AMORTIZACION'!H36</f>
        <v>212</v>
      </c>
      <c r="Y161" s="625">
        <f>+'ANEXOA-AMORTIZACION'!I36</f>
        <v>210.96</v>
      </c>
      <c r="Z161" s="625">
        <f>+'ANEXOA-AMORTIZACION'!J36</f>
        <v>203.58</v>
      </c>
      <c r="AA161" s="625">
        <f>+'ANEXOA-AMORTIZACION'!K36</f>
        <v>196.56</v>
      </c>
      <c r="AB161" s="625">
        <f>+'ANEXOA-AMORTIZACION'!L36</f>
        <v>193.27</v>
      </c>
      <c r="AC161" s="625">
        <f>+'ANEXOA-AMORTIZACION'!M36</f>
        <v>192.2</v>
      </c>
      <c r="AD161" s="625">
        <f>+'ANEXOA-AMORTIZACION'!N36</f>
        <v>190.19</v>
      </c>
      <c r="AE161" s="625">
        <f>+'ANEXOA-AMORTIZACION'!O36</f>
        <v>194.97</v>
      </c>
      <c r="AF161" s="625">
        <f>+'ANEXOA-AMORTIZACION'!P36</f>
        <v>195.61</v>
      </c>
      <c r="AG161" s="625">
        <f>+'ANEXOA-AMORTIZACION'!Q36</f>
        <v>194.95</v>
      </c>
      <c r="AH161" s="625">
        <f>+'ANEXOA-AMORTIZACION'!R36</f>
        <v>196.53</v>
      </c>
      <c r="AI161" s="764">
        <f>+'ANEXOA-AMORTIZACION'!S36</f>
        <v>200.48</v>
      </c>
      <c r="AJ161" s="772">
        <f>+'ANEXOA-AMORTIZACION'!T36</f>
        <v>201.15</v>
      </c>
      <c r="AK161" s="625">
        <f>+'ANEXOA-AMORTIZACION'!U36</f>
        <v>203.3</v>
      </c>
      <c r="AL161" s="625">
        <f>+'ANEXOA-AMORTIZACION'!V36</f>
        <v>203.09</v>
      </c>
      <c r="AM161" s="625">
        <f>+'ANEXOA-AMORTIZACION'!W36</f>
        <v>201.27</v>
      </c>
      <c r="AN161" s="625">
        <f>+'ANEXOA-AMORTIZACION'!X36</f>
        <v>203.8</v>
      </c>
      <c r="AO161" s="625">
        <f>+'ANEXOA-AMORTIZACION'!Y36</f>
        <v>204.83</v>
      </c>
      <c r="AP161" s="625">
        <f>+'ANEXOA-AMORTIZACION'!Z36</f>
        <v>205.7</v>
      </c>
      <c r="AQ161" s="625">
        <f>+'ANEXOA-AMORTIZACION'!AA36</f>
        <v>208.42</v>
      </c>
      <c r="AR161" s="625">
        <f>+'ANEXOA-AMORTIZACION'!AB36</f>
        <v>206.18</v>
      </c>
      <c r="AS161" s="625">
        <f>+'ANEXOA-AMORTIZACION'!AC36</f>
        <v>206.42</v>
      </c>
      <c r="AT161" s="625">
        <f>+'ANEXOA-AMORTIZACION'!AD36</f>
        <v>205.75</v>
      </c>
      <c r="AU161" s="764">
        <f>+'ANEXOA-AMORTIZACION'!AE36</f>
        <v>207.35</v>
      </c>
      <c r="AV161" s="752">
        <f>+'ANEXOA-AMORTIZACION'!AF36</f>
        <v>208.69</v>
      </c>
      <c r="AW161" s="626">
        <f>+'ANEXOA-AMORTIZACION'!AG36</f>
        <v>208.32</v>
      </c>
      <c r="AX161" s="626">
        <f>+'ANEXOA-AMORTIZACION'!AH36</f>
        <v>210.23</v>
      </c>
      <c r="AY161" s="626">
        <f>+'ANEXOA-AMORTIZACION'!AI36</f>
        <v>214.65</v>
      </c>
      <c r="AZ161" s="626">
        <f>+'ANEXOA-AMORTIZACION'!AJ36</f>
        <v>215.28</v>
      </c>
      <c r="BA161" s="626">
        <f>+'ANEXOA-AMORTIZACION'!AK36</f>
        <v>214.91</v>
      </c>
      <c r="BB161" s="626">
        <f>+'ANEXOA-AMORTIZACION'!AL36</f>
        <v>215.61</v>
      </c>
      <c r="BC161" s="626">
        <f>+'ANEXOA-AMORTIZACION'!AM36</f>
        <v>217.19</v>
      </c>
      <c r="BD161" s="626">
        <f>+'ANEXOA-AMORTIZACION'!AN36</f>
        <v>218.81</v>
      </c>
      <c r="BE161" s="626">
        <f>+'ANEXOA-AMORTIZACION'!AO36</f>
        <v>221.59</v>
      </c>
      <c r="BF161" s="626">
        <f>+'ANEXOA-AMORTIZACION'!AP36</f>
        <v>224.51</v>
      </c>
      <c r="BG161" s="749">
        <f>+'ANEXOA-AMORTIZACION'!AQ36</f>
        <v>226.67</v>
      </c>
      <c r="BH161" s="663">
        <f>+'ANEXOA-AMORTIZACION'!AR36</f>
        <v>230.39</v>
      </c>
      <c r="BI161" s="627">
        <f>+'ANEXOA-AMORTIZACION'!AS36</f>
        <v>233.21</v>
      </c>
      <c r="BJ161" s="627">
        <f>+'ANEXOA-AMORTIZACION'!AT36</f>
        <v>235.07</v>
      </c>
      <c r="BK161" s="627">
        <f>+'ANEXOA-AMORTIZACION'!AU36</f>
        <v>234.53</v>
      </c>
      <c r="BL161" s="627">
        <f>+'ANEXOA-AMORTIZACION'!AV36</f>
        <v>235.51</v>
      </c>
      <c r="BM161" s="627">
        <f>+'ANEXOA-AMORTIZACION'!AW36</f>
        <v>240.36</v>
      </c>
      <c r="BN161" s="627">
        <f>+'ANEXOA-AMORTIZACION'!AX36</f>
        <v>242.01</v>
      </c>
      <c r="BO161" s="627">
        <f>+'ANEXOA-AMORTIZACION'!AY36</f>
        <v>244.1</v>
      </c>
      <c r="BP161" s="627">
        <f>+'ANEXOA-AMORTIZACION'!AZ36</f>
        <v>248.23</v>
      </c>
      <c r="BQ161" s="627">
        <f>+'ANEXOA-AMORTIZACION'!BA36</f>
        <v>247.85</v>
      </c>
      <c r="BR161" s="627">
        <f>+'ANEXOA-AMORTIZACION'!BB36</f>
        <v>246.16</v>
      </c>
      <c r="BS161" s="738">
        <f>+'ANEXOA-AMORTIZACION'!BC36</f>
        <v>247.58</v>
      </c>
      <c r="BT161" s="663">
        <f>+'ANEXOA-AMORTIZACION'!BD36</f>
        <v>251.08</v>
      </c>
      <c r="BU161" s="627">
        <f>+'ANEXOA-AMORTIZACION'!BE36</f>
        <v>253.12</v>
      </c>
      <c r="BV161" s="627">
        <f>+'ANEXOA-AMORTIZACION'!BF36</f>
        <v>252.52</v>
      </c>
      <c r="BW161" s="623">
        <f>+'ANEXOA-AMORTIZACION'!BG36</f>
        <v>255.08</v>
      </c>
      <c r="BX161" s="623">
        <f>+'ANEXOA-AMORTIZACION'!BH36</f>
        <v>261.12</v>
      </c>
      <c r="BY161" s="623">
        <f>+'ANEXOA-AMORTIZACION'!BI36</f>
        <v>263.69</v>
      </c>
      <c r="BZ161" s="623">
        <f>+'ANEXOA-AMORTIZACION'!BJ36</f>
        <v>269</v>
      </c>
      <c r="CA161" s="623">
        <f>+'ANEXOA-AMORTIZACION'!BK36</f>
        <v>271.22000000000003</v>
      </c>
      <c r="CB161" s="623">
        <f>+'ANEXOA-AMORTIZACION'!BL36</f>
        <v>272.54000000000002</v>
      </c>
      <c r="CC161" s="623">
        <v>278.06</v>
      </c>
      <c r="CD161" s="623">
        <f>+'ANEXOA-AMORTIZACION'!BN36</f>
        <v>276.77</v>
      </c>
      <c r="CE161" s="659">
        <f>+'ANEXOA-AMORTIZACION'!BO36</f>
        <v>279.08999999999997</v>
      </c>
      <c r="CF161" s="660">
        <f>+'ANEXOA-AMORTIZACION'!BP36</f>
        <v>278.89999999999998</v>
      </c>
      <c r="CG161" s="623">
        <f>+'ANEXOA-AMORTIZACION'!BQ36</f>
        <v>281.85000000000002</v>
      </c>
      <c r="CH161" s="623">
        <f>+'ANEXOA-AMORTIZACION'!BR36</f>
        <v>282.83999999999997</v>
      </c>
      <c r="CI161" s="623">
        <f>+'ANEXOA-AMORTIZACION'!BS36</f>
        <v>285.08</v>
      </c>
      <c r="CJ161" s="623">
        <f>+'ANEXOA-AMORTIZACION'!BT36</f>
        <v>293.57</v>
      </c>
      <c r="CK161" s="623">
        <f>+'ANEXOA-AMORTIZACION'!BU36</f>
        <v>291.08</v>
      </c>
      <c r="CL161" s="623">
        <f>+'ANEXOA-AMORTIZACION'!BV36</f>
        <v>295.8</v>
      </c>
      <c r="CM161" s="623">
        <f>+'ANEXOA-AMORTIZACION'!BW36</f>
        <v>295.83999999999997</v>
      </c>
      <c r="CN161" s="623">
        <f>+'ANEXOA-AMORTIZACION'!BX36</f>
        <v>298.61</v>
      </c>
      <c r="CO161" s="623">
        <f>+'ANEXOA-AMORTIZACION'!BY36</f>
        <v>301.68</v>
      </c>
      <c r="CP161" s="623">
        <f>+'ANEXOA-AMORTIZACION'!BZ36</f>
        <v>302.23</v>
      </c>
      <c r="CQ161" s="659">
        <f>+'ANEXOA-AMORTIZACION'!CA36</f>
        <v>304.02999999999997</v>
      </c>
      <c r="CR161" s="660">
        <f>+'ANEXOA-AMORTIZACION'!CB36</f>
        <v>305.64999999999998</v>
      </c>
      <c r="CS161" s="623">
        <f>+'ANEXOA-AMORTIZACION'!CC36</f>
        <v>308</v>
      </c>
      <c r="CT161" s="623">
        <f>+'ANEXOA-AMORTIZACION'!CD36</f>
        <v>310.13</v>
      </c>
      <c r="CU161" s="623">
        <f>+'ANEXOA-AMORTIZACION'!CE36</f>
        <v>314.08</v>
      </c>
      <c r="CV161" s="623">
        <f>+'ANEXOA-AMORTIZACION'!CF36</f>
        <v>316.27</v>
      </c>
      <c r="CW161" s="623">
        <f>+'ANEXOA-AMORTIZACION'!CG36</f>
        <v>323.93</v>
      </c>
      <c r="CX161" s="623">
        <f>+'ANEXOA-AMORTIZACION'!CH36</f>
        <v>326.44</v>
      </c>
      <c r="CY161" s="623">
        <f>+'ANEXOA-AMORTIZACION'!CI36</f>
        <v>328.92</v>
      </c>
      <c r="CZ161" s="623">
        <f>+'ANEXOA-AMORTIZACION'!CJ36</f>
        <v>329.57</v>
      </c>
      <c r="DA161" s="623">
        <f>+'ANEXOA-AMORTIZACION'!CK36</f>
        <v>337.31</v>
      </c>
      <c r="DB161" s="659">
        <f>+'ANEXOA-AMORTIZACION'!CL36</f>
        <v>339.89</v>
      </c>
      <c r="DC161" s="659">
        <f>+'ANEXOA-AMORTIZACION'!CM36</f>
        <v>340.71</v>
      </c>
      <c r="DD161" s="783">
        <f>+'ANEXOA-AMORTIZACION'!CN36</f>
        <v>341.8</v>
      </c>
      <c r="DE161" s="623">
        <f>+'ANEXOA-AMORTIZACION'!CO36</f>
        <v>348.04</v>
      </c>
      <c r="DF161" s="725">
        <f>+'ANEXOA-AMORTIZACION'!CP36</f>
        <v>358.47</v>
      </c>
      <c r="DG161" s="659">
        <f>+'ANEXOA-AMORTIZACION'!CQ36</f>
        <v>349.45</v>
      </c>
      <c r="DH161" s="623">
        <f>+'ANEXOA-AMORTIZACION'!CR36</f>
        <v>365.21</v>
      </c>
      <c r="DI161" s="623">
        <f>+'ANEXOA-AMORTIZACION'!CS36</f>
        <v>367.15</v>
      </c>
      <c r="DJ161" s="623">
        <f>+'ANEXOA-AMORTIZACION'!CT36</f>
        <v>371.89</v>
      </c>
      <c r="DK161" s="659">
        <f>+'ANEXOA-AMORTIZACION'!CU36</f>
        <v>377.63</v>
      </c>
      <c r="DL161" s="897">
        <f>+'ANEXOA-AMORTIZACION'!CV36</f>
        <v>380.89</v>
      </c>
      <c r="DM161" s="110">
        <f t="shared" si="2"/>
        <v>1.0086327887085242</v>
      </c>
      <c r="DN161" s="151"/>
      <c r="DO161" s="151"/>
    </row>
    <row r="162" spans="1:119" s="115" customFormat="1" ht="34.5" customHeight="1">
      <c r="A162" s="114"/>
      <c r="B162" s="408">
        <v>204</v>
      </c>
      <c r="C162" s="621" t="s">
        <v>341</v>
      </c>
      <c r="D162" s="622" t="s">
        <v>342</v>
      </c>
      <c r="E162" s="621" t="s">
        <v>918</v>
      </c>
      <c r="F162" s="622"/>
      <c r="G162" s="621" t="s">
        <v>919</v>
      </c>
      <c r="H162" s="621" t="s">
        <v>920</v>
      </c>
      <c r="I162" s="390" t="s">
        <v>125</v>
      </c>
      <c r="J162" s="651"/>
      <c r="K162" s="669">
        <v>103.78</v>
      </c>
      <c r="L162" s="665">
        <v>103.78</v>
      </c>
      <c r="M162" s="625">
        <v>103.78</v>
      </c>
      <c r="N162" s="625">
        <v>111.62</v>
      </c>
      <c r="O162" s="625">
        <v>151.4</v>
      </c>
      <c r="P162" s="625">
        <v>159.16999999999999</v>
      </c>
      <c r="Q162" s="625">
        <v>192.07</v>
      </c>
      <c r="R162" s="625">
        <v>197.91</v>
      </c>
      <c r="S162" s="625">
        <v>197.91</v>
      </c>
      <c r="T162" s="625">
        <v>197.91</v>
      </c>
      <c r="U162" s="625">
        <v>197.91</v>
      </c>
      <c r="V162" s="625">
        <v>196</v>
      </c>
      <c r="W162" s="625">
        <v>196</v>
      </c>
      <c r="X162" s="625">
        <v>196.76</v>
      </c>
      <c r="Y162" s="625">
        <v>208.47</v>
      </c>
      <c r="Z162" s="625">
        <v>208.47</v>
      </c>
      <c r="AA162" s="625">
        <v>203.49</v>
      </c>
      <c r="AB162" s="625">
        <v>206.36</v>
      </c>
      <c r="AC162" s="625">
        <v>206.36</v>
      </c>
      <c r="AD162" s="625">
        <v>206.36</v>
      </c>
      <c r="AE162" s="625">
        <v>206.36</v>
      </c>
      <c r="AF162" s="625">
        <v>206.36</v>
      </c>
      <c r="AG162" s="625">
        <v>206.36</v>
      </c>
      <c r="AH162" s="625">
        <v>206.36</v>
      </c>
      <c r="AI162" s="764">
        <v>206.36</v>
      </c>
      <c r="AJ162" s="772">
        <v>206.24</v>
      </c>
      <c r="AK162" s="625">
        <v>211.52</v>
      </c>
      <c r="AL162" s="625">
        <v>211.52</v>
      </c>
      <c r="AM162" s="625">
        <v>211.52</v>
      </c>
      <c r="AN162" s="625">
        <v>211.52</v>
      </c>
      <c r="AO162" s="625">
        <v>218.67</v>
      </c>
      <c r="AP162" s="625">
        <v>226.17</v>
      </c>
      <c r="AQ162" s="625">
        <v>226.17</v>
      </c>
      <c r="AR162" s="625">
        <v>226.17</v>
      </c>
      <c r="AS162" s="625">
        <v>226.17</v>
      </c>
      <c r="AT162" s="625">
        <v>231.67</v>
      </c>
      <c r="AU162" s="764">
        <v>231.67</v>
      </c>
      <c r="AV162" s="752">
        <v>231.67</v>
      </c>
      <c r="AW162" s="626">
        <v>231.67</v>
      </c>
      <c r="AX162" s="626">
        <v>244.87</v>
      </c>
      <c r="AY162" s="626">
        <v>244.87</v>
      </c>
      <c r="AZ162" s="626">
        <v>244.87</v>
      </c>
      <c r="BA162" s="626">
        <v>244.87</v>
      </c>
      <c r="BB162" s="626">
        <v>251.01</v>
      </c>
      <c r="BC162" s="627">
        <v>251.01</v>
      </c>
      <c r="BD162" s="626">
        <v>251.01</v>
      </c>
      <c r="BE162" s="627">
        <v>251.01</v>
      </c>
      <c r="BF162" s="627">
        <v>251.01</v>
      </c>
      <c r="BG162" s="759">
        <v>251.01</v>
      </c>
      <c r="BH162" s="660">
        <v>259.14999999999998</v>
      </c>
      <c r="BI162" s="623">
        <v>259.14999999999998</v>
      </c>
      <c r="BJ162" s="623">
        <v>259.14999999999998</v>
      </c>
      <c r="BK162" s="623">
        <v>259.14999999999998</v>
      </c>
      <c r="BL162" s="623">
        <v>259.14999999999998</v>
      </c>
      <c r="BM162" s="623">
        <v>260.7</v>
      </c>
      <c r="BN162" s="623">
        <v>269.64999999999998</v>
      </c>
      <c r="BO162" s="623">
        <v>269.64999999999998</v>
      </c>
      <c r="BP162" s="623">
        <v>269.64999999999998</v>
      </c>
      <c r="BQ162" s="623">
        <v>269.64999999999998</v>
      </c>
      <c r="BR162" s="623">
        <v>276.24</v>
      </c>
      <c r="BS162" s="659">
        <v>276.24</v>
      </c>
      <c r="BT162" s="660">
        <v>276.24</v>
      </c>
      <c r="BU162" s="623">
        <v>276.24</v>
      </c>
      <c r="BV162" s="623">
        <v>289.23</v>
      </c>
      <c r="BW162" s="623">
        <v>289.23</v>
      </c>
      <c r="BX162" s="623">
        <v>289.23</v>
      </c>
      <c r="BY162" s="623">
        <v>295.64999999999998</v>
      </c>
      <c r="BZ162" s="623">
        <v>296.24</v>
      </c>
      <c r="CA162" s="623">
        <v>295.64999999999998</v>
      </c>
      <c r="CB162" s="623">
        <v>295.64999999999998</v>
      </c>
      <c r="CC162" s="623">
        <v>296.63</v>
      </c>
      <c r="CD162" s="623">
        <v>296.63</v>
      </c>
      <c r="CE162" s="659">
        <v>296.63</v>
      </c>
      <c r="CF162" s="660">
        <v>296.63</v>
      </c>
      <c r="CG162" s="623">
        <v>309.93</v>
      </c>
      <c r="CH162" s="623">
        <v>309.93</v>
      </c>
      <c r="CI162" s="623">
        <v>309.93</v>
      </c>
      <c r="CJ162" s="623">
        <v>309.93</v>
      </c>
      <c r="CK162" s="623">
        <v>312.08999999999997</v>
      </c>
      <c r="CL162" s="623">
        <v>312.07</v>
      </c>
      <c r="CM162" s="623">
        <v>342.37</v>
      </c>
      <c r="CN162" s="623">
        <v>361.54</v>
      </c>
      <c r="CO162" s="623">
        <v>361.54</v>
      </c>
      <c r="CP162" s="623">
        <v>361.53</v>
      </c>
      <c r="CQ162" s="659">
        <v>361.53</v>
      </c>
      <c r="CR162" s="660">
        <v>361.53</v>
      </c>
      <c r="CS162" s="623">
        <v>361.53</v>
      </c>
      <c r="CT162" s="623">
        <v>361.53</v>
      </c>
      <c r="CU162" s="623">
        <v>377.89</v>
      </c>
      <c r="CV162" s="623">
        <v>377.89</v>
      </c>
      <c r="CW162" s="623">
        <v>377.89</v>
      </c>
      <c r="CX162" s="623">
        <v>377.89</v>
      </c>
      <c r="CY162" s="623">
        <v>383.99</v>
      </c>
      <c r="CZ162" s="623">
        <v>383.99</v>
      </c>
      <c r="DA162" s="623">
        <v>399.44</v>
      </c>
      <c r="DB162" s="659">
        <v>417.28</v>
      </c>
      <c r="DC162" s="659">
        <v>417.28</v>
      </c>
      <c r="DD162" s="783">
        <v>436.06</v>
      </c>
      <c r="DE162" s="623">
        <v>451.8</v>
      </c>
      <c r="DF162" s="725">
        <v>446.87</v>
      </c>
      <c r="DG162" s="659">
        <v>451.8</v>
      </c>
      <c r="DH162" s="623">
        <v>451.8</v>
      </c>
      <c r="DI162" s="623">
        <v>442.39</v>
      </c>
      <c r="DJ162" s="623">
        <v>442.39</v>
      </c>
      <c r="DK162" s="659">
        <v>442.39</v>
      </c>
      <c r="DL162" s="897">
        <v>442.39</v>
      </c>
      <c r="DM162" s="110">
        <f t="shared" si="2"/>
        <v>1</v>
      </c>
      <c r="DN162" s="110"/>
      <c r="DO162" s="110"/>
    </row>
    <row r="163" spans="1:119" s="150" customFormat="1" ht="33.75" customHeight="1">
      <c r="A163" s="148"/>
      <c r="B163" s="408">
        <v>205</v>
      </c>
      <c r="C163" s="621" t="s">
        <v>343</v>
      </c>
      <c r="D163" s="622" t="s">
        <v>344</v>
      </c>
      <c r="E163" s="621" t="s">
        <v>918</v>
      </c>
      <c r="F163" s="622"/>
      <c r="G163" s="621" t="s">
        <v>919</v>
      </c>
      <c r="H163" s="621"/>
      <c r="I163" s="390" t="s">
        <v>116</v>
      </c>
      <c r="J163" s="676" t="s">
        <v>345</v>
      </c>
      <c r="K163" s="669">
        <v>100</v>
      </c>
      <c r="L163" s="665">
        <v>100</v>
      </c>
      <c r="M163" s="625">
        <v>100</v>
      </c>
      <c r="N163" s="625">
        <v>104.75</v>
      </c>
      <c r="O163" s="625">
        <v>154.56</v>
      </c>
      <c r="P163" s="625">
        <v>158.52000000000001</v>
      </c>
      <c r="Q163" s="625">
        <v>180.28</v>
      </c>
      <c r="R163" s="625">
        <v>183.33</v>
      </c>
      <c r="S163" s="625">
        <v>183.33</v>
      </c>
      <c r="T163" s="625">
        <v>198.23</v>
      </c>
      <c r="U163" s="625">
        <v>286.47000000000003</v>
      </c>
      <c r="V163" s="625">
        <v>300.83999999999997</v>
      </c>
      <c r="W163" s="625">
        <v>300.83999999999997</v>
      </c>
      <c r="X163" s="625">
        <v>282.47000000000003</v>
      </c>
      <c r="Y163" s="625">
        <v>276.35000000000002</v>
      </c>
      <c r="Z163" s="625">
        <v>262.36</v>
      </c>
      <c r="AA163" s="625">
        <v>257.98</v>
      </c>
      <c r="AB163" s="625">
        <v>237.98</v>
      </c>
      <c r="AC163" s="625">
        <v>238.75</v>
      </c>
      <c r="AD163" s="625">
        <v>238.68</v>
      </c>
      <c r="AE163" s="625">
        <v>249.11</v>
      </c>
      <c r="AF163" s="625">
        <v>248.97</v>
      </c>
      <c r="AG163" s="625">
        <v>245.51</v>
      </c>
      <c r="AH163" s="625">
        <v>246.54</v>
      </c>
      <c r="AI163" s="764">
        <v>254.03</v>
      </c>
      <c r="AJ163" s="772">
        <v>250.56</v>
      </c>
      <c r="AK163" s="625">
        <v>252.27</v>
      </c>
      <c r="AL163" s="625">
        <v>251.82</v>
      </c>
      <c r="AM163" s="625">
        <v>245.85</v>
      </c>
      <c r="AN163" s="625">
        <v>257.06</v>
      </c>
      <c r="AO163" s="625">
        <v>257.75</v>
      </c>
      <c r="AP163" s="625">
        <v>266.06</v>
      </c>
      <c r="AQ163" s="625">
        <v>268.13</v>
      </c>
      <c r="AR163" s="625">
        <v>267.25</v>
      </c>
      <c r="AS163" s="625">
        <v>266.22000000000003</v>
      </c>
      <c r="AT163" s="625">
        <v>266.22000000000003</v>
      </c>
      <c r="AU163" s="764">
        <v>266.73</v>
      </c>
      <c r="AV163" s="752">
        <v>264.45</v>
      </c>
      <c r="AW163" s="626">
        <v>263.24</v>
      </c>
      <c r="AX163" s="626">
        <v>263.89</v>
      </c>
      <c r="AY163" s="626">
        <v>262.58999999999997</v>
      </c>
      <c r="AZ163" s="626">
        <v>262.31</v>
      </c>
      <c r="BA163" s="626">
        <v>262.31</v>
      </c>
      <c r="BB163" s="626">
        <v>274.61</v>
      </c>
      <c r="BC163" s="627">
        <v>274.61</v>
      </c>
      <c r="BD163" s="626">
        <v>277.12</v>
      </c>
      <c r="BE163" s="627">
        <v>280.48</v>
      </c>
      <c r="BF163" s="627">
        <v>281.04000000000002</v>
      </c>
      <c r="BG163" s="759">
        <v>285.05</v>
      </c>
      <c r="BH163" s="660">
        <v>284.19</v>
      </c>
      <c r="BI163" s="623">
        <v>289.49</v>
      </c>
      <c r="BJ163" s="623">
        <v>296.64999999999998</v>
      </c>
      <c r="BK163" s="623">
        <v>298.62</v>
      </c>
      <c r="BL163" s="623">
        <v>299.47000000000003</v>
      </c>
      <c r="BM163" s="623">
        <v>300.77999999999997</v>
      </c>
      <c r="BN163" s="623">
        <v>304.18</v>
      </c>
      <c r="BO163" s="623">
        <v>303.27999999999997</v>
      </c>
      <c r="BP163" s="623">
        <v>303.27999999999997</v>
      </c>
      <c r="BQ163" s="623">
        <v>304.36</v>
      </c>
      <c r="BR163" s="623">
        <v>306.32</v>
      </c>
      <c r="BS163" s="659">
        <v>304.42</v>
      </c>
      <c r="BT163" s="660">
        <v>308.14</v>
      </c>
      <c r="BU163" s="623">
        <v>309.37</v>
      </c>
      <c r="BV163" s="623">
        <v>308.52</v>
      </c>
      <c r="BW163" s="623">
        <v>308.64999999999998</v>
      </c>
      <c r="BX163" s="623">
        <v>308.61</v>
      </c>
      <c r="BY163" s="623">
        <v>315.58999999999997</v>
      </c>
      <c r="BZ163" s="623">
        <v>316.98</v>
      </c>
      <c r="CA163" s="623">
        <v>322.99</v>
      </c>
      <c r="CB163" s="623">
        <v>323.57</v>
      </c>
      <c r="CC163" s="623">
        <v>332.39</v>
      </c>
      <c r="CD163" s="623">
        <v>339.39</v>
      </c>
      <c r="CE163" s="659">
        <v>344.38</v>
      </c>
      <c r="CF163" s="660">
        <v>354.14</v>
      </c>
      <c r="CG163" s="623">
        <v>368.14</v>
      </c>
      <c r="CH163" s="623">
        <v>361.09</v>
      </c>
      <c r="CI163" s="623">
        <v>372.15</v>
      </c>
      <c r="CJ163" s="623">
        <v>372.37</v>
      </c>
      <c r="CK163" s="623">
        <v>369.09</v>
      </c>
      <c r="CL163" s="623">
        <v>372.4</v>
      </c>
      <c r="CM163" s="623">
        <v>383.53</v>
      </c>
      <c r="CN163" s="623">
        <v>386.61</v>
      </c>
      <c r="CO163" s="623">
        <v>402.33</v>
      </c>
      <c r="CP163" s="623">
        <v>413.44</v>
      </c>
      <c r="CQ163" s="659">
        <v>419.58</v>
      </c>
      <c r="CR163" s="660">
        <v>421.56</v>
      </c>
      <c r="CS163" s="623">
        <v>429.71</v>
      </c>
      <c r="CT163" s="623">
        <v>439.51</v>
      </c>
      <c r="CU163" s="623">
        <v>444.34</v>
      </c>
      <c r="CV163" s="623">
        <v>446.52</v>
      </c>
      <c r="CW163" s="623">
        <v>448.72</v>
      </c>
      <c r="CX163" s="623">
        <v>457.84</v>
      </c>
      <c r="CY163" s="623">
        <v>460.7</v>
      </c>
      <c r="CZ163" s="623">
        <v>464.77</v>
      </c>
      <c r="DA163" s="623">
        <v>470.54</v>
      </c>
      <c r="DB163" s="659">
        <v>470.78</v>
      </c>
      <c r="DC163" s="659">
        <v>470.78</v>
      </c>
      <c r="DD163" s="783">
        <v>470.78</v>
      </c>
      <c r="DE163" s="623">
        <v>473.42</v>
      </c>
      <c r="DF163" s="725">
        <v>495.45</v>
      </c>
      <c r="DG163" s="659">
        <v>506.48</v>
      </c>
      <c r="DH163" s="623">
        <v>509.63</v>
      </c>
      <c r="DI163" s="623">
        <v>509.63</v>
      </c>
      <c r="DJ163" s="623">
        <v>511.82</v>
      </c>
      <c r="DK163" s="659">
        <v>523.80999999999995</v>
      </c>
      <c r="DL163" s="897">
        <v>523.80999999999995</v>
      </c>
      <c r="DM163" s="110">
        <f t="shared" si="2"/>
        <v>1</v>
      </c>
      <c r="DN163" s="149"/>
      <c r="DO163" s="149"/>
    </row>
    <row r="164" spans="1:119" s="150" customFormat="1" ht="31.5" customHeight="1">
      <c r="A164" s="148"/>
      <c r="B164" s="408">
        <v>206</v>
      </c>
      <c r="C164" s="621" t="s">
        <v>346</v>
      </c>
      <c r="D164" s="622" t="s">
        <v>347</v>
      </c>
      <c r="E164" s="621" t="s">
        <v>918</v>
      </c>
      <c r="F164" s="622"/>
      <c r="G164" s="621" t="s">
        <v>919</v>
      </c>
      <c r="H164" s="621"/>
      <c r="I164" s="390" t="s">
        <v>132</v>
      </c>
      <c r="J164" s="676" t="s">
        <v>345</v>
      </c>
      <c r="K164" s="669">
        <v>89.1</v>
      </c>
      <c r="L164" s="665">
        <v>89.1</v>
      </c>
      <c r="M164" s="625">
        <v>89.1</v>
      </c>
      <c r="N164" s="625">
        <v>90.84</v>
      </c>
      <c r="O164" s="625">
        <v>144.85</v>
      </c>
      <c r="P164" s="625">
        <v>144.85</v>
      </c>
      <c r="Q164" s="625">
        <v>154.69999999999999</v>
      </c>
      <c r="R164" s="625">
        <v>155.21</v>
      </c>
      <c r="S164" s="625">
        <v>155.21</v>
      </c>
      <c r="T164" s="625">
        <v>176.92</v>
      </c>
      <c r="U164" s="625">
        <v>176.92</v>
      </c>
      <c r="V164" s="625">
        <v>176.92</v>
      </c>
      <c r="W164" s="625">
        <v>176.92</v>
      </c>
      <c r="X164" s="625">
        <v>176.92</v>
      </c>
      <c r="Y164" s="625">
        <v>176.92</v>
      </c>
      <c r="Z164" s="625">
        <v>191.03</v>
      </c>
      <c r="AA164" s="625">
        <v>191.03</v>
      </c>
      <c r="AB164" s="625">
        <v>191.03</v>
      </c>
      <c r="AC164" s="625">
        <v>191.03</v>
      </c>
      <c r="AD164" s="625">
        <v>176.02</v>
      </c>
      <c r="AE164" s="625">
        <v>176.02</v>
      </c>
      <c r="AF164" s="625">
        <v>176.02</v>
      </c>
      <c r="AG164" s="625">
        <v>176.02</v>
      </c>
      <c r="AH164" s="625">
        <v>176.02</v>
      </c>
      <c r="AI164" s="764">
        <v>176.02</v>
      </c>
      <c r="AJ164" s="772">
        <v>176.02</v>
      </c>
      <c r="AK164" s="625">
        <v>176.02</v>
      </c>
      <c r="AL164" s="625">
        <v>176.02</v>
      </c>
      <c r="AM164" s="625">
        <v>176.02</v>
      </c>
      <c r="AN164" s="625">
        <v>176.02</v>
      </c>
      <c r="AO164" s="625">
        <v>176.02</v>
      </c>
      <c r="AP164" s="625">
        <v>176.02</v>
      </c>
      <c r="AQ164" s="625">
        <v>176.02</v>
      </c>
      <c r="AR164" s="625">
        <v>184.48</v>
      </c>
      <c r="AS164" s="625">
        <v>184.48</v>
      </c>
      <c r="AT164" s="625">
        <v>184.48</v>
      </c>
      <c r="AU164" s="764">
        <v>184.48</v>
      </c>
      <c r="AV164" s="752">
        <v>184.48</v>
      </c>
      <c r="AW164" s="626">
        <v>184.48</v>
      </c>
      <c r="AX164" s="626">
        <v>184.48</v>
      </c>
      <c r="AY164" s="626">
        <v>184.48</v>
      </c>
      <c r="AZ164" s="626">
        <v>184.48</v>
      </c>
      <c r="BA164" s="626">
        <v>184.48</v>
      </c>
      <c r="BB164" s="626">
        <v>184.48</v>
      </c>
      <c r="BC164" s="627">
        <v>184.48</v>
      </c>
      <c r="BD164" s="626">
        <v>184.48</v>
      </c>
      <c r="BE164" s="627">
        <v>188.45</v>
      </c>
      <c r="BF164" s="627">
        <v>188.45</v>
      </c>
      <c r="BG164" s="759">
        <v>188.45</v>
      </c>
      <c r="BH164" s="660">
        <v>188.45</v>
      </c>
      <c r="BI164" s="623">
        <v>188.45</v>
      </c>
      <c r="BJ164" s="623">
        <v>192.17</v>
      </c>
      <c r="BK164" s="623">
        <v>192.17</v>
      </c>
      <c r="BL164" s="623">
        <v>192.17</v>
      </c>
      <c r="BM164" s="623">
        <v>192.17</v>
      </c>
      <c r="BN164" s="623">
        <v>199.49</v>
      </c>
      <c r="BO164" s="623">
        <v>199.49</v>
      </c>
      <c r="BP164" s="623">
        <v>199.49</v>
      </c>
      <c r="BQ164" s="623">
        <v>199.49</v>
      </c>
      <c r="BR164" s="623">
        <v>199.49</v>
      </c>
      <c r="BS164" s="659">
        <v>199.49</v>
      </c>
      <c r="BT164" s="660">
        <v>199.49</v>
      </c>
      <c r="BU164" s="623">
        <v>199.49</v>
      </c>
      <c r="BV164" s="623">
        <v>199.49</v>
      </c>
      <c r="BW164" s="623">
        <v>199.49</v>
      </c>
      <c r="BX164" s="623">
        <v>199.49</v>
      </c>
      <c r="BY164" s="623">
        <v>211.44</v>
      </c>
      <c r="BZ164" s="623">
        <v>211.44</v>
      </c>
      <c r="CA164" s="623">
        <v>227.75</v>
      </c>
      <c r="CB164" s="623">
        <v>227.74</v>
      </c>
      <c r="CC164" s="623">
        <v>227.73</v>
      </c>
      <c r="CD164" s="623">
        <v>227.73</v>
      </c>
      <c r="CE164" s="659">
        <v>227.73</v>
      </c>
      <c r="CF164" s="660">
        <v>227.73</v>
      </c>
      <c r="CG164" s="623">
        <v>231.94</v>
      </c>
      <c r="CH164" s="623">
        <v>231.94</v>
      </c>
      <c r="CI164" s="623">
        <v>231.94</v>
      </c>
      <c r="CJ164" s="623">
        <v>240.36</v>
      </c>
      <c r="CK164" s="623">
        <v>240.36</v>
      </c>
      <c r="CL164" s="623">
        <v>240.36</v>
      </c>
      <c r="CM164" s="623">
        <v>247.34</v>
      </c>
      <c r="CN164" s="623">
        <v>252.12</v>
      </c>
      <c r="CO164" s="623">
        <v>252.12</v>
      </c>
      <c r="CP164" s="623">
        <v>264.25</v>
      </c>
      <c r="CQ164" s="659">
        <v>264.25</v>
      </c>
      <c r="CR164" s="660">
        <v>265.04000000000002</v>
      </c>
      <c r="CS164" s="623">
        <v>265.95999999999998</v>
      </c>
      <c r="CT164" s="623">
        <v>265.95999999999998</v>
      </c>
      <c r="CU164" s="623">
        <v>266.52</v>
      </c>
      <c r="CV164" s="623">
        <v>266.52</v>
      </c>
      <c r="CW164" s="623">
        <v>266.52</v>
      </c>
      <c r="CX164" s="623">
        <v>266.89</v>
      </c>
      <c r="CY164" s="623">
        <v>266.89</v>
      </c>
      <c r="CZ164" s="623">
        <v>267.74</v>
      </c>
      <c r="DA164" s="623">
        <v>268.57</v>
      </c>
      <c r="DB164" s="659">
        <v>268.57</v>
      </c>
      <c r="DC164" s="659">
        <v>275.8</v>
      </c>
      <c r="DD164" s="783">
        <v>275.8</v>
      </c>
      <c r="DE164" s="623">
        <v>275.8</v>
      </c>
      <c r="DF164" s="725">
        <v>275.8</v>
      </c>
      <c r="DG164" s="659">
        <v>275.8</v>
      </c>
      <c r="DH164" s="623">
        <v>275.8</v>
      </c>
      <c r="DI164" s="623">
        <v>287.26</v>
      </c>
      <c r="DJ164" s="623">
        <v>287.26</v>
      </c>
      <c r="DK164" s="659">
        <v>296.77999999999997</v>
      </c>
      <c r="DL164" s="897">
        <v>296.77999999999997</v>
      </c>
      <c r="DM164" s="110">
        <f t="shared" si="2"/>
        <v>1</v>
      </c>
      <c r="DN164" s="149"/>
      <c r="DO164" s="149"/>
    </row>
    <row r="165" spans="1:119" s="150" customFormat="1" ht="18.95" customHeight="1">
      <c r="A165" s="148"/>
      <c r="B165" s="408">
        <v>207</v>
      </c>
      <c r="C165" s="621" t="s">
        <v>348</v>
      </c>
      <c r="D165" s="622" t="s">
        <v>349</v>
      </c>
      <c r="E165" s="621" t="s">
        <v>918</v>
      </c>
      <c r="F165" s="622"/>
      <c r="G165" s="621" t="s">
        <v>738</v>
      </c>
      <c r="H165" s="621"/>
      <c r="I165" s="631"/>
      <c r="J165" s="676" t="s">
        <v>203</v>
      </c>
      <c r="K165" s="669">
        <v>73.599999999999994</v>
      </c>
      <c r="L165" s="665">
        <v>73.599999999999994</v>
      </c>
      <c r="M165" s="625">
        <v>73.599999999999994</v>
      </c>
      <c r="N165" s="625">
        <v>73.599999999999994</v>
      </c>
      <c r="O165" s="625">
        <v>92.9</v>
      </c>
      <c r="P165" s="625">
        <v>97.8</v>
      </c>
      <c r="Q165" s="625">
        <v>97.8</v>
      </c>
      <c r="R165" s="625">
        <v>104.5</v>
      </c>
      <c r="S165" s="625">
        <v>104.5</v>
      </c>
      <c r="T165" s="625">
        <v>109.4</v>
      </c>
      <c r="U165" s="625">
        <v>109.4</v>
      </c>
      <c r="V165" s="625">
        <v>109.4</v>
      </c>
      <c r="W165" s="625">
        <v>109.4</v>
      </c>
      <c r="X165" s="625">
        <v>109.4</v>
      </c>
      <c r="Y165" s="625">
        <v>123.9</v>
      </c>
      <c r="Z165" s="625">
        <v>123.9</v>
      </c>
      <c r="AA165" s="625">
        <v>125.8</v>
      </c>
      <c r="AB165" s="625">
        <v>130.69999999999999</v>
      </c>
      <c r="AC165" s="625">
        <v>130.69999999999999</v>
      </c>
      <c r="AD165" s="625">
        <v>130.69999999999999</v>
      </c>
      <c r="AE165" s="625">
        <v>135.5</v>
      </c>
      <c r="AF165" s="625">
        <v>135.5</v>
      </c>
      <c r="AG165" s="625">
        <v>135.5</v>
      </c>
      <c r="AH165" s="625">
        <v>135.5</v>
      </c>
      <c r="AI165" s="764">
        <v>135.5</v>
      </c>
      <c r="AJ165" s="772">
        <v>135.5</v>
      </c>
      <c r="AK165" s="625">
        <v>135.5</v>
      </c>
      <c r="AL165" s="625">
        <v>135.5</v>
      </c>
      <c r="AM165" s="625">
        <v>140.30000000000001</v>
      </c>
      <c r="AN165" s="625">
        <v>142.30000000000001</v>
      </c>
      <c r="AO165" s="625">
        <v>142.30000000000001</v>
      </c>
      <c r="AP165" s="625">
        <v>142.30000000000001</v>
      </c>
      <c r="AQ165" s="625">
        <v>142.30000000000001</v>
      </c>
      <c r="AR165" s="625">
        <v>142.30000000000001</v>
      </c>
      <c r="AS165" s="625">
        <v>142.30000000000001</v>
      </c>
      <c r="AT165" s="625">
        <v>142.30000000000001</v>
      </c>
      <c r="AU165" s="764">
        <v>142.30000000000001</v>
      </c>
      <c r="AV165" s="752">
        <v>142.30000000000001</v>
      </c>
      <c r="AW165" s="626">
        <v>142.30000000000001</v>
      </c>
      <c r="AX165" s="626">
        <v>151</v>
      </c>
      <c r="AY165" s="626">
        <v>151</v>
      </c>
      <c r="AZ165" s="626">
        <v>156.80000000000001</v>
      </c>
      <c r="BA165" s="626">
        <v>156.80000000000001</v>
      </c>
      <c r="BB165" s="626">
        <v>156.80000000000001</v>
      </c>
      <c r="BC165" s="627">
        <v>166.5</v>
      </c>
      <c r="BD165" s="626">
        <v>166.5</v>
      </c>
      <c r="BE165" s="627">
        <v>172.3</v>
      </c>
      <c r="BF165" s="627">
        <v>172.3</v>
      </c>
      <c r="BG165" s="759">
        <v>172.3</v>
      </c>
      <c r="BH165" s="660">
        <v>180</v>
      </c>
      <c r="BI165" s="623">
        <v>180</v>
      </c>
      <c r="BJ165" s="623">
        <v>180</v>
      </c>
      <c r="BK165" s="623">
        <v>180</v>
      </c>
      <c r="BL165" s="623">
        <v>180</v>
      </c>
      <c r="BM165" s="623">
        <v>180</v>
      </c>
      <c r="BN165" s="623">
        <v>180</v>
      </c>
      <c r="BO165" s="623">
        <v>180</v>
      </c>
      <c r="BP165" s="623">
        <v>180</v>
      </c>
      <c r="BQ165" s="623">
        <v>180</v>
      </c>
      <c r="BR165" s="623">
        <v>180</v>
      </c>
      <c r="BS165" s="659">
        <v>185</v>
      </c>
      <c r="BT165" s="660">
        <v>185</v>
      </c>
      <c r="BU165" s="623">
        <v>185</v>
      </c>
      <c r="BV165" s="623">
        <v>191.1</v>
      </c>
      <c r="BW165" s="623">
        <v>191.1</v>
      </c>
      <c r="BX165" s="623">
        <v>191.1</v>
      </c>
      <c r="BY165" s="623">
        <v>228.1</v>
      </c>
      <c r="BZ165" s="623">
        <v>228.1</v>
      </c>
      <c r="CA165" s="623">
        <v>228.1</v>
      </c>
      <c r="CB165" s="623">
        <v>228.1</v>
      </c>
      <c r="CC165" s="623">
        <v>228.1</v>
      </c>
      <c r="CD165" s="623">
        <v>241.7</v>
      </c>
      <c r="CE165" s="659">
        <v>241.7</v>
      </c>
      <c r="CF165" s="660">
        <v>265.10000000000002</v>
      </c>
      <c r="CG165" s="623">
        <v>265.10000000000002</v>
      </c>
      <c r="CH165" s="623">
        <v>265.10000000000002</v>
      </c>
      <c r="CI165" s="623">
        <v>282.39999999999998</v>
      </c>
      <c r="CJ165" s="623">
        <v>282.39999999999998</v>
      </c>
      <c r="CK165" s="623">
        <v>282.39999999999998</v>
      </c>
      <c r="CL165" s="623">
        <v>302.10000000000002</v>
      </c>
      <c r="CM165" s="623">
        <v>302.10000000000002</v>
      </c>
      <c r="CN165" s="623">
        <v>305.8</v>
      </c>
      <c r="CO165" s="623">
        <v>318.10000000000002</v>
      </c>
      <c r="CP165" s="623">
        <v>328.9</v>
      </c>
      <c r="CQ165" s="659">
        <v>328.9</v>
      </c>
      <c r="CR165" s="660">
        <v>344</v>
      </c>
      <c r="CS165" s="623">
        <v>344</v>
      </c>
      <c r="CT165" s="623">
        <v>356.3</v>
      </c>
      <c r="CU165" s="623">
        <v>373.6</v>
      </c>
      <c r="CV165" s="623">
        <v>373.6</v>
      </c>
      <c r="CW165" s="623">
        <v>373.6</v>
      </c>
      <c r="CX165" s="623">
        <v>393.3</v>
      </c>
      <c r="CY165" s="623">
        <v>430.3</v>
      </c>
      <c r="CZ165" s="623">
        <v>442.7</v>
      </c>
      <c r="DA165" s="623">
        <v>442.7</v>
      </c>
      <c r="DB165" s="659">
        <v>465.6</v>
      </c>
      <c r="DC165" s="659">
        <v>465.6</v>
      </c>
      <c r="DD165" s="783">
        <v>465.6</v>
      </c>
      <c r="DE165" s="623">
        <v>484.6</v>
      </c>
      <c r="DF165" s="725">
        <v>484.6</v>
      </c>
      <c r="DG165" s="659">
        <v>484.6</v>
      </c>
      <c r="DH165" s="623">
        <v>484.6</v>
      </c>
      <c r="DI165" s="623">
        <v>508</v>
      </c>
      <c r="DJ165" s="623">
        <v>508</v>
      </c>
      <c r="DK165" s="659">
        <v>532.70000000000005</v>
      </c>
      <c r="DL165" s="897">
        <v>532.70000000000005</v>
      </c>
      <c r="DM165" s="110">
        <f t="shared" si="2"/>
        <v>1</v>
      </c>
      <c r="DN165" s="149"/>
      <c r="DO165" s="149"/>
    </row>
    <row r="166" spans="1:119" s="150" customFormat="1" ht="18.95" customHeight="1">
      <c r="A166" s="148"/>
      <c r="B166" s="408">
        <v>208</v>
      </c>
      <c r="C166" s="621" t="s">
        <v>350</v>
      </c>
      <c r="D166" s="622" t="s">
        <v>87</v>
      </c>
      <c r="E166" s="621" t="s">
        <v>918</v>
      </c>
      <c r="F166" s="622"/>
      <c r="G166" s="621" t="s">
        <v>738</v>
      </c>
      <c r="H166" s="621"/>
      <c r="I166" s="631" t="s">
        <v>355</v>
      </c>
      <c r="J166" s="676" t="s">
        <v>204</v>
      </c>
      <c r="K166" s="669">
        <v>84</v>
      </c>
      <c r="L166" s="665">
        <v>84</v>
      </c>
      <c r="M166" s="625">
        <v>82.8</v>
      </c>
      <c r="N166" s="625">
        <v>85.3</v>
      </c>
      <c r="O166" s="625">
        <v>86.6</v>
      </c>
      <c r="P166" s="625">
        <v>91.7</v>
      </c>
      <c r="Q166" s="625">
        <v>94.2</v>
      </c>
      <c r="R166" s="625">
        <v>96.8</v>
      </c>
      <c r="S166" s="625">
        <v>96.8</v>
      </c>
      <c r="T166" s="625">
        <v>96.8</v>
      </c>
      <c r="U166" s="625">
        <v>96.8</v>
      </c>
      <c r="V166" s="625">
        <v>96.8</v>
      </c>
      <c r="W166" s="625">
        <v>96.8</v>
      </c>
      <c r="X166" s="625">
        <v>96.8</v>
      </c>
      <c r="Y166" s="625">
        <v>96.8</v>
      </c>
      <c r="Z166" s="625">
        <v>96.8</v>
      </c>
      <c r="AA166" s="625">
        <v>96.8</v>
      </c>
      <c r="AB166" s="625">
        <v>96.8</v>
      </c>
      <c r="AC166" s="625">
        <v>100.6</v>
      </c>
      <c r="AD166" s="625">
        <v>100.6</v>
      </c>
      <c r="AE166" s="625">
        <v>100.6</v>
      </c>
      <c r="AF166" s="625">
        <v>100.6</v>
      </c>
      <c r="AG166" s="625">
        <v>100.6</v>
      </c>
      <c r="AH166" s="625">
        <v>100.6</v>
      </c>
      <c r="AI166" s="764">
        <v>100.6</v>
      </c>
      <c r="AJ166" s="772">
        <v>100.6</v>
      </c>
      <c r="AK166" s="625">
        <v>100.6</v>
      </c>
      <c r="AL166" s="625">
        <v>100.6</v>
      </c>
      <c r="AM166" s="625">
        <v>104.4</v>
      </c>
      <c r="AN166" s="625">
        <v>104.4</v>
      </c>
      <c r="AO166" s="625">
        <v>108.2</v>
      </c>
      <c r="AP166" s="625">
        <v>108.2</v>
      </c>
      <c r="AQ166" s="625">
        <v>108.2</v>
      </c>
      <c r="AR166" s="625">
        <v>108.2</v>
      </c>
      <c r="AS166" s="625">
        <v>108.2</v>
      </c>
      <c r="AT166" s="625">
        <v>110.8</v>
      </c>
      <c r="AU166" s="764">
        <v>113.3</v>
      </c>
      <c r="AV166" s="752">
        <v>113.3</v>
      </c>
      <c r="AW166" s="626">
        <v>113.3</v>
      </c>
      <c r="AX166" s="626">
        <v>117.2</v>
      </c>
      <c r="AY166" s="626">
        <v>118.4</v>
      </c>
      <c r="AZ166" s="626">
        <v>119.7</v>
      </c>
      <c r="BA166" s="626">
        <v>119.7</v>
      </c>
      <c r="BB166" s="626">
        <v>119.7</v>
      </c>
      <c r="BC166" s="627">
        <v>121</v>
      </c>
      <c r="BD166" s="626">
        <v>121</v>
      </c>
      <c r="BE166" s="627">
        <v>123.5</v>
      </c>
      <c r="BF166" s="627">
        <v>127.3</v>
      </c>
      <c r="BG166" s="759">
        <v>129.9</v>
      </c>
      <c r="BH166" s="660">
        <v>129.9</v>
      </c>
      <c r="BI166" s="623">
        <v>132.4</v>
      </c>
      <c r="BJ166" s="623">
        <v>135</v>
      </c>
      <c r="BK166" s="623">
        <v>135</v>
      </c>
      <c r="BL166" s="623">
        <v>135</v>
      </c>
      <c r="BM166" s="623">
        <v>135</v>
      </c>
      <c r="BN166" s="623">
        <v>135</v>
      </c>
      <c r="BO166" s="623">
        <v>135</v>
      </c>
      <c r="BP166" s="623">
        <v>135</v>
      </c>
      <c r="BQ166" s="623">
        <v>142.6</v>
      </c>
      <c r="BR166" s="623">
        <v>142.6</v>
      </c>
      <c r="BS166" s="659">
        <v>149</v>
      </c>
      <c r="BT166" s="660">
        <v>151.5</v>
      </c>
      <c r="BU166" s="623">
        <v>151.5</v>
      </c>
      <c r="BV166" s="623">
        <v>151.5</v>
      </c>
      <c r="BW166" s="623">
        <v>155.4</v>
      </c>
      <c r="BX166" s="623">
        <v>157.9</v>
      </c>
      <c r="BY166" s="623">
        <v>165.5</v>
      </c>
      <c r="BZ166" s="623">
        <v>165.5</v>
      </c>
      <c r="CA166" s="623">
        <v>168.1</v>
      </c>
      <c r="CB166" s="623">
        <v>174.5</v>
      </c>
      <c r="CC166" s="623">
        <v>187.2</v>
      </c>
      <c r="CD166" s="623">
        <v>192.3</v>
      </c>
      <c r="CE166" s="659">
        <v>201.2</v>
      </c>
      <c r="CF166" s="660">
        <v>217.8</v>
      </c>
      <c r="CG166" s="623">
        <v>217.8</v>
      </c>
      <c r="CH166" s="623">
        <v>230.5</v>
      </c>
      <c r="CI166" s="623">
        <v>234.3</v>
      </c>
      <c r="CJ166" s="623">
        <v>240.7</v>
      </c>
      <c r="CK166" s="623">
        <v>240.7</v>
      </c>
      <c r="CL166" s="623">
        <v>243.2</v>
      </c>
      <c r="CM166" s="623">
        <v>252.1</v>
      </c>
      <c r="CN166" s="623">
        <v>258.5</v>
      </c>
      <c r="CO166" s="623">
        <v>271.2</v>
      </c>
      <c r="CP166" s="623">
        <v>277.3</v>
      </c>
      <c r="CQ166" s="659">
        <v>277.3</v>
      </c>
      <c r="CR166" s="660">
        <v>287.3</v>
      </c>
      <c r="CS166" s="623">
        <v>287.7</v>
      </c>
      <c r="CT166" s="623">
        <v>287.7</v>
      </c>
      <c r="CU166" s="623">
        <v>300.7</v>
      </c>
      <c r="CV166" s="623">
        <v>309.39999999999998</v>
      </c>
      <c r="CW166" s="623">
        <v>309.39999999999998</v>
      </c>
      <c r="CX166" s="623">
        <v>329.4</v>
      </c>
      <c r="CY166" s="623">
        <v>329.4</v>
      </c>
      <c r="CZ166" s="623">
        <v>333.9</v>
      </c>
      <c r="DA166" s="623">
        <v>338.4</v>
      </c>
      <c r="DB166" s="659">
        <v>357</v>
      </c>
      <c r="DC166" s="659">
        <v>361.5</v>
      </c>
      <c r="DD166" s="783">
        <v>368.2</v>
      </c>
      <c r="DE166" s="623">
        <v>392.3</v>
      </c>
      <c r="DF166" s="725">
        <v>399</v>
      </c>
      <c r="DG166" s="659">
        <v>410.3</v>
      </c>
      <c r="DH166" s="623">
        <v>421.6</v>
      </c>
      <c r="DI166" s="623">
        <v>446.4</v>
      </c>
      <c r="DJ166" s="623">
        <v>446.4</v>
      </c>
      <c r="DK166" s="659">
        <v>446.4</v>
      </c>
      <c r="DL166" s="897">
        <v>446.4</v>
      </c>
      <c r="DM166" s="110">
        <f t="shared" si="2"/>
        <v>1</v>
      </c>
      <c r="DN166" s="149"/>
      <c r="DO166" s="149"/>
    </row>
    <row r="167" spans="1:119" s="115" customFormat="1" ht="26.25" customHeight="1" thickBot="1">
      <c r="A167" s="114"/>
      <c r="B167" s="407">
        <v>209</v>
      </c>
      <c r="C167" s="636" t="s">
        <v>357</v>
      </c>
      <c r="D167" s="637" t="s">
        <v>358</v>
      </c>
      <c r="E167" s="636" t="s">
        <v>918</v>
      </c>
      <c r="F167" s="637"/>
      <c r="G167" s="636" t="s">
        <v>919</v>
      </c>
      <c r="H167" s="636"/>
      <c r="I167" s="649" t="s">
        <v>431</v>
      </c>
      <c r="J167" s="678"/>
      <c r="K167" s="670">
        <v>79.19</v>
      </c>
      <c r="L167" s="666">
        <v>79.19</v>
      </c>
      <c r="M167" s="639">
        <v>86.36</v>
      </c>
      <c r="N167" s="639">
        <v>96.83</v>
      </c>
      <c r="O167" s="639">
        <v>108.06</v>
      </c>
      <c r="P167" s="639">
        <v>116.17</v>
      </c>
      <c r="Q167" s="639">
        <v>123.32</v>
      </c>
      <c r="R167" s="639">
        <v>127.11</v>
      </c>
      <c r="S167" s="639">
        <v>125.13</v>
      </c>
      <c r="T167" s="639">
        <v>130.59</v>
      </c>
      <c r="U167" s="639">
        <v>130.59</v>
      </c>
      <c r="V167" s="639">
        <v>130.59</v>
      </c>
      <c r="W167" s="639">
        <v>130.59</v>
      </c>
      <c r="X167" s="639">
        <v>130.59</v>
      </c>
      <c r="Y167" s="639">
        <v>129.09</v>
      </c>
      <c r="Z167" s="639">
        <v>134.30000000000001</v>
      </c>
      <c r="AA167" s="639">
        <v>134.30000000000001</v>
      </c>
      <c r="AB167" s="639">
        <v>134.30000000000001</v>
      </c>
      <c r="AC167" s="639">
        <v>134.30000000000001</v>
      </c>
      <c r="AD167" s="639">
        <v>134.30000000000001</v>
      </c>
      <c r="AE167" s="639">
        <v>134.30000000000001</v>
      </c>
      <c r="AF167" s="639">
        <v>134.30000000000001</v>
      </c>
      <c r="AG167" s="639">
        <v>134.30000000000001</v>
      </c>
      <c r="AH167" s="639">
        <v>134.30000000000001</v>
      </c>
      <c r="AI167" s="765">
        <v>134.30000000000001</v>
      </c>
      <c r="AJ167" s="773">
        <v>136.22999999999999</v>
      </c>
      <c r="AK167" s="639">
        <v>139.13999999999999</v>
      </c>
      <c r="AL167" s="639">
        <v>139.13999999999999</v>
      </c>
      <c r="AM167" s="639">
        <v>148.38</v>
      </c>
      <c r="AN167" s="639">
        <v>148.38</v>
      </c>
      <c r="AO167" s="639">
        <v>152.79</v>
      </c>
      <c r="AP167" s="639">
        <v>157.22</v>
      </c>
      <c r="AQ167" s="639">
        <v>155.32</v>
      </c>
      <c r="AR167" s="639">
        <v>158.15</v>
      </c>
      <c r="AS167" s="639">
        <v>158.15</v>
      </c>
      <c r="AT167" s="639">
        <v>158.15</v>
      </c>
      <c r="AU167" s="765">
        <v>158.15</v>
      </c>
      <c r="AV167" s="768">
        <v>163.25</v>
      </c>
      <c r="AW167" s="640">
        <v>166.82</v>
      </c>
      <c r="AX167" s="640">
        <v>166.82</v>
      </c>
      <c r="AY167" s="640">
        <v>170.79</v>
      </c>
      <c r="AZ167" s="640">
        <v>171.48</v>
      </c>
      <c r="BA167" s="640">
        <v>171.48</v>
      </c>
      <c r="BB167" s="640">
        <v>171.48</v>
      </c>
      <c r="BC167" s="641">
        <v>173.44</v>
      </c>
      <c r="BD167" s="640">
        <v>173.44</v>
      </c>
      <c r="BE167" s="641">
        <v>178.02</v>
      </c>
      <c r="BF167" s="641">
        <v>182.22</v>
      </c>
      <c r="BG167" s="760">
        <v>182.22</v>
      </c>
      <c r="BH167" s="661">
        <v>189.27</v>
      </c>
      <c r="BI167" s="642">
        <v>189.27</v>
      </c>
      <c r="BJ167" s="642">
        <v>193.76</v>
      </c>
      <c r="BK167" s="642">
        <v>193.76</v>
      </c>
      <c r="BL167" s="642">
        <v>193.76</v>
      </c>
      <c r="BM167" s="642">
        <v>193.76</v>
      </c>
      <c r="BN167" s="642">
        <v>200.08</v>
      </c>
      <c r="BO167" s="642">
        <v>202.16</v>
      </c>
      <c r="BP167" s="642">
        <v>204.45</v>
      </c>
      <c r="BQ167" s="642">
        <v>204.45</v>
      </c>
      <c r="BR167" s="642">
        <v>204.45</v>
      </c>
      <c r="BS167" s="736">
        <v>204.45</v>
      </c>
      <c r="BT167" s="661">
        <v>210.04</v>
      </c>
      <c r="BU167" s="642">
        <v>210.04</v>
      </c>
      <c r="BV167" s="642">
        <v>211.7</v>
      </c>
      <c r="BW167" s="642">
        <v>211.39</v>
      </c>
      <c r="BX167" s="642">
        <v>216.62</v>
      </c>
      <c r="BY167" s="642">
        <v>216.62</v>
      </c>
      <c r="BZ167" s="642">
        <v>231.48</v>
      </c>
      <c r="CA167" s="642">
        <v>231.48</v>
      </c>
      <c r="CB167" s="642">
        <v>232.93</v>
      </c>
      <c r="CC167" s="642">
        <v>233.85</v>
      </c>
      <c r="CD167" s="642">
        <v>238.11</v>
      </c>
      <c r="CE167" s="736">
        <v>244.67</v>
      </c>
      <c r="CF167" s="661">
        <v>263.70999999999998</v>
      </c>
      <c r="CG167" s="642">
        <v>263.70999999999998</v>
      </c>
      <c r="CH167" s="642">
        <v>265.42</v>
      </c>
      <c r="CI167" s="642">
        <v>268.27999999999997</v>
      </c>
      <c r="CJ167" s="642">
        <v>269.70999999999998</v>
      </c>
      <c r="CK167" s="642">
        <v>279.39999999999998</v>
      </c>
      <c r="CL167" s="642">
        <v>286.8</v>
      </c>
      <c r="CM167" s="642">
        <v>289.92</v>
      </c>
      <c r="CN167" s="642">
        <v>291.45</v>
      </c>
      <c r="CO167" s="642">
        <v>291.45</v>
      </c>
      <c r="CP167" s="642">
        <v>294.33</v>
      </c>
      <c r="CQ167" s="736">
        <v>294.33</v>
      </c>
      <c r="CR167" s="661">
        <v>294.33</v>
      </c>
      <c r="CS167" s="642">
        <v>294.33</v>
      </c>
      <c r="CT167" s="642">
        <v>300.77999999999997</v>
      </c>
      <c r="CU167" s="642">
        <v>301.83</v>
      </c>
      <c r="CV167" s="642">
        <v>301.83</v>
      </c>
      <c r="CW167" s="642">
        <v>301.83</v>
      </c>
      <c r="CX167" s="642">
        <v>314.93</v>
      </c>
      <c r="CY167" s="642">
        <v>317.88</v>
      </c>
      <c r="CZ167" s="642">
        <v>317.88</v>
      </c>
      <c r="DA167" s="642">
        <v>320.95999999999998</v>
      </c>
      <c r="DB167" s="642">
        <v>307.20999999999998</v>
      </c>
      <c r="DC167" s="736">
        <v>307.20999999999998</v>
      </c>
      <c r="DD167" s="784">
        <v>307.77</v>
      </c>
      <c r="DE167" s="642">
        <v>307.77</v>
      </c>
      <c r="DF167" s="726">
        <v>309.66000000000003</v>
      </c>
      <c r="DG167" s="736">
        <v>317.17</v>
      </c>
      <c r="DH167" s="642">
        <v>331.7</v>
      </c>
      <c r="DI167" s="642">
        <v>331.7</v>
      </c>
      <c r="DJ167" s="642">
        <v>334.58</v>
      </c>
      <c r="DK167" s="736">
        <v>334.58</v>
      </c>
      <c r="DL167" s="901">
        <v>337.3</v>
      </c>
      <c r="DM167" s="110">
        <f t="shared" si="2"/>
        <v>1.0081295953135274</v>
      </c>
      <c r="DN167" s="110"/>
      <c r="DO167" s="110"/>
    </row>
    <row r="168" spans="1:119" s="150" customFormat="1" ht="18.95" customHeight="1">
      <c r="A168" s="148"/>
      <c r="B168" s="613">
        <v>210</v>
      </c>
      <c r="C168" s="614"/>
      <c r="D168" s="615" t="s">
        <v>359</v>
      </c>
      <c r="E168" s="891" t="s">
        <v>918</v>
      </c>
      <c r="F168" s="615"/>
      <c r="G168" s="614" t="s">
        <v>336</v>
      </c>
      <c r="H168" s="614"/>
      <c r="I168" s="616" t="s">
        <v>337</v>
      </c>
      <c r="J168" s="679" t="s">
        <v>205</v>
      </c>
      <c r="K168" s="671">
        <v>100</v>
      </c>
      <c r="L168" s="667">
        <v>104.52</v>
      </c>
      <c r="M168" s="618">
        <v>112.91</v>
      </c>
      <c r="N168" s="618">
        <v>121.36</v>
      </c>
      <c r="O168" s="618">
        <v>127.51</v>
      </c>
      <c r="P168" s="618">
        <v>146.6</v>
      </c>
      <c r="Q168" s="618">
        <v>158.15</v>
      </c>
      <c r="R168" s="618">
        <v>161.47999999999999</v>
      </c>
      <c r="S168" s="618">
        <v>163.51</v>
      </c>
      <c r="T168" s="618">
        <v>163.81</v>
      </c>
      <c r="U168" s="618">
        <v>164.21</v>
      </c>
      <c r="V168" s="618">
        <v>164.58</v>
      </c>
      <c r="W168" s="618">
        <v>164.91</v>
      </c>
      <c r="X168" s="618">
        <f>+'ANEXOA-AMORTIZACION'!H71</f>
        <v>164.36</v>
      </c>
      <c r="Y168" s="618">
        <f>+'ANEXOA-AMORTIZACION'!I71</f>
        <v>163.69</v>
      </c>
      <c r="Z168" s="618">
        <f>+'ANEXOA-AMORTIZACION'!J71</f>
        <v>164.47</v>
      </c>
      <c r="AA168" s="618">
        <f>+'ANEXOA-AMORTIZACION'!K71</f>
        <v>163.36000000000001</v>
      </c>
      <c r="AB168" s="618">
        <f>+'ANEXOA-AMORTIZACION'!L71</f>
        <v>163.85</v>
      </c>
      <c r="AC168" s="618">
        <f>+'ANEXOA-AMORTIZACION'!M71</f>
        <v>163.65</v>
      </c>
      <c r="AD168" s="618">
        <f>+'ANEXOA-AMORTIZACION'!N71</f>
        <v>164.74</v>
      </c>
      <c r="AE168" s="618">
        <f>+'ANEXOA-AMORTIZACION'!O71</f>
        <v>166.22</v>
      </c>
      <c r="AF168" s="618">
        <f>+'ANEXOA-AMORTIZACION'!P71</f>
        <v>166.25</v>
      </c>
      <c r="AG168" s="618">
        <f>+'ANEXOA-AMORTIZACION'!Q71</f>
        <v>166.87</v>
      </c>
      <c r="AH168" s="618">
        <f>+'ANEXOA-AMORTIZACION'!R71</f>
        <v>167.69</v>
      </c>
      <c r="AI168" s="766">
        <f>+'ANEXOA-AMORTIZACION'!S71</f>
        <v>169.14</v>
      </c>
      <c r="AJ168" s="774">
        <f>+'ANEXOA-AMORTIZACION'!T71</f>
        <v>171.7</v>
      </c>
      <c r="AK168" s="618">
        <f>+'ANEXOA-AMORTIZACION'!U71</f>
        <v>175.27</v>
      </c>
      <c r="AL168" s="618">
        <f>+'ANEXOA-AMORTIZACION'!V71</f>
        <v>178.15</v>
      </c>
      <c r="AM168" s="618">
        <f>+'ANEXOA-AMORTIZACION'!W71</f>
        <v>180.11</v>
      </c>
      <c r="AN168" s="618">
        <f>+'ANEXOA-AMORTIZACION'!X71</f>
        <v>181.73</v>
      </c>
      <c r="AO168" s="618">
        <f>+'ANEXOA-AMORTIZACION'!Y71</f>
        <v>183.24</v>
      </c>
      <c r="AP168" s="618">
        <f>+'ANEXOA-AMORTIZACION'!Z71</f>
        <v>184.65</v>
      </c>
      <c r="AQ168" s="618">
        <f>+'ANEXOA-AMORTIZACION'!AA71</f>
        <v>185.27</v>
      </c>
      <c r="AR168" s="618">
        <f>+'ANEXOA-AMORTIZACION'!AB71</f>
        <v>186.11</v>
      </c>
      <c r="AS168" s="618">
        <f>+'ANEXOA-AMORTIZACION'!AC71</f>
        <v>187.33</v>
      </c>
      <c r="AT168" s="618">
        <f>+'ANEXOA-AMORTIZACION'!AD71</f>
        <v>188.1</v>
      </c>
      <c r="AU168" s="766">
        <f>+'ANEXOA-AMORTIZACION'!AE71</f>
        <v>189.91</v>
      </c>
      <c r="AV168" s="769">
        <f>+'ANEXOA-AMORTIZACION'!AF71</f>
        <v>187.49</v>
      </c>
      <c r="AW168" s="619">
        <f>+'ANEXOA-AMORTIZACION'!AG71</f>
        <v>197.58</v>
      </c>
      <c r="AX168" s="619">
        <f>+'ANEXOA-AMORTIZACION'!AH71</f>
        <v>199.53</v>
      </c>
      <c r="AY168" s="619">
        <f>+'ANEXOA-AMORTIZACION'!AI71</f>
        <v>204.52</v>
      </c>
      <c r="AZ168" s="619">
        <f>+'ANEXOA-AMORTIZACION'!AJ71</f>
        <v>206.09</v>
      </c>
      <c r="BA168" s="619">
        <f>+'ANEXOA-AMORTIZACION'!AK71</f>
        <v>207.32</v>
      </c>
      <c r="BB168" s="619">
        <f>+'ANEXOA-AMORTIZACION'!AL71</f>
        <v>209.44</v>
      </c>
      <c r="BC168" s="619">
        <f>+'ANEXOA-AMORTIZACION'!AM71</f>
        <v>210.93</v>
      </c>
      <c r="BD168" s="619">
        <f>+'ANEXOA-AMORTIZACION'!AN71</f>
        <v>213.45</v>
      </c>
      <c r="BE168" s="619">
        <f>+'ANEXOA-AMORTIZACION'!AO71</f>
        <v>216.4</v>
      </c>
      <c r="BF168" s="619">
        <f>+'ANEXOA-AMORTIZACION'!AP71</f>
        <v>219.56</v>
      </c>
      <c r="BG168" s="840">
        <f>+'ANEXOA-AMORTIZACION'!AQ71</f>
        <v>223.24</v>
      </c>
      <c r="BH168" s="662">
        <f>+'ANEXOA-AMORTIZACION'!AR71</f>
        <v>227.77</v>
      </c>
      <c r="BI168" s="617">
        <f>+'ANEXOA-AMORTIZACION'!AS71</f>
        <v>231</v>
      </c>
      <c r="BJ168" s="617">
        <f>+'ANEXOA-AMORTIZACION'!AT71</f>
        <v>233.09</v>
      </c>
      <c r="BK168" s="617">
        <f>+'ANEXOA-AMORTIZACION'!AU71</f>
        <v>235.42</v>
      </c>
      <c r="BL168" s="617">
        <f>+'ANEXOA-AMORTIZACION'!AV71</f>
        <v>237.69</v>
      </c>
      <c r="BM168" s="617">
        <f>+'ANEXOA-AMORTIZACION'!AW71</f>
        <v>244.35</v>
      </c>
      <c r="BN168" s="617">
        <f>+'ANEXOA-AMORTIZACION'!AX71</f>
        <v>246.94</v>
      </c>
      <c r="BO168" s="617">
        <f>+'ANEXOA-AMORTIZACION'!AY71</f>
        <v>250.01</v>
      </c>
      <c r="BP168" s="617">
        <f>+'ANEXOA-AMORTIZACION'!AZ71</f>
        <v>255.06</v>
      </c>
      <c r="BQ168" s="617">
        <f>+'ANEXOA-AMORTIZACION'!BA71</f>
        <v>256.81</v>
      </c>
      <c r="BR168" s="617">
        <f>+'ANEXOA-AMORTIZACION'!BB71</f>
        <v>257.33999999999997</v>
      </c>
      <c r="BS168" s="737">
        <f>+'ANEXOA-AMORTIZACION'!BC71</f>
        <v>258.94</v>
      </c>
      <c r="BT168" s="662">
        <f>+'ANEXOA-AMORTIZACION'!BD71</f>
        <v>262.26</v>
      </c>
      <c r="BU168" s="617">
        <f>+'ANEXOA-AMORTIZACION'!BE71</f>
        <v>264.41000000000003</v>
      </c>
      <c r="BV168" s="617">
        <f>+'ANEXOA-AMORTIZACION'!BF71</f>
        <v>266.3</v>
      </c>
      <c r="BW168" s="617">
        <f>+'ANEXOA-AMORTIZACION'!BG71</f>
        <v>269.72000000000003</v>
      </c>
      <c r="BX168" s="617">
        <f>+'ANEXOA-AMORTIZACION'!BH71</f>
        <v>276.58999999999997</v>
      </c>
      <c r="BY168" s="617">
        <f>+'ANEXOA-AMORTIZACION'!BI71</f>
        <v>282.36</v>
      </c>
      <c r="BZ168" s="617">
        <f>+'ANEXOA-AMORTIZACION'!BJ71</f>
        <v>286.93</v>
      </c>
      <c r="CA168" s="617">
        <f>+'ANEXOA-AMORTIZACION'!BK71</f>
        <v>292.44</v>
      </c>
      <c r="CB168" s="617">
        <f>+'ANEXOA-AMORTIZACION'!BL71</f>
        <v>294.60000000000002</v>
      </c>
      <c r="CC168" s="617">
        <v>301.08999999999997</v>
      </c>
      <c r="CD168" s="617">
        <f>+'ANEXOA-AMORTIZACION'!BN71</f>
        <v>302.14</v>
      </c>
      <c r="CE168" s="737">
        <f>+'ANEXOA-AMORTIZACION'!BO71</f>
        <v>305.08999999999997</v>
      </c>
      <c r="CF168" s="662">
        <f>+'ANEXOA-AMORTIZACION'!BP71</f>
        <v>308.39999999999998</v>
      </c>
      <c r="CG168" s="617">
        <f>+'ANEXOA-AMORTIZACION'!BQ71</f>
        <v>311.45</v>
      </c>
      <c r="CH168" s="617">
        <f>+'ANEXOA-AMORTIZACION'!BR71</f>
        <v>315.54000000000002</v>
      </c>
      <c r="CI168" s="617">
        <f>+'ANEXOA-AMORTIZACION'!BS71</f>
        <v>319.58999999999997</v>
      </c>
      <c r="CJ168" s="617">
        <f>+'ANEXOA-AMORTIZACION'!BT71</f>
        <v>328.9</v>
      </c>
      <c r="CK168" s="617">
        <f>+'ANEXOA-AMORTIZACION'!BU71</f>
        <v>332.51</v>
      </c>
      <c r="CL168" s="617">
        <f>+'ANEXOA-AMORTIZACION'!BV71</f>
        <v>341.08</v>
      </c>
      <c r="CM168" s="617">
        <f>+'ANEXOA-AMORTIZACION'!BW71</f>
        <v>342.73</v>
      </c>
      <c r="CN168" s="617">
        <f>+'ANEXOA-AMORTIZACION'!BX71</f>
        <v>347.47</v>
      </c>
      <c r="CO168" s="617">
        <f>+'ANEXOA-AMORTIZACION'!BY71</f>
        <v>349.74</v>
      </c>
      <c r="CP168" s="617">
        <f>+'ANEXOA-AMORTIZACION'!BZ71</f>
        <v>351.83</v>
      </c>
      <c r="CQ168" s="737">
        <f>+'ANEXOA-AMORTIZACION'!CA71</f>
        <v>352.5</v>
      </c>
      <c r="CR168" s="662">
        <f>+'ANEXOA-AMORTIZACION'!CB71</f>
        <v>354.35</v>
      </c>
      <c r="CS168" s="617">
        <f>+'ANEXOA-AMORTIZACION'!CC71</f>
        <v>355.05</v>
      </c>
      <c r="CT168" s="617">
        <f>+'ANEXOA-AMORTIZACION'!CD71</f>
        <v>355.94</v>
      </c>
      <c r="CU168" s="617">
        <f>+'ANEXOA-AMORTIZACION'!CE71</f>
        <v>357.99</v>
      </c>
      <c r="CV168" s="617">
        <f>+'ANEXOA-AMORTIZACION'!CF71</f>
        <v>361.82</v>
      </c>
      <c r="CW168" s="617">
        <f>+'ANEXOA-AMORTIZACION'!CG71</f>
        <v>369.34</v>
      </c>
      <c r="CX168" s="617">
        <f>+'ANEXOA-AMORTIZACION'!CH71</f>
        <v>372.17</v>
      </c>
      <c r="CY168" s="617">
        <f>+'ANEXOA-AMORTIZACION'!CI71</f>
        <v>374.33</v>
      </c>
      <c r="CZ168" s="617">
        <f>+'ANEXOA-AMORTIZACION'!CJ71</f>
        <v>375.57</v>
      </c>
      <c r="DA168" s="617">
        <f>+'ANEXOA-AMORTIZACION'!CK71</f>
        <v>385.13</v>
      </c>
      <c r="DB168" s="737">
        <f>+'ANEXOA-AMORTIZACION'!CL71</f>
        <v>390.06</v>
      </c>
      <c r="DC168" s="737">
        <f>+'ANEXOA-AMORTIZACION'!CM71</f>
        <v>391.8</v>
      </c>
      <c r="DD168" s="786">
        <f>+'ANEXOA-AMORTIZACION'!CN71</f>
        <v>393.99</v>
      </c>
      <c r="DE168" s="617">
        <f>+'ANEXOA-AMORTIZACION'!CO71</f>
        <v>401.95</v>
      </c>
      <c r="DF168" s="798">
        <f>+'ANEXOA-AMORTIZACION'!CP71</f>
        <v>413.53</v>
      </c>
      <c r="DG168" s="617">
        <f>+'ANEXOA-AMORTIZACION'!CQ71</f>
        <v>410.31</v>
      </c>
      <c r="DH168" s="617">
        <f>+'ANEXOA-AMORTIZACION'!CR71</f>
        <v>425.29</v>
      </c>
      <c r="DI168" s="643">
        <f>+'ANEXOA-AMORTIZACION'!CS71</f>
        <v>431.06</v>
      </c>
      <c r="DJ168" s="643">
        <f>+'ANEXOA-AMORTIZACION'!CT71</f>
        <v>436.13</v>
      </c>
      <c r="DK168" s="906">
        <f>+'ANEXOA-AMORTIZACION'!CU71</f>
        <v>442.76</v>
      </c>
      <c r="DL168" s="899">
        <f>+'ANEXOA-AMORTIZACION'!CV71</f>
        <v>447.86</v>
      </c>
      <c r="DM168" s="110">
        <f t="shared" si="2"/>
        <v>1.0115186557051226</v>
      </c>
      <c r="DN168" s="151"/>
      <c r="DO168" s="151"/>
    </row>
    <row r="169" spans="1:119" s="115" customFormat="1" ht="21" customHeight="1">
      <c r="A169" s="114"/>
      <c r="B169" s="629">
        <v>211</v>
      </c>
      <c r="C169" s="793" t="s">
        <v>759</v>
      </c>
      <c r="D169" s="794" t="s">
        <v>760</v>
      </c>
      <c r="E169" s="621" t="s">
        <v>918</v>
      </c>
      <c r="F169" s="622"/>
      <c r="G169" s="614" t="s">
        <v>919</v>
      </c>
      <c r="H169" s="621"/>
      <c r="I169" s="631" t="s">
        <v>687</v>
      </c>
      <c r="J169" s="676"/>
      <c r="K169" s="669"/>
      <c r="L169" s="665"/>
      <c r="M169" s="625"/>
      <c r="N169" s="625"/>
      <c r="O169" s="625"/>
      <c r="P169" s="625"/>
      <c r="Q169" s="625"/>
      <c r="R169" s="625"/>
      <c r="S169" s="625"/>
      <c r="T169" s="625"/>
      <c r="U169" s="625"/>
      <c r="V169" s="625"/>
      <c r="W169" s="625"/>
      <c r="X169" s="625"/>
      <c r="Y169" s="625"/>
      <c r="Z169" s="625"/>
      <c r="AA169" s="625"/>
      <c r="AB169" s="625"/>
      <c r="AC169" s="625"/>
      <c r="AD169" s="625"/>
      <c r="AE169" s="625"/>
      <c r="AF169" s="625"/>
      <c r="AG169" s="625"/>
      <c r="AH169" s="625"/>
      <c r="AI169" s="764"/>
      <c r="AJ169" s="772"/>
      <c r="AK169" s="625"/>
      <c r="AL169" s="625"/>
      <c r="AM169" s="625"/>
      <c r="AN169" s="625"/>
      <c r="AO169" s="625"/>
      <c r="AP169" s="625"/>
      <c r="AQ169" s="625"/>
      <c r="AR169" s="625"/>
      <c r="AS169" s="625"/>
      <c r="AT169" s="625"/>
      <c r="AU169" s="764"/>
      <c r="AV169" s="752"/>
      <c r="AW169" s="626"/>
      <c r="AX169" s="626"/>
      <c r="AY169" s="626"/>
      <c r="AZ169" s="626"/>
      <c r="BA169" s="628"/>
      <c r="BB169" s="628"/>
      <c r="BC169" s="627"/>
      <c r="BD169" s="626"/>
      <c r="BE169" s="627"/>
      <c r="BF169" s="627"/>
      <c r="BG169" s="738"/>
      <c r="BH169" s="660"/>
      <c r="BI169" s="623"/>
      <c r="BJ169" s="623"/>
      <c r="BK169" s="623"/>
      <c r="BL169" s="623"/>
      <c r="BM169" s="623"/>
      <c r="BN169" s="623"/>
      <c r="BO169" s="623"/>
      <c r="BP169" s="623"/>
      <c r="BQ169" s="623"/>
      <c r="BR169" s="623"/>
      <c r="BS169" s="659"/>
      <c r="BT169" s="660"/>
      <c r="BU169" s="623"/>
      <c r="BV169" s="623"/>
      <c r="BW169" s="623"/>
      <c r="BX169" s="623"/>
      <c r="BY169" s="623"/>
      <c r="BZ169" s="623"/>
      <c r="CA169" s="623"/>
      <c r="CB169" s="623"/>
      <c r="CC169" s="623"/>
      <c r="CD169" s="623"/>
      <c r="CE169" s="659"/>
      <c r="CF169" s="660">
        <v>292.89999999999998</v>
      </c>
      <c r="CG169" s="623">
        <v>292.94</v>
      </c>
      <c r="CH169" s="623">
        <v>294.37</v>
      </c>
      <c r="CI169" s="623">
        <v>295.27</v>
      </c>
      <c r="CJ169" s="623">
        <v>294.26</v>
      </c>
      <c r="CK169" s="623">
        <v>292.99</v>
      </c>
      <c r="CL169" s="623">
        <v>293.77999999999997</v>
      </c>
      <c r="CM169" s="623">
        <v>301.74</v>
      </c>
      <c r="CN169" s="623">
        <v>303.58999999999997</v>
      </c>
      <c r="CO169" s="623">
        <v>311.73</v>
      </c>
      <c r="CP169" s="623">
        <v>307.27</v>
      </c>
      <c r="CQ169" s="659">
        <v>308.02999999999997</v>
      </c>
      <c r="CR169" s="660">
        <v>295.29000000000002</v>
      </c>
      <c r="CS169" s="623">
        <v>268.10000000000002</v>
      </c>
      <c r="CT169" s="623">
        <v>270.92</v>
      </c>
      <c r="CU169" s="623">
        <v>271.91000000000003</v>
      </c>
      <c r="CV169" s="623">
        <v>272.70999999999998</v>
      </c>
      <c r="CW169" s="623">
        <v>276.54000000000002</v>
      </c>
      <c r="CX169" s="623">
        <v>279.42</v>
      </c>
      <c r="CY169" s="623">
        <v>281.92</v>
      </c>
      <c r="CZ169" s="623">
        <v>282.45</v>
      </c>
      <c r="DA169" s="623">
        <v>281.87</v>
      </c>
      <c r="DB169" s="725">
        <v>281.64</v>
      </c>
      <c r="DC169" s="659">
        <v>281.52999999999997</v>
      </c>
      <c r="DD169" s="783">
        <v>282.7</v>
      </c>
      <c r="DE169" s="623">
        <v>295.43</v>
      </c>
      <c r="DF169" s="725">
        <v>284.10000000000002</v>
      </c>
      <c r="DG169" s="659">
        <v>286.88</v>
      </c>
      <c r="DH169" s="623">
        <v>287.61</v>
      </c>
      <c r="DI169" s="623">
        <v>288.45</v>
      </c>
      <c r="DJ169" s="623">
        <v>289.02999999999997</v>
      </c>
      <c r="DK169" s="659">
        <v>302.35000000000002</v>
      </c>
      <c r="DL169" s="897">
        <v>319.02</v>
      </c>
      <c r="DM169" s="110">
        <f t="shared" si="2"/>
        <v>1.0551347775756572</v>
      </c>
      <c r="DN169" s="110"/>
      <c r="DO169" s="110"/>
    </row>
    <row r="170" spans="1:119" s="115" customFormat="1" ht="16.5" customHeight="1">
      <c r="A170" s="114"/>
      <c r="B170" s="408"/>
      <c r="C170" s="621"/>
      <c r="D170" s="622"/>
      <c r="E170" s="621"/>
      <c r="F170" s="622"/>
      <c r="G170" s="621"/>
      <c r="H170" s="621"/>
      <c r="I170" s="631"/>
      <c r="J170" s="676"/>
      <c r="K170" s="669"/>
      <c r="L170" s="665"/>
      <c r="M170" s="625"/>
      <c r="N170" s="625"/>
      <c r="O170" s="625"/>
      <c r="P170" s="625"/>
      <c r="Q170" s="625"/>
      <c r="R170" s="625"/>
      <c r="S170" s="625"/>
      <c r="T170" s="625"/>
      <c r="U170" s="625"/>
      <c r="V170" s="625"/>
      <c r="W170" s="625"/>
      <c r="X170" s="625"/>
      <c r="Y170" s="625"/>
      <c r="Z170" s="625"/>
      <c r="AA170" s="625"/>
      <c r="AB170" s="625"/>
      <c r="AC170" s="625"/>
      <c r="AD170" s="625"/>
      <c r="AE170" s="625"/>
      <c r="AF170" s="625"/>
      <c r="AG170" s="625"/>
      <c r="AH170" s="625"/>
      <c r="AI170" s="764"/>
      <c r="AJ170" s="772"/>
      <c r="AK170" s="625"/>
      <c r="AL170" s="625"/>
      <c r="AM170" s="625"/>
      <c r="AN170" s="625"/>
      <c r="AO170" s="625"/>
      <c r="AP170" s="625"/>
      <c r="AQ170" s="625"/>
      <c r="AR170" s="625"/>
      <c r="AS170" s="625"/>
      <c r="AT170" s="625"/>
      <c r="AU170" s="764"/>
      <c r="AV170" s="752"/>
      <c r="AW170" s="626"/>
      <c r="AX170" s="626"/>
      <c r="AY170" s="626"/>
      <c r="AZ170" s="626"/>
      <c r="BA170" s="628"/>
      <c r="BB170" s="628"/>
      <c r="BC170" s="627"/>
      <c r="BD170" s="626"/>
      <c r="BE170" s="627"/>
      <c r="BF170" s="627"/>
      <c r="BG170" s="738"/>
      <c r="BH170" s="660"/>
      <c r="BI170" s="623"/>
      <c r="BJ170" s="623"/>
      <c r="BK170" s="623"/>
      <c r="BL170" s="623"/>
      <c r="BM170" s="623"/>
      <c r="BN170" s="623"/>
      <c r="BO170" s="623"/>
      <c r="BP170" s="623"/>
      <c r="BQ170" s="623"/>
      <c r="BR170" s="623"/>
      <c r="BS170" s="659"/>
      <c r="BT170" s="660"/>
      <c r="BU170" s="623"/>
      <c r="BV170" s="623"/>
      <c r="BW170" s="623"/>
      <c r="BX170" s="623"/>
      <c r="BY170" s="623"/>
      <c r="BZ170" s="623"/>
      <c r="CA170" s="623"/>
      <c r="CB170" s="623"/>
      <c r="CC170" s="623"/>
      <c r="CD170" s="623"/>
      <c r="CE170" s="659"/>
      <c r="CF170" s="660"/>
      <c r="CG170" s="623"/>
      <c r="CH170" s="623"/>
      <c r="CI170" s="623"/>
      <c r="CJ170" s="623"/>
      <c r="CK170" s="623"/>
      <c r="CL170" s="623"/>
      <c r="CM170" s="623"/>
      <c r="CN170" s="623"/>
      <c r="CO170" s="623"/>
      <c r="CP170" s="623"/>
      <c r="CQ170" s="659"/>
      <c r="CR170" s="660"/>
      <c r="CS170" s="623"/>
      <c r="CT170" s="623"/>
      <c r="CU170" s="623"/>
      <c r="CV170" s="623"/>
      <c r="CW170" s="623"/>
      <c r="CX170" s="623"/>
      <c r="CY170" s="623"/>
      <c r="CZ170" s="623"/>
      <c r="DA170" s="623"/>
      <c r="DB170" s="725"/>
      <c r="DC170" s="659"/>
      <c r="DD170" s="783"/>
      <c r="DE170" s="623"/>
      <c r="DF170" s="725"/>
      <c r="DG170" s="659"/>
      <c r="DH170" s="623"/>
      <c r="DI170" s="623"/>
      <c r="DJ170" s="623"/>
      <c r="DK170" s="659"/>
      <c r="DL170" s="897"/>
      <c r="DM170" s="110"/>
      <c r="DN170" s="110"/>
      <c r="DO170" s="110"/>
    </row>
    <row r="171" spans="1:119" s="115" customFormat="1" ht="34.5" customHeight="1">
      <c r="A171" s="114"/>
      <c r="B171" s="408">
        <v>221</v>
      </c>
      <c r="C171" s="621"/>
      <c r="D171" s="622" t="s">
        <v>228</v>
      </c>
      <c r="E171" s="621" t="s">
        <v>918</v>
      </c>
      <c r="F171" s="622"/>
      <c r="G171" s="621" t="s">
        <v>336</v>
      </c>
      <c r="H171" s="621"/>
      <c r="I171" s="631" t="s">
        <v>432</v>
      </c>
      <c r="J171" s="676" t="s">
        <v>434</v>
      </c>
      <c r="K171" s="669">
        <v>100</v>
      </c>
      <c r="L171" s="665">
        <f>+'ANEXOA-MODIFICADO'!D371</f>
        <v>106.95</v>
      </c>
      <c r="M171" s="625">
        <f>+'ANEXOA-MODIFICADO'!E371</f>
        <v>107.7</v>
      </c>
      <c r="N171" s="625">
        <f>+'ANEXOA-MODIFICADO'!F371</f>
        <v>108.45</v>
      </c>
      <c r="O171" s="625">
        <f>+'ANEXOA-MODIFICADO'!G371</f>
        <v>152.11000000000001</v>
      </c>
      <c r="P171" s="625">
        <f>+'ANEXOA-MODIFICADO'!H371</f>
        <v>177.42</v>
      </c>
      <c r="Q171" s="625">
        <f>+'ANEXOA-MODIFICADO'!I371</f>
        <v>201.2</v>
      </c>
      <c r="R171" s="625">
        <f>+'ANEXOA-MODIFICADO'!J371</f>
        <v>206.56</v>
      </c>
      <c r="S171" s="625">
        <f>+'ANEXOA-MODIFICADO'!K371</f>
        <v>206.81</v>
      </c>
      <c r="T171" s="625">
        <f>+'ANEXOA-MODIFICADO'!L371</f>
        <v>206.23</v>
      </c>
      <c r="U171" s="625">
        <f>+'ANEXOA-MODIFICADO'!M371</f>
        <v>209.81</v>
      </c>
      <c r="V171" s="625">
        <f>+'ANEXOA-MODIFICADO'!N371</f>
        <v>209.93</v>
      </c>
      <c r="W171" s="625">
        <f>+'ANEXOA-MODIFICADO'!O371</f>
        <v>210.93</v>
      </c>
      <c r="X171" s="625">
        <f>+'ANEXOA-MODIFICADO'!D377</f>
        <v>204.96</v>
      </c>
      <c r="Y171" s="625">
        <f>+'ANEXOA-MODIFICADO'!E377</f>
        <v>203.25</v>
      </c>
      <c r="Z171" s="625">
        <f>+'ANEXOA-MODIFICADO'!F377</f>
        <v>202.15</v>
      </c>
      <c r="AA171" s="625">
        <f>+'ANEXOA-MODIFICADO'!G377</f>
        <v>200.5</v>
      </c>
      <c r="AB171" s="625">
        <f>+'ANEXOA-MODIFICADO'!H377</f>
        <v>198.52</v>
      </c>
      <c r="AC171" s="625">
        <f>+'ANEXOA-MODIFICADO'!I377</f>
        <v>199.59</v>
      </c>
      <c r="AD171" s="625">
        <f>+'ANEXOA-MODIFICADO'!J377</f>
        <v>200.97</v>
      </c>
      <c r="AE171" s="625">
        <f>+'ANEXOA-MODIFICADO'!K377</f>
        <v>203.74</v>
      </c>
      <c r="AF171" s="625">
        <f>+'ANEXOA-MODIFICADO'!L377</f>
        <v>202.12</v>
      </c>
      <c r="AG171" s="625">
        <f>+'ANEXOA-MODIFICADO'!M377</f>
        <v>201.73</v>
      </c>
      <c r="AH171" s="625">
        <f>+'ANEXOA-MODIFICADO'!N377</f>
        <v>202.19</v>
      </c>
      <c r="AI171" s="764">
        <f>+'ANEXOA-MODIFICADO'!O377</f>
        <v>206.43</v>
      </c>
      <c r="AJ171" s="772">
        <f>+'ANEXOA-MODIFICADO'!D383</f>
        <v>207.76</v>
      </c>
      <c r="AK171" s="625">
        <f>+'ANEXOA-MODIFICADO'!E383</f>
        <v>212.22</v>
      </c>
      <c r="AL171" s="625">
        <f>+'ANEXOA-MODIFICADO'!F383</f>
        <v>217.73</v>
      </c>
      <c r="AM171" s="625">
        <f>+'ANEXOA-MODIFICADO'!G383</f>
        <v>218.98</v>
      </c>
      <c r="AN171" s="625">
        <f>+'ANEXOA-MODIFICADO'!H383</f>
        <v>224.86</v>
      </c>
      <c r="AO171" s="625">
        <f>+'ANEXOA-MODIFICADO'!I383</f>
        <v>227.2</v>
      </c>
      <c r="AP171" s="625">
        <f>+'ANEXOA-MODIFICADO'!J383</f>
        <v>227.69</v>
      </c>
      <c r="AQ171" s="625">
        <f>+'ANEXOA-MODIFICADO'!K383</f>
        <v>230.61</v>
      </c>
      <c r="AR171" s="625">
        <f>+'ANEXOA-MODIFICADO'!L383</f>
        <v>231.13</v>
      </c>
      <c r="AS171" s="625">
        <f>+'ANEXOA-MODIFICADO'!M383</f>
        <v>231.66</v>
      </c>
      <c r="AT171" s="625">
        <f>+'ANEXOA-MODIFICADO'!N383</f>
        <v>231.77</v>
      </c>
      <c r="AU171" s="764">
        <f>+'ANEXOA-MODIFICADO'!O383</f>
        <v>234.27</v>
      </c>
      <c r="AV171" s="752">
        <f>+'ANEXOA-MODIFICADO'!D389</f>
        <v>210.88</v>
      </c>
      <c r="AW171" s="626">
        <f>+'ANEXOA-MODIFICADO'!E389</f>
        <v>244.75</v>
      </c>
      <c r="AX171" s="626">
        <f>+'ANEXOA-MODIFICADO'!F389</f>
        <v>245.85</v>
      </c>
      <c r="AY171" s="626">
        <f>+'ANEXOA-MODIFICADO'!G389</f>
        <v>245.73</v>
      </c>
      <c r="AZ171" s="626">
        <f>+'ANEXOA-MODIFICADO'!H389</f>
        <v>246.67</v>
      </c>
      <c r="BA171" s="626">
        <f>+'ANEXOA-MODIFICADO'!I389</f>
        <v>247.2</v>
      </c>
      <c r="BB171" s="626">
        <f>+'ANEXOA-MODIFICADO'!J389</f>
        <v>248.76</v>
      </c>
      <c r="BC171" s="626">
        <f>+'ANEXOA-MODIFICADO'!K389</f>
        <v>250.77</v>
      </c>
      <c r="BD171" s="626">
        <f>+'ANEXOA-MODIFICADO'!L389</f>
        <v>255.07</v>
      </c>
      <c r="BE171" s="626">
        <f>+'ANEXOA-MODIFICADO'!M389</f>
        <v>257.17</v>
      </c>
      <c r="BF171" s="635">
        <f>+'ANEXOA-MODIFICADO'!N389</f>
        <v>257.77</v>
      </c>
      <c r="BG171" s="759">
        <f>+'ANEXOA-MODIFICADO'!O389</f>
        <v>261.87</v>
      </c>
      <c r="BH171" s="660">
        <f>+'ANEXOA-MODIFICADO'!D395</f>
        <v>264.17</v>
      </c>
      <c r="BI171" s="623">
        <f>+'ANEXOA-MODIFICADO'!E395</f>
        <v>266.12</v>
      </c>
      <c r="BJ171" s="623">
        <f>+'ANEXOA-MODIFICADO'!F395</f>
        <v>268.56</v>
      </c>
      <c r="BK171" s="623">
        <f>+'ANEXOA-MODIFICADO'!G395</f>
        <v>269.23</v>
      </c>
      <c r="BL171" s="623">
        <f>+'ANEXOA-MODIFICADO'!H395</f>
        <v>269.91000000000003</v>
      </c>
      <c r="BM171" s="623">
        <f>+'ANEXOA-MODIFICADO'!I395</f>
        <v>273.51</v>
      </c>
      <c r="BN171" s="623">
        <f>+'ANEXOA-MODIFICADO'!J395</f>
        <v>277.93</v>
      </c>
      <c r="BO171" s="623">
        <f>+'ANEXOA-MODIFICADO'!K395</f>
        <v>281.19</v>
      </c>
      <c r="BP171" s="623">
        <f>+'ANEXOA-MODIFICADO'!L395</f>
        <v>283.33999999999997</v>
      </c>
      <c r="BQ171" s="623">
        <f>+'ANEXOA-MODIFICADO'!M395</f>
        <v>285.17</v>
      </c>
      <c r="BR171" s="623">
        <f>+'ANEXOA-MODIFICADO'!N395</f>
        <v>284.43</v>
      </c>
      <c r="BS171" s="659">
        <f>+'ANEXOA-MODIFICADO'!O395</f>
        <v>285.69</v>
      </c>
      <c r="BT171" s="660">
        <f>+'ANEXOA-MODIFICADO'!D401</f>
        <v>285.86</v>
      </c>
      <c r="BU171" s="623">
        <f>+'ANEXOA-MODIFICADO'!E401</f>
        <v>288.51</v>
      </c>
      <c r="BV171" s="623">
        <f>+'ANEXOA-MODIFICADO'!F401</f>
        <v>289.39</v>
      </c>
      <c r="BW171" s="623">
        <f>+'ANEXOA-MODIFICADO'!G401</f>
        <v>292.55</v>
      </c>
      <c r="BX171" s="623">
        <f>+'ANEXOA-MODIFICADO'!H401</f>
        <v>296.19</v>
      </c>
      <c r="BY171" s="623">
        <f>+'ANEXOA-MODIFICADO'!I401</f>
        <v>298.33</v>
      </c>
      <c r="BZ171" s="623">
        <f>+'ANEXOA-MODIFICADO'!J401</f>
        <v>301.55</v>
      </c>
      <c r="CA171" s="623">
        <f>+'ANEXOA-MODIFICADO'!K401</f>
        <v>309.32</v>
      </c>
      <c r="CB171" s="623">
        <f>+'ANEXOA-MODIFICADO'!L401</f>
        <v>312.04000000000002</v>
      </c>
      <c r="CC171" s="623">
        <v>316.22000000000003</v>
      </c>
      <c r="CD171" s="623">
        <f>+'ANEXOA-MODIFICADO'!N401</f>
        <v>320.13</v>
      </c>
      <c r="CE171" s="659">
        <f>+'ANEXOA-MODIFICADO'!O401</f>
        <v>324.36</v>
      </c>
      <c r="CF171" s="660">
        <f>+'ANEXOA-MODIFICADO'!D407</f>
        <v>334.34</v>
      </c>
      <c r="CG171" s="623">
        <f>+'ANEXOA-MODIFICADO'!E407</f>
        <v>335.32</v>
      </c>
      <c r="CH171" s="623">
        <f>+'ANEXOA-MODIFICADO'!F407</f>
        <v>341.37</v>
      </c>
      <c r="CI171" s="623">
        <f>+'ANEXOA-MODIFICADO'!G407</f>
        <v>345.57</v>
      </c>
      <c r="CJ171" s="623">
        <f>+'ANEXOA-MODIFICADO'!H407</f>
        <v>348.69</v>
      </c>
      <c r="CK171" s="623">
        <f>+'ANEXOA-MODIFICADO'!I407</f>
        <v>353.86</v>
      </c>
      <c r="CL171" s="623">
        <f>+'ANEXOA-MODIFICADO'!J407</f>
        <v>358.99</v>
      </c>
      <c r="CM171" s="623">
        <f>+'ANEXOA-MODIFICADO'!K407</f>
        <v>364.2</v>
      </c>
      <c r="CN171" s="623">
        <f>+'ANEXOA-MODIFICADO'!L407</f>
        <v>369.4</v>
      </c>
      <c r="CO171" s="623">
        <f>+'ANEXOA-MODIFICADO'!M407</f>
        <v>373.73</v>
      </c>
      <c r="CP171" s="623">
        <f>+'ANEXOA-MODIFICADO'!N407</f>
        <v>379.24</v>
      </c>
      <c r="CQ171" s="659">
        <f>+'ANEXOA-MODIFICADO'!O407</f>
        <v>381.48</v>
      </c>
      <c r="CR171" s="660">
        <f>'ANEXOA-MODIFICADO'!D413</f>
        <v>384.48</v>
      </c>
      <c r="CS171" s="623">
        <f>'ANEXOA-MODIFICADO'!E413</f>
        <v>385.84</v>
      </c>
      <c r="CT171" s="623">
        <f>'ANEXOA-MODIFICADO'!F413</f>
        <v>388.64</v>
      </c>
      <c r="CU171" s="623">
        <f>'ANEXOA-MODIFICADO'!G413</f>
        <v>390.67</v>
      </c>
      <c r="CV171" s="623">
        <f>'ANEXOA-MODIFICADO'!H413</f>
        <v>393.57</v>
      </c>
      <c r="CW171" s="623">
        <f>'ANEXOA-MODIFICADO'!I413</f>
        <v>395.24</v>
      </c>
      <c r="CX171" s="623">
        <f>'ANEXOA-MODIFICADO'!J413</f>
        <v>397.65</v>
      </c>
      <c r="CY171" s="623">
        <f>'ANEXOA-MODIFICADO'!K413</f>
        <v>404.51</v>
      </c>
      <c r="CZ171" s="623">
        <f>'ANEXOA-MODIFICADO'!L413</f>
        <v>408.01</v>
      </c>
      <c r="DA171" s="623">
        <f>'ANEXOA-MODIFICADO'!M413</f>
        <v>409.55</v>
      </c>
      <c r="DB171" s="659">
        <f>'ANEXOA-MODIFICADO'!N413</f>
        <v>411.82</v>
      </c>
      <c r="DC171" s="659">
        <f>'ANEXOA-MODIFICADO'!O413</f>
        <v>412.89</v>
      </c>
      <c r="DD171" s="783">
        <f>+'ANEXOA-MODIFICADO'!D419</f>
        <v>413.74</v>
      </c>
      <c r="DE171" s="623">
        <f>+'ANEXOA-MODIFICADO'!E419</f>
        <v>420.98</v>
      </c>
      <c r="DF171" s="725">
        <f>+'ANEXOA-MODIFICADO'!F419</f>
        <v>429.56</v>
      </c>
      <c r="DG171" s="659">
        <f>+'ANEXOA-MODIFICADO'!G419</f>
        <v>438.05</v>
      </c>
      <c r="DH171" s="623">
        <f>+'ANEXOA-MODIFICADO'!H419</f>
        <v>442.28</v>
      </c>
      <c r="DI171" s="623">
        <f>+'ANEXOA-MODIFICADO'!I419</f>
        <v>447.41</v>
      </c>
      <c r="DJ171" s="623">
        <f>+'ANEXOA-MODIFICADO'!J419</f>
        <v>453.88</v>
      </c>
      <c r="DK171" s="659">
        <f>+'ANEXOA-MODIFICADO'!K419</f>
        <v>460.09</v>
      </c>
      <c r="DL171" s="897">
        <f>+'ANEXOA-MODIFICADO'!L419</f>
        <v>465.16</v>
      </c>
      <c r="DM171" s="110">
        <f t="shared" si="2"/>
        <v>1.0110195831250408</v>
      </c>
      <c r="DN171" s="110"/>
      <c r="DO171" s="110"/>
    </row>
    <row r="172" spans="1:119" s="115" customFormat="1" ht="36" customHeight="1">
      <c r="A172" s="114"/>
      <c r="B172" s="613">
        <v>222</v>
      </c>
      <c r="C172" s="614"/>
      <c r="D172" s="615" t="s">
        <v>230</v>
      </c>
      <c r="E172" s="614" t="s">
        <v>918</v>
      </c>
      <c r="F172" s="615"/>
      <c r="G172" s="621" t="s">
        <v>336</v>
      </c>
      <c r="H172" s="614" t="s">
        <v>229</v>
      </c>
      <c r="I172" s="647" t="s">
        <v>433</v>
      </c>
      <c r="J172" s="679" t="s">
        <v>435</v>
      </c>
      <c r="K172" s="671">
        <v>100</v>
      </c>
      <c r="L172" s="667">
        <f>+'ANEXOA-MODIFICADO'!D15</f>
        <v>111.26</v>
      </c>
      <c r="M172" s="618">
        <f>+'ANEXOA-MODIFICADO'!E15</f>
        <v>142.68</v>
      </c>
      <c r="N172" s="618">
        <f>+'ANEXOA-MODIFICADO'!F15</f>
        <v>174.1</v>
      </c>
      <c r="O172" s="618">
        <f>+'ANEXOA-MODIFICADO'!G15</f>
        <v>203.83</v>
      </c>
      <c r="P172" s="618">
        <f>+'ANEXOA-MODIFICADO'!H15</f>
        <v>268.83999999999997</v>
      </c>
      <c r="Q172" s="618">
        <f>+'ANEXOA-MODIFICADO'!I15</f>
        <v>287.95</v>
      </c>
      <c r="R172" s="618">
        <f>+'ANEXOA-MODIFICADO'!J15</f>
        <v>292.98</v>
      </c>
      <c r="S172" s="618">
        <f>+'ANEXOA-MODIFICADO'!K15</f>
        <v>315.58999999999997</v>
      </c>
      <c r="T172" s="618">
        <f>+'ANEXOA-MODIFICADO'!L15</f>
        <v>310.33999999999997</v>
      </c>
      <c r="U172" s="618">
        <f>+'ANEXOA-MODIFICADO'!M15</f>
        <v>311.52999999999997</v>
      </c>
      <c r="V172" s="618">
        <f>+'ANEXOA-MODIFICADO'!N15</f>
        <v>287.05</v>
      </c>
      <c r="W172" s="618">
        <f>+'ANEXOA-MODIFICADO'!O15</f>
        <v>283.47000000000003</v>
      </c>
      <c r="X172" s="618">
        <f>+'ANEXOA-MODIFICADO'!D23</f>
        <v>270.45999999999998</v>
      </c>
      <c r="Y172" s="618">
        <f>+'ANEXOA-MODIFICADO'!E23</f>
        <v>267.06</v>
      </c>
      <c r="Z172" s="618">
        <f>+'ANEXOA-MODIFICADO'!F23</f>
        <v>251.92</v>
      </c>
      <c r="AA172" s="618">
        <f>+'ANEXOA-MODIFICADO'!G23</f>
        <v>240.1</v>
      </c>
      <c r="AB172" s="618">
        <f>+'ANEXOA-MODIFICADO'!H23</f>
        <v>231.79</v>
      </c>
      <c r="AC172" s="618">
        <f>+'ANEXOA-MODIFICADO'!I23</f>
        <v>229.73</v>
      </c>
      <c r="AD172" s="618">
        <f>+'ANEXOA-MODIFICADO'!J23</f>
        <v>224.3</v>
      </c>
      <c r="AE172" s="618">
        <f>+'ANEXOA-MODIFICADO'!K23</f>
        <v>230.57</v>
      </c>
      <c r="AF172" s="618">
        <f>+'ANEXOA-MODIFICADO'!L23</f>
        <v>230.71</v>
      </c>
      <c r="AG172" s="618">
        <f>+'ANEXOA-MODIFICADO'!M23</f>
        <v>227.05</v>
      </c>
      <c r="AH172" s="618">
        <f>+'ANEXOA-MODIFICADO'!N23</f>
        <v>228.31</v>
      </c>
      <c r="AI172" s="766">
        <f>+'ANEXOA-MODIFICADO'!O23</f>
        <v>233.62</v>
      </c>
      <c r="AJ172" s="774">
        <f>+'ANEXOA-MODIFICADO'!D31</f>
        <v>231.9</v>
      </c>
      <c r="AK172" s="618">
        <f>+'ANEXOA-MODIFICADO'!E31</f>
        <v>233.13</v>
      </c>
      <c r="AL172" s="618">
        <f>+'ANEXOA-MODIFICADO'!F31</f>
        <v>232.09</v>
      </c>
      <c r="AM172" s="618">
        <f>+'ANEXOA-MODIFICADO'!G31</f>
        <v>227.41</v>
      </c>
      <c r="AN172" s="618">
        <f>+'ANEXOA-MODIFICADO'!H31</f>
        <v>231.5</v>
      </c>
      <c r="AO172" s="618">
        <f>+'ANEXOA-MODIFICADO'!I31</f>
        <v>233.72</v>
      </c>
      <c r="AP172" s="618">
        <f>+'ANEXOA-MODIFICADO'!J31</f>
        <v>232.24</v>
      </c>
      <c r="AQ172" s="618">
        <f>+'ANEXOA-MODIFICADO'!K31</f>
        <v>236.09</v>
      </c>
      <c r="AR172" s="618">
        <f>+'ANEXOA-MODIFICADO'!L31</f>
        <v>231.54</v>
      </c>
      <c r="AS172" s="618">
        <f>+'ANEXOA-MODIFICADO'!M31</f>
        <v>230.78</v>
      </c>
      <c r="AT172" s="618">
        <f>+'ANEXOA-MODIFICADO'!N31</f>
        <v>230.89</v>
      </c>
      <c r="AU172" s="766">
        <f>+'ANEXOA-MODIFICADO'!O31</f>
        <v>233.02</v>
      </c>
      <c r="AV172" s="769">
        <f>+'ANEXOA-MODIFICADO'!D39</f>
        <v>232.13</v>
      </c>
      <c r="AW172" s="619">
        <f>+'ANEXOA-MODIFICADO'!E39</f>
        <v>229.97</v>
      </c>
      <c r="AX172" s="619">
        <f>+'ANEXOA-MODIFICADO'!F39</f>
        <v>231.29</v>
      </c>
      <c r="AY172" s="619">
        <f>+'ANEXOA-MODIFICADO'!G39</f>
        <v>231.38</v>
      </c>
      <c r="AZ172" s="619">
        <f>+'ANEXOA-MODIFICADO'!H39</f>
        <v>231.27</v>
      </c>
      <c r="BA172" s="619">
        <f>+'ANEXOA-MODIFICADO'!I39</f>
        <v>229.65</v>
      </c>
      <c r="BB172" s="619">
        <f>+'ANEXOA-MODIFICADO'!J39</f>
        <v>229.03</v>
      </c>
      <c r="BC172" s="619">
        <f>+'ANEXOA-MODIFICADO'!K39</f>
        <v>230.01</v>
      </c>
      <c r="BD172" s="619">
        <f>+'ANEXOA-MODIFICADO'!L39</f>
        <v>231.04</v>
      </c>
      <c r="BE172" s="619">
        <f>+'ANEXOA-MODIFICADO'!M39</f>
        <v>233.38</v>
      </c>
      <c r="BF172" s="683">
        <f>+'ANEXOA-MODIFICADO'!N39</f>
        <v>233.4</v>
      </c>
      <c r="BG172" s="761">
        <f>+'ANEXOA-MODIFICADO'!O39</f>
        <v>236.03</v>
      </c>
      <c r="BH172" s="662">
        <f>+'ANEXOA-MODIFICADO'!D47</f>
        <v>238.35</v>
      </c>
      <c r="BI172" s="617">
        <f>+'ANEXOA-MODIFICADO'!E47</f>
        <v>239.91</v>
      </c>
      <c r="BJ172" s="617">
        <f>+'ANEXOA-MODIFICADO'!F47</f>
        <v>241.5</v>
      </c>
      <c r="BK172" s="617">
        <f>+'ANEXOA-MODIFICADO'!G47</f>
        <v>235.88</v>
      </c>
      <c r="BL172" s="617">
        <f>+'ANEXOA-MODIFICADO'!H47</f>
        <v>236.38</v>
      </c>
      <c r="BM172" s="617">
        <f>+'ANEXOA-MODIFICADO'!I47</f>
        <v>236.81</v>
      </c>
      <c r="BN172" s="617">
        <f>+'ANEXOA-MODIFICADO'!J47</f>
        <v>238.16</v>
      </c>
      <c r="BO172" s="617">
        <f>+'ANEXOA-MODIFICADO'!K47</f>
        <v>241.89</v>
      </c>
      <c r="BP172" s="617">
        <f>+'ANEXOA-MODIFICADO'!L47</f>
        <v>243.45</v>
      </c>
      <c r="BQ172" s="617">
        <f>+'ANEXOA-MODIFICADO'!M47</f>
        <v>240.71</v>
      </c>
      <c r="BR172" s="617">
        <f>+'ANEXOA-MODIFICADO'!N47</f>
        <v>236.34</v>
      </c>
      <c r="BS172" s="737">
        <f>+'ANEXOA-MODIFICADO'!O47</f>
        <v>236.63</v>
      </c>
      <c r="BT172" s="662">
        <f>+'ANEXOA-MODIFICADO'!D55</f>
        <v>237.51</v>
      </c>
      <c r="BU172" s="617">
        <f>+'ANEXOA-MODIFICADO'!E55</f>
        <v>240.29</v>
      </c>
      <c r="BV172" s="617">
        <f>+'ANEXOA-MODIFICADO'!F55</f>
        <v>238.62</v>
      </c>
      <c r="BW172" s="617">
        <f>+'ANEXOA-MODIFICADO'!G55</f>
        <v>239.24</v>
      </c>
      <c r="BX172" s="617">
        <f>+'ANEXOA-MODIFICADO'!H55</f>
        <v>241.52</v>
      </c>
      <c r="BY172" s="617">
        <f>+'ANEXOA-MODIFICADO'!I55</f>
        <v>242.14</v>
      </c>
      <c r="BZ172" s="617">
        <f>+'ANEXOA-MODIFICADO'!J55</f>
        <v>243.54</v>
      </c>
      <c r="CA172" s="617">
        <f>+'ANEXOA-MODIFICADO'!K55</f>
        <v>246.09</v>
      </c>
      <c r="CB172" s="617">
        <f>+'ANEXOA-MODIFICADO'!L55</f>
        <v>245.95</v>
      </c>
      <c r="CC172" s="617">
        <v>247.8</v>
      </c>
      <c r="CD172" s="617">
        <f>+'ANEXOA-MODIFICADO'!N55</f>
        <v>247.26</v>
      </c>
      <c r="CE172" s="737">
        <f>+'ANEXOA-MODIFICADO'!O55</f>
        <v>249.53</v>
      </c>
      <c r="CF172" s="662">
        <f>+'ANEXOA-MODIFICADO'!D64</f>
        <v>247.98</v>
      </c>
      <c r="CG172" s="617">
        <f>+'ANEXOA-MODIFICADO'!E64</f>
        <v>250.75</v>
      </c>
      <c r="CH172" s="617">
        <f>+'ANEXOA-MODIFICADO'!F64</f>
        <v>254.97</v>
      </c>
      <c r="CI172" s="617">
        <f>+'ANEXOA-MODIFICADO'!G64</f>
        <v>258.94</v>
      </c>
      <c r="CJ172" s="617">
        <f>+'ANEXOA-MODIFICADO'!H64</f>
        <v>259.98</v>
      </c>
      <c r="CK172" s="617">
        <f>+'ANEXOA-MODIFICADO'!I64</f>
        <v>258.13</v>
      </c>
      <c r="CL172" s="617">
        <f>+'ANEXOA-MODIFICADO'!J64</f>
        <v>257.89999999999998</v>
      </c>
      <c r="CM172" s="617">
        <f>+'ANEXOA-MODIFICADO'!K64</f>
        <v>259.3</v>
      </c>
      <c r="CN172" s="617">
        <f>+'ANEXOA-MODIFICADO'!L64</f>
        <v>259.5</v>
      </c>
      <c r="CO172" s="617">
        <f>+'ANEXOA-MODIFICADO'!M64</f>
        <v>265.11</v>
      </c>
      <c r="CP172" s="617">
        <f>+'ANEXOA-MODIFICADO'!N64</f>
        <v>266.68</v>
      </c>
      <c r="CQ172" s="737">
        <f>+'ANEXOA-MODIFICADO'!O64</f>
        <v>270.3</v>
      </c>
      <c r="CR172" s="662">
        <f>'ANEXOA-MODIFICADO'!D71</f>
        <v>271.44</v>
      </c>
      <c r="CS172" s="617">
        <f>'ANEXOA-MODIFICADO'!E71</f>
        <v>274.99</v>
      </c>
      <c r="CT172" s="617">
        <f>'ANEXOA-MODIFICADO'!F71</f>
        <v>279.47000000000003</v>
      </c>
      <c r="CU172" s="617">
        <f>'ANEXOA-MODIFICADO'!G71</f>
        <v>283.89</v>
      </c>
      <c r="CV172" s="623">
        <f>'ANEXOA-MODIFICADO'!H71</f>
        <v>285.73</v>
      </c>
      <c r="CW172" s="623">
        <f>'ANEXOA-MODIFICADO'!I71</f>
        <v>286.08999999999997</v>
      </c>
      <c r="CX172" s="623">
        <f>'ANEXOA-MODIFICADO'!J71</f>
        <v>287.45</v>
      </c>
      <c r="CY172" s="623">
        <f>'ANEXOA-MODIFICADO'!K71</f>
        <v>291.01</v>
      </c>
      <c r="CZ172" s="623">
        <f>'ANEXOA-MODIFICADO'!L71</f>
        <v>292.39</v>
      </c>
      <c r="DA172" s="623">
        <f>'ANEXOA-MODIFICADO'!M71</f>
        <v>293.5</v>
      </c>
      <c r="DB172" s="659">
        <f>'ANEXOA-MODIFICADO'!N71</f>
        <v>293.26</v>
      </c>
      <c r="DC172" s="659">
        <f>'ANEXOA-MODIFICADO'!O71</f>
        <v>293.41000000000003</v>
      </c>
      <c r="DD172" s="783">
        <f>+'ANEXOA-MODIFICADO'!D78</f>
        <v>294.48</v>
      </c>
      <c r="DE172" s="623">
        <f>+'ANEXOA-MODIFICADO'!E78</f>
        <v>297.39999999999998</v>
      </c>
      <c r="DF172" s="725">
        <f>+'ANEXOA-MODIFICADO'!F78</f>
        <v>298.51</v>
      </c>
      <c r="DG172" s="659">
        <f>+'ANEXOA-MODIFICADO'!G78</f>
        <v>299.66000000000003</v>
      </c>
      <c r="DH172" s="623">
        <f>+'ANEXOA-MODIFICADO'!H78</f>
        <v>303.18</v>
      </c>
      <c r="DI172" s="623">
        <f>+'ANEXOA-MODIFICADO'!I78</f>
        <v>302.92</v>
      </c>
      <c r="DJ172" s="623">
        <f>+'ANEXOA-MODIFICADO'!J78</f>
        <v>304.89999999999998</v>
      </c>
      <c r="DK172" s="659">
        <f>+'ANEXOA-MODIFICADO'!K78</f>
        <v>305.45999999999998</v>
      </c>
      <c r="DL172" s="897">
        <f>+'ANEXOA-MODIFICADO'!L78</f>
        <v>307.23</v>
      </c>
      <c r="DM172" s="110">
        <f t="shared" si="2"/>
        <v>1.0057945393832255</v>
      </c>
      <c r="DN172" s="110"/>
      <c r="DO172" s="110"/>
    </row>
    <row r="173" spans="1:119" s="115" customFormat="1" ht="20.25" customHeight="1">
      <c r="A173" s="114"/>
      <c r="B173" s="408">
        <v>223</v>
      </c>
      <c r="C173" s="621"/>
      <c r="D173" s="622" t="s">
        <v>340</v>
      </c>
      <c r="E173" s="621" t="s">
        <v>918</v>
      </c>
      <c r="F173" s="622"/>
      <c r="G173" s="622" t="s">
        <v>336</v>
      </c>
      <c r="H173" s="621" t="s">
        <v>229</v>
      </c>
      <c r="I173" s="631" t="s">
        <v>339</v>
      </c>
      <c r="J173" s="674" t="s">
        <v>436</v>
      </c>
      <c r="K173" s="669">
        <v>100</v>
      </c>
      <c r="L173" s="665">
        <f>+'ANEXOA-MODIFICADO'!D184</f>
        <v>107.85</v>
      </c>
      <c r="M173" s="625">
        <f>+'ANEXOA-MODIFICADO'!E184</f>
        <v>129.88</v>
      </c>
      <c r="N173" s="625">
        <f>+'ANEXOA-MODIFICADO'!F184</f>
        <v>151.97</v>
      </c>
      <c r="O173" s="625">
        <f>+'ANEXOA-MODIFICADO'!G184</f>
        <v>172.97</v>
      </c>
      <c r="P173" s="625">
        <f>+'ANEXOA-MODIFICADO'!H184</f>
        <v>218.8</v>
      </c>
      <c r="Q173" s="625">
        <f>+'ANEXOA-MODIFICADO'!I184</f>
        <v>232.85</v>
      </c>
      <c r="R173" s="625">
        <f>+'ANEXOA-MODIFICADO'!J184</f>
        <v>237.15</v>
      </c>
      <c r="S173" s="625">
        <f>+'ANEXOA-MODIFICADO'!K184</f>
        <v>254.1</v>
      </c>
      <c r="T173" s="625">
        <f>+'ANEXOA-MODIFICADO'!L184</f>
        <v>250.59</v>
      </c>
      <c r="U173" s="625">
        <f>+'ANEXOA-MODIFICADO'!M184</f>
        <v>251.19</v>
      </c>
      <c r="V173" s="625">
        <f>+'ANEXOA-MODIFICADO'!N184</f>
        <v>233.61</v>
      </c>
      <c r="W173" s="625">
        <f>+'ANEXOA-MODIFICADO'!O184</f>
        <v>231.13</v>
      </c>
      <c r="X173" s="625">
        <f>+'ANEXOA-MODIFICADO'!D191</f>
        <v>222.83</v>
      </c>
      <c r="Y173" s="625">
        <f>+'ANEXOA-MODIFICADO'!E191</f>
        <v>220.9</v>
      </c>
      <c r="Z173" s="625">
        <f>+'ANEXOA-MODIFICADO'!F191</f>
        <v>210.66</v>
      </c>
      <c r="AA173" s="625">
        <f>+'ANEXOA-MODIFICADO'!G191</f>
        <v>202</v>
      </c>
      <c r="AB173" s="625">
        <f>+'ANEXOA-MODIFICADO'!H191</f>
        <v>197.24</v>
      </c>
      <c r="AC173" s="625">
        <f>+'ANEXOA-MODIFICADO'!I191</f>
        <v>195.8</v>
      </c>
      <c r="AD173" s="625">
        <f>+'ANEXOA-MODIFICADO'!J191</f>
        <v>192.67</v>
      </c>
      <c r="AE173" s="625">
        <f>+'ANEXOA-MODIFICADO'!K191</f>
        <v>198.16</v>
      </c>
      <c r="AF173" s="625">
        <f>+'ANEXOA-MODIFICADO'!L191</f>
        <v>198.9</v>
      </c>
      <c r="AG173" s="625">
        <f>+'ANEXOA-MODIFICADO'!M191</f>
        <v>197.24</v>
      </c>
      <c r="AH173" s="625">
        <f>+'ANEXOA-MODIFICADO'!N191</f>
        <v>198.6</v>
      </c>
      <c r="AI173" s="764">
        <f>+'ANEXOA-MODIFICADO'!O191</f>
        <v>202.87</v>
      </c>
      <c r="AJ173" s="772">
        <f>+'ANEXOA-MODIFICADO'!D199</f>
        <v>203.34</v>
      </c>
      <c r="AK173" s="625">
        <f>+'ANEXOA-MODIFICADO'!E199</f>
        <v>205.13</v>
      </c>
      <c r="AL173" s="625">
        <f>+'ANEXOA-MODIFICADO'!F199</f>
        <v>204.47</v>
      </c>
      <c r="AM173" s="625">
        <f>+'ANEXOA-MODIFICADO'!G199</f>
        <v>201.29</v>
      </c>
      <c r="AN173" s="625">
        <f>+'ANEXOA-MODIFICADO'!H199</f>
        <v>204.06</v>
      </c>
      <c r="AO173" s="625">
        <f>+'ANEXOA-MODIFICADO'!I199</f>
        <v>205.45</v>
      </c>
      <c r="AP173" s="625">
        <f>+'ANEXOA-MODIFICADO'!J199</f>
        <v>205.54</v>
      </c>
      <c r="AQ173" s="625">
        <f>+'ANEXOA-MODIFICADO'!K199</f>
        <v>207.88</v>
      </c>
      <c r="AR173" s="625">
        <f>+'ANEXOA-MODIFICADO'!L199</f>
        <v>204.57</v>
      </c>
      <c r="AS173" s="625">
        <f>+'ANEXOA-MODIFICADO'!M199</f>
        <v>204.36</v>
      </c>
      <c r="AT173" s="625">
        <f>+'ANEXOA-MODIFICADO'!N199</f>
        <v>204.37</v>
      </c>
      <c r="AU173" s="764">
        <f>+'ANEXOA-MODIFICADO'!O199</f>
        <v>205.92</v>
      </c>
      <c r="AV173" s="752">
        <f>+'ANEXOA-MODIFICADO'!D207</f>
        <v>207.65</v>
      </c>
      <c r="AW173" s="626">
        <f>+'ANEXOA-MODIFICADO'!E207</f>
        <v>206.24</v>
      </c>
      <c r="AX173" s="626">
        <f>+'ANEXOA-MODIFICADO'!F207</f>
        <v>207.35</v>
      </c>
      <c r="AY173" s="626">
        <f>+'ANEXOA-MODIFICADO'!G207</f>
        <v>211.09</v>
      </c>
      <c r="AZ173" s="626">
        <f>+'ANEXOA-MODIFICADO'!H207</f>
        <v>211.72</v>
      </c>
      <c r="BA173" s="626">
        <f>+'ANEXOA-MODIFICADO'!I207</f>
        <v>211</v>
      </c>
      <c r="BB173" s="626">
        <f>+'ANEXOA-MODIFICADO'!J207</f>
        <v>210.83</v>
      </c>
      <c r="BC173" s="626">
        <f>+'ANEXOA-MODIFICADO'!K207</f>
        <v>211.96</v>
      </c>
      <c r="BD173" s="626">
        <f>+'ANEXOA-MODIFICADO'!L207</f>
        <v>212.88</v>
      </c>
      <c r="BE173" s="626">
        <f>+'ANEXOA-MODIFICADO'!M207</f>
        <v>215.45</v>
      </c>
      <c r="BF173" s="626">
        <f>+'ANEXOA-MODIFICADO'!N207</f>
        <v>218.3</v>
      </c>
      <c r="BG173" s="749">
        <f>+'ANEXOA-MODIFICADO'!O207</f>
        <v>220.49</v>
      </c>
      <c r="BH173" s="660">
        <f>+'ANEXOA-MODIFICADO'!D215</f>
        <v>224.05</v>
      </c>
      <c r="BI173" s="623">
        <f>+'ANEXOA-MODIFICADO'!E215</f>
        <v>227.2</v>
      </c>
      <c r="BJ173" s="623">
        <f>+'ANEXOA-MODIFICADO'!F215</f>
        <v>228.76</v>
      </c>
      <c r="BK173" s="623">
        <f>+'ANEXOA-MODIFICADO'!G215</f>
        <v>226.21</v>
      </c>
      <c r="BL173" s="623">
        <f>+'ANEXOA-MODIFICADO'!H215</f>
        <v>227.14</v>
      </c>
      <c r="BM173" s="623">
        <f>+'ANEXOA-MODIFICADO'!I215</f>
        <v>231.59</v>
      </c>
      <c r="BN173" s="623">
        <f>+'ANEXOA-MODIFICADO'!J215</f>
        <v>233.12</v>
      </c>
      <c r="BO173" s="623">
        <f>+'ANEXOA-MODIFICADO'!K215</f>
        <v>235.99</v>
      </c>
      <c r="BP173" s="623">
        <f>+'ANEXOA-MODIFICADO'!L215</f>
        <v>240.11</v>
      </c>
      <c r="BQ173" s="623">
        <f>+'ANEXOA-MODIFICADO'!M215</f>
        <v>239.12</v>
      </c>
      <c r="BR173" s="623">
        <f>+'ANEXOA-MODIFICADO'!N215</f>
        <v>236.51</v>
      </c>
      <c r="BS173" s="659">
        <f>+'ANEXOA-MODIFICADO'!O215</f>
        <v>237.61</v>
      </c>
      <c r="BT173" s="660">
        <f>+'ANEXOA-MODIFICADO'!D223</f>
        <v>241.1</v>
      </c>
      <c r="BU173" s="623">
        <f>+'ANEXOA-MODIFICADO'!E223</f>
        <v>243.24</v>
      </c>
      <c r="BV173" s="623">
        <f>+'ANEXOA-MODIFICADO'!F223</f>
        <v>241.94</v>
      </c>
      <c r="BW173" s="623">
        <f>+'ANEXOA-MODIFICADO'!G223</f>
        <v>243.53</v>
      </c>
      <c r="BX173" s="623">
        <f>+'ANEXOA-MODIFICADO'!H223</f>
        <v>249.12</v>
      </c>
      <c r="BY173" s="623">
        <f>+'ANEXOA-MODIFICADO'!I223</f>
        <v>250.58</v>
      </c>
      <c r="BZ173" s="623">
        <f>+'ANEXOA-MODIFICADO'!J223</f>
        <v>254.81</v>
      </c>
      <c r="CA173" s="623">
        <f>+'ANEXOA-MODIFICADO'!K223</f>
        <v>257.02</v>
      </c>
      <c r="CB173" s="623">
        <f>+'ANEXOA-MODIFICADO'!L223</f>
        <v>257.66000000000003</v>
      </c>
      <c r="CC173" s="623">
        <v>262.85000000000002</v>
      </c>
      <c r="CD173" s="623">
        <f>+'ANEXOA-MODIFICADO'!N223</f>
        <v>260.83</v>
      </c>
      <c r="CE173" s="659">
        <f>+'ANEXOA-MODIFICADO'!O223</f>
        <v>263.19</v>
      </c>
      <c r="CF173" s="660">
        <f>+'ANEXOA-MODIFICADO'!D231</f>
        <v>262.10000000000002</v>
      </c>
      <c r="CG173" s="623">
        <f>+'ANEXOA-MODIFICADO'!E231</f>
        <v>264.33</v>
      </c>
      <c r="CH173" s="623">
        <f>+'ANEXOA-MODIFICADO'!F231</f>
        <v>267.51</v>
      </c>
      <c r="CI173" s="623">
        <f>+'ANEXOA-MODIFICADO'!G231</f>
        <v>270.58</v>
      </c>
      <c r="CJ173" s="623">
        <f>+'ANEXOA-MODIFICADO'!H231</f>
        <v>279.29000000000002</v>
      </c>
      <c r="CK173" s="623">
        <f>+'ANEXOA-MODIFICADO'!I231</f>
        <v>276.42</v>
      </c>
      <c r="CL173" s="623">
        <f>+'ANEXOA-MODIFICADO'!J231</f>
        <v>281.08999999999997</v>
      </c>
      <c r="CM173" s="623">
        <f>+'ANEXOA-MODIFICADO'!K231</f>
        <v>281.43</v>
      </c>
      <c r="CN173" s="623">
        <f>+'ANEXOA-MODIFICADO'!L231</f>
        <v>284.24</v>
      </c>
      <c r="CO173" s="623">
        <f>+'ANEXOA-MODIFICADO'!M231</f>
        <v>288.49</v>
      </c>
      <c r="CP173" s="623">
        <f>+'ANEXOA-MODIFICADO'!N231</f>
        <v>289.70999999999998</v>
      </c>
      <c r="CQ173" s="659">
        <f>+'ANEXOA-MODIFICADO'!O231</f>
        <v>292.27999999999997</v>
      </c>
      <c r="CR173" s="660">
        <f>'ANEXOA-MODIFICADO'!D239</f>
        <v>293.82</v>
      </c>
      <c r="CS173" s="623">
        <f>'ANEXOA-MODIFICADO'!E239</f>
        <v>296.91000000000003</v>
      </c>
      <c r="CT173" s="623">
        <f>'ANEXOA-MODIFICADO'!F239</f>
        <v>299.98</v>
      </c>
      <c r="CU173" s="623">
        <f>'ANEXOA-MODIFICADO'!G239</f>
        <v>304.04000000000002</v>
      </c>
      <c r="CV173" s="623">
        <f>'ANEXOA-MODIFICADO'!H239</f>
        <v>306.2</v>
      </c>
      <c r="CW173" s="623">
        <f>'ANEXOA-MODIFICADO'!I239</f>
        <v>312.06</v>
      </c>
      <c r="CX173" s="623">
        <f>'ANEXOA-MODIFICADO'!J239</f>
        <v>314.26</v>
      </c>
      <c r="CY173" s="623">
        <f>'ANEXOA-MODIFICADO'!K239</f>
        <v>317.01</v>
      </c>
      <c r="CZ173" s="623">
        <f>'ANEXOA-MODIFICADO'!L239</f>
        <v>317.72000000000003</v>
      </c>
      <c r="DA173" s="623">
        <f>'ANEXOA-MODIFICADO'!M239</f>
        <v>323.74</v>
      </c>
      <c r="DB173" s="659">
        <f>'ANEXOA-MODIFICADO'!N239</f>
        <v>325.41000000000003</v>
      </c>
      <c r="DC173" s="659">
        <f>'ANEXOA-MODIFICADO'!O239</f>
        <v>325.97000000000003</v>
      </c>
      <c r="DD173" s="783">
        <f>+'ANEXOA-MODIFICADO'!D247</f>
        <v>326.91000000000003</v>
      </c>
      <c r="DE173" s="623">
        <f>+'ANEXOA-MODIFICADO'!E247</f>
        <v>332.3</v>
      </c>
      <c r="DF173" s="725">
        <f>+'ANEXOA-MODIFICADO'!F247</f>
        <v>340.26</v>
      </c>
      <c r="DG173" s="659">
        <f>+'ANEXOA-MODIFICADO'!G247</f>
        <v>333.46</v>
      </c>
      <c r="DH173" s="623">
        <f>+'ANEXOA-MODIFICADO'!H247</f>
        <v>346.26</v>
      </c>
      <c r="DI173" s="623">
        <f>+'ANEXOA-MODIFICADO'!I247</f>
        <v>347.3</v>
      </c>
      <c r="DJ173" s="623">
        <f>+'ANEXOA-MODIFICADO'!J247</f>
        <v>351.33</v>
      </c>
      <c r="DK173" s="659">
        <f>+'ANEXOA-MODIFICADO'!K247</f>
        <v>355.61</v>
      </c>
      <c r="DL173" s="897">
        <f>+'ANEXOA-MODIFICADO'!L247</f>
        <v>358.43</v>
      </c>
      <c r="DM173" s="110">
        <f t="shared" si="2"/>
        <v>1.0079300357132814</v>
      </c>
      <c r="DN173" s="111"/>
      <c r="DO173" s="111"/>
    </row>
    <row r="174" spans="1:119" s="115" customFormat="1" ht="21" customHeight="1">
      <c r="A174" s="114"/>
      <c r="B174" s="408">
        <v>224</v>
      </c>
      <c r="C174" s="621"/>
      <c r="D174" s="622" t="s">
        <v>359</v>
      </c>
      <c r="E174" s="621" t="s">
        <v>918</v>
      </c>
      <c r="F174" s="622"/>
      <c r="G174" s="621" t="s">
        <v>336</v>
      </c>
      <c r="H174" s="621" t="s">
        <v>930</v>
      </c>
      <c r="I174" s="631" t="s">
        <v>337</v>
      </c>
      <c r="J174" s="676" t="s">
        <v>221</v>
      </c>
      <c r="K174" s="669">
        <v>100</v>
      </c>
      <c r="L174" s="665">
        <f>+'ANEXOA-MODIFICADO'!E512</f>
        <v>104.83</v>
      </c>
      <c r="M174" s="625">
        <f>+'ANEXOA-MODIFICADO'!F512</f>
        <v>105.39</v>
      </c>
      <c r="N174" s="625">
        <f>+'ANEXOA-MODIFICADO'!G512</f>
        <v>106.01</v>
      </c>
      <c r="O174" s="625">
        <f>+'ANEXOA-MODIFICADO'!H512</f>
        <v>136.77000000000001</v>
      </c>
      <c r="P174" s="625">
        <f>+'ANEXOA-MODIFICADO'!I512</f>
        <v>154.81</v>
      </c>
      <c r="Q174" s="625">
        <f>+'ANEXOA-MODIFICADO'!J512</f>
        <v>172.13</v>
      </c>
      <c r="R174" s="625">
        <f>+'ANEXOA-MODIFICADO'!K512</f>
        <v>176.65</v>
      </c>
      <c r="S174" s="625">
        <f>+'ANEXOA-MODIFICADO'!L512</f>
        <v>177.95</v>
      </c>
      <c r="T174" s="625">
        <f>+'ANEXOA-MODIFICADO'!M512</f>
        <v>177.71</v>
      </c>
      <c r="U174" s="625">
        <f>+'ANEXOA-MODIFICADO'!N512</f>
        <v>179.99</v>
      </c>
      <c r="V174" s="625">
        <f>+'ANEXOA-MODIFICADO'!O512</f>
        <v>179.62</v>
      </c>
      <c r="W174" s="625">
        <f>+'ANEXOA-MODIFICADO'!P512</f>
        <v>180.35</v>
      </c>
      <c r="X174" s="625">
        <f>+'ANEXOA-MODIFICADO'!D520</f>
        <v>176.98</v>
      </c>
      <c r="Y174" s="625">
        <f>+'ANEXOA-MODIFICADO'!E520</f>
        <v>176.24</v>
      </c>
      <c r="Z174" s="625">
        <f>+'ANEXOA-MODIFICADO'!F520</f>
        <v>175.82</v>
      </c>
      <c r="AA174" s="625">
        <f>+'ANEXOA-MODIFICADO'!G520</f>
        <v>174.28</v>
      </c>
      <c r="AB174" s="625">
        <f>+'ANEXOA-MODIFICADO'!H520</f>
        <v>173.95</v>
      </c>
      <c r="AC174" s="625">
        <f>+'ANEXOA-MODIFICADO'!I520</f>
        <v>174.7</v>
      </c>
      <c r="AD174" s="625">
        <f>+'ANEXOA-MODIFICADO'!J520</f>
        <v>176.34</v>
      </c>
      <c r="AE174" s="625">
        <f>+'ANEXOA-MODIFICADO'!K520</f>
        <v>179.38</v>
      </c>
      <c r="AF174" s="625">
        <f>+'ANEXOA-MODIFICADO'!L520</f>
        <v>178.89</v>
      </c>
      <c r="AG174" s="625">
        <f>+'ANEXOA-MODIFICADO'!M520</f>
        <v>179.52</v>
      </c>
      <c r="AH174" s="625">
        <f>+'ANEXOA-MODIFICADO'!N520</f>
        <v>180.32</v>
      </c>
      <c r="AI174" s="764">
        <f>+'ANEXOA-MODIFICADO'!O520</f>
        <v>183.84</v>
      </c>
      <c r="AJ174" s="772">
        <f>+'ANEXOA-MODIFICADO'!D528</f>
        <v>186.44</v>
      </c>
      <c r="AK174" s="625">
        <f>+'ANEXOA-MODIFICADO'!E528</f>
        <v>190.5</v>
      </c>
      <c r="AL174" s="625">
        <f>+'ANEXOA-MODIFICADO'!F528</f>
        <v>194.45</v>
      </c>
      <c r="AM174" s="625">
        <f>+'ANEXOA-MODIFICADO'!G528</f>
        <v>195.39</v>
      </c>
      <c r="AN174" s="625">
        <f>+'ANEXOA-MODIFICADO'!H528</f>
        <v>199.41</v>
      </c>
      <c r="AO174" s="625">
        <f>+'ANEXOA-MODIFICADO'!I528</f>
        <v>200.88</v>
      </c>
      <c r="AP174" s="625">
        <f>+'ANEXOA-MODIFICADO'!J528</f>
        <v>202.36</v>
      </c>
      <c r="AQ174" s="625">
        <f>+'ANEXOA-MODIFICADO'!K528</f>
        <v>204.05</v>
      </c>
      <c r="AR174" s="625">
        <f>+'ANEXOA-MODIFICADO'!L528</f>
        <v>204.28</v>
      </c>
      <c r="AS174" s="625">
        <f>+'ANEXOA-MODIFICADO'!M528</f>
        <v>204.97</v>
      </c>
      <c r="AT174" s="625">
        <f>+'ANEXOA-MODIFICADO'!N528</f>
        <v>204.99</v>
      </c>
      <c r="AU174" s="764">
        <f>+'ANEXOA-MODIFICADO'!O528</f>
        <v>206.8</v>
      </c>
      <c r="AV174" s="752">
        <f>+'ANEXOA-MODIFICADO'!E533</f>
        <v>192.78</v>
      </c>
      <c r="AW174" s="626">
        <f>+'ANEXOA-MODIFICADO'!F533</f>
        <v>216.58</v>
      </c>
      <c r="AX174" s="626">
        <f>+'ANEXOA-MODIFICADO'!G533</f>
        <v>217.55</v>
      </c>
      <c r="AY174" s="626">
        <f>+'ANEXOA-MODIFICADO'!H533</f>
        <v>221.13</v>
      </c>
      <c r="AZ174" s="626">
        <f>+'ANEXOA-MODIFICADO'!I533</f>
        <v>222.5</v>
      </c>
      <c r="BA174" s="626">
        <f>+'ANEXOA-MODIFICADO'!J533</f>
        <v>223.29</v>
      </c>
      <c r="BB174" s="626">
        <f>+'ANEXOA-MODIFICADO'!K533</f>
        <v>224.64</v>
      </c>
      <c r="BC174" s="626">
        <f>+'ANEXOA-MODIFICADO'!L533</f>
        <v>226.49</v>
      </c>
      <c r="BD174" s="626">
        <f>+'ANEXOA-MODIFICADO'!M533</f>
        <v>229.7</v>
      </c>
      <c r="BE174" s="626">
        <f>+'ANEXOA-MODIFICADO'!N533</f>
        <v>232.1</v>
      </c>
      <c r="BF174" s="626">
        <f>+'ANEXOA-MODIFICADO'!O533</f>
        <v>235.35</v>
      </c>
      <c r="BG174" s="749">
        <f>+'ANEXOA-MODIFICADO'!P533</f>
        <v>238.58</v>
      </c>
      <c r="BH174" s="660">
        <f>+'ANEXOA-MODIFICADO'!E539</f>
        <v>242.12</v>
      </c>
      <c r="BI174" s="623">
        <f>+'ANEXOA-MODIFICADO'!F539</f>
        <v>245.54</v>
      </c>
      <c r="BJ174" s="623">
        <f>+'ANEXOA-MODIFICADO'!G539</f>
        <v>247.7</v>
      </c>
      <c r="BK174" s="623">
        <f>+'ANEXOA-MODIFICADO'!H539</f>
        <v>249.56</v>
      </c>
      <c r="BL174" s="623">
        <f>+'ANEXOA-MODIFICADO'!I539</f>
        <v>250.61</v>
      </c>
      <c r="BM174" s="623">
        <f>+'ANEXOA-MODIFICADO'!J539</f>
        <v>257.27999999999997</v>
      </c>
      <c r="BN174" s="623">
        <f>+'ANEXOA-MODIFICADO'!K539</f>
        <v>260.95999999999998</v>
      </c>
      <c r="BO174" s="623">
        <f>+'ANEXOA-MODIFICADO'!L539</f>
        <v>263.5</v>
      </c>
      <c r="BP174" s="623">
        <f>+'ANEXOA-MODIFICADO'!M539</f>
        <v>268.02999999999997</v>
      </c>
      <c r="BQ174" s="623">
        <f>+'ANEXOA-MODIFICADO'!N539</f>
        <v>270.24</v>
      </c>
      <c r="BR174" s="623">
        <f>+'ANEXOA-MODIFICADO'!O539</f>
        <v>270.17</v>
      </c>
      <c r="BS174" s="659">
        <f>+'ANEXOA-MODIFICADO'!P539</f>
        <v>271.95999999999998</v>
      </c>
      <c r="BT174" s="660">
        <f>+'ANEXOA-MODIFICADO'!E545</f>
        <v>274.94</v>
      </c>
      <c r="BU174" s="623">
        <f>+'ANEXOA-MODIFICADO'!F545</f>
        <v>276.99</v>
      </c>
      <c r="BV174" s="623">
        <f>+'ANEXOA-MODIFICADO'!G545</f>
        <v>277.48</v>
      </c>
      <c r="BW174" s="623">
        <f>+'ANEXOA-MODIFICADO'!H545</f>
        <v>280.85000000000002</v>
      </c>
      <c r="BX174" s="623">
        <f>+'ANEXOA-MODIFICADO'!I545</f>
        <v>287.39</v>
      </c>
      <c r="BY174" s="623">
        <f>+'ANEXOA-MODIFICADO'!J545</f>
        <v>289.92</v>
      </c>
      <c r="BZ174" s="623">
        <f>+'ANEXOA-MODIFICADO'!K545</f>
        <v>295.42</v>
      </c>
      <c r="CA174" s="623">
        <f>+'ANEXOA-MODIFICADO'!L545</f>
        <v>301.27999999999997</v>
      </c>
      <c r="CB174" s="623">
        <f>+'ANEXOA-MODIFICADO'!M545</f>
        <v>303.92</v>
      </c>
      <c r="CC174" s="623">
        <v>310.74</v>
      </c>
      <c r="CD174" s="623">
        <f>+'ANEXOA-MODIFICADO'!O545</f>
        <v>311.83999999999997</v>
      </c>
      <c r="CE174" s="659">
        <f>+'ANEXOA-MODIFICADO'!P545</f>
        <v>315.57</v>
      </c>
      <c r="CF174" s="660">
        <f>+'ANEXOA-MODIFICADO'!E551</f>
        <v>322.56</v>
      </c>
      <c r="CG174" s="623">
        <f>+'ANEXOA-MODIFICADO'!F551</f>
        <v>323.52999999999997</v>
      </c>
      <c r="CH174" s="623">
        <f>+'ANEXOA-MODIFICADO'!G551</f>
        <v>327.99</v>
      </c>
      <c r="CI174" s="623">
        <f>+'ANEXOA-MODIFICADO'!H551</f>
        <v>331.22</v>
      </c>
      <c r="CJ174" s="623">
        <f>+'ANEXOA-MODIFICADO'!I551</f>
        <v>341.39</v>
      </c>
      <c r="CK174" s="623">
        <f>+'ANEXOA-MODIFICADO'!J551</f>
        <v>343.43</v>
      </c>
      <c r="CL174" s="623">
        <f>+'ANEXOA-MODIFICADO'!K551</f>
        <v>351.85</v>
      </c>
      <c r="CM174" s="623">
        <f>+'ANEXOA-MODIFICADO'!L551</f>
        <v>354.86</v>
      </c>
      <c r="CN174" s="623">
        <f>+'ANEXOA-MODIFICADO'!M551</f>
        <v>361.17</v>
      </c>
      <c r="CO174" s="623">
        <f>+'ANEXOA-MODIFICADO'!N551</f>
        <v>364.52</v>
      </c>
      <c r="CP174" s="623">
        <f>+'ANEXOA-MODIFICADO'!O551</f>
        <v>368.5</v>
      </c>
      <c r="CQ174" s="659">
        <f>+'ANEXOA-MODIFICADO'!P551</f>
        <v>370.1</v>
      </c>
      <c r="CR174" s="660">
        <f>'ANEXOA-MODIFICADO'!E557</f>
        <v>372.95</v>
      </c>
      <c r="CS174" s="623">
        <f>'ANEXOA-MODIFICADO'!F557</f>
        <v>374.51</v>
      </c>
      <c r="CT174" s="623">
        <f>'ANEXOA-MODIFICADO'!G557</f>
        <v>376.4</v>
      </c>
      <c r="CU174" s="623">
        <f>'ANEXOA-MODIFICADO'!H557</f>
        <v>378.79</v>
      </c>
      <c r="CV174" s="623">
        <f>'ANEXOA-MODIFICADO'!I557</f>
        <v>381.69</v>
      </c>
      <c r="CW174" s="623">
        <f>'ANEXOA-MODIFICADO'!J557</f>
        <v>388.46</v>
      </c>
      <c r="CX174" s="623">
        <f>'ANEXOA-MODIFICADO'!K557</f>
        <v>391.4</v>
      </c>
      <c r="CY174" s="623">
        <f>'ANEXOA-MODIFICADO'!L557</f>
        <v>396.46</v>
      </c>
      <c r="CZ174" s="623">
        <f>'ANEXOA-MODIFICADO'!M557</f>
        <v>398.65</v>
      </c>
      <c r="DA174" s="623">
        <f>'ANEXOA-MODIFICADO'!N557</f>
        <v>404.98</v>
      </c>
      <c r="DB174" s="659">
        <f>'ANEXOA-MODIFICADO'!O557</f>
        <v>408.4</v>
      </c>
      <c r="DC174" s="659">
        <f>'ANEXOA-MODIFICADO'!P557</f>
        <v>409.6</v>
      </c>
      <c r="DD174" s="783">
        <f>+'ANEXOA-MODIFICADO'!E563</f>
        <v>410.39</v>
      </c>
      <c r="DE174" s="623">
        <f>+'ANEXOA-MODIFICADO'!F563</f>
        <v>418.81</v>
      </c>
      <c r="DF174" s="725">
        <f>+'ANEXOA-MODIFICADO'!G563</f>
        <v>431.99</v>
      </c>
      <c r="DG174" s="659">
        <f>+'ANEXOA-MODIFICADO'!H563</f>
        <v>430.34</v>
      </c>
      <c r="DH174" s="623">
        <f>+'ANEXOA-MODIFICADO'!I563</f>
        <v>443.63</v>
      </c>
      <c r="DI174" s="623">
        <f>+'ANEXOA-MODIFICADO'!J563</f>
        <v>448.45</v>
      </c>
      <c r="DJ174" s="623">
        <f>+'ANEXOA-MODIFICADO'!K563</f>
        <v>455.61</v>
      </c>
      <c r="DK174" s="659">
        <f>+'ANEXOA-MODIFICADO'!L563</f>
        <v>463.86</v>
      </c>
      <c r="DL174" s="897">
        <f>+'ANEXOA-MODIFICADO'!M563</f>
        <v>468.98</v>
      </c>
      <c r="DM174" s="110">
        <f t="shared" si="2"/>
        <v>1.0110378131332729</v>
      </c>
      <c r="DN174" s="111"/>
      <c r="DO174" s="111"/>
    </row>
    <row r="175" spans="1:119" s="115" customFormat="1" ht="30" customHeight="1">
      <c r="A175" s="114"/>
      <c r="B175" s="408">
        <v>225</v>
      </c>
      <c r="C175" s="621"/>
      <c r="D175" s="622" t="s">
        <v>361</v>
      </c>
      <c r="E175" s="621"/>
      <c r="F175" s="622"/>
      <c r="G175" s="621" t="s">
        <v>336</v>
      </c>
      <c r="H175" s="621"/>
      <c r="I175" s="390" t="s">
        <v>437</v>
      </c>
      <c r="J175" s="676" t="s">
        <v>362</v>
      </c>
      <c r="K175" s="669">
        <v>100</v>
      </c>
      <c r="L175" s="665">
        <v>105.01</v>
      </c>
      <c r="M175" s="625">
        <v>119.94</v>
      </c>
      <c r="N175" s="625">
        <v>139.55000000000001</v>
      </c>
      <c r="O175" s="625">
        <v>168.16</v>
      </c>
      <c r="P175" s="625">
        <v>216.34</v>
      </c>
      <c r="Q175" s="625">
        <v>241.34</v>
      </c>
      <c r="R175" s="625">
        <v>254.35</v>
      </c>
      <c r="S175" s="625">
        <v>271.19</v>
      </c>
      <c r="T175" s="625">
        <v>277.08</v>
      </c>
      <c r="U175" s="625">
        <v>281.11</v>
      </c>
      <c r="V175" s="625">
        <v>270.2</v>
      </c>
      <c r="W175" s="625">
        <v>268.2</v>
      </c>
      <c r="X175" s="625">
        <v>269.62</v>
      </c>
      <c r="Y175" s="625">
        <v>268.14999999999998</v>
      </c>
      <c r="Z175" s="625">
        <v>261.60000000000002</v>
      </c>
      <c r="AA175" s="625">
        <v>255.96</v>
      </c>
      <c r="AB175" s="625">
        <v>253.3</v>
      </c>
      <c r="AC175" s="625">
        <v>250.95</v>
      </c>
      <c r="AD175" s="625">
        <v>248.39</v>
      </c>
      <c r="AE175" s="625">
        <v>252.38</v>
      </c>
      <c r="AF175" s="625">
        <v>253.44</v>
      </c>
      <c r="AG175" s="625">
        <v>252.68</v>
      </c>
      <c r="AH175" s="625">
        <v>254.25</v>
      </c>
      <c r="AI175" s="764">
        <v>257.76</v>
      </c>
      <c r="AJ175" s="772">
        <v>259.33999999999997</v>
      </c>
      <c r="AK175" s="625">
        <v>260.86</v>
      </c>
      <c r="AL175" s="625">
        <v>260.54000000000002</v>
      </c>
      <c r="AM175" s="625">
        <v>258.39</v>
      </c>
      <c r="AN175" s="625">
        <v>261.72000000000003</v>
      </c>
      <c r="AO175" s="625">
        <v>263.45999999999998</v>
      </c>
      <c r="AP175" s="625">
        <v>263.29000000000002</v>
      </c>
      <c r="AQ175" s="625">
        <v>270.10000000000002</v>
      </c>
      <c r="AR175" s="625">
        <f>+'ANEXO C'!AC46</f>
        <v>269.45999999999998</v>
      </c>
      <c r="AS175" s="625">
        <f>+'ANEXO C'!AD46</f>
        <v>269.2</v>
      </c>
      <c r="AT175" s="625">
        <f>+'ANEXO C'!AE46</f>
        <v>269.29000000000002</v>
      </c>
      <c r="AU175" s="764">
        <f>+'ANEXO C'!AF46</f>
        <v>270.33</v>
      </c>
      <c r="AV175" s="752">
        <f>+'ANEXO C'!AG46</f>
        <v>272.48</v>
      </c>
      <c r="AW175" s="626">
        <f>+'ANEXO C'!AH46</f>
        <v>271.48</v>
      </c>
      <c r="AX175" s="626">
        <f>+'ANEXO C'!AI46</f>
        <v>285.87</v>
      </c>
      <c r="AY175" s="626">
        <f>+'ANEXO C'!AJ46</f>
        <v>288.04000000000002</v>
      </c>
      <c r="AZ175" s="626">
        <f>+'ANEXO C'!AK46</f>
        <v>287.73</v>
      </c>
      <c r="BA175" s="626">
        <f>+'ANEXO C'!AL46</f>
        <v>285.89999999999998</v>
      </c>
      <c r="BB175" s="626">
        <f>+'ANEXO C'!AM46</f>
        <v>285.56</v>
      </c>
      <c r="BC175" s="626">
        <f>+'ANEXO C'!AN46</f>
        <v>286.01</v>
      </c>
      <c r="BD175" s="626">
        <f>+'ANEXO C'!AO46</f>
        <v>286.60000000000002</v>
      </c>
      <c r="BE175" s="626">
        <f>+'ANEXO C'!AP46</f>
        <v>287.92</v>
      </c>
      <c r="BF175" s="626">
        <f>+'ANEXO C'!AQ46</f>
        <v>297.36</v>
      </c>
      <c r="BG175" s="749">
        <f>+'ANEXO C'!AR46</f>
        <v>298.60000000000002</v>
      </c>
      <c r="BH175" s="660">
        <f>+'ANEXO C'!AS46</f>
        <v>302.60000000000002</v>
      </c>
      <c r="BI175" s="623">
        <f>+'ANEXO C'!AT46</f>
        <v>303.31</v>
      </c>
      <c r="BJ175" s="623">
        <f>+'ANEXO C'!AU46</f>
        <v>307.14999999999998</v>
      </c>
      <c r="BK175" s="623">
        <f>+'ANEXO C'!AV46</f>
        <v>304.3</v>
      </c>
      <c r="BL175" s="623">
        <f>+'ANEXO C'!AW46</f>
        <v>309.47000000000003</v>
      </c>
      <c r="BM175" s="623">
        <f>+'ANEXO C'!AX46</f>
        <v>309.66000000000003</v>
      </c>
      <c r="BN175" s="623">
        <f>+'ANEXO C'!AY46</f>
        <v>312.61</v>
      </c>
      <c r="BO175" s="623">
        <f>+'ANEXO C'!AZ46</f>
        <v>314.37</v>
      </c>
      <c r="BP175" s="623">
        <f>+'ANEXO C'!BA46</f>
        <v>300.58</v>
      </c>
      <c r="BQ175" s="623">
        <f>+'ANEXO C'!BB46</f>
        <v>320.26</v>
      </c>
      <c r="BR175" s="623">
        <f>+'ANEXO C'!BC46</f>
        <v>318.18</v>
      </c>
      <c r="BS175" s="659">
        <f>+'ANEXO C'!BD46</f>
        <v>318.32</v>
      </c>
      <c r="BT175" s="660">
        <f>+'ANEXO C'!BE46</f>
        <v>324.14999999999998</v>
      </c>
      <c r="BU175" s="623">
        <f>+'ANEXO C'!BF46</f>
        <v>325.49</v>
      </c>
      <c r="BV175" s="623">
        <f>+'ANEXO C'!BG46</f>
        <v>324.68</v>
      </c>
      <c r="BW175" s="623">
        <f>+'ANEXO C'!BH46</f>
        <v>324.97000000000003</v>
      </c>
      <c r="BX175" s="623">
        <f>+'ANEXO C'!BI46</f>
        <v>335.3</v>
      </c>
      <c r="BY175" s="623">
        <f>+'ANEXO C'!BJ46</f>
        <v>336.32</v>
      </c>
      <c r="BZ175" s="623">
        <f>+'ANEXO C'!BK46</f>
        <v>344.15</v>
      </c>
      <c r="CA175" s="623">
        <f>+'ANEXO C'!BL46</f>
        <v>344.41</v>
      </c>
      <c r="CB175" s="623">
        <f>+'ANEXO C'!BM46</f>
        <v>345.08</v>
      </c>
      <c r="CC175" s="623">
        <v>346.47</v>
      </c>
      <c r="CD175" s="623">
        <f>+'ANEXO C'!BO46</f>
        <v>347.16</v>
      </c>
      <c r="CE175" s="659">
        <f>+'ANEXO C'!BP46</f>
        <v>360.91</v>
      </c>
      <c r="CF175" s="660">
        <f>+'ANEXO C'!BQ46</f>
        <v>347.6</v>
      </c>
      <c r="CG175" s="623">
        <f>+'ANEXO C'!BR46</f>
        <v>340.31</v>
      </c>
      <c r="CH175" s="623">
        <f>+'ANEXO C'!BS46</f>
        <v>341.61</v>
      </c>
      <c r="CI175" s="623">
        <f>+'ANEXO C'!BT46</f>
        <v>354.36</v>
      </c>
      <c r="CJ175" s="623">
        <f>+'ANEXO C'!BU46</f>
        <v>361.54</v>
      </c>
      <c r="CK175" s="623">
        <f>+'ANEXO C'!BV46</f>
        <v>361.76</v>
      </c>
      <c r="CL175" s="623">
        <f>+'ANEXO C'!BW46</f>
        <v>369.83</v>
      </c>
      <c r="CM175" s="623">
        <f>+'ANEXO C'!BX46</f>
        <v>367.5</v>
      </c>
      <c r="CN175" s="623">
        <f>+'ANEXO C'!BY46</f>
        <v>370.89</v>
      </c>
      <c r="CO175" s="623">
        <f>+'ANEXO C'!BZ46</f>
        <v>375.66</v>
      </c>
      <c r="CP175" s="623">
        <f>+'ANEXO C'!CA46</f>
        <v>377.66</v>
      </c>
      <c r="CQ175" s="659">
        <f>+'ANEXO C'!CB46</f>
        <v>380.75</v>
      </c>
      <c r="CR175" s="660">
        <f>+'ANEXO C'!CC46</f>
        <v>383.74</v>
      </c>
      <c r="CS175" s="623">
        <f>+'ANEXO C'!CD46</f>
        <v>388.72</v>
      </c>
      <c r="CT175" s="623">
        <f>+'ANEXO C'!CE46</f>
        <v>395.09</v>
      </c>
      <c r="CU175" s="623">
        <f>+'ANEXO C'!CF46</f>
        <v>404.22</v>
      </c>
      <c r="CV175" s="623">
        <f>+'ANEXO C'!CG46</f>
        <v>414.57</v>
      </c>
      <c r="CW175" s="623">
        <f>+'ANEXO C'!CH46</f>
        <v>426.34</v>
      </c>
      <c r="CX175" s="623">
        <f>+'ANEXO C'!CI46</f>
        <v>435.21</v>
      </c>
      <c r="CY175" s="623">
        <f>+'ANEXO C'!CJ46</f>
        <v>437.61</v>
      </c>
      <c r="CZ175" s="623">
        <f>+'ANEXO C'!CK46</f>
        <v>438.85</v>
      </c>
      <c r="DA175" s="623">
        <f>+'ANEXO C'!CL46</f>
        <v>452.12</v>
      </c>
      <c r="DB175" s="659">
        <f>+'ANEXO C'!CM46</f>
        <v>452.72</v>
      </c>
      <c r="DC175" s="659">
        <f>+'ANEXO C'!CN46</f>
        <v>453.58</v>
      </c>
      <c r="DD175" s="783">
        <f>+'ANEXO C'!CO46</f>
        <v>454.21</v>
      </c>
      <c r="DE175" s="623">
        <f>+'ANEXO C'!CP46</f>
        <v>455.86</v>
      </c>
      <c r="DF175" s="725">
        <f>+'ANEXO C'!CQ46</f>
        <v>464.22</v>
      </c>
      <c r="DG175" s="659">
        <f>+'ANEXO C'!CR46</f>
        <v>470.98</v>
      </c>
      <c r="DH175" s="623">
        <f>+'ANEXO C'!CS46</f>
        <v>488.97</v>
      </c>
      <c r="DI175" s="623">
        <f>+'ANEXO C'!CT46</f>
        <v>496.14</v>
      </c>
      <c r="DJ175" s="623">
        <f>+'ANEXO C'!CU46</f>
        <v>501.36</v>
      </c>
      <c r="DK175" s="659">
        <f>+'ANEXO C'!CV46</f>
        <v>514.01</v>
      </c>
      <c r="DL175" s="897">
        <f>+'ANEXO C'!CW46</f>
        <v>518.32000000000005</v>
      </c>
      <c r="DM175" s="110">
        <f t="shared" si="2"/>
        <v>1.0083850508744967</v>
      </c>
      <c r="DN175" s="111"/>
      <c r="DO175" s="111"/>
    </row>
    <row r="176" spans="1:119" s="115" customFormat="1" ht="16.5" customHeight="1">
      <c r="A176" s="114"/>
      <c r="B176" s="408"/>
      <c r="C176" s="621"/>
      <c r="D176" s="622"/>
      <c r="E176" s="621"/>
      <c r="F176" s="622"/>
      <c r="G176" s="621"/>
      <c r="H176" s="621"/>
      <c r="I176" s="631"/>
      <c r="J176" s="676"/>
      <c r="K176" s="669"/>
      <c r="L176" s="665"/>
      <c r="M176" s="625"/>
      <c r="N176" s="625"/>
      <c r="O176" s="625"/>
      <c r="P176" s="625"/>
      <c r="Q176" s="625"/>
      <c r="R176" s="625"/>
      <c r="S176" s="625"/>
      <c r="T176" s="625"/>
      <c r="U176" s="625"/>
      <c r="V176" s="625"/>
      <c r="W176" s="625"/>
      <c r="X176" s="625"/>
      <c r="Y176" s="625"/>
      <c r="Z176" s="625"/>
      <c r="AA176" s="625"/>
      <c r="AB176" s="625"/>
      <c r="AC176" s="625"/>
      <c r="AD176" s="625"/>
      <c r="AE176" s="625"/>
      <c r="AF176" s="625"/>
      <c r="AG176" s="625"/>
      <c r="AH176" s="625"/>
      <c r="AI176" s="764"/>
      <c r="AJ176" s="772"/>
      <c r="AK176" s="625"/>
      <c r="AL176" s="625"/>
      <c r="AM176" s="625"/>
      <c r="AN176" s="625"/>
      <c r="AO176" s="625"/>
      <c r="AP176" s="625"/>
      <c r="AQ176" s="625"/>
      <c r="AR176" s="625"/>
      <c r="AS176" s="625"/>
      <c r="AT176" s="625"/>
      <c r="AU176" s="764"/>
      <c r="AV176" s="752"/>
      <c r="AW176" s="626"/>
      <c r="AX176" s="626"/>
      <c r="AY176" s="626"/>
      <c r="AZ176" s="626"/>
      <c r="BA176" s="628"/>
      <c r="BB176" s="628"/>
      <c r="BC176" s="627"/>
      <c r="BD176" s="626"/>
      <c r="BE176" s="627"/>
      <c r="BF176" s="627"/>
      <c r="BG176" s="738"/>
      <c r="BH176" s="660"/>
      <c r="BI176" s="623"/>
      <c r="BJ176" s="623"/>
      <c r="BK176" s="623"/>
      <c r="BL176" s="623"/>
      <c r="BM176" s="623"/>
      <c r="BN176" s="623"/>
      <c r="BO176" s="623"/>
      <c r="BP176" s="623"/>
      <c r="BQ176" s="623"/>
      <c r="BR176" s="623"/>
      <c r="BS176" s="659"/>
      <c r="BT176" s="660"/>
      <c r="BU176" s="623"/>
      <c r="BV176" s="623"/>
      <c r="BW176" s="623"/>
      <c r="BX176" s="623"/>
      <c r="BY176" s="623"/>
      <c r="BZ176" s="623"/>
      <c r="CA176" s="623"/>
      <c r="CB176" s="623"/>
      <c r="CC176" s="623"/>
      <c r="CD176" s="623"/>
      <c r="CE176" s="659"/>
      <c r="CF176" s="660"/>
      <c r="CG176" s="623"/>
      <c r="CH176" s="623"/>
      <c r="CI176" s="623"/>
      <c r="CJ176" s="623"/>
      <c r="CK176" s="623"/>
      <c r="CL176" s="623"/>
      <c r="CM176" s="623"/>
      <c r="CN176" s="623"/>
      <c r="CO176" s="623"/>
      <c r="CP176" s="623"/>
      <c r="CQ176" s="659"/>
      <c r="CR176" s="660"/>
      <c r="CS176" s="623"/>
      <c r="CT176" s="623"/>
      <c r="CU176" s="623"/>
      <c r="CV176" s="623"/>
      <c r="CW176" s="623"/>
      <c r="CX176" s="623"/>
      <c r="CY176" s="623"/>
      <c r="CZ176" s="623"/>
      <c r="DA176" s="623"/>
      <c r="DB176" s="725"/>
      <c r="DC176" s="659"/>
      <c r="DD176" s="783"/>
      <c r="DE176" s="623"/>
      <c r="DF176" s="725"/>
      <c r="DG176" s="659"/>
      <c r="DH176" s="623"/>
      <c r="DI176" s="623"/>
      <c r="DJ176" s="623"/>
      <c r="DK176" s="659"/>
      <c r="DL176" s="897"/>
      <c r="DM176" s="110"/>
      <c r="DN176" s="110"/>
      <c r="DO176" s="110"/>
    </row>
    <row r="177" spans="1:119" s="115" customFormat="1" ht="17.25" customHeight="1">
      <c r="A177" s="114"/>
      <c r="B177" s="613"/>
      <c r="C177" s="614"/>
      <c r="D177" s="615"/>
      <c r="E177" s="614"/>
      <c r="F177" s="615"/>
      <c r="G177" s="614"/>
      <c r="H177" s="614"/>
      <c r="I177" s="616"/>
      <c r="J177" s="679"/>
      <c r="K177" s="671"/>
      <c r="L177" s="667"/>
      <c r="M177" s="618"/>
      <c r="N177" s="618"/>
      <c r="O177" s="618"/>
      <c r="P177" s="618"/>
      <c r="Q177" s="618"/>
      <c r="R177" s="618"/>
      <c r="S177" s="618"/>
      <c r="T177" s="618"/>
      <c r="U177" s="618"/>
      <c r="V177" s="618"/>
      <c r="W177" s="618"/>
      <c r="X177" s="618"/>
      <c r="Y177" s="618"/>
      <c r="Z177" s="618"/>
      <c r="AA177" s="618"/>
      <c r="AB177" s="618"/>
      <c r="AC177" s="618"/>
      <c r="AD177" s="618"/>
      <c r="AE177" s="618"/>
      <c r="AF177" s="618"/>
      <c r="AG177" s="618"/>
      <c r="AH177" s="618"/>
      <c r="AI177" s="766"/>
      <c r="AJ177" s="774"/>
      <c r="AK177" s="618"/>
      <c r="AL177" s="618"/>
      <c r="AM177" s="618"/>
      <c r="AN177" s="618"/>
      <c r="AO177" s="618"/>
      <c r="AP177" s="618"/>
      <c r="AQ177" s="618"/>
      <c r="AR177" s="618"/>
      <c r="AS177" s="618"/>
      <c r="AT177" s="618"/>
      <c r="AU177" s="766"/>
      <c r="AV177" s="769"/>
      <c r="AW177" s="619"/>
      <c r="AX177" s="619"/>
      <c r="AY177" s="619"/>
      <c r="AZ177" s="619"/>
      <c r="BA177" s="648"/>
      <c r="BB177" s="648"/>
      <c r="BC177" s="620"/>
      <c r="BD177" s="619"/>
      <c r="BE177" s="620"/>
      <c r="BF177" s="620"/>
      <c r="BG177" s="750"/>
      <c r="BH177" s="662"/>
      <c r="BI177" s="617"/>
      <c r="BJ177" s="617"/>
      <c r="BK177" s="617"/>
      <c r="BL177" s="617"/>
      <c r="BM177" s="617"/>
      <c r="BN177" s="617"/>
      <c r="BO177" s="617"/>
      <c r="BP177" s="617"/>
      <c r="BQ177" s="617"/>
      <c r="BR177" s="617"/>
      <c r="BS177" s="737"/>
      <c r="BT177" s="662"/>
      <c r="BU177" s="617"/>
      <c r="BV177" s="617"/>
      <c r="BW177" s="617"/>
      <c r="BX177" s="617"/>
      <c r="BY177" s="617"/>
      <c r="BZ177" s="617"/>
      <c r="CA177" s="617"/>
      <c r="CB177" s="617"/>
      <c r="CC177" s="617"/>
      <c r="CD177" s="617"/>
      <c r="CE177" s="737"/>
      <c r="CF177" s="662"/>
      <c r="CG177" s="617"/>
      <c r="CH177" s="617"/>
      <c r="CI177" s="617"/>
      <c r="CJ177" s="617"/>
      <c r="CK177" s="617"/>
      <c r="CL177" s="617"/>
      <c r="CM177" s="617"/>
      <c r="CN177" s="617"/>
      <c r="CO177" s="617"/>
      <c r="CP177" s="617"/>
      <c r="CQ177" s="737"/>
      <c r="CR177" s="662"/>
      <c r="CS177" s="617"/>
      <c r="CT177" s="617"/>
      <c r="CU177" s="617"/>
      <c r="CV177" s="623"/>
      <c r="CW177" s="623"/>
      <c r="CX177" s="623"/>
      <c r="CY177" s="623"/>
      <c r="CZ177" s="623"/>
      <c r="DA177" s="623"/>
      <c r="DB177" s="725"/>
      <c r="DC177" s="659"/>
      <c r="DD177" s="783"/>
      <c r="DE177" s="623"/>
      <c r="DF177" s="725"/>
      <c r="DG177" s="659"/>
      <c r="DH177" s="623"/>
      <c r="DI177" s="623"/>
      <c r="DJ177" s="623"/>
      <c r="DK177" s="659"/>
      <c r="DL177" s="897"/>
      <c r="DM177" s="110"/>
      <c r="DN177" s="110"/>
      <c r="DO177" s="110"/>
    </row>
    <row r="178" spans="1:119" s="115" customFormat="1" ht="33.75" customHeight="1">
      <c r="A178" s="114"/>
      <c r="B178" s="408">
        <v>231</v>
      </c>
      <c r="C178" s="621"/>
      <c r="D178" s="622" t="s">
        <v>363</v>
      </c>
      <c r="E178" s="621"/>
      <c r="F178" s="622"/>
      <c r="G178" s="621" t="s">
        <v>336</v>
      </c>
      <c r="H178" s="621"/>
      <c r="I178" s="390" t="s">
        <v>438</v>
      </c>
      <c r="J178" s="676" t="s">
        <v>364</v>
      </c>
      <c r="K178" s="669">
        <v>100</v>
      </c>
      <c r="L178" s="665">
        <v>99.99</v>
      </c>
      <c r="M178" s="625">
        <v>100.11</v>
      </c>
      <c r="N178" s="625">
        <v>109.93</v>
      </c>
      <c r="O178" s="625">
        <v>144.4</v>
      </c>
      <c r="P178" s="625">
        <v>182.93</v>
      </c>
      <c r="Q178" s="625">
        <v>218.39</v>
      </c>
      <c r="R178" s="625">
        <v>237.46</v>
      </c>
      <c r="S178" s="625">
        <v>250.17</v>
      </c>
      <c r="T178" s="625">
        <v>267.52999999999997</v>
      </c>
      <c r="U178" s="625">
        <v>275.10000000000002</v>
      </c>
      <c r="V178" s="625">
        <v>276.58999999999997</v>
      </c>
      <c r="W178" s="625">
        <v>276.07</v>
      </c>
      <c r="X178" s="625">
        <v>290.27</v>
      </c>
      <c r="Y178" s="625">
        <v>290.38</v>
      </c>
      <c r="Z178" s="625">
        <v>290.89999999999998</v>
      </c>
      <c r="AA178" s="625">
        <v>290.60000000000002</v>
      </c>
      <c r="AB178" s="625">
        <v>291.31</v>
      </c>
      <c r="AC178" s="625">
        <v>288.64</v>
      </c>
      <c r="AD178" s="625">
        <v>287.67</v>
      </c>
      <c r="AE178" s="625">
        <v>288.62</v>
      </c>
      <c r="AF178" s="625">
        <v>292.06</v>
      </c>
      <c r="AG178" s="625">
        <v>289.97000000000003</v>
      </c>
      <c r="AH178" s="625">
        <v>290.60000000000002</v>
      </c>
      <c r="AI178" s="764">
        <v>291.74</v>
      </c>
      <c r="AJ178" s="772">
        <v>293.73</v>
      </c>
      <c r="AK178" s="625">
        <v>294.86</v>
      </c>
      <c r="AL178" s="625">
        <v>295.73</v>
      </c>
      <c r="AM178" s="625">
        <v>296.02999999999997</v>
      </c>
      <c r="AN178" s="625">
        <v>299.45</v>
      </c>
      <c r="AO178" s="625">
        <v>301.08999999999997</v>
      </c>
      <c r="AP178" s="625">
        <v>302.33</v>
      </c>
      <c r="AQ178" s="625">
        <v>312.89</v>
      </c>
      <c r="AR178" s="625">
        <f>+'ANEXO E'!M53</f>
        <v>316.17</v>
      </c>
      <c r="AS178" s="625">
        <f>+'ANEXO E'!N53</f>
        <v>316.37</v>
      </c>
      <c r="AT178" s="625">
        <f>+'ANEXO E'!O53</f>
        <v>316.45</v>
      </c>
      <c r="AU178" s="764">
        <f>+'ANEXO E'!P53</f>
        <v>316.83999999999997</v>
      </c>
      <c r="AV178" s="752">
        <f>+'ANEXO E'!E66</f>
        <v>316.35000000000002</v>
      </c>
      <c r="AW178" s="626">
        <f>+'ANEXO E'!F66</f>
        <v>319.74</v>
      </c>
      <c r="AX178" s="626">
        <f>+'ANEXO E'!G66</f>
        <v>331.23</v>
      </c>
      <c r="AY178" s="626">
        <f>+'ANEXO E'!H66</f>
        <v>332.57</v>
      </c>
      <c r="AZ178" s="626">
        <f>+'ANEXO E'!I66</f>
        <v>332.13</v>
      </c>
      <c r="BA178" s="626">
        <f>+'ANEXO E'!J66</f>
        <v>329.98</v>
      </c>
      <c r="BB178" s="626">
        <f>+'ANEXO E'!K66</f>
        <v>330.14</v>
      </c>
      <c r="BC178" s="626">
        <f>+'ANEXO E'!L66</f>
        <v>330.23</v>
      </c>
      <c r="BD178" s="626">
        <f>+'ANEXO E'!M66</f>
        <v>330.88</v>
      </c>
      <c r="BE178" s="626">
        <f>+'ANEXO E'!N66</f>
        <v>331.51</v>
      </c>
      <c r="BF178" s="626">
        <f>+'ANEXO E'!O66</f>
        <v>338.31</v>
      </c>
      <c r="BG178" s="749">
        <f>+'ANEXO E'!P66</f>
        <v>338.72</v>
      </c>
      <c r="BH178" s="660">
        <f>+'ANEXO E'!E79</f>
        <v>340.99</v>
      </c>
      <c r="BI178" s="623">
        <f>+'ANEXO E'!F79</f>
        <v>341.18</v>
      </c>
      <c r="BJ178" s="623">
        <f>+'ANEXO E'!G79</f>
        <v>347.85</v>
      </c>
      <c r="BK178" s="623">
        <f>+'ANEXO E'!H79</f>
        <v>343.59</v>
      </c>
      <c r="BL178" s="623">
        <f>+'ANEXO E'!I79</f>
        <v>347.17</v>
      </c>
      <c r="BM178" s="623">
        <f>+'ANEXO E'!J79</f>
        <v>347.57</v>
      </c>
      <c r="BN178" s="623">
        <f>+'ANEXO E'!K79</f>
        <v>349.64</v>
      </c>
      <c r="BO178" s="623">
        <f>+'ANEXO E'!L79</f>
        <v>349.97</v>
      </c>
      <c r="BP178" s="623">
        <f>+'ANEXO E'!M79</f>
        <v>340.13</v>
      </c>
      <c r="BQ178" s="623">
        <f>+'ANEXO E'!N79</f>
        <v>354.97</v>
      </c>
      <c r="BR178" s="623">
        <f>+'ANEXO E'!O79</f>
        <v>354.87</v>
      </c>
      <c r="BS178" s="659">
        <f>+'ANEXO E'!P79</f>
        <v>354.99</v>
      </c>
      <c r="BT178" s="660">
        <f>+'ANEXO E'!E92</f>
        <v>358.87</v>
      </c>
      <c r="BU178" s="623">
        <f>+'ANEXO E'!F92</f>
        <v>359.17</v>
      </c>
      <c r="BV178" s="623">
        <f>+'ANEXO E'!G92</f>
        <v>359.26</v>
      </c>
      <c r="BW178" s="623">
        <f>+'ANEXO E'!H92</f>
        <v>359.57</v>
      </c>
      <c r="BX178" s="623">
        <f>+'ANEXO E'!I92</f>
        <v>368.33</v>
      </c>
      <c r="BY178" s="623">
        <f>+'ANEXO E'!J92</f>
        <v>370.07</v>
      </c>
      <c r="BZ178" s="623">
        <f>+'ANEXO E'!K92</f>
        <v>378.07</v>
      </c>
      <c r="CA178" s="623">
        <f>+'ANEXO E'!L92</f>
        <v>376.82</v>
      </c>
      <c r="CB178" s="623">
        <f>+'ANEXO E'!M92</f>
        <v>378.6</v>
      </c>
      <c r="CC178" s="623">
        <v>380.17</v>
      </c>
      <c r="CD178" s="623">
        <f>+'ANEXO E'!O92</f>
        <v>382.47</v>
      </c>
      <c r="CE178" s="659">
        <f>+'ANEXO E'!P92</f>
        <v>395.23</v>
      </c>
      <c r="CF178" s="660">
        <f>+'ANEXO E'!E105</f>
        <v>384.13</v>
      </c>
      <c r="CG178" s="623">
        <f>+'ANEXO E'!F105</f>
        <v>366.34</v>
      </c>
      <c r="CH178" s="623">
        <f>+'ANEXO E'!G105</f>
        <v>365.54</v>
      </c>
      <c r="CI178" s="623">
        <f>+'ANEXO E'!H105</f>
        <v>375.8</v>
      </c>
      <c r="CJ178" s="623">
        <f>+'ANEXO E'!I105</f>
        <v>387.35</v>
      </c>
      <c r="CK178" s="623">
        <f>+'ANEXO E'!J105</f>
        <v>392.83</v>
      </c>
      <c r="CL178" s="623">
        <f>+'ANEXO E'!K105</f>
        <v>401.43</v>
      </c>
      <c r="CM178" s="623">
        <f>+'ANEXO E'!L105</f>
        <v>398.37</v>
      </c>
      <c r="CN178" s="623">
        <f>+'ANEXO E'!M105</f>
        <v>402.22</v>
      </c>
      <c r="CO178" s="623">
        <f>+'ANEXO E'!N105</f>
        <v>404.82</v>
      </c>
      <c r="CP178" s="623">
        <f>+'ANEXO E'!O105</f>
        <v>407.97</v>
      </c>
      <c r="CQ178" s="659">
        <f>+'ANEXO E'!P105</f>
        <v>411.01</v>
      </c>
      <c r="CR178" s="660">
        <f>+'ANEXO E'!E119</f>
        <v>416.43</v>
      </c>
      <c r="CS178" s="623">
        <f>+'ANEXO E'!F119</f>
        <v>423.38</v>
      </c>
      <c r="CT178" s="623">
        <f>+'ANEXO E'!G119</f>
        <v>432.46</v>
      </c>
      <c r="CU178" s="623">
        <f>+'ANEXO E'!H119</f>
        <v>447.31</v>
      </c>
      <c r="CV178" s="623">
        <f>+'ANEXO E'!I119</f>
        <v>461</v>
      </c>
      <c r="CW178" s="623">
        <f>+'ANEXO E'!J119</f>
        <v>477.91</v>
      </c>
      <c r="CX178" s="623">
        <f>+'ANEXO E'!K119</f>
        <v>495.21</v>
      </c>
      <c r="CY178" s="623">
        <f>+'ANEXO E'!L119</f>
        <v>497.42</v>
      </c>
      <c r="CZ178" s="623">
        <f>+'ANEXO E'!M119</f>
        <v>498.89</v>
      </c>
      <c r="DA178" s="623">
        <f>+'ANEXO E'!N119</f>
        <v>515.72</v>
      </c>
      <c r="DB178" s="659">
        <f>+'ANEXO E'!O119</f>
        <v>517.39</v>
      </c>
      <c r="DC178" s="659">
        <f>+'ANEXO E'!P119</f>
        <v>519.16999999999996</v>
      </c>
      <c r="DD178" s="783">
        <f>+'ANEXO E'!E136</f>
        <v>519.5</v>
      </c>
      <c r="DE178" s="623">
        <f>+'ANEXO E'!F136</f>
        <v>520.74</v>
      </c>
      <c r="DF178" s="725">
        <f>+'ANEXO E'!G136</f>
        <v>529.11</v>
      </c>
      <c r="DG178" s="659">
        <f>+'ANEXO E'!H136</f>
        <v>542.84</v>
      </c>
      <c r="DH178" s="623">
        <f>+'ANEXO E'!I136</f>
        <v>563.22</v>
      </c>
      <c r="DI178" s="623">
        <f>+'ANEXO E'!J136</f>
        <v>578.94000000000005</v>
      </c>
      <c r="DJ178" s="623">
        <f>+'ANEXO E'!K136</f>
        <v>588.47</v>
      </c>
      <c r="DK178" s="659">
        <f>+'ANEXO E'!L136</f>
        <v>604.62</v>
      </c>
      <c r="DL178" s="897">
        <f>+'ANEXO E'!M136</f>
        <v>612.37</v>
      </c>
      <c r="DM178" s="110">
        <f t="shared" si="2"/>
        <v>1.0128179683106744</v>
      </c>
      <c r="DN178" s="111"/>
      <c r="DO178" s="111"/>
    </row>
    <row r="179" spans="1:119" s="115" customFormat="1" ht="32.25" customHeight="1">
      <c r="A179" s="114"/>
      <c r="B179" s="408">
        <v>232</v>
      </c>
      <c r="C179" s="621"/>
      <c r="D179" s="622" t="str">
        <f>+D178</f>
        <v>Costo Horario de Camioneta</v>
      </c>
      <c r="E179" s="621"/>
      <c r="F179" s="622"/>
      <c r="G179" s="621" t="s">
        <v>336</v>
      </c>
      <c r="H179" s="621"/>
      <c r="I179" s="390" t="s">
        <v>133</v>
      </c>
      <c r="J179" s="676"/>
      <c r="K179" s="669">
        <v>100</v>
      </c>
      <c r="L179" s="665">
        <v>106.95</v>
      </c>
      <c r="M179" s="625">
        <v>107.7</v>
      </c>
      <c r="N179" s="625">
        <v>108.45</v>
      </c>
      <c r="O179" s="625">
        <v>152.11000000000001</v>
      </c>
      <c r="P179" s="625">
        <v>177.42</v>
      </c>
      <c r="Q179" s="625">
        <v>201.2</v>
      </c>
      <c r="R179" s="625">
        <v>206.56</v>
      </c>
      <c r="S179" s="625">
        <v>206.81</v>
      </c>
      <c r="T179" s="625">
        <v>206.23</v>
      </c>
      <c r="U179" s="625">
        <v>209.81</v>
      </c>
      <c r="V179" s="625">
        <v>209.93</v>
      </c>
      <c r="W179" s="625">
        <v>210.93</v>
      </c>
      <c r="X179" s="625">
        <v>204.96</v>
      </c>
      <c r="Y179" s="625">
        <v>203.25</v>
      </c>
      <c r="Z179" s="625">
        <v>202.15</v>
      </c>
      <c r="AA179" s="625">
        <v>200.5</v>
      </c>
      <c r="AB179" s="625">
        <v>198.52</v>
      </c>
      <c r="AC179" s="625">
        <v>199.59</v>
      </c>
      <c r="AD179" s="625">
        <v>200.97</v>
      </c>
      <c r="AE179" s="625">
        <v>203.74</v>
      </c>
      <c r="AF179" s="625">
        <v>202.12</v>
      </c>
      <c r="AG179" s="625">
        <v>201.73</v>
      </c>
      <c r="AH179" s="625">
        <v>202.19</v>
      </c>
      <c r="AI179" s="764">
        <v>206.43</v>
      </c>
      <c r="AJ179" s="772">
        <v>207.76</v>
      </c>
      <c r="AK179" s="625">
        <v>212.22</v>
      </c>
      <c r="AL179" s="625">
        <v>217.73</v>
      </c>
      <c r="AM179" s="625">
        <v>218.98</v>
      </c>
      <c r="AN179" s="625">
        <v>224.86</v>
      </c>
      <c r="AO179" s="625">
        <v>227.2</v>
      </c>
      <c r="AP179" s="625">
        <v>227.69</v>
      </c>
      <c r="AQ179" s="625">
        <v>230.61</v>
      </c>
      <c r="AR179" s="625">
        <v>231.13</v>
      </c>
      <c r="AS179" s="625">
        <f t="shared" ref="AS179:AX179" si="3">+AS171</f>
        <v>231.66</v>
      </c>
      <c r="AT179" s="625">
        <f t="shared" si="3"/>
        <v>231.77</v>
      </c>
      <c r="AU179" s="764">
        <f t="shared" si="3"/>
        <v>234.27</v>
      </c>
      <c r="AV179" s="752">
        <f t="shared" si="3"/>
        <v>210.88</v>
      </c>
      <c r="AW179" s="626">
        <f t="shared" si="3"/>
        <v>244.75</v>
      </c>
      <c r="AX179" s="626">
        <f t="shared" si="3"/>
        <v>245.85</v>
      </c>
      <c r="AY179" s="626">
        <f t="shared" ref="AY179:BD179" si="4">+AY171</f>
        <v>245.73</v>
      </c>
      <c r="AZ179" s="626">
        <f t="shared" si="4"/>
        <v>246.67</v>
      </c>
      <c r="BA179" s="626">
        <f t="shared" si="4"/>
        <v>247.2</v>
      </c>
      <c r="BB179" s="626">
        <f t="shared" si="4"/>
        <v>248.76</v>
      </c>
      <c r="BC179" s="626">
        <f t="shared" si="4"/>
        <v>250.77</v>
      </c>
      <c r="BD179" s="626">
        <f t="shared" si="4"/>
        <v>255.07</v>
      </c>
      <c r="BE179" s="626">
        <f t="shared" ref="BE179:BJ179" si="5">+BE171</f>
        <v>257.17</v>
      </c>
      <c r="BF179" s="626">
        <f t="shared" si="5"/>
        <v>257.77</v>
      </c>
      <c r="BG179" s="749">
        <f t="shared" si="5"/>
        <v>261.87</v>
      </c>
      <c r="BH179" s="752">
        <f t="shared" si="5"/>
        <v>264.17</v>
      </c>
      <c r="BI179" s="627">
        <f t="shared" si="5"/>
        <v>266.12</v>
      </c>
      <c r="BJ179" s="627">
        <f t="shared" si="5"/>
        <v>268.56</v>
      </c>
      <c r="BK179" s="627">
        <f t="shared" ref="BK179:BP179" si="6">+BK171</f>
        <v>269.23</v>
      </c>
      <c r="BL179" s="627">
        <f t="shared" si="6"/>
        <v>269.91000000000003</v>
      </c>
      <c r="BM179" s="627">
        <f t="shared" si="6"/>
        <v>273.51</v>
      </c>
      <c r="BN179" s="627">
        <f t="shared" si="6"/>
        <v>277.93</v>
      </c>
      <c r="BO179" s="627">
        <f t="shared" si="6"/>
        <v>281.19</v>
      </c>
      <c r="BP179" s="627">
        <f t="shared" si="6"/>
        <v>283.33999999999997</v>
      </c>
      <c r="BQ179" s="627">
        <f t="shared" ref="BQ179:BV179" si="7">+BQ171</f>
        <v>285.17</v>
      </c>
      <c r="BR179" s="627">
        <f t="shared" si="7"/>
        <v>284.43</v>
      </c>
      <c r="BS179" s="738">
        <f t="shared" si="7"/>
        <v>285.69</v>
      </c>
      <c r="BT179" s="663">
        <f t="shared" si="7"/>
        <v>285.86</v>
      </c>
      <c r="BU179" s="627">
        <f t="shared" si="7"/>
        <v>288.51</v>
      </c>
      <c r="BV179" s="627">
        <f t="shared" si="7"/>
        <v>289.39</v>
      </c>
      <c r="BW179" s="623">
        <f t="shared" ref="BW179:CB179" si="8">+BW171</f>
        <v>292.55</v>
      </c>
      <c r="BX179" s="623">
        <f t="shared" si="8"/>
        <v>296.19</v>
      </c>
      <c r="BY179" s="623">
        <f t="shared" si="8"/>
        <v>298.33</v>
      </c>
      <c r="BZ179" s="623">
        <f t="shared" si="8"/>
        <v>301.55</v>
      </c>
      <c r="CA179" s="623">
        <f t="shared" si="8"/>
        <v>309.32</v>
      </c>
      <c r="CB179" s="623">
        <f t="shared" si="8"/>
        <v>312.04000000000002</v>
      </c>
      <c r="CC179" s="623">
        <v>316.22000000000003</v>
      </c>
      <c r="CD179" s="623">
        <f t="shared" ref="CD179:CI179" si="9">+CD171</f>
        <v>320.13</v>
      </c>
      <c r="CE179" s="659">
        <f t="shared" si="9"/>
        <v>324.36</v>
      </c>
      <c r="CF179" s="660">
        <f t="shared" si="9"/>
        <v>334.34</v>
      </c>
      <c r="CG179" s="623">
        <f t="shared" si="9"/>
        <v>335.32</v>
      </c>
      <c r="CH179" s="623">
        <f t="shared" si="9"/>
        <v>341.37</v>
      </c>
      <c r="CI179" s="623">
        <f t="shared" si="9"/>
        <v>345.57</v>
      </c>
      <c r="CJ179" s="623">
        <f t="shared" ref="CJ179:CP179" si="10">+CJ171</f>
        <v>348.69</v>
      </c>
      <c r="CK179" s="623">
        <f t="shared" si="10"/>
        <v>353.86</v>
      </c>
      <c r="CL179" s="623">
        <f t="shared" si="10"/>
        <v>358.99</v>
      </c>
      <c r="CM179" s="623">
        <f t="shared" si="10"/>
        <v>364.2</v>
      </c>
      <c r="CN179" s="623">
        <f t="shared" si="10"/>
        <v>369.4</v>
      </c>
      <c r="CO179" s="623">
        <f t="shared" si="10"/>
        <v>373.73</v>
      </c>
      <c r="CP179" s="623">
        <f t="shared" si="10"/>
        <v>379.24</v>
      </c>
      <c r="CQ179" s="659">
        <f t="shared" ref="CQ179:CW179" si="11">+CQ171</f>
        <v>381.48</v>
      </c>
      <c r="CR179" s="660">
        <f t="shared" si="11"/>
        <v>384.48</v>
      </c>
      <c r="CS179" s="623">
        <f t="shared" si="11"/>
        <v>385.84</v>
      </c>
      <c r="CT179" s="623">
        <f t="shared" si="11"/>
        <v>388.64</v>
      </c>
      <c r="CU179" s="623">
        <f t="shared" si="11"/>
        <v>390.67</v>
      </c>
      <c r="CV179" s="623">
        <f t="shared" si="11"/>
        <v>393.57</v>
      </c>
      <c r="CW179" s="623">
        <f t="shared" si="11"/>
        <v>395.24</v>
      </c>
      <c r="CX179" s="623">
        <f t="shared" ref="CX179:DF179" si="12">+CX171</f>
        <v>397.65</v>
      </c>
      <c r="CY179" s="623">
        <f t="shared" si="12"/>
        <v>404.51</v>
      </c>
      <c r="CZ179" s="623">
        <f t="shared" si="12"/>
        <v>408.01</v>
      </c>
      <c r="DA179" s="623">
        <f t="shared" si="12"/>
        <v>409.55</v>
      </c>
      <c r="DB179" s="659">
        <f t="shared" si="12"/>
        <v>411.82</v>
      </c>
      <c r="DC179" s="659">
        <f t="shared" si="12"/>
        <v>412.89</v>
      </c>
      <c r="DD179" s="783">
        <f t="shared" si="12"/>
        <v>413.74</v>
      </c>
      <c r="DE179" s="623">
        <f t="shared" si="12"/>
        <v>420.98</v>
      </c>
      <c r="DF179" s="725">
        <f t="shared" si="12"/>
        <v>429.56</v>
      </c>
      <c r="DG179" s="659">
        <f t="shared" ref="DG179:DL179" si="13">+DG171</f>
        <v>438.05</v>
      </c>
      <c r="DH179" s="623">
        <f t="shared" si="13"/>
        <v>442.28</v>
      </c>
      <c r="DI179" s="623">
        <f t="shared" si="13"/>
        <v>447.41</v>
      </c>
      <c r="DJ179" s="623">
        <f t="shared" si="13"/>
        <v>453.88</v>
      </c>
      <c r="DK179" s="659">
        <f t="shared" si="13"/>
        <v>460.09</v>
      </c>
      <c r="DL179" s="897">
        <f t="shared" si="13"/>
        <v>465.16</v>
      </c>
      <c r="DM179" s="110">
        <f t="shared" si="2"/>
        <v>1.0110195831250408</v>
      </c>
      <c r="DN179" s="111"/>
      <c r="DO179" s="111"/>
    </row>
    <row r="180" spans="1:119" s="115" customFormat="1" ht="13.5" customHeight="1">
      <c r="A180" s="114"/>
      <c r="B180" s="408"/>
      <c r="C180" s="621"/>
      <c r="D180" s="622"/>
      <c r="E180" s="621"/>
      <c r="F180" s="622"/>
      <c r="G180" s="621"/>
      <c r="H180" s="621"/>
      <c r="I180" s="631"/>
      <c r="J180" s="651"/>
      <c r="K180" s="669"/>
      <c r="L180" s="664"/>
      <c r="M180" s="623"/>
      <c r="N180" s="625"/>
      <c r="O180" s="625"/>
      <c r="P180" s="625"/>
      <c r="Q180" s="625"/>
      <c r="R180" s="625"/>
      <c r="S180" s="625"/>
      <c r="T180" s="625"/>
      <c r="U180" s="625"/>
      <c r="V180" s="625"/>
      <c r="W180" s="625"/>
      <c r="X180" s="625"/>
      <c r="Y180" s="625"/>
      <c r="Z180" s="625"/>
      <c r="AA180" s="625"/>
      <c r="AB180" s="625"/>
      <c r="AC180" s="625"/>
      <c r="AD180" s="625"/>
      <c r="AE180" s="625"/>
      <c r="AF180" s="625"/>
      <c r="AG180" s="625"/>
      <c r="AH180" s="625"/>
      <c r="AI180" s="764"/>
      <c r="AJ180" s="772"/>
      <c r="AK180" s="625"/>
      <c r="AL180" s="625"/>
      <c r="AM180" s="625"/>
      <c r="AN180" s="625"/>
      <c r="AO180" s="625"/>
      <c r="AP180" s="625"/>
      <c r="AQ180" s="625"/>
      <c r="AR180" s="625"/>
      <c r="AS180" s="625"/>
      <c r="AT180" s="625"/>
      <c r="AU180" s="764"/>
      <c r="AV180" s="752"/>
      <c r="AW180" s="626"/>
      <c r="AX180" s="626"/>
      <c r="AY180" s="626"/>
      <c r="AZ180" s="626"/>
      <c r="BA180" s="628"/>
      <c r="BB180" s="628"/>
      <c r="BC180" s="627"/>
      <c r="BD180" s="626"/>
      <c r="BE180" s="627"/>
      <c r="BF180" s="627"/>
      <c r="BG180" s="738"/>
      <c r="BH180" s="660"/>
      <c r="BI180" s="623"/>
      <c r="BJ180" s="623"/>
      <c r="BK180" s="623"/>
      <c r="BL180" s="623"/>
      <c r="BM180" s="623"/>
      <c r="BN180" s="623"/>
      <c r="BO180" s="623"/>
      <c r="BP180" s="623"/>
      <c r="BQ180" s="623"/>
      <c r="BR180" s="623"/>
      <c r="BS180" s="659"/>
      <c r="BT180" s="660"/>
      <c r="BU180" s="623"/>
      <c r="BV180" s="623"/>
      <c r="BW180" s="623"/>
      <c r="BX180" s="623"/>
      <c r="BY180" s="623"/>
      <c r="BZ180" s="623"/>
      <c r="CA180" s="623"/>
      <c r="CB180" s="623"/>
      <c r="CC180" s="623"/>
      <c r="CD180" s="623"/>
      <c r="CE180" s="659"/>
      <c r="CF180" s="660"/>
      <c r="CG180" s="623"/>
      <c r="CH180" s="623"/>
      <c r="CI180" s="623"/>
      <c r="CJ180" s="623"/>
      <c r="CK180" s="623"/>
      <c r="CL180" s="623"/>
      <c r="CM180" s="623"/>
      <c r="CN180" s="623"/>
      <c r="CO180" s="623"/>
      <c r="CP180" s="623"/>
      <c r="CQ180" s="659"/>
      <c r="CR180" s="660"/>
      <c r="CS180" s="623"/>
      <c r="CT180" s="623"/>
      <c r="CU180" s="623"/>
      <c r="CV180" s="623"/>
      <c r="CW180" s="623"/>
      <c r="CX180" s="623"/>
      <c r="CY180" s="623"/>
      <c r="CZ180" s="623"/>
      <c r="DA180" s="623"/>
      <c r="DB180" s="725"/>
      <c r="DC180" s="659"/>
      <c r="DD180" s="783"/>
      <c r="DE180" s="623"/>
      <c r="DF180" s="725"/>
      <c r="DG180" s="659"/>
      <c r="DH180" s="623"/>
      <c r="DI180" s="623"/>
      <c r="DJ180" s="623"/>
      <c r="DK180" s="659"/>
      <c r="DL180" s="897"/>
      <c r="DM180" s="110"/>
      <c r="DN180" s="110"/>
      <c r="DO180" s="110"/>
    </row>
    <row r="181" spans="1:119" s="115" customFormat="1" ht="13.5" customHeight="1">
      <c r="A181" s="114"/>
      <c r="B181" s="408"/>
      <c r="C181" s="621"/>
      <c r="D181" s="622"/>
      <c r="E181" s="621"/>
      <c r="F181" s="622"/>
      <c r="G181" s="621"/>
      <c r="H181" s="621"/>
      <c r="I181" s="631"/>
      <c r="J181" s="651"/>
      <c r="K181" s="669"/>
      <c r="L181" s="664"/>
      <c r="M181" s="623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897"/>
      <c r="DM181" s="110"/>
      <c r="DN181" s="110"/>
      <c r="DO181" s="110"/>
    </row>
    <row r="182" spans="1:119" s="115" customFormat="1" ht="18.75" customHeight="1">
      <c r="A182" s="114"/>
      <c r="B182" s="408">
        <v>240</v>
      </c>
      <c r="C182" s="733" t="s">
        <v>92</v>
      </c>
      <c r="D182" s="734" t="s">
        <v>93</v>
      </c>
      <c r="E182" s="621" t="s">
        <v>918</v>
      </c>
      <c r="F182" s="622"/>
      <c r="G182" s="733" t="s">
        <v>814</v>
      </c>
      <c r="H182" s="621"/>
      <c r="I182" s="631" t="s">
        <v>754</v>
      </c>
      <c r="J182" s="651"/>
      <c r="K182" s="669">
        <v>100</v>
      </c>
      <c r="L182" s="664"/>
      <c r="M182" s="623"/>
      <c r="N182" s="625"/>
      <c r="O182" s="625"/>
      <c r="P182" s="625"/>
      <c r="Q182" s="625"/>
      <c r="R182" s="625"/>
      <c r="S182" s="625"/>
      <c r="T182" s="625"/>
      <c r="U182" s="625"/>
      <c r="V182" s="625"/>
      <c r="W182" s="625"/>
      <c r="X182" s="625"/>
      <c r="Y182" s="625"/>
      <c r="Z182" s="625"/>
      <c r="AA182" s="625"/>
      <c r="AB182" s="625"/>
      <c r="AC182" s="625"/>
      <c r="AD182" s="625"/>
      <c r="AE182" s="625"/>
      <c r="AF182" s="625"/>
      <c r="AG182" s="625"/>
      <c r="AH182" s="625"/>
      <c r="AI182" s="764"/>
      <c r="AJ182" s="772">
        <v>133.5</v>
      </c>
      <c r="AK182" s="625">
        <v>135.1</v>
      </c>
      <c r="AL182" s="625">
        <v>136.30000000000001</v>
      </c>
      <c r="AM182" s="625">
        <v>137</v>
      </c>
      <c r="AN182" s="625">
        <v>207.17</v>
      </c>
      <c r="AO182" s="625">
        <v>139.69999999999999</v>
      </c>
      <c r="AP182" s="625">
        <v>140.19999999999999</v>
      </c>
      <c r="AQ182" s="625">
        <v>140.30000000000001</v>
      </c>
      <c r="AR182" s="625">
        <v>140.6</v>
      </c>
      <c r="AS182" s="625">
        <v>142.1</v>
      </c>
      <c r="AT182" s="625">
        <v>142.19999999999999</v>
      </c>
      <c r="AU182" s="764">
        <v>143.69999999999999</v>
      </c>
      <c r="AV182" s="752">
        <v>144.6</v>
      </c>
      <c r="AW182" s="626">
        <v>146.30000000000001</v>
      </c>
      <c r="AX182" s="626">
        <v>147</v>
      </c>
      <c r="AY182" s="626">
        <v>149.9</v>
      </c>
      <c r="AZ182" s="626">
        <v>157.19999999999999</v>
      </c>
      <c r="BA182" s="627">
        <v>157.9</v>
      </c>
      <c r="BB182" s="627">
        <v>158.4</v>
      </c>
      <c r="BC182" s="627">
        <v>1595</v>
      </c>
      <c r="BD182" s="626">
        <v>160.4</v>
      </c>
      <c r="BE182" s="627">
        <v>161.30000000000001</v>
      </c>
      <c r="BF182" s="627">
        <v>163.19999999999999</v>
      </c>
      <c r="BG182" s="738">
        <v>164.8</v>
      </c>
      <c r="BH182" s="660">
        <v>165.5</v>
      </c>
      <c r="BI182" s="623">
        <v>168.2</v>
      </c>
      <c r="BJ182" s="623">
        <v>168.9</v>
      </c>
      <c r="BK182" s="623">
        <v>174.7</v>
      </c>
      <c r="BL182" s="623">
        <v>180.8</v>
      </c>
      <c r="BM182" s="623">
        <v>183.1</v>
      </c>
      <c r="BN182" s="623">
        <v>183.3</v>
      </c>
      <c r="BO182" s="623">
        <v>185.5</v>
      </c>
      <c r="BP182" s="623">
        <v>188.1</v>
      </c>
      <c r="BQ182" s="623">
        <v>188.2</v>
      </c>
      <c r="BR182" s="623">
        <v>188.5</v>
      </c>
      <c r="BS182" s="659">
        <v>188.7</v>
      </c>
      <c r="BT182" s="660">
        <v>190.7</v>
      </c>
      <c r="BU182" s="623">
        <v>190.7</v>
      </c>
      <c r="BV182" s="623">
        <v>190.4</v>
      </c>
      <c r="BW182" s="623">
        <v>197.2</v>
      </c>
      <c r="BX182" s="623">
        <v>200.8</v>
      </c>
      <c r="BY182" s="623">
        <v>208.3</v>
      </c>
      <c r="BZ182" s="623">
        <v>213.6</v>
      </c>
      <c r="CA182" s="623">
        <v>216.3</v>
      </c>
      <c r="CB182" s="623">
        <v>220.8</v>
      </c>
      <c r="CC182" s="623">
        <v>223.8</v>
      </c>
      <c r="CD182" s="623">
        <v>226.4</v>
      </c>
      <c r="CE182" s="659">
        <v>227.1</v>
      </c>
      <c r="CF182" s="660">
        <v>227.9</v>
      </c>
      <c r="CG182" s="623">
        <v>231.4</v>
      </c>
      <c r="CH182" s="623">
        <v>235</v>
      </c>
      <c r="CI182" s="623">
        <v>237.1</v>
      </c>
      <c r="CJ182" s="623">
        <v>244.4</v>
      </c>
      <c r="CK182" s="623">
        <v>245.3</v>
      </c>
      <c r="CL182" s="623">
        <v>250.3</v>
      </c>
      <c r="CM182" s="623">
        <v>253.7</v>
      </c>
      <c r="CN182" s="623">
        <v>257.89999999999998</v>
      </c>
      <c r="CO182" s="623">
        <v>258.5</v>
      </c>
      <c r="CP182" s="623">
        <v>259.5</v>
      </c>
      <c r="CQ182" s="741">
        <v>258.5</v>
      </c>
      <c r="CR182" s="762">
        <v>257.5</v>
      </c>
      <c r="CS182" s="734">
        <v>256.7</v>
      </c>
      <c r="CT182" s="734">
        <v>256.39999999999998</v>
      </c>
      <c r="CU182" s="734">
        <v>255</v>
      </c>
      <c r="CV182" s="734">
        <v>255.6</v>
      </c>
      <c r="CW182" s="734">
        <v>261.7</v>
      </c>
      <c r="CX182" s="734">
        <v>264.8</v>
      </c>
      <c r="CY182" s="734">
        <v>266.7</v>
      </c>
      <c r="CZ182" s="734">
        <v>267.89999999999998</v>
      </c>
      <c r="DA182" s="734">
        <v>272.2</v>
      </c>
      <c r="DB182" s="734">
        <v>275.10000000000002</v>
      </c>
      <c r="DC182" s="779">
        <v>275.7</v>
      </c>
      <c r="DD182" s="789">
        <v>276.89999999999998</v>
      </c>
      <c r="DE182" s="733">
        <v>279</v>
      </c>
      <c r="DF182" s="799">
        <v>280.89999999999998</v>
      </c>
      <c r="DG182" s="819">
        <v>297.2</v>
      </c>
      <c r="DH182" s="623">
        <v>296.8</v>
      </c>
      <c r="DI182" s="623">
        <v>314.89999999999998</v>
      </c>
      <c r="DJ182" s="623">
        <v>318.7</v>
      </c>
      <c r="DK182" s="659">
        <v>320.60000000000002</v>
      </c>
      <c r="DL182" s="897">
        <v>332.8</v>
      </c>
      <c r="DM182" s="110">
        <f t="shared" si="2"/>
        <v>1.0380536494073611</v>
      </c>
      <c r="DN182" s="110"/>
      <c r="DO182" s="110"/>
    </row>
    <row r="183" spans="1:119" s="115" customFormat="1" ht="17.25" customHeight="1">
      <c r="A183" s="114"/>
      <c r="B183" s="408">
        <v>241</v>
      </c>
      <c r="C183" s="733" t="s">
        <v>94</v>
      </c>
      <c r="D183" s="734" t="s">
        <v>95</v>
      </c>
      <c r="E183" s="621" t="s">
        <v>918</v>
      </c>
      <c r="F183" s="622"/>
      <c r="G183" s="621" t="s">
        <v>3</v>
      </c>
      <c r="H183" s="621"/>
      <c r="I183" s="631" t="s">
        <v>755</v>
      </c>
      <c r="J183" s="651"/>
      <c r="K183" s="669">
        <v>100</v>
      </c>
      <c r="L183" s="664"/>
      <c r="M183" s="623"/>
      <c r="N183" s="625"/>
      <c r="O183" s="625"/>
      <c r="P183" s="625"/>
      <c r="Q183" s="625"/>
      <c r="R183" s="625"/>
      <c r="S183" s="625"/>
      <c r="T183" s="625"/>
      <c r="U183" s="625"/>
      <c r="V183" s="625"/>
      <c r="W183" s="625"/>
      <c r="X183" s="625"/>
      <c r="Y183" s="625"/>
      <c r="Z183" s="625"/>
      <c r="AA183" s="625"/>
      <c r="AB183" s="625"/>
      <c r="AC183" s="625"/>
      <c r="AD183" s="625"/>
      <c r="AE183" s="625"/>
      <c r="AF183" s="625"/>
      <c r="AG183" s="625"/>
      <c r="AH183" s="625"/>
      <c r="AI183" s="764"/>
      <c r="AJ183" s="772">
        <v>199.9</v>
      </c>
      <c r="AK183" s="625">
        <v>202.6</v>
      </c>
      <c r="AL183" s="625">
        <v>212.5</v>
      </c>
      <c r="AM183" s="625">
        <v>220.2</v>
      </c>
      <c r="AN183" s="625">
        <v>220.2</v>
      </c>
      <c r="AO183" s="625">
        <v>220.2</v>
      </c>
      <c r="AP183" s="625">
        <v>228.9</v>
      </c>
      <c r="AQ183" s="625">
        <v>228.9</v>
      </c>
      <c r="AR183" s="625">
        <v>228.9</v>
      </c>
      <c r="AS183" s="625">
        <v>228.9</v>
      </c>
      <c r="AT183" s="625">
        <v>228.9</v>
      </c>
      <c r="AU183" s="764">
        <v>228.9</v>
      </c>
      <c r="AV183" s="752">
        <v>228.9</v>
      </c>
      <c r="AW183" s="627" t="s">
        <v>690</v>
      </c>
      <c r="AX183" s="626">
        <v>231.3</v>
      </c>
      <c r="AY183" s="626">
        <v>231.3</v>
      </c>
      <c r="AZ183" s="626">
        <v>231.3</v>
      </c>
      <c r="BA183" s="628">
        <v>231.9</v>
      </c>
      <c r="BB183" s="628">
        <v>231.9</v>
      </c>
      <c r="BC183" s="627">
        <v>231.9</v>
      </c>
      <c r="BD183" s="626">
        <v>231.9</v>
      </c>
      <c r="BE183" s="627">
        <v>231.9</v>
      </c>
      <c r="BF183" s="627">
        <v>235.1</v>
      </c>
      <c r="BG183" s="738">
        <v>230.6</v>
      </c>
      <c r="BH183" s="660">
        <v>234.2</v>
      </c>
      <c r="BI183" s="623">
        <v>253.1</v>
      </c>
      <c r="BJ183" s="623">
        <v>253.1</v>
      </c>
      <c r="BK183" s="623">
        <v>253.1</v>
      </c>
      <c r="BL183" s="623">
        <v>253.1</v>
      </c>
      <c r="BM183" s="623">
        <v>256.39999999999998</v>
      </c>
      <c r="BN183" s="623">
        <v>256.39999999999998</v>
      </c>
      <c r="BO183" s="623">
        <v>256.39999999999998</v>
      </c>
      <c r="BP183" s="623">
        <v>256.39999999999998</v>
      </c>
      <c r="BQ183" s="623">
        <v>256.39999999999998</v>
      </c>
      <c r="BR183" s="623">
        <v>256.39999999999998</v>
      </c>
      <c r="BS183" s="659">
        <v>256.39999999999998</v>
      </c>
      <c r="BT183" s="660">
        <v>256.39999999999998</v>
      </c>
      <c r="BU183" s="623">
        <v>256.39999999999998</v>
      </c>
      <c r="BV183" s="623">
        <v>256.39999999999998</v>
      </c>
      <c r="BW183" s="623">
        <v>256.39999999999998</v>
      </c>
      <c r="BX183" s="623">
        <v>256.39999999999998</v>
      </c>
      <c r="BY183" s="623">
        <v>256.39999999999998</v>
      </c>
      <c r="BZ183" s="623">
        <v>256.39999999999998</v>
      </c>
      <c r="CA183" s="623">
        <v>256.39999999999998</v>
      </c>
      <c r="CB183" s="623">
        <v>266.7</v>
      </c>
      <c r="CC183" s="623">
        <v>266.7</v>
      </c>
      <c r="CD183" s="623">
        <v>265.8</v>
      </c>
      <c r="CE183" s="659">
        <v>265.7</v>
      </c>
      <c r="CF183" s="660">
        <v>266.8</v>
      </c>
      <c r="CG183" s="623">
        <v>273.7</v>
      </c>
      <c r="CH183" s="623">
        <v>283.39999999999998</v>
      </c>
      <c r="CI183" s="623">
        <v>284.60000000000002</v>
      </c>
      <c r="CJ183" s="623">
        <v>288.89999999999998</v>
      </c>
      <c r="CK183" s="623">
        <v>288.89999999999998</v>
      </c>
      <c r="CL183" s="623">
        <v>292.89999999999998</v>
      </c>
      <c r="CM183" s="623">
        <v>306.3</v>
      </c>
      <c r="CN183" s="623">
        <v>308</v>
      </c>
      <c r="CO183" s="623">
        <v>308</v>
      </c>
      <c r="CP183" s="623">
        <v>308.5</v>
      </c>
      <c r="CQ183" s="741">
        <v>309.10000000000002</v>
      </c>
      <c r="CR183" s="762">
        <v>309.89999999999998</v>
      </c>
      <c r="CS183" s="734">
        <v>310.39999999999998</v>
      </c>
      <c r="CT183" s="734">
        <v>317.7</v>
      </c>
      <c r="CU183" s="734">
        <v>324.60000000000002</v>
      </c>
      <c r="CV183" s="734">
        <v>342.4</v>
      </c>
      <c r="CW183" s="734">
        <v>342.4</v>
      </c>
      <c r="CX183" s="734">
        <v>334.5</v>
      </c>
      <c r="CY183" s="734">
        <v>338</v>
      </c>
      <c r="CZ183" s="734">
        <v>349.5</v>
      </c>
      <c r="DA183" s="734">
        <v>351.1</v>
      </c>
      <c r="DB183" s="734">
        <v>352.7</v>
      </c>
      <c r="DC183" s="779">
        <v>352.7</v>
      </c>
      <c r="DD183" s="789">
        <v>352.7</v>
      </c>
      <c r="DE183" s="733">
        <v>352.7</v>
      </c>
      <c r="DF183" s="799">
        <v>358.2</v>
      </c>
      <c r="DG183" s="819">
        <v>357.9</v>
      </c>
      <c r="DH183" s="623">
        <v>358.9</v>
      </c>
      <c r="DI183" s="623">
        <v>365.7</v>
      </c>
      <c r="DJ183" s="623">
        <v>365.7</v>
      </c>
      <c r="DK183" s="659">
        <v>365.7</v>
      </c>
      <c r="DL183" s="897">
        <v>373.1</v>
      </c>
      <c r="DM183" s="110">
        <f t="shared" si="2"/>
        <v>1.0202351654361499</v>
      </c>
      <c r="DN183" s="110"/>
      <c r="DO183" s="110"/>
    </row>
    <row r="184" spans="1:119" s="115" customFormat="1" ht="18.75" customHeight="1">
      <c r="A184" s="114"/>
      <c r="B184" s="408">
        <v>242</v>
      </c>
      <c r="C184" s="733" t="s">
        <v>90</v>
      </c>
      <c r="D184" s="734" t="s">
        <v>91</v>
      </c>
      <c r="E184" s="621" t="s">
        <v>918</v>
      </c>
      <c r="F184" s="622"/>
      <c r="G184" s="733" t="s">
        <v>919</v>
      </c>
      <c r="H184" s="621"/>
      <c r="I184" s="631" t="s">
        <v>756</v>
      </c>
      <c r="J184" s="651"/>
      <c r="K184" s="669">
        <v>100</v>
      </c>
      <c r="L184" s="664"/>
      <c r="M184" s="623"/>
      <c r="N184" s="625"/>
      <c r="O184" s="625"/>
      <c r="P184" s="625"/>
      <c r="Q184" s="625"/>
      <c r="R184" s="625"/>
      <c r="S184" s="625"/>
      <c r="T184" s="625"/>
      <c r="U184" s="625"/>
      <c r="V184" s="625"/>
      <c r="W184" s="625"/>
      <c r="X184" s="625"/>
      <c r="Y184" s="625"/>
      <c r="Z184" s="625"/>
      <c r="AA184" s="625"/>
      <c r="AB184" s="625"/>
      <c r="AC184" s="625"/>
      <c r="AD184" s="625"/>
      <c r="AE184" s="625"/>
      <c r="AF184" s="625"/>
      <c r="AG184" s="625"/>
      <c r="AH184" s="625"/>
      <c r="AI184" s="764"/>
      <c r="AJ184" s="772">
        <v>190.51</v>
      </c>
      <c r="AK184" s="625">
        <v>205.18</v>
      </c>
      <c r="AL184" s="625">
        <v>206.92</v>
      </c>
      <c r="AM184" s="625">
        <v>206.83</v>
      </c>
      <c r="AN184" s="625">
        <v>207.17</v>
      </c>
      <c r="AO184" s="625">
        <v>212.88</v>
      </c>
      <c r="AP184" s="625">
        <v>212.81</v>
      </c>
      <c r="AQ184" s="625">
        <v>213.01</v>
      </c>
      <c r="AR184" s="625">
        <v>217.36</v>
      </c>
      <c r="AS184" s="625">
        <v>222.44</v>
      </c>
      <c r="AT184" s="625">
        <v>223.86</v>
      </c>
      <c r="AU184" s="764">
        <v>247.48</v>
      </c>
      <c r="AV184" s="752">
        <v>252.44</v>
      </c>
      <c r="AW184" s="626">
        <v>257.56</v>
      </c>
      <c r="AX184" s="626">
        <v>265.93</v>
      </c>
      <c r="AY184" s="626">
        <v>268.43</v>
      </c>
      <c r="AZ184" s="626">
        <v>282.18</v>
      </c>
      <c r="BA184" s="628">
        <v>311.52999999999997</v>
      </c>
      <c r="BB184" s="628">
        <v>314.86</v>
      </c>
      <c r="BC184" s="627">
        <v>318.67</v>
      </c>
      <c r="BD184" s="626">
        <v>334.74</v>
      </c>
      <c r="BE184" s="627">
        <v>336.07</v>
      </c>
      <c r="BF184" s="627">
        <v>350</v>
      </c>
      <c r="BG184" s="738">
        <v>356.86</v>
      </c>
      <c r="BH184" s="660">
        <v>363.86</v>
      </c>
      <c r="BI184" s="623">
        <v>386.19</v>
      </c>
      <c r="BJ184" s="623">
        <v>396.11</v>
      </c>
      <c r="BK184" s="623">
        <v>407.76</v>
      </c>
      <c r="BL184" s="623">
        <v>450.31</v>
      </c>
      <c r="BM184" s="623">
        <v>452.44</v>
      </c>
      <c r="BN184" s="623">
        <v>452.98</v>
      </c>
      <c r="BO184" s="623">
        <v>452.96</v>
      </c>
      <c r="BP184" s="623">
        <v>453.11</v>
      </c>
      <c r="BQ184" s="623">
        <v>454.24</v>
      </c>
      <c r="BR184" s="623">
        <v>454.05</v>
      </c>
      <c r="BS184" s="659">
        <v>453.87</v>
      </c>
      <c r="BT184" s="660">
        <v>454.05</v>
      </c>
      <c r="BU184" s="623">
        <v>454.22</v>
      </c>
      <c r="BV184" s="623">
        <v>454.22</v>
      </c>
      <c r="BW184" s="623">
        <v>455.68</v>
      </c>
      <c r="BX184" s="623">
        <v>458.82</v>
      </c>
      <c r="BY184" s="623">
        <v>458.86</v>
      </c>
      <c r="BZ184" s="623">
        <v>474.53</v>
      </c>
      <c r="CA184" s="623">
        <v>476.53</v>
      </c>
      <c r="CB184" s="623">
        <v>483.85</v>
      </c>
      <c r="CC184" s="623">
        <v>484.04</v>
      </c>
      <c r="CD184" s="623">
        <v>483.8</v>
      </c>
      <c r="CE184" s="659">
        <v>485.84</v>
      </c>
      <c r="CF184" s="660">
        <v>487.43</v>
      </c>
      <c r="CG184" s="623">
        <v>459.69</v>
      </c>
      <c r="CH184" s="623">
        <v>472.73</v>
      </c>
      <c r="CI184" s="623">
        <v>479.92</v>
      </c>
      <c r="CJ184" s="623">
        <v>489.41</v>
      </c>
      <c r="CK184" s="623">
        <v>492.42</v>
      </c>
      <c r="CL184" s="623">
        <v>513.5</v>
      </c>
      <c r="CM184" s="623">
        <v>517.64</v>
      </c>
      <c r="CN184" s="623">
        <v>545.17999999999995</v>
      </c>
      <c r="CO184" s="623">
        <v>543.41</v>
      </c>
      <c r="CP184" s="623">
        <v>544.04999999999995</v>
      </c>
      <c r="CQ184" s="741">
        <v>545.48</v>
      </c>
      <c r="CR184" s="762">
        <v>545.16999999999996</v>
      </c>
      <c r="CS184" s="734">
        <v>545.95000000000005</v>
      </c>
      <c r="CT184" s="734">
        <v>546.95000000000005</v>
      </c>
      <c r="CU184" s="734">
        <v>548.22</v>
      </c>
      <c r="CV184" s="734">
        <v>538.58000000000004</v>
      </c>
      <c r="CW184" s="734">
        <v>539.02</v>
      </c>
      <c r="CX184" s="734">
        <v>539.34</v>
      </c>
      <c r="CY184" s="734">
        <v>539.55999999999995</v>
      </c>
      <c r="CZ184" s="734">
        <v>567.07000000000005</v>
      </c>
      <c r="DA184" s="734">
        <v>566.80999999999995</v>
      </c>
      <c r="DB184" s="734">
        <v>566.66999999999996</v>
      </c>
      <c r="DC184" s="779">
        <v>566.66999999999996</v>
      </c>
      <c r="DD184" s="789">
        <v>566.55999999999995</v>
      </c>
      <c r="DE184" s="733">
        <v>567.12</v>
      </c>
      <c r="DF184" s="799">
        <v>567.12</v>
      </c>
      <c r="DG184" s="819">
        <v>566.65</v>
      </c>
      <c r="DH184" s="623">
        <v>570.52</v>
      </c>
      <c r="DI184" s="623">
        <v>570.52</v>
      </c>
      <c r="DJ184" s="623">
        <v>570.85</v>
      </c>
      <c r="DK184" s="659">
        <v>570.84</v>
      </c>
      <c r="DL184" s="897">
        <v>586.6</v>
      </c>
      <c r="DM184" s="110">
        <f t="shared" si="2"/>
        <v>1.0276084366897904</v>
      </c>
      <c r="DN184" s="110"/>
      <c r="DO184" s="110"/>
    </row>
    <row r="185" spans="1:119" s="115" customFormat="1" ht="18" customHeight="1">
      <c r="A185" s="114"/>
      <c r="B185" s="408">
        <v>243</v>
      </c>
      <c r="C185" s="733" t="s">
        <v>88</v>
      </c>
      <c r="D185" s="734" t="s">
        <v>89</v>
      </c>
      <c r="E185" s="621" t="s">
        <v>918</v>
      </c>
      <c r="F185" s="621"/>
      <c r="G185" s="733" t="s">
        <v>96</v>
      </c>
      <c r="H185" s="621"/>
      <c r="I185" s="631" t="s">
        <v>757</v>
      </c>
      <c r="J185" s="676"/>
      <c r="K185" s="669">
        <v>100</v>
      </c>
      <c r="L185" s="665"/>
      <c r="M185" s="625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>
        <v>162.30000000000001</v>
      </c>
      <c r="AK185" s="625">
        <v>162.88999999999999</v>
      </c>
      <c r="AL185" s="625">
        <v>166.69</v>
      </c>
      <c r="AM185" s="625">
        <v>168.25</v>
      </c>
      <c r="AN185" s="625">
        <v>193.34</v>
      </c>
      <c r="AO185" s="625">
        <v>193.54</v>
      </c>
      <c r="AP185" s="625">
        <v>191.87</v>
      </c>
      <c r="AQ185" s="625">
        <v>194.92</v>
      </c>
      <c r="AR185" s="625">
        <v>167.11</v>
      </c>
      <c r="AS185" s="625">
        <v>175.53</v>
      </c>
      <c r="AT185" s="625">
        <v>175.49</v>
      </c>
      <c r="AU185" s="764">
        <v>183.64</v>
      </c>
      <c r="AV185" s="752">
        <v>186.5</v>
      </c>
      <c r="AW185" s="626">
        <v>181.61</v>
      </c>
      <c r="AX185" s="626">
        <v>181.7</v>
      </c>
      <c r="AY185" s="626">
        <v>181.09</v>
      </c>
      <c r="AZ185" s="626">
        <v>180.88</v>
      </c>
      <c r="BA185" s="626">
        <v>183.22</v>
      </c>
      <c r="BB185" s="626">
        <v>183.04</v>
      </c>
      <c r="BC185" s="627">
        <v>183.11</v>
      </c>
      <c r="BD185" s="626">
        <v>191.73</v>
      </c>
      <c r="BE185" s="627">
        <v>193.82</v>
      </c>
      <c r="BF185" s="627">
        <v>194</v>
      </c>
      <c r="BG185" s="738">
        <v>197.36</v>
      </c>
      <c r="BH185" s="663">
        <v>185.76</v>
      </c>
      <c r="BI185" s="627">
        <v>198.88</v>
      </c>
      <c r="BJ185" s="627">
        <v>199.52</v>
      </c>
      <c r="BK185" s="627">
        <v>199.61</v>
      </c>
      <c r="BL185" s="627">
        <v>220.2</v>
      </c>
      <c r="BM185" s="627">
        <v>216.24</v>
      </c>
      <c r="BN185" s="627">
        <v>222.49</v>
      </c>
      <c r="BO185" s="627">
        <v>210.4</v>
      </c>
      <c r="BP185" s="627">
        <v>217.67</v>
      </c>
      <c r="BQ185" s="627">
        <v>209.77</v>
      </c>
      <c r="BR185" s="627">
        <v>206.88</v>
      </c>
      <c r="BS185" s="738">
        <v>206.73</v>
      </c>
      <c r="BT185" s="663">
        <v>204.61</v>
      </c>
      <c r="BU185" s="627">
        <v>256.39999999999998</v>
      </c>
      <c r="BV185" s="627">
        <v>205.32</v>
      </c>
      <c r="BW185" s="623">
        <v>215.86</v>
      </c>
      <c r="BX185" s="623">
        <v>215.72</v>
      </c>
      <c r="BY185" s="627">
        <v>212.42</v>
      </c>
      <c r="BZ185" s="627">
        <v>217.75</v>
      </c>
      <c r="CA185" s="627">
        <v>216.28</v>
      </c>
      <c r="CB185" s="627">
        <v>215.66</v>
      </c>
      <c r="CC185" s="627">
        <v>220.51</v>
      </c>
      <c r="CD185" s="627">
        <v>216.37</v>
      </c>
      <c r="CE185" s="738">
        <v>216.16</v>
      </c>
      <c r="CF185" s="663">
        <v>218.97</v>
      </c>
      <c r="CG185" s="627">
        <v>224.13</v>
      </c>
      <c r="CH185" s="627">
        <v>237.82</v>
      </c>
      <c r="CI185" s="627">
        <v>245.83</v>
      </c>
      <c r="CJ185" s="627">
        <v>250.08</v>
      </c>
      <c r="CK185" s="627">
        <v>243.18</v>
      </c>
      <c r="CL185" s="627">
        <v>248.13</v>
      </c>
      <c r="CM185" s="627">
        <v>245.43</v>
      </c>
      <c r="CN185" s="627">
        <v>246.05</v>
      </c>
      <c r="CO185" s="627">
        <v>245.45</v>
      </c>
      <c r="CP185" s="627">
        <v>249</v>
      </c>
      <c r="CQ185" s="742">
        <v>248.75</v>
      </c>
      <c r="CR185" s="763">
        <v>247.66</v>
      </c>
      <c r="CS185" s="743">
        <v>249.31</v>
      </c>
      <c r="CT185" s="743">
        <v>263.56</v>
      </c>
      <c r="CU185" s="743">
        <v>240.13</v>
      </c>
      <c r="CV185" s="924">
        <v>247.14</v>
      </c>
      <c r="CW185" s="743">
        <v>246.89</v>
      </c>
      <c r="CX185" s="743">
        <v>247.86</v>
      </c>
      <c r="CY185" s="743">
        <v>254.93</v>
      </c>
      <c r="CZ185" s="743">
        <v>257.8</v>
      </c>
      <c r="DA185" s="743">
        <v>260.94</v>
      </c>
      <c r="DB185" s="743">
        <v>259.16000000000003</v>
      </c>
      <c r="DC185" s="780">
        <v>263.79000000000002</v>
      </c>
      <c r="DD185" s="790">
        <v>266.99</v>
      </c>
      <c r="DE185" s="791">
        <v>270.89999999999998</v>
      </c>
      <c r="DF185" s="926">
        <v>269.04000000000002</v>
      </c>
      <c r="DG185" s="919">
        <v>272.14</v>
      </c>
      <c r="DH185" s="623">
        <v>278.05</v>
      </c>
      <c r="DI185" s="623">
        <v>280.14</v>
      </c>
      <c r="DJ185" s="623">
        <v>282.16000000000003</v>
      </c>
      <c r="DK185" s="659">
        <v>285.12</v>
      </c>
      <c r="DL185" s="897">
        <v>287.41000000000003</v>
      </c>
      <c r="DM185" s="110">
        <f t="shared" si="2"/>
        <v>1.0080317059483728</v>
      </c>
      <c r="DN185" s="110"/>
      <c r="DO185" s="110"/>
    </row>
    <row r="186" spans="1:119" s="115" customFormat="1" ht="32.25" customHeight="1">
      <c r="A186" s="114"/>
      <c r="B186" s="408">
        <v>301</v>
      </c>
      <c r="C186" s="622"/>
      <c r="D186" s="622" t="s">
        <v>752</v>
      </c>
      <c r="E186" s="621" t="s">
        <v>918</v>
      </c>
      <c r="F186" s="622"/>
      <c r="G186" s="621" t="s">
        <v>900</v>
      </c>
      <c r="H186" s="621"/>
      <c r="I186" s="390" t="s">
        <v>134</v>
      </c>
      <c r="J186" s="674" t="s">
        <v>352</v>
      </c>
      <c r="K186" s="669">
        <v>100</v>
      </c>
      <c r="L186" s="665">
        <v>104.81</v>
      </c>
      <c r="M186" s="625">
        <v>112.82</v>
      </c>
      <c r="N186" s="625">
        <v>117.8</v>
      </c>
      <c r="O186" s="625">
        <v>137.61000000000001</v>
      </c>
      <c r="P186" s="625">
        <v>148.94999999999999</v>
      </c>
      <c r="Q186" s="625">
        <v>164.43</v>
      </c>
      <c r="R186" s="625">
        <v>185.43</v>
      </c>
      <c r="S186" s="625">
        <v>197.21</v>
      </c>
      <c r="T186" s="625">
        <v>206.31</v>
      </c>
      <c r="U186" s="625">
        <v>213.31</v>
      </c>
      <c r="V186" s="625">
        <v>218.68</v>
      </c>
      <c r="W186" s="625">
        <v>217.97</v>
      </c>
      <c r="X186" s="625">
        <v>221.33</v>
      </c>
      <c r="Y186" s="625">
        <v>221.3</v>
      </c>
      <c r="Z186" s="625">
        <v>223.19</v>
      </c>
      <c r="AA186" s="625">
        <v>224.66</v>
      </c>
      <c r="AB186" s="625">
        <v>226.99</v>
      </c>
      <c r="AC186" s="625">
        <v>227.58</v>
      </c>
      <c r="AD186" s="625">
        <v>231.26</v>
      </c>
      <c r="AE186" s="625">
        <v>231.29</v>
      </c>
      <c r="AF186" s="625">
        <v>233.7</v>
      </c>
      <c r="AG186" s="625">
        <v>235.42</v>
      </c>
      <c r="AH186" s="625">
        <v>238.94</v>
      </c>
      <c r="AI186" s="764">
        <v>242.41</v>
      </c>
      <c r="AJ186" s="772">
        <v>247.92</v>
      </c>
      <c r="AK186" s="625">
        <v>257.77</v>
      </c>
      <c r="AL186" s="625">
        <v>267.73</v>
      </c>
      <c r="AM186" s="625">
        <v>270.51</v>
      </c>
      <c r="AN186" s="625">
        <v>278.10000000000002</v>
      </c>
      <c r="AO186" s="625">
        <v>282.82</v>
      </c>
      <c r="AP186" s="625">
        <v>283.94</v>
      </c>
      <c r="AQ186" s="625">
        <v>285.14999999999998</v>
      </c>
      <c r="AR186" s="625">
        <v>286.27999999999997</v>
      </c>
      <c r="AS186" s="625">
        <f>+'ANEXO B'!M94</f>
        <v>290.95999999999998</v>
      </c>
      <c r="AT186" s="625">
        <f>+'ANEXO B'!N94</f>
        <v>292.64999999999998</v>
      </c>
      <c r="AU186" s="764">
        <f>+'ANEXO B'!O94</f>
        <v>292.87</v>
      </c>
      <c r="AV186" s="752">
        <f>+'ANEXO B'!D126</f>
        <v>296.13</v>
      </c>
      <c r="AW186" s="626">
        <f>+'ANEXO B'!E126</f>
        <v>297.95999999999998</v>
      </c>
      <c r="AX186" s="626">
        <f>+'ANEXO B'!F126</f>
        <v>303.07</v>
      </c>
      <c r="AY186" s="626">
        <f>+'ANEXO B'!G126</f>
        <v>306.31</v>
      </c>
      <c r="AZ186" s="626">
        <f>+'ANEXO B'!H126</f>
        <v>306.20999999999998</v>
      </c>
      <c r="BA186" s="626">
        <f>+'ANEXO B'!I126</f>
        <v>305.99</v>
      </c>
      <c r="BB186" s="626">
        <f>+'ANEXO B'!J126</f>
        <v>305.97000000000003</v>
      </c>
      <c r="BC186" s="626">
        <f>+'ANEXO B'!K126</f>
        <v>305.51</v>
      </c>
      <c r="BD186" s="626">
        <f>+'ANEXO B'!L126</f>
        <v>306.2</v>
      </c>
      <c r="BE186" s="626">
        <f>+'ANEXO B'!M126</f>
        <v>308.66000000000003</v>
      </c>
      <c r="BF186" s="626">
        <f>+'ANEXO B'!N126</f>
        <v>317.73</v>
      </c>
      <c r="BG186" s="749">
        <f>+'ANEXO B'!O126</f>
        <v>318.62</v>
      </c>
      <c r="BH186" s="660">
        <f>+'ANEXO B'!D153</f>
        <v>322.60000000000002</v>
      </c>
      <c r="BI186" s="623">
        <f>+'ANEXO B'!E153</f>
        <v>324.38</v>
      </c>
      <c r="BJ186" s="623">
        <f>+'ANEXO B'!F153</f>
        <v>323.64999999999998</v>
      </c>
      <c r="BK186" s="623">
        <f>+'ANEXO B'!G153</f>
        <v>332.43</v>
      </c>
      <c r="BL186" s="623">
        <f>+'ANEXO B'!H153</f>
        <v>338.93</v>
      </c>
      <c r="BM186" s="623">
        <f>+'ANEXO B'!I153</f>
        <v>339.55</v>
      </c>
      <c r="BN186" s="623">
        <f>+'ANEXO B'!J153</f>
        <v>340.25</v>
      </c>
      <c r="BO186" s="623">
        <f>+'ANEXO B'!K153</f>
        <v>342.52</v>
      </c>
      <c r="BP186" s="623">
        <f>+'ANEXO B'!L153</f>
        <v>330.52</v>
      </c>
      <c r="BQ186" s="623">
        <f>+'ANEXO B'!M153</f>
        <v>348.8</v>
      </c>
      <c r="BR186" s="623">
        <f>+'ANEXO B'!N153</f>
        <v>349.65</v>
      </c>
      <c r="BS186" s="659">
        <f>+'ANEXO B'!O153</f>
        <v>355.23</v>
      </c>
      <c r="BT186" s="660">
        <f>+'ANEXO B'!D177</f>
        <v>366.99</v>
      </c>
      <c r="BU186" s="623">
        <f>+'ANEXO B'!E177</f>
        <v>368.07</v>
      </c>
      <c r="BV186" s="623">
        <f>+'ANEXO B'!F177</f>
        <v>375.55</v>
      </c>
      <c r="BW186" s="623">
        <f>+'ANEXO B'!G177</f>
        <v>377.6</v>
      </c>
      <c r="BX186" s="623">
        <f>+'ANEXO B'!H177</f>
        <v>386.87</v>
      </c>
      <c r="BY186" s="623">
        <f>+'ANEXO B'!I177</f>
        <v>392.78</v>
      </c>
      <c r="BZ186" s="623">
        <f>+'ANEXO B'!J177</f>
        <v>400.8</v>
      </c>
      <c r="CA186" s="623">
        <f>+'ANEXO B'!K177</f>
        <v>407.95</v>
      </c>
      <c r="CB186" s="623">
        <f>+'ANEXO B'!L177</f>
        <v>411.17</v>
      </c>
      <c r="CC186" s="623">
        <v>413.09</v>
      </c>
      <c r="CD186" s="623">
        <f>+'ANEXO B'!N177</f>
        <v>428.37</v>
      </c>
      <c r="CE186" s="659">
        <f>+'ANEXO B'!O177</f>
        <v>447.26</v>
      </c>
      <c r="CF186" s="660">
        <f>+'ANEXO B'!D202</f>
        <v>443.92</v>
      </c>
      <c r="CG186" s="627">
        <f>+'ANEXO B'!E202</f>
        <v>437.36</v>
      </c>
      <c r="CH186" s="627">
        <f>+'ANEXO B'!F202</f>
        <v>441.52</v>
      </c>
      <c r="CI186" s="627">
        <f>+'ANEXO B'!G202</f>
        <v>459.48</v>
      </c>
      <c r="CJ186" s="627">
        <f>+'ANEXO B'!H202</f>
        <v>469.58</v>
      </c>
      <c r="CK186" s="627">
        <f>+'ANEXO B'!I202</f>
        <v>476.84</v>
      </c>
      <c r="CL186" s="627">
        <f>+'ANEXO B'!J202</f>
        <v>486.37</v>
      </c>
      <c r="CM186" s="627">
        <f>+'ANEXO B'!K202</f>
        <v>486.02</v>
      </c>
      <c r="CN186" s="627">
        <f>+'ANEXO B'!L202</f>
        <v>496.39</v>
      </c>
      <c r="CO186" s="627">
        <f>+'ANEXO B'!M202</f>
        <v>500.02</v>
      </c>
      <c r="CP186" s="627">
        <f>+'ANEXO B'!N202</f>
        <v>495.73</v>
      </c>
      <c r="CQ186" s="738">
        <f>+'ANEXO B'!O202</f>
        <v>492.62</v>
      </c>
      <c r="CR186" s="663">
        <f>+'ANEXO B'!D227</f>
        <v>499.38</v>
      </c>
      <c r="CS186" s="627">
        <f>+'ANEXO B'!E227</f>
        <v>498.56</v>
      </c>
      <c r="CT186" s="627">
        <f>+'ANEXO B'!F227</f>
        <v>497.47</v>
      </c>
      <c r="CU186" s="627">
        <f>+'ANEXO B'!G227</f>
        <v>498.48</v>
      </c>
      <c r="CV186" s="627">
        <f>+'ANEXO B'!H227</f>
        <v>505.08</v>
      </c>
      <c r="CW186" s="627">
        <f>+'ANEXO B'!I227</f>
        <v>512.86</v>
      </c>
      <c r="CX186" s="627">
        <f>+'ANEXO B'!J227</f>
        <v>516.12</v>
      </c>
      <c r="CY186" s="627">
        <f>+'ANEXO B'!K227</f>
        <v>522.99</v>
      </c>
      <c r="CZ186" s="623">
        <f>+'ANEXO B'!L227</f>
        <v>525.27</v>
      </c>
      <c r="DA186" s="623">
        <f>+'ANEXO B'!M227</f>
        <v>536.69000000000005</v>
      </c>
      <c r="DB186" s="659">
        <f>+'ANEXO B'!N227</f>
        <v>538.67999999999995</v>
      </c>
      <c r="DC186" s="659">
        <f>+'ANEXO B'!O227</f>
        <v>540.87</v>
      </c>
      <c r="DD186" s="783">
        <f>+'ANEXO B'!D252</f>
        <v>549.41</v>
      </c>
      <c r="DE186" s="623">
        <f>+'ANEXO B'!E252</f>
        <v>555.22</v>
      </c>
      <c r="DF186" s="725">
        <f>+'ANEXO B'!F252</f>
        <v>565.38</v>
      </c>
      <c r="DG186" s="659">
        <f>+'ANEXO B'!G252</f>
        <v>569.91999999999996</v>
      </c>
      <c r="DH186" s="623">
        <f>+'ANEXO B'!H252</f>
        <v>584.57000000000005</v>
      </c>
      <c r="DI186" s="623">
        <f>+'ANEXO B'!I252</f>
        <v>586.64</v>
      </c>
      <c r="DJ186" s="623">
        <f>+'ANEXO B'!J252</f>
        <v>588.33000000000004</v>
      </c>
      <c r="DK186" s="659">
        <f>+'ANEXO B'!K252</f>
        <v>595.76</v>
      </c>
      <c r="DL186" s="897">
        <f>+'ANEXO B'!L252</f>
        <v>597.78</v>
      </c>
      <c r="DM186" s="110">
        <f t="shared" si="2"/>
        <v>1.0033906270981603</v>
      </c>
      <c r="DN186" s="111"/>
      <c r="DO186" s="111"/>
    </row>
    <row r="187" spans="1:119" s="115" customFormat="1" ht="21" customHeight="1">
      <c r="A187" s="114"/>
      <c r="B187" s="408">
        <v>302</v>
      </c>
      <c r="C187" s="622"/>
      <c r="D187" s="622" t="s">
        <v>753</v>
      </c>
      <c r="E187" s="621" t="s">
        <v>918</v>
      </c>
      <c r="F187" s="622"/>
      <c r="G187" s="621" t="s">
        <v>900</v>
      </c>
      <c r="H187" s="621"/>
      <c r="I187" s="390" t="s">
        <v>199</v>
      </c>
      <c r="J187" s="674" t="s">
        <v>352</v>
      </c>
      <c r="K187" s="669">
        <v>100</v>
      </c>
      <c r="L187" s="665">
        <v>104.21</v>
      </c>
      <c r="M187" s="625">
        <v>111.83</v>
      </c>
      <c r="N187" s="625">
        <v>116.04</v>
      </c>
      <c r="O187" s="625">
        <v>134.22</v>
      </c>
      <c r="P187" s="625">
        <v>144.53</v>
      </c>
      <c r="Q187" s="625">
        <v>159.44</v>
      </c>
      <c r="R187" s="625">
        <v>180.2</v>
      </c>
      <c r="S187" s="625">
        <v>192.26</v>
      </c>
      <c r="T187" s="625">
        <v>201.71</v>
      </c>
      <c r="U187" s="625">
        <v>208.85</v>
      </c>
      <c r="V187" s="625">
        <v>214.23</v>
      </c>
      <c r="W187" s="625">
        <v>214.01</v>
      </c>
      <c r="X187" s="625">
        <v>217.62</v>
      </c>
      <c r="Y187" s="625">
        <v>217.6</v>
      </c>
      <c r="Z187" s="625">
        <v>219.48</v>
      </c>
      <c r="AA187" s="625">
        <v>220.88</v>
      </c>
      <c r="AB187" s="625">
        <v>223.55</v>
      </c>
      <c r="AC187" s="625">
        <v>224.06</v>
      </c>
      <c r="AD187" s="625">
        <v>228.33</v>
      </c>
      <c r="AE187" s="625">
        <v>228.29</v>
      </c>
      <c r="AF187" s="625">
        <v>230.72</v>
      </c>
      <c r="AG187" s="625">
        <v>232.68</v>
      </c>
      <c r="AH187" s="625">
        <v>236.17</v>
      </c>
      <c r="AI187" s="764">
        <v>239.63</v>
      </c>
      <c r="AJ187" s="772">
        <v>245.67</v>
      </c>
      <c r="AK187" s="625">
        <v>255.03</v>
      </c>
      <c r="AL187" s="625">
        <v>264.14</v>
      </c>
      <c r="AM187" s="625">
        <v>266.73</v>
      </c>
      <c r="AN187" s="625">
        <v>273.52999999999997</v>
      </c>
      <c r="AO187" s="625">
        <v>277.99</v>
      </c>
      <c r="AP187" s="625">
        <v>278.89</v>
      </c>
      <c r="AQ187" s="625">
        <v>279.92</v>
      </c>
      <c r="AR187" s="625">
        <v>281.01</v>
      </c>
      <c r="AS187" s="625">
        <f>+'ANEXO B'!M95</f>
        <v>284.93</v>
      </c>
      <c r="AT187" s="625">
        <f>+'ANEXO B'!N95</f>
        <v>286.45</v>
      </c>
      <c r="AU187" s="764">
        <f>+'ANEXO B'!O95</f>
        <v>286.63</v>
      </c>
      <c r="AV187" s="752">
        <f>+'ANEXO B'!D127</f>
        <v>290.56</v>
      </c>
      <c r="AW187" s="626">
        <f>+'ANEXO B'!E127</f>
        <v>292.25</v>
      </c>
      <c r="AX187" s="626">
        <f>+'ANEXO B'!F127</f>
        <v>298.17</v>
      </c>
      <c r="AY187" s="626">
        <f>+'ANEXO B'!G127</f>
        <v>301.97000000000003</v>
      </c>
      <c r="AZ187" s="626">
        <f>+'ANEXO B'!H127</f>
        <v>301.87</v>
      </c>
      <c r="BA187" s="626">
        <f>+'ANEXO B'!I127</f>
        <v>301.69</v>
      </c>
      <c r="BB187" s="626">
        <f>+'ANEXO B'!J127</f>
        <v>301.68</v>
      </c>
      <c r="BC187" s="626">
        <f>+'ANEXO B'!K127</f>
        <v>301.31</v>
      </c>
      <c r="BD187" s="626">
        <f>+'ANEXO B'!L127</f>
        <v>301.89999999999998</v>
      </c>
      <c r="BE187" s="626">
        <f>+'ANEXO B'!M127</f>
        <v>304.02</v>
      </c>
      <c r="BF187" s="626">
        <f>+'ANEXO B'!N127</f>
        <v>314.69</v>
      </c>
      <c r="BG187" s="749">
        <f>+'ANEXO B'!O127</f>
        <v>315.44</v>
      </c>
      <c r="BH187" s="660">
        <f>+'ANEXO B'!D154</f>
        <v>319.67</v>
      </c>
      <c r="BI187" s="623">
        <f>+'ANEXO B'!E154</f>
        <v>321.27</v>
      </c>
      <c r="BJ187" s="623">
        <f>+'ANEXO B'!F154</f>
        <v>320.3</v>
      </c>
      <c r="BK187" s="623">
        <f>+'ANEXO B'!G154</f>
        <v>329.56</v>
      </c>
      <c r="BL187" s="623">
        <f>+'ANEXO B'!H154</f>
        <v>337.12</v>
      </c>
      <c r="BM187" s="623">
        <f>+'ANEXO B'!I154</f>
        <v>337.66</v>
      </c>
      <c r="BN187" s="623">
        <f>+'ANEXO B'!J154</f>
        <v>338.51</v>
      </c>
      <c r="BO187" s="623">
        <f>+'ANEXO B'!K154</f>
        <v>340.39</v>
      </c>
      <c r="BP187" s="623">
        <f>+'ANEXO B'!L154</f>
        <v>326.08</v>
      </c>
      <c r="BQ187" s="623">
        <f>+'ANEXO B'!M154</f>
        <v>347.7</v>
      </c>
      <c r="BR187" s="623">
        <f>+'ANEXO B'!N154</f>
        <v>348.45</v>
      </c>
      <c r="BS187" s="659">
        <f>+'ANEXO B'!O154</f>
        <v>354.03</v>
      </c>
      <c r="BT187" s="660">
        <f>+'ANEXO B'!D178</f>
        <v>366.55</v>
      </c>
      <c r="BU187" s="623">
        <f>+'ANEXO B'!E178</f>
        <v>367.47</v>
      </c>
      <c r="BV187" s="623">
        <f>+'ANEXO B'!F178</f>
        <v>375.15</v>
      </c>
      <c r="BW187" s="623">
        <f>+'ANEXO B'!G178</f>
        <v>376.95</v>
      </c>
      <c r="BX187" s="623">
        <f>+'ANEXO B'!H178</f>
        <v>387.48</v>
      </c>
      <c r="BY187" s="623">
        <f>+'ANEXO B'!I178</f>
        <v>393.38</v>
      </c>
      <c r="BZ187" s="623">
        <f>+'ANEXO B'!J178</f>
        <v>402.02</v>
      </c>
      <c r="CA187" s="623">
        <f>+'ANEXO B'!K178</f>
        <v>408.8</v>
      </c>
      <c r="CB187" s="623">
        <f>+'ANEXO B'!L178</f>
        <v>411.63</v>
      </c>
      <c r="CC187" s="623">
        <v>413.33</v>
      </c>
      <c r="CD187" s="623">
        <f>+'ANEXO B'!N178</f>
        <v>428</v>
      </c>
      <c r="CE187" s="659">
        <f>+'ANEXO B'!O178</f>
        <v>449.05</v>
      </c>
      <c r="CF187" s="660">
        <f>+'ANEXO B'!D203</f>
        <v>442.75</v>
      </c>
      <c r="CG187" s="627">
        <f>+'ANEXO B'!E203</f>
        <v>436.59</v>
      </c>
      <c r="CH187" s="627">
        <f>+'ANEXO B'!F203</f>
        <v>440.2</v>
      </c>
      <c r="CI187" s="627">
        <f>+'ANEXO B'!G203</f>
        <v>459.57</v>
      </c>
      <c r="CJ187" s="627">
        <f>+'ANEXO B'!H203</f>
        <v>469.46</v>
      </c>
      <c r="CK187" s="627">
        <f>+'ANEXO B'!I203</f>
        <v>475.16</v>
      </c>
      <c r="CL187" s="627">
        <f>+'ANEXO B'!J203</f>
        <v>485.82</v>
      </c>
      <c r="CM187" s="627">
        <f>+'ANEXO B'!K203</f>
        <v>484.58</v>
      </c>
      <c r="CN187" s="627">
        <f>+'ANEXO B'!L203</f>
        <v>495.74</v>
      </c>
      <c r="CO187" s="627">
        <f>+'ANEXO B'!M203</f>
        <v>499.05</v>
      </c>
      <c r="CP187" s="627">
        <f>+'ANEXO B'!N203</f>
        <v>495.08</v>
      </c>
      <c r="CQ187" s="738">
        <f>+'ANEXO B'!O203</f>
        <v>492.33</v>
      </c>
      <c r="CR187" s="663">
        <f>+'ANEXO B'!D228</f>
        <v>499.37</v>
      </c>
      <c r="CS187" s="627">
        <f>+'ANEXO B'!E228</f>
        <v>498.68</v>
      </c>
      <c r="CT187" s="627">
        <f>+'ANEXO B'!F228</f>
        <v>497.69</v>
      </c>
      <c r="CU187" s="627">
        <f>+'ANEXO B'!G228</f>
        <v>499.06</v>
      </c>
      <c r="CV187" s="627">
        <f>+'ANEXO B'!H228</f>
        <v>506.93</v>
      </c>
      <c r="CW187" s="627">
        <f>+'ANEXO B'!I228</f>
        <v>515.05999999999995</v>
      </c>
      <c r="CX187" s="627">
        <f>+'ANEXO B'!J228</f>
        <v>517.91999999999996</v>
      </c>
      <c r="CY187" s="627">
        <f>+'ANEXO B'!K228</f>
        <v>524.64</v>
      </c>
      <c r="CZ187" s="623">
        <f>+'ANEXO B'!L228</f>
        <v>526.57000000000005</v>
      </c>
      <c r="DA187" s="623">
        <f>+'ANEXO B'!M228</f>
        <v>539.04</v>
      </c>
      <c r="DB187" s="659">
        <f>+'ANEXO B'!N228</f>
        <v>540.84</v>
      </c>
      <c r="DC187" s="659">
        <f>+'ANEXO B'!O228</f>
        <v>542.82000000000005</v>
      </c>
      <c r="DD187" s="783">
        <f>+'ANEXO B'!D253</f>
        <v>551.16999999999996</v>
      </c>
      <c r="DE187" s="623">
        <f>+'ANEXO B'!E253</f>
        <v>556.57000000000005</v>
      </c>
      <c r="DF187" s="725">
        <f>+'ANEXO B'!F253</f>
        <v>568.23</v>
      </c>
      <c r="DG187" s="659">
        <f>+'ANEXO B'!G253</f>
        <v>572.29</v>
      </c>
      <c r="DH187" s="623">
        <f>+'ANEXO B'!H253</f>
        <v>587.79999999999995</v>
      </c>
      <c r="DI187" s="623">
        <f>+'ANEXO B'!I253</f>
        <v>589.46</v>
      </c>
      <c r="DJ187" s="623">
        <f>+'ANEXO B'!J253</f>
        <v>591</v>
      </c>
      <c r="DK187" s="659">
        <f>+'ANEXO B'!K253</f>
        <v>600.77</v>
      </c>
      <c r="DL187" s="897">
        <f>+'ANEXO B'!L253</f>
        <v>602.57000000000005</v>
      </c>
      <c r="DM187" s="110">
        <f t="shared" si="2"/>
        <v>1.0029961549345008</v>
      </c>
      <c r="DN187" s="111"/>
      <c r="DO187" s="111"/>
    </row>
    <row r="188" spans="1:119" s="115" customFormat="1" ht="16.5" customHeight="1">
      <c r="A188" s="114"/>
      <c r="B188" s="408">
        <v>303</v>
      </c>
      <c r="C188" s="622"/>
      <c r="D188" s="622" t="s">
        <v>365</v>
      </c>
      <c r="E188" s="621" t="s">
        <v>918</v>
      </c>
      <c r="F188" s="622"/>
      <c r="G188" s="621" t="s">
        <v>900</v>
      </c>
      <c r="H188" s="621"/>
      <c r="I188" s="390" t="s">
        <v>584</v>
      </c>
      <c r="J188" s="674" t="s">
        <v>352</v>
      </c>
      <c r="K188" s="669">
        <v>100</v>
      </c>
      <c r="L188" s="665">
        <v>105.21</v>
      </c>
      <c r="M188" s="625">
        <v>113.28</v>
      </c>
      <c r="N188" s="625">
        <v>119.91</v>
      </c>
      <c r="O188" s="625">
        <v>139.71</v>
      </c>
      <c r="P188" s="625">
        <v>151.91</v>
      </c>
      <c r="Q188" s="625">
        <v>167.38</v>
      </c>
      <c r="R188" s="625">
        <v>187.32</v>
      </c>
      <c r="S188" s="625">
        <v>197.15</v>
      </c>
      <c r="T188" s="625">
        <v>204.76</v>
      </c>
      <c r="U188" s="625">
        <v>211.11</v>
      </c>
      <c r="V188" s="625">
        <v>216.69</v>
      </c>
      <c r="W188" s="625">
        <v>214.54</v>
      </c>
      <c r="X188" s="625">
        <v>216.78</v>
      </c>
      <c r="Y188" s="625">
        <v>216.66</v>
      </c>
      <c r="Z188" s="625">
        <v>218.82</v>
      </c>
      <c r="AA188" s="625">
        <v>219.54</v>
      </c>
      <c r="AB188" s="625">
        <v>221.79</v>
      </c>
      <c r="AC188" s="625">
        <v>222.54</v>
      </c>
      <c r="AD188" s="625">
        <v>226.77</v>
      </c>
      <c r="AE188" s="625">
        <v>227.32</v>
      </c>
      <c r="AF188" s="625">
        <v>230.14</v>
      </c>
      <c r="AG188" s="625">
        <v>232.1</v>
      </c>
      <c r="AH188" s="625">
        <v>236.02</v>
      </c>
      <c r="AI188" s="764">
        <v>240.09</v>
      </c>
      <c r="AJ188" s="772">
        <v>245.82</v>
      </c>
      <c r="AK188" s="625">
        <v>255.43</v>
      </c>
      <c r="AL188" s="625">
        <v>263.10000000000002</v>
      </c>
      <c r="AM188" s="625">
        <v>264.77</v>
      </c>
      <c r="AN188" s="625">
        <v>273.95999999999998</v>
      </c>
      <c r="AO188" s="625">
        <v>277.91000000000003</v>
      </c>
      <c r="AP188" s="625">
        <v>279.87</v>
      </c>
      <c r="AQ188" s="625">
        <v>281.44</v>
      </c>
      <c r="AR188" s="625">
        <v>282.52</v>
      </c>
      <c r="AS188" s="625">
        <f>+'ANEXO B'!M96</f>
        <v>287.95999999999998</v>
      </c>
      <c r="AT188" s="625">
        <f>+'ANEXO B'!N96</f>
        <v>289.49</v>
      </c>
      <c r="AU188" s="764">
        <f>+'ANEXO B'!O96</f>
        <v>289.82</v>
      </c>
      <c r="AV188" s="752">
        <f>+'ANEXO B'!D128</f>
        <v>294.27999999999997</v>
      </c>
      <c r="AW188" s="626">
        <f>+'ANEXO B'!E128</f>
        <v>295.51</v>
      </c>
      <c r="AX188" s="626">
        <f>+'ANEXO B'!F128</f>
        <v>302.39</v>
      </c>
      <c r="AY188" s="626">
        <f>+'ANEXO B'!G128</f>
        <v>306.61</v>
      </c>
      <c r="AZ188" s="626">
        <f>+'ANEXO B'!H128</f>
        <v>306.55</v>
      </c>
      <c r="BA188" s="626">
        <f>+'ANEXO B'!I128</f>
        <v>306.2</v>
      </c>
      <c r="BB188" s="626">
        <f>+'ANEXO B'!J128</f>
        <v>306.13</v>
      </c>
      <c r="BC188" s="626">
        <f>+'ANEXO B'!K128</f>
        <v>305.35000000000002</v>
      </c>
      <c r="BD188" s="626">
        <f>+'ANEXO B'!L128</f>
        <v>306.23</v>
      </c>
      <c r="BE188" s="626">
        <f>+'ANEXO B'!M128</f>
        <v>309.08999999999997</v>
      </c>
      <c r="BF188" s="626">
        <f>+'ANEXO B'!N128</f>
        <v>321.43</v>
      </c>
      <c r="BG188" s="749">
        <f>+'ANEXO B'!O128</f>
        <v>322.64</v>
      </c>
      <c r="BH188" s="660">
        <f>+'ANEXO B'!D155</f>
        <v>327.52</v>
      </c>
      <c r="BI188" s="623">
        <f>+'ANEXO B'!E155</f>
        <v>329.22</v>
      </c>
      <c r="BJ188" s="623">
        <f>+'ANEXO B'!F155</f>
        <v>328.71</v>
      </c>
      <c r="BK188" s="623">
        <f>+'ANEXO B'!G155</f>
        <v>338.12</v>
      </c>
      <c r="BL188" s="623">
        <f>+'ANEXO B'!H155</f>
        <v>346.7</v>
      </c>
      <c r="BM188" s="623">
        <f>+'ANEXO B'!I155</f>
        <v>347.37</v>
      </c>
      <c r="BN188" s="623">
        <f>+'ANEXO B'!J155</f>
        <v>348.53</v>
      </c>
      <c r="BO188" s="623">
        <f>+'ANEXO B'!K155</f>
        <v>351.94</v>
      </c>
      <c r="BP188" s="623">
        <f>+'ANEXO B'!L155</f>
        <v>335.72</v>
      </c>
      <c r="BQ188" s="623">
        <f>+'ANEXO B'!M155</f>
        <v>360.75</v>
      </c>
      <c r="BR188" s="623">
        <f>+'ANEXO B'!N155</f>
        <v>361.61</v>
      </c>
      <c r="BS188" s="659">
        <f>+'ANEXO B'!O155</f>
        <v>366.61</v>
      </c>
      <c r="BT188" s="660">
        <f>+'ANEXO B'!D179</f>
        <v>380.2</v>
      </c>
      <c r="BU188" s="623">
        <f>+'ANEXO B'!E179</f>
        <v>381.47</v>
      </c>
      <c r="BV188" s="623">
        <f>+'ANEXO B'!F179</f>
        <v>388.1</v>
      </c>
      <c r="BW188" s="623">
        <f>+'ANEXO B'!G179</f>
        <v>390.42</v>
      </c>
      <c r="BX188" s="623">
        <f>+'ANEXO B'!H179</f>
        <v>402.37</v>
      </c>
      <c r="BY188" s="623">
        <f>+'ANEXO B'!I179</f>
        <v>407.52</v>
      </c>
      <c r="BZ188" s="623">
        <f>+'ANEXO B'!J179</f>
        <v>417.61</v>
      </c>
      <c r="CA188" s="623">
        <f>+'ANEXO B'!K179</f>
        <v>423.96</v>
      </c>
      <c r="CB188" s="623">
        <f>+'ANEXO B'!L179</f>
        <v>427.38</v>
      </c>
      <c r="CC188" s="623">
        <v>429.21</v>
      </c>
      <c r="CD188" s="623">
        <f>+'ANEXO B'!N179</f>
        <v>442.17</v>
      </c>
      <c r="CE188" s="659">
        <f>+'ANEXO B'!O179</f>
        <v>465.48</v>
      </c>
      <c r="CF188" s="660">
        <f>+'ANEXO B'!D204</f>
        <v>457.23</v>
      </c>
      <c r="CG188" s="627">
        <f>+'ANEXO B'!E204</f>
        <v>453.56</v>
      </c>
      <c r="CH188" s="627">
        <f>+'ANEXO B'!F204</f>
        <v>458.26</v>
      </c>
      <c r="CI188" s="627">
        <f>+'ANEXO B'!G204</f>
        <v>478.49</v>
      </c>
      <c r="CJ188" s="627">
        <f>+'ANEXO B'!H204</f>
        <v>489.76</v>
      </c>
      <c r="CK188" s="627">
        <f>+'ANEXO B'!I204</f>
        <v>495.54</v>
      </c>
      <c r="CL188" s="627">
        <f>+'ANEXO B'!J204</f>
        <v>507.32</v>
      </c>
      <c r="CM188" s="627">
        <f>+'ANEXO B'!K204</f>
        <v>507.2</v>
      </c>
      <c r="CN188" s="627">
        <f>+'ANEXO B'!L204</f>
        <v>518.55999999999995</v>
      </c>
      <c r="CO188" s="627">
        <f>+'ANEXO B'!M204</f>
        <v>523.30999999999995</v>
      </c>
      <c r="CP188" s="627">
        <f>+'ANEXO B'!N204</f>
        <v>520.55999999999995</v>
      </c>
      <c r="CQ188" s="738">
        <f>+'ANEXO B'!O204</f>
        <v>517.29</v>
      </c>
      <c r="CR188" s="663">
        <f>+'ANEXO B'!D229</f>
        <v>522.41999999999996</v>
      </c>
      <c r="CS188" s="627">
        <f>+'ANEXO B'!E229</f>
        <v>521.48</v>
      </c>
      <c r="CT188" s="627">
        <f>+'ANEXO B'!F229</f>
        <v>520.55999999999995</v>
      </c>
      <c r="CU188" s="627">
        <f>+'ANEXO B'!G229</f>
        <v>520.54</v>
      </c>
      <c r="CV188" s="627">
        <f>+'ANEXO B'!H229</f>
        <v>529.26</v>
      </c>
      <c r="CW188" s="627">
        <f>+'ANEXO B'!I229</f>
        <v>536.86</v>
      </c>
      <c r="CX188" s="627">
        <f>+'ANEXO B'!J229</f>
        <v>540.27</v>
      </c>
      <c r="CY188" s="627">
        <f>+'ANEXO B'!K229</f>
        <v>545.71</v>
      </c>
      <c r="CZ188" s="623">
        <f>+'ANEXO B'!L229</f>
        <v>548.77</v>
      </c>
      <c r="DA188" s="623">
        <f>+'ANEXO B'!M229</f>
        <v>562.22</v>
      </c>
      <c r="DB188" s="659">
        <f>+'ANEXO B'!N229</f>
        <v>564.84</v>
      </c>
      <c r="DC188" s="659">
        <f>+'ANEXO B'!O229</f>
        <v>566.72</v>
      </c>
      <c r="DD188" s="783">
        <f>+'ANEXO B'!D254</f>
        <v>574.98</v>
      </c>
      <c r="DE188" s="623">
        <f>+'ANEXO B'!E254</f>
        <v>580.49</v>
      </c>
      <c r="DF188" s="725">
        <f>+'ANEXO B'!F254</f>
        <v>593.51</v>
      </c>
      <c r="DG188" s="659">
        <f>+'ANEXO B'!G254</f>
        <v>597.65</v>
      </c>
      <c r="DH188" s="623">
        <f>+'ANEXO B'!H254</f>
        <v>614.24</v>
      </c>
      <c r="DI188" s="623">
        <f>+'ANEXO B'!I254</f>
        <v>617.70000000000005</v>
      </c>
      <c r="DJ188" s="623">
        <f>+'ANEXO B'!J254</f>
        <v>619.04999999999995</v>
      </c>
      <c r="DK188" s="659">
        <f>+'ANEXO B'!K254</f>
        <v>627.89</v>
      </c>
      <c r="DL188" s="897">
        <f>+'ANEXO B'!L254</f>
        <v>629.83000000000004</v>
      </c>
      <c r="DM188" s="110">
        <f t="shared" si="2"/>
        <v>1.003089713166319</v>
      </c>
      <c r="DN188" s="111"/>
      <c r="DO188" s="111"/>
    </row>
    <row r="189" spans="1:119" s="115" customFormat="1" ht="33" customHeight="1">
      <c r="A189" s="114"/>
      <c r="B189" s="408">
        <v>304</v>
      </c>
      <c r="C189" s="622"/>
      <c r="D189" s="622" t="s">
        <v>366</v>
      </c>
      <c r="E189" s="621" t="s">
        <v>918</v>
      </c>
      <c r="F189" s="622"/>
      <c r="G189" s="621" t="s">
        <v>900</v>
      </c>
      <c r="H189" s="621"/>
      <c r="I189" s="390" t="s">
        <v>130</v>
      </c>
      <c r="J189" s="674" t="s">
        <v>352</v>
      </c>
      <c r="K189" s="669">
        <v>100</v>
      </c>
      <c r="L189" s="665">
        <v>101.34</v>
      </c>
      <c r="M189" s="625">
        <v>105.85</v>
      </c>
      <c r="N189" s="625">
        <v>107.84</v>
      </c>
      <c r="O189" s="625">
        <v>115.34</v>
      </c>
      <c r="P189" s="625">
        <v>120.27</v>
      </c>
      <c r="Q189" s="625">
        <v>129.49</v>
      </c>
      <c r="R189" s="625">
        <v>145.44999999999999</v>
      </c>
      <c r="S189" s="625">
        <v>152.94</v>
      </c>
      <c r="T189" s="625">
        <v>159.80000000000001</v>
      </c>
      <c r="U189" s="625">
        <v>165.73</v>
      </c>
      <c r="V189" s="625">
        <v>170.32</v>
      </c>
      <c r="W189" s="625">
        <v>170.67</v>
      </c>
      <c r="X189" s="625">
        <v>178.32</v>
      </c>
      <c r="Y189" s="625">
        <v>179.65</v>
      </c>
      <c r="Z189" s="625">
        <v>182.75</v>
      </c>
      <c r="AA189" s="625">
        <v>182.83</v>
      </c>
      <c r="AB189" s="625">
        <v>189.22</v>
      </c>
      <c r="AC189" s="625">
        <v>191.09</v>
      </c>
      <c r="AD189" s="625">
        <v>199.72</v>
      </c>
      <c r="AE189" s="625">
        <v>199.29</v>
      </c>
      <c r="AF189" s="625">
        <v>204.7</v>
      </c>
      <c r="AG189" s="625">
        <v>209.51</v>
      </c>
      <c r="AH189" s="625">
        <v>215.13</v>
      </c>
      <c r="AI189" s="764">
        <v>220.41</v>
      </c>
      <c r="AJ189" s="772">
        <v>229.73</v>
      </c>
      <c r="AK189" s="625">
        <v>235.51</v>
      </c>
      <c r="AL189" s="625">
        <v>235.38</v>
      </c>
      <c r="AM189" s="625">
        <v>235.36</v>
      </c>
      <c r="AN189" s="625">
        <v>239.93</v>
      </c>
      <c r="AO189" s="625">
        <v>240.89</v>
      </c>
      <c r="AP189" s="625">
        <v>241.91</v>
      </c>
      <c r="AQ189" s="625">
        <v>242.74</v>
      </c>
      <c r="AR189" s="625">
        <v>246.18</v>
      </c>
      <c r="AS189" s="625">
        <f>+'ANEXO B'!M97</f>
        <v>251.43</v>
      </c>
      <c r="AT189" s="625">
        <f>+'ANEXO B'!N97</f>
        <v>251.97</v>
      </c>
      <c r="AU189" s="764">
        <f>+'ANEXO B'!O97</f>
        <v>252.09</v>
      </c>
      <c r="AV189" s="752">
        <f>+'ANEXO B'!D129</f>
        <v>262.48</v>
      </c>
      <c r="AW189" s="626">
        <f>+'ANEXO B'!E129</f>
        <v>263.01</v>
      </c>
      <c r="AX189" s="626">
        <f>+'ANEXO B'!F129</f>
        <v>276.94</v>
      </c>
      <c r="AY189" s="626">
        <f>+'ANEXO B'!G129</f>
        <v>285.63</v>
      </c>
      <c r="AZ189" s="626">
        <f>+'ANEXO B'!H129</f>
        <v>285.64999999999998</v>
      </c>
      <c r="BA189" s="626">
        <f>+'ANEXO B'!I129</f>
        <v>285.47000000000003</v>
      </c>
      <c r="BB189" s="626">
        <f>+'ANEXO B'!J129</f>
        <v>285.58</v>
      </c>
      <c r="BC189" s="626">
        <f>+'ANEXO B'!K129</f>
        <v>285.26</v>
      </c>
      <c r="BD189" s="626">
        <f>+'ANEXO B'!L129</f>
        <v>286.19</v>
      </c>
      <c r="BE189" s="626">
        <f>+'ANEXO B'!M129</f>
        <v>290.52</v>
      </c>
      <c r="BF189" s="626">
        <f>+'ANEXO B'!N129</f>
        <v>316.48</v>
      </c>
      <c r="BG189" s="749">
        <f>+'ANEXO B'!O129</f>
        <v>316.66000000000003</v>
      </c>
      <c r="BH189" s="660">
        <f>+'ANEXO B'!D156</f>
        <v>324.49</v>
      </c>
      <c r="BI189" s="623">
        <f>+'ANEXO B'!E156</f>
        <v>325.02999999999997</v>
      </c>
      <c r="BJ189" s="623">
        <f>+'ANEXO B'!F156</f>
        <v>323.74</v>
      </c>
      <c r="BK189" s="623">
        <f>+'ANEXO B'!G156</f>
        <v>335.34</v>
      </c>
      <c r="BL189" s="623">
        <f>+'ANEXO B'!H156</f>
        <v>353</v>
      </c>
      <c r="BM189" s="623">
        <f>+'ANEXO B'!I156</f>
        <v>353.49</v>
      </c>
      <c r="BN189" s="623">
        <f>+'ANEXO B'!J156</f>
        <v>356.03</v>
      </c>
      <c r="BO189" s="623">
        <f>+'ANEXO B'!K156</f>
        <v>357.28</v>
      </c>
      <c r="BP189" s="623">
        <f>+'ANEXO B'!L156</f>
        <v>322.2</v>
      </c>
      <c r="BQ189" s="623">
        <f>+'ANEXO B'!M156</f>
        <v>375.25</v>
      </c>
      <c r="BR189" s="623">
        <f>+'ANEXO B'!N156</f>
        <v>375.54</v>
      </c>
      <c r="BS189" s="659">
        <f>+'ANEXO B'!O156</f>
        <v>378.97</v>
      </c>
      <c r="BT189" s="660">
        <f>+'ANEXO B'!D180</f>
        <v>399.49</v>
      </c>
      <c r="BU189" s="623">
        <f>+'ANEXO B'!E180</f>
        <v>400.98</v>
      </c>
      <c r="BV189" s="623">
        <f>+'ANEXO B'!F180</f>
        <v>406.69</v>
      </c>
      <c r="BW189" s="623">
        <f>+'ANEXO B'!G180</f>
        <v>407.36</v>
      </c>
      <c r="BX189" s="623">
        <f>+'ANEXO B'!H180</f>
        <v>430.27</v>
      </c>
      <c r="BY189" s="623">
        <f>+'ANEXO B'!I180</f>
        <v>434.37</v>
      </c>
      <c r="BZ189" s="623">
        <f>+'ANEXO B'!J180</f>
        <v>449.68</v>
      </c>
      <c r="CA189" s="623">
        <f>+'ANEXO B'!K180</f>
        <v>454</v>
      </c>
      <c r="CB189" s="623">
        <f>+'ANEXO B'!L180</f>
        <v>458.68</v>
      </c>
      <c r="CC189" s="623">
        <v>459.13</v>
      </c>
      <c r="CD189" s="623">
        <f>+'ANEXO B'!N180</f>
        <v>465.07</v>
      </c>
      <c r="CE189" s="659">
        <f>+'ANEXO B'!O180</f>
        <v>508.26</v>
      </c>
      <c r="CF189" s="660">
        <f>+'ANEXO B'!D205</f>
        <v>474.23</v>
      </c>
      <c r="CG189" s="627">
        <f>+'ANEXO B'!E205</f>
        <v>475.62</v>
      </c>
      <c r="CH189" s="627">
        <f>+'ANEXO B'!F205</f>
        <v>477.15</v>
      </c>
      <c r="CI189" s="627">
        <f>+'ANEXO B'!G205</f>
        <v>507.39</v>
      </c>
      <c r="CJ189" s="627">
        <f>+'ANEXO B'!H205</f>
        <v>518.29</v>
      </c>
      <c r="CK189" s="627">
        <f>+'ANEXO B'!I205</f>
        <v>514.54</v>
      </c>
      <c r="CL189" s="627">
        <f>+'ANEXO B'!J205</f>
        <v>535.35</v>
      </c>
      <c r="CM189" s="627">
        <f>+'ANEXO B'!K205</f>
        <v>529.87</v>
      </c>
      <c r="CN189" s="627">
        <f>+'ANEXO B'!L205</f>
        <v>544.76</v>
      </c>
      <c r="CO189" s="627">
        <f>+'ANEXO B'!M205</f>
        <v>548.59</v>
      </c>
      <c r="CP189" s="627">
        <f>+'ANEXO B'!N205</f>
        <v>549.04999999999995</v>
      </c>
      <c r="CQ189" s="738">
        <f>+'ANEXO B'!O205</f>
        <v>548.29999999999995</v>
      </c>
      <c r="CR189" s="663">
        <f>+'ANEXO B'!D230</f>
        <v>555.14</v>
      </c>
      <c r="CS189" s="627">
        <f>+'ANEXO B'!E230</f>
        <v>555.66</v>
      </c>
      <c r="CT189" s="627">
        <f>+'ANEXO B'!F230</f>
        <v>555.59</v>
      </c>
      <c r="CU189" s="627">
        <f>+'ANEXO B'!G230</f>
        <v>556.79</v>
      </c>
      <c r="CV189" s="627">
        <f>+'ANEXO B'!H230</f>
        <v>575.73</v>
      </c>
      <c r="CW189" s="627">
        <f>+'ANEXO B'!I230</f>
        <v>586.04999999999995</v>
      </c>
      <c r="CX189" s="627">
        <f>+'ANEXO B'!J230</f>
        <v>587.24</v>
      </c>
      <c r="CY189" s="627">
        <f>+'ANEXO B'!K230</f>
        <v>590.08000000000004</v>
      </c>
      <c r="CZ189" s="623">
        <f>+'ANEXO B'!L230</f>
        <v>591.54</v>
      </c>
      <c r="DA189" s="623">
        <f>+'ANEXO B'!M230</f>
        <v>613.89</v>
      </c>
      <c r="DB189" s="659">
        <f>+'ANEXO B'!N230</f>
        <v>616.14</v>
      </c>
      <c r="DC189" s="659">
        <f>+'ANEXO B'!O230</f>
        <v>616.78</v>
      </c>
      <c r="DD189" s="783">
        <f>+'ANEXO B'!D255</f>
        <v>622.28</v>
      </c>
      <c r="DE189" s="623">
        <f>+'ANEXO B'!E255</f>
        <v>624.98</v>
      </c>
      <c r="DF189" s="725">
        <f>+'ANEXO B'!F255</f>
        <v>650.35</v>
      </c>
      <c r="DG189" s="659">
        <f>+'ANEXO B'!G255</f>
        <v>651.66</v>
      </c>
      <c r="DH189" s="623">
        <f>+'ANEXO B'!H255</f>
        <v>674.23</v>
      </c>
      <c r="DI189" s="623">
        <f>+'ANEXO B'!I255</f>
        <v>676.73</v>
      </c>
      <c r="DJ189" s="623">
        <f>+'ANEXO B'!J255</f>
        <v>676.12</v>
      </c>
      <c r="DK189" s="659">
        <f>+'ANEXO B'!K255</f>
        <v>702.96</v>
      </c>
      <c r="DL189" s="897">
        <f>+'ANEXO B'!L255</f>
        <v>704.44</v>
      </c>
      <c r="DM189" s="110">
        <f t="shared" si="2"/>
        <v>1.0021053829520883</v>
      </c>
      <c r="DN189" s="111"/>
      <c r="DO189" s="111"/>
    </row>
    <row r="190" spans="1:119" s="115" customFormat="1" ht="14.25" customHeight="1">
      <c r="A190" s="114"/>
      <c r="B190" s="408"/>
      <c r="C190" s="622"/>
      <c r="D190" s="622"/>
      <c r="E190" s="621"/>
      <c r="F190" s="622"/>
      <c r="G190" s="621"/>
      <c r="H190" s="621"/>
      <c r="I190" s="631"/>
      <c r="J190" s="674"/>
      <c r="K190" s="669"/>
      <c r="L190" s="665"/>
      <c r="M190" s="625"/>
      <c r="N190" s="625"/>
      <c r="O190" s="625"/>
      <c r="P190" s="625"/>
      <c r="Q190" s="625"/>
      <c r="R190" s="625"/>
      <c r="S190" s="625"/>
      <c r="T190" s="625"/>
      <c r="U190" s="625"/>
      <c r="V190" s="625"/>
      <c r="W190" s="625"/>
      <c r="X190" s="625"/>
      <c r="Y190" s="625"/>
      <c r="Z190" s="625"/>
      <c r="AA190" s="625"/>
      <c r="AB190" s="625"/>
      <c r="AC190" s="625"/>
      <c r="AD190" s="625"/>
      <c r="AE190" s="625"/>
      <c r="AF190" s="625"/>
      <c r="AG190" s="625"/>
      <c r="AH190" s="625"/>
      <c r="AI190" s="764"/>
      <c r="AJ190" s="772"/>
      <c r="AK190" s="625"/>
      <c r="AL190" s="625"/>
      <c r="AM190" s="625"/>
      <c r="AN190" s="625"/>
      <c r="AO190" s="625"/>
      <c r="AP190" s="625"/>
      <c r="AQ190" s="625"/>
      <c r="AR190" s="625"/>
      <c r="AS190" s="625"/>
      <c r="AT190" s="625"/>
      <c r="AU190" s="764"/>
      <c r="AV190" s="752"/>
      <c r="AW190" s="626"/>
      <c r="AX190" s="626"/>
      <c r="AY190" s="626"/>
      <c r="AZ190" s="626"/>
      <c r="BA190" s="628"/>
      <c r="BB190" s="628"/>
      <c r="BC190" s="627"/>
      <c r="BD190" s="626"/>
      <c r="BE190" s="627"/>
      <c r="BF190" s="627"/>
      <c r="BG190" s="738"/>
      <c r="BH190" s="660"/>
      <c r="BI190" s="623"/>
      <c r="BJ190" s="623"/>
      <c r="BK190" s="623"/>
      <c r="BL190" s="623"/>
      <c r="BM190" s="623"/>
      <c r="BN190" s="623"/>
      <c r="BO190" s="623"/>
      <c r="BP190" s="623"/>
      <c r="BQ190" s="623"/>
      <c r="BR190" s="623"/>
      <c r="BS190" s="659"/>
      <c r="BT190" s="660"/>
      <c r="BU190" s="623"/>
      <c r="BV190" s="623"/>
      <c r="BW190" s="623"/>
      <c r="BX190" s="623"/>
      <c r="BY190" s="623"/>
      <c r="BZ190" s="623"/>
      <c r="CA190" s="623"/>
      <c r="CB190" s="623"/>
      <c r="CC190" s="623"/>
      <c r="CD190" s="623"/>
      <c r="CE190" s="659"/>
      <c r="CF190" s="660"/>
      <c r="CG190" s="623"/>
      <c r="CH190" s="623"/>
      <c r="CI190" s="623"/>
      <c r="CJ190" s="623"/>
      <c r="CK190" s="623"/>
      <c r="CL190" s="623"/>
      <c r="CM190" s="623"/>
      <c r="CN190" s="623"/>
      <c r="CO190" s="623"/>
      <c r="CP190" s="623"/>
      <c r="CQ190" s="659"/>
      <c r="CR190" s="660"/>
      <c r="CS190" s="623"/>
      <c r="CT190" s="623"/>
      <c r="CU190" s="623"/>
      <c r="CV190" s="623"/>
      <c r="CW190" s="623"/>
      <c r="CX190" s="623"/>
      <c r="CY190" s="623"/>
      <c r="CZ190" s="623"/>
      <c r="DA190" s="623"/>
      <c r="DB190" s="725"/>
      <c r="DC190" s="659"/>
      <c r="DD190" s="783"/>
      <c r="DE190" s="623"/>
      <c r="DF190" s="725"/>
      <c r="DG190" s="659"/>
      <c r="DH190" s="623"/>
      <c r="DI190" s="623"/>
      <c r="DJ190" s="623"/>
      <c r="DK190" s="659"/>
      <c r="DL190" s="897"/>
      <c r="DM190" s="110"/>
      <c r="DN190" s="110"/>
      <c r="DO190" s="110"/>
    </row>
    <row r="191" spans="1:119" s="115" customFormat="1" ht="10.5" customHeight="1">
      <c r="A191" s="114"/>
      <c r="B191" s="408"/>
      <c r="C191" s="622"/>
      <c r="D191" s="622"/>
      <c r="E191" s="621"/>
      <c r="F191" s="622"/>
      <c r="G191" s="621"/>
      <c r="H191" s="621"/>
      <c r="I191" s="631"/>
      <c r="J191" s="674"/>
      <c r="K191" s="669"/>
      <c r="L191" s="665"/>
      <c r="M191" s="625"/>
      <c r="N191" s="625"/>
      <c r="O191" s="625"/>
      <c r="P191" s="625"/>
      <c r="Q191" s="625"/>
      <c r="R191" s="625"/>
      <c r="S191" s="625"/>
      <c r="T191" s="625"/>
      <c r="U191" s="625"/>
      <c r="V191" s="625"/>
      <c r="W191" s="625"/>
      <c r="X191" s="625"/>
      <c r="Y191" s="625"/>
      <c r="Z191" s="625"/>
      <c r="AA191" s="625"/>
      <c r="AB191" s="625"/>
      <c r="AC191" s="625"/>
      <c r="AD191" s="625"/>
      <c r="AE191" s="625"/>
      <c r="AF191" s="625"/>
      <c r="AG191" s="625"/>
      <c r="AH191" s="625"/>
      <c r="AI191" s="764"/>
      <c r="AJ191" s="772"/>
      <c r="AK191" s="625"/>
      <c r="AL191" s="625"/>
      <c r="AM191" s="625"/>
      <c r="AN191" s="625"/>
      <c r="AO191" s="625"/>
      <c r="AP191" s="625"/>
      <c r="AQ191" s="625"/>
      <c r="AR191" s="625"/>
      <c r="AS191" s="625"/>
      <c r="AT191" s="625"/>
      <c r="AU191" s="764"/>
      <c r="AV191" s="752"/>
      <c r="AW191" s="626"/>
      <c r="AX191" s="626"/>
      <c r="AY191" s="626"/>
      <c r="AZ191" s="626"/>
      <c r="BA191" s="628"/>
      <c r="BB191" s="628"/>
      <c r="BC191" s="627"/>
      <c r="BD191" s="626"/>
      <c r="BE191" s="627"/>
      <c r="BF191" s="627"/>
      <c r="BG191" s="738"/>
      <c r="BH191" s="660"/>
      <c r="BI191" s="623"/>
      <c r="BJ191" s="623"/>
      <c r="BK191" s="623"/>
      <c r="BL191" s="623"/>
      <c r="BM191" s="623"/>
      <c r="BN191" s="623"/>
      <c r="BO191" s="623"/>
      <c r="BP191" s="623"/>
      <c r="BQ191" s="623"/>
      <c r="BR191" s="623"/>
      <c r="BS191" s="659"/>
      <c r="BT191" s="660"/>
      <c r="BU191" s="623"/>
      <c r="BV191" s="623"/>
      <c r="BW191" s="623"/>
      <c r="BX191" s="623"/>
      <c r="BY191" s="623"/>
      <c r="BZ191" s="623"/>
      <c r="CA191" s="623"/>
      <c r="CB191" s="623"/>
      <c r="CC191" s="623"/>
      <c r="CD191" s="623"/>
      <c r="CE191" s="659"/>
      <c r="CF191" s="660"/>
      <c r="CG191" s="623"/>
      <c r="CH191" s="623"/>
      <c r="CI191" s="623"/>
      <c r="CJ191" s="623"/>
      <c r="CK191" s="623"/>
      <c r="CL191" s="623"/>
      <c r="CM191" s="623"/>
      <c r="CN191" s="623"/>
      <c r="CO191" s="623"/>
      <c r="CP191" s="623"/>
      <c r="CQ191" s="659"/>
      <c r="CR191" s="660"/>
      <c r="CS191" s="623"/>
      <c r="CT191" s="623"/>
      <c r="CU191" s="623"/>
      <c r="CV191" s="623"/>
      <c r="CW191" s="623"/>
      <c r="CX191" s="623"/>
      <c r="CY191" s="623"/>
      <c r="CZ191" s="623"/>
      <c r="DA191" s="623"/>
      <c r="DB191" s="725"/>
      <c r="DC191" s="659"/>
      <c r="DD191" s="783"/>
      <c r="DE191" s="623"/>
      <c r="DF191" s="725"/>
      <c r="DG191" s="659"/>
      <c r="DH191" s="623"/>
      <c r="DI191" s="623"/>
      <c r="DJ191" s="623"/>
      <c r="DK191" s="659"/>
      <c r="DL191" s="897"/>
      <c r="DM191" s="110"/>
      <c r="DN191" s="110"/>
      <c r="DO191" s="110"/>
    </row>
    <row r="192" spans="1:119" s="115" customFormat="1" ht="18.75" customHeight="1">
      <c r="A192" s="114"/>
      <c r="B192" s="408">
        <v>401</v>
      </c>
      <c r="C192" s="622"/>
      <c r="D192" s="622" t="s">
        <v>367</v>
      </c>
      <c r="E192" s="621" t="s">
        <v>918</v>
      </c>
      <c r="F192" s="621"/>
      <c r="G192" s="621" t="s">
        <v>900</v>
      </c>
      <c r="H192" s="621"/>
      <c r="I192" s="631" t="s">
        <v>47</v>
      </c>
      <c r="J192" s="676" t="s">
        <v>368</v>
      </c>
      <c r="K192" s="669">
        <v>100</v>
      </c>
      <c r="L192" s="665">
        <v>116.74</v>
      </c>
      <c r="M192" s="625">
        <v>135.37</v>
      </c>
      <c r="N192" s="625">
        <v>158.38999999999999</v>
      </c>
      <c r="O192" s="625">
        <v>191.62</v>
      </c>
      <c r="P192" s="625">
        <v>209.15</v>
      </c>
      <c r="Q192" s="625">
        <v>228.18</v>
      </c>
      <c r="R192" s="625">
        <v>233.73</v>
      </c>
      <c r="S192" s="625">
        <v>243.06</v>
      </c>
      <c r="T192" s="625">
        <v>250.91</v>
      </c>
      <c r="U192" s="625">
        <v>254.58</v>
      </c>
      <c r="V192" s="625">
        <v>257.37</v>
      </c>
      <c r="W192" s="625">
        <v>253.51</v>
      </c>
      <c r="X192" s="625">
        <v>241.94</v>
      </c>
      <c r="Y192" s="625">
        <v>241.57</v>
      </c>
      <c r="Z192" s="625">
        <v>237</v>
      </c>
      <c r="AA192" s="625">
        <v>230.93</v>
      </c>
      <c r="AB192" s="625">
        <v>226.54</v>
      </c>
      <c r="AC192" s="625">
        <v>225.23</v>
      </c>
      <c r="AD192" s="625">
        <v>224.77</v>
      </c>
      <c r="AE192" s="625">
        <v>230.27</v>
      </c>
      <c r="AF192" s="625">
        <v>230.27</v>
      </c>
      <c r="AG192" s="625">
        <v>228.39</v>
      </c>
      <c r="AH192" s="625">
        <v>234.6</v>
      </c>
      <c r="AI192" s="764">
        <v>234.42</v>
      </c>
      <c r="AJ192" s="772">
        <v>232.85</v>
      </c>
      <c r="AK192" s="625">
        <v>235.77</v>
      </c>
      <c r="AL192" s="625">
        <v>233.52</v>
      </c>
      <c r="AM192" s="625">
        <v>242.23</v>
      </c>
      <c r="AN192" s="625">
        <v>239.6</v>
      </c>
      <c r="AO192" s="625">
        <v>243.05</v>
      </c>
      <c r="AP192" s="625">
        <v>243.25</v>
      </c>
      <c r="AQ192" s="625">
        <v>246.49</v>
      </c>
      <c r="AR192" s="625">
        <v>245.81</v>
      </c>
      <c r="AS192" s="625">
        <f>+'ANEXO F'!L44</f>
        <v>245.09</v>
      </c>
      <c r="AT192" s="625">
        <f>+'ANEXO F'!M44</f>
        <v>245.17</v>
      </c>
      <c r="AU192" s="764">
        <f>+'ANEXO F'!N44</f>
        <v>244.99</v>
      </c>
      <c r="AV192" s="752">
        <f>+'ANEXO F'!C55</f>
        <v>246.04</v>
      </c>
      <c r="AW192" s="626">
        <f>+'ANEXO F'!D55</f>
        <v>244.97</v>
      </c>
      <c r="AX192" s="626">
        <f>+'ANEXO F'!E55</f>
        <v>246.91</v>
      </c>
      <c r="AY192" s="626">
        <f>+'ANEXO F'!F55</f>
        <v>246.1</v>
      </c>
      <c r="AZ192" s="626">
        <f>+'ANEXO F'!G55</f>
        <v>246.56</v>
      </c>
      <c r="BA192" s="626">
        <f>+'ANEXO F'!H55</f>
        <v>246.58</v>
      </c>
      <c r="BB192" s="626">
        <f>+'ANEXO F'!I55</f>
        <v>246.4</v>
      </c>
      <c r="BC192" s="626">
        <f>+'ANEXO F'!J55</f>
        <v>248.39</v>
      </c>
      <c r="BD192" s="626">
        <f>+'ANEXO F'!K55</f>
        <v>249.92</v>
      </c>
      <c r="BE192" s="626">
        <f>+'ANEXO F'!L55</f>
        <v>253.58</v>
      </c>
      <c r="BF192" s="626">
        <f>+'ANEXO F'!M55</f>
        <v>253.36</v>
      </c>
      <c r="BG192" s="749">
        <f>+'ANEXO F'!N55</f>
        <v>257.04000000000002</v>
      </c>
      <c r="BH192" s="660">
        <f>+'ANEXO F'!C66</f>
        <v>259.75</v>
      </c>
      <c r="BI192" s="623">
        <f>+'ANEXO F'!D66</f>
        <v>256.95999999999998</v>
      </c>
      <c r="BJ192" s="623">
        <f>+'ANEXO F'!E66</f>
        <v>261.08</v>
      </c>
      <c r="BK192" s="623">
        <f>+'ANEXO F'!F66</f>
        <v>264.51</v>
      </c>
      <c r="BL192" s="623">
        <f>+'ANEXO F'!G66</f>
        <v>265.16000000000003</v>
      </c>
      <c r="BM192" s="623">
        <f>+'ANEXO F'!H66</f>
        <v>267.68</v>
      </c>
      <c r="BN192" s="623">
        <f>+'ANEXO F'!I66</f>
        <v>269.08999999999997</v>
      </c>
      <c r="BO192" s="623">
        <f>+'ANEXO F'!J66</f>
        <v>270.29000000000002</v>
      </c>
      <c r="BP192" s="623">
        <f>+'ANEXO F'!K66</f>
        <v>271.04000000000002</v>
      </c>
      <c r="BQ192" s="623">
        <f>+'ANEXO F'!L66</f>
        <v>271.16000000000003</v>
      </c>
      <c r="BR192" s="623">
        <f>+'ANEXO F'!M66</f>
        <v>272.39</v>
      </c>
      <c r="BS192" s="659">
        <f>+'ANEXO F'!N66</f>
        <v>295.51</v>
      </c>
      <c r="BT192" s="660">
        <f>+'ANEXO F'!C77</f>
        <v>277.99</v>
      </c>
      <c r="BU192" s="623">
        <f>+'ANEXO F'!D77</f>
        <v>280.36</v>
      </c>
      <c r="BV192" s="623">
        <f>+'ANEXO F'!E77</f>
        <v>285.06</v>
      </c>
      <c r="BW192" s="623">
        <f>+'ANEXO F'!F77</f>
        <v>285.73</v>
      </c>
      <c r="BX192" s="623">
        <f>+'ANEXO F'!G77</f>
        <v>285.82</v>
      </c>
      <c r="BY192" s="623">
        <f>+'ANEXO F'!H77</f>
        <v>291.2</v>
      </c>
      <c r="BZ192" s="623">
        <f>+'ANEXO F'!I77</f>
        <v>293.77</v>
      </c>
      <c r="CA192" s="623">
        <f>+'ANEXO F'!J77</f>
        <v>296.36</v>
      </c>
      <c r="CB192" s="623">
        <f>+'ANEXO F'!K77</f>
        <v>299.45</v>
      </c>
      <c r="CC192" s="623">
        <v>301.08</v>
      </c>
      <c r="CD192" s="623">
        <f>+'ANEXO F'!M77</f>
        <v>306.42</v>
      </c>
      <c r="CE192" s="659">
        <f>+'ANEXO F'!N77</f>
        <v>312.57</v>
      </c>
      <c r="CF192" s="660">
        <f>+'ANEXO F'!C88</f>
        <v>313.16000000000003</v>
      </c>
      <c r="CG192" s="623">
        <f>+'ANEXO F'!D88</f>
        <v>314.95</v>
      </c>
      <c r="CH192" s="623">
        <f>+'ANEXO F'!E88</f>
        <v>316.32</v>
      </c>
      <c r="CI192" s="623">
        <f>+'ANEXO F'!F88</f>
        <v>321.67</v>
      </c>
      <c r="CJ192" s="623">
        <f>+'ANEXO F'!G88</f>
        <v>318.89999999999998</v>
      </c>
      <c r="CK192" s="623">
        <f>+'ANEXO F'!H88</f>
        <v>319.45999999999998</v>
      </c>
      <c r="CL192" s="623">
        <f>+'ANEXO F'!I88</f>
        <v>323.02</v>
      </c>
      <c r="CM192" s="623">
        <f>+'ANEXO F'!J88</f>
        <v>327.18</v>
      </c>
      <c r="CN192" s="623">
        <f>+'ANEXO F'!K88</f>
        <v>334.34</v>
      </c>
      <c r="CO192" s="623">
        <f>+'ANEXO F'!L88</f>
        <v>342.02</v>
      </c>
      <c r="CP192" s="623">
        <f>+'ANEXO F'!M88</f>
        <v>342.74</v>
      </c>
      <c r="CQ192" s="659">
        <f>+'ANEXO F'!N88</f>
        <v>343.24</v>
      </c>
      <c r="CR192" s="660">
        <f>+'ANEXO F'!C99</f>
        <v>357.34</v>
      </c>
      <c r="CS192" s="623">
        <f>+'ANEXO F'!D99</f>
        <v>361.11</v>
      </c>
      <c r="CT192" s="623">
        <f>+'ANEXO F'!E99</f>
        <v>363.28</v>
      </c>
      <c r="CU192" s="623">
        <f>+'ANEXO F'!F99</f>
        <v>365.65</v>
      </c>
      <c r="CV192" s="623">
        <f>+'ANEXO F'!G99</f>
        <v>368.75</v>
      </c>
      <c r="CW192" s="623">
        <f>+'ANEXO F'!H99</f>
        <v>370.19</v>
      </c>
      <c r="CX192" s="623">
        <f>+'ANEXO F'!I99</f>
        <v>373.98</v>
      </c>
      <c r="CY192" s="623">
        <f>+'ANEXO F'!J99</f>
        <v>378.36</v>
      </c>
      <c r="CZ192" s="623">
        <f>+'ANEXO F'!K99</f>
        <v>379.34</v>
      </c>
      <c r="DA192" s="623">
        <f>+'ANEXO F'!L99</f>
        <v>380.7</v>
      </c>
      <c r="DB192" s="659">
        <f>+'ANEXO F'!M99</f>
        <v>382.62</v>
      </c>
      <c r="DC192" s="659">
        <f>+'ANEXO F'!N99</f>
        <v>383.17</v>
      </c>
      <c r="DD192" s="783">
        <f>+'ANEXO F'!C110</f>
        <v>388.08</v>
      </c>
      <c r="DE192" s="623">
        <f>+'ANEXO F'!D110</f>
        <v>391.89</v>
      </c>
      <c r="DF192" s="725">
        <f>+'ANEXO F'!E110</f>
        <v>393.73</v>
      </c>
      <c r="DG192" s="659">
        <f>+'ANEXO F'!F110</f>
        <v>395.46</v>
      </c>
      <c r="DH192" s="623">
        <f>+'ANEXO F'!G110</f>
        <v>401.67</v>
      </c>
      <c r="DI192" s="623">
        <f>+'ANEXO F'!H110</f>
        <v>404.88</v>
      </c>
      <c r="DJ192" s="623">
        <f>+'ANEXO F'!I110</f>
        <v>406.33</v>
      </c>
      <c r="DK192" s="659">
        <f>+'ANEXO F'!J110</f>
        <v>409.19</v>
      </c>
      <c r="DL192" s="897">
        <f>+'ANEXO F'!K110</f>
        <v>413.01</v>
      </c>
      <c r="DM192" s="110">
        <f t="shared" si="2"/>
        <v>1.0093355165082236</v>
      </c>
      <c r="DN192" s="111"/>
      <c r="DO192" s="111"/>
    </row>
    <row r="193" spans="1:119" s="115" customFormat="1" ht="10.5" customHeight="1">
      <c r="A193" s="114"/>
      <c r="B193" s="408"/>
      <c r="C193" s="622"/>
      <c r="D193" s="622"/>
      <c r="E193" s="621"/>
      <c r="F193" s="621"/>
      <c r="G193" s="621"/>
      <c r="H193" s="621"/>
      <c r="I193" s="631"/>
      <c r="J193" s="676"/>
      <c r="K193" s="669"/>
      <c r="L193" s="665"/>
      <c r="M193" s="625"/>
      <c r="N193" s="625"/>
      <c r="O193" s="625"/>
      <c r="P193" s="625"/>
      <c r="Q193" s="625"/>
      <c r="R193" s="625"/>
      <c r="S193" s="625"/>
      <c r="T193" s="625"/>
      <c r="U193" s="625"/>
      <c r="V193" s="625"/>
      <c r="W193" s="625"/>
      <c r="X193" s="625"/>
      <c r="Y193" s="625"/>
      <c r="Z193" s="625"/>
      <c r="AA193" s="625"/>
      <c r="AB193" s="625"/>
      <c r="AC193" s="625"/>
      <c r="AD193" s="625"/>
      <c r="AE193" s="625"/>
      <c r="AF193" s="625"/>
      <c r="AG193" s="625"/>
      <c r="AH193" s="625"/>
      <c r="AI193" s="764"/>
      <c r="AJ193" s="772"/>
      <c r="AK193" s="625"/>
      <c r="AL193" s="625"/>
      <c r="AM193" s="625"/>
      <c r="AN193" s="625"/>
      <c r="AO193" s="625"/>
      <c r="AP193" s="625"/>
      <c r="AQ193" s="625"/>
      <c r="AR193" s="625"/>
      <c r="AS193" s="625"/>
      <c r="AT193" s="625"/>
      <c r="AU193" s="764"/>
      <c r="AV193" s="752"/>
      <c r="AW193" s="626"/>
      <c r="AX193" s="626"/>
      <c r="AY193" s="626"/>
      <c r="AZ193" s="626"/>
      <c r="BA193" s="628"/>
      <c r="BB193" s="628"/>
      <c r="BC193" s="627"/>
      <c r="BD193" s="626"/>
      <c r="BE193" s="627"/>
      <c r="BF193" s="627"/>
      <c r="BG193" s="738"/>
      <c r="BH193" s="660"/>
      <c r="BI193" s="623"/>
      <c r="BJ193" s="623"/>
      <c r="BK193" s="623"/>
      <c r="BL193" s="623"/>
      <c r="BM193" s="623"/>
      <c r="BN193" s="623"/>
      <c r="BO193" s="623"/>
      <c r="BP193" s="623"/>
      <c r="BQ193" s="623"/>
      <c r="BR193" s="623"/>
      <c r="BS193" s="659"/>
      <c r="BT193" s="660"/>
      <c r="BU193" s="623"/>
      <c r="BV193" s="623"/>
      <c r="BW193" s="623"/>
      <c r="BX193" s="623"/>
      <c r="BY193" s="623"/>
      <c r="BZ193" s="623"/>
      <c r="CA193" s="623"/>
      <c r="CB193" s="623"/>
      <c r="CC193" s="623"/>
      <c r="CD193" s="623"/>
      <c r="CE193" s="659"/>
      <c r="CF193" s="660"/>
      <c r="CG193" s="623"/>
      <c r="CH193" s="623"/>
      <c r="CI193" s="623"/>
      <c r="CJ193" s="623"/>
      <c r="CK193" s="623"/>
      <c r="CL193" s="623"/>
      <c r="CM193" s="623"/>
      <c r="CN193" s="623"/>
      <c r="CO193" s="623"/>
      <c r="CP193" s="623"/>
      <c r="CQ193" s="659"/>
      <c r="CR193" s="660"/>
      <c r="CS193" s="623"/>
      <c r="CT193" s="623"/>
      <c r="CU193" s="623"/>
      <c r="CV193" s="623"/>
      <c r="CW193" s="623"/>
      <c r="CX193" s="623"/>
      <c r="CY193" s="623"/>
      <c r="CZ193" s="623"/>
      <c r="DA193" s="623"/>
      <c r="DB193" s="725"/>
      <c r="DC193" s="659"/>
      <c r="DD193" s="783"/>
      <c r="DE193" s="623"/>
      <c r="DF193" s="725"/>
      <c r="DG193" s="659"/>
      <c r="DH193" s="623"/>
      <c r="DI193" s="623"/>
      <c r="DJ193" s="623"/>
      <c r="DK193" s="659"/>
      <c r="DL193" s="897"/>
      <c r="DM193" s="110"/>
      <c r="DN193" s="110"/>
      <c r="DO193" s="110"/>
    </row>
    <row r="194" spans="1:119" s="115" customFormat="1" ht="9" customHeight="1">
      <c r="A194" s="114"/>
      <c r="B194" s="408"/>
      <c r="C194" s="622"/>
      <c r="D194" s="622"/>
      <c r="E194" s="621"/>
      <c r="F194" s="621"/>
      <c r="G194" s="621"/>
      <c r="H194" s="621"/>
      <c r="I194" s="631"/>
      <c r="J194" s="676"/>
      <c r="K194" s="669"/>
      <c r="L194" s="665"/>
      <c r="M194" s="625"/>
      <c r="N194" s="625"/>
      <c r="O194" s="625"/>
      <c r="P194" s="625"/>
      <c r="Q194" s="625"/>
      <c r="R194" s="625"/>
      <c r="S194" s="625"/>
      <c r="T194" s="625"/>
      <c r="U194" s="625"/>
      <c r="V194" s="625"/>
      <c r="W194" s="625"/>
      <c r="X194" s="625"/>
      <c r="Y194" s="625"/>
      <c r="Z194" s="625"/>
      <c r="AA194" s="625"/>
      <c r="AB194" s="625"/>
      <c r="AC194" s="625"/>
      <c r="AD194" s="625"/>
      <c r="AE194" s="625"/>
      <c r="AF194" s="625"/>
      <c r="AG194" s="625"/>
      <c r="AH194" s="625"/>
      <c r="AI194" s="764"/>
      <c r="AJ194" s="772"/>
      <c r="AK194" s="625"/>
      <c r="AL194" s="625"/>
      <c r="AM194" s="625"/>
      <c r="AN194" s="625"/>
      <c r="AO194" s="625"/>
      <c r="AP194" s="625"/>
      <c r="AQ194" s="625"/>
      <c r="AR194" s="625"/>
      <c r="AS194" s="625"/>
      <c r="AT194" s="625"/>
      <c r="AU194" s="764"/>
      <c r="AV194" s="752"/>
      <c r="AW194" s="626"/>
      <c r="AX194" s="626"/>
      <c r="AY194" s="626"/>
      <c r="AZ194" s="626"/>
      <c r="BA194" s="628"/>
      <c r="BB194" s="628"/>
      <c r="BC194" s="627"/>
      <c r="BD194" s="626"/>
      <c r="BE194" s="627"/>
      <c r="BF194" s="627"/>
      <c r="BG194" s="738"/>
      <c r="BH194" s="660"/>
      <c r="BI194" s="623"/>
      <c r="BJ194" s="623"/>
      <c r="BK194" s="623"/>
      <c r="BL194" s="623"/>
      <c r="BM194" s="623"/>
      <c r="BN194" s="623"/>
      <c r="BO194" s="623"/>
      <c r="BP194" s="623"/>
      <c r="BQ194" s="623"/>
      <c r="BR194" s="623"/>
      <c r="BS194" s="659"/>
      <c r="BT194" s="660"/>
      <c r="BU194" s="623"/>
      <c r="BV194" s="623"/>
      <c r="BW194" s="623"/>
      <c r="BX194" s="623"/>
      <c r="BY194" s="623"/>
      <c r="BZ194" s="623"/>
      <c r="CA194" s="623"/>
      <c r="CB194" s="623"/>
      <c r="CC194" s="623"/>
      <c r="CD194" s="623"/>
      <c r="CE194" s="659"/>
      <c r="CF194" s="660"/>
      <c r="CG194" s="623"/>
      <c r="CH194" s="623"/>
      <c r="CI194" s="623"/>
      <c r="CJ194" s="623"/>
      <c r="CK194" s="623"/>
      <c r="CL194" s="623"/>
      <c r="CM194" s="623"/>
      <c r="CN194" s="623"/>
      <c r="CO194" s="623"/>
      <c r="CP194" s="623"/>
      <c r="CQ194" s="659"/>
      <c r="CR194" s="660"/>
      <c r="CS194" s="623"/>
      <c r="CT194" s="623"/>
      <c r="CU194" s="623"/>
      <c r="CV194" s="623"/>
      <c r="CW194" s="623"/>
      <c r="CX194" s="623"/>
      <c r="CY194" s="623"/>
      <c r="CZ194" s="623"/>
      <c r="DA194" s="623"/>
      <c r="DB194" s="725"/>
      <c r="DC194" s="659"/>
      <c r="DD194" s="783"/>
      <c r="DE194" s="623"/>
      <c r="DF194" s="725"/>
      <c r="DG194" s="659"/>
      <c r="DH194" s="623"/>
      <c r="DI194" s="623"/>
      <c r="DJ194" s="623"/>
      <c r="DK194" s="659"/>
      <c r="DL194" s="897"/>
      <c r="DM194" s="110"/>
      <c r="DN194" s="110"/>
      <c r="DO194" s="110"/>
    </row>
    <row r="195" spans="1:119" s="115" customFormat="1" ht="18.75" customHeight="1">
      <c r="A195" s="114"/>
      <c r="B195" s="408">
        <v>410</v>
      </c>
      <c r="C195" s="622"/>
      <c r="D195" s="622" t="s">
        <v>370</v>
      </c>
      <c r="E195" s="621"/>
      <c r="F195" s="621"/>
      <c r="G195" s="621" t="s">
        <v>371</v>
      </c>
      <c r="H195" s="621"/>
      <c r="I195" s="631" t="s">
        <v>856</v>
      </c>
      <c r="J195" s="676"/>
      <c r="K195" s="669">
        <v>93.2</v>
      </c>
      <c r="L195" s="665">
        <v>93.1</v>
      </c>
      <c r="M195" s="625">
        <v>93.2</v>
      </c>
      <c r="N195" s="625">
        <v>93.5</v>
      </c>
      <c r="O195" s="625">
        <v>94.1</v>
      </c>
      <c r="P195" s="625">
        <v>94.4</v>
      </c>
      <c r="Q195" s="625">
        <v>94.6</v>
      </c>
      <c r="R195" s="625">
        <v>98.8</v>
      </c>
      <c r="S195" s="625">
        <v>100.6</v>
      </c>
      <c r="T195" s="625">
        <v>102.5</v>
      </c>
      <c r="U195" s="625">
        <v>102.3</v>
      </c>
      <c r="V195" s="625">
        <v>102.5</v>
      </c>
      <c r="W195" s="625">
        <v>102.6</v>
      </c>
      <c r="X195" s="625">
        <v>104.1</v>
      </c>
      <c r="Y195" s="625">
        <v>105.5</v>
      </c>
      <c r="Z195" s="625">
        <v>106.6</v>
      </c>
      <c r="AA195" s="625">
        <v>105.4</v>
      </c>
      <c r="AB195" s="625">
        <v>108.7</v>
      </c>
      <c r="AC195" s="625">
        <v>108.7</v>
      </c>
      <c r="AD195" s="625">
        <v>110.8</v>
      </c>
      <c r="AE195" s="625">
        <v>114.2</v>
      </c>
      <c r="AF195" s="625">
        <v>116.2</v>
      </c>
      <c r="AG195" s="625">
        <v>119</v>
      </c>
      <c r="AH195" s="625">
        <v>120.5</v>
      </c>
      <c r="AI195" s="764">
        <v>122.2</v>
      </c>
      <c r="AJ195" s="772">
        <v>127.4</v>
      </c>
      <c r="AK195" s="625">
        <v>130.30000000000001</v>
      </c>
      <c r="AL195" s="625">
        <v>130.5</v>
      </c>
      <c r="AM195" s="625">
        <v>130.80000000000001</v>
      </c>
      <c r="AN195" s="625">
        <v>130.5</v>
      </c>
      <c r="AO195" s="625">
        <v>130</v>
      </c>
      <c r="AP195" s="625">
        <v>133.5</v>
      </c>
      <c r="AQ195" s="625">
        <v>132.4</v>
      </c>
      <c r="AR195" s="625">
        <v>132</v>
      </c>
      <c r="AS195" s="625">
        <v>133</v>
      </c>
      <c r="AT195" s="625">
        <v>132.80000000000001</v>
      </c>
      <c r="AU195" s="764">
        <v>133</v>
      </c>
      <c r="AV195" s="752">
        <v>140.30000000000001</v>
      </c>
      <c r="AW195" s="626">
        <v>140.6</v>
      </c>
      <c r="AX195" s="626">
        <v>141.19999999999999</v>
      </c>
      <c r="AY195" s="626">
        <v>152.6</v>
      </c>
      <c r="AZ195" s="626">
        <v>154.80000000000001</v>
      </c>
      <c r="BA195" s="627">
        <v>156.1</v>
      </c>
      <c r="BB195" s="627">
        <v>156.9</v>
      </c>
      <c r="BC195" s="627">
        <v>158.30000000000001</v>
      </c>
      <c r="BD195" s="626">
        <v>158.9</v>
      </c>
      <c r="BE195" s="627">
        <v>161.80000000000001</v>
      </c>
      <c r="BF195" s="627">
        <v>170.6</v>
      </c>
      <c r="BG195" s="738">
        <v>171.7</v>
      </c>
      <c r="BH195" s="660">
        <v>177.7</v>
      </c>
      <c r="BI195" s="623">
        <v>184.1</v>
      </c>
      <c r="BJ195" s="623">
        <v>185.5</v>
      </c>
      <c r="BK195" s="623">
        <v>189.8</v>
      </c>
      <c r="BL195" s="623">
        <v>191.6</v>
      </c>
      <c r="BM195" s="623">
        <v>204.5</v>
      </c>
      <c r="BN195" s="623">
        <v>206.3</v>
      </c>
      <c r="BO195" s="623">
        <v>207.1</v>
      </c>
      <c r="BP195" s="623">
        <v>216.5</v>
      </c>
      <c r="BQ195" s="623">
        <v>219.4</v>
      </c>
      <c r="BR195" s="623">
        <v>220.8</v>
      </c>
      <c r="BS195" s="659">
        <v>223.6</v>
      </c>
      <c r="BT195" s="660">
        <v>232.5</v>
      </c>
      <c r="BU195" s="623">
        <v>233.1</v>
      </c>
      <c r="BV195" s="623">
        <v>232.7</v>
      </c>
      <c r="BW195" s="623">
        <v>236.3</v>
      </c>
      <c r="BX195" s="623">
        <v>248.7</v>
      </c>
      <c r="BY195" s="623">
        <v>251.9</v>
      </c>
      <c r="BZ195" s="623">
        <v>262</v>
      </c>
      <c r="CA195" s="623">
        <v>263.3</v>
      </c>
      <c r="CB195" s="623">
        <v>265.60000000000002</v>
      </c>
      <c r="CC195" s="623">
        <v>277.7</v>
      </c>
      <c r="CD195" s="623">
        <v>272.60000000000002</v>
      </c>
      <c r="CE195" s="659">
        <v>275</v>
      </c>
      <c r="CF195" s="660">
        <v>275</v>
      </c>
      <c r="CG195" s="623">
        <v>275.89999999999998</v>
      </c>
      <c r="CH195" s="623">
        <v>276.60000000000002</v>
      </c>
      <c r="CI195" s="623">
        <v>277.5</v>
      </c>
      <c r="CJ195" s="623">
        <v>302.3</v>
      </c>
      <c r="CK195" s="623">
        <v>297.39999999999998</v>
      </c>
      <c r="CL195" s="623">
        <v>312.39999999999998</v>
      </c>
      <c r="CM195" s="623">
        <v>310.39999999999998</v>
      </c>
      <c r="CN195" s="623">
        <v>318.7</v>
      </c>
      <c r="CO195" s="623">
        <v>319.7</v>
      </c>
      <c r="CP195" s="623">
        <v>320.10000000000002</v>
      </c>
      <c r="CQ195" s="659">
        <v>320.2</v>
      </c>
      <c r="CR195" s="660">
        <v>322.5</v>
      </c>
      <c r="CS195" s="623">
        <v>324.39999999999998</v>
      </c>
      <c r="CT195" s="623">
        <v>324.2</v>
      </c>
      <c r="CU195" s="623">
        <v>327.2</v>
      </c>
      <c r="CV195" s="623">
        <v>329.9</v>
      </c>
      <c r="CW195" s="623">
        <v>347.3</v>
      </c>
      <c r="CX195" s="623">
        <v>351.2</v>
      </c>
      <c r="CY195" s="623">
        <v>352</v>
      </c>
      <c r="CZ195" s="623">
        <v>351.2</v>
      </c>
      <c r="DA195" s="623">
        <v>367.5</v>
      </c>
      <c r="DB195" s="725">
        <v>373.2</v>
      </c>
      <c r="DC195" s="659">
        <v>374.6</v>
      </c>
      <c r="DD195" s="783">
        <v>375.2</v>
      </c>
      <c r="DE195" s="623">
        <v>385.6</v>
      </c>
      <c r="DF195" s="725">
        <v>407.9</v>
      </c>
      <c r="DG195" s="659">
        <v>384.3</v>
      </c>
      <c r="DH195" s="623">
        <v>416.4</v>
      </c>
      <c r="DI195" s="623">
        <v>420.2</v>
      </c>
      <c r="DJ195" s="623">
        <v>428.4</v>
      </c>
      <c r="DK195" s="659">
        <v>440.5</v>
      </c>
      <c r="DL195" s="897">
        <v>445.4</v>
      </c>
      <c r="DM195" s="110">
        <f t="shared" si="2"/>
        <v>1.0111237230419976</v>
      </c>
      <c r="DN195" s="110"/>
      <c r="DO195" s="110"/>
    </row>
    <row r="196" spans="1:119" s="115" customFormat="1" ht="19.5" customHeight="1">
      <c r="A196" s="114"/>
      <c r="B196" s="408">
        <v>411</v>
      </c>
      <c r="C196" s="622"/>
      <c r="D196" s="622" t="s">
        <v>373</v>
      </c>
      <c r="E196" s="621"/>
      <c r="F196" s="621"/>
      <c r="G196" s="621" t="s">
        <v>942</v>
      </c>
      <c r="H196" s="621"/>
      <c r="I196" s="631" t="s">
        <v>857</v>
      </c>
      <c r="J196" s="676" t="s">
        <v>374</v>
      </c>
      <c r="K196" s="669">
        <v>96.7</v>
      </c>
      <c r="L196" s="665">
        <v>98.1</v>
      </c>
      <c r="M196" s="625">
        <v>99.5</v>
      </c>
      <c r="N196" s="625">
        <v>100.2</v>
      </c>
      <c r="O196" s="625">
        <v>105</v>
      </c>
      <c r="P196" s="625">
        <v>107.1</v>
      </c>
      <c r="Q196" s="625">
        <v>110</v>
      </c>
      <c r="R196" s="625">
        <v>115</v>
      </c>
      <c r="S196" s="625">
        <v>118.3</v>
      </c>
      <c r="T196" s="625">
        <v>120</v>
      </c>
      <c r="U196" s="625">
        <v>120.5</v>
      </c>
      <c r="V196" s="625">
        <v>121</v>
      </c>
      <c r="W196" s="625">
        <v>121.2</v>
      </c>
      <c r="X196" s="625">
        <v>123.8</v>
      </c>
      <c r="Y196" s="625">
        <v>125</v>
      </c>
      <c r="Z196" s="625">
        <v>126.7</v>
      </c>
      <c r="AA196" s="625">
        <v>126.7</v>
      </c>
      <c r="AB196" s="625">
        <v>129.4</v>
      </c>
      <c r="AC196" s="625">
        <v>130.1</v>
      </c>
      <c r="AD196" s="625">
        <v>130.5</v>
      </c>
      <c r="AE196" s="625">
        <v>130.9</v>
      </c>
      <c r="AF196" s="625">
        <v>131.80000000000001</v>
      </c>
      <c r="AG196" s="625">
        <v>133.1</v>
      </c>
      <c r="AH196" s="625">
        <v>133.9</v>
      </c>
      <c r="AI196" s="764">
        <v>134.80000000000001</v>
      </c>
      <c r="AJ196" s="772">
        <v>136.6</v>
      </c>
      <c r="AK196" s="625">
        <v>138.80000000000001</v>
      </c>
      <c r="AL196" s="625">
        <v>139</v>
      </c>
      <c r="AM196" s="625">
        <v>140.19999999999999</v>
      </c>
      <c r="AN196" s="625">
        <v>140.69999999999999</v>
      </c>
      <c r="AO196" s="625">
        <v>141</v>
      </c>
      <c r="AP196" s="625">
        <v>142.4</v>
      </c>
      <c r="AQ196" s="625">
        <v>142.69999999999999</v>
      </c>
      <c r="AR196" s="625">
        <v>144</v>
      </c>
      <c r="AS196" s="625">
        <v>144.80000000000001</v>
      </c>
      <c r="AT196" s="625">
        <v>145.80000000000001</v>
      </c>
      <c r="AU196" s="764">
        <v>147.19999999999999</v>
      </c>
      <c r="AV196" s="752">
        <v>152.6</v>
      </c>
      <c r="AW196" s="626">
        <v>154.19999999999999</v>
      </c>
      <c r="AX196" s="626">
        <v>156.6</v>
      </c>
      <c r="AY196" s="626">
        <v>161.19999999999999</v>
      </c>
      <c r="AZ196" s="626">
        <v>162.19999999999999</v>
      </c>
      <c r="BA196" s="626">
        <v>163.4</v>
      </c>
      <c r="BB196" s="626">
        <v>164.4</v>
      </c>
      <c r="BC196" s="626">
        <v>166.8</v>
      </c>
      <c r="BD196" s="626">
        <v>167.5</v>
      </c>
      <c r="BE196" s="626">
        <v>169</v>
      </c>
      <c r="BF196" s="626">
        <v>171.4</v>
      </c>
      <c r="BG196" s="749">
        <v>171.9</v>
      </c>
      <c r="BH196" s="660">
        <v>174.7</v>
      </c>
      <c r="BI196" s="623">
        <v>176.7</v>
      </c>
      <c r="BJ196" s="623">
        <v>177.7</v>
      </c>
      <c r="BK196" s="623">
        <v>179.7</v>
      </c>
      <c r="BL196" s="623">
        <v>180.5</v>
      </c>
      <c r="BM196" s="623">
        <v>186.4</v>
      </c>
      <c r="BN196" s="623">
        <v>188.2</v>
      </c>
      <c r="BO196" s="623">
        <v>190.4</v>
      </c>
      <c r="BP196" s="623">
        <v>191.8</v>
      </c>
      <c r="BQ196" s="623">
        <v>193.8</v>
      </c>
      <c r="BR196" s="623">
        <v>195.2</v>
      </c>
      <c r="BS196" s="659">
        <v>196.7</v>
      </c>
      <c r="BT196" s="660">
        <v>198.6</v>
      </c>
      <c r="BU196" s="623">
        <v>207.4</v>
      </c>
      <c r="BV196" s="623">
        <v>208.8</v>
      </c>
      <c r="BW196" s="623">
        <v>209.8</v>
      </c>
      <c r="BX196" s="623">
        <v>217.8</v>
      </c>
      <c r="BY196" s="623">
        <v>222.4</v>
      </c>
      <c r="BZ196" s="623">
        <v>226.8</v>
      </c>
      <c r="CA196" s="623">
        <v>229.9</v>
      </c>
      <c r="CB196" s="623">
        <v>231.4</v>
      </c>
      <c r="CC196" s="623">
        <v>235.9</v>
      </c>
      <c r="CD196" s="623">
        <v>235.8</v>
      </c>
      <c r="CE196" s="659">
        <v>236.8</v>
      </c>
      <c r="CF196" s="660">
        <v>241.8</v>
      </c>
      <c r="CG196" s="623">
        <v>245.2</v>
      </c>
      <c r="CH196" s="623">
        <v>247</v>
      </c>
      <c r="CI196" s="623">
        <v>251</v>
      </c>
      <c r="CJ196" s="623">
        <v>261.2</v>
      </c>
      <c r="CK196" s="623">
        <v>260.8</v>
      </c>
      <c r="CL196" s="623">
        <v>270.39999999999998</v>
      </c>
      <c r="CM196" s="623">
        <v>274.3</v>
      </c>
      <c r="CN196" s="623">
        <v>279.39999999999998</v>
      </c>
      <c r="CO196" s="623">
        <v>280</v>
      </c>
      <c r="CP196" s="623">
        <v>281.60000000000002</v>
      </c>
      <c r="CQ196" s="659">
        <v>283.60000000000002</v>
      </c>
      <c r="CR196" s="660">
        <v>285.7</v>
      </c>
      <c r="CS196" s="623">
        <v>287.7</v>
      </c>
      <c r="CT196" s="623">
        <v>290.3</v>
      </c>
      <c r="CU196" s="623">
        <v>291.89999999999998</v>
      </c>
      <c r="CV196" s="623">
        <v>296.39999999999998</v>
      </c>
      <c r="CW196" s="623">
        <v>300.3</v>
      </c>
      <c r="CX196" s="623">
        <v>302.5</v>
      </c>
      <c r="CY196" s="623">
        <v>307.7</v>
      </c>
      <c r="CZ196" s="623">
        <v>309.60000000000002</v>
      </c>
      <c r="DA196" s="623">
        <v>315.10000000000002</v>
      </c>
      <c r="DB196" s="725">
        <v>319</v>
      </c>
      <c r="DC196" s="659">
        <v>319.7</v>
      </c>
      <c r="DD196" s="783">
        <v>321.39999999999998</v>
      </c>
      <c r="DE196" s="623">
        <v>326.2</v>
      </c>
      <c r="DF196" s="725">
        <v>337.5</v>
      </c>
      <c r="DG196" s="659">
        <v>331.1</v>
      </c>
      <c r="DH196" s="623">
        <v>349.2</v>
      </c>
      <c r="DI196" s="623">
        <v>354.1</v>
      </c>
      <c r="DJ196" s="623">
        <v>354.4</v>
      </c>
      <c r="DK196" s="659">
        <v>361.3</v>
      </c>
      <c r="DL196" s="897">
        <v>363.8</v>
      </c>
      <c r="DM196" s="110">
        <f t="shared" si="2"/>
        <v>1.0069194575145308</v>
      </c>
      <c r="DN196" s="111"/>
      <c r="DO196" s="111"/>
    </row>
    <row r="197" spans="1:119" s="115" customFormat="1" ht="10.5" customHeight="1">
      <c r="A197" s="114"/>
      <c r="B197" s="408"/>
      <c r="C197" s="622"/>
      <c r="D197" s="622"/>
      <c r="E197" s="621"/>
      <c r="F197" s="621"/>
      <c r="G197" s="621"/>
      <c r="H197" s="621"/>
      <c r="I197" s="631"/>
      <c r="J197" s="676"/>
      <c r="K197" s="669"/>
      <c r="L197" s="665"/>
      <c r="M197" s="625"/>
      <c r="N197" s="625"/>
      <c r="O197" s="625"/>
      <c r="P197" s="625"/>
      <c r="Q197" s="625"/>
      <c r="R197" s="625"/>
      <c r="S197" s="625"/>
      <c r="T197" s="625"/>
      <c r="U197" s="625"/>
      <c r="V197" s="625"/>
      <c r="W197" s="625"/>
      <c r="X197" s="625"/>
      <c r="Y197" s="625"/>
      <c r="Z197" s="625"/>
      <c r="AA197" s="625"/>
      <c r="AB197" s="625"/>
      <c r="AC197" s="625"/>
      <c r="AD197" s="625"/>
      <c r="AE197" s="625"/>
      <c r="AF197" s="625"/>
      <c r="AG197" s="625"/>
      <c r="AH197" s="625"/>
      <c r="AI197" s="764"/>
      <c r="AJ197" s="772"/>
      <c r="AK197" s="625"/>
      <c r="AL197" s="625"/>
      <c r="AM197" s="625"/>
      <c r="AN197" s="625"/>
      <c r="AO197" s="625"/>
      <c r="AP197" s="625"/>
      <c r="AQ197" s="625"/>
      <c r="AR197" s="625"/>
      <c r="AS197" s="625"/>
      <c r="AT197" s="625"/>
      <c r="AU197" s="764"/>
      <c r="AV197" s="752"/>
      <c r="AW197" s="626"/>
      <c r="AX197" s="626"/>
      <c r="AY197" s="626"/>
      <c r="AZ197" s="626"/>
      <c r="BA197" s="628"/>
      <c r="BB197" s="628"/>
      <c r="BC197" s="627"/>
      <c r="BD197" s="626"/>
      <c r="BE197" s="627"/>
      <c r="BF197" s="627"/>
      <c r="BG197" s="738"/>
      <c r="BH197" s="660"/>
      <c r="BI197" s="623"/>
      <c r="BJ197" s="623"/>
      <c r="BK197" s="623"/>
      <c r="BL197" s="623"/>
      <c r="BM197" s="623"/>
      <c r="BN197" s="623"/>
      <c r="BO197" s="623"/>
      <c r="BP197" s="623"/>
      <c r="BQ197" s="623"/>
      <c r="BR197" s="623"/>
      <c r="BS197" s="659"/>
      <c r="BT197" s="660"/>
      <c r="BU197" s="623"/>
      <c r="BV197" s="623"/>
      <c r="BW197" s="623"/>
      <c r="BX197" s="623"/>
      <c r="BY197" s="623"/>
      <c r="BZ197" s="623"/>
      <c r="CA197" s="623"/>
      <c r="CB197" s="623"/>
      <c r="CC197" s="623"/>
      <c r="CD197" s="623"/>
      <c r="CE197" s="659"/>
      <c r="CF197" s="660"/>
      <c r="CG197" s="623"/>
      <c r="CH197" s="623"/>
      <c r="CI197" s="623"/>
      <c r="CJ197" s="623"/>
      <c r="CK197" s="623"/>
      <c r="CL197" s="623"/>
      <c r="CM197" s="623"/>
      <c r="CN197" s="623"/>
      <c r="CO197" s="623"/>
      <c r="CP197" s="623"/>
      <c r="CQ197" s="659"/>
      <c r="CR197" s="660"/>
      <c r="CS197" s="623"/>
      <c r="CT197" s="623"/>
      <c r="CU197" s="623"/>
      <c r="CV197" s="623"/>
      <c r="CW197" s="623"/>
      <c r="CX197" s="623"/>
      <c r="CY197" s="623"/>
      <c r="CZ197" s="623"/>
      <c r="DA197" s="623"/>
      <c r="DB197" s="725"/>
      <c r="DC197" s="659"/>
      <c r="DD197" s="783"/>
      <c r="DE197" s="623"/>
      <c r="DF197" s="725"/>
      <c r="DG197" s="659"/>
      <c r="DH197" s="623"/>
      <c r="DI197" s="623"/>
      <c r="DJ197" s="623"/>
      <c r="DK197" s="659"/>
      <c r="DL197" s="897"/>
      <c r="DM197" s="110"/>
      <c r="DN197" s="110"/>
      <c r="DO197" s="110"/>
    </row>
    <row r="198" spans="1:119" s="115" customFormat="1" ht="11.25" customHeight="1">
      <c r="A198" s="114"/>
      <c r="B198" s="644"/>
      <c r="C198" s="646"/>
      <c r="D198" s="646"/>
      <c r="E198" s="645"/>
      <c r="F198" s="645"/>
      <c r="G198" s="645"/>
      <c r="H198" s="645"/>
      <c r="I198" s="892"/>
      <c r="J198" s="893"/>
      <c r="K198" s="877"/>
      <c r="L198" s="878"/>
      <c r="M198" s="879"/>
      <c r="N198" s="879"/>
      <c r="O198" s="879"/>
      <c r="P198" s="879"/>
      <c r="Q198" s="879"/>
      <c r="R198" s="879"/>
      <c r="S198" s="879"/>
      <c r="T198" s="879"/>
      <c r="U198" s="879"/>
      <c r="V198" s="879"/>
      <c r="W198" s="879"/>
      <c r="X198" s="879"/>
      <c r="Y198" s="879"/>
      <c r="Z198" s="879"/>
      <c r="AA198" s="879"/>
      <c r="AB198" s="879"/>
      <c r="AC198" s="879"/>
      <c r="AD198" s="879"/>
      <c r="AE198" s="879"/>
      <c r="AF198" s="879"/>
      <c r="AG198" s="879"/>
      <c r="AH198" s="879"/>
      <c r="AI198" s="880"/>
      <c r="AJ198" s="881"/>
      <c r="AK198" s="879"/>
      <c r="AL198" s="879"/>
      <c r="AM198" s="879"/>
      <c r="AN198" s="879"/>
      <c r="AO198" s="879"/>
      <c r="AP198" s="879"/>
      <c r="AQ198" s="879"/>
      <c r="AR198" s="879"/>
      <c r="AS198" s="879"/>
      <c r="AT198" s="879"/>
      <c r="AU198" s="880"/>
      <c r="AV198" s="882"/>
      <c r="AW198" s="883"/>
      <c r="AX198" s="883"/>
      <c r="AY198" s="883"/>
      <c r="AZ198" s="883"/>
      <c r="BA198" s="894"/>
      <c r="BB198" s="894"/>
      <c r="BC198" s="884"/>
      <c r="BD198" s="883"/>
      <c r="BE198" s="884"/>
      <c r="BF198" s="884"/>
      <c r="BG198" s="885"/>
      <c r="BH198" s="886"/>
      <c r="BI198" s="887"/>
      <c r="BJ198" s="887"/>
      <c r="BK198" s="887"/>
      <c r="BL198" s="887"/>
      <c r="BM198" s="887"/>
      <c r="BN198" s="887"/>
      <c r="BO198" s="887"/>
      <c r="BP198" s="887"/>
      <c r="BQ198" s="887"/>
      <c r="BR198" s="887"/>
      <c r="BS198" s="888"/>
      <c r="BT198" s="886"/>
      <c r="BU198" s="887"/>
      <c r="BV198" s="887"/>
      <c r="BW198" s="887"/>
      <c r="BX198" s="887"/>
      <c r="BY198" s="887"/>
      <c r="BZ198" s="887"/>
      <c r="CA198" s="887"/>
      <c r="CB198" s="887"/>
      <c r="CC198" s="887"/>
      <c r="CD198" s="887"/>
      <c r="CE198" s="888"/>
      <c r="CF198" s="886"/>
      <c r="CG198" s="887"/>
      <c r="CH198" s="887"/>
      <c r="CI198" s="887"/>
      <c r="CJ198" s="887"/>
      <c r="CK198" s="887"/>
      <c r="CL198" s="887"/>
      <c r="CM198" s="887"/>
      <c r="CN198" s="887"/>
      <c r="CO198" s="887"/>
      <c r="CP198" s="887"/>
      <c r="CQ198" s="888"/>
      <c r="CR198" s="886"/>
      <c r="CS198" s="887"/>
      <c r="CT198" s="887"/>
      <c r="CU198" s="887"/>
      <c r="CV198" s="887"/>
      <c r="CW198" s="887"/>
      <c r="CX198" s="887"/>
      <c r="CY198" s="887"/>
      <c r="CZ198" s="887"/>
      <c r="DA198" s="887"/>
      <c r="DB198" s="889"/>
      <c r="DC198" s="888"/>
      <c r="DD198" s="890"/>
      <c r="DE198" s="887"/>
      <c r="DF198" s="889"/>
      <c r="DG198" s="888"/>
      <c r="DH198" s="887"/>
      <c r="DI198" s="887"/>
      <c r="DJ198" s="623"/>
      <c r="DK198" s="659"/>
      <c r="DL198" s="897"/>
      <c r="DM198" s="110"/>
      <c r="DN198" s="110"/>
      <c r="DO198" s="110"/>
    </row>
    <row r="199" spans="1:119" s="115" customFormat="1" ht="17.25" customHeight="1">
      <c r="A199" s="114"/>
      <c r="B199" s="408">
        <v>500</v>
      </c>
      <c r="C199" s="622"/>
      <c r="D199" s="622" t="s">
        <v>376</v>
      </c>
      <c r="E199" s="622"/>
      <c r="F199" s="622"/>
      <c r="G199" s="621" t="s">
        <v>942</v>
      </c>
      <c r="H199" s="621"/>
      <c r="I199" s="390" t="s">
        <v>222</v>
      </c>
      <c r="J199" s="676" t="s">
        <v>185</v>
      </c>
      <c r="K199" s="669">
        <v>96.5</v>
      </c>
      <c r="L199" s="665">
        <v>101.8</v>
      </c>
      <c r="M199" s="625">
        <v>113.4</v>
      </c>
      <c r="N199" s="625">
        <v>122.4</v>
      </c>
      <c r="O199" s="625">
        <v>136.19999999999999</v>
      </c>
      <c r="P199" s="625">
        <v>146.30000000000001</v>
      </c>
      <c r="Q199" s="625">
        <v>153.5</v>
      </c>
      <c r="R199" s="625">
        <v>158.9</v>
      </c>
      <c r="S199" s="625">
        <v>161.69999999999999</v>
      </c>
      <c r="T199" s="625">
        <v>164.2</v>
      </c>
      <c r="U199" s="625">
        <v>166.3</v>
      </c>
      <c r="V199" s="625">
        <v>167.6</v>
      </c>
      <c r="W199" s="625">
        <v>167.9</v>
      </c>
      <c r="X199" s="625">
        <v>167.3</v>
      </c>
      <c r="Y199" s="625">
        <v>167.1</v>
      </c>
      <c r="Z199" s="625">
        <v>167.5</v>
      </c>
      <c r="AA199" s="625">
        <v>167.6</v>
      </c>
      <c r="AB199" s="625">
        <v>167.5</v>
      </c>
      <c r="AC199" s="625">
        <v>167.7</v>
      </c>
      <c r="AD199" s="625">
        <v>167.9</v>
      </c>
      <c r="AE199" s="625">
        <v>169.2</v>
      </c>
      <c r="AF199" s="625">
        <v>170.6</v>
      </c>
      <c r="AG199" s="625">
        <v>170.9</v>
      </c>
      <c r="AH199" s="625">
        <v>172.5</v>
      </c>
      <c r="AI199" s="764">
        <v>174.4</v>
      </c>
      <c r="AJ199" s="772">
        <v>175.5</v>
      </c>
      <c r="AK199" s="625">
        <v>178.6</v>
      </c>
      <c r="AL199" s="625">
        <v>182.6</v>
      </c>
      <c r="AM199" s="625">
        <v>185.7</v>
      </c>
      <c r="AN199" s="625">
        <v>188.8</v>
      </c>
      <c r="AO199" s="625">
        <v>191.6</v>
      </c>
      <c r="AP199" s="625">
        <v>193.1</v>
      </c>
      <c r="AQ199" s="625">
        <v>194.9</v>
      </c>
      <c r="AR199" s="625">
        <v>195.6</v>
      </c>
      <c r="AS199" s="625">
        <v>197.5</v>
      </c>
      <c r="AT199" s="625">
        <v>198.9</v>
      </c>
      <c r="AU199" s="764">
        <v>200.2</v>
      </c>
      <c r="AV199" s="752">
        <v>202.5</v>
      </c>
      <c r="AW199" s="626">
        <v>204.3</v>
      </c>
      <c r="AX199" s="626">
        <v>206.4</v>
      </c>
      <c r="AY199" s="626">
        <v>207.8</v>
      </c>
      <c r="AZ199" s="626">
        <v>209.4</v>
      </c>
      <c r="BA199" s="626">
        <v>210.2</v>
      </c>
      <c r="BB199" s="626">
        <v>211.2</v>
      </c>
      <c r="BC199" s="627">
        <v>212.8</v>
      </c>
      <c r="BD199" s="626">
        <v>214</v>
      </c>
      <c r="BE199" s="627">
        <v>215.9</v>
      </c>
      <c r="BF199" s="627">
        <v>219</v>
      </c>
      <c r="BG199" s="738">
        <v>221.1</v>
      </c>
      <c r="BH199" s="660">
        <v>223.6</v>
      </c>
      <c r="BI199" s="623">
        <v>226.3</v>
      </c>
      <c r="BJ199" s="623">
        <v>229.5</v>
      </c>
      <c r="BK199" s="623">
        <v>233.2</v>
      </c>
      <c r="BL199" s="623">
        <v>241.6</v>
      </c>
      <c r="BM199" s="623">
        <v>244</v>
      </c>
      <c r="BN199" s="623">
        <v>246.3</v>
      </c>
      <c r="BO199" s="623">
        <v>248</v>
      </c>
      <c r="BP199" s="623">
        <v>249.3</v>
      </c>
      <c r="BQ199" s="623">
        <v>251.7</v>
      </c>
      <c r="BR199" s="623">
        <v>253.4</v>
      </c>
      <c r="BS199" s="659">
        <v>254</v>
      </c>
      <c r="BT199" s="660">
        <v>257.7</v>
      </c>
      <c r="BU199" s="623">
        <v>259.3</v>
      </c>
      <c r="BV199" s="623">
        <v>263.39999999999998</v>
      </c>
      <c r="BW199" s="623">
        <v>268.3</v>
      </c>
      <c r="BX199" s="623">
        <v>273.3</v>
      </c>
      <c r="BY199" s="623">
        <v>278.89999999999998</v>
      </c>
      <c r="BZ199" s="623">
        <v>284.8</v>
      </c>
      <c r="CA199" s="623">
        <v>289.7</v>
      </c>
      <c r="CB199" s="623">
        <v>293.8</v>
      </c>
      <c r="CC199" s="623">
        <v>298.2</v>
      </c>
      <c r="CD199" s="623">
        <v>302.2</v>
      </c>
      <c r="CE199" s="659">
        <v>306.2</v>
      </c>
      <c r="CF199" s="660">
        <v>309.60000000000002</v>
      </c>
      <c r="CG199" s="623">
        <v>312.10000000000002</v>
      </c>
      <c r="CH199" s="623">
        <v>314.89999999999998</v>
      </c>
      <c r="CI199" s="623">
        <v>320.60000000000002</v>
      </c>
      <c r="CJ199" s="623">
        <v>325.5</v>
      </c>
      <c r="CK199" s="623">
        <v>330.4</v>
      </c>
      <c r="CL199" s="623">
        <v>334.1</v>
      </c>
      <c r="CM199" s="623">
        <v>337.3</v>
      </c>
      <c r="CN199" s="623">
        <v>339.4</v>
      </c>
      <c r="CO199" s="623">
        <v>340.3</v>
      </c>
      <c r="CP199" s="623">
        <v>342</v>
      </c>
      <c r="CQ199" s="659">
        <v>341.7</v>
      </c>
      <c r="CR199" s="660">
        <v>342.3</v>
      </c>
      <c r="CS199" s="623">
        <v>342.4</v>
      </c>
      <c r="CT199" s="623">
        <v>344</v>
      </c>
      <c r="CU199" s="623">
        <v>344.9</v>
      </c>
      <c r="CV199" s="623">
        <v>345.8</v>
      </c>
      <c r="CW199" s="623">
        <v>347.4</v>
      </c>
      <c r="CX199" s="623">
        <v>349.2</v>
      </c>
      <c r="CY199" s="623">
        <v>352.5</v>
      </c>
      <c r="CZ199" s="623">
        <v>355.4</v>
      </c>
      <c r="DA199" s="623">
        <v>358.3</v>
      </c>
      <c r="DB199" s="725">
        <v>360.9</v>
      </c>
      <c r="DC199" s="659">
        <v>362.4</v>
      </c>
      <c r="DD199" s="783">
        <v>365.4</v>
      </c>
      <c r="DE199" s="623">
        <v>369.5</v>
      </c>
      <c r="DF199" s="725">
        <v>373.5</v>
      </c>
      <c r="DG199" s="659">
        <v>376.5</v>
      </c>
      <c r="DH199" s="623">
        <v>380.7</v>
      </c>
      <c r="DI199" s="623">
        <v>384.6</v>
      </c>
      <c r="DJ199" s="623">
        <v>388.1</v>
      </c>
      <c r="DK199" s="659">
        <v>391.3</v>
      </c>
      <c r="DL199" s="897">
        <v>394.5</v>
      </c>
      <c r="DM199" s="110">
        <f t="shared" si="2"/>
        <v>1.008177868642985</v>
      </c>
      <c r="DN199" s="110"/>
      <c r="DO199" s="110"/>
    </row>
    <row r="200" spans="1:119" s="115" customFormat="1" ht="9" customHeight="1">
      <c r="A200" s="114"/>
      <c r="B200" s="408"/>
      <c r="C200" s="621"/>
      <c r="D200" s="622"/>
      <c r="E200" s="621"/>
      <c r="F200" s="622"/>
      <c r="G200" s="621"/>
      <c r="H200" s="621"/>
      <c r="I200" s="390"/>
      <c r="J200" s="651"/>
      <c r="K200" s="669"/>
      <c r="L200" s="665"/>
      <c r="M200" s="625"/>
      <c r="N200" s="625"/>
      <c r="O200" s="625"/>
      <c r="P200" s="625"/>
      <c r="Q200" s="625"/>
      <c r="R200" s="625"/>
      <c r="S200" s="625"/>
      <c r="T200" s="625"/>
      <c r="U200" s="625"/>
      <c r="V200" s="625"/>
      <c r="W200" s="625"/>
      <c r="X200" s="625"/>
      <c r="Y200" s="625"/>
      <c r="Z200" s="625"/>
      <c r="AA200" s="625"/>
      <c r="AB200" s="625"/>
      <c r="AC200" s="625"/>
      <c r="AD200" s="625"/>
      <c r="AE200" s="625"/>
      <c r="AF200" s="625"/>
      <c r="AG200" s="625"/>
      <c r="AH200" s="625"/>
      <c r="AI200" s="764"/>
      <c r="AJ200" s="772"/>
      <c r="AK200" s="625"/>
      <c r="AL200" s="625"/>
      <c r="AM200" s="625"/>
      <c r="AN200" s="625"/>
      <c r="AO200" s="625"/>
      <c r="AP200" s="625"/>
      <c r="AQ200" s="625"/>
      <c r="AR200" s="625"/>
      <c r="AS200" s="625"/>
      <c r="AT200" s="625"/>
      <c r="AU200" s="764"/>
      <c r="AV200" s="752"/>
      <c r="AW200" s="626"/>
      <c r="AX200" s="626"/>
      <c r="AY200" s="626"/>
      <c r="AZ200" s="626"/>
      <c r="BA200" s="626"/>
      <c r="BB200" s="626"/>
      <c r="BC200" s="627"/>
      <c r="BD200" s="626"/>
      <c r="BE200" s="627"/>
      <c r="BF200" s="627"/>
      <c r="BG200" s="738"/>
      <c r="BH200" s="660"/>
      <c r="BI200" s="623"/>
      <c r="BJ200" s="623"/>
      <c r="BK200" s="623"/>
      <c r="BL200" s="623"/>
      <c r="BM200" s="623"/>
      <c r="BN200" s="623"/>
      <c r="BO200" s="623"/>
      <c r="BP200" s="623"/>
      <c r="BQ200" s="623"/>
      <c r="BR200" s="623"/>
      <c r="BS200" s="659"/>
      <c r="BT200" s="660"/>
      <c r="BU200" s="623"/>
      <c r="BV200" s="623"/>
      <c r="BW200" s="623"/>
      <c r="BX200" s="623"/>
      <c r="BY200" s="623"/>
      <c r="BZ200" s="623"/>
      <c r="CA200" s="623"/>
      <c r="CB200" s="623"/>
      <c r="CC200" s="623"/>
      <c r="CD200" s="623"/>
      <c r="CE200" s="659"/>
      <c r="CF200" s="660"/>
      <c r="CG200" s="623"/>
      <c r="CH200" s="623"/>
      <c r="CI200" s="623"/>
      <c r="CJ200" s="623"/>
      <c r="CK200" s="623"/>
      <c r="CL200" s="623"/>
      <c r="CM200" s="623"/>
      <c r="CN200" s="623"/>
      <c r="CO200" s="623"/>
      <c r="CP200" s="623"/>
      <c r="CQ200" s="659"/>
      <c r="CR200" s="660"/>
      <c r="CS200" s="623"/>
      <c r="CT200" s="623"/>
      <c r="CU200" s="623"/>
      <c r="CV200" s="623"/>
      <c r="CW200" s="623"/>
      <c r="CX200" s="623"/>
      <c r="CY200" s="623"/>
      <c r="CZ200" s="623"/>
      <c r="DA200" s="623"/>
      <c r="DB200" s="725"/>
      <c r="DC200" s="659"/>
      <c r="DD200" s="783"/>
      <c r="DE200" s="623"/>
      <c r="DF200" s="725"/>
      <c r="DG200" s="659"/>
      <c r="DH200" s="623"/>
      <c r="DI200" s="623"/>
      <c r="DJ200" s="623"/>
      <c r="DK200" s="659"/>
      <c r="DL200" s="897"/>
      <c r="DM200" s="110"/>
      <c r="DN200" s="110"/>
      <c r="DO200" s="110"/>
    </row>
    <row r="201" spans="1:119" s="115" customFormat="1" ht="20.25" customHeight="1">
      <c r="A201" s="114"/>
      <c r="B201" s="408">
        <v>510</v>
      </c>
      <c r="C201" s="622"/>
      <c r="D201" s="622" t="s">
        <v>377</v>
      </c>
      <c r="E201" s="621" t="s">
        <v>378</v>
      </c>
      <c r="F201" s="622"/>
      <c r="G201" s="621" t="s">
        <v>942</v>
      </c>
      <c r="H201" s="621"/>
      <c r="I201" s="390" t="s">
        <v>858</v>
      </c>
      <c r="J201" s="676" t="s">
        <v>379</v>
      </c>
      <c r="K201" s="669">
        <v>95</v>
      </c>
      <c r="L201" s="665">
        <v>97.6</v>
      </c>
      <c r="M201" s="625">
        <v>103</v>
      </c>
      <c r="N201" s="625">
        <v>107.4</v>
      </c>
      <c r="O201" s="625">
        <v>114.4</v>
      </c>
      <c r="P201" s="625">
        <v>119.3</v>
      </c>
      <c r="Q201" s="625">
        <v>123</v>
      </c>
      <c r="R201" s="625">
        <v>127.8</v>
      </c>
      <c r="S201" s="625">
        <v>130.19999999999999</v>
      </c>
      <c r="T201" s="625">
        <v>132.30000000000001</v>
      </c>
      <c r="U201" s="625">
        <v>133.30000000000001</v>
      </c>
      <c r="V201" s="625">
        <v>134</v>
      </c>
      <c r="W201" s="625">
        <v>134.19999999999999</v>
      </c>
      <c r="X201" s="625">
        <v>135.69999999999999</v>
      </c>
      <c r="Y201" s="625">
        <v>135.69999999999999</v>
      </c>
      <c r="Z201" s="625">
        <v>136.30000000000001</v>
      </c>
      <c r="AA201" s="625">
        <v>135.6</v>
      </c>
      <c r="AB201" s="625">
        <v>137.4</v>
      </c>
      <c r="AC201" s="625">
        <v>137.4</v>
      </c>
      <c r="AD201" s="625">
        <v>138.1</v>
      </c>
      <c r="AE201" s="625">
        <v>139.9</v>
      </c>
      <c r="AF201" s="625">
        <v>141.1</v>
      </c>
      <c r="AG201" s="625">
        <v>142.5</v>
      </c>
      <c r="AH201" s="625">
        <v>144</v>
      </c>
      <c r="AI201" s="764">
        <v>147</v>
      </c>
      <c r="AJ201" s="772">
        <v>150.30000000000001</v>
      </c>
      <c r="AK201" s="625">
        <v>153.19999999999999</v>
      </c>
      <c r="AL201" s="625">
        <v>155.19999999999999</v>
      </c>
      <c r="AM201" s="625">
        <v>156.80000000000001</v>
      </c>
      <c r="AN201" s="625">
        <v>158.1</v>
      </c>
      <c r="AO201" s="625">
        <v>159.19999999999999</v>
      </c>
      <c r="AP201" s="625">
        <v>161.69999999999999</v>
      </c>
      <c r="AQ201" s="625">
        <v>162</v>
      </c>
      <c r="AR201" s="625">
        <v>162.30000000000001</v>
      </c>
      <c r="AS201" s="625">
        <v>163.69999999999999</v>
      </c>
      <c r="AT201" s="625">
        <v>164.3</v>
      </c>
      <c r="AU201" s="764">
        <v>164.3</v>
      </c>
      <c r="AV201" s="752">
        <v>169.9</v>
      </c>
      <c r="AW201" s="626">
        <v>171.1</v>
      </c>
      <c r="AX201" s="626">
        <v>172.5</v>
      </c>
      <c r="AY201" s="626">
        <v>178.7</v>
      </c>
      <c r="AZ201" s="626">
        <v>180.5</v>
      </c>
      <c r="BA201" s="626">
        <v>181.6</v>
      </c>
      <c r="BB201" s="626">
        <v>182.5</v>
      </c>
      <c r="BC201" s="627">
        <v>184.1</v>
      </c>
      <c r="BD201" s="626">
        <v>185</v>
      </c>
      <c r="BE201" s="627">
        <v>187.3</v>
      </c>
      <c r="BF201" s="627">
        <v>192.9</v>
      </c>
      <c r="BG201" s="738">
        <v>194.4</v>
      </c>
      <c r="BH201" s="660">
        <v>198.6</v>
      </c>
      <c r="BI201" s="623">
        <v>202.9</v>
      </c>
      <c r="BJ201" s="623">
        <v>205.1</v>
      </c>
      <c r="BK201" s="623">
        <v>208.9</v>
      </c>
      <c r="BL201" s="623">
        <v>213.7</v>
      </c>
      <c r="BM201" s="623">
        <v>221.2</v>
      </c>
      <c r="BN201" s="623">
        <v>223.2</v>
      </c>
      <c r="BO201" s="623">
        <v>224.5</v>
      </c>
      <c r="BP201" s="623">
        <v>229.5</v>
      </c>
      <c r="BQ201" s="623">
        <v>232.1</v>
      </c>
      <c r="BR201" s="623">
        <v>233.7</v>
      </c>
      <c r="BS201" s="659">
        <v>235.3</v>
      </c>
      <c r="BT201" s="660">
        <v>241.2</v>
      </c>
      <c r="BU201" s="623">
        <v>243</v>
      </c>
      <c r="BV201" s="623">
        <v>244.8</v>
      </c>
      <c r="BW201" s="623">
        <v>248.8</v>
      </c>
      <c r="BX201" s="623">
        <v>257.5</v>
      </c>
      <c r="BY201" s="623">
        <v>261.8</v>
      </c>
      <c r="BZ201" s="623">
        <v>269.60000000000002</v>
      </c>
      <c r="CA201" s="623">
        <v>272.60000000000002</v>
      </c>
      <c r="CB201" s="623">
        <v>275.7</v>
      </c>
      <c r="CC201" s="623">
        <v>283.60000000000002</v>
      </c>
      <c r="CD201" s="623">
        <v>283.10000000000002</v>
      </c>
      <c r="CE201" s="659">
        <v>286.10000000000002</v>
      </c>
      <c r="CF201" s="660">
        <v>288.10000000000002</v>
      </c>
      <c r="CG201" s="623">
        <v>289.89999999999998</v>
      </c>
      <c r="CH201" s="623">
        <v>291.7</v>
      </c>
      <c r="CI201" s="623">
        <v>295.10000000000002</v>
      </c>
      <c r="CJ201" s="623">
        <v>309.5</v>
      </c>
      <c r="CK201" s="623">
        <v>309.5</v>
      </c>
      <c r="CL201" s="623">
        <v>318.8</v>
      </c>
      <c r="CM201" s="623">
        <v>319.7</v>
      </c>
      <c r="CN201" s="623">
        <v>324.89999999999998</v>
      </c>
      <c r="CO201" s="623">
        <v>325.89999999999998</v>
      </c>
      <c r="CP201" s="623">
        <v>327</v>
      </c>
      <c r="CQ201" s="659">
        <v>327</v>
      </c>
      <c r="CR201" s="660">
        <v>328.5</v>
      </c>
      <c r="CS201" s="623">
        <v>329.6</v>
      </c>
      <c r="CT201" s="623">
        <v>330.4</v>
      </c>
      <c r="CU201" s="623">
        <v>332.4</v>
      </c>
      <c r="CV201" s="623">
        <v>334.4</v>
      </c>
      <c r="CW201" s="623">
        <v>343.4</v>
      </c>
      <c r="CX201" s="623">
        <v>346.2</v>
      </c>
      <c r="CY201" s="623">
        <v>348.5</v>
      </c>
      <c r="CZ201" s="623">
        <v>349.6</v>
      </c>
      <c r="DA201" s="623">
        <v>358.9</v>
      </c>
      <c r="DB201" s="725">
        <v>363</v>
      </c>
      <c r="DC201" s="659">
        <v>364.4</v>
      </c>
      <c r="DD201" s="783">
        <v>366.2</v>
      </c>
      <c r="DE201" s="623">
        <v>373.2</v>
      </c>
      <c r="DF201" s="725">
        <v>386.1</v>
      </c>
      <c r="DG201" s="659">
        <v>376.6</v>
      </c>
      <c r="DH201" s="623">
        <v>394.3</v>
      </c>
      <c r="DI201" s="623">
        <v>398.3</v>
      </c>
      <c r="DJ201" s="623">
        <v>403.7</v>
      </c>
      <c r="DK201" s="659">
        <v>411.2</v>
      </c>
      <c r="DL201" s="897">
        <v>415.1</v>
      </c>
      <c r="DM201" s="110">
        <f t="shared" si="2"/>
        <v>1.0094844357976656</v>
      </c>
      <c r="DN201" s="110"/>
      <c r="DO201" s="110"/>
    </row>
    <row r="202" spans="1:119" s="115" customFormat="1" ht="18.95" customHeight="1">
      <c r="A202" s="114"/>
      <c r="B202" s="408">
        <v>511</v>
      </c>
      <c r="C202" s="622"/>
      <c r="D202" s="622" t="s">
        <v>380</v>
      </c>
      <c r="E202" s="622"/>
      <c r="F202" s="622"/>
      <c r="G202" s="621" t="s">
        <v>336</v>
      </c>
      <c r="H202" s="621"/>
      <c r="I202" s="390"/>
      <c r="J202" s="676" t="s">
        <v>381</v>
      </c>
      <c r="K202" s="669">
        <v>100</v>
      </c>
      <c r="L202" s="665">
        <v>105.44</v>
      </c>
      <c r="M202" s="625">
        <v>117.24</v>
      </c>
      <c r="N202" s="625">
        <v>135.36000000000001</v>
      </c>
      <c r="O202" s="625">
        <v>167.99199999999999</v>
      </c>
      <c r="P202" s="625">
        <v>171.62</v>
      </c>
      <c r="Q202" s="625">
        <v>193.21</v>
      </c>
      <c r="R202" s="625">
        <v>219.14</v>
      </c>
      <c r="S202" s="625">
        <v>234.44</v>
      </c>
      <c r="T202" s="625">
        <v>246.62</v>
      </c>
      <c r="U202" s="625">
        <v>250.75</v>
      </c>
      <c r="V202" s="625">
        <v>250.88</v>
      </c>
      <c r="W202" s="625">
        <v>250.88</v>
      </c>
      <c r="X202" s="625">
        <v>252.16</v>
      </c>
      <c r="Y202" s="625">
        <v>259.16000000000003</v>
      </c>
      <c r="Z202" s="625">
        <v>268.73</v>
      </c>
      <c r="AA202" s="625">
        <v>268.73</v>
      </c>
      <c r="AB202" s="625">
        <v>276.12</v>
      </c>
      <c r="AC202" s="625">
        <v>276.12099999999998</v>
      </c>
      <c r="AD202" s="625">
        <v>276.64999999999998</v>
      </c>
      <c r="AE202" s="625">
        <v>276.56</v>
      </c>
      <c r="AF202" s="625">
        <v>277.88</v>
      </c>
      <c r="AG202" s="625">
        <v>280.76</v>
      </c>
      <c r="AH202" s="625">
        <v>282.45</v>
      </c>
      <c r="AI202" s="764">
        <v>288.14999999999998</v>
      </c>
      <c r="AJ202" s="772">
        <v>295.87</v>
      </c>
      <c r="AK202" s="625">
        <v>329.51</v>
      </c>
      <c r="AL202" s="625">
        <v>342.12</v>
      </c>
      <c r="AM202" s="625">
        <v>351.02</v>
      </c>
      <c r="AN202" s="625">
        <v>353.32</v>
      </c>
      <c r="AO202" s="625">
        <v>363.26</v>
      </c>
      <c r="AP202" s="625">
        <v>363.26</v>
      </c>
      <c r="AQ202" s="625">
        <v>363.28</v>
      </c>
      <c r="AR202" s="625">
        <f>+'ANEXO G'!M54</f>
        <v>366.41</v>
      </c>
      <c r="AS202" s="625">
        <f>+'ANEXO G'!N54</f>
        <v>369.33</v>
      </c>
      <c r="AT202" s="625">
        <f>+'ANEXO G'!O54</f>
        <v>383.61</v>
      </c>
      <c r="AU202" s="764">
        <f>+'ANEXO G'!P54</f>
        <v>384.44</v>
      </c>
      <c r="AV202" s="752">
        <f>+'ANEXO G'!E68</f>
        <v>388.9</v>
      </c>
      <c r="AW202" s="626">
        <f>+'ANEXO G'!F68</f>
        <v>388.9</v>
      </c>
      <c r="AX202" s="626">
        <f>+'ANEXO G'!G68</f>
        <v>394.87</v>
      </c>
      <c r="AY202" s="626">
        <f>+'ANEXO G'!H68</f>
        <v>379.11</v>
      </c>
      <c r="AZ202" s="626">
        <f>+'ANEXO G'!I68</f>
        <v>379.11</v>
      </c>
      <c r="BA202" s="626">
        <f>+'ANEXO G'!J68</f>
        <v>379.11</v>
      </c>
      <c r="BB202" s="626">
        <f>+'ANEXO G'!K68</f>
        <v>380.83</v>
      </c>
      <c r="BC202" s="626">
        <f>+'ANEXO G'!L68</f>
        <v>385.89</v>
      </c>
      <c r="BD202" s="626">
        <f>+'ANEXO G'!M68</f>
        <v>385.89</v>
      </c>
      <c r="BE202" s="626">
        <f>+'ANEXO G'!N68</f>
        <v>385.87</v>
      </c>
      <c r="BF202" s="626">
        <f>+'ANEXO G'!O68</f>
        <v>397.17</v>
      </c>
      <c r="BG202" s="749">
        <f>+'ANEXO G'!P68</f>
        <v>397.17</v>
      </c>
      <c r="BH202" s="660">
        <f>+'ANEXO G'!E82</f>
        <v>401.17</v>
      </c>
      <c r="BI202" s="623">
        <f>+'ANEXO G'!F82</f>
        <v>401.17</v>
      </c>
      <c r="BJ202" s="623">
        <f>+'ANEXO G'!G82</f>
        <v>402.29</v>
      </c>
      <c r="BK202" s="623">
        <f>+'ANEXO G'!H82</f>
        <v>405.32</v>
      </c>
      <c r="BL202" s="623">
        <f>+'ANEXO G'!I82</f>
        <v>412.96</v>
      </c>
      <c r="BM202" s="623">
        <f>+'ANEXO G'!J82</f>
        <v>412.96</v>
      </c>
      <c r="BN202" s="623">
        <f>+'ANEXO G'!K82</f>
        <v>414.03</v>
      </c>
      <c r="BO202" s="623">
        <f>+'ANEXO G'!L82</f>
        <v>414.03</v>
      </c>
      <c r="BP202" s="623">
        <f>+'ANEXO G'!M82</f>
        <v>398.48</v>
      </c>
      <c r="BQ202" s="623">
        <f>+'ANEXO G'!N82</f>
        <v>421.67</v>
      </c>
      <c r="BR202" s="623">
        <f>+'ANEXO G'!O82</f>
        <v>422.48</v>
      </c>
      <c r="BS202" s="659">
        <f>+'ANEXO G'!P82</f>
        <v>427.68</v>
      </c>
      <c r="BT202" s="660">
        <f>+'ANEXO G'!E96</f>
        <v>434.36</v>
      </c>
      <c r="BU202" s="623">
        <f>+'ANEXO G'!F96</f>
        <v>434.36</v>
      </c>
      <c r="BV202" s="623">
        <f>+'ANEXO G'!G96</f>
        <v>442.76</v>
      </c>
      <c r="BW202" s="623">
        <f>+'ANEXO G'!H96</f>
        <v>442.93</v>
      </c>
      <c r="BX202" s="623">
        <f>+'ANEXO G'!I96</f>
        <v>452.79</v>
      </c>
      <c r="BY202" s="623">
        <f>+'ANEXO G'!J96</f>
        <v>455</v>
      </c>
      <c r="BZ202" s="623">
        <f>+'ANEXO G'!K96</f>
        <v>461.6</v>
      </c>
      <c r="CA202" s="623">
        <f>+'ANEXO G'!L96</f>
        <v>462.23</v>
      </c>
      <c r="CB202" s="623">
        <f>+'ANEXO G'!M96</f>
        <v>478.85</v>
      </c>
      <c r="CC202" s="623">
        <v>478.79</v>
      </c>
      <c r="CD202" s="623">
        <f>+'ANEXO G'!O96</f>
        <v>480.9</v>
      </c>
      <c r="CE202" s="659">
        <f>+'ANEXO G'!P96</f>
        <v>501.17</v>
      </c>
      <c r="CF202" s="660">
        <f>+'ANEXO G'!E110</f>
        <v>494.32</v>
      </c>
      <c r="CG202" s="623">
        <f>+'ANEXO G'!F110</f>
        <v>494.32</v>
      </c>
      <c r="CH202" s="623">
        <f>+'ANEXO G'!G110</f>
        <v>498.77</v>
      </c>
      <c r="CI202" s="623">
        <f>+'ANEXO G'!H110</f>
        <v>521.47</v>
      </c>
      <c r="CJ202" s="623">
        <f>+'ANEXO G'!I110</f>
        <v>524.80999999999995</v>
      </c>
      <c r="CK202" s="623">
        <f>+'ANEXO G'!J110</f>
        <v>548.9</v>
      </c>
      <c r="CL202" s="623">
        <f>+'ANEXO G'!K110</f>
        <v>566.51</v>
      </c>
      <c r="CM202" s="623">
        <f>+'ANEXO G'!L110</f>
        <v>563.16</v>
      </c>
      <c r="CN202" s="623">
        <f>+'ANEXO G'!M110</f>
        <v>597.53</v>
      </c>
      <c r="CO202" s="623">
        <f>+'ANEXO G'!N110</f>
        <v>598.37</v>
      </c>
      <c r="CP202" s="623">
        <f>+'ANEXO G'!O110</f>
        <v>598.37</v>
      </c>
      <c r="CQ202" s="659">
        <f>+'ANEXO G'!P110</f>
        <v>598.37</v>
      </c>
      <c r="CR202" s="660">
        <f>+'ANEXO G'!E124</f>
        <v>598.37</v>
      </c>
      <c r="CS202" s="623">
        <f>+'ANEXO G'!F124</f>
        <v>598.37</v>
      </c>
      <c r="CT202" s="623">
        <f>+'ANEXO G'!G124</f>
        <v>598.37</v>
      </c>
      <c r="CU202" s="623">
        <f>+'ANEXO G'!H124</f>
        <v>598.37</v>
      </c>
      <c r="CV202" s="623">
        <f>+'ANEXO G'!I124</f>
        <v>606.4</v>
      </c>
      <c r="CW202" s="623">
        <f>+'ANEXO G'!J124</f>
        <v>610.91999999999996</v>
      </c>
      <c r="CX202" s="623">
        <f>+'ANEXO G'!K124</f>
        <v>616.17999999999995</v>
      </c>
      <c r="CY202" s="623">
        <f>+'ANEXO G'!L124</f>
        <v>616.17999999999995</v>
      </c>
      <c r="CZ202" s="623">
        <f>+'ANEXO G'!M124</f>
        <v>616.17999999999995</v>
      </c>
      <c r="DA202" s="623">
        <f>+'ANEXO G'!N124</f>
        <v>629.54</v>
      </c>
      <c r="DB202" s="659">
        <f>+'ANEXO G'!O124</f>
        <v>629.54</v>
      </c>
      <c r="DC202" s="659">
        <f>+'ANEXO G'!P124</f>
        <v>625.54</v>
      </c>
      <c r="DD202" s="783">
        <f>+'ANEXO G'!E138</f>
        <v>625.66999999999996</v>
      </c>
      <c r="DE202" s="623">
        <f>+'ANEXO G'!F138</f>
        <v>647.71</v>
      </c>
      <c r="DF202" s="725">
        <f>+'ANEXO G'!G138</f>
        <v>665.24</v>
      </c>
      <c r="DG202" s="659">
        <f>+'ANEXO G'!H138</f>
        <v>664.77</v>
      </c>
      <c r="DH202" s="623">
        <f>+'ANEXO G'!I138</f>
        <v>671.29</v>
      </c>
      <c r="DI202" s="623">
        <f>+'ANEXO G'!J138</f>
        <v>679.45</v>
      </c>
      <c r="DJ202" s="623">
        <f>+'ANEXO G'!K138</f>
        <v>679.45</v>
      </c>
      <c r="DK202" s="659">
        <f>+'ANEXO G'!L138</f>
        <v>691.84</v>
      </c>
      <c r="DL202" s="897">
        <f>+'ANEXO G'!M138</f>
        <v>702.61</v>
      </c>
      <c r="DM202" s="110">
        <f t="shared" si="2"/>
        <v>1.0155671831637372</v>
      </c>
      <c r="DN202" s="111"/>
      <c r="DO202" s="111"/>
    </row>
    <row r="203" spans="1:119" s="115" customFormat="1" ht="18.95" customHeight="1">
      <c r="A203" s="114"/>
      <c r="B203" s="408">
        <v>512</v>
      </c>
      <c r="C203" s="622"/>
      <c r="D203" s="622" t="s">
        <v>382</v>
      </c>
      <c r="E203" s="622"/>
      <c r="F203" s="622"/>
      <c r="G203" s="621" t="s">
        <v>336</v>
      </c>
      <c r="H203" s="621"/>
      <c r="I203" s="390"/>
      <c r="J203" s="676" t="s">
        <v>383</v>
      </c>
      <c r="K203" s="669">
        <v>100</v>
      </c>
      <c r="L203" s="665">
        <v>102.24</v>
      </c>
      <c r="M203" s="625">
        <v>108.83</v>
      </c>
      <c r="N203" s="625">
        <v>110.82</v>
      </c>
      <c r="O203" s="625">
        <v>125.08</v>
      </c>
      <c r="P203" s="625">
        <v>131.63</v>
      </c>
      <c r="Q203" s="625">
        <v>143.69999999999999</v>
      </c>
      <c r="R203" s="625">
        <v>160.29</v>
      </c>
      <c r="S203" s="625">
        <v>173.35</v>
      </c>
      <c r="T203" s="625">
        <v>176.19</v>
      </c>
      <c r="U203" s="625">
        <v>178.33</v>
      </c>
      <c r="V203" s="625">
        <v>179.61</v>
      </c>
      <c r="W203" s="625">
        <v>180.03</v>
      </c>
      <c r="X203" s="625">
        <v>183.51</v>
      </c>
      <c r="Y203" s="625">
        <v>183.5</v>
      </c>
      <c r="Z203" s="625">
        <v>186.49</v>
      </c>
      <c r="AA203" s="625">
        <v>186.93</v>
      </c>
      <c r="AB203" s="625">
        <v>192.07</v>
      </c>
      <c r="AC203" s="625">
        <v>192.22</v>
      </c>
      <c r="AD203" s="625">
        <v>199.87</v>
      </c>
      <c r="AE203" s="625">
        <v>199.68</v>
      </c>
      <c r="AF203" s="625">
        <v>203.06</v>
      </c>
      <c r="AG203" s="625">
        <v>209.33</v>
      </c>
      <c r="AH203" s="625">
        <v>214.71</v>
      </c>
      <c r="AI203" s="764">
        <v>219.06</v>
      </c>
      <c r="AJ203" s="772">
        <v>221.76</v>
      </c>
      <c r="AK203" s="625">
        <v>225.56</v>
      </c>
      <c r="AL203" s="625">
        <v>231.35</v>
      </c>
      <c r="AM203" s="625">
        <v>246.4</v>
      </c>
      <c r="AN203" s="625">
        <v>260.37</v>
      </c>
      <c r="AO203" s="625">
        <v>264.98</v>
      </c>
      <c r="AP203" s="625">
        <v>265.22000000000003</v>
      </c>
      <c r="AQ203" s="625">
        <v>265.52999999999997</v>
      </c>
      <c r="AR203" s="625">
        <f>+'ANEXO H'!M61</f>
        <v>265.92</v>
      </c>
      <c r="AS203" s="625">
        <f>+'ANEXO H'!N61</f>
        <v>267.10000000000002</v>
      </c>
      <c r="AT203" s="625">
        <f>+'ANEXO H'!O61</f>
        <v>276.88</v>
      </c>
      <c r="AU203" s="764">
        <f>+'ANEXO H'!P61</f>
        <v>276.93</v>
      </c>
      <c r="AV203" s="752">
        <f>+'ANEXO H'!E77</f>
        <v>287.12</v>
      </c>
      <c r="AW203" s="626">
        <f>+'ANEXO H'!F77</f>
        <v>287.63</v>
      </c>
      <c r="AX203" s="626">
        <f>+'ANEXO H'!G77</f>
        <v>301.35000000000002</v>
      </c>
      <c r="AY203" s="626">
        <f>+'ANEXO H'!H77</f>
        <v>313.64999999999998</v>
      </c>
      <c r="AZ203" s="626">
        <f>+'ANEXO H'!I77</f>
        <v>313.62</v>
      </c>
      <c r="BA203" s="626">
        <f>+'ANEXO H'!J77</f>
        <v>313.57</v>
      </c>
      <c r="BB203" s="626">
        <f>+'ANEXO H'!K77</f>
        <v>314.75</v>
      </c>
      <c r="BC203" s="626">
        <f>+'ANEXO H'!L77</f>
        <v>314.64</v>
      </c>
      <c r="BD203" s="626">
        <f>+'ANEXO H'!M77</f>
        <v>314.82</v>
      </c>
      <c r="BE203" s="626">
        <f>+'ANEXO H'!N77</f>
        <v>315.45</v>
      </c>
      <c r="BF203" s="626">
        <f>+'ANEXO H'!O77</f>
        <v>341.25</v>
      </c>
      <c r="BG203" s="749">
        <f>+'ANEXO H'!P77</f>
        <v>341.47</v>
      </c>
      <c r="BH203" s="660">
        <f>+'ANEXO H'!E93</f>
        <v>347.55</v>
      </c>
      <c r="BI203" s="623">
        <f>+'ANEXO H'!F93</f>
        <v>348.81</v>
      </c>
      <c r="BJ203" s="623">
        <f>+'ANEXO H'!G93</f>
        <v>352.13</v>
      </c>
      <c r="BK203" s="623">
        <f>+'ANEXO H'!H93</f>
        <v>360.98</v>
      </c>
      <c r="BL203" s="623">
        <f>+'ANEXO H'!I93</f>
        <v>378.52</v>
      </c>
      <c r="BM203" s="623">
        <f>+'ANEXO H'!J93</f>
        <v>378.68</v>
      </c>
      <c r="BN203" s="623">
        <f>+'ANEXO H'!K93</f>
        <v>381.09</v>
      </c>
      <c r="BO203" s="623">
        <f>+'ANEXO H'!L93</f>
        <v>381.64</v>
      </c>
      <c r="BP203" s="623">
        <f>+'ANEXO H'!M93</f>
        <v>346.26</v>
      </c>
      <c r="BQ203" s="623">
        <f>+'ANEXO H'!N93</f>
        <v>399.12</v>
      </c>
      <c r="BR203" s="623">
        <f>+'ANEXO H'!O93</f>
        <v>399.35</v>
      </c>
      <c r="BS203" s="659">
        <f>+'ANEXO H'!P93</f>
        <v>401.62</v>
      </c>
      <c r="BT203" s="660">
        <f>+'ANEXO H'!E109</f>
        <v>418.73</v>
      </c>
      <c r="BU203" s="623">
        <f>+'ANEXO H'!F109</f>
        <v>419.01</v>
      </c>
      <c r="BV203" s="623">
        <f>+'ANEXO H'!G109</f>
        <v>423.42</v>
      </c>
      <c r="BW203" s="623">
        <f>+'ANEXO H'!H109</f>
        <v>424.22</v>
      </c>
      <c r="BX203" s="623">
        <f>+'ANEXO H'!I109</f>
        <v>447.54</v>
      </c>
      <c r="BY203" s="623">
        <f>+'ANEXO H'!J109</f>
        <v>449.32</v>
      </c>
      <c r="BZ203" s="623">
        <f>+'ANEXO H'!K109</f>
        <v>465.11</v>
      </c>
      <c r="CA203" s="623">
        <f>+'ANEXO H'!L109</f>
        <v>467.15</v>
      </c>
      <c r="CB203" s="623">
        <f>+'ANEXO H'!M109</f>
        <v>472.08</v>
      </c>
      <c r="CC203" s="623">
        <v>472.48</v>
      </c>
      <c r="CD203" s="623">
        <f>+'ANEXO H'!O109</f>
        <v>478.9</v>
      </c>
      <c r="CE203" s="659">
        <f>+'ANEXO H'!P109</f>
        <v>521.15</v>
      </c>
      <c r="CF203" s="660">
        <f>+'ANEXO H'!E125</f>
        <v>491.25</v>
      </c>
      <c r="CG203" s="623">
        <f>+'ANEXO H'!F125</f>
        <v>491.06</v>
      </c>
      <c r="CH203" s="623">
        <f>+'ANEXO H'!G125</f>
        <v>504.53</v>
      </c>
      <c r="CI203" s="623">
        <f>+'ANEXO H'!H125</f>
        <v>525.33000000000004</v>
      </c>
      <c r="CJ203" s="623">
        <f>+'ANEXO H'!I125</f>
        <v>535.30999999999995</v>
      </c>
      <c r="CK203" s="623">
        <f>+'ANEXO H'!J125</f>
        <v>533.04</v>
      </c>
      <c r="CL203" s="623">
        <f>+'ANEXO H'!K125</f>
        <v>552.36</v>
      </c>
      <c r="CM203" s="623">
        <f>+'ANEXO H'!L125</f>
        <v>546.89</v>
      </c>
      <c r="CN203" s="623">
        <f>+'ANEXO H'!M125</f>
        <v>559.83000000000004</v>
      </c>
      <c r="CO203" s="623">
        <f>+'ANEXO H'!N125</f>
        <v>562.51</v>
      </c>
      <c r="CP203" s="623">
        <f>+'ANEXO H'!O125</f>
        <v>565.97</v>
      </c>
      <c r="CQ203" s="659">
        <f>+'ANEXO H'!P125</f>
        <v>565.15</v>
      </c>
      <c r="CR203" s="660">
        <f>+'ANEXO H'!E141</f>
        <v>567.26</v>
      </c>
      <c r="CS203" s="623">
        <f>+'ANEXO H'!F141</f>
        <v>567.04999999999995</v>
      </c>
      <c r="CT203" s="623">
        <f>+'ANEXO H'!G141</f>
        <v>566.76</v>
      </c>
      <c r="CU203" s="623">
        <f>+'ANEXO H'!H141</f>
        <v>567.16999999999996</v>
      </c>
      <c r="CV203" s="623">
        <f>+'ANEXO H'!I141</f>
        <v>591.5</v>
      </c>
      <c r="CW203" s="623">
        <f>+'ANEXO H'!J141</f>
        <v>602.98</v>
      </c>
      <c r="CX203" s="623">
        <f>+'ANEXO H'!K141</f>
        <v>597.91</v>
      </c>
      <c r="CY203" s="623">
        <f>+'ANEXO H'!L141</f>
        <v>599.91999999999996</v>
      </c>
      <c r="CZ203" s="623">
        <f>+'ANEXO H'!M141</f>
        <v>606.16999999999996</v>
      </c>
      <c r="DA203" s="623">
        <f>+'ANEXO H'!N141</f>
        <v>630.11</v>
      </c>
      <c r="DB203" s="659">
        <f>+'ANEXO H'!O141</f>
        <v>630.70000000000005</v>
      </c>
      <c r="DC203" s="659">
        <f>+'ANEXO H'!P141</f>
        <v>632.16</v>
      </c>
      <c r="DD203" s="783">
        <f>+'ANEXO H'!E157</f>
        <v>634.61</v>
      </c>
      <c r="DE203" s="623">
        <f>+'ANEXO H'!F157</f>
        <v>641.11</v>
      </c>
      <c r="DF203" s="725">
        <f>+'ANEXO H'!G157</f>
        <v>666.89</v>
      </c>
      <c r="DG203" s="659">
        <f>+'ANEXO H'!H157</f>
        <v>668.11</v>
      </c>
      <c r="DH203" s="623">
        <f>+'ANEXO H'!I157</f>
        <v>685.91</v>
      </c>
      <c r="DI203" s="623">
        <f>+'ANEXO H'!J157</f>
        <v>686.31</v>
      </c>
      <c r="DJ203" s="623">
        <f>+'ANEXO H'!K157</f>
        <v>686.77</v>
      </c>
      <c r="DK203" s="659">
        <f>+'ANEXO H'!L157</f>
        <v>712.74</v>
      </c>
      <c r="DL203" s="897">
        <f>+'ANEXO H'!M157</f>
        <v>713.39</v>
      </c>
      <c r="DM203" s="110">
        <f t="shared" si="2"/>
        <v>1.0009119735106771</v>
      </c>
      <c r="DN203" s="111"/>
      <c r="DO203" s="111"/>
    </row>
    <row r="204" spans="1:119" s="115" customFormat="1" ht="10.5" customHeight="1">
      <c r="A204" s="114"/>
      <c r="B204" s="408"/>
      <c r="C204" s="622"/>
      <c r="D204" s="622"/>
      <c r="E204" s="622"/>
      <c r="F204" s="622"/>
      <c r="G204" s="621"/>
      <c r="H204" s="621"/>
      <c r="I204" s="390"/>
      <c r="J204" s="676"/>
      <c r="K204" s="669"/>
      <c r="L204" s="665"/>
      <c r="M204" s="625"/>
      <c r="N204" s="625"/>
      <c r="O204" s="625"/>
      <c r="P204" s="625"/>
      <c r="Q204" s="625"/>
      <c r="R204" s="625"/>
      <c r="S204" s="625"/>
      <c r="T204" s="625"/>
      <c r="U204" s="625"/>
      <c r="V204" s="625"/>
      <c r="W204" s="625"/>
      <c r="X204" s="625"/>
      <c r="Y204" s="625"/>
      <c r="Z204" s="625"/>
      <c r="AA204" s="625"/>
      <c r="AB204" s="625"/>
      <c r="AC204" s="625"/>
      <c r="AD204" s="625"/>
      <c r="AE204" s="625"/>
      <c r="AF204" s="625"/>
      <c r="AG204" s="625"/>
      <c r="AH204" s="625"/>
      <c r="AI204" s="764"/>
      <c r="AJ204" s="772"/>
      <c r="AK204" s="625"/>
      <c r="AL204" s="625"/>
      <c r="AM204" s="625"/>
      <c r="AN204" s="625"/>
      <c r="AO204" s="625"/>
      <c r="AP204" s="625"/>
      <c r="AQ204" s="625"/>
      <c r="AR204" s="625"/>
      <c r="AS204" s="625"/>
      <c r="AT204" s="625"/>
      <c r="AU204" s="764"/>
      <c r="AV204" s="752"/>
      <c r="AW204" s="626"/>
      <c r="AX204" s="626"/>
      <c r="AY204" s="626"/>
      <c r="AZ204" s="626"/>
      <c r="BA204" s="628"/>
      <c r="BB204" s="628"/>
      <c r="BC204" s="627"/>
      <c r="BD204" s="626"/>
      <c r="BE204" s="627"/>
      <c r="BF204" s="627"/>
      <c r="BG204" s="738"/>
      <c r="BH204" s="660"/>
      <c r="BI204" s="623"/>
      <c r="BJ204" s="623"/>
      <c r="BK204" s="623"/>
      <c r="BL204" s="623"/>
      <c r="BM204" s="623"/>
      <c r="BN204" s="623"/>
      <c r="BO204" s="623"/>
      <c r="BP204" s="623"/>
      <c r="BQ204" s="623"/>
      <c r="BR204" s="623"/>
      <c r="BS204" s="659"/>
      <c r="BT204" s="660"/>
      <c r="BU204" s="623"/>
      <c r="BV204" s="623"/>
      <c r="BW204" s="623"/>
      <c r="BX204" s="623"/>
      <c r="BY204" s="623"/>
      <c r="BZ204" s="623"/>
      <c r="CA204" s="623"/>
      <c r="CB204" s="623"/>
      <c r="CC204" s="623"/>
      <c r="CD204" s="623"/>
      <c r="CE204" s="659"/>
      <c r="CF204" s="660"/>
      <c r="CG204" s="623"/>
      <c r="CH204" s="623"/>
      <c r="CI204" s="623"/>
      <c r="CJ204" s="623"/>
      <c r="CK204" s="623"/>
      <c r="CL204" s="623"/>
      <c r="CM204" s="623"/>
      <c r="CN204" s="623"/>
      <c r="CO204" s="623"/>
      <c r="CP204" s="623"/>
      <c r="CQ204" s="659"/>
      <c r="CR204" s="660"/>
      <c r="CS204" s="623"/>
      <c r="CT204" s="623"/>
      <c r="CU204" s="623"/>
      <c r="CV204" s="623"/>
      <c r="CW204" s="623"/>
      <c r="CX204" s="623"/>
      <c r="CY204" s="623"/>
      <c r="CZ204" s="623"/>
      <c r="DA204" s="623"/>
      <c r="DB204" s="659"/>
      <c r="DC204" s="659"/>
      <c r="DD204" s="783"/>
      <c r="DE204" s="623"/>
      <c r="DF204" s="725"/>
      <c r="DG204" s="659"/>
      <c r="DH204" s="623"/>
      <c r="DI204" s="623"/>
      <c r="DJ204" s="623"/>
      <c r="DK204" s="659"/>
      <c r="DL204" s="897"/>
      <c r="DM204" s="110"/>
      <c r="DN204" s="110"/>
      <c r="DO204" s="110"/>
    </row>
    <row r="205" spans="1:119" s="115" customFormat="1" ht="18.95" customHeight="1">
      <c r="A205" s="114"/>
      <c r="B205" s="408">
        <v>601</v>
      </c>
      <c r="C205" s="622"/>
      <c r="D205" s="622" t="s">
        <v>384</v>
      </c>
      <c r="E205" s="622"/>
      <c r="F205" s="622"/>
      <c r="G205" s="621" t="s">
        <v>336</v>
      </c>
      <c r="H205" s="621"/>
      <c r="I205" s="390"/>
      <c r="J205" s="676" t="s">
        <v>385</v>
      </c>
      <c r="K205" s="668" t="s">
        <v>386</v>
      </c>
      <c r="L205" s="665" t="s">
        <v>386</v>
      </c>
      <c r="M205" s="625" t="s">
        <v>386</v>
      </c>
      <c r="N205" s="625" t="s">
        <v>386</v>
      </c>
      <c r="O205" s="625" t="s">
        <v>386</v>
      </c>
      <c r="P205" s="625" t="s">
        <v>386</v>
      </c>
      <c r="Q205" s="625">
        <v>100</v>
      </c>
      <c r="R205" s="625">
        <v>109.55</v>
      </c>
      <c r="S205" s="625">
        <v>108.95</v>
      </c>
      <c r="T205" s="625">
        <v>110.45</v>
      </c>
      <c r="U205" s="625">
        <v>114.45</v>
      </c>
      <c r="V205" s="625">
        <v>113.15</v>
      </c>
      <c r="W205" s="625">
        <v>113</v>
      </c>
      <c r="X205" s="625">
        <v>111.2</v>
      </c>
      <c r="Y205" s="625">
        <v>109.5</v>
      </c>
      <c r="Z205" s="625">
        <v>110.2</v>
      </c>
      <c r="AA205" s="625">
        <v>105.45</v>
      </c>
      <c r="AB205" s="625">
        <v>105.35</v>
      </c>
      <c r="AC205" s="625">
        <v>108.7</v>
      </c>
      <c r="AD205" s="625">
        <v>108.5</v>
      </c>
      <c r="AE205" s="625">
        <v>108.95</v>
      </c>
      <c r="AF205" s="625">
        <v>109.05</v>
      </c>
      <c r="AG205" s="625">
        <v>108.55</v>
      </c>
      <c r="AH205" s="625">
        <v>109.55</v>
      </c>
      <c r="AI205" s="764">
        <v>110.25</v>
      </c>
      <c r="AJ205" s="772">
        <v>117.3</v>
      </c>
      <c r="AK205" s="625">
        <v>118.2</v>
      </c>
      <c r="AL205" s="625">
        <v>120.8</v>
      </c>
      <c r="AM205" s="625">
        <v>121</v>
      </c>
      <c r="AN205" s="625">
        <v>127.3</v>
      </c>
      <c r="AO205" s="625">
        <v>129.4</v>
      </c>
      <c r="AP205" s="625">
        <v>129.75</v>
      </c>
      <c r="AQ205" s="625">
        <v>130.19999999999999</v>
      </c>
      <c r="AR205" s="625">
        <v>130.05000000000001</v>
      </c>
      <c r="AS205" s="625">
        <f>+'ANEXO J'!N43</f>
        <v>131.5</v>
      </c>
      <c r="AT205" s="625">
        <f>+'ANEXO J'!O43</f>
        <v>134.69999999999999</v>
      </c>
      <c r="AU205" s="764">
        <f>+'ANEXO J'!P43</f>
        <v>135.85</v>
      </c>
      <c r="AV205" s="752">
        <f>+'ANEXO J'!E53</f>
        <v>136.30000000000001</v>
      </c>
      <c r="AW205" s="626">
        <f>+'ANEXO J'!F53</f>
        <v>136.85</v>
      </c>
      <c r="AX205" s="626">
        <f>+'ANEXO J'!G53</f>
        <v>137.4</v>
      </c>
      <c r="AY205" s="626">
        <f>+'ANEXO J'!H53</f>
        <v>138.4</v>
      </c>
      <c r="AZ205" s="626">
        <f>+'ANEXO J'!I53</f>
        <v>144.1</v>
      </c>
      <c r="BA205" s="626">
        <f>+'ANEXO J'!J53</f>
        <v>143.94999999999999</v>
      </c>
      <c r="BB205" s="626">
        <f>+'ANEXO J'!K53</f>
        <v>146.1</v>
      </c>
      <c r="BC205" s="626">
        <f>+'ANEXO J'!L53</f>
        <v>146.19999999999999</v>
      </c>
      <c r="BD205" s="626">
        <f>+'ANEXO J'!M53</f>
        <v>146.69999999999999</v>
      </c>
      <c r="BE205" s="626">
        <f>+'ANEXO J'!N53</f>
        <v>152.1</v>
      </c>
      <c r="BF205" s="626">
        <f>+'ANEXO J'!O53</f>
        <v>156.69999999999999</v>
      </c>
      <c r="BG205" s="749">
        <f>+'ANEXO J'!P53</f>
        <v>155.44999999999999</v>
      </c>
      <c r="BH205" s="660">
        <f>+'ANEXO J'!E63</f>
        <v>153.35</v>
      </c>
      <c r="BI205" s="623">
        <f>+'ANEXO J'!F63</f>
        <v>156.85</v>
      </c>
      <c r="BJ205" s="623">
        <f>+'ANEXO J'!G63</f>
        <v>154.6</v>
      </c>
      <c r="BK205" s="623">
        <f>+'ANEXO J'!H63</f>
        <v>156.1</v>
      </c>
      <c r="BL205" s="623">
        <f>+'ANEXO J'!I63</f>
        <v>163.75</v>
      </c>
      <c r="BM205" s="623">
        <f>+'ANEXO J'!J63</f>
        <v>166.45</v>
      </c>
      <c r="BN205" s="623">
        <f>+'ANEXO J'!K63</f>
        <v>174.15</v>
      </c>
      <c r="BO205" s="623">
        <f>+'ANEXO J'!L63</f>
        <v>174.9</v>
      </c>
      <c r="BP205" s="623">
        <f>+'ANEXO J'!M63</f>
        <v>174.85</v>
      </c>
      <c r="BQ205" s="623">
        <f>+'ANEXO J'!N63</f>
        <v>174.85</v>
      </c>
      <c r="BR205" s="623">
        <f>+'ANEXO J'!O63</f>
        <v>175.1</v>
      </c>
      <c r="BS205" s="659">
        <f>+'ANEXO J'!P63</f>
        <v>175.55</v>
      </c>
      <c r="BT205" s="660">
        <f>+'ANEXO J'!E73</f>
        <v>175.55</v>
      </c>
      <c r="BU205" s="623">
        <f>+'ANEXO J'!F73</f>
        <v>182.1</v>
      </c>
      <c r="BV205" s="623">
        <f>+'ANEXO J'!G73</f>
        <v>183.15</v>
      </c>
      <c r="BW205" s="623">
        <f>+'ANEXO J'!H73</f>
        <v>194.85</v>
      </c>
      <c r="BX205" s="623">
        <f>+'ANEXO J'!I73</f>
        <v>202.2</v>
      </c>
      <c r="BY205" s="623">
        <f>+'ANEXO J'!J73</f>
        <v>203.35</v>
      </c>
      <c r="BZ205" s="623">
        <f>+'ANEXO J'!K73</f>
        <v>208.9</v>
      </c>
      <c r="CA205" s="623">
        <f>+'ANEXO J'!L73</f>
        <v>210.8</v>
      </c>
      <c r="CB205" s="623">
        <f>+'ANEXO J'!M73</f>
        <v>211.2</v>
      </c>
      <c r="CC205" s="623">
        <v>212.45</v>
      </c>
      <c r="CD205" s="623">
        <f>+'ANEXO J'!O73</f>
        <v>214</v>
      </c>
      <c r="CE205" s="659">
        <f>+'ANEXO J'!P73</f>
        <v>215.6</v>
      </c>
      <c r="CF205" s="660">
        <f>+'ANEXO J'!E83</f>
        <v>219.55</v>
      </c>
      <c r="CG205" s="623">
        <f>+'ANEXO J'!F83</f>
        <v>224.25</v>
      </c>
      <c r="CH205" s="623">
        <f>+'ANEXO J'!G83</f>
        <v>224.15</v>
      </c>
      <c r="CI205" s="623">
        <f>+'ANEXO J'!H83</f>
        <v>234.45</v>
      </c>
      <c r="CJ205" s="623">
        <f>+'ANEXO J'!I83</f>
        <v>240.7</v>
      </c>
      <c r="CK205" s="623">
        <f>+'ANEXO J'!J83</f>
        <v>240.15</v>
      </c>
      <c r="CL205" s="623">
        <f>+'ANEXO J'!K83</f>
        <v>244.15</v>
      </c>
      <c r="CM205" s="623">
        <f>+'ANEXO J'!L83</f>
        <v>247.65</v>
      </c>
      <c r="CN205" s="623">
        <f>+'ANEXO J'!M83</f>
        <v>248.2</v>
      </c>
      <c r="CO205" s="623">
        <f>+'ANEXO J'!N83</f>
        <v>249.4</v>
      </c>
      <c r="CP205" s="623">
        <f>+'ANEXO J'!O83</f>
        <v>252.55</v>
      </c>
      <c r="CQ205" s="659">
        <f>+'ANEXO J'!P83</f>
        <v>247</v>
      </c>
      <c r="CR205" s="660">
        <f>+'ANEXO J'!E93</f>
        <v>247</v>
      </c>
      <c r="CS205" s="623">
        <f>+'ANEXO J'!F93</f>
        <v>253.6</v>
      </c>
      <c r="CT205" s="623">
        <f>+'ANEXO J'!G93</f>
        <v>252.75</v>
      </c>
      <c r="CU205" s="623">
        <f>+'ANEXO J'!H93</f>
        <v>250.95</v>
      </c>
      <c r="CV205" s="623">
        <f>+'ANEXO J'!I93</f>
        <v>253.5</v>
      </c>
      <c r="CW205" s="623">
        <f>+'ANEXO J'!J93</f>
        <v>253.95</v>
      </c>
      <c r="CX205" s="623">
        <f>+'ANEXO J'!K93</f>
        <v>254.5</v>
      </c>
      <c r="CY205" s="623">
        <f>+'ANEXO J'!L93</f>
        <v>254.8</v>
      </c>
      <c r="CZ205" s="623">
        <f>+'ANEXO J'!M93</f>
        <v>263.60000000000002</v>
      </c>
      <c r="DA205" s="623">
        <f>+'ANEXO J'!N93</f>
        <v>263.2</v>
      </c>
      <c r="DB205" s="659">
        <f>+'ANEXO J'!O93</f>
        <v>267.5</v>
      </c>
      <c r="DC205" s="659">
        <f>+'ANEXO J'!P93</f>
        <v>267.60000000000002</v>
      </c>
      <c r="DD205" s="783">
        <f>+'ANEXO J'!E103</f>
        <v>272.60000000000002</v>
      </c>
      <c r="DE205" s="623">
        <f>+'ANEXO J'!F103</f>
        <v>268.10000000000002</v>
      </c>
      <c r="DF205" s="725">
        <f>+'ANEXO J'!G103</f>
        <v>273.10000000000002</v>
      </c>
      <c r="DG205" s="659">
        <f>+'ANEXO J'!H103</f>
        <v>277</v>
      </c>
      <c r="DH205" s="623">
        <f>+'ANEXO J'!I103</f>
        <v>284.39999999999998</v>
      </c>
      <c r="DI205" s="623">
        <f>+'ANEXO J'!J103</f>
        <v>285.85000000000002</v>
      </c>
      <c r="DJ205" s="623">
        <f>+'ANEXO J'!K103</f>
        <v>284.45</v>
      </c>
      <c r="DK205" s="659">
        <f>+'ANEXO J'!L103</f>
        <v>286.89999999999998</v>
      </c>
      <c r="DL205" s="897">
        <f>+'ANEXO J'!M103</f>
        <v>288.45</v>
      </c>
      <c r="DM205" s="110">
        <f t="shared" si="2"/>
        <v>1.005402579295922</v>
      </c>
      <c r="DN205" s="111"/>
      <c r="DO205" s="111"/>
    </row>
    <row r="206" spans="1:119" s="115" customFormat="1" ht="18.95" customHeight="1">
      <c r="A206" s="114"/>
      <c r="B206" s="408">
        <v>602</v>
      </c>
      <c r="C206" s="621" t="s">
        <v>387</v>
      </c>
      <c r="D206" s="622" t="s">
        <v>388</v>
      </c>
      <c r="E206" s="621" t="s">
        <v>918</v>
      </c>
      <c r="F206" s="622"/>
      <c r="G206" s="621" t="s">
        <v>929</v>
      </c>
      <c r="H206" s="621"/>
      <c r="I206" s="390"/>
      <c r="J206" s="676" t="s">
        <v>389</v>
      </c>
      <c r="K206" s="669">
        <v>91.6</v>
      </c>
      <c r="L206" s="665">
        <v>102.2</v>
      </c>
      <c r="M206" s="625">
        <v>136.19999999999999</v>
      </c>
      <c r="N206" s="625">
        <v>169.2</v>
      </c>
      <c r="O206" s="625">
        <v>177.5</v>
      </c>
      <c r="P206" s="625">
        <v>205.9</v>
      </c>
      <c r="Q206" s="625">
        <v>222.2</v>
      </c>
      <c r="R206" s="625">
        <v>223.2</v>
      </c>
      <c r="S206" s="625">
        <v>242.1</v>
      </c>
      <c r="T206" s="625">
        <v>243.7</v>
      </c>
      <c r="U206" s="625">
        <v>243.4</v>
      </c>
      <c r="V206" s="625">
        <v>242.5</v>
      </c>
      <c r="W206" s="625">
        <v>242.7</v>
      </c>
      <c r="X206" s="625">
        <v>240.4</v>
      </c>
      <c r="Y206" s="625">
        <v>237.8</v>
      </c>
      <c r="Z206" s="625">
        <v>236.8</v>
      </c>
      <c r="AA206" s="625">
        <v>235.2</v>
      </c>
      <c r="AB206" s="625">
        <v>231.6</v>
      </c>
      <c r="AC206" s="625">
        <v>225.2</v>
      </c>
      <c r="AD206" s="625">
        <v>225.2</v>
      </c>
      <c r="AE206" s="625">
        <v>225.7</v>
      </c>
      <c r="AF206" s="625">
        <v>226.6</v>
      </c>
      <c r="AG206" s="625">
        <v>221.8</v>
      </c>
      <c r="AH206" s="625">
        <v>222</v>
      </c>
      <c r="AI206" s="764">
        <v>227.3</v>
      </c>
      <c r="AJ206" s="772">
        <v>223.7</v>
      </c>
      <c r="AK206" s="625">
        <v>226.4</v>
      </c>
      <c r="AL206" s="625">
        <v>227.7</v>
      </c>
      <c r="AM206" s="625">
        <v>227.6</v>
      </c>
      <c r="AN206" s="625">
        <v>232.2</v>
      </c>
      <c r="AO206" s="625">
        <v>234.7</v>
      </c>
      <c r="AP206" s="625">
        <v>234.6</v>
      </c>
      <c r="AQ206" s="625">
        <v>238.5</v>
      </c>
      <c r="AR206" s="625">
        <v>241.3</v>
      </c>
      <c r="AS206" s="625">
        <v>246.5</v>
      </c>
      <c r="AT206" s="625">
        <v>246.4</v>
      </c>
      <c r="AU206" s="764">
        <v>246.4</v>
      </c>
      <c r="AV206" s="752">
        <v>254.8</v>
      </c>
      <c r="AW206" s="626">
        <v>256.3</v>
      </c>
      <c r="AX206" s="626">
        <v>258.89999999999998</v>
      </c>
      <c r="AY206" s="626">
        <v>259.3</v>
      </c>
      <c r="AZ206" s="626">
        <v>259.39999999999998</v>
      </c>
      <c r="BA206" s="626">
        <v>259.2</v>
      </c>
      <c r="BB206" s="626">
        <v>259.39999999999998</v>
      </c>
      <c r="BC206" s="627">
        <v>261.8</v>
      </c>
      <c r="BD206" s="626">
        <v>263.7</v>
      </c>
      <c r="BE206" s="627">
        <v>264.60000000000002</v>
      </c>
      <c r="BF206" s="627">
        <v>264.10000000000002</v>
      </c>
      <c r="BG206" s="738">
        <v>265.3</v>
      </c>
      <c r="BH206" s="660">
        <v>268.10000000000002</v>
      </c>
      <c r="BI206" s="623">
        <v>268.3</v>
      </c>
      <c r="BJ206" s="623">
        <v>269</v>
      </c>
      <c r="BK206" s="623">
        <v>268.8</v>
      </c>
      <c r="BL206" s="623">
        <v>269.89999999999998</v>
      </c>
      <c r="BM206" s="623">
        <v>273.10000000000002</v>
      </c>
      <c r="BN206" s="623">
        <v>275.5</v>
      </c>
      <c r="BO206" s="623">
        <v>278</v>
      </c>
      <c r="BP206" s="623">
        <v>280.10000000000002</v>
      </c>
      <c r="BQ206" s="623">
        <v>280.2</v>
      </c>
      <c r="BR206" s="623">
        <v>280</v>
      </c>
      <c r="BS206" s="659">
        <v>280.10000000000002</v>
      </c>
      <c r="BT206" s="660">
        <v>286</v>
      </c>
      <c r="BU206" s="623">
        <v>287.3</v>
      </c>
      <c r="BV206" s="623">
        <v>287.39999999999998</v>
      </c>
      <c r="BW206" s="623">
        <v>288.89999999999998</v>
      </c>
      <c r="BX206" s="623">
        <v>295.5</v>
      </c>
      <c r="BY206" s="623">
        <v>295.3</v>
      </c>
      <c r="BZ206" s="623">
        <v>297.3</v>
      </c>
      <c r="CA206" s="623">
        <v>303.8</v>
      </c>
      <c r="CB206" s="623">
        <v>311.89999999999998</v>
      </c>
      <c r="CC206" s="623">
        <v>325.10000000000002</v>
      </c>
      <c r="CD206" s="623">
        <v>325.39999999999998</v>
      </c>
      <c r="CE206" s="659">
        <v>328</v>
      </c>
      <c r="CF206" s="660">
        <v>328</v>
      </c>
      <c r="CG206" s="623">
        <v>333.2</v>
      </c>
      <c r="CH206" s="623">
        <v>329.8</v>
      </c>
      <c r="CI206" s="623">
        <v>330.7</v>
      </c>
      <c r="CJ206" s="623">
        <v>331.3</v>
      </c>
      <c r="CK206" s="623">
        <v>337.3</v>
      </c>
      <c r="CL206" s="623">
        <v>344.1</v>
      </c>
      <c r="CM206" s="623">
        <v>348.6</v>
      </c>
      <c r="CN206" s="623">
        <v>349.5</v>
      </c>
      <c r="CO206" s="623">
        <v>349.5</v>
      </c>
      <c r="CP206" s="623">
        <v>352.3</v>
      </c>
      <c r="CQ206" s="659">
        <v>360.9</v>
      </c>
      <c r="CR206" s="660">
        <v>361.7</v>
      </c>
      <c r="CS206" s="623">
        <v>364.2</v>
      </c>
      <c r="CT206" s="623">
        <v>373.2</v>
      </c>
      <c r="CU206" s="623">
        <v>376.3</v>
      </c>
      <c r="CV206" s="623">
        <v>377.7</v>
      </c>
      <c r="CW206" s="623">
        <v>391.6</v>
      </c>
      <c r="CX206" s="623">
        <v>393.1</v>
      </c>
      <c r="CY206" s="623">
        <v>396.9</v>
      </c>
      <c r="CZ206" s="623">
        <v>397.6</v>
      </c>
      <c r="DA206" s="623">
        <v>397.8</v>
      </c>
      <c r="DB206" s="725">
        <v>405</v>
      </c>
      <c r="DC206" s="659">
        <v>409.4</v>
      </c>
      <c r="DD206" s="783">
        <v>409.9</v>
      </c>
      <c r="DE206" s="623">
        <v>411</v>
      </c>
      <c r="DF206" s="725">
        <v>411</v>
      </c>
      <c r="DG206" s="659">
        <v>397.6</v>
      </c>
      <c r="DH206" s="623">
        <v>398.8</v>
      </c>
      <c r="DI206" s="623">
        <v>403.2</v>
      </c>
      <c r="DJ206" s="623">
        <v>404.1</v>
      </c>
      <c r="DK206" s="659">
        <v>404.1</v>
      </c>
      <c r="DL206" s="897">
        <v>409.4</v>
      </c>
      <c r="DM206" s="110">
        <f t="shared" si="2"/>
        <v>1.0131155654540953</v>
      </c>
      <c r="DN206" s="110"/>
      <c r="DO206" s="110"/>
    </row>
    <row r="207" spans="1:119" s="115" customFormat="1" ht="36" customHeight="1">
      <c r="A207" s="114"/>
      <c r="B207" s="408">
        <v>603</v>
      </c>
      <c r="C207" s="621" t="s">
        <v>390</v>
      </c>
      <c r="D207" s="622" t="s">
        <v>391</v>
      </c>
      <c r="E207" s="621" t="s">
        <v>918</v>
      </c>
      <c r="F207" s="622"/>
      <c r="G207" s="621" t="s">
        <v>919</v>
      </c>
      <c r="H207" s="621"/>
      <c r="I207" s="390" t="s">
        <v>115</v>
      </c>
      <c r="J207" s="676" t="s">
        <v>393</v>
      </c>
      <c r="K207" s="669">
        <v>108.16</v>
      </c>
      <c r="L207" s="665">
        <v>148.18</v>
      </c>
      <c r="M207" s="625">
        <v>187.83</v>
      </c>
      <c r="N207" s="625">
        <v>200.36</v>
      </c>
      <c r="O207" s="625">
        <v>274.82</v>
      </c>
      <c r="P207" s="625">
        <v>327.79</v>
      </c>
      <c r="Q207" s="625">
        <v>361.45</v>
      </c>
      <c r="R207" s="625">
        <v>371.11</v>
      </c>
      <c r="S207" s="625">
        <v>380.48</v>
      </c>
      <c r="T207" s="625">
        <v>401.02</v>
      </c>
      <c r="U207" s="625">
        <v>400.69</v>
      </c>
      <c r="V207" s="625">
        <v>391.63</v>
      </c>
      <c r="W207" s="625">
        <v>400.69</v>
      </c>
      <c r="X207" s="625">
        <v>357.16</v>
      </c>
      <c r="Y207" s="625">
        <v>357.47</v>
      </c>
      <c r="Z207" s="625">
        <v>377.33</v>
      </c>
      <c r="AA207" s="625">
        <v>356.29</v>
      </c>
      <c r="AB207" s="625">
        <v>345.37</v>
      </c>
      <c r="AC207" s="625">
        <v>340.5</v>
      </c>
      <c r="AD207" s="625">
        <v>338.08</v>
      </c>
      <c r="AE207" s="625">
        <v>345.21</v>
      </c>
      <c r="AF207" s="625">
        <v>344.58</v>
      </c>
      <c r="AG207" s="625">
        <v>338.65</v>
      </c>
      <c r="AH207" s="625">
        <v>341.64</v>
      </c>
      <c r="AI207" s="764">
        <v>346.88</v>
      </c>
      <c r="AJ207" s="772">
        <v>341.64</v>
      </c>
      <c r="AK207" s="625">
        <v>347.96</v>
      </c>
      <c r="AL207" s="625">
        <v>359.91</v>
      </c>
      <c r="AM207" s="625">
        <v>337.86</v>
      </c>
      <c r="AN207" s="625">
        <v>371.74</v>
      </c>
      <c r="AO207" s="625">
        <v>391.29</v>
      </c>
      <c r="AP207" s="625">
        <v>392.01</v>
      </c>
      <c r="AQ207" s="625">
        <v>427.11</v>
      </c>
      <c r="AR207" s="625">
        <v>434.73</v>
      </c>
      <c r="AS207" s="625">
        <v>432.85</v>
      </c>
      <c r="AT207" s="625">
        <v>439.75</v>
      </c>
      <c r="AU207" s="764">
        <v>442.03</v>
      </c>
      <c r="AV207" s="752">
        <v>437.52</v>
      </c>
      <c r="AW207" s="626">
        <v>475.65</v>
      </c>
      <c r="AX207" s="626">
        <v>478.4</v>
      </c>
      <c r="AY207" s="626">
        <v>478.93</v>
      </c>
      <c r="AZ207" s="626">
        <v>474.83</v>
      </c>
      <c r="BA207" s="626">
        <v>472.38</v>
      </c>
      <c r="BB207" s="626">
        <v>469.1</v>
      </c>
      <c r="BC207" s="627">
        <v>476.76</v>
      </c>
      <c r="BD207" s="626">
        <v>477.44</v>
      </c>
      <c r="BE207" s="627">
        <v>501.59</v>
      </c>
      <c r="BF207" s="627">
        <v>516.05999999999995</v>
      </c>
      <c r="BG207" s="738">
        <v>528.21</v>
      </c>
      <c r="BH207" s="660">
        <v>513.54999999999995</v>
      </c>
      <c r="BI207" s="623">
        <v>521.98</v>
      </c>
      <c r="BJ207" s="623">
        <v>521.16</v>
      </c>
      <c r="BK207" s="623">
        <v>521.98</v>
      </c>
      <c r="BL207" s="623">
        <v>502.08</v>
      </c>
      <c r="BM207" s="623">
        <v>520.78</v>
      </c>
      <c r="BN207" s="623">
        <v>538.58000000000004</v>
      </c>
      <c r="BO207" s="623">
        <v>557.42999999999995</v>
      </c>
      <c r="BP207" s="623">
        <v>577.57000000000005</v>
      </c>
      <c r="BQ207" s="623">
        <v>581.66999999999996</v>
      </c>
      <c r="BR207" s="623">
        <v>576.08000000000004</v>
      </c>
      <c r="BS207" s="659">
        <v>569.91</v>
      </c>
      <c r="BT207" s="660">
        <v>570.49</v>
      </c>
      <c r="BU207" s="623">
        <v>576.08000000000004</v>
      </c>
      <c r="BV207" s="623">
        <v>577.96</v>
      </c>
      <c r="BW207" s="623">
        <v>577.96</v>
      </c>
      <c r="BX207" s="623">
        <v>592.27</v>
      </c>
      <c r="BY207" s="623">
        <v>607.08000000000004</v>
      </c>
      <c r="BZ207" s="623">
        <v>603.16999999999996</v>
      </c>
      <c r="CA207" s="623">
        <v>611.03</v>
      </c>
      <c r="CB207" s="623">
        <v>627.38</v>
      </c>
      <c r="CC207" s="623">
        <v>627.38</v>
      </c>
      <c r="CD207" s="623">
        <v>629.03</v>
      </c>
      <c r="CE207" s="659">
        <v>644.16</v>
      </c>
      <c r="CF207" s="660">
        <v>644.16</v>
      </c>
      <c r="CG207" s="623">
        <v>666.86</v>
      </c>
      <c r="CH207" s="623">
        <v>685.79</v>
      </c>
      <c r="CI207" s="623">
        <v>727.51</v>
      </c>
      <c r="CJ207" s="623">
        <v>749.98</v>
      </c>
      <c r="CK207" s="623">
        <v>824.54</v>
      </c>
      <c r="CL207" s="623">
        <v>866.49</v>
      </c>
      <c r="CM207" s="623">
        <v>900.3</v>
      </c>
      <c r="CN207" s="623">
        <v>976.49</v>
      </c>
      <c r="CO207" s="623">
        <v>976.49</v>
      </c>
      <c r="CP207" s="623">
        <v>991.64</v>
      </c>
      <c r="CQ207" s="659">
        <v>881.3</v>
      </c>
      <c r="CR207" s="660">
        <v>753.37</v>
      </c>
      <c r="CS207" s="623">
        <v>685.84</v>
      </c>
      <c r="CT207" s="623">
        <v>642.89</v>
      </c>
      <c r="CU207" s="623">
        <v>615.63</v>
      </c>
      <c r="CV207" s="623">
        <v>590.41999999999996</v>
      </c>
      <c r="CW207" s="623">
        <v>599.16</v>
      </c>
      <c r="CX207" s="623">
        <v>662.2</v>
      </c>
      <c r="CY207" s="623">
        <v>746.58</v>
      </c>
      <c r="CZ207" s="623">
        <v>783.12</v>
      </c>
      <c r="DA207" s="623">
        <v>809.21</v>
      </c>
      <c r="DB207" s="725">
        <v>804.96</v>
      </c>
      <c r="DC207" s="659">
        <v>804.96</v>
      </c>
      <c r="DD207" s="783">
        <v>807.01</v>
      </c>
      <c r="DE207" s="623">
        <v>855.2</v>
      </c>
      <c r="DF207" s="725">
        <v>884.76</v>
      </c>
      <c r="DG207" s="659">
        <v>903.34</v>
      </c>
      <c r="DH207" s="623">
        <v>943.38</v>
      </c>
      <c r="DI207" s="623">
        <v>962.6</v>
      </c>
      <c r="DJ207" s="623">
        <v>969.94</v>
      </c>
      <c r="DK207" s="659">
        <v>967.47</v>
      </c>
      <c r="DL207" s="897">
        <v>965.06</v>
      </c>
      <c r="DM207" s="110">
        <f t="shared" si="2"/>
        <v>0.9975089666863054</v>
      </c>
      <c r="DN207" s="110"/>
      <c r="DO207" s="110"/>
    </row>
    <row r="208" spans="1:119" s="115" customFormat="1" ht="19.5" customHeight="1">
      <c r="A208" s="114"/>
      <c r="B208" s="408">
        <v>604</v>
      </c>
      <c r="C208" s="621">
        <v>2413</v>
      </c>
      <c r="D208" s="622" t="s">
        <v>369</v>
      </c>
      <c r="E208" s="621" t="s">
        <v>378</v>
      </c>
      <c r="F208" s="622"/>
      <c r="G208" s="621" t="s">
        <v>223</v>
      </c>
      <c r="H208" s="621" t="s">
        <v>930</v>
      </c>
      <c r="I208" s="390" t="s">
        <v>456</v>
      </c>
      <c r="J208" s="676" t="s">
        <v>394</v>
      </c>
      <c r="K208" s="669">
        <v>111.19</v>
      </c>
      <c r="L208" s="665">
        <v>117.03</v>
      </c>
      <c r="M208" s="625">
        <v>134.69</v>
      </c>
      <c r="N208" s="625">
        <v>152.66</v>
      </c>
      <c r="O208" s="625">
        <v>185.74</v>
      </c>
      <c r="P208" s="625">
        <v>220.98</v>
      </c>
      <c r="Q208" s="625">
        <v>263.19</v>
      </c>
      <c r="R208" s="625">
        <v>273.33999999999997</v>
      </c>
      <c r="S208" s="625">
        <v>276.61</v>
      </c>
      <c r="T208" s="625">
        <v>275.74</v>
      </c>
      <c r="U208" s="625">
        <v>280.04000000000002</v>
      </c>
      <c r="V208" s="625">
        <v>273.52</v>
      </c>
      <c r="W208" s="625">
        <v>267.27</v>
      </c>
      <c r="X208" s="625">
        <v>267.66000000000003</v>
      </c>
      <c r="Y208" s="625">
        <v>277.05</v>
      </c>
      <c r="Z208" s="625">
        <v>300.04000000000002</v>
      </c>
      <c r="AA208" s="625">
        <v>288.48</v>
      </c>
      <c r="AB208" s="625">
        <v>276.82</v>
      </c>
      <c r="AC208" s="625">
        <v>256.58</v>
      </c>
      <c r="AD208" s="625">
        <v>248.6</v>
      </c>
      <c r="AE208" s="625">
        <v>251.59</v>
      </c>
      <c r="AF208" s="625">
        <v>259.31</v>
      </c>
      <c r="AG208" s="625">
        <v>249.72</v>
      </c>
      <c r="AH208" s="625">
        <v>254.92</v>
      </c>
      <c r="AI208" s="764">
        <v>260.51</v>
      </c>
      <c r="AJ208" s="772">
        <v>264.60000000000002</v>
      </c>
      <c r="AK208" s="625">
        <v>273.25</v>
      </c>
      <c r="AL208" s="625">
        <v>275.37</v>
      </c>
      <c r="AM208" s="625">
        <v>275.08</v>
      </c>
      <c r="AN208" s="625">
        <v>279.11</v>
      </c>
      <c r="AO208" s="625">
        <v>288.83999999999997</v>
      </c>
      <c r="AP208" s="625">
        <v>293.86</v>
      </c>
      <c r="AQ208" s="625">
        <v>309.55</v>
      </c>
      <c r="AR208" s="625">
        <v>318.86</v>
      </c>
      <c r="AS208" s="625">
        <v>327.58</v>
      </c>
      <c r="AT208" s="625">
        <v>337.62</v>
      </c>
      <c r="AU208" s="764">
        <v>341.8</v>
      </c>
      <c r="AV208" s="752">
        <v>345.82</v>
      </c>
      <c r="AW208" s="626">
        <v>345.77</v>
      </c>
      <c r="AX208" s="626">
        <v>342.32</v>
      </c>
      <c r="AY208" s="626">
        <v>340.79</v>
      </c>
      <c r="AZ208" s="626">
        <v>337.66</v>
      </c>
      <c r="BA208" s="627">
        <v>330.63</v>
      </c>
      <c r="BB208" s="627">
        <v>324.07</v>
      </c>
      <c r="BC208" s="627">
        <v>321.82</v>
      </c>
      <c r="BD208" s="626">
        <v>322.52999999999997</v>
      </c>
      <c r="BE208" s="627">
        <v>350.15</v>
      </c>
      <c r="BF208" s="627">
        <v>354.67</v>
      </c>
      <c r="BG208" s="738">
        <v>355.34</v>
      </c>
      <c r="BH208" s="660">
        <v>360.61</v>
      </c>
      <c r="BI208" s="623">
        <v>497.14</v>
      </c>
      <c r="BJ208" s="623">
        <v>362.88</v>
      </c>
      <c r="BK208" s="623">
        <v>360.96</v>
      </c>
      <c r="BL208" s="623">
        <v>356.67</v>
      </c>
      <c r="BM208" s="623">
        <v>360.83</v>
      </c>
      <c r="BN208" s="623">
        <v>368.11</v>
      </c>
      <c r="BO208" s="623">
        <v>375.21</v>
      </c>
      <c r="BP208" s="623">
        <v>379.31</v>
      </c>
      <c r="BQ208" s="623">
        <v>382.52</v>
      </c>
      <c r="BR208" s="623">
        <v>384.57</v>
      </c>
      <c r="BS208" s="659">
        <v>382.47</v>
      </c>
      <c r="BT208" s="660">
        <v>381.98</v>
      </c>
      <c r="BU208" s="623">
        <v>380.77</v>
      </c>
      <c r="BV208" s="623">
        <v>382.14</v>
      </c>
      <c r="BW208" s="623">
        <v>385.24</v>
      </c>
      <c r="BX208" s="623">
        <v>389.32</v>
      </c>
      <c r="BY208" s="623">
        <v>396.91</v>
      </c>
      <c r="BZ208" s="623">
        <v>415.91</v>
      </c>
      <c r="CA208" s="623">
        <v>419.96</v>
      </c>
      <c r="CB208" s="623">
        <v>431.85</v>
      </c>
      <c r="CC208" s="623">
        <v>443.29</v>
      </c>
      <c r="CD208" s="623">
        <v>446.69</v>
      </c>
      <c r="CE208" s="659">
        <v>448.86</v>
      </c>
      <c r="CF208" s="660">
        <v>457.62</v>
      </c>
      <c r="CG208" s="623">
        <v>466.05</v>
      </c>
      <c r="CH208" s="623">
        <v>473.73</v>
      </c>
      <c r="CI208" s="623">
        <v>491.39</v>
      </c>
      <c r="CJ208" s="623">
        <v>497.93</v>
      </c>
      <c r="CK208" s="623">
        <v>504.57</v>
      </c>
      <c r="CL208" s="623">
        <v>520.22</v>
      </c>
      <c r="CM208" s="623">
        <v>530.17999999999995</v>
      </c>
      <c r="CN208" s="623">
        <v>543.37</v>
      </c>
      <c r="CO208" s="623">
        <v>549.05999999999995</v>
      </c>
      <c r="CP208" s="623">
        <v>555.21</v>
      </c>
      <c r="CQ208" s="659">
        <v>538.4</v>
      </c>
      <c r="CR208" s="660">
        <v>502.41</v>
      </c>
      <c r="CS208" s="623">
        <v>464.97</v>
      </c>
      <c r="CT208" s="623">
        <v>459.33</v>
      </c>
      <c r="CU208" s="623">
        <v>444.2</v>
      </c>
      <c r="CV208" s="623">
        <v>453.09</v>
      </c>
      <c r="CW208" s="623">
        <v>455.09</v>
      </c>
      <c r="CX208" s="623">
        <v>462.85</v>
      </c>
      <c r="CY208" s="623">
        <v>462.85</v>
      </c>
      <c r="CZ208" s="623">
        <v>486.44</v>
      </c>
      <c r="DA208" s="623">
        <v>503.3</v>
      </c>
      <c r="DB208" s="725">
        <v>516.64</v>
      </c>
      <c r="DC208" s="659">
        <v>527.83000000000004</v>
      </c>
      <c r="DD208" s="783">
        <v>528.99</v>
      </c>
      <c r="DE208" s="623">
        <v>540.12</v>
      </c>
      <c r="DF208" s="725">
        <v>554.86</v>
      </c>
      <c r="DG208" s="659">
        <v>560.12</v>
      </c>
      <c r="DH208" s="623">
        <v>570.98</v>
      </c>
      <c r="DI208" s="623">
        <v>573.22</v>
      </c>
      <c r="DJ208" s="623">
        <v>563.44000000000005</v>
      </c>
      <c r="DK208" s="659">
        <v>564.25</v>
      </c>
      <c r="DL208" s="897">
        <v>565.79999999999995</v>
      </c>
      <c r="DM208" s="110">
        <f t="shared" si="2"/>
        <v>1.0027470093043862</v>
      </c>
      <c r="DN208" s="110"/>
      <c r="DO208" s="110"/>
    </row>
    <row r="209" spans="1:119" s="115" customFormat="1" ht="18" customHeight="1">
      <c r="A209" s="114"/>
      <c r="B209" s="408">
        <v>605</v>
      </c>
      <c r="C209" s="621" t="s">
        <v>395</v>
      </c>
      <c r="D209" s="622" t="s">
        <v>396</v>
      </c>
      <c r="E209" s="621" t="s">
        <v>378</v>
      </c>
      <c r="F209" s="622"/>
      <c r="G209" s="621" t="s">
        <v>919</v>
      </c>
      <c r="H209" s="621"/>
      <c r="I209" s="390" t="s">
        <v>439</v>
      </c>
      <c r="J209" s="676" t="s">
        <v>393</v>
      </c>
      <c r="K209" s="669">
        <v>61.47</v>
      </c>
      <c r="L209" s="665">
        <v>61.47</v>
      </c>
      <c r="M209" s="625">
        <v>71.31</v>
      </c>
      <c r="N209" s="625">
        <v>99.89</v>
      </c>
      <c r="O209" s="625">
        <v>166.54</v>
      </c>
      <c r="P209" s="625">
        <v>179.11</v>
      </c>
      <c r="Q209" s="625">
        <v>191.97</v>
      </c>
      <c r="R209" s="625">
        <v>195.93</v>
      </c>
      <c r="S209" s="625">
        <v>195.12</v>
      </c>
      <c r="T209" s="625">
        <v>194.69</v>
      </c>
      <c r="U209" s="625">
        <v>194.5</v>
      </c>
      <c r="V209" s="625">
        <v>196.08</v>
      </c>
      <c r="W209" s="625">
        <v>193.91</v>
      </c>
      <c r="X209" s="625">
        <v>193.77</v>
      </c>
      <c r="Y209" s="625">
        <v>192.25</v>
      </c>
      <c r="Z209" s="625">
        <v>190.77</v>
      </c>
      <c r="AA209" s="625">
        <v>190.34</v>
      </c>
      <c r="AB209" s="625">
        <v>190.34</v>
      </c>
      <c r="AC209" s="625">
        <v>191.41</v>
      </c>
      <c r="AD209" s="625">
        <v>189.27</v>
      </c>
      <c r="AE209" s="625">
        <v>188.72</v>
      </c>
      <c r="AF209" s="625">
        <v>187.95</v>
      </c>
      <c r="AG209" s="625">
        <v>187.68</v>
      </c>
      <c r="AH209" s="625">
        <v>184.06</v>
      </c>
      <c r="AI209" s="764">
        <v>185.88</v>
      </c>
      <c r="AJ209" s="772">
        <v>183.9</v>
      </c>
      <c r="AK209" s="625">
        <v>182.3</v>
      </c>
      <c r="AL209" s="625">
        <v>187.17</v>
      </c>
      <c r="AM209" s="625">
        <v>183.01</v>
      </c>
      <c r="AN209" s="625">
        <v>182.18</v>
      </c>
      <c r="AO209" s="625">
        <v>183.67</v>
      </c>
      <c r="AP209" s="625">
        <v>187.82</v>
      </c>
      <c r="AQ209" s="625">
        <v>192.65</v>
      </c>
      <c r="AR209" s="625">
        <v>185.16</v>
      </c>
      <c r="AS209" s="625">
        <v>194.29</v>
      </c>
      <c r="AT209" s="625">
        <v>203.59</v>
      </c>
      <c r="AU209" s="764">
        <v>212.25</v>
      </c>
      <c r="AV209" s="752">
        <v>218.46</v>
      </c>
      <c r="AW209" s="626">
        <v>224.65</v>
      </c>
      <c r="AX209" s="626">
        <v>225.84</v>
      </c>
      <c r="AY209" s="626">
        <v>226.2</v>
      </c>
      <c r="AZ209" s="626">
        <v>226.2</v>
      </c>
      <c r="BA209" s="627">
        <v>228.6</v>
      </c>
      <c r="BB209" s="627">
        <v>227.23</v>
      </c>
      <c r="BC209" s="627">
        <v>229.37</v>
      </c>
      <c r="BD209" s="626">
        <v>229.68</v>
      </c>
      <c r="BE209" s="627">
        <v>228.96</v>
      </c>
      <c r="BF209" s="627">
        <v>231.28</v>
      </c>
      <c r="BG209" s="738">
        <v>232.8</v>
      </c>
      <c r="BH209" s="660">
        <v>233.63</v>
      </c>
      <c r="BI209" s="623">
        <v>233.48</v>
      </c>
      <c r="BJ209" s="623">
        <v>235.43</v>
      </c>
      <c r="BK209" s="623">
        <v>235.43</v>
      </c>
      <c r="BL209" s="623">
        <v>232.02</v>
      </c>
      <c r="BM209" s="623">
        <v>233.41</v>
      </c>
      <c r="BN209" s="623">
        <v>234.35</v>
      </c>
      <c r="BO209" s="623">
        <v>235.46</v>
      </c>
      <c r="BP209" s="623">
        <v>234.34</v>
      </c>
      <c r="BQ209" s="623">
        <v>234.49</v>
      </c>
      <c r="BR209" s="623">
        <v>233.57</v>
      </c>
      <c r="BS209" s="659">
        <v>231.83</v>
      </c>
      <c r="BT209" s="660">
        <v>233.12</v>
      </c>
      <c r="BU209" s="623">
        <v>230.3</v>
      </c>
      <c r="BV209" s="623">
        <v>234.18</v>
      </c>
      <c r="BW209" s="623">
        <v>234.59</v>
      </c>
      <c r="BX209" s="623">
        <v>232</v>
      </c>
      <c r="BY209" s="623">
        <v>233.64</v>
      </c>
      <c r="BZ209" s="623">
        <v>258.89</v>
      </c>
      <c r="CA209" s="623">
        <v>259.44</v>
      </c>
      <c r="CB209" s="623">
        <v>258.29000000000002</v>
      </c>
      <c r="CC209" s="623">
        <v>261.14</v>
      </c>
      <c r="CD209" s="623">
        <v>265.06</v>
      </c>
      <c r="CE209" s="659">
        <v>265.06</v>
      </c>
      <c r="CF209" s="660">
        <v>291.64999999999998</v>
      </c>
      <c r="CG209" s="623">
        <v>312.45999999999998</v>
      </c>
      <c r="CH209" s="623">
        <v>328.87</v>
      </c>
      <c r="CI209" s="623">
        <v>367.87</v>
      </c>
      <c r="CJ209" s="623">
        <v>372.8</v>
      </c>
      <c r="CK209" s="623">
        <v>371.85</v>
      </c>
      <c r="CL209" s="623">
        <v>375.16</v>
      </c>
      <c r="CM209" s="623">
        <v>379.27</v>
      </c>
      <c r="CN209" s="623">
        <v>384.88</v>
      </c>
      <c r="CO209" s="623">
        <v>390.72</v>
      </c>
      <c r="CP209" s="623">
        <v>405.48</v>
      </c>
      <c r="CQ209" s="659">
        <v>402.84</v>
      </c>
      <c r="CR209" s="660">
        <v>407.25</v>
      </c>
      <c r="CS209" s="623">
        <v>392.16</v>
      </c>
      <c r="CT209" s="623">
        <v>386</v>
      </c>
      <c r="CU209" s="623">
        <v>382.27</v>
      </c>
      <c r="CV209" s="623">
        <v>378.88</v>
      </c>
      <c r="CW209" s="623">
        <v>379.46</v>
      </c>
      <c r="CX209" s="623">
        <v>384.16</v>
      </c>
      <c r="CY209" s="623">
        <v>369.34</v>
      </c>
      <c r="CZ209" s="623">
        <v>382.89</v>
      </c>
      <c r="DA209" s="623">
        <v>426.64</v>
      </c>
      <c r="DB209" s="725">
        <v>431.45</v>
      </c>
      <c r="DC209" s="659">
        <v>426.57</v>
      </c>
      <c r="DD209" s="783">
        <v>419.52</v>
      </c>
      <c r="DE209" s="623">
        <v>429.03</v>
      </c>
      <c r="DF209" s="725">
        <v>430.6</v>
      </c>
      <c r="DG209" s="659">
        <v>433.8</v>
      </c>
      <c r="DH209" s="623">
        <v>435.99</v>
      </c>
      <c r="DI209" s="623">
        <v>438.61</v>
      </c>
      <c r="DJ209" s="623">
        <v>440</v>
      </c>
      <c r="DK209" s="659">
        <v>444.06</v>
      </c>
      <c r="DL209" s="897">
        <v>459.11</v>
      </c>
      <c r="DM209" s="110">
        <f t="shared" si="2"/>
        <v>1.0338918164212043</v>
      </c>
      <c r="DN209" s="110"/>
      <c r="DO209" s="110"/>
    </row>
    <row r="210" spans="1:119" s="115" customFormat="1" ht="24.75" customHeight="1" thickBot="1">
      <c r="A210" s="114"/>
      <c r="B210" s="407">
        <v>606</v>
      </c>
      <c r="C210" s="636" t="s">
        <v>397</v>
      </c>
      <c r="D210" s="637" t="s">
        <v>106</v>
      </c>
      <c r="E210" s="636" t="s">
        <v>378</v>
      </c>
      <c r="F210" s="637"/>
      <c r="G210" s="636" t="s">
        <v>919</v>
      </c>
      <c r="H210" s="636"/>
      <c r="I210" s="638" t="s">
        <v>440</v>
      </c>
      <c r="J210" s="678" t="s">
        <v>393</v>
      </c>
      <c r="K210" s="670">
        <v>108.05</v>
      </c>
      <c r="L210" s="666">
        <v>116.76</v>
      </c>
      <c r="M210" s="639">
        <v>142.79</v>
      </c>
      <c r="N210" s="639">
        <v>142.79</v>
      </c>
      <c r="O210" s="639">
        <v>155.19999999999999</v>
      </c>
      <c r="P210" s="639">
        <v>178.43</v>
      </c>
      <c r="Q210" s="639">
        <v>191.57</v>
      </c>
      <c r="R210" s="639">
        <v>203.83</v>
      </c>
      <c r="S210" s="639">
        <v>203.83</v>
      </c>
      <c r="T210" s="639">
        <v>203.83</v>
      </c>
      <c r="U210" s="639">
        <v>203.83</v>
      </c>
      <c r="V210" s="639">
        <v>203.83</v>
      </c>
      <c r="W210" s="639">
        <v>203.83</v>
      </c>
      <c r="X210" s="639">
        <v>203.83</v>
      </c>
      <c r="Y210" s="639">
        <v>203.83</v>
      </c>
      <c r="Z210" s="639">
        <v>203.83</v>
      </c>
      <c r="AA210" s="639">
        <v>203.83</v>
      </c>
      <c r="AB210" s="639">
        <v>203.83</v>
      </c>
      <c r="AC210" s="639">
        <v>203.83</v>
      </c>
      <c r="AD210" s="639">
        <v>203.83</v>
      </c>
      <c r="AE210" s="639">
        <v>203.83</v>
      </c>
      <c r="AF210" s="639">
        <v>203.83</v>
      </c>
      <c r="AG210" s="639">
        <v>203.83</v>
      </c>
      <c r="AH210" s="639">
        <v>203.83</v>
      </c>
      <c r="AI210" s="765">
        <v>203.83</v>
      </c>
      <c r="AJ210" s="773">
        <v>203.83</v>
      </c>
      <c r="AK210" s="639">
        <v>203.83</v>
      </c>
      <c r="AL210" s="639">
        <v>203.83</v>
      </c>
      <c r="AM210" s="639">
        <v>203.83</v>
      </c>
      <c r="AN210" s="639">
        <v>203.83</v>
      </c>
      <c r="AO210" s="639">
        <v>203.83</v>
      </c>
      <c r="AP210" s="639">
        <v>207.28</v>
      </c>
      <c r="AQ210" s="639">
        <v>213.94</v>
      </c>
      <c r="AR210" s="639">
        <v>216.01</v>
      </c>
      <c r="AS210" s="639">
        <v>217.64</v>
      </c>
      <c r="AT210" s="639">
        <v>217.64</v>
      </c>
      <c r="AU210" s="765">
        <v>211.72</v>
      </c>
      <c r="AV210" s="768">
        <v>217.52</v>
      </c>
      <c r="AW210" s="640">
        <v>221.07</v>
      </c>
      <c r="AX210" s="640">
        <v>221.07</v>
      </c>
      <c r="AY210" s="640">
        <v>224.99</v>
      </c>
      <c r="AZ210" s="640">
        <v>233.59</v>
      </c>
      <c r="BA210" s="640">
        <v>233.59</v>
      </c>
      <c r="BB210" s="640">
        <v>233.59</v>
      </c>
      <c r="BC210" s="641">
        <v>240.99</v>
      </c>
      <c r="BD210" s="640">
        <v>244.63</v>
      </c>
      <c r="BE210" s="641">
        <v>245.04</v>
      </c>
      <c r="BF210" s="641">
        <v>252.12</v>
      </c>
      <c r="BG210" s="751">
        <v>253.25</v>
      </c>
      <c r="BH210" s="661">
        <v>253.25</v>
      </c>
      <c r="BI210" s="642">
        <v>260.39999999999998</v>
      </c>
      <c r="BJ210" s="642">
        <v>260.39999999999998</v>
      </c>
      <c r="BK210" s="642">
        <v>261.16000000000003</v>
      </c>
      <c r="BL210" s="642">
        <v>269.57</v>
      </c>
      <c r="BM210" s="642">
        <v>274.63</v>
      </c>
      <c r="BN210" s="642">
        <v>274.63</v>
      </c>
      <c r="BO210" s="642">
        <v>283.94</v>
      </c>
      <c r="BP210" s="642">
        <v>290.60000000000002</v>
      </c>
      <c r="BQ210" s="642">
        <v>290.60000000000002</v>
      </c>
      <c r="BR210" s="642">
        <v>290.60000000000002</v>
      </c>
      <c r="BS210" s="736">
        <v>290.60000000000002</v>
      </c>
      <c r="BT210" s="661">
        <v>290.60000000000002</v>
      </c>
      <c r="BU210" s="642">
        <v>290.60000000000002</v>
      </c>
      <c r="BV210" s="642">
        <v>301.8</v>
      </c>
      <c r="BW210" s="642">
        <v>302.83</v>
      </c>
      <c r="BX210" s="642">
        <v>300.18</v>
      </c>
      <c r="BY210" s="642">
        <v>311.45999999999998</v>
      </c>
      <c r="BZ210" s="642">
        <v>313.45999999999998</v>
      </c>
      <c r="CA210" s="642">
        <v>313.45999999999998</v>
      </c>
      <c r="CB210" s="642">
        <v>313.45999999999998</v>
      </c>
      <c r="CC210" s="642">
        <v>324.76</v>
      </c>
      <c r="CD210" s="642">
        <v>326.14</v>
      </c>
      <c r="CE210" s="736">
        <v>337.86</v>
      </c>
      <c r="CF210" s="661">
        <v>355.56</v>
      </c>
      <c r="CG210" s="642">
        <v>368.96</v>
      </c>
      <c r="CH210" s="642">
        <v>368.96</v>
      </c>
      <c r="CI210" s="642">
        <v>394.33</v>
      </c>
      <c r="CJ210" s="642">
        <v>401.36</v>
      </c>
      <c r="CK210" s="642">
        <v>401.36</v>
      </c>
      <c r="CL210" s="642">
        <v>401.36</v>
      </c>
      <c r="CM210" s="642">
        <v>411.27</v>
      </c>
      <c r="CN210" s="642">
        <v>411.27</v>
      </c>
      <c r="CO210" s="642">
        <v>444.22</v>
      </c>
      <c r="CP210" s="642">
        <v>454.27</v>
      </c>
      <c r="CQ210" s="736">
        <v>454.27</v>
      </c>
      <c r="CR210" s="661">
        <v>457.7</v>
      </c>
      <c r="CS210" s="642">
        <v>457.7</v>
      </c>
      <c r="CT210" s="642">
        <v>470.57</v>
      </c>
      <c r="CU210" s="642">
        <v>477.91</v>
      </c>
      <c r="CV210" s="642">
        <v>482.3</v>
      </c>
      <c r="CW210" s="642">
        <v>482.3</v>
      </c>
      <c r="CX210" s="642">
        <v>483.93</v>
      </c>
      <c r="CY210" s="642">
        <v>491.13</v>
      </c>
      <c r="CZ210" s="642">
        <v>495.62</v>
      </c>
      <c r="DA210" s="642">
        <v>495.62</v>
      </c>
      <c r="DB210" s="726">
        <v>495.62</v>
      </c>
      <c r="DC210" s="736">
        <v>495.62</v>
      </c>
      <c r="DD210" s="784">
        <v>504.69</v>
      </c>
      <c r="DE210" s="642">
        <v>506.44</v>
      </c>
      <c r="DF210" s="726">
        <v>508.88</v>
      </c>
      <c r="DG210" s="736">
        <v>519.16999999999996</v>
      </c>
      <c r="DH210" s="642">
        <v>519.16999999999996</v>
      </c>
      <c r="DI210" s="642">
        <v>545.89</v>
      </c>
      <c r="DJ210" s="642">
        <v>545.89</v>
      </c>
      <c r="DK210" s="736">
        <v>545.89</v>
      </c>
      <c r="DL210" s="901">
        <v>548.35</v>
      </c>
      <c r="DM210" s="110">
        <f t="shared" si="2"/>
        <v>1.0045064023887598</v>
      </c>
      <c r="DN210" s="110"/>
      <c r="DO210" s="110"/>
    </row>
    <row r="211" spans="1:119" s="132" customFormat="1" ht="18.75" customHeight="1">
      <c r="A211" s="361"/>
      <c r="B211" s="606" t="s">
        <v>398</v>
      </c>
      <c r="C211" s="431"/>
      <c r="D211" s="431"/>
      <c r="E211" s="431"/>
      <c r="F211" s="431"/>
      <c r="G211" s="431"/>
      <c r="H211" s="431"/>
      <c r="I211" s="607"/>
      <c r="J211" s="608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10"/>
      <c r="W211" s="610"/>
      <c r="X211" s="611"/>
      <c r="Y211" s="611"/>
      <c r="Z211" s="431"/>
      <c r="AA211" s="431"/>
      <c r="AB211" s="431"/>
      <c r="AC211" s="431"/>
      <c r="AD211" s="431"/>
      <c r="AE211" s="431"/>
      <c r="AF211" s="431"/>
      <c r="AG211" s="431"/>
      <c r="AH211" s="612"/>
      <c r="AI211" s="612"/>
      <c r="AJ211" s="611"/>
      <c r="AK211" s="611"/>
      <c r="AL211" s="431"/>
      <c r="AM211" s="431"/>
      <c r="AN211" s="431"/>
      <c r="AO211" s="431"/>
      <c r="AP211" s="612"/>
      <c r="AQ211" s="612"/>
      <c r="AR211" s="431"/>
      <c r="AS211" s="431"/>
      <c r="AT211" s="431"/>
      <c r="AU211" s="431"/>
      <c r="AV211" s="431"/>
      <c r="AW211" s="431"/>
      <c r="AX211" s="431"/>
      <c r="AY211" s="612"/>
      <c r="AZ211" s="612"/>
      <c r="BA211" s="431"/>
      <c r="BB211" s="431"/>
      <c r="BC211" s="362"/>
      <c r="BD211" s="612"/>
      <c r="BE211" s="362"/>
      <c r="BF211" s="362"/>
      <c r="BG211" s="362"/>
      <c r="BH211" s="362"/>
      <c r="BI211" s="362"/>
      <c r="BJ211" s="362"/>
      <c r="BK211" s="362"/>
      <c r="BL211" s="362"/>
      <c r="BM211" s="362"/>
      <c r="BN211" s="362"/>
      <c r="BO211" s="362"/>
      <c r="BP211" s="362"/>
      <c r="BQ211" s="362"/>
      <c r="BR211" s="362"/>
      <c r="BS211" s="362"/>
      <c r="BT211" s="362"/>
      <c r="BU211" s="362"/>
      <c r="BV211" s="362"/>
      <c r="BW211" s="362"/>
      <c r="BX211" s="362"/>
      <c r="BY211" s="362"/>
      <c r="BZ211" s="362"/>
      <c r="CA211" s="362"/>
      <c r="CB211" s="362"/>
      <c r="CC211" s="362"/>
      <c r="CD211" s="362"/>
      <c r="CE211" s="362"/>
      <c r="CF211" s="362"/>
      <c r="CG211" s="362"/>
      <c r="CH211" s="362"/>
      <c r="CI211" s="362"/>
      <c r="CJ211" s="362"/>
      <c r="CK211" s="362"/>
      <c r="CL211" s="362"/>
      <c r="CM211" s="362"/>
      <c r="CN211" s="362"/>
      <c r="CO211" s="362"/>
      <c r="CP211" s="362"/>
      <c r="CQ211" s="362"/>
      <c r="CR211" s="362"/>
      <c r="CS211" s="362"/>
      <c r="CT211" s="362"/>
      <c r="CU211" s="362"/>
      <c r="CV211" s="362"/>
      <c r="CW211" s="362"/>
      <c r="CX211" s="362"/>
      <c r="CY211" s="362"/>
      <c r="CZ211" s="362"/>
      <c r="DA211" s="362"/>
      <c r="DB211" s="362"/>
      <c r="DC211" s="362"/>
      <c r="DD211" s="362"/>
      <c r="DE211" s="268"/>
      <c r="DF211" s="268"/>
      <c r="DG211" s="268"/>
      <c r="DH211" s="831" t="s">
        <v>779</v>
      </c>
      <c r="DI211" s="830"/>
      <c r="DJ211" s="831"/>
      <c r="DK211" s="831"/>
      <c r="DL211" s="868"/>
      <c r="DM211" s="268"/>
      <c r="DN211" s="268"/>
      <c r="DO211" s="268"/>
    </row>
    <row r="212" spans="1:119" s="132" customFormat="1" ht="15" customHeight="1">
      <c r="B212" s="358">
        <v>1</v>
      </c>
      <c r="C212" s="122" t="s">
        <v>399</v>
      </c>
      <c r="D212" s="122"/>
      <c r="E212" s="122"/>
      <c r="F212" s="122"/>
      <c r="G212" s="122"/>
      <c r="H212" s="122"/>
      <c r="I212" s="153"/>
      <c r="J212" s="15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123"/>
      <c r="W212" s="123"/>
      <c r="X212" s="124"/>
      <c r="Y212" s="124"/>
      <c r="Z212" s="122"/>
      <c r="AA212" s="122"/>
      <c r="AB212" s="122"/>
      <c r="AC212" s="122"/>
      <c r="AD212" s="122"/>
      <c r="AE212" s="122"/>
      <c r="AF212" s="122"/>
      <c r="AG212" s="122"/>
      <c r="AH212" s="266"/>
      <c r="AI212" s="266"/>
      <c r="AJ212" s="124"/>
      <c r="AK212" s="124"/>
      <c r="AL212" s="122"/>
      <c r="AM212" s="122"/>
      <c r="AN212" s="122"/>
      <c r="AO212" s="122"/>
      <c r="AP212" s="266"/>
      <c r="AQ212" s="266"/>
      <c r="AR212" s="122"/>
      <c r="AS212" s="122"/>
      <c r="AT212" s="122"/>
      <c r="AU212" s="122"/>
      <c r="AV212" s="122"/>
      <c r="AW212" s="122"/>
      <c r="AX212" s="122"/>
      <c r="AY212" s="267" t="s">
        <v>481</v>
      </c>
      <c r="AZ212" s="267" t="s">
        <v>481</v>
      </c>
      <c r="BA212" s="122"/>
      <c r="BB212" s="122"/>
      <c r="BC212" s="268"/>
      <c r="BD212" s="266"/>
      <c r="BE212" s="268"/>
      <c r="BF212" s="268"/>
      <c r="BG212" s="268"/>
      <c r="BH212" s="268"/>
      <c r="BI212" s="268"/>
      <c r="BJ212" s="268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268"/>
      <c r="BW212" s="268"/>
      <c r="BX212" s="268"/>
      <c r="BY212" s="268"/>
      <c r="BZ212" s="268"/>
      <c r="CA212" s="268"/>
      <c r="CB212" s="268"/>
      <c r="CC212" s="268"/>
      <c r="CD212" s="268"/>
      <c r="CE212" s="268"/>
      <c r="CF212" s="268"/>
      <c r="CG212" s="268"/>
      <c r="CH212" s="268"/>
      <c r="CI212" s="268"/>
      <c r="CJ212" s="268"/>
      <c r="CK212" s="268"/>
      <c r="CL212" s="268"/>
      <c r="CM212" s="268"/>
      <c r="CN212" s="268"/>
      <c r="CO212" s="268"/>
      <c r="CP212" s="268"/>
      <c r="CQ212" s="268"/>
      <c r="CR212" s="268"/>
      <c r="CS212" s="268"/>
      <c r="CT212" s="268"/>
      <c r="CU212" s="268"/>
      <c r="CV212" s="268"/>
      <c r="CW212" s="268"/>
      <c r="CX212" s="268"/>
      <c r="CY212" s="268"/>
      <c r="CZ212" s="268"/>
      <c r="DA212" s="268"/>
      <c r="DB212" s="268"/>
      <c r="DC212" s="268"/>
      <c r="DD212" s="268"/>
      <c r="DE212" s="268"/>
      <c r="DF212" s="268"/>
      <c r="DG212" s="268"/>
      <c r="DH212" s="830"/>
      <c r="DI212" s="830"/>
      <c r="DJ212" s="830"/>
      <c r="DK212" s="830"/>
      <c r="DL212" s="829"/>
      <c r="DM212" s="268"/>
      <c r="DN212" s="268"/>
      <c r="DO212" s="268"/>
    </row>
    <row r="213" spans="1:119" s="271" customFormat="1" ht="15" customHeight="1">
      <c r="B213" s="358">
        <v>2</v>
      </c>
      <c r="C213" s="269" t="s">
        <v>941</v>
      </c>
      <c r="D213" s="122"/>
      <c r="E213" s="122"/>
      <c r="F213" s="122"/>
      <c r="G213" s="122"/>
      <c r="H213" s="122"/>
      <c r="I213" s="153"/>
      <c r="J213" s="15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123"/>
      <c r="W213" s="123"/>
      <c r="X213" s="124"/>
      <c r="Y213" s="124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266"/>
      <c r="AJ213" s="124"/>
      <c r="AK213" s="124"/>
      <c r="AL213" s="122"/>
      <c r="AM213" s="122"/>
      <c r="AN213" s="122"/>
      <c r="AO213" s="122"/>
      <c r="AP213" s="266"/>
      <c r="AQ213" s="266"/>
      <c r="AR213" s="122"/>
      <c r="AS213" s="122"/>
      <c r="AT213" s="122"/>
      <c r="AU213" s="122"/>
      <c r="AV213" s="122"/>
      <c r="AW213" s="122"/>
      <c r="AX213" s="122"/>
      <c r="AY213" s="266"/>
      <c r="AZ213" s="266"/>
      <c r="BA213" s="122"/>
      <c r="BB213" s="122"/>
      <c r="BC213" s="268"/>
      <c r="BD213" s="266"/>
      <c r="BE213" s="268"/>
      <c r="BF213" s="268"/>
      <c r="BG213" s="268"/>
      <c r="BH213" s="268"/>
      <c r="BI213" s="268"/>
      <c r="BJ213" s="268"/>
      <c r="BK213" s="268"/>
      <c r="BL213" s="268"/>
      <c r="BM213" s="268"/>
      <c r="BN213" s="268"/>
      <c r="BO213" s="268"/>
      <c r="BP213" s="268"/>
      <c r="BQ213" s="268"/>
      <c r="BR213" s="268"/>
      <c r="BS213" s="268"/>
      <c r="BT213" s="268"/>
      <c r="BU213" s="268"/>
      <c r="BV213" s="268"/>
      <c r="BW213" s="268"/>
      <c r="BX213" s="268"/>
      <c r="BY213" s="268"/>
      <c r="BZ213" s="268"/>
      <c r="CA213" s="268"/>
      <c r="CB213" s="268"/>
      <c r="CC213" s="268"/>
      <c r="CD213" s="268"/>
      <c r="CE213" s="268"/>
      <c r="CF213" s="268"/>
      <c r="CG213" s="268"/>
      <c r="CH213" s="268"/>
      <c r="CI213" s="268"/>
      <c r="CJ213" s="268"/>
      <c r="CK213" s="268"/>
      <c r="CL213" s="268"/>
      <c r="CM213" s="268"/>
      <c r="CN213" s="268"/>
      <c r="CO213" s="268"/>
      <c r="CP213" s="268"/>
      <c r="CQ213" s="268"/>
      <c r="CR213" s="268"/>
      <c r="CS213" s="268"/>
      <c r="CT213" s="268"/>
      <c r="CU213" s="268"/>
      <c r="CV213" s="268"/>
      <c r="CW213" s="268"/>
      <c r="CX213" s="268"/>
      <c r="CY213" s="268"/>
      <c r="CZ213" s="268"/>
      <c r="DA213" s="268"/>
      <c r="DB213" s="268"/>
      <c r="DC213" s="268"/>
      <c r="DD213" s="268"/>
      <c r="DE213" s="268"/>
      <c r="DF213" s="268"/>
      <c r="DG213" s="268"/>
      <c r="DH213" s="830"/>
      <c r="DI213" s="830"/>
      <c r="DJ213" s="830"/>
      <c r="DK213" s="830"/>
      <c r="DL213" s="829"/>
      <c r="DM213" s="270"/>
      <c r="DN213" s="270"/>
      <c r="DO213" s="270"/>
    </row>
    <row r="214" spans="1:119" s="271" customFormat="1" ht="15" customHeight="1">
      <c r="B214" s="358">
        <v>3</v>
      </c>
      <c r="C214" s="122" t="s">
        <v>400</v>
      </c>
      <c r="D214" s="122"/>
      <c r="E214" s="122"/>
      <c r="F214" s="122"/>
      <c r="G214" s="122"/>
      <c r="H214" s="122"/>
      <c r="I214" s="153"/>
      <c r="J214" s="15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123"/>
      <c r="W214" s="123"/>
      <c r="X214" s="124"/>
      <c r="Y214" s="124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266"/>
      <c r="AJ214" s="124"/>
      <c r="AK214" s="124"/>
      <c r="AL214" s="122"/>
      <c r="AM214" s="122"/>
      <c r="AN214" s="122"/>
      <c r="AO214" s="122"/>
      <c r="AP214" s="266"/>
      <c r="AQ214" s="266"/>
      <c r="AR214" s="122"/>
      <c r="AS214" s="122"/>
      <c r="AT214" s="122"/>
      <c r="AU214" s="122"/>
      <c r="AV214" s="122"/>
      <c r="AW214" s="122"/>
      <c r="AX214" s="122"/>
      <c r="AY214" s="266"/>
      <c r="AZ214" s="266"/>
      <c r="BA214" s="122"/>
      <c r="BB214" s="122"/>
      <c r="BC214" s="268"/>
      <c r="BD214" s="266"/>
      <c r="BE214" s="268"/>
      <c r="BF214" s="268"/>
      <c r="BG214" s="268"/>
      <c r="BH214" s="268"/>
      <c r="BI214" s="268"/>
      <c r="BJ214" s="268"/>
      <c r="BK214" s="268"/>
      <c r="BL214" s="268"/>
      <c r="BM214" s="268"/>
      <c r="BN214" s="268"/>
      <c r="BO214" s="268"/>
      <c r="BP214" s="268"/>
      <c r="BQ214" s="268"/>
      <c r="BR214" s="268"/>
      <c r="BS214" s="268"/>
      <c r="BT214" s="268"/>
      <c r="BU214" s="268"/>
      <c r="BV214" s="268"/>
      <c r="BW214" s="268"/>
      <c r="BX214" s="268"/>
      <c r="BY214" s="268"/>
      <c r="BZ214" s="268"/>
      <c r="CA214" s="268"/>
      <c r="CB214" s="268"/>
      <c r="CC214" s="268"/>
      <c r="CD214" s="268"/>
      <c r="CE214" s="268"/>
      <c r="CF214" s="268"/>
      <c r="CG214" s="268"/>
      <c r="CH214" s="268"/>
      <c r="CI214" s="268"/>
      <c r="CJ214" s="268"/>
      <c r="CK214" s="268"/>
      <c r="CL214" s="268"/>
      <c r="CM214" s="268"/>
      <c r="CN214" s="268"/>
      <c r="CO214" s="268"/>
      <c r="CP214" s="268"/>
      <c r="CQ214" s="268"/>
      <c r="CR214" s="268"/>
      <c r="CS214" s="268"/>
      <c r="CT214" s="268"/>
      <c r="CU214" s="268"/>
      <c r="CV214" s="268"/>
      <c r="CW214" s="268"/>
      <c r="CX214" s="268"/>
      <c r="CY214" s="268"/>
      <c r="CZ214" s="268"/>
      <c r="DA214" s="268"/>
      <c r="DB214" s="268"/>
      <c r="DC214" s="268"/>
      <c r="DD214" s="268"/>
      <c r="DE214" s="268"/>
      <c r="DF214" s="268"/>
      <c r="DG214" s="268"/>
      <c r="DH214" s="830"/>
      <c r="DI214" s="830"/>
      <c r="DJ214" s="830"/>
      <c r="DK214" s="830"/>
      <c r="DL214" s="829"/>
      <c r="DM214" s="270"/>
      <c r="DN214" s="270"/>
      <c r="DO214" s="270"/>
    </row>
    <row r="215" spans="1:119" s="132" customFormat="1" ht="15" customHeight="1">
      <c r="B215" s="358">
        <v>4</v>
      </c>
      <c r="C215" s="122" t="s">
        <v>568</v>
      </c>
      <c r="D215" s="122"/>
      <c r="E215" s="122"/>
      <c r="F215" s="122"/>
      <c r="G215" s="122"/>
      <c r="H215" s="122"/>
      <c r="I215" s="153"/>
      <c r="J215" s="15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123"/>
      <c r="W215" s="123"/>
      <c r="X215" s="124"/>
      <c r="Y215" s="124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266"/>
      <c r="AJ215" s="124"/>
      <c r="AK215" s="124"/>
      <c r="AL215" s="122"/>
      <c r="AM215" s="122"/>
      <c r="AN215" s="122"/>
      <c r="AO215" s="122"/>
      <c r="AP215" s="266"/>
      <c r="AQ215" s="266"/>
      <c r="AR215" s="122"/>
      <c r="AS215" s="122"/>
      <c r="AT215" s="122"/>
      <c r="AU215" s="122"/>
      <c r="AV215" s="122"/>
      <c r="AW215" s="122"/>
      <c r="AX215" s="122"/>
      <c r="AY215" s="266"/>
      <c r="AZ215" s="266"/>
      <c r="BA215" s="122"/>
      <c r="BB215" s="122"/>
      <c r="BC215" s="268"/>
      <c r="BD215" s="266"/>
      <c r="BE215" s="268"/>
      <c r="BF215" s="268"/>
      <c r="BG215" s="268"/>
      <c r="BH215" s="268"/>
      <c r="BI215" s="268"/>
      <c r="BJ215" s="268"/>
      <c r="BK215" s="268"/>
      <c r="BL215" s="268"/>
      <c r="BM215" s="268"/>
      <c r="BN215" s="268"/>
      <c r="BO215" s="268"/>
      <c r="BP215" s="268"/>
      <c r="BQ215" s="268"/>
      <c r="BR215" s="268"/>
      <c r="BS215" s="268"/>
      <c r="BT215" s="268"/>
      <c r="BU215" s="268"/>
      <c r="BV215" s="268"/>
      <c r="BW215" s="268"/>
      <c r="BX215" s="268"/>
      <c r="BY215" s="268"/>
      <c r="BZ215" s="268"/>
      <c r="CA215" s="268"/>
      <c r="CB215" s="268"/>
      <c r="CC215" s="268"/>
      <c r="CD215" s="268"/>
      <c r="CE215" s="268"/>
      <c r="CF215" s="268"/>
      <c r="CG215" s="268"/>
      <c r="CH215" s="268"/>
      <c r="CI215" s="268"/>
      <c r="CJ215" s="268"/>
      <c r="CK215" s="268"/>
      <c r="CL215" s="268"/>
      <c r="CM215" s="268"/>
      <c r="CN215" s="268"/>
      <c r="CO215" s="268"/>
      <c r="CP215" s="268"/>
      <c r="CQ215" s="268"/>
      <c r="CR215" s="268"/>
      <c r="CS215" s="268"/>
      <c r="CT215" s="268"/>
      <c r="CU215" s="268"/>
      <c r="CV215" s="268"/>
      <c r="CW215" s="268"/>
      <c r="CX215" s="268"/>
      <c r="CY215" s="268"/>
      <c r="CZ215" s="268"/>
      <c r="DA215" s="268"/>
      <c r="DB215" s="268"/>
      <c r="DC215" s="268"/>
      <c r="DD215" s="268"/>
      <c r="DE215" s="268"/>
      <c r="DF215" s="268"/>
      <c r="DG215" s="268"/>
      <c r="DH215" s="830"/>
      <c r="DI215" s="830"/>
      <c r="DJ215" s="830"/>
      <c r="DK215" s="830"/>
      <c r="DL215" s="829"/>
      <c r="DM215" s="268"/>
      <c r="DN215" s="268"/>
      <c r="DO215" s="268"/>
    </row>
    <row r="216" spans="1:119" s="132" customFormat="1" ht="15" customHeight="1">
      <c r="B216" s="358">
        <v>5</v>
      </c>
      <c r="C216" s="122" t="s">
        <v>569</v>
      </c>
      <c r="D216" s="122"/>
      <c r="E216" s="122"/>
      <c r="F216" s="122"/>
      <c r="G216" s="122"/>
      <c r="H216" s="122"/>
      <c r="I216" s="153"/>
      <c r="J216" s="15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123"/>
      <c r="W216" s="123"/>
      <c r="X216" s="124"/>
      <c r="Y216" s="124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266"/>
      <c r="AJ216" s="124"/>
      <c r="AK216" s="124"/>
      <c r="AL216" s="122"/>
      <c r="AM216" s="122"/>
      <c r="AN216" s="122"/>
      <c r="AO216" s="122"/>
      <c r="AP216" s="266"/>
      <c r="AQ216" s="266"/>
      <c r="AR216" s="122"/>
      <c r="AS216" s="122"/>
      <c r="AT216" s="122"/>
      <c r="AU216" s="122"/>
      <c r="AV216" s="122"/>
      <c r="AW216" s="122"/>
      <c r="AX216" s="122"/>
      <c r="AY216" s="266"/>
      <c r="AZ216" s="266"/>
      <c r="BA216" s="122"/>
      <c r="BB216" s="122"/>
      <c r="BC216" s="268"/>
      <c r="BD216" s="266"/>
      <c r="BE216" s="268"/>
      <c r="BF216" s="268"/>
      <c r="BG216" s="268"/>
      <c r="BH216" s="268"/>
      <c r="BI216" s="268"/>
      <c r="BJ216" s="268"/>
      <c r="BK216" s="268"/>
      <c r="BL216" s="268"/>
      <c r="BM216" s="268"/>
      <c r="BN216" s="268"/>
      <c r="BO216" s="268"/>
      <c r="BP216" s="268"/>
      <c r="BQ216" s="268"/>
      <c r="BR216" s="268"/>
      <c r="BS216" s="268"/>
      <c r="BT216" s="268"/>
      <c r="BU216" s="268"/>
      <c r="BV216" s="268"/>
      <c r="BW216" s="268"/>
      <c r="BX216" s="268"/>
      <c r="BY216" s="268"/>
      <c r="BZ216" s="268"/>
      <c r="CA216" s="268"/>
      <c r="CB216" s="268"/>
      <c r="CC216" s="268"/>
      <c r="CD216" s="268"/>
      <c r="CE216" s="268"/>
      <c r="CF216" s="268"/>
      <c r="CG216" s="268"/>
      <c r="CH216" s="268"/>
      <c r="CI216" s="268"/>
      <c r="CJ216" s="268"/>
      <c r="CK216" s="268"/>
      <c r="CL216" s="268"/>
      <c r="CM216" s="268"/>
      <c r="CN216" s="268"/>
      <c r="CO216" s="268"/>
      <c r="CP216" s="268"/>
      <c r="CQ216" s="268"/>
      <c r="CR216" s="268"/>
      <c r="CS216" s="268"/>
      <c r="CT216" s="268"/>
      <c r="CU216" s="268"/>
      <c r="CV216" s="268"/>
      <c r="CW216" s="268"/>
      <c r="CX216" s="268"/>
      <c r="CY216" s="268"/>
      <c r="CZ216" s="268"/>
      <c r="DA216" s="268"/>
      <c r="DB216" s="268"/>
      <c r="DC216" s="268"/>
      <c r="DD216" s="268"/>
      <c r="DE216" s="268"/>
      <c r="DF216" s="268"/>
      <c r="DG216" s="268"/>
      <c r="DH216" s="830"/>
      <c r="DI216" s="830"/>
      <c r="DJ216" s="830"/>
      <c r="DK216" s="830"/>
      <c r="DL216" s="829"/>
      <c r="DM216" s="268"/>
      <c r="DN216" s="268"/>
      <c r="DO216" s="268"/>
    </row>
    <row r="217" spans="1:119" s="132" customFormat="1" ht="15" customHeight="1">
      <c r="B217" s="358">
        <v>6</v>
      </c>
      <c r="C217" s="122" t="s">
        <v>107</v>
      </c>
      <c r="D217" s="122"/>
      <c r="E217" s="122"/>
      <c r="F217" s="122"/>
      <c r="G217" s="122"/>
      <c r="H217" s="122"/>
      <c r="I217" s="153"/>
      <c r="J217" s="15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123"/>
      <c r="W217" s="123"/>
      <c r="X217" s="124"/>
      <c r="Y217" s="124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266"/>
      <c r="AJ217" s="124"/>
      <c r="AK217" s="124"/>
      <c r="AL217" s="122"/>
      <c r="AM217" s="122"/>
      <c r="AN217" s="122"/>
      <c r="AO217" s="122"/>
      <c r="AP217" s="266"/>
      <c r="AQ217" s="266"/>
      <c r="AR217" s="122"/>
      <c r="AS217" s="122"/>
      <c r="AT217" s="122"/>
      <c r="AU217" s="122"/>
      <c r="AV217" s="122"/>
      <c r="AW217" s="122"/>
      <c r="AX217" s="122"/>
      <c r="AY217" s="266"/>
      <c r="AZ217" s="266"/>
      <c r="BA217" s="122"/>
      <c r="BB217" s="122"/>
      <c r="BC217" s="268"/>
      <c r="BD217" s="266"/>
      <c r="BE217" s="268"/>
      <c r="BF217" s="268"/>
      <c r="BG217" s="268"/>
      <c r="BH217" s="268"/>
      <c r="BI217" s="268"/>
      <c r="BJ217" s="268"/>
      <c r="BK217" s="268"/>
      <c r="BL217" s="268"/>
      <c r="BM217" s="268"/>
      <c r="BN217" s="268"/>
      <c r="BO217" s="268"/>
      <c r="BP217" s="268"/>
      <c r="BQ217" s="268"/>
      <c r="BR217" s="268"/>
      <c r="BS217" s="268"/>
      <c r="BT217" s="268"/>
      <c r="BU217" s="268"/>
      <c r="BV217" s="268"/>
      <c r="BW217" s="268"/>
      <c r="BX217" s="268"/>
      <c r="BY217" s="268"/>
      <c r="BZ217" s="268"/>
      <c r="CA217" s="268"/>
      <c r="CB217" s="268"/>
      <c r="CC217" s="268"/>
      <c r="CD217" s="268"/>
      <c r="CE217" s="268"/>
      <c r="CF217" s="268"/>
      <c r="CG217" s="268"/>
      <c r="CH217" s="268"/>
      <c r="CI217" s="268"/>
      <c r="CJ217" s="268"/>
      <c r="CK217" s="268"/>
      <c r="CL217" s="268"/>
      <c r="CM217" s="268"/>
      <c r="CN217" s="268"/>
      <c r="CO217" s="268"/>
      <c r="CP217" s="268"/>
      <c r="CQ217" s="268"/>
      <c r="CR217" s="268"/>
      <c r="CS217" s="268"/>
      <c r="CT217" s="268"/>
      <c r="CU217" s="268"/>
      <c r="CV217" s="268"/>
      <c r="CW217" s="268"/>
      <c r="CX217" s="268"/>
      <c r="CY217" s="268"/>
      <c r="CZ217" s="268"/>
      <c r="DA217" s="268"/>
      <c r="DB217" s="268"/>
      <c r="DC217" s="268"/>
      <c r="DD217" s="268"/>
      <c r="DE217" s="268"/>
      <c r="DF217" s="268"/>
      <c r="DG217" s="268"/>
      <c r="DH217" s="830"/>
      <c r="DI217" s="830"/>
      <c r="DJ217" s="830"/>
      <c r="DK217" s="830"/>
      <c r="DL217" s="829"/>
      <c r="DM217" s="268"/>
      <c r="DN217" s="268"/>
      <c r="DO217" s="268"/>
    </row>
    <row r="218" spans="1:119" s="271" customFormat="1" ht="15" customHeight="1">
      <c r="B218" s="358">
        <v>7</v>
      </c>
      <c r="C218" s="122" t="s">
        <v>943</v>
      </c>
      <c r="D218" s="122"/>
      <c r="E218" s="122"/>
      <c r="F218" s="122"/>
      <c r="G218" s="122"/>
      <c r="H218" s="122"/>
      <c r="I218" s="153"/>
      <c r="J218" s="15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123"/>
      <c r="W218" s="123"/>
      <c r="X218" s="124"/>
      <c r="Y218" s="124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266"/>
      <c r="AJ218" s="124"/>
      <c r="AK218" s="124"/>
      <c r="AL218" s="122"/>
      <c r="AM218" s="122"/>
      <c r="AN218" s="122"/>
      <c r="AO218" s="122"/>
      <c r="AP218" s="266"/>
      <c r="AQ218" s="266"/>
      <c r="AR218" s="122"/>
      <c r="AS218" s="122"/>
      <c r="AT218" s="122"/>
      <c r="AU218" s="122"/>
      <c r="AV218" s="122"/>
      <c r="AW218" s="122"/>
      <c r="AX218" s="122"/>
      <c r="AY218" s="266"/>
      <c r="AZ218" s="266"/>
      <c r="BA218" s="122"/>
      <c r="BB218" s="122"/>
      <c r="BC218" s="268"/>
      <c r="BD218" s="266"/>
      <c r="BE218" s="268"/>
      <c r="BF218" s="268"/>
      <c r="BG218" s="268"/>
      <c r="BH218" s="268"/>
      <c r="BI218" s="268"/>
      <c r="BJ218" s="268"/>
      <c r="BK218" s="268"/>
      <c r="BL218" s="268"/>
      <c r="BM218" s="268"/>
      <c r="BN218" s="268"/>
      <c r="BO218" s="268"/>
      <c r="BP218" s="268"/>
      <c r="BQ218" s="268"/>
      <c r="BR218" s="268"/>
      <c r="BS218" s="268"/>
      <c r="BT218" s="268"/>
      <c r="BU218" s="268"/>
      <c r="BV218" s="268"/>
      <c r="BW218" s="268"/>
      <c r="BX218" s="268"/>
      <c r="BY218" s="268"/>
      <c r="BZ218" s="268"/>
      <c r="CA218" s="268"/>
      <c r="CB218" s="268"/>
      <c r="CC218" s="268"/>
      <c r="CD218" s="268"/>
      <c r="CE218" s="268"/>
      <c r="CF218" s="268"/>
      <c r="CG218" s="268"/>
      <c r="CH218" s="268"/>
      <c r="CI218" s="268"/>
      <c r="CJ218" s="268"/>
      <c r="CK218" s="268"/>
      <c r="CL218" s="268"/>
      <c r="CM218" s="268"/>
      <c r="CN218" s="268"/>
      <c r="CO218" s="268"/>
      <c r="CP218" s="268"/>
      <c r="CQ218" s="268"/>
      <c r="CR218" s="268"/>
      <c r="CS218" s="268"/>
      <c r="CT218" s="268"/>
      <c r="CU218" s="268"/>
      <c r="CV218" s="268"/>
      <c r="CW218" s="268"/>
      <c r="CX218" s="268"/>
      <c r="CY218" s="268"/>
      <c r="CZ218" s="268"/>
      <c r="DA218" s="268"/>
      <c r="DB218" s="268"/>
      <c r="DC218" s="268"/>
      <c r="DD218" s="268"/>
      <c r="DE218" s="268"/>
      <c r="DF218" s="268"/>
      <c r="DG218" s="268"/>
      <c r="DH218" s="830"/>
      <c r="DI218" s="830"/>
      <c r="DJ218" s="830"/>
      <c r="DK218" s="830"/>
      <c r="DL218" s="829"/>
      <c r="DM218" s="270"/>
      <c r="DN218" s="270"/>
      <c r="DO218" s="270"/>
    </row>
    <row r="219" spans="1:119" s="132" customFormat="1" ht="15" customHeight="1">
      <c r="B219" s="358">
        <v>8</v>
      </c>
      <c r="C219" s="122" t="s">
        <v>108</v>
      </c>
      <c r="D219" s="122"/>
      <c r="E219" s="122"/>
      <c r="F219" s="122"/>
      <c r="G219" s="122"/>
      <c r="H219" s="122"/>
      <c r="I219" s="153"/>
      <c r="J219" s="15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123"/>
      <c r="W219" s="123"/>
      <c r="X219" s="124"/>
      <c r="Y219" s="124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266"/>
      <c r="AJ219" s="124"/>
      <c r="AK219" s="124"/>
      <c r="AL219" s="122"/>
      <c r="AM219" s="122"/>
      <c r="AN219" s="122"/>
      <c r="AO219" s="122"/>
      <c r="AP219" s="266"/>
      <c r="AQ219" s="266"/>
      <c r="AR219" s="122"/>
      <c r="AS219" s="122"/>
      <c r="AT219" s="122"/>
      <c r="AU219" s="122"/>
      <c r="AV219" s="122"/>
      <c r="AW219" s="122"/>
      <c r="AX219" s="122"/>
      <c r="AY219" s="266"/>
      <c r="AZ219" s="266"/>
      <c r="BA219" s="122"/>
      <c r="BB219" s="122"/>
      <c r="BC219" s="268"/>
      <c r="BD219" s="266"/>
      <c r="BE219" s="268"/>
      <c r="BF219" s="268"/>
      <c r="BG219" s="268"/>
      <c r="BH219" s="268"/>
      <c r="BI219" s="268"/>
      <c r="BJ219" s="268"/>
      <c r="BK219" s="268"/>
      <c r="BL219" s="268"/>
      <c r="BM219" s="268"/>
      <c r="BN219" s="268"/>
      <c r="BO219" s="268"/>
      <c r="BP219" s="268"/>
      <c r="BQ219" s="268"/>
      <c r="BR219" s="268"/>
      <c r="BS219" s="268"/>
      <c r="BT219" s="268"/>
      <c r="BU219" s="268"/>
      <c r="BV219" s="268"/>
      <c r="BW219" s="268"/>
      <c r="BX219" s="268"/>
      <c r="BY219" s="268"/>
      <c r="BZ219" s="268"/>
      <c r="CA219" s="268"/>
      <c r="CB219" s="268"/>
      <c r="CC219" s="268"/>
      <c r="CD219" s="268"/>
      <c r="CE219" s="268"/>
      <c r="CF219" s="268"/>
      <c r="CG219" s="268"/>
      <c r="CH219" s="268"/>
      <c r="CI219" s="268"/>
      <c r="CJ219" s="268"/>
      <c r="CK219" s="268"/>
      <c r="CL219" s="268"/>
      <c r="CM219" s="268"/>
      <c r="CN219" s="268"/>
      <c r="CO219" s="268"/>
      <c r="CP219" s="268"/>
      <c r="CQ219" s="268"/>
      <c r="CR219" s="268"/>
      <c r="CS219" s="268"/>
      <c r="CT219" s="268"/>
      <c r="CU219" s="268"/>
      <c r="CV219" s="268"/>
      <c r="CW219" s="268"/>
      <c r="CX219" s="268"/>
      <c r="CY219" s="268"/>
      <c r="CZ219" s="268"/>
      <c r="DA219" s="268"/>
      <c r="DB219" s="268"/>
      <c r="DC219" s="268"/>
      <c r="DD219" s="268"/>
      <c r="DE219" s="268"/>
      <c r="DF219" s="268"/>
      <c r="DG219" s="268"/>
      <c r="DH219" s="830"/>
      <c r="DI219" s="830"/>
      <c r="DJ219" s="830"/>
      <c r="DK219" s="830"/>
      <c r="DL219" s="829"/>
      <c r="DM219" s="268"/>
      <c r="DN219" s="268"/>
      <c r="DO219" s="268"/>
    </row>
    <row r="220" spans="1:119" s="132" customFormat="1" ht="15" customHeight="1">
      <c r="B220" s="358">
        <v>9</v>
      </c>
      <c r="C220" s="122" t="s">
        <v>108</v>
      </c>
      <c r="D220" s="122"/>
      <c r="E220" s="122"/>
      <c r="F220" s="122"/>
      <c r="G220" s="122"/>
      <c r="H220" s="122"/>
      <c r="I220" s="153"/>
      <c r="J220" s="15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123"/>
      <c r="W220" s="123"/>
      <c r="X220" s="124"/>
      <c r="Y220" s="124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266"/>
      <c r="AJ220" s="124"/>
      <c r="AK220" s="124"/>
      <c r="AL220" s="122"/>
      <c r="AM220" s="122"/>
      <c r="AN220" s="122"/>
      <c r="AO220" s="122"/>
      <c r="AP220" s="266"/>
      <c r="AQ220" s="266"/>
      <c r="AR220" s="122"/>
      <c r="AS220" s="122"/>
      <c r="AT220" s="122"/>
      <c r="AU220" s="122"/>
      <c r="AV220" s="122"/>
      <c r="AW220" s="122"/>
      <c r="AX220" s="122"/>
      <c r="AY220" s="266"/>
      <c r="AZ220" s="266"/>
      <c r="BA220" s="122"/>
      <c r="BB220" s="122"/>
      <c r="BC220" s="268"/>
      <c r="BD220" s="266"/>
      <c r="BE220" s="268"/>
      <c r="BF220" s="268"/>
      <c r="BG220" s="268"/>
      <c r="BH220" s="268"/>
      <c r="BI220" s="268"/>
      <c r="BJ220" s="268"/>
      <c r="BK220" s="268"/>
      <c r="BL220" s="268"/>
      <c r="BM220" s="268"/>
      <c r="BN220" s="268"/>
      <c r="BO220" s="268"/>
      <c r="BP220" s="268"/>
      <c r="BQ220" s="268"/>
      <c r="BR220" s="268"/>
      <c r="BS220" s="268"/>
      <c r="BT220" s="268"/>
      <c r="BU220" s="268"/>
      <c r="BV220" s="268"/>
      <c r="BW220" s="268"/>
      <c r="BX220" s="268"/>
      <c r="BY220" s="268"/>
      <c r="BZ220" s="268"/>
      <c r="CA220" s="268"/>
      <c r="CB220" s="268"/>
      <c r="CC220" s="268"/>
      <c r="CD220" s="268"/>
      <c r="CE220" s="268"/>
      <c r="CF220" s="268"/>
      <c r="CG220" s="268"/>
      <c r="CH220" s="268"/>
      <c r="CI220" s="268"/>
      <c r="CJ220" s="268"/>
      <c r="CK220" s="268"/>
      <c r="CL220" s="268"/>
      <c r="CM220" s="268"/>
      <c r="CN220" s="268"/>
      <c r="CO220" s="268"/>
      <c r="CP220" s="268"/>
      <c r="CQ220" s="268"/>
      <c r="CR220" s="268"/>
      <c r="CS220" s="268"/>
      <c r="CT220" s="268"/>
      <c r="CU220" s="268"/>
      <c r="CV220" s="268"/>
      <c r="CW220" s="268"/>
      <c r="CX220" s="268"/>
      <c r="CY220" s="268"/>
      <c r="CZ220" s="268"/>
      <c r="DA220" s="268"/>
      <c r="DB220" s="268"/>
      <c r="DC220" s="268"/>
      <c r="DD220" s="268"/>
      <c r="DE220" s="268"/>
      <c r="DF220" s="268"/>
      <c r="DG220" s="268"/>
      <c r="DH220" s="830"/>
      <c r="DI220" s="830"/>
      <c r="DJ220" s="830"/>
      <c r="DK220" s="830"/>
      <c r="DL220" s="829"/>
      <c r="DM220" s="268"/>
      <c r="DN220" s="268"/>
      <c r="DO220" s="268"/>
    </row>
    <row r="221" spans="1:119" s="132" customFormat="1" ht="15" customHeight="1">
      <c r="B221" s="358">
        <v>10</v>
      </c>
      <c r="C221" s="122" t="s">
        <v>401</v>
      </c>
      <c r="D221" s="122"/>
      <c r="E221" s="122"/>
      <c r="F221" s="122"/>
      <c r="G221" s="122"/>
      <c r="H221" s="122"/>
      <c r="I221" s="153"/>
      <c r="J221" s="15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123"/>
      <c r="W221" s="123"/>
      <c r="X221" s="124"/>
      <c r="Y221" s="124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266"/>
      <c r="AJ221" s="124"/>
      <c r="AK221" s="124"/>
      <c r="AL221" s="122"/>
      <c r="AM221" s="122"/>
      <c r="AN221" s="122"/>
      <c r="AO221" s="122"/>
      <c r="AP221" s="266"/>
      <c r="AQ221" s="266"/>
      <c r="AR221" s="122"/>
      <c r="AS221" s="122"/>
      <c r="AT221" s="122"/>
      <c r="AU221" s="122"/>
      <c r="AV221" s="122"/>
      <c r="AW221" s="122"/>
      <c r="AX221" s="122"/>
      <c r="AY221" s="266"/>
      <c r="AZ221" s="266"/>
      <c r="BA221" s="122"/>
      <c r="BB221" s="122"/>
      <c r="BC221" s="268"/>
      <c r="BD221" s="266"/>
      <c r="BE221" s="268"/>
      <c r="BF221" s="268"/>
      <c r="BG221" s="268"/>
      <c r="BH221" s="268"/>
      <c r="BI221" s="268"/>
      <c r="BJ221" s="268"/>
      <c r="BK221" s="268"/>
      <c r="BL221" s="268"/>
      <c r="BM221" s="268"/>
      <c r="BN221" s="268"/>
      <c r="BO221" s="268"/>
      <c r="BP221" s="268"/>
      <c r="BQ221" s="268"/>
      <c r="BR221" s="268"/>
      <c r="BS221" s="268"/>
      <c r="BT221" s="268"/>
      <c r="BU221" s="268"/>
      <c r="BV221" s="268"/>
      <c r="BW221" s="268"/>
      <c r="BX221" s="268"/>
      <c r="BY221" s="268"/>
      <c r="BZ221" s="268"/>
      <c r="CA221" s="268"/>
      <c r="CB221" s="268"/>
      <c r="CC221" s="268"/>
      <c r="CD221" s="268"/>
      <c r="CE221" s="268"/>
      <c r="CF221" s="268"/>
      <c r="CG221" s="268"/>
      <c r="CH221" s="268"/>
      <c r="CI221" s="268"/>
      <c r="CJ221" s="268"/>
      <c r="CK221" s="268"/>
      <c r="CL221" s="268"/>
      <c r="CM221" s="268"/>
      <c r="CN221" s="268"/>
      <c r="CO221" s="268"/>
      <c r="CP221" s="268"/>
      <c r="CQ221" s="268"/>
      <c r="CR221" s="268"/>
      <c r="CS221" s="268"/>
      <c r="CT221" s="268"/>
      <c r="CU221" s="268"/>
      <c r="CV221" s="268"/>
      <c r="CW221" s="268"/>
      <c r="CX221" s="268"/>
      <c r="CY221" s="268"/>
      <c r="CZ221" s="268"/>
      <c r="DA221" s="268"/>
      <c r="DB221" s="268"/>
      <c r="DC221" s="268"/>
      <c r="DD221" s="268"/>
      <c r="DE221" s="268"/>
      <c r="DF221" s="268"/>
      <c r="DG221" s="268"/>
      <c r="DH221" s="830"/>
      <c r="DI221" s="830"/>
      <c r="DJ221" s="830"/>
      <c r="DK221" s="830"/>
      <c r="DL221" s="829"/>
      <c r="DM221" s="268"/>
      <c r="DN221" s="268"/>
      <c r="DO221" s="268"/>
    </row>
    <row r="222" spans="1:119" s="132" customFormat="1" ht="15" customHeight="1">
      <c r="B222" s="358">
        <v>11</v>
      </c>
      <c r="C222" s="122" t="s">
        <v>402</v>
      </c>
      <c r="D222" s="122"/>
      <c r="E222" s="122"/>
      <c r="F222" s="122"/>
      <c r="G222" s="122"/>
      <c r="H222" s="122"/>
      <c r="I222" s="153"/>
      <c r="J222" s="15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123"/>
      <c r="W222" s="123"/>
      <c r="X222" s="124"/>
      <c r="Y222" s="124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266"/>
      <c r="AJ222" s="124"/>
      <c r="AK222" s="124"/>
      <c r="AL222" s="122"/>
      <c r="AM222" s="122"/>
      <c r="AN222" s="122"/>
      <c r="AO222" s="122"/>
      <c r="AP222" s="266"/>
      <c r="AQ222" s="266"/>
      <c r="AR222" s="122"/>
      <c r="AS222" s="122"/>
      <c r="AT222" s="122"/>
      <c r="AU222" s="122"/>
      <c r="AV222" s="122"/>
      <c r="AW222" s="122"/>
      <c r="AX222" s="122"/>
      <c r="AY222" s="266"/>
      <c r="AZ222" s="266"/>
      <c r="BA222" s="122"/>
      <c r="BB222" s="122"/>
      <c r="BC222" s="268"/>
      <c r="BD222" s="266"/>
      <c r="BE222" s="268"/>
      <c r="BF222" s="268"/>
      <c r="BG222" s="268"/>
      <c r="BH222" s="268"/>
      <c r="BI222" s="268"/>
      <c r="BJ222" s="268"/>
      <c r="BK222" s="268"/>
      <c r="BL222" s="268"/>
      <c r="BM222" s="268"/>
      <c r="BN222" s="268"/>
      <c r="BO222" s="268"/>
      <c r="BP222" s="268"/>
      <c r="BQ222" s="268"/>
      <c r="BR222" s="268"/>
      <c r="BS222" s="268"/>
      <c r="BT222" s="268"/>
      <c r="BU222" s="268"/>
      <c r="BV222" s="268"/>
      <c r="BW222" s="268"/>
      <c r="BX222" s="268"/>
      <c r="BY222" s="268"/>
      <c r="BZ222" s="268"/>
      <c r="CA222" s="268"/>
      <c r="CB222" s="268"/>
      <c r="CC222" s="268"/>
      <c r="CD222" s="268"/>
      <c r="CE222" s="268"/>
      <c r="CF222" s="268"/>
      <c r="CG222" s="268"/>
      <c r="CH222" s="268"/>
      <c r="CI222" s="268"/>
      <c r="CJ222" s="268"/>
      <c r="CK222" s="268"/>
      <c r="CL222" s="268"/>
      <c r="CM222" s="268"/>
      <c r="CN222" s="268"/>
      <c r="CO222" s="268"/>
      <c r="CP222" s="268"/>
      <c r="CQ222" s="268"/>
      <c r="CR222" s="268"/>
      <c r="CS222" s="268"/>
      <c r="CT222" s="268"/>
      <c r="CU222" s="268"/>
      <c r="CV222" s="268"/>
      <c r="CW222" s="268"/>
      <c r="CX222" s="268"/>
      <c r="CY222" s="268"/>
      <c r="CZ222" s="268"/>
      <c r="DA222" s="268"/>
      <c r="DB222" s="268"/>
      <c r="DC222" s="268"/>
      <c r="DD222" s="268"/>
      <c r="DE222" s="268"/>
      <c r="DF222" s="268"/>
      <c r="DG222" s="268"/>
      <c r="DH222" s="830"/>
      <c r="DI222" s="830"/>
      <c r="DJ222" s="830"/>
      <c r="DK222" s="830"/>
      <c r="DL222" s="829"/>
      <c r="DM222" s="268"/>
      <c r="DN222" s="268"/>
      <c r="DO222" s="268"/>
    </row>
    <row r="223" spans="1:119" s="132" customFormat="1" ht="15" customHeight="1">
      <c r="B223" s="358">
        <v>12</v>
      </c>
      <c r="C223" s="122" t="s">
        <v>109</v>
      </c>
      <c r="D223" s="122"/>
      <c r="E223" s="122"/>
      <c r="F223" s="122"/>
      <c r="G223" s="122"/>
      <c r="H223" s="122"/>
      <c r="I223" s="153"/>
      <c r="J223" s="15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123"/>
      <c r="W223" s="123"/>
      <c r="X223" s="124"/>
      <c r="Y223" s="124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266"/>
      <c r="AJ223" s="124"/>
      <c r="AK223" s="124"/>
      <c r="AL223" s="122"/>
      <c r="AM223" s="122"/>
      <c r="AN223" s="122"/>
      <c r="AO223" s="122"/>
      <c r="AP223" s="266"/>
      <c r="AQ223" s="266"/>
      <c r="AR223" s="122"/>
      <c r="AS223" s="122"/>
      <c r="AT223" s="122"/>
      <c r="AU223" s="122"/>
      <c r="AV223" s="122"/>
      <c r="AW223" s="122"/>
      <c r="AX223" s="122"/>
      <c r="AY223" s="266"/>
      <c r="AZ223" s="266"/>
      <c r="BA223" s="122"/>
      <c r="BB223" s="122"/>
      <c r="BC223" s="268"/>
      <c r="BD223" s="266"/>
      <c r="BE223" s="268"/>
      <c r="BF223" s="268"/>
      <c r="BG223" s="268"/>
      <c r="BH223" s="268"/>
      <c r="BI223" s="268"/>
      <c r="BJ223" s="268"/>
      <c r="BK223" s="268"/>
      <c r="BL223" s="268"/>
      <c r="BM223" s="268"/>
      <c r="BN223" s="268"/>
      <c r="BO223" s="268"/>
      <c r="BP223" s="268"/>
      <c r="BQ223" s="268"/>
      <c r="BR223" s="268"/>
      <c r="BS223" s="268"/>
      <c r="BT223" s="268"/>
      <c r="BU223" s="268"/>
      <c r="BV223" s="268"/>
      <c r="BW223" s="268"/>
      <c r="BX223" s="268"/>
      <c r="BY223" s="268"/>
      <c r="BZ223" s="268"/>
      <c r="CA223" s="268"/>
      <c r="CB223" s="268"/>
      <c r="CC223" s="268"/>
      <c r="CD223" s="268"/>
      <c r="CE223" s="268"/>
      <c r="CF223" s="268"/>
      <c r="CG223" s="268"/>
      <c r="CH223" s="268"/>
      <c r="CI223" s="268"/>
      <c r="CJ223" s="268"/>
      <c r="CK223" s="268"/>
      <c r="CL223" s="268"/>
      <c r="CM223" s="268"/>
      <c r="CN223" s="268"/>
      <c r="CO223" s="268"/>
      <c r="CP223" s="268"/>
      <c r="CQ223" s="268"/>
      <c r="CR223" s="268"/>
      <c r="CS223" s="268"/>
      <c r="CT223" s="268"/>
      <c r="CU223" s="268"/>
      <c r="CV223" s="268"/>
      <c r="CW223" s="268"/>
      <c r="CX223" s="268"/>
      <c r="CY223" s="268"/>
      <c r="CZ223" s="268"/>
      <c r="DA223" s="268"/>
      <c r="DB223" s="268"/>
      <c r="DC223" s="268"/>
      <c r="DD223" s="268"/>
      <c r="DE223" s="268"/>
      <c r="DF223" s="268"/>
      <c r="DG223" s="268"/>
      <c r="DH223" s="830"/>
      <c r="DI223" s="830"/>
      <c r="DJ223" s="830"/>
      <c r="DK223" s="830"/>
      <c r="DL223" s="829"/>
      <c r="DM223" s="268"/>
      <c r="DN223" s="268"/>
      <c r="DO223" s="268"/>
    </row>
    <row r="224" spans="1:119" s="132" customFormat="1" ht="15" customHeight="1">
      <c r="B224" s="358">
        <v>13</v>
      </c>
      <c r="C224" s="122" t="s">
        <v>449</v>
      </c>
      <c r="D224" s="122"/>
      <c r="E224" s="122"/>
      <c r="F224" s="122"/>
      <c r="G224" s="122"/>
      <c r="H224" s="122"/>
      <c r="I224" s="153"/>
      <c r="J224" s="15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123"/>
      <c r="W224" s="123"/>
      <c r="X224" s="124"/>
      <c r="Y224" s="124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266"/>
      <c r="AJ224" s="124"/>
      <c r="AK224" s="124"/>
      <c r="AL224" s="122"/>
      <c r="AM224" s="122"/>
      <c r="AN224" s="122"/>
      <c r="AO224" s="122"/>
      <c r="AP224" s="266"/>
      <c r="AQ224" s="266"/>
      <c r="AR224" s="122"/>
      <c r="AS224" s="122"/>
      <c r="AT224" s="122"/>
      <c r="AU224" s="122"/>
      <c r="AV224" s="122"/>
      <c r="AW224" s="122"/>
      <c r="AX224" s="122"/>
      <c r="AY224" s="266"/>
      <c r="AZ224" s="266"/>
      <c r="BA224" s="122"/>
      <c r="BB224" s="122"/>
      <c r="BC224" s="268"/>
      <c r="BD224" s="266"/>
      <c r="BE224" s="268"/>
      <c r="BF224" s="268"/>
      <c r="BG224" s="268"/>
      <c r="BH224" s="268"/>
      <c r="BI224" s="268"/>
      <c r="BJ224" s="268"/>
      <c r="BK224" s="268"/>
      <c r="BL224" s="268"/>
      <c r="BM224" s="268"/>
      <c r="BN224" s="268"/>
      <c r="BO224" s="268"/>
      <c r="BP224" s="268"/>
      <c r="BQ224" s="268"/>
      <c r="BR224" s="268"/>
      <c r="BS224" s="268"/>
      <c r="BT224" s="268"/>
      <c r="BU224" s="268"/>
      <c r="BV224" s="268"/>
      <c r="BW224" s="268"/>
      <c r="BX224" s="268"/>
      <c r="BY224" s="268"/>
      <c r="BZ224" s="268"/>
      <c r="CA224" s="268"/>
      <c r="CB224" s="268"/>
      <c r="CC224" s="268"/>
      <c r="CD224" s="268"/>
      <c r="CE224" s="268"/>
      <c r="CF224" s="268"/>
      <c r="CG224" s="268"/>
      <c r="CH224" s="268"/>
      <c r="CI224" s="268"/>
      <c r="CJ224" s="268"/>
      <c r="CK224" s="268"/>
      <c r="CL224" s="268"/>
      <c r="CM224" s="268"/>
      <c r="CN224" s="268"/>
      <c r="CO224" s="268"/>
      <c r="CP224" s="268"/>
      <c r="CQ224" s="268"/>
      <c r="CR224" s="268"/>
      <c r="CS224" s="268"/>
      <c r="CT224" s="268"/>
      <c r="CU224" s="268"/>
      <c r="CV224" s="268"/>
      <c r="CW224" s="268"/>
      <c r="CX224" s="268"/>
      <c r="CY224" s="268"/>
      <c r="CZ224" s="268"/>
      <c r="DA224" s="268"/>
      <c r="DB224" s="268"/>
      <c r="DC224" s="268"/>
      <c r="DD224" s="268"/>
      <c r="DE224" s="268"/>
      <c r="DF224" s="268"/>
      <c r="DG224" s="268"/>
      <c r="DH224" s="830"/>
      <c r="DI224" s="830"/>
      <c r="DJ224" s="830"/>
      <c r="DK224" s="830"/>
      <c r="DL224" s="829"/>
      <c r="DM224" s="268"/>
      <c r="DN224" s="268"/>
      <c r="DO224" s="268"/>
    </row>
    <row r="225" spans="2:119" s="271" customFormat="1" ht="15" customHeight="1">
      <c r="B225" s="358">
        <v>14</v>
      </c>
      <c r="C225" s="122" t="s">
        <v>945</v>
      </c>
      <c r="D225" s="272"/>
      <c r="E225" s="272"/>
      <c r="F225" s="272"/>
      <c r="G225" s="272"/>
      <c r="H225" s="272"/>
      <c r="I225" s="154"/>
      <c r="J225" s="154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123"/>
      <c r="W225" s="123"/>
      <c r="X225" s="124"/>
      <c r="Y225" s="124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266"/>
      <c r="AJ225" s="122"/>
      <c r="AK225" s="122"/>
      <c r="AL225" s="122"/>
      <c r="AM225" s="122"/>
      <c r="AN225" s="122"/>
      <c r="AO225" s="122"/>
      <c r="AP225" s="266"/>
      <c r="AQ225" s="266"/>
      <c r="AR225" s="122"/>
      <c r="AS225" s="122"/>
      <c r="AT225" s="122"/>
      <c r="AU225" s="122"/>
      <c r="AV225" s="122"/>
      <c r="AW225" s="122"/>
      <c r="AX225" s="122"/>
      <c r="AY225" s="266"/>
      <c r="AZ225" s="266"/>
      <c r="BA225" s="122"/>
      <c r="BB225" s="122"/>
      <c r="BC225" s="268"/>
      <c r="BD225" s="266"/>
      <c r="BE225" s="268"/>
      <c r="BF225" s="268"/>
      <c r="BG225" s="268"/>
      <c r="BH225" s="268"/>
      <c r="BI225" s="268"/>
      <c r="BJ225" s="268"/>
      <c r="BK225" s="268"/>
      <c r="BL225" s="268"/>
      <c r="BM225" s="268"/>
      <c r="BN225" s="268"/>
      <c r="BO225" s="268"/>
      <c r="BP225" s="268"/>
      <c r="BQ225" s="268"/>
      <c r="BR225" s="268"/>
      <c r="BS225" s="268"/>
      <c r="BT225" s="268"/>
      <c r="BU225" s="268"/>
      <c r="BV225" s="268"/>
      <c r="BW225" s="268"/>
      <c r="BX225" s="268"/>
      <c r="BY225" s="268"/>
      <c r="BZ225" s="268"/>
      <c r="CA225" s="268"/>
      <c r="CB225" s="268"/>
      <c r="CC225" s="268"/>
      <c r="CD225" s="268"/>
      <c r="CE225" s="268"/>
      <c r="CF225" s="268"/>
      <c r="CG225" s="268"/>
      <c r="CH225" s="268"/>
      <c r="CI225" s="268"/>
      <c r="CJ225" s="268"/>
      <c r="CK225" s="268"/>
      <c r="CL225" s="268"/>
      <c r="CM225" s="268"/>
      <c r="CN225" s="268"/>
      <c r="CO225" s="268"/>
      <c r="CP225" s="268"/>
      <c r="CQ225" s="268"/>
      <c r="CR225" s="268"/>
      <c r="CS225" s="268"/>
      <c r="CT225" s="268"/>
      <c r="CU225" s="268"/>
      <c r="CV225" s="268"/>
      <c r="CW225" s="268"/>
      <c r="CX225" s="268"/>
      <c r="CY225" s="268"/>
      <c r="CZ225" s="268"/>
      <c r="DA225" s="268"/>
      <c r="DB225" s="268"/>
      <c r="DC225" s="268"/>
      <c r="DD225" s="268"/>
      <c r="DE225" s="268"/>
      <c r="DF225" s="268"/>
      <c r="DG225" s="268"/>
      <c r="DH225" s="830"/>
      <c r="DI225" s="830"/>
      <c r="DJ225" s="830"/>
      <c r="DK225" s="830"/>
      <c r="DL225" s="829"/>
      <c r="DM225" s="270"/>
      <c r="DN225" s="270"/>
      <c r="DO225" s="270"/>
    </row>
    <row r="226" spans="2:119" s="271" customFormat="1" ht="15" customHeight="1">
      <c r="B226" s="358">
        <v>15</v>
      </c>
      <c r="C226" s="122" t="s">
        <v>946</v>
      </c>
      <c r="D226" s="272"/>
      <c r="E226" s="272"/>
      <c r="F226" s="272"/>
      <c r="G226" s="272"/>
      <c r="H226" s="272"/>
      <c r="I226" s="154"/>
      <c r="J226" s="154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123"/>
      <c r="W226" s="123"/>
      <c r="X226" s="124"/>
      <c r="Y226" s="124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266"/>
      <c r="AJ226" s="122"/>
      <c r="AK226" s="122"/>
      <c r="AL226" s="122"/>
      <c r="AM226" s="122"/>
      <c r="AN226" s="122"/>
      <c r="AO226" s="122"/>
      <c r="AP226" s="266"/>
      <c r="AQ226" s="266"/>
      <c r="AR226" s="122"/>
      <c r="AS226" s="122"/>
      <c r="AT226" s="122"/>
      <c r="AU226" s="122"/>
      <c r="AV226" s="122"/>
      <c r="AW226" s="122"/>
      <c r="AX226" s="122"/>
      <c r="AY226" s="266"/>
      <c r="AZ226" s="266"/>
      <c r="BA226" s="122"/>
      <c r="BB226" s="122"/>
      <c r="BC226" s="268"/>
      <c r="BD226" s="266"/>
      <c r="BE226" s="268"/>
      <c r="BF226" s="268"/>
      <c r="BG226" s="268"/>
      <c r="BH226" s="268"/>
      <c r="BI226" s="268"/>
      <c r="BJ226" s="268"/>
      <c r="BK226" s="268"/>
      <c r="BL226" s="268"/>
      <c r="BM226" s="268"/>
      <c r="BN226" s="268"/>
      <c r="BO226" s="268"/>
      <c r="BP226" s="268"/>
      <c r="BQ226" s="268"/>
      <c r="BR226" s="268"/>
      <c r="BS226" s="268"/>
      <c r="BT226" s="268"/>
      <c r="BU226" s="268"/>
      <c r="BV226" s="268"/>
      <c r="BW226" s="268"/>
      <c r="BX226" s="268"/>
      <c r="BY226" s="268"/>
      <c r="BZ226" s="268"/>
      <c r="CA226" s="268"/>
      <c r="CB226" s="268"/>
      <c r="CC226" s="268"/>
      <c r="CD226" s="268"/>
      <c r="CE226" s="268"/>
      <c r="CF226" s="268"/>
      <c r="CG226" s="268"/>
      <c r="CH226" s="268"/>
      <c r="CI226" s="268"/>
      <c r="CJ226" s="268"/>
      <c r="CK226" s="268"/>
      <c r="CL226" s="268"/>
      <c r="CM226" s="268"/>
      <c r="CN226" s="268"/>
      <c r="CO226" s="268"/>
      <c r="CP226" s="268"/>
      <c r="CQ226" s="268"/>
      <c r="CR226" s="268"/>
      <c r="CS226" s="268"/>
      <c r="CT226" s="268"/>
      <c r="CU226" s="268"/>
      <c r="CV226" s="268"/>
      <c r="CW226" s="268"/>
      <c r="CX226" s="268"/>
      <c r="CY226" s="268"/>
      <c r="CZ226" s="268"/>
      <c r="DA226" s="268"/>
      <c r="DB226" s="268"/>
      <c r="DC226" s="268"/>
      <c r="DD226" s="268"/>
      <c r="DE226" s="268"/>
      <c r="DF226" s="268"/>
      <c r="DG226" s="268"/>
      <c r="DH226" s="830"/>
      <c r="DI226" s="830"/>
      <c r="DJ226" s="830"/>
      <c r="DK226" s="830"/>
      <c r="DL226" s="829"/>
      <c r="DM226" s="270"/>
      <c r="DN226" s="270"/>
      <c r="DO226" s="270"/>
    </row>
    <row r="227" spans="2:119" s="132" customFormat="1" ht="15" customHeight="1">
      <c r="B227" s="358">
        <v>16</v>
      </c>
      <c r="C227" s="122" t="s">
        <v>110</v>
      </c>
      <c r="D227" s="272"/>
      <c r="E227" s="272"/>
      <c r="F227" s="272"/>
      <c r="G227" s="272"/>
      <c r="H227" s="272"/>
      <c r="I227" s="154"/>
      <c r="J227" s="154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123"/>
      <c r="W227" s="123"/>
      <c r="X227" s="124"/>
      <c r="Y227" s="124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266"/>
      <c r="AJ227" s="122"/>
      <c r="AK227" s="122"/>
      <c r="AL227" s="122"/>
      <c r="AM227" s="122"/>
      <c r="AN227" s="122"/>
      <c r="AO227" s="122"/>
      <c r="AP227" s="266"/>
      <c r="AQ227" s="266"/>
      <c r="AR227" s="122"/>
      <c r="AS227" s="122"/>
      <c r="AT227" s="122"/>
      <c r="AU227" s="122"/>
      <c r="AV227" s="122"/>
      <c r="AW227" s="122"/>
      <c r="AX227" s="122"/>
      <c r="AY227" s="266"/>
      <c r="AZ227" s="266"/>
      <c r="BA227" s="122"/>
      <c r="BB227" s="122"/>
      <c r="BC227" s="268"/>
      <c r="BD227" s="266"/>
      <c r="BE227" s="268"/>
      <c r="BF227" s="268"/>
      <c r="BG227" s="268"/>
      <c r="BH227" s="268"/>
      <c r="BI227" s="268"/>
      <c r="BJ227" s="268"/>
      <c r="BK227" s="268"/>
      <c r="BL227" s="268"/>
      <c r="BM227" s="268"/>
      <c r="BN227" s="268"/>
      <c r="BO227" s="268"/>
      <c r="BP227" s="268"/>
      <c r="BQ227" s="268"/>
      <c r="BR227" s="268"/>
      <c r="BS227" s="268"/>
      <c r="BT227" s="268"/>
      <c r="BU227" s="268"/>
      <c r="BV227" s="268"/>
      <c r="BW227" s="268"/>
      <c r="BX227" s="268"/>
      <c r="BY227" s="268"/>
      <c r="BZ227" s="268"/>
      <c r="CA227" s="268"/>
      <c r="CB227" s="268"/>
      <c r="CC227" s="268"/>
      <c r="CD227" s="268"/>
      <c r="CE227" s="268"/>
      <c r="CF227" s="268"/>
      <c r="CG227" s="268"/>
      <c r="CH227" s="268"/>
      <c r="CI227" s="268"/>
      <c r="CJ227" s="268"/>
      <c r="CK227" s="268"/>
      <c r="CL227" s="268"/>
      <c r="CM227" s="268"/>
      <c r="CN227" s="268"/>
      <c r="CO227" s="268"/>
      <c r="CP227" s="268"/>
      <c r="CQ227" s="268"/>
      <c r="CR227" s="268"/>
      <c r="CS227" s="268"/>
      <c r="CT227" s="268"/>
      <c r="CU227" s="268"/>
      <c r="CV227" s="268"/>
      <c r="CW227" s="268"/>
      <c r="CX227" s="268"/>
      <c r="CY227" s="268"/>
      <c r="CZ227" s="268"/>
      <c r="DA227" s="268"/>
      <c r="DB227" s="268"/>
      <c r="DC227" s="268"/>
      <c r="DD227" s="268"/>
      <c r="DE227" s="268"/>
      <c r="DF227" s="268"/>
      <c r="DG227" s="268"/>
      <c r="DH227" s="830"/>
      <c r="DI227" s="830"/>
      <c r="DJ227" s="830"/>
      <c r="DK227" s="830"/>
      <c r="DL227" s="829"/>
      <c r="DM227" s="268"/>
      <c r="DN227" s="268"/>
      <c r="DO227" s="268"/>
    </row>
    <row r="228" spans="2:119" s="132" customFormat="1" ht="15" customHeight="1">
      <c r="B228" s="358">
        <v>17</v>
      </c>
      <c r="C228" s="122" t="s">
        <v>111</v>
      </c>
      <c r="D228" s="122"/>
      <c r="E228" s="120"/>
      <c r="F228" s="122"/>
      <c r="G228" s="120"/>
      <c r="H228" s="120"/>
      <c r="I228" s="263"/>
      <c r="J228" s="263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123"/>
      <c r="W228" s="123"/>
      <c r="X228" s="124"/>
      <c r="Y228" s="124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266"/>
      <c r="AJ228" s="122"/>
      <c r="AK228" s="122"/>
      <c r="AL228" s="122"/>
      <c r="AM228" s="122"/>
      <c r="AN228" s="122"/>
      <c r="AO228" s="122"/>
      <c r="AP228" s="266"/>
      <c r="AQ228" s="266"/>
      <c r="AR228" s="122"/>
      <c r="AS228" s="122"/>
      <c r="AT228" s="122"/>
      <c r="AU228" s="122"/>
      <c r="AV228" s="122"/>
      <c r="AW228" s="122"/>
      <c r="AX228" s="122"/>
      <c r="AY228" s="266"/>
      <c r="AZ228" s="266"/>
      <c r="BA228" s="122"/>
      <c r="BB228" s="122"/>
      <c r="BC228" s="268"/>
      <c r="BD228" s="266"/>
      <c r="BE228" s="268"/>
      <c r="BF228" s="268"/>
      <c r="BG228" s="268"/>
      <c r="BH228" s="268"/>
      <c r="BI228" s="268"/>
      <c r="BJ228" s="268"/>
      <c r="BK228" s="268"/>
      <c r="BL228" s="268"/>
      <c r="BM228" s="268"/>
      <c r="BN228" s="268"/>
      <c r="BO228" s="268"/>
      <c r="BP228" s="268"/>
      <c r="BQ228" s="268"/>
      <c r="BR228" s="268"/>
      <c r="BS228" s="268"/>
      <c r="BT228" s="268"/>
      <c r="BU228" s="268"/>
      <c r="BV228" s="268"/>
      <c r="BW228" s="268"/>
      <c r="BX228" s="268"/>
      <c r="BY228" s="268"/>
      <c r="BZ228" s="268"/>
      <c r="CA228" s="268"/>
      <c r="CB228" s="268"/>
      <c r="CC228" s="268"/>
      <c r="CD228" s="268"/>
      <c r="CE228" s="268"/>
      <c r="CF228" s="268"/>
      <c r="CG228" s="268"/>
      <c r="CH228" s="268"/>
      <c r="CI228" s="268"/>
      <c r="CJ228" s="268"/>
      <c r="CK228" s="268"/>
      <c r="CL228" s="268"/>
      <c r="CM228" s="268"/>
      <c r="CN228" s="268"/>
      <c r="CO228" s="268"/>
      <c r="CP228" s="268"/>
      <c r="CQ228" s="268"/>
      <c r="CR228" s="268"/>
      <c r="CS228" s="268"/>
      <c r="CT228" s="268"/>
      <c r="CU228" s="268"/>
      <c r="CV228" s="268"/>
      <c r="CW228" s="268"/>
      <c r="CX228" s="268"/>
      <c r="CY228" s="268"/>
      <c r="CZ228" s="268"/>
      <c r="DA228" s="268"/>
      <c r="DB228" s="268"/>
      <c r="DC228" s="268"/>
      <c r="DD228" s="268"/>
      <c r="DE228" s="268"/>
      <c r="DF228" s="268"/>
      <c r="DG228" s="268"/>
      <c r="DH228" s="830"/>
      <c r="DI228" s="830"/>
      <c r="DJ228" s="830"/>
      <c r="DK228" s="830"/>
      <c r="DL228" s="829"/>
      <c r="DM228" s="268"/>
      <c r="DN228" s="268"/>
      <c r="DO228" s="268"/>
    </row>
    <row r="229" spans="2:119" s="132" customFormat="1" ht="15" customHeight="1">
      <c r="B229" s="358">
        <v>18</v>
      </c>
      <c r="C229" s="122" t="s">
        <v>451</v>
      </c>
      <c r="D229" s="122"/>
      <c r="E229" s="120"/>
      <c r="F229" s="122"/>
      <c r="G229" s="120"/>
      <c r="H229" s="120"/>
      <c r="I229" s="263"/>
      <c r="J229" s="263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123"/>
      <c r="W229" s="123"/>
      <c r="X229" s="124"/>
      <c r="Y229" s="124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266"/>
      <c r="AJ229" s="122"/>
      <c r="AK229" s="122"/>
      <c r="AL229" s="122"/>
      <c r="AM229" s="122"/>
      <c r="AN229" s="122"/>
      <c r="AO229" s="122"/>
      <c r="AP229" s="266"/>
      <c r="AQ229" s="266"/>
      <c r="AR229" s="122"/>
      <c r="AS229" s="122"/>
      <c r="AT229" s="122"/>
      <c r="AU229" s="122"/>
      <c r="AV229" s="122"/>
      <c r="AW229" s="122"/>
      <c r="AX229" s="122"/>
      <c r="AY229" s="266"/>
      <c r="AZ229" s="266"/>
      <c r="BA229" s="122"/>
      <c r="BB229" s="122"/>
      <c r="BC229" s="268"/>
      <c r="BD229" s="266"/>
      <c r="BE229" s="268"/>
      <c r="BF229" s="268"/>
      <c r="BG229" s="268"/>
      <c r="BH229" s="268"/>
      <c r="BI229" s="268"/>
      <c r="BJ229" s="268"/>
      <c r="BK229" s="268"/>
      <c r="BL229" s="268"/>
      <c r="BM229" s="268"/>
      <c r="BN229" s="268"/>
      <c r="BO229" s="268"/>
      <c r="BP229" s="268"/>
      <c r="BQ229" s="268"/>
      <c r="BR229" s="268"/>
      <c r="BS229" s="268"/>
      <c r="BT229" s="268"/>
      <c r="BU229" s="268"/>
      <c r="BV229" s="268"/>
      <c r="BW229" s="268"/>
      <c r="BX229" s="268"/>
      <c r="BY229" s="268"/>
      <c r="BZ229" s="268"/>
      <c r="CA229" s="268"/>
      <c r="CB229" s="268"/>
      <c r="CC229" s="268"/>
      <c r="CD229" s="268"/>
      <c r="CE229" s="268"/>
      <c r="CF229" s="268"/>
      <c r="CG229" s="268"/>
      <c r="CH229" s="268"/>
      <c r="CI229" s="268"/>
      <c r="CJ229" s="268"/>
      <c r="CK229" s="268"/>
      <c r="CL229" s="268"/>
      <c r="CM229" s="268"/>
      <c r="CN229" s="268"/>
      <c r="CO229" s="268"/>
      <c r="CP229" s="268"/>
      <c r="CQ229" s="268"/>
      <c r="CR229" s="268"/>
      <c r="CS229" s="268"/>
      <c r="CT229" s="268"/>
      <c r="CU229" s="268"/>
      <c r="CV229" s="268"/>
      <c r="CW229" s="268"/>
      <c r="CX229" s="268"/>
      <c r="CY229" s="268"/>
      <c r="CZ229" s="268"/>
      <c r="DA229" s="268"/>
      <c r="DB229" s="268"/>
      <c r="DC229" s="268"/>
      <c r="DD229" s="268"/>
      <c r="DE229" s="268"/>
      <c r="DF229" s="268"/>
      <c r="DG229" s="268"/>
      <c r="DH229" s="830"/>
      <c r="DI229" s="830"/>
      <c r="DJ229" s="830"/>
      <c r="DK229" s="830"/>
      <c r="DL229" s="829"/>
      <c r="DM229" s="268"/>
      <c r="DN229" s="268"/>
      <c r="DO229" s="268"/>
    </row>
    <row r="230" spans="2:119" s="271" customFormat="1" ht="15" customHeight="1">
      <c r="B230" s="358">
        <v>19</v>
      </c>
      <c r="C230" s="269" t="s">
        <v>947</v>
      </c>
      <c r="D230" s="122"/>
      <c r="E230" s="122"/>
      <c r="F230" s="122"/>
      <c r="G230" s="122"/>
      <c r="H230" s="122"/>
      <c r="I230" s="153"/>
      <c r="J230" s="263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123"/>
      <c r="W230" s="123"/>
      <c r="X230" s="124"/>
      <c r="Y230" s="124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266"/>
      <c r="AJ230" s="122"/>
      <c r="AK230" s="122"/>
      <c r="AL230" s="122"/>
      <c r="AM230" s="122"/>
      <c r="AN230" s="122"/>
      <c r="AO230" s="122"/>
      <c r="AP230" s="266"/>
      <c r="AQ230" s="266"/>
      <c r="AR230" s="122"/>
      <c r="AS230" s="122"/>
      <c r="AT230" s="122"/>
      <c r="AU230" s="122"/>
      <c r="AV230" s="122"/>
      <c r="AW230" s="122"/>
      <c r="AX230" s="122"/>
      <c r="AY230" s="266"/>
      <c r="AZ230" s="266"/>
      <c r="BA230" s="122"/>
      <c r="BB230" s="122"/>
      <c r="BC230" s="268"/>
      <c r="BD230" s="266"/>
      <c r="BE230" s="268"/>
      <c r="BF230" s="268"/>
      <c r="BG230" s="268"/>
      <c r="BH230" s="268"/>
      <c r="BI230" s="268"/>
      <c r="BJ230" s="268"/>
      <c r="BK230" s="268"/>
      <c r="BL230" s="268"/>
      <c r="BM230" s="268"/>
      <c r="BN230" s="268"/>
      <c r="BO230" s="268"/>
      <c r="BP230" s="268"/>
      <c r="BQ230" s="268"/>
      <c r="BR230" s="268"/>
      <c r="BS230" s="268"/>
      <c r="BT230" s="268"/>
      <c r="BU230" s="268"/>
      <c r="BV230" s="268"/>
      <c r="BW230" s="268"/>
      <c r="BX230" s="268"/>
      <c r="BY230" s="268"/>
      <c r="BZ230" s="268"/>
      <c r="CA230" s="268"/>
      <c r="CB230" s="268"/>
      <c r="CC230" s="268"/>
      <c r="CD230" s="268"/>
      <c r="CE230" s="268"/>
      <c r="CF230" s="268"/>
      <c r="CG230" s="268"/>
      <c r="CH230" s="268"/>
      <c r="CI230" s="268"/>
      <c r="CJ230" s="268"/>
      <c r="CK230" s="268"/>
      <c r="CL230" s="268"/>
      <c r="CM230" s="268"/>
      <c r="CN230" s="268"/>
      <c r="CO230" s="268"/>
      <c r="CP230" s="268"/>
      <c r="CQ230" s="268"/>
      <c r="CR230" s="268"/>
      <c r="CS230" s="268"/>
      <c r="CT230" s="268"/>
      <c r="CU230" s="268"/>
      <c r="CV230" s="268"/>
      <c r="CW230" s="268"/>
      <c r="CX230" s="268"/>
      <c r="CY230" s="268"/>
      <c r="CZ230" s="268"/>
      <c r="DA230" s="268"/>
      <c r="DB230" s="268"/>
      <c r="DC230" s="268"/>
      <c r="DD230" s="268"/>
      <c r="DE230" s="268"/>
      <c r="DF230" s="268"/>
      <c r="DG230" s="268"/>
      <c r="DH230" s="830"/>
      <c r="DI230" s="830"/>
      <c r="DJ230" s="830"/>
      <c r="DK230" s="830"/>
      <c r="DL230" s="829"/>
      <c r="DM230" s="270"/>
      <c r="DN230" s="270"/>
      <c r="DO230" s="270"/>
    </row>
    <row r="231" spans="2:119" s="132" customFormat="1" ht="15" customHeight="1">
      <c r="B231" s="358">
        <v>20</v>
      </c>
      <c r="C231" s="269" t="s">
        <v>452</v>
      </c>
      <c r="D231" s="122"/>
      <c r="E231" s="122"/>
      <c r="F231" s="122"/>
      <c r="G231" s="122"/>
      <c r="H231" s="122"/>
      <c r="I231" s="153"/>
      <c r="J231" s="263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123"/>
      <c r="W231" s="123"/>
      <c r="X231" s="124"/>
      <c r="Y231" s="124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266"/>
      <c r="AJ231" s="122"/>
      <c r="AK231" s="122"/>
      <c r="AL231" s="122"/>
      <c r="AM231" s="122"/>
      <c r="AN231" s="122"/>
      <c r="AO231" s="122"/>
      <c r="AP231" s="266"/>
      <c r="AQ231" s="266"/>
      <c r="AR231" s="122"/>
      <c r="AS231" s="122"/>
      <c r="AT231" s="122"/>
      <c r="AU231" s="122"/>
      <c r="AV231" s="122"/>
      <c r="AW231" s="122"/>
      <c r="AX231" s="122"/>
      <c r="AY231" s="266"/>
      <c r="AZ231" s="266"/>
      <c r="BA231" s="122"/>
      <c r="BB231" s="122"/>
      <c r="BC231" s="268"/>
      <c r="BD231" s="266"/>
      <c r="BE231" s="268"/>
      <c r="BF231" s="268"/>
      <c r="BG231" s="268"/>
      <c r="BH231" s="268"/>
      <c r="BI231" s="268"/>
      <c r="BJ231" s="268"/>
      <c r="BK231" s="268"/>
      <c r="BL231" s="268"/>
      <c r="BM231" s="268"/>
      <c r="BN231" s="268"/>
      <c r="BO231" s="268"/>
      <c r="BP231" s="268"/>
      <c r="BQ231" s="268"/>
      <c r="BR231" s="268"/>
      <c r="BS231" s="268"/>
      <c r="BT231" s="268"/>
      <c r="BU231" s="268"/>
      <c r="BV231" s="268"/>
      <c r="BW231" s="268"/>
      <c r="BX231" s="268"/>
      <c r="BY231" s="268"/>
      <c r="BZ231" s="268"/>
      <c r="CA231" s="268"/>
      <c r="CB231" s="268"/>
      <c r="CC231" s="268"/>
      <c r="CD231" s="268"/>
      <c r="CE231" s="268"/>
      <c r="CF231" s="268"/>
      <c r="CG231" s="268"/>
      <c r="CH231" s="268"/>
      <c r="CI231" s="268"/>
      <c r="CJ231" s="268"/>
      <c r="CK231" s="268"/>
      <c r="CL231" s="268"/>
      <c r="CM231" s="268"/>
      <c r="CN231" s="268"/>
      <c r="CO231" s="268"/>
      <c r="CP231" s="268"/>
      <c r="CQ231" s="268"/>
      <c r="CR231" s="268"/>
      <c r="CS231" s="268"/>
      <c r="CT231" s="268"/>
      <c r="CU231" s="268"/>
      <c r="CV231" s="268"/>
      <c r="CW231" s="268"/>
      <c r="CX231" s="268"/>
      <c r="CY231" s="268"/>
      <c r="CZ231" s="268"/>
      <c r="DA231" s="268"/>
      <c r="DB231" s="268"/>
      <c r="DC231" s="268"/>
      <c r="DD231" s="268"/>
      <c r="DE231" s="268"/>
      <c r="DF231" s="268"/>
      <c r="DG231" s="268"/>
      <c r="DH231" s="830"/>
      <c r="DI231" s="830"/>
      <c r="DJ231" s="830"/>
      <c r="DK231" s="830"/>
      <c r="DL231" s="829"/>
      <c r="DM231" s="268"/>
      <c r="DN231" s="268"/>
      <c r="DO231" s="268"/>
    </row>
    <row r="232" spans="2:119" s="271" customFormat="1" ht="15" customHeight="1">
      <c r="B232" s="358">
        <v>21</v>
      </c>
      <c r="C232" s="269" t="s">
        <v>453</v>
      </c>
      <c r="D232" s="122"/>
      <c r="E232" s="122"/>
      <c r="F232" s="122"/>
      <c r="G232" s="122"/>
      <c r="H232" s="122"/>
      <c r="I232" s="153"/>
      <c r="J232" s="263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123"/>
      <c r="W232" s="123"/>
      <c r="X232" s="124"/>
      <c r="Y232" s="124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266"/>
      <c r="AJ232" s="122"/>
      <c r="AK232" s="122"/>
      <c r="AL232" s="122"/>
      <c r="AM232" s="122"/>
      <c r="AN232" s="122"/>
      <c r="AO232" s="122"/>
      <c r="AP232" s="266"/>
      <c r="AQ232" s="266"/>
      <c r="AR232" s="122"/>
      <c r="AS232" s="122"/>
      <c r="AT232" s="122"/>
      <c r="AU232" s="122"/>
      <c r="AV232" s="122"/>
      <c r="AW232" s="122"/>
      <c r="AX232" s="122"/>
      <c r="AY232" s="266"/>
      <c r="AZ232" s="266"/>
      <c r="BA232" s="122"/>
      <c r="BB232" s="122"/>
      <c r="BC232" s="268"/>
      <c r="BD232" s="266"/>
      <c r="BE232" s="268"/>
      <c r="BF232" s="268"/>
      <c r="BG232" s="268"/>
      <c r="BH232" s="268"/>
      <c r="BI232" s="268"/>
      <c r="BJ232" s="268"/>
      <c r="BK232" s="268"/>
      <c r="BL232" s="268"/>
      <c r="BM232" s="268"/>
      <c r="BN232" s="268"/>
      <c r="BO232" s="268"/>
      <c r="BP232" s="268"/>
      <c r="BQ232" s="268"/>
      <c r="BR232" s="268"/>
      <c r="BS232" s="268"/>
      <c r="BT232" s="268"/>
      <c r="BU232" s="268"/>
      <c r="BV232" s="268"/>
      <c r="BW232" s="268"/>
      <c r="BX232" s="268"/>
      <c r="BY232" s="268"/>
      <c r="BZ232" s="268"/>
      <c r="CA232" s="268"/>
      <c r="CB232" s="268"/>
      <c r="CC232" s="268"/>
      <c r="CD232" s="268"/>
      <c r="CE232" s="268"/>
      <c r="CF232" s="268"/>
      <c r="CG232" s="268"/>
      <c r="CH232" s="268"/>
      <c r="CI232" s="268"/>
      <c r="CJ232" s="268"/>
      <c r="CK232" s="268"/>
      <c r="CL232" s="268"/>
      <c r="CM232" s="268"/>
      <c r="CN232" s="268"/>
      <c r="CO232" s="268"/>
      <c r="CP232" s="268"/>
      <c r="CQ232" s="268"/>
      <c r="CR232" s="268"/>
      <c r="CS232" s="268"/>
      <c r="CT232" s="268"/>
      <c r="CU232" s="268"/>
      <c r="CV232" s="268"/>
      <c r="CW232" s="268"/>
      <c r="CX232" s="268"/>
      <c r="CY232" s="268"/>
      <c r="CZ232" s="268"/>
      <c r="DA232" s="268"/>
      <c r="DB232" s="268"/>
      <c r="DC232" s="268"/>
      <c r="DD232" s="268"/>
      <c r="DE232" s="268"/>
      <c r="DF232" s="268"/>
      <c r="DG232" s="268"/>
      <c r="DH232" s="830"/>
      <c r="DI232" s="830"/>
      <c r="DJ232" s="830"/>
      <c r="DK232" s="830"/>
      <c r="DL232" s="829"/>
      <c r="DM232" s="270"/>
      <c r="DN232" s="270"/>
      <c r="DO232" s="270"/>
    </row>
    <row r="233" spans="2:119" s="271" customFormat="1" ht="15" customHeight="1">
      <c r="B233" s="358">
        <v>22</v>
      </c>
      <c r="C233" s="269" t="s">
        <v>948</v>
      </c>
      <c r="D233" s="122"/>
      <c r="E233" s="122"/>
      <c r="F233" s="122"/>
      <c r="G233" s="120"/>
      <c r="H233" s="122"/>
      <c r="I233" s="155"/>
      <c r="J233" s="15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123"/>
      <c r="W233" s="123"/>
      <c r="X233" s="124"/>
      <c r="Y233" s="124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266"/>
      <c r="AJ233" s="122"/>
      <c r="AK233" s="122"/>
      <c r="AL233" s="122"/>
      <c r="AM233" s="122"/>
      <c r="AN233" s="122"/>
      <c r="AO233" s="122"/>
      <c r="AP233" s="266"/>
      <c r="AQ233" s="266"/>
      <c r="AR233" s="122"/>
      <c r="AS233" s="122"/>
      <c r="AT233" s="122"/>
      <c r="AU233" s="122"/>
      <c r="AV233" s="122"/>
      <c r="AW233" s="122"/>
      <c r="AX233" s="122"/>
      <c r="AY233" s="266"/>
      <c r="AZ233" s="266"/>
      <c r="BA233" s="122"/>
      <c r="BB233" s="122"/>
      <c r="BC233" s="268"/>
      <c r="BD233" s="266"/>
      <c r="BE233" s="268"/>
      <c r="BF233" s="268"/>
      <c r="BG233" s="268"/>
      <c r="BH233" s="268"/>
      <c r="BI233" s="268"/>
      <c r="BJ233" s="268"/>
      <c r="BK233" s="268"/>
      <c r="BL233" s="268"/>
      <c r="BM233" s="268"/>
      <c r="BN233" s="268"/>
      <c r="BO233" s="268"/>
      <c r="BP233" s="268"/>
      <c r="BQ233" s="268"/>
      <c r="BR233" s="268"/>
      <c r="BS233" s="268"/>
      <c r="BT233" s="268"/>
      <c r="BU233" s="268"/>
      <c r="BV233" s="268"/>
      <c r="BW233" s="268"/>
      <c r="BX233" s="268"/>
      <c r="BY233" s="268"/>
      <c r="BZ233" s="268"/>
      <c r="CA233" s="268"/>
      <c r="CB233" s="268"/>
      <c r="CC233" s="268"/>
      <c r="CD233" s="268"/>
      <c r="CE233" s="268"/>
      <c r="CF233" s="268"/>
      <c r="CG233" s="268"/>
      <c r="CH233" s="268"/>
      <c r="CI233" s="268"/>
      <c r="CJ233" s="268"/>
      <c r="CK233" s="268"/>
      <c r="CL233" s="268"/>
      <c r="CM233" s="268"/>
      <c r="CN233" s="268"/>
      <c r="CO233" s="268"/>
      <c r="CP233" s="268"/>
      <c r="CQ233" s="268"/>
      <c r="CR233" s="268"/>
      <c r="CS233" s="268"/>
      <c r="CT233" s="268"/>
      <c r="CU233" s="268"/>
      <c r="CV233" s="268"/>
      <c r="CW233" s="268"/>
      <c r="CX233" s="268"/>
      <c r="CY233" s="268"/>
      <c r="CZ233" s="268"/>
      <c r="DA233" s="268"/>
      <c r="DB233" s="268"/>
      <c r="DC233" s="268"/>
      <c r="DD233" s="268"/>
      <c r="DE233" s="268"/>
      <c r="DF233" s="268"/>
      <c r="DG233" s="268"/>
      <c r="DH233" s="830"/>
      <c r="DI233" s="830"/>
      <c r="DJ233" s="830"/>
      <c r="DK233" s="830"/>
      <c r="DL233" s="829"/>
      <c r="DM233" s="270"/>
      <c r="DN233" s="270"/>
      <c r="DO233" s="270"/>
    </row>
    <row r="234" spans="2:119" s="271" customFormat="1" ht="15" customHeight="1">
      <c r="B234" s="358">
        <v>23</v>
      </c>
      <c r="C234" s="269" t="s">
        <v>949</v>
      </c>
      <c r="D234" s="122"/>
      <c r="E234" s="122"/>
      <c r="F234" s="122"/>
      <c r="G234" s="120"/>
      <c r="H234" s="122"/>
      <c r="I234" s="155"/>
      <c r="J234" s="15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123"/>
      <c r="W234" s="123"/>
      <c r="X234" s="124"/>
      <c r="Y234" s="124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266"/>
      <c r="AJ234" s="122"/>
      <c r="AK234" s="122"/>
      <c r="AL234" s="122"/>
      <c r="AM234" s="122"/>
      <c r="AN234" s="122"/>
      <c r="AO234" s="122"/>
      <c r="AP234" s="266"/>
      <c r="AQ234" s="266"/>
      <c r="AR234" s="122"/>
      <c r="AS234" s="122"/>
      <c r="AT234" s="122"/>
      <c r="AU234" s="122"/>
      <c r="AV234" s="122"/>
      <c r="AW234" s="122"/>
      <c r="AX234" s="122"/>
      <c r="AY234" s="266"/>
      <c r="AZ234" s="266"/>
      <c r="BA234" s="122"/>
      <c r="BB234" s="122"/>
      <c r="BC234" s="268"/>
      <c r="BD234" s="266"/>
      <c r="BE234" s="268"/>
      <c r="BF234" s="268"/>
      <c r="BG234" s="268"/>
      <c r="BH234" s="268"/>
      <c r="BI234" s="268"/>
      <c r="BJ234" s="268"/>
      <c r="BK234" s="268"/>
      <c r="BL234" s="268"/>
      <c r="BM234" s="268"/>
      <c r="BN234" s="268"/>
      <c r="BO234" s="268"/>
      <c r="BP234" s="268"/>
      <c r="BQ234" s="268"/>
      <c r="BR234" s="268"/>
      <c r="BS234" s="268"/>
      <c r="BT234" s="268"/>
      <c r="BU234" s="268"/>
      <c r="BV234" s="268"/>
      <c r="BW234" s="268"/>
      <c r="BX234" s="268"/>
      <c r="BY234" s="268"/>
      <c r="BZ234" s="268"/>
      <c r="CA234" s="268"/>
      <c r="CB234" s="268"/>
      <c r="CC234" s="268"/>
      <c r="CD234" s="268"/>
      <c r="CE234" s="268"/>
      <c r="CF234" s="268"/>
      <c r="CG234" s="268"/>
      <c r="CH234" s="268"/>
      <c r="CI234" s="268"/>
      <c r="CJ234" s="268"/>
      <c r="CK234" s="268"/>
      <c r="CL234" s="268"/>
      <c r="CM234" s="268"/>
      <c r="CN234" s="268"/>
      <c r="CO234" s="268"/>
      <c r="CP234" s="268"/>
      <c r="CQ234" s="268"/>
      <c r="CR234" s="268"/>
      <c r="CS234" s="268"/>
      <c r="CT234" s="268"/>
      <c r="CU234" s="268"/>
      <c r="CV234" s="268"/>
      <c r="CW234" s="268"/>
      <c r="CX234" s="268"/>
      <c r="CY234" s="268"/>
      <c r="CZ234" s="268"/>
      <c r="DA234" s="268"/>
      <c r="DB234" s="268"/>
      <c r="DC234" s="268"/>
      <c r="DD234" s="268"/>
      <c r="DE234" s="268"/>
      <c r="DF234" s="268"/>
      <c r="DG234" s="268"/>
      <c r="DH234" s="830"/>
      <c r="DI234" s="830"/>
      <c r="DJ234" s="830"/>
      <c r="DK234" s="830"/>
      <c r="DL234" s="829"/>
      <c r="DM234" s="270"/>
      <c r="DN234" s="270"/>
      <c r="DO234" s="270"/>
    </row>
    <row r="235" spans="2:119" s="132" customFormat="1" ht="15" customHeight="1">
      <c r="B235" s="358">
        <v>24</v>
      </c>
      <c r="C235" s="269" t="s">
        <v>570</v>
      </c>
      <c r="D235" s="122"/>
      <c r="E235" s="122"/>
      <c r="F235" s="122"/>
      <c r="G235" s="120"/>
      <c r="H235" s="122"/>
      <c r="I235" s="155"/>
      <c r="J235" s="15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123"/>
      <c r="W235" s="123"/>
      <c r="X235" s="124"/>
      <c r="Y235" s="124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266"/>
      <c r="AJ235" s="122"/>
      <c r="AK235" s="122"/>
      <c r="AL235" s="122"/>
      <c r="AM235" s="122"/>
      <c r="AN235" s="122"/>
      <c r="AO235" s="122"/>
      <c r="AP235" s="266"/>
      <c r="AQ235" s="266"/>
      <c r="AR235" s="122"/>
      <c r="AS235" s="122"/>
      <c r="AT235" s="122"/>
      <c r="AU235" s="122"/>
      <c r="AV235" s="122"/>
      <c r="AW235" s="122"/>
      <c r="AX235" s="122"/>
      <c r="AY235" s="266"/>
      <c r="AZ235" s="266"/>
      <c r="BA235" s="122"/>
      <c r="BB235" s="122"/>
      <c r="BC235" s="268"/>
      <c r="BD235" s="266"/>
      <c r="BE235" s="268"/>
      <c r="BF235" s="268"/>
      <c r="BG235" s="268"/>
      <c r="BH235" s="268"/>
      <c r="BI235" s="268"/>
      <c r="BJ235" s="268"/>
      <c r="BK235" s="268"/>
      <c r="BL235" s="268"/>
      <c r="BM235" s="268"/>
      <c r="BN235" s="268"/>
      <c r="BO235" s="268"/>
      <c r="BP235" s="268"/>
      <c r="BQ235" s="268"/>
      <c r="BR235" s="268"/>
      <c r="BS235" s="268"/>
      <c r="BT235" s="268"/>
      <c r="BU235" s="268"/>
      <c r="BV235" s="268"/>
      <c r="BW235" s="268"/>
      <c r="BX235" s="268"/>
      <c r="BY235" s="268"/>
      <c r="BZ235" s="268"/>
      <c r="CA235" s="268"/>
      <c r="CB235" s="268"/>
      <c r="CC235" s="268"/>
      <c r="CD235" s="268"/>
      <c r="CE235" s="268"/>
      <c r="CF235" s="268"/>
      <c r="CG235" s="268"/>
      <c r="CH235" s="268"/>
      <c r="CI235" s="268"/>
      <c r="CJ235" s="268"/>
      <c r="CK235" s="268"/>
      <c r="CL235" s="268"/>
      <c r="CM235" s="268"/>
      <c r="CN235" s="268"/>
      <c r="CO235" s="268"/>
      <c r="CP235" s="268"/>
      <c r="CQ235" s="268"/>
      <c r="CR235" s="268"/>
      <c r="CS235" s="268"/>
      <c r="CT235" s="268"/>
      <c r="CU235" s="268"/>
      <c r="CV235" s="268"/>
      <c r="CW235" s="268"/>
      <c r="CX235" s="268"/>
      <c r="CY235" s="268"/>
      <c r="CZ235" s="268"/>
      <c r="DA235" s="268"/>
      <c r="DB235" s="268"/>
      <c r="DC235" s="268"/>
      <c r="DD235" s="268"/>
      <c r="DE235" s="268"/>
      <c r="DF235" s="268"/>
      <c r="DG235" s="268"/>
      <c r="DH235" s="830"/>
      <c r="DI235" s="830"/>
      <c r="DJ235" s="830"/>
      <c r="DK235" s="830"/>
      <c r="DL235" s="829"/>
      <c r="DM235" s="268"/>
      <c r="DN235" s="268"/>
      <c r="DO235" s="268"/>
    </row>
    <row r="236" spans="2:119" s="132" customFormat="1" ht="15" customHeight="1">
      <c r="B236" s="358" t="s">
        <v>454</v>
      </c>
      <c r="C236" s="269" t="s">
        <v>114</v>
      </c>
      <c r="D236" s="122"/>
      <c r="E236" s="122"/>
      <c r="F236" s="122"/>
      <c r="G236" s="120"/>
      <c r="H236" s="122"/>
      <c r="I236" s="155"/>
      <c r="J236" s="15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123"/>
      <c r="W236" s="123"/>
      <c r="X236" s="124"/>
      <c r="Y236" s="124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266"/>
      <c r="AJ236" s="122"/>
      <c r="AK236" s="122"/>
      <c r="AL236" s="122"/>
      <c r="AM236" s="122"/>
      <c r="AN236" s="122"/>
      <c r="AO236" s="122"/>
      <c r="AP236" s="266"/>
      <c r="AQ236" s="266"/>
      <c r="AR236" s="122"/>
      <c r="AS236" s="122"/>
      <c r="AT236" s="122"/>
      <c r="AU236" s="122"/>
      <c r="AV236" s="122"/>
      <c r="AW236" s="122"/>
      <c r="AX236" s="122"/>
      <c r="AY236" s="266"/>
      <c r="AZ236" s="266"/>
      <c r="BA236" s="122"/>
      <c r="BB236" s="122"/>
      <c r="BC236" s="268"/>
      <c r="BD236" s="266"/>
      <c r="BE236" s="268"/>
      <c r="BF236" s="268"/>
      <c r="BG236" s="268"/>
      <c r="BH236" s="268"/>
      <c r="BI236" s="268"/>
      <c r="BJ236" s="268"/>
      <c r="BK236" s="268"/>
      <c r="BL236" s="268"/>
      <c r="BM236" s="268"/>
      <c r="BN236" s="268"/>
      <c r="BO236" s="268"/>
      <c r="BP236" s="268"/>
      <c r="BQ236" s="268"/>
      <c r="BR236" s="268"/>
      <c r="BS236" s="268"/>
      <c r="BT236" s="268"/>
      <c r="BU236" s="268"/>
      <c r="BV236" s="268"/>
      <c r="BW236" s="268"/>
      <c r="BX236" s="268"/>
      <c r="BY236" s="268"/>
      <c r="BZ236" s="268"/>
      <c r="CA236" s="268"/>
      <c r="CB236" s="268"/>
      <c r="CC236" s="268"/>
      <c r="CD236" s="268"/>
      <c r="CE236" s="268"/>
      <c r="CF236" s="268"/>
      <c r="CG236" s="268"/>
      <c r="CH236" s="268"/>
      <c r="CI236" s="268"/>
      <c r="CJ236" s="268"/>
      <c r="CK236" s="268"/>
      <c r="CL236" s="268"/>
      <c r="CM236" s="268"/>
      <c r="CN236" s="268"/>
      <c r="CO236" s="268"/>
      <c r="CP236" s="268"/>
      <c r="CQ236" s="268"/>
      <c r="CR236" s="268"/>
      <c r="CS236" s="268"/>
      <c r="CT236" s="268"/>
      <c r="CU236" s="268"/>
      <c r="CV236" s="268"/>
      <c r="CW236" s="268"/>
      <c r="CX236" s="268"/>
      <c r="CY236" s="268"/>
      <c r="CZ236" s="268"/>
      <c r="DA236" s="268"/>
      <c r="DB236" s="268"/>
      <c r="DC236" s="268"/>
      <c r="DD236" s="268"/>
      <c r="DE236" s="268"/>
      <c r="DF236" s="268"/>
      <c r="DG236" s="268"/>
      <c r="DH236" s="830"/>
      <c r="DI236" s="830"/>
      <c r="DJ236" s="830"/>
      <c r="DK236" s="830"/>
      <c r="DL236" s="829"/>
      <c r="DM236" s="268"/>
      <c r="DN236" s="268"/>
      <c r="DO236" s="268"/>
    </row>
    <row r="237" spans="2:119" s="132" customFormat="1" ht="15" customHeight="1">
      <c r="B237" s="358">
        <v>25</v>
      </c>
      <c r="C237" s="269" t="s">
        <v>571</v>
      </c>
      <c r="D237" s="122"/>
      <c r="E237" s="122"/>
      <c r="F237" s="122"/>
      <c r="G237" s="120"/>
      <c r="H237" s="122"/>
      <c r="I237" s="155"/>
      <c r="J237" s="15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123"/>
      <c r="W237" s="123"/>
      <c r="X237" s="124"/>
      <c r="Y237" s="124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266"/>
      <c r="AJ237" s="122"/>
      <c r="AK237" s="122"/>
      <c r="AL237" s="122"/>
      <c r="AM237" s="122"/>
      <c r="AN237" s="122"/>
      <c r="AO237" s="122"/>
      <c r="AP237" s="266"/>
      <c r="AQ237" s="266"/>
      <c r="AR237" s="122"/>
      <c r="AS237" s="122"/>
      <c r="AT237" s="122"/>
      <c r="AU237" s="122"/>
      <c r="AV237" s="122"/>
      <c r="AW237" s="122"/>
      <c r="AX237" s="122"/>
      <c r="AY237" s="266"/>
      <c r="AZ237" s="266"/>
      <c r="BA237" s="122"/>
      <c r="BB237" s="122"/>
      <c r="BC237" s="268"/>
      <c r="BD237" s="266"/>
      <c r="BE237" s="268"/>
      <c r="BF237" s="268"/>
      <c r="BG237" s="268"/>
      <c r="BH237" s="268"/>
      <c r="BI237" s="268"/>
      <c r="BJ237" s="268"/>
      <c r="BK237" s="268"/>
      <c r="BL237" s="268"/>
      <c r="BM237" s="268"/>
      <c r="BN237" s="268"/>
      <c r="BO237" s="268"/>
      <c r="BP237" s="268"/>
      <c r="BQ237" s="268"/>
      <c r="BR237" s="268"/>
      <c r="BS237" s="268"/>
      <c r="BT237" s="268"/>
      <c r="BU237" s="268"/>
      <c r="BV237" s="268"/>
      <c r="BW237" s="268"/>
      <c r="BX237" s="268"/>
      <c r="BY237" s="268"/>
      <c r="BZ237" s="268"/>
      <c r="CA237" s="268"/>
      <c r="CB237" s="268"/>
      <c r="CC237" s="268"/>
      <c r="CD237" s="268"/>
      <c r="CE237" s="268"/>
      <c r="CF237" s="268"/>
      <c r="CG237" s="268"/>
      <c r="CH237" s="268"/>
      <c r="CI237" s="268"/>
      <c r="CJ237" s="268"/>
      <c r="CK237" s="268"/>
      <c r="CL237" s="268"/>
      <c r="CM237" s="268"/>
      <c r="CN237" s="268"/>
      <c r="CO237" s="268"/>
      <c r="CP237" s="268"/>
      <c r="CQ237" s="268"/>
      <c r="CR237" s="268"/>
      <c r="CS237" s="268"/>
      <c r="CT237" s="268"/>
      <c r="CU237" s="268"/>
      <c r="CV237" s="268"/>
      <c r="CW237" s="268"/>
      <c r="CX237" s="268"/>
      <c r="CY237" s="268"/>
      <c r="CZ237" s="268"/>
      <c r="DA237" s="268"/>
      <c r="DB237" s="268"/>
      <c r="DC237" s="268"/>
      <c r="DD237" s="268"/>
      <c r="DE237" s="268"/>
      <c r="DF237" s="268"/>
      <c r="DG237" s="268"/>
      <c r="DH237" s="830"/>
      <c r="DI237" s="830"/>
      <c r="DJ237" s="830"/>
      <c r="DK237" s="830"/>
      <c r="DL237" s="829"/>
      <c r="DM237" s="268"/>
      <c r="DN237" s="268"/>
      <c r="DO237" s="268"/>
    </row>
    <row r="238" spans="2:119" s="132" customFormat="1" ht="15" customHeight="1">
      <c r="B238" s="358">
        <v>26</v>
      </c>
      <c r="C238" s="269" t="s">
        <v>574</v>
      </c>
      <c r="D238" s="122"/>
      <c r="E238" s="122"/>
      <c r="F238" s="122"/>
      <c r="G238" s="120"/>
      <c r="H238" s="122"/>
      <c r="I238" s="155"/>
      <c r="J238" s="15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123"/>
      <c r="W238" s="123"/>
      <c r="X238" s="124"/>
      <c r="Y238" s="124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266"/>
      <c r="AJ238" s="122"/>
      <c r="AK238" s="122"/>
      <c r="AL238" s="122"/>
      <c r="AM238" s="122"/>
      <c r="AN238" s="122"/>
      <c r="AO238" s="122"/>
      <c r="AP238" s="266"/>
      <c r="AQ238" s="266"/>
      <c r="AR238" s="122"/>
      <c r="AS238" s="122"/>
      <c r="AT238" s="122"/>
      <c r="AU238" s="122"/>
      <c r="AV238" s="122"/>
      <c r="AW238" s="122"/>
      <c r="AX238" s="122"/>
      <c r="AY238" s="266"/>
      <c r="AZ238" s="266"/>
      <c r="BA238" s="122"/>
      <c r="BB238" s="122"/>
      <c r="BC238" s="268"/>
      <c r="BD238" s="266"/>
      <c r="BE238" s="268"/>
      <c r="BF238" s="268"/>
      <c r="BG238" s="268"/>
      <c r="BH238" s="268"/>
      <c r="BI238" s="268"/>
      <c r="BJ238" s="268"/>
      <c r="BK238" s="268"/>
      <c r="BL238" s="268"/>
      <c r="BM238" s="268"/>
      <c r="BN238" s="268"/>
      <c r="BO238" s="268"/>
      <c r="BP238" s="268"/>
      <c r="BQ238" s="268"/>
      <c r="BR238" s="268"/>
      <c r="BS238" s="268"/>
      <c r="BT238" s="268"/>
      <c r="BU238" s="268"/>
      <c r="BV238" s="268"/>
      <c r="BW238" s="268"/>
      <c r="BX238" s="268"/>
      <c r="BY238" s="268"/>
      <c r="BZ238" s="268"/>
      <c r="CA238" s="268"/>
      <c r="CB238" s="268"/>
      <c r="CC238" s="268"/>
      <c r="CD238" s="268"/>
      <c r="CE238" s="268"/>
      <c r="CF238" s="268"/>
      <c r="CG238" s="268"/>
      <c r="CH238" s="268"/>
      <c r="CI238" s="268"/>
      <c r="CJ238" s="268"/>
      <c r="CK238" s="268"/>
      <c r="CL238" s="268"/>
      <c r="CM238" s="268"/>
      <c r="CN238" s="268"/>
      <c r="CO238" s="268"/>
      <c r="CP238" s="268"/>
      <c r="CQ238" s="268"/>
      <c r="CR238" s="268"/>
      <c r="CS238" s="268"/>
      <c r="CT238" s="268"/>
      <c r="CU238" s="268"/>
      <c r="CV238" s="268"/>
      <c r="CW238" s="268"/>
      <c r="CX238" s="268"/>
      <c r="CY238" s="268"/>
      <c r="CZ238" s="268"/>
      <c r="DA238" s="268"/>
      <c r="DB238" s="268"/>
      <c r="DC238" s="268"/>
      <c r="DD238" s="268"/>
      <c r="DE238" s="268"/>
      <c r="DF238" s="268"/>
      <c r="DG238" s="268"/>
      <c r="DH238" s="830"/>
      <c r="DI238" s="830"/>
      <c r="DJ238" s="830"/>
      <c r="DK238" s="830"/>
      <c r="DL238" s="829"/>
      <c r="DM238" s="268"/>
      <c r="DN238" s="268"/>
      <c r="DO238" s="268"/>
    </row>
    <row r="239" spans="2:119" s="132" customFormat="1" ht="15" customHeight="1">
      <c r="B239" s="358">
        <v>27</v>
      </c>
      <c r="C239" s="269" t="s">
        <v>575</v>
      </c>
      <c r="D239" s="122"/>
      <c r="E239" s="122"/>
      <c r="F239" s="122"/>
      <c r="G239" s="120"/>
      <c r="H239" s="122"/>
      <c r="I239" s="155"/>
      <c r="J239" s="15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123"/>
      <c r="W239" s="123"/>
      <c r="X239" s="124"/>
      <c r="Y239" s="124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266"/>
      <c r="AJ239" s="122"/>
      <c r="AK239" s="122"/>
      <c r="AL239" s="122"/>
      <c r="AM239" s="122"/>
      <c r="AN239" s="122"/>
      <c r="AO239" s="122"/>
      <c r="AP239" s="266"/>
      <c r="AQ239" s="266"/>
      <c r="AR239" s="122"/>
      <c r="AS239" s="122"/>
      <c r="AT239" s="122"/>
      <c r="AU239" s="122"/>
      <c r="AV239" s="122"/>
      <c r="AW239" s="122"/>
      <c r="AX239" s="122"/>
      <c r="AY239" s="266"/>
      <c r="AZ239" s="266"/>
      <c r="BA239" s="122"/>
      <c r="BB239" s="122"/>
      <c r="BC239" s="268"/>
      <c r="BD239" s="266"/>
      <c r="BE239" s="268"/>
      <c r="BF239" s="268"/>
      <c r="BG239" s="268"/>
      <c r="BH239" s="268"/>
      <c r="BI239" s="268"/>
      <c r="BJ239" s="268"/>
      <c r="BK239" s="268"/>
      <c r="BL239" s="268"/>
      <c r="BM239" s="268"/>
      <c r="BN239" s="268"/>
      <c r="BO239" s="268"/>
      <c r="BP239" s="268"/>
      <c r="BQ239" s="268"/>
      <c r="BR239" s="268"/>
      <c r="BS239" s="268"/>
      <c r="BT239" s="268"/>
      <c r="BU239" s="268"/>
      <c r="BV239" s="268"/>
      <c r="BW239" s="268"/>
      <c r="BX239" s="268"/>
      <c r="BY239" s="268"/>
      <c r="BZ239" s="268"/>
      <c r="CA239" s="268"/>
      <c r="CB239" s="268"/>
      <c r="CC239" s="268"/>
      <c r="CD239" s="268"/>
      <c r="CE239" s="268"/>
      <c r="CF239" s="268"/>
      <c r="CG239" s="268"/>
      <c r="CH239" s="268"/>
      <c r="CI239" s="268"/>
      <c r="CJ239" s="268"/>
      <c r="CK239" s="268"/>
      <c r="CL239" s="268"/>
      <c r="CM239" s="268"/>
      <c r="CN239" s="268"/>
      <c r="CO239" s="268"/>
      <c r="CP239" s="268"/>
      <c r="CQ239" s="268"/>
      <c r="CR239" s="268"/>
      <c r="CS239" s="268"/>
      <c r="CT239" s="268"/>
      <c r="CU239" s="268"/>
      <c r="CV239" s="268"/>
      <c r="CW239" s="268"/>
      <c r="CX239" s="268"/>
      <c r="CY239" s="268"/>
      <c r="CZ239" s="268"/>
      <c r="DA239" s="268"/>
      <c r="DB239" s="268"/>
      <c r="DC239" s="268"/>
      <c r="DD239" s="268"/>
      <c r="DE239" s="268"/>
      <c r="DF239" s="268"/>
      <c r="DG239" s="268"/>
      <c r="DH239" s="830"/>
      <c r="DI239" s="830"/>
      <c r="DJ239" s="830"/>
      <c r="DK239" s="830"/>
      <c r="DL239" s="829"/>
      <c r="DM239" s="268"/>
      <c r="DN239" s="268"/>
      <c r="DO239" s="268"/>
    </row>
    <row r="240" spans="2:119" s="132" customFormat="1" ht="15" customHeight="1" thickBot="1">
      <c r="B240" s="359">
        <v>28</v>
      </c>
      <c r="C240" s="2993" t="s">
        <v>576</v>
      </c>
      <c r="D240" s="2993"/>
      <c r="E240" s="2993"/>
      <c r="F240" s="2993"/>
      <c r="G240" s="2993"/>
      <c r="H240" s="2993"/>
      <c r="I240" s="2993"/>
      <c r="J240" s="2993"/>
      <c r="K240" s="2993"/>
      <c r="L240" s="2993"/>
      <c r="M240" s="2993"/>
      <c r="N240" s="2993"/>
      <c r="O240" s="2993"/>
      <c r="P240" s="2993"/>
      <c r="Q240" s="2993"/>
      <c r="R240" s="2993"/>
      <c r="S240" s="2993"/>
      <c r="T240" s="2993"/>
      <c r="U240" s="2993"/>
      <c r="V240" s="2993"/>
      <c r="W240" s="2993"/>
      <c r="X240" s="274"/>
      <c r="Y240" s="274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6"/>
      <c r="AJ240" s="275"/>
      <c r="AK240" s="275"/>
      <c r="AL240" s="275"/>
      <c r="AM240" s="275"/>
      <c r="AN240" s="275"/>
      <c r="AO240" s="275"/>
      <c r="AP240" s="276"/>
      <c r="AQ240" s="276"/>
      <c r="AR240" s="275"/>
      <c r="AS240" s="275"/>
      <c r="AT240" s="275"/>
      <c r="AU240" s="275"/>
      <c r="AV240" s="275"/>
      <c r="AW240" s="275"/>
      <c r="AX240" s="275"/>
      <c r="AY240" s="276"/>
      <c r="AZ240" s="276"/>
      <c r="BA240" s="275"/>
      <c r="BB240" s="275"/>
      <c r="BC240" s="277"/>
      <c r="BD240" s="276"/>
      <c r="BE240" s="277"/>
      <c r="BF240" s="277"/>
      <c r="BG240" s="277"/>
      <c r="BH240" s="277"/>
      <c r="BI240" s="277"/>
      <c r="BJ240" s="277"/>
      <c r="BK240" s="277"/>
      <c r="BL240" s="277"/>
      <c r="BM240" s="277"/>
      <c r="BN240" s="277"/>
      <c r="BO240" s="277"/>
      <c r="BP240" s="277"/>
      <c r="BQ240" s="277"/>
      <c r="BR240" s="277"/>
      <c r="BS240" s="277"/>
      <c r="BT240" s="277"/>
      <c r="BU240" s="277"/>
      <c r="BV240" s="277"/>
      <c r="BW240" s="277"/>
      <c r="BX240" s="277"/>
      <c r="BY240" s="277"/>
      <c r="BZ240" s="268"/>
      <c r="CA240" s="268"/>
      <c r="CB240" s="268"/>
      <c r="CC240" s="268"/>
      <c r="CD240" s="268"/>
      <c r="CE240" s="268"/>
      <c r="CF240" s="268"/>
      <c r="CG240" s="268"/>
      <c r="CH240" s="268"/>
      <c r="CI240" s="268"/>
      <c r="CJ240" s="268"/>
      <c r="CK240" s="268"/>
      <c r="CL240" s="268"/>
      <c r="CM240" s="268"/>
      <c r="CN240" s="268"/>
      <c r="CO240" s="268"/>
      <c r="CP240" s="268"/>
      <c r="CQ240" s="268"/>
      <c r="CR240" s="268"/>
      <c r="CS240" s="268"/>
      <c r="CT240" s="268"/>
      <c r="CU240" s="268"/>
      <c r="CV240" s="268"/>
      <c r="CW240" s="268"/>
      <c r="CX240" s="268"/>
      <c r="CY240" s="268"/>
      <c r="CZ240" s="268"/>
      <c r="DA240" s="268"/>
      <c r="DB240" s="268"/>
      <c r="DC240" s="268"/>
      <c r="DD240" s="268"/>
      <c r="DE240" s="268"/>
      <c r="DF240" s="268"/>
      <c r="DG240" s="268"/>
      <c r="DH240" s="830"/>
      <c r="DI240" s="830"/>
      <c r="DJ240" s="830"/>
      <c r="DK240" s="830"/>
      <c r="DL240" s="829"/>
      <c r="DM240" s="268"/>
      <c r="DN240" s="268"/>
      <c r="DO240" s="268"/>
    </row>
    <row r="241" spans="2:121" s="271" customFormat="1" ht="15" customHeight="1">
      <c r="B241" s="358">
        <v>29</v>
      </c>
      <c r="C241" s="269" t="s">
        <v>950</v>
      </c>
      <c r="D241" s="122"/>
      <c r="E241" s="122"/>
      <c r="F241" s="122"/>
      <c r="G241" s="120"/>
      <c r="H241" s="122"/>
      <c r="I241" s="155"/>
      <c r="J241" s="15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123"/>
      <c r="W241" s="123"/>
      <c r="X241" s="124"/>
      <c r="Y241" s="124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266"/>
      <c r="AJ241" s="122"/>
      <c r="AK241" s="122"/>
      <c r="AL241" s="122"/>
      <c r="AM241" s="122"/>
      <c r="AN241" s="122"/>
      <c r="AO241" s="122"/>
      <c r="AP241" s="266"/>
      <c r="AQ241" s="266"/>
      <c r="AR241" s="122"/>
      <c r="AS241" s="122"/>
      <c r="AT241" s="122"/>
      <c r="AU241" s="122"/>
      <c r="AV241" s="122"/>
      <c r="AW241" s="122"/>
      <c r="AX241" s="122"/>
      <c r="AY241" s="266"/>
      <c r="AZ241" s="266"/>
      <c r="BA241" s="122"/>
      <c r="BB241" s="122"/>
      <c r="BC241" s="268"/>
      <c r="BD241" s="266"/>
      <c r="BE241" s="268"/>
      <c r="BF241" s="268"/>
      <c r="BG241" s="268"/>
      <c r="BH241" s="268"/>
      <c r="BI241" s="268"/>
      <c r="BJ241" s="268"/>
      <c r="BK241" s="268"/>
      <c r="BL241" s="268"/>
      <c r="BM241" s="268"/>
      <c r="BN241" s="268"/>
      <c r="BO241" s="268"/>
      <c r="BP241" s="268"/>
      <c r="BQ241" s="268"/>
      <c r="BR241" s="268"/>
      <c r="BS241" s="268"/>
      <c r="BT241" s="268"/>
      <c r="BU241" s="268"/>
      <c r="BV241" s="268"/>
      <c r="BW241" s="268"/>
      <c r="BX241" s="268"/>
      <c r="BY241" s="268"/>
      <c r="BZ241" s="268"/>
      <c r="CA241" s="268"/>
      <c r="CB241" s="268"/>
      <c r="CC241" s="268"/>
      <c r="CD241" s="268"/>
      <c r="CE241" s="268"/>
      <c r="CF241" s="268"/>
      <c r="CG241" s="268"/>
      <c r="CH241" s="268"/>
      <c r="CI241" s="268"/>
      <c r="CJ241" s="268"/>
      <c r="CK241" s="268"/>
      <c r="CL241" s="268"/>
      <c r="CM241" s="268"/>
      <c r="CN241" s="268"/>
      <c r="CO241" s="268"/>
      <c r="CP241" s="268"/>
      <c r="CQ241" s="268"/>
      <c r="CR241" s="268"/>
      <c r="CS241" s="268"/>
      <c r="CT241" s="268"/>
      <c r="CU241" s="268"/>
      <c r="CV241" s="268"/>
      <c r="CW241" s="268"/>
      <c r="CX241" s="268"/>
      <c r="CY241" s="268"/>
      <c r="CZ241" s="268"/>
      <c r="DA241" s="268"/>
      <c r="DB241" s="268"/>
      <c r="DC241" s="268"/>
      <c r="DD241" s="268"/>
      <c r="DE241" s="268"/>
      <c r="DF241" s="268"/>
      <c r="DG241" s="268"/>
      <c r="DH241" s="830"/>
      <c r="DI241" s="830"/>
      <c r="DJ241" s="830"/>
      <c r="DK241" s="830"/>
      <c r="DL241" s="829"/>
      <c r="DM241" s="270"/>
      <c r="DN241" s="270"/>
      <c r="DO241" s="270"/>
    </row>
    <row r="242" spans="2:121" s="271" customFormat="1" ht="15" customHeight="1">
      <c r="B242" s="358">
        <v>30</v>
      </c>
      <c r="C242" s="269" t="s">
        <v>951</v>
      </c>
      <c r="D242" s="122"/>
      <c r="E242" s="122"/>
      <c r="F242" s="122"/>
      <c r="G242" s="120"/>
      <c r="H242" s="122"/>
      <c r="I242" s="155"/>
      <c r="J242" s="15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123"/>
      <c r="W242" s="123"/>
      <c r="X242" s="124"/>
      <c r="Y242" s="124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266"/>
      <c r="AJ242" s="122"/>
      <c r="AK242" s="122"/>
      <c r="AL242" s="122"/>
      <c r="AM242" s="122"/>
      <c r="AN242" s="122"/>
      <c r="AO242" s="122"/>
      <c r="AP242" s="266"/>
      <c r="AQ242" s="266"/>
      <c r="AR242" s="122"/>
      <c r="AS242" s="122"/>
      <c r="AT242" s="122"/>
      <c r="AU242" s="122"/>
      <c r="AV242" s="122"/>
      <c r="AW242" s="122"/>
      <c r="AX242" s="122"/>
      <c r="AY242" s="266"/>
      <c r="AZ242" s="266"/>
      <c r="BA242" s="122"/>
      <c r="BB242" s="122"/>
      <c r="BC242" s="268"/>
      <c r="BD242" s="266"/>
      <c r="BE242" s="268"/>
      <c r="BF242" s="268"/>
      <c r="BG242" s="268"/>
      <c r="BH242" s="268"/>
      <c r="BI242" s="268"/>
      <c r="BJ242" s="268"/>
      <c r="BK242" s="268"/>
      <c r="BL242" s="268"/>
      <c r="BM242" s="268"/>
      <c r="BN242" s="268"/>
      <c r="BO242" s="268"/>
      <c r="BP242" s="268"/>
      <c r="BQ242" s="268"/>
      <c r="BR242" s="268"/>
      <c r="BS242" s="268"/>
      <c r="BT242" s="268"/>
      <c r="BU242" s="268"/>
      <c r="BV242" s="268"/>
      <c r="BW242" s="268"/>
      <c r="BX242" s="268"/>
      <c r="BY242" s="268"/>
      <c r="BZ242" s="268"/>
      <c r="CA242" s="268"/>
      <c r="CB242" s="268"/>
      <c r="CC242" s="268"/>
      <c r="CD242" s="268"/>
      <c r="CE242" s="268"/>
      <c r="CF242" s="268"/>
      <c r="CG242" s="268"/>
      <c r="CH242" s="268"/>
      <c r="CI242" s="268"/>
      <c r="CJ242" s="268"/>
      <c r="CK242" s="268"/>
      <c r="CL242" s="268"/>
      <c r="CM242" s="268"/>
      <c r="CN242" s="268"/>
      <c r="CO242" s="268"/>
      <c r="CP242" s="268"/>
      <c r="CQ242" s="268"/>
      <c r="CR242" s="268"/>
      <c r="CS242" s="268"/>
      <c r="CT242" s="268"/>
      <c r="CU242" s="268"/>
      <c r="CV242" s="268"/>
      <c r="CW242" s="268"/>
      <c r="CX242" s="268"/>
      <c r="CY242" s="268"/>
      <c r="CZ242" s="268"/>
      <c r="DA242" s="268"/>
      <c r="DB242" s="268"/>
      <c r="DC242" s="268"/>
      <c r="DD242" s="268"/>
      <c r="DE242" s="268"/>
      <c r="DF242" s="268"/>
      <c r="DG242" s="268"/>
      <c r="DH242" s="830"/>
      <c r="DI242" s="830"/>
      <c r="DJ242" s="830"/>
      <c r="DK242" s="830"/>
      <c r="DL242" s="829"/>
      <c r="DM242" s="270"/>
      <c r="DN242" s="270"/>
      <c r="DO242" s="270"/>
    </row>
    <row r="243" spans="2:121" s="271" customFormat="1" ht="15" customHeight="1">
      <c r="B243" s="359">
        <v>31</v>
      </c>
      <c r="C243" s="278" t="s">
        <v>1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2"/>
      <c r="AG243" s="122"/>
      <c r="AH243" s="122"/>
      <c r="AI243" s="266"/>
      <c r="AJ243" s="122"/>
      <c r="AK243" s="122"/>
      <c r="AL243" s="122"/>
      <c r="AM243" s="122"/>
      <c r="AN243" s="122"/>
      <c r="AO243" s="122"/>
      <c r="AP243" s="266"/>
      <c r="AQ243" s="266"/>
      <c r="AR243" s="122"/>
      <c r="AS243" s="122"/>
      <c r="AT243" s="122"/>
      <c r="AU243" s="122"/>
      <c r="AV243" s="122"/>
      <c r="AW243" s="122"/>
      <c r="AX243" s="122"/>
      <c r="AY243" s="266"/>
      <c r="AZ243" s="266"/>
      <c r="BA243" s="122"/>
      <c r="BB243" s="122"/>
      <c r="BC243" s="268"/>
      <c r="BD243" s="266"/>
      <c r="BE243" s="268"/>
      <c r="BF243" s="268"/>
      <c r="BG243" s="268"/>
      <c r="BH243" s="268"/>
      <c r="BI243" s="268"/>
      <c r="BJ243" s="268"/>
      <c r="BK243" s="268"/>
      <c r="BL243" s="268"/>
      <c r="BM243" s="268"/>
      <c r="BN243" s="268"/>
      <c r="BO243" s="268"/>
      <c r="BP243" s="268"/>
      <c r="BQ243" s="268"/>
      <c r="BR243" s="268"/>
      <c r="BS243" s="268"/>
      <c r="BT243" s="268"/>
      <c r="BU243" s="268"/>
      <c r="BV243" s="268"/>
      <c r="BW243" s="268"/>
      <c r="BX243" s="268"/>
      <c r="BY243" s="268"/>
      <c r="BZ243" s="268"/>
      <c r="CA243" s="268"/>
      <c r="CB243" s="268"/>
      <c r="CC243" s="268"/>
      <c r="CD243" s="268"/>
      <c r="CE243" s="268"/>
      <c r="CF243" s="268"/>
      <c r="CG243" s="268"/>
      <c r="CH243" s="268"/>
      <c r="CI243" s="268"/>
      <c r="CJ243" s="268"/>
      <c r="CK243" s="268"/>
      <c r="CL243" s="268"/>
      <c r="CM243" s="268"/>
      <c r="CN243" s="268"/>
      <c r="CO243" s="268"/>
      <c r="CP243" s="268"/>
      <c r="CQ243" s="268"/>
      <c r="CR243" s="268"/>
      <c r="CS243" s="268"/>
      <c r="CT243" s="268"/>
      <c r="CU243" s="268"/>
      <c r="CV243" s="268"/>
      <c r="CW243" s="268"/>
      <c r="CX243" s="268"/>
      <c r="CY243" s="268"/>
      <c r="CZ243" s="268"/>
      <c r="DA243" s="268"/>
      <c r="DB243" s="268"/>
      <c r="DC243" s="268"/>
      <c r="DD243" s="268"/>
      <c r="DE243" s="268"/>
      <c r="DF243" s="268"/>
      <c r="DG243" s="268"/>
      <c r="DH243" s="830"/>
      <c r="DI243" s="830"/>
      <c r="DJ243" s="830"/>
      <c r="DK243" s="830"/>
      <c r="DL243" s="829"/>
      <c r="DM243" s="270"/>
      <c r="DN243" s="270"/>
      <c r="DO243" s="270"/>
    </row>
    <row r="244" spans="2:121" s="271" customFormat="1" ht="15" customHeight="1">
      <c r="B244" s="359">
        <v>32</v>
      </c>
      <c r="C244" s="278" t="s">
        <v>2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22"/>
      <c r="AG244" s="122"/>
      <c r="AH244" s="122"/>
      <c r="AI244" s="266"/>
      <c r="AJ244" s="122"/>
      <c r="AK244" s="122"/>
      <c r="AL244" s="122"/>
      <c r="AM244" s="122"/>
      <c r="AN244" s="122"/>
      <c r="AO244" s="122"/>
      <c r="AP244" s="266"/>
      <c r="AQ244" s="266"/>
      <c r="AR244" s="122"/>
      <c r="AS244" s="122"/>
      <c r="AT244" s="122"/>
      <c r="AU244" s="122"/>
      <c r="AV244" s="122"/>
      <c r="AW244" s="122"/>
      <c r="AX244" s="122"/>
      <c r="AY244" s="266"/>
      <c r="AZ244" s="266"/>
      <c r="BA244" s="122"/>
      <c r="BB244" s="122"/>
      <c r="BC244" s="268"/>
      <c r="BD244" s="266"/>
      <c r="BE244" s="268"/>
      <c r="BF244" s="268"/>
      <c r="BG244" s="268"/>
      <c r="BH244" s="268"/>
      <c r="BI244" s="268"/>
      <c r="BJ244" s="268"/>
      <c r="BK244" s="268"/>
      <c r="BL244" s="268"/>
      <c r="BM244" s="268"/>
      <c r="BN244" s="268"/>
      <c r="BO244" s="268"/>
      <c r="BP244" s="268"/>
      <c r="BQ244" s="268"/>
      <c r="BR244" s="268"/>
      <c r="BS244" s="268"/>
      <c r="BT244" s="268"/>
      <c r="BU244" s="268"/>
      <c r="BV244" s="268"/>
      <c r="BW244" s="268"/>
      <c r="BX244" s="268"/>
      <c r="BY244" s="268"/>
      <c r="BZ244" s="268"/>
      <c r="CA244" s="268"/>
      <c r="CB244" s="268"/>
      <c r="CC244" s="268"/>
      <c r="CD244" s="268"/>
      <c r="CE244" s="268"/>
      <c r="CF244" s="268"/>
      <c r="CG244" s="268"/>
      <c r="CH244" s="268"/>
      <c r="CI244" s="268"/>
      <c r="CJ244" s="268"/>
      <c r="CK244" s="268"/>
      <c r="CL244" s="268"/>
      <c r="CM244" s="268"/>
      <c r="CN244" s="268"/>
      <c r="CO244" s="268"/>
      <c r="CP244" s="268"/>
      <c r="CQ244" s="268"/>
      <c r="CR244" s="268"/>
      <c r="CS244" s="268"/>
      <c r="CT244" s="268"/>
      <c r="CU244" s="268"/>
      <c r="CV244" s="268"/>
      <c r="CW244" s="268"/>
      <c r="CX244" s="268"/>
      <c r="CY244" s="268"/>
      <c r="CZ244" s="268"/>
      <c r="DA244" s="268"/>
      <c r="DB244" s="268"/>
      <c r="DC244" s="268"/>
      <c r="DD244" s="268"/>
      <c r="DE244" s="268"/>
      <c r="DF244" s="268"/>
      <c r="DG244" s="268"/>
      <c r="DH244" s="830"/>
      <c r="DI244" s="830"/>
      <c r="DJ244" s="830"/>
      <c r="DK244" s="830"/>
      <c r="DL244" s="829"/>
      <c r="DM244" s="270"/>
      <c r="DN244" s="270"/>
      <c r="DO244" s="270"/>
    </row>
    <row r="245" spans="2:121" s="271" customFormat="1" ht="15" customHeight="1">
      <c r="B245" s="359">
        <v>33</v>
      </c>
      <c r="C245" s="278" t="s">
        <v>4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  <c r="AA245" s="360"/>
      <c r="AB245" s="360"/>
      <c r="AC245" s="360"/>
      <c r="AD245" s="360"/>
      <c r="AE245" s="360"/>
      <c r="AF245" s="122"/>
      <c r="AG245" s="122"/>
      <c r="AH245" s="122"/>
      <c r="AI245" s="266"/>
      <c r="AJ245" s="122"/>
      <c r="AK245" s="122"/>
      <c r="AL245" s="122"/>
      <c r="AM245" s="122"/>
      <c r="AN245" s="122"/>
      <c r="AO245" s="122"/>
      <c r="AP245" s="266"/>
      <c r="AQ245" s="266"/>
      <c r="AR245" s="122"/>
      <c r="AS245" s="122"/>
      <c r="AT245" s="122"/>
      <c r="AU245" s="122"/>
      <c r="AV245" s="122"/>
      <c r="AW245" s="122"/>
      <c r="AX245" s="122"/>
      <c r="AY245" s="266"/>
      <c r="AZ245" s="266"/>
      <c r="BA245" s="122"/>
      <c r="BB245" s="122"/>
      <c r="BC245" s="268"/>
      <c r="BD245" s="266"/>
      <c r="BE245" s="268"/>
      <c r="BF245" s="268"/>
      <c r="BG245" s="268"/>
      <c r="BH245" s="268"/>
      <c r="BI245" s="268"/>
      <c r="BJ245" s="268"/>
      <c r="BK245" s="268"/>
      <c r="BL245" s="268"/>
      <c r="BM245" s="268"/>
      <c r="BN245" s="268"/>
      <c r="BO245" s="268"/>
      <c r="BP245" s="268"/>
      <c r="BQ245" s="268"/>
      <c r="BR245" s="268"/>
      <c r="BS245" s="268"/>
      <c r="BT245" s="268"/>
      <c r="BU245" s="268"/>
      <c r="BV245" s="268"/>
      <c r="BW245" s="268"/>
      <c r="BX245" s="268"/>
      <c r="BY245" s="268"/>
      <c r="BZ245" s="268"/>
      <c r="CA245" s="268"/>
      <c r="CB245" s="268"/>
      <c r="CC245" s="268"/>
      <c r="CD245" s="268"/>
      <c r="CE245" s="268"/>
      <c r="CF245" s="268"/>
      <c r="CG245" s="268"/>
      <c r="CH245" s="268"/>
      <c r="CI245" s="268"/>
      <c r="CJ245" s="268"/>
      <c r="CK245" s="268"/>
      <c r="CL245" s="268"/>
      <c r="CM245" s="268"/>
      <c r="CN245" s="268"/>
      <c r="CO245" s="268"/>
      <c r="CP245" s="268"/>
      <c r="CQ245" s="268"/>
      <c r="CR245" s="268"/>
      <c r="CS245" s="268"/>
      <c r="CT245" s="268"/>
      <c r="CU245" s="268"/>
      <c r="CV245" s="268"/>
      <c r="CW245" s="268"/>
      <c r="CX245" s="268"/>
      <c r="CY245" s="268"/>
      <c r="CZ245" s="268"/>
      <c r="DA245" s="268"/>
      <c r="DB245" s="268"/>
      <c r="DC245" s="268"/>
      <c r="DD245" s="268"/>
      <c r="DE245" s="268"/>
      <c r="DF245" s="268"/>
      <c r="DG245" s="268"/>
      <c r="DH245" s="830"/>
      <c r="DI245" s="830"/>
      <c r="DJ245" s="830"/>
      <c r="DK245" s="830"/>
      <c r="DL245" s="829"/>
      <c r="DM245" s="270"/>
      <c r="DN245" s="270"/>
      <c r="DO245" s="270"/>
    </row>
    <row r="246" spans="2:121" s="271" customFormat="1" ht="15" customHeight="1">
      <c r="B246" s="359">
        <v>34</v>
      </c>
      <c r="C246" s="278" t="s">
        <v>5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  <c r="AA246" s="360"/>
      <c r="AB246" s="360"/>
      <c r="AC246" s="360"/>
      <c r="AD246" s="360"/>
      <c r="AE246" s="360"/>
      <c r="AF246" s="122"/>
      <c r="AG246" s="122"/>
      <c r="AH246" s="122"/>
      <c r="AI246" s="266"/>
      <c r="AJ246" s="122"/>
      <c r="AK246" s="122"/>
      <c r="AL246" s="122"/>
      <c r="AM246" s="122"/>
      <c r="AN246" s="122"/>
      <c r="AO246" s="122"/>
      <c r="AP246" s="266"/>
      <c r="AQ246" s="266"/>
      <c r="AR246" s="122"/>
      <c r="AS246" s="122"/>
      <c r="AT246" s="122"/>
      <c r="AU246" s="122"/>
      <c r="AV246" s="122"/>
      <c r="AW246" s="122"/>
      <c r="AX246" s="122"/>
      <c r="AY246" s="266"/>
      <c r="AZ246" s="266"/>
      <c r="BA246" s="122"/>
      <c r="BB246" s="122"/>
      <c r="BC246" s="268"/>
      <c r="BD246" s="266"/>
      <c r="BE246" s="268"/>
      <c r="BF246" s="268"/>
      <c r="BG246" s="268"/>
      <c r="BH246" s="268"/>
      <c r="BI246" s="268"/>
      <c r="BJ246" s="268"/>
      <c r="BK246" s="268"/>
      <c r="BL246" s="268"/>
      <c r="BM246" s="268"/>
      <c r="BN246" s="268"/>
      <c r="BO246" s="268"/>
      <c r="BP246" s="268"/>
      <c r="BQ246" s="268"/>
      <c r="BR246" s="268"/>
      <c r="BS246" s="268"/>
      <c r="BT246" s="268"/>
      <c r="BU246" s="268"/>
      <c r="BV246" s="268"/>
      <c r="BW246" s="268"/>
      <c r="BX246" s="268"/>
      <c r="BY246" s="268"/>
      <c r="BZ246" s="268"/>
      <c r="CA246" s="268"/>
      <c r="CB246" s="268"/>
      <c r="CC246" s="268"/>
      <c r="CD246" s="268"/>
      <c r="CE246" s="268"/>
      <c r="CF246" s="268"/>
      <c r="CG246" s="268"/>
      <c r="CH246" s="268"/>
      <c r="CI246" s="268"/>
      <c r="CJ246" s="268"/>
      <c r="CK246" s="268"/>
      <c r="CL246" s="268"/>
      <c r="CM246" s="268"/>
      <c r="CN246" s="268"/>
      <c r="CO246" s="268"/>
      <c r="CP246" s="268"/>
      <c r="CQ246" s="268"/>
      <c r="CR246" s="268"/>
      <c r="CS246" s="268"/>
      <c r="CT246" s="268"/>
      <c r="CU246" s="268"/>
      <c r="CV246" s="268"/>
      <c r="CW246" s="268"/>
      <c r="CX246" s="268"/>
      <c r="CY246" s="268"/>
      <c r="CZ246" s="268"/>
      <c r="DA246" s="268"/>
      <c r="DB246" s="268"/>
      <c r="DC246" s="268"/>
      <c r="DD246" s="268"/>
      <c r="DE246" s="268"/>
      <c r="DF246" s="268"/>
      <c r="DG246" s="268"/>
      <c r="DH246" s="830"/>
      <c r="DI246" s="830"/>
      <c r="DJ246" s="830"/>
      <c r="DK246" s="830"/>
      <c r="DL246" s="829"/>
      <c r="DM246" s="270"/>
      <c r="DN246" s="270"/>
      <c r="DO246" s="270"/>
    </row>
    <row r="247" spans="2:121" s="271" customFormat="1" ht="15" customHeight="1" thickBot="1">
      <c r="B247" s="359">
        <v>35</v>
      </c>
      <c r="C247" s="2991" t="s">
        <v>490</v>
      </c>
      <c r="D247" s="2991"/>
      <c r="E247" s="2991"/>
      <c r="F247" s="2991"/>
      <c r="G247" s="2991"/>
      <c r="H247" s="2991"/>
      <c r="I247" s="2991"/>
      <c r="J247" s="2991"/>
      <c r="K247" s="2991"/>
      <c r="L247" s="2991"/>
      <c r="M247" s="2991"/>
      <c r="N247" s="2991"/>
      <c r="O247" s="2991"/>
      <c r="P247" s="2991"/>
      <c r="Q247" s="2991"/>
      <c r="R247" s="2991"/>
      <c r="S247" s="2991"/>
      <c r="T247" s="2991"/>
      <c r="U247" s="2991"/>
      <c r="V247" s="2991"/>
      <c r="W247" s="2991"/>
      <c r="X247" s="2992"/>
      <c r="Y247" s="2992"/>
      <c r="Z247" s="2992"/>
      <c r="AA247" s="2992"/>
      <c r="AB247" s="2992"/>
      <c r="AC247" s="2992"/>
      <c r="AD247" s="2992"/>
      <c r="AE247" s="2992"/>
      <c r="AF247" s="2992"/>
      <c r="AG247" s="2992"/>
      <c r="AH247" s="2992"/>
      <c r="AI247" s="2992"/>
      <c r="AJ247" s="2992"/>
      <c r="AK247" s="2992"/>
      <c r="AL247" s="2992"/>
      <c r="AM247" s="275"/>
      <c r="AN247" s="275"/>
      <c r="AO247" s="275"/>
      <c r="AP247" s="276"/>
      <c r="AQ247" s="276"/>
      <c r="AR247" s="275"/>
      <c r="AS247" s="275"/>
      <c r="AT247" s="275"/>
      <c r="AU247" s="275"/>
      <c r="AV247" s="275"/>
      <c r="AW247" s="275"/>
      <c r="AX247" s="275"/>
      <c r="AY247" s="276"/>
      <c r="AZ247" s="276"/>
      <c r="BA247" s="275"/>
      <c r="BB247" s="275"/>
      <c r="BC247" s="277"/>
      <c r="BD247" s="276"/>
      <c r="BE247" s="277"/>
      <c r="BF247" s="277"/>
      <c r="BG247" s="277"/>
      <c r="BH247" s="277"/>
      <c r="BI247" s="277"/>
      <c r="BJ247" s="277"/>
      <c r="BK247" s="277"/>
      <c r="BL247" s="277"/>
      <c r="BM247" s="277"/>
      <c r="BN247" s="277"/>
      <c r="BO247" s="277"/>
      <c r="BP247" s="277"/>
      <c r="BQ247" s="277"/>
      <c r="BR247" s="277"/>
      <c r="BS247" s="277"/>
      <c r="BT247" s="277"/>
      <c r="BU247" s="277"/>
      <c r="BV247" s="277"/>
      <c r="BW247" s="277"/>
      <c r="BX247" s="277"/>
      <c r="BY247" s="277"/>
      <c r="BZ247" s="268"/>
      <c r="CA247" s="268"/>
      <c r="CB247" s="268"/>
      <c r="CC247" s="268"/>
      <c r="CD247" s="268"/>
      <c r="CE247" s="268"/>
      <c r="CF247" s="268"/>
      <c r="CG247" s="268"/>
      <c r="CH247" s="268"/>
      <c r="CI247" s="268"/>
      <c r="CJ247" s="268"/>
      <c r="CK247" s="268"/>
      <c r="CL247" s="268"/>
      <c r="CM247" s="268"/>
      <c r="CN247" s="268"/>
      <c r="CO247" s="268"/>
      <c r="CP247" s="268"/>
      <c r="CQ247" s="268"/>
      <c r="CR247" s="268"/>
      <c r="CS247" s="268"/>
      <c r="CT247" s="268"/>
      <c r="CU247" s="268"/>
      <c r="CV247" s="268"/>
      <c r="CW247" s="268"/>
      <c r="CX247" s="268"/>
      <c r="CY247" s="268"/>
      <c r="CZ247" s="268"/>
      <c r="DA247" s="268"/>
      <c r="DB247" s="268"/>
      <c r="DC247" s="268"/>
      <c r="DD247" s="268"/>
      <c r="DE247" s="268"/>
      <c r="DF247" s="268"/>
      <c r="DG247" s="268"/>
      <c r="DH247" s="830"/>
      <c r="DI247" s="830"/>
      <c r="DJ247" s="830"/>
      <c r="DK247" s="830"/>
      <c r="DL247" s="829"/>
      <c r="DM247" s="270"/>
      <c r="DN247" s="270"/>
      <c r="DO247" s="270"/>
    </row>
    <row r="248" spans="2:121" s="132" customFormat="1" ht="15" customHeight="1">
      <c r="B248" s="359">
        <v>36</v>
      </c>
      <c r="C248" s="2990" t="s">
        <v>137</v>
      </c>
      <c r="D248" s="2990"/>
      <c r="E248" s="2990"/>
      <c r="F248" s="2990"/>
      <c r="G248" s="2990"/>
      <c r="H248" s="2990"/>
      <c r="I248" s="2990"/>
      <c r="J248" s="2990"/>
      <c r="K248" s="2990"/>
      <c r="L248" s="2990"/>
      <c r="M248" s="2990"/>
      <c r="N248" s="2990"/>
      <c r="O248" s="2990"/>
      <c r="P248" s="2990"/>
      <c r="Q248" s="2990"/>
      <c r="R248" s="2990"/>
      <c r="S248" s="2990"/>
      <c r="T248" s="2990"/>
      <c r="U248" s="2990"/>
      <c r="V248" s="2990"/>
      <c r="W248" s="2990"/>
      <c r="X248" s="2990"/>
      <c r="Y248" s="2990"/>
      <c r="Z248" s="2990"/>
      <c r="AA248" s="2990"/>
      <c r="AB248" s="2990"/>
      <c r="AC248" s="2990"/>
      <c r="AD248" s="2990"/>
      <c r="AE248" s="2990"/>
      <c r="AF248" s="2990"/>
      <c r="AG248" s="2990"/>
      <c r="AH248" s="2990"/>
      <c r="AI248" s="2990"/>
      <c r="AJ248" s="2990"/>
      <c r="AK248" s="2990"/>
      <c r="AL248" s="2990"/>
      <c r="AM248" s="2990"/>
      <c r="AN248" s="2990"/>
      <c r="AO248" s="2990"/>
      <c r="AP248" s="2990"/>
      <c r="AQ248" s="2990"/>
      <c r="AR248" s="2990"/>
      <c r="AS248" s="2990"/>
      <c r="AT248" s="2990"/>
      <c r="AU248" s="2990"/>
      <c r="AV248" s="2990"/>
      <c r="AW248" s="2990"/>
      <c r="AX248" s="2990"/>
      <c r="AY248" s="2990"/>
      <c r="AZ248" s="2990"/>
      <c r="BA248" s="2990"/>
      <c r="BB248" s="2990"/>
      <c r="BC248" s="2990"/>
      <c r="BD248" s="2990"/>
      <c r="BE248" s="2990"/>
      <c r="BF248" s="2990"/>
      <c r="BG248" s="2990"/>
      <c r="BH248" s="2990"/>
      <c r="BI248" s="2990"/>
      <c r="BJ248" s="2990"/>
      <c r="BK248" s="2990"/>
      <c r="BL248" s="2990"/>
      <c r="BM248" s="2990"/>
      <c r="BN248" s="2990"/>
      <c r="BO248" s="2990"/>
      <c r="BP248" s="2990"/>
      <c r="BQ248" s="2990"/>
      <c r="BR248" s="2990"/>
      <c r="BS248" s="2990"/>
      <c r="BT248" s="2990"/>
      <c r="BU248" s="2990"/>
      <c r="BV248" s="2990"/>
      <c r="BW248" s="2990"/>
      <c r="BX248" s="2990"/>
      <c r="BY248" s="2990"/>
      <c r="BZ248" s="2990"/>
      <c r="CA248" s="2990"/>
      <c r="CB248" s="2990"/>
      <c r="CC248" s="2990"/>
      <c r="CD248" s="2990"/>
      <c r="CE248" s="2990"/>
      <c r="CF248" s="2990"/>
      <c r="CG248" s="2990"/>
      <c r="CH248" s="2990"/>
      <c r="CI248" s="2990"/>
      <c r="CJ248" s="2990"/>
      <c r="CK248" s="2990"/>
      <c r="CL248" s="2990"/>
      <c r="CM248" s="264"/>
      <c r="CN248" s="264"/>
      <c r="CO248" s="264"/>
      <c r="CP248" s="264"/>
      <c r="CQ248" s="264"/>
      <c r="CR248" s="264"/>
      <c r="CS248" s="264"/>
      <c r="CT248" s="264"/>
      <c r="CU248" s="264"/>
      <c r="CV248" s="264"/>
      <c r="CW248" s="264"/>
      <c r="CX248" s="264"/>
      <c r="CY248" s="264"/>
      <c r="CZ248" s="264"/>
      <c r="DA248" s="264"/>
      <c r="DB248" s="264"/>
      <c r="DC248" s="264"/>
      <c r="DD248" s="264"/>
      <c r="DE248" s="264"/>
      <c r="DF248" s="264"/>
      <c r="DG248" s="264"/>
      <c r="DH248" s="830"/>
      <c r="DI248" s="830"/>
      <c r="DJ248" s="830"/>
      <c r="DK248" s="830"/>
      <c r="DL248" s="829"/>
      <c r="DM248" s="268"/>
      <c r="DN248" s="268"/>
      <c r="DO248" s="268"/>
    </row>
    <row r="249" spans="2:121" s="132" customFormat="1" ht="15" customHeight="1">
      <c r="B249" s="359">
        <v>37</v>
      </c>
      <c r="C249" s="2990" t="s">
        <v>761</v>
      </c>
      <c r="D249" s="2990"/>
      <c r="E249" s="2990"/>
      <c r="F249" s="2990"/>
      <c r="G249" s="2990"/>
      <c r="H249" s="2990"/>
      <c r="I249" s="2990"/>
      <c r="J249" s="2990"/>
      <c r="K249" s="2990"/>
      <c r="L249" s="2990"/>
      <c r="M249" s="2990"/>
      <c r="N249" s="2990"/>
      <c r="O249" s="2990"/>
      <c r="P249" s="2990"/>
      <c r="Q249" s="2990"/>
      <c r="R249" s="2990"/>
      <c r="S249" s="2990"/>
      <c r="T249" s="2990"/>
      <c r="U249" s="2990"/>
      <c r="V249" s="2990"/>
      <c r="W249" s="2990"/>
      <c r="X249" s="2990"/>
      <c r="Y249" s="2990"/>
      <c r="Z249" s="2990"/>
      <c r="AA249" s="2990"/>
      <c r="AB249" s="2990"/>
      <c r="AC249" s="2990"/>
      <c r="AD249" s="2990"/>
      <c r="AE249" s="2990"/>
      <c r="AF249" s="2990"/>
      <c r="AG249" s="2990"/>
      <c r="AH249" s="2990"/>
      <c r="AI249" s="2990"/>
      <c r="AJ249" s="2990"/>
      <c r="AK249" s="2990"/>
      <c r="AL249" s="2990"/>
      <c r="AM249" s="2990"/>
      <c r="AN249" s="2990"/>
      <c r="AO249" s="2990"/>
      <c r="AP249" s="2990"/>
      <c r="AQ249" s="2990"/>
      <c r="AR249" s="2990"/>
      <c r="AS249" s="2990"/>
      <c r="AT249" s="2990"/>
      <c r="AU249" s="2990"/>
      <c r="AV249" s="2990"/>
      <c r="AW249" s="2990"/>
      <c r="AX249" s="2990"/>
      <c r="AY249" s="2990"/>
      <c r="AZ249" s="2990"/>
      <c r="BA249" s="2990"/>
      <c r="BB249" s="2990"/>
      <c r="BC249" s="2990"/>
      <c r="BD249" s="2990"/>
      <c r="BE249" s="2990"/>
      <c r="BF249" s="2990"/>
      <c r="BG249" s="2990"/>
      <c r="BH249" s="2990"/>
      <c r="BI249" s="2990"/>
      <c r="BJ249" s="2990"/>
      <c r="BK249" s="2990"/>
      <c r="BL249" s="2990"/>
      <c r="BM249" s="2990"/>
      <c r="BN249" s="2990"/>
      <c r="BO249" s="2990"/>
      <c r="BP249" s="2990"/>
      <c r="BQ249" s="2990"/>
      <c r="BR249" s="2990"/>
      <c r="BS249" s="2990"/>
      <c r="BT249" s="2990"/>
      <c r="BU249" s="2990"/>
      <c r="BV249" s="2990"/>
      <c r="BW249" s="2990"/>
      <c r="BX249" s="2990"/>
      <c r="BY249" s="2990"/>
      <c r="BZ249" s="2990"/>
      <c r="CA249" s="2990"/>
      <c r="CB249" s="2990"/>
      <c r="CC249" s="2990"/>
      <c r="CD249" s="2990"/>
      <c r="CE249" s="2990"/>
      <c r="CF249" s="2990"/>
      <c r="CG249" s="2990"/>
      <c r="CH249" s="2990"/>
      <c r="CI249" s="2990"/>
      <c r="CJ249" s="2990"/>
      <c r="CK249" s="2990"/>
      <c r="CL249" s="2990"/>
      <c r="CM249" s="264"/>
      <c r="CN249" s="264"/>
      <c r="CO249" s="264"/>
      <c r="CP249" s="264"/>
      <c r="CQ249" s="264"/>
      <c r="CR249" s="264"/>
      <c r="CS249" s="264"/>
      <c r="CT249" s="264"/>
      <c r="CU249" s="264"/>
      <c r="CV249" s="264"/>
      <c r="CW249" s="264"/>
      <c r="CX249" s="264"/>
      <c r="CY249" s="264"/>
      <c r="CZ249" s="264"/>
      <c r="DA249" s="264"/>
      <c r="DB249" s="264"/>
      <c r="DC249" s="264"/>
      <c r="DD249" s="264"/>
      <c r="DE249" s="264"/>
      <c r="DF249" s="264"/>
      <c r="DG249" s="264"/>
      <c r="DH249" s="830"/>
      <c r="DI249" s="830"/>
      <c r="DJ249" s="830"/>
      <c r="DK249" s="830"/>
      <c r="DL249" s="829"/>
      <c r="DM249" s="279"/>
      <c r="DN249" s="279"/>
      <c r="DO249" s="279"/>
    </row>
    <row r="250" spans="2:121" s="4" customFormat="1" ht="17.25" customHeight="1">
      <c r="B250" s="290">
        <v>38</v>
      </c>
      <c r="C250" s="360" t="s">
        <v>840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104"/>
      <c r="O250" s="104"/>
      <c r="P250" s="104"/>
      <c r="Q250" s="104"/>
      <c r="R250" s="104"/>
      <c r="S250" s="104"/>
      <c r="T250" s="104"/>
      <c r="U250" s="104"/>
      <c r="V250" s="105"/>
      <c r="W250" s="105"/>
      <c r="X250" s="60"/>
      <c r="Y250" s="107"/>
      <c r="Z250" s="60"/>
      <c r="AA250" s="60"/>
      <c r="AB250" s="60"/>
      <c r="AC250" s="60"/>
      <c r="AD250" s="60"/>
      <c r="AE250" s="60"/>
      <c r="AF250" s="60"/>
      <c r="AG250" s="60"/>
      <c r="AH250" s="60"/>
      <c r="AI250" s="923"/>
      <c r="AJ250" s="60"/>
      <c r="AK250" s="60"/>
      <c r="AL250" s="60"/>
      <c r="AM250" s="60"/>
      <c r="AN250" s="60"/>
      <c r="AO250" s="60"/>
      <c r="AP250" s="923"/>
      <c r="AQ250" s="60"/>
      <c r="AR250" s="60"/>
      <c r="AS250" s="60"/>
      <c r="AT250" s="60"/>
      <c r="AU250" s="60"/>
      <c r="AV250" s="60"/>
      <c r="AW250" s="60"/>
      <c r="AX250" s="60"/>
      <c r="AY250" s="923"/>
      <c r="AZ250" s="923"/>
      <c r="BA250" s="60"/>
      <c r="BB250" s="60"/>
      <c r="BC250" s="830"/>
      <c r="BD250" s="923"/>
      <c r="BE250" s="830"/>
      <c r="BF250" s="830"/>
      <c r="BG250" s="830"/>
      <c r="BH250" s="830"/>
      <c r="BI250" s="830"/>
      <c r="BJ250" s="830"/>
      <c r="BK250" s="830"/>
      <c r="BL250" s="830"/>
      <c r="BM250" s="830"/>
      <c r="BN250" s="830"/>
      <c r="BO250" s="830"/>
      <c r="BP250" s="830"/>
      <c r="BQ250" s="830"/>
      <c r="BR250" s="830"/>
      <c r="BS250" s="830"/>
      <c r="BT250" s="830"/>
      <c r="BU250" s="830"/>
      <c r="BV250" s="830"/>
      <c r="BW250" s="830"/>
      <c r="BX250" s="830"/>
      <c r="BY250" s="830"/>
      <c r="BZ250" s="830"/>
      <c r="CA250" s="830"/>
      <c r="CB250" s="830"/>
      <c r="CC250" s="830"/>
      <c r="CD250" s="830"/>
      <c r="CE250" s="830"/>
      <c r="CF250" s="830"/>
      <c r="CG250" s="830"/>
      <c r="CH250" s="830"/>
      <c r="CI250" s="830"/>
      <c r="CJ250" s="830"/>
      <c r="CK250" s="830"/>
      <c r="CL250" s="830"/>
      <c r="CM250" s="830"/>
      <c r="CN250" s="830"/>
      <c r="CO250" s="830"/>
      <c r="CP250" s="830"/>
      <c r="CQ250" s="830"/>
      <c r="CR250" s="830"/>
      <c r="CS250" s="830"/>
      <c r="CT250" s="830"/>
      <c r="CU250" s="830"/>
      <c r="CV250" s="830"/>
      <c r="CW250" s="830"/>
      <c r="CX250" s="830"/>
      <c r="CY250" s="830"/>
      <c r="CZ250" s="830"/>
      <c r="DA250" s="830"/>
      <c r="DB250" s="830"/>
      <c r="DC250" s="830"/>
      <c r="DD250" s="830"/>
      <c r="DE250" s="830"/>
      <c r="DF250" s="830"/>
      <c r="DG250" s="830"/>
      <c r="DH250" s="830"/>
      <c r="DI250" s="830"/>
      <c r="DJ250" s="830"/>
      <c r="DK250" s="830"/>
      <c r="DL250" s="830"/>
      <c r="DM250" s="93"/>
      <c r="DN250" s="93"/>
      <c r="DO250" s="93"/>
    </row>
    <row r="251" spans="2:121" ht="18" customHeight="1">
      <c r="B251" s="922">
        <v>39</v>
      </c>
      <c r="C251" s="360" t="s">
        <v>841</v>
      </c>
      <c r="Y251" s="107"/>
      <c r="BA251" s="61"/>
      <c r="BB251" s="61"/>
    </row>
    <row r="252" spans="2:121" ht="17.25" customHeight="1">
      <c r="B252" s="922">
        <v>40</v>
      </c>
      <c r="C252" s="360" t="s">
        <v>842</v>
      </c>
      <c r="Y252" s="107"/>
      <c r="BA252" s="61"/>
      <c r="BB252" s="61"/>
    </row>
    <row r="253" spans="2:121">
      <c r="G253" s="100"/>
      <c r="Y253" s="106"/>
      <c r="BA253" s="61"/>
      <c r="BB253" s="61"/>
    </row>
    <row r="254" spans="2:121">
      <c r="Y254" s="107"/>
      <c r="BA254" s="61"/>
      <c r="BB254" s="61"/>
      <c r="DQ254" s="1">
        <f>237-165</f>
        <v>72</v>
      </c>
    </row>
    <row r="255" spans="2:121">
      <c r="Y255" s="107"/>
      <c r="BA255" s="61"/>
      <c r="BB255" s="61"/>
    </row>
    <row r="256" spans="2:121">
      <c r="Y256" s="107"/>
      <c r="BA256" s="61"/>
      <c r="BB256" s="61"/>
    </row>
    <row r="257" spans="25:54">
      <c r="Y257" s="105"/>
      <c r="BA257" s="61"/>
      <c r="BB257" s="61"/>
    </row>
    <row r="258" spans="25:54">
      <c r="Y258" s="105"/>
      <c r="BA258" s="61"/>
      <c r="BB258" s="61"/>
    </row>
    <row r="259" spans="25:54">
      <c r="Y259" s="107"/>
      <c r="BA259" s="61"/>
      <c r="BB259" s="61"/>
    </row>
    <row r="260" spans="25:54">
      <c r="Y260" s="107"/>
      <c r="BA260" s="61"/>
      <c r="BB260" s="61"/>
    </row>
    <row r="261" spans="25:54">
      <c r="Y261" s="107"/>
      <c r="BA261" s="61"/>
      <c r="BB261" s="61"/>
    </row>
    <row r="262" spans="25:54">
      <c r="Y262" s="107"/>
      <c r="BA262" s="61"/>
      <c r="BB262" s="61"/>
    </row>
    <row r="263" spans="25:54">
      <c r="Y263" s="107"/>
      <c r="BA263" s="61"/>
      <c r="BB263" s="61"/>
    </row>
    <row r="264" spans="25:54">
      <c r="Y264" s="107"/>
      <c r="BA264" s="61"/>
      <c r="BB264" s="61"/>
    </row>
    <row r="265" spans="25:54">
      <c r="Y265" s="107"/>
      <c r="BA265" s="61"/>
      <c r="BB265" s="61"/>
    </row>
    <row r="266" spans="25:54">
      <c r="Y266" s="107"/>
      <c r="BA266" s="61"/>
      <c r="BB266" s="61"/>
    </row>
    <row r="267" spans="25:54">
      <c r="Y267" s="105"/>
      <c r="BA267" s="61"/>
      <c r="BB267" s="61"/>
    </row>
    <row r="268" spans="25:54">
      <c r="Y268" s="107"/>
      <c r="BA268" s="61"/>
      <c r="BB268" s="61"/>
    </row>
    <row r="269" spans="25:54">
      <c r="Y269" s="107"/>
      <c r="BA269" s="61"/>
      <c r="BB269" s="61"/>
    </row>
    <row r="270" spans="25:54">
      <c r="Y270" s="107"/>
      <c r="BA270" s="61"/>
      <c r="BB270" s="61"/>
    </row>
    <row r="271" spans="25:54">
      <c r="Y271" s="107"/>
      <c r="BA271" s="61"/>
      <c r="BB271" s="61"/>
    </row>
    <row r="272" spans="25:54">
      <c r="Y272" s="107"/>
      <c r="BA272" s="61"/>
      <c r="BB272" s="61"/>
    </row>
    <row r="273" spans="25:54">
      <c r="Y273" s="107"/>
      <c r="BA273" s="61"/>
      <c r="BB273" s="61"/>
    </row>
    <row r="274" spans="25:54">
      <c r="Y274" s="107"/>
      <c r="BA274" s="61"/>
      <c r="BB274" s="61"/>
    </row>
    <row r="275" spans="25:54">
      <c r="Y275" s="107"/>
      <c r="BA275" s="61"/>
      <c r="BB275" s="61"/>
    </row>
    <row r="276" spans="25:54">
      <c r="Y276" s="107"/>
      <c r="BA276" s="61"/>
      <c r="BB276" s="61"/>
    </row>
    <row r="277" spans="25:54">
      <c r="Y277" s="107"/>
      <c r="BA277" s="61"/>
      <c r="BB277" s="61"/>
    </row>
    <row r="278" spans="25:54">
      <c r="Y278" s="107"/>
      <c r="BA278" s="61"/>
      <c r="BB278" s="61"/>
    </row>
    <row r="279" spans="25:54">
      <c r="Y279" s="107"/>
      <c r="BA279" s="61"/>
      <c r="BB279" s="61"/>
    </row>
    <row r="280" spans="25:54">
      <c r="Y280" s="107"/>
      <c r="BA280" s="61"/>
      <c r="BB280" s="61"/>
    </row>
    <row r="281" spans="25:54">
      <c r="Y281" s="107"/>
      <c r="BA281" s="61"/>
      <c r="BB281" s="61"/>
    </row>
    <row r="282" spans="25:54">
      <c r="Y282" s="107"/>
      <c r="BA282" s="61"/>
      <c r="BB282" s="61"/>
    </row>
    <row r="283" spans="25:54">
      <c r="Y283" s="105"/>
      <c r="BA283" s="61"/>
      <c r="BB283" s="61"/>
    </row>
    <row r="284" spans="25:54">
      <c r="Y284" s="107"/>
      <c r="BA284" s="61"/>
      <c r="BB284" s="61"/>
    </row>
    <row r="285" spans="25:54">
      <c r="Y285" s="105"/>
      <c r="BA285" s="61"/>
      <c r="BB285" s="61"/>
    </row>
    <row r="286" spans="25:54">
      <c r="Y286" s="105"/>
      <c r="BA286" s="61"/>
      <c r="BB286" s="61"/>
    </row>
    <row r="287" spans="25:54">
      <c r="Y287" s="105"/>
      <c r="BA287" s="61"/>
      <c r="BB287" s="61"/>
    </row>
    <row r="288" spans="25:54">
      <c r="Y288" s="108"/>
      <c r="BA288" s="61"/>
      <c r="BB288" s="61"/>
    </row>
    <row r="289" spans="25:54">
      <c r="Y289" s="107"/>
      <c r="BA289" s="61"/>
      <c r="BB289" s="61"/>
    </row>
    <row r="290" spans="25:54">
      <c r="Y290" s="107"/>
      <c r="BA290" s="61"/>
      <c r="BB290" s="61"/>
    </row>
    <row r="291" spans="25:54">
      <c r="Y291" s="105"/>
      <c r="BA291" s="61"/>
      <c r="BB291" s="61"/>
    </row>
    <row r="292" spans="25:54">
      <c r="Y292" s="105"/>
      <c r="BA292" s="61"/>
      <c r="BB292" s="61"/>
    </row>
    <row r="293" spans="25:54">
      <c r="Y293" s="105"/>
      <c r="BA293" s="61"/>
      <c r="BB293" s="61"/>
    </row>
    <row r="294" spans="25:54">
      <c r="Y294" s="105"/>
      <c r="BA294" s="61"/>
      <c r="BB294" s="61"/>
    </row>
    <row r="295" spans="25:54">
      <c r="Y295" s="107"/>
      <c r="BA295" s="61"/>
      <c r="BB295" s="61"/>
    </row>
    <row r="296" spans="25:54">
      <c r="Y296" s="105"/>
      <c r="BA296" s="61"/>
      <c r="BB296" s="61"/>
    </row>
    <row r="297" spans="25:54">
      <c r="Y297" s="107"/>
      <c r="BA297" s="61"/>
      <c r="BB297" s="61"/>
    </row>
    <row r="298" spans="25:54">
      <c r="Y298" s="105"/>
      <c r="BA298" s="61"/>
      <c r="BB298" s="61"/>
    </row>
    <row r="299" spans="25:54">
      <c r="Y299" s="107"/>
      <c r="BA299" s="61"/>
      <c r="BB299" s="61"/>
    </row>
    <row r="300" spans="25:54">
      <c r="Y300" s="105"/>
      <c r="BA300" s="61"/>
      <c r="BB300" s="61"/>
    </row>
    <row r="301" spans="25:54">
      <c r="Y301" s="107"/>
      <c r="BA301" s="61"/>
      <c r="BB301" s="61"/>
    </row>
    <row r="302" spans="25:54">
      <c r="Y302" s="105"/>
      <c r="BA302" s="61"/>
      <c r="BB302" s="61"/>
    </row>
    <row r="303" spans="25:54">
      <c r="Y303" s="105"/>
      <c r="BA303" s="61"/>
      <c r="BB303" s="61"/>
    </row>
    <row r="304" spans="25:54">
      <c r="Y304" s="105"/>
      <c r="BA304" s="61"/>
      <c r="BB304" s="61"/>
    </row>
    <row r="305" spans="25:54">
      <c r="Y305" s="107"/>
      <c r="BA305" s="61"/>
      <c r="BB305" s="61"/>
    </row>
    <row r="306" spans="25:54">
      <c r="Y306" s="108"/>
      <c r="BA306" s="61"/>
      <c r="BB306" s="61"/>
    </row>
    <row r="307" spans="25:54">
      <c r="Y307" s="105"/>
      <c r="BA307" s="61"/>
      <c r="BB307" s="61"/>
    </row>
    <row r="308" spans="25:54">
      <c r="Y308" s="107"/>
      <c r="BA308" s="61"/>
      <c r="BB308" s="61"/>
    </row>
    <row r="309" spans="25:54">
      <c r="Y309" s="107"/>
      <c r="BA309" s="61"/>
      <c r="BB309" s="61"/>
    </row>
    <row r="310" spans="25:54">
      <c r="Y310" s="107"/>
      <c r="BA310" s="61"/>
      <c r="BB310" s="61"/>
    </row>
    <row r="311" spans="25:54">
      <c r="Y311" s="107"/>
      <c r="BA311" s="61"/>
      <c r="BB311" s="61"/>
    </row>
    <row r="312" spans="25:54">
      <c r="Y312" s="107"/>
      <c r="BA312" s="61"/>
      <c r="BB312" s="61"/>
    </row>
    <row r="313" spans="25:54">
      <c r="Y313" s="107"/>
      <c r="BA313" s="61"/>
      <c r="BB313" s="61"/>
    </row>
    <row r="314" spans="25:54">
      <c r="Y314" s="107"/>
      <c r="BA314" s="61"/>
      <c r="BB314" s="61"/>
    </row>
    <row r="315" spans="25:54">
      <c r="Y315" s="107"/>
      <c r="BA315" s="61"/>
      <c r="BB315" s="61"/>
    </row>
    <row r="316" spans="25:54">
      <c r="Y316" s="107"/>
      <c r="BA316" s="61"/>
      <c r="BB316" s="61"/>
    </row>
    <row r="317" spans="25:54">
      <c r="Y317" s="105"/>
      <c r="BA317" s="61"/>
      <c r="BB317" s="61"/>
    </row>
    <row r="318" spans="25:54">
      <c r="Y318" s="105"/>
      <c r="BA318" s="61"/>
      <c r="BB318" s="61"/>
    </row>
    <row r="319" spans="25:54">
      <c r="Y319" s="108"/>
      <c r="BA319" s="61"/>
      <c r="BB319" s="61"/>
    </row>
    <row r="320" spans="25:54">
      <c r="Y320" s="105"/>
      <c r="BA320" s="61"/>
      <c r="BB320" s="61"/>
    </row>
    <row r="321" spans="25:54">
      <c r="Y321" s="105"/>
      <c r="BA321" s="61"/>
      <c r="BB321" s="61"/>
    </row>
    <row r="322" spans="25:54">
      <c r="Y322" s="105"/>
      <c r="BA322" s="61"/>
      <c r="BB322" s="61"/>
    </row>
    <row r="323" spans="25:54">
      <c r="Y323" s="105"/>
      <c r="BA323" s="61"/>
      <c r="BB323" s="61"/>
    </row>
    <row r="324" spans="25:54">
      <c r="Y324" s="108"/>
      <c r="BA324" s="61"/>
      <c r="BB324" s="61"/>
    </row>
    <row r="325" spans="25:54">
      <c r="Y325" s="105"/>
      <c r="BA325" s="61"/>
      <c r="BB325" s="61"/>
    </row>
    <row r="326" spans="25:54">
      <c r="Y326" s="107"/>
      <c r="BA326" s="61"/>
      <c r="BB326" s="61"/>
    </row>
    <row r="327" spans="25:54">
      <c r="Y327" s="107"/>
      <c r="BA327" s="61"/>
      <c r="BB327" s="61"/>
    </row>
    <row r="328" spans="25:54">
      <c r="Y328" s="107"/>
      <c r="BA328" s="61"/>
      <c r="BB328" s="61"/>
    </row>
    <row r="329" spans="25:54">
      <c r="Y329" s="108"/>
      <c r="BA329" s="61"/>
      <c r="BB329" s="61"/>
    </row>
    <row r="330" spans="25:54">
      <c r="Y330" s="105"/>
      <c r="BA330" s="61"/>
      <c r="BB330" s="61"/>
    </row>
    <row r="331" spans="25:54">
      <c r="Y331" s="105"/>
      <c r="BA331" s="61"/>
      <c r="BB331" s="61"/>
    </row>
    <row r="332" spans="25:54">
      <c r="Y332" s="107"/>
      <c r="BA332" s="61"/>
      <c r="BB332" s="61"/>
    </row>
    <row r="333" spans="25:54">
      <c r="Y333" s="105"/>
      <c r="BA333" s="61"/>
      <c r="BB333" s="61"/>
    </row>
    <row r="334" spans="25:54">
      <c r="Y334" s="105"/>
      <c r="BA334" s="61"/>
      <c r="BB334" s="61"/>
    </row>
    <row r="335" spans="25:54">
      <c r="Y335" s="107"/>
      <c r="BA335" s="61"/>
      <c r="BB335" s="61"/>
    </row>
    <row r="336" spans="25:54">
      <c r="Y336" s="107"/>
      <c r="BA336" s="61"/>
      <c r="BB336" s="61"/>
    </row>
    <row r="337" spans="25:54">
      <c r="Y337" s="105"/>
      <c r="BA337" s="61"/>
      <c r="BB337" s="61"/>
    </row>
    <row r="338" spans="25:54">
      <c r="Y338" s="107"/>
      <c r="BA338" s="61"/>
      <c r="BB338" s="61"/>
    </row>
    <row r="339" spans="25:54">
      <c r="Y339" s="107"/>
      <c r="BA339" s="61"/>
      <c r="BB339" s="61"/>
    </row>
    <row r="340" spans="25:54">
      <c r="Y340" s="107"/>
      <c r="BA340" s="61"/>
      <c r="BB340" s="61"/>
    </row>
    <row r="341" spans="25:54">
      <c r="Y341" s="105"/>
      <c r="BA341" s="61"/>
      <c r="BB341" s="61"/>
    </row>
    <row r="342" spans="25:54">
      <c r="Y342" s="107"/>
      <c r="BA342" s="61"/>
      <c r="BB342" s="61"/>
    </row>
    <row r="343" spans="25:54">
      <c r="Y343" s="107"/>
      <c r="BA343" s="61"/>
      <c r="BB343" s="61"/>
    </row>
    <row r="344" spans="25:54">
      <c r="Y344" s="107"/>
      <c r="BA344" s="61"/>
      <c r="BB344" s="61"/>
    </row>
    <row r="345" spans="25:54">
      <c r="Y345" s="107"/>
      <c r="BA345" s="61"/>
      <c r="BB345" s="61"/>
    </row>
    <row r="346" spans="25:54">
      <c r="Y346" s="108"/>
      <c r="BA346" s="61"/>
      <c r="BB346" s="61"/>
    </row>
    <row r="347" spans="25:54">
      <c r="Y347" s="105"/>
      <c r="BA347" s="61"/>
      <c r="BB347" s="61"/>
    </row>
    <row r="348" spans="25:54">
      <c r="Y348" s="105"/>
      <c r="BA348" s="61"/>
      <c r="BB348" s="61"/>
    </row>
    <row r="349" spans="25:54">
      <c r="Y349" s="108"/>
      <c r="BA349" s="61"/>
      <c r="BB349" s="61"/>
    </row>
    <row r="350" spans="25:54">
      <c r="Y350" s="107"/>
      <c r="BA350" s="61"/>
      <c r="BB350" s="61"/>
    </row>
    <row r="351" spans="25:54">
      <c r="Y351" s="105"/>
      <c r="BA351" s="61"/>
      <c r="BB351" s="61"/>
    </row>
    <row r="352" spans="25:54">
      <c r="Y352" s="105"/>
      <c r="BA352" s="61"/>
      <c r="BB352" s="61"/>
    </row>
    <row r="353" spans="25:54">
      <c r="Y353" s="105"/>
      <c r="BA353" s="61"/>
      <c r="BB353" s="61"/>
    </row>
    <row r="354" spans="25:54">
      <c r="Y354" s="108"/>
      <c r="BA354" s="61"/>
      <c r="BB354" s="61"/>
    </row>
    <row r="355" spans="25:54">
      <c r="Y355" s="105"/>
      <c r="BA355" s="61"/>
      <c r="BB355" s="61"/>
    </row>
    <row r="356" spans="25:54">
      <c r="Y356" s="108"/>
      <c r="BA356" s="61"/>
      <c r="BB356" s="61"/>
    </row>
    <row r="357" spans="25:54">
      <c r="Y357" s="107"/>
      <c r="BA357" s="61"/>
      <c r="BB357" s="61"/>
    </row>
    <row r="358" spans="25:54">
      <c r="Y358" s="105"/>
      <c r="BA358" s="61"/>
      <c r="BB358" s="61"/>
    </row>
    <row r="359" spans="25:54">
      <c r="Y359" s="107"/>
      <c r="BA359" s="61"/>
      <c r="BB359" s="61"/>
    </row>
    <row r="360" spans="25:54">
      <c r="Y360" s="107"/>
      <c r="BA360" s="61"/>
      <c r="BB360" s="61"/>
    </row>
    <row r="361" spans="25:54">
      <c r="Y361" s="107"/>
      <c r="BA361" s="61"/>
      <c r="BB361" s="61"/>
    </row>
    <row r="362" spans="25:54">
      <c r="Y362" s="107"/>
      <c r="BA362" s="61"/>
      <c r="BB362" s="61"/>
    </row>
    <row r="363" spans="25:54">
      <c r="Y363" s="107"/>
      <c r="BA363" s="61"/>
      <c r="BB363" s="61"/>
    </row>
    <row r="364" spans="25:54">
      <c r="Y364" s="106"/>
      <c r="BA364" s="61"/>
      <c r="BB364" s="61"/>
    </row>
    <row r="365" spans="25:54">
      <c r="Y365" s="105"/>
      <c r="BA365" s="61"/>
      <c r="BB365" s="61"/>
    </row>
    <row r="366" spans="25:54">
      <c r="Y366" s="105"/>
      <c r="BA366" s="61"/>
      <c r="BB366" s="61"/>
    </row>
    <row r="367" spans="25:54">
      <c r="Y367" s="105"/>
      <c r="BA367" s="61"/>
      <c r="BB367" s="61"/>
    </row>
    <row r="368" spans="25:54">
      <c r="Y368" s="105"/>
      <c r="BA368" s="61"/>
      <c r="BB368" s="61"/>
    </row>
    <row r="369" spans="25:54">
      <c r="Y369" s="106"/>
      <c r="BA369" s="61"/>
      <c r="BB369" s="61"/>
    </row>
    <row r="370" spans="25:54">
      <c r="Y370" s="105"/>
      <c r="BA370" s="61"/>
      <c r="BB370" s="61"/>
    </row>
    <row r="371" spans="25:54">
      <c r="Y371" s="105"/>
      <c r="BA371" s="61"/>
      <c r="BB371" s="61"/>
    </row>
    <row r="372" spans="25:54">
      <c r="Y372" s="105"/>
      <c r="BA372" s="61"/>
      <c r="BB372" s="61"/>
    </row>
    <row r="373" spans="25:54">
      <c r="Y373" s="105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7"/>
      <c r="BA376" s="61"/>
      <c r="BB376" s="61"/>
    </row>
    <row r="377" spans="25:54">
      <c r="Y377" s="107"/>
      <c r="BA377" s="61"/>
      <c r="BB377" s="61"/>
    </row>
    <row r="378" spans="25:54">
      <c r="Y378" s="105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6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5"/>
      <c r="BA385" s="61"/>
      <c r="BB385" s="61"/>
    </row>
    <row r="386" spans="25:54">
      <c r="Y386" s="106"/>
      <c r="BA386" s="61"/>
      <c r="BB386" s="61"/>
    </row>
    <row r="387" spans="25:54">
      <c r="Y387" s="60"/>
      <c r="BA387" s="61"/>
      <c r="BB387" s="61"/>
    </row>
    <row r="388" spans="25:54">
      <c r="Y388" s="106"/>
      <c r="BA388" s="61"/>
      <c r="BB388" s="61"/>
    </row>
    <row r="389" spans="25:54">
      <c r="Y389" s="105"/>
      <c r="BA389" s="61"/>
      <c r="BB389" s="61"/>
    </row>
    <row r="390" spans="25:54">
      <c r="Y390" s="105"/>
      <c r="BA390" s="61"/>
      <c r="BB390" s="61"/>
    </row>
    <row r="391" spans="25:54">
      <c r="Y391" s="104"/>
      <c r="BA391" s="61"/>
      <c r="BB391" s="61"/>
    </row>
    <row r="392" spans="25:54">
      <c r="Y392" s="106"/>
      <c r="BA392" s="61"/>
      <c r="BB392" s="61"/>
    </row>
    <row r="393" spans="25:54">
      <c r="Y393" s="60"/>
      <c r="BA393" s="61"/>
      <c r="BB393" s="61"/>
    </row>
    <row r="394" spans="25:54">
      <c r="Y394" s="60"/>
      <c r="BA394" s="61"/>
      <c r="BB394" s="61"/>
    </row>
    <row r="395" spans="25:54">
      <c r="Y395" s="60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6"/>
      <c r="BA398" s="61"/>
      <c r="BB398" s="61"/>
    </row>
    <row r="399" spans="25:54">
      <c r="Y399" s="106"/>
      <c r="BA399" s="61"/>
      <c r="BB399" s="61"/>
    </row>
    <row r="400" spans="25:54">
      <c r="Y400" s="106"/>
      <c r="BA400" s="61"/>
      <c r="BB400" s="61"/>
    </row>
    <row r="401" spans="25:54">
      <c r="Y401" s="106"/>
      <c r="BA401" s="61"/>
      <c r="BB401" s="61"/>
    </row>
    <row r="402" spans="25:54">
      <c r="Y402" s="107"/>
      <c r="BA402" s="61"/>
      <c r="BB402" s="61"/>
    </row>
    <row r="403" spans="25:54">
      <c r="Y403" s="107"/>
      <c r="BA403" s="61"/>
      <c r="BB403" s="61"/>
    </row>
    <row r="404" spans="25:54">
      <c r="Y404" s="107"/>
      <c r="BA404" s="61"/>
      <c r="BB404" s="61"/>
    </row>
    <row r="405" spans="25:54">
      <c r="Y405" s="105"/>
      <c r="BA405" s="61"/>
      <c r="BB405" s="61"/>
    </row>
    <row r="406" spans="25:54">
      <c r="Y406" s="107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6"/>
      <c r="BA411" s="61"/>
      <c r="BB411" s="61"/>
    </row>
    <row r="412" spans="25:54">
      <c r="Y412" s="106"/>
      <c r="BA412" s="61"/>
      <c r="BB412" s="61"/>
    </row>
    <row r="413" spans="25:54">
      <c r="Y413" s="106"/>
      <c r="BA413" s="61"/>
      <c r="BB413" s="61"/>
    </row>
    <row r="414" spans="25:54">
      <c r="Y414" s="106"/>
      <c r="BA414" s="61"/>
      <c r="BB414" s="61"/>
    </row>
    <row r="415" spans="25:54">
      <c r="Y415" s="106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60"/>
      <c r="BA432" s="61"/>
      <c r="BB432" s="61"/>
    </row>
    <row r="433" spans="25:54">
      <c r="Y433" s="60"/>
      <c r="BA433" s="61"/>
      <c r="BB433" s="61"/>
    </row>
    <row r="434" spans="25:54">
      <c r="Y434" s="60"/>
      <c r="BA434" s="61"/>
      <c r="BB434" s="61"/>
    </row>
    <row r="435" spans="25:54">
      <c r="Y435" s="60"/>
      <c r="BA435" s="61"/>
      <c r="BB435" s="61"/>
    </row>
    <row r="436" spans="25:54">
      <c r="Y436" s="60"/>
      <c r="BA436" s="61"/>
      <c r="BB436" s="61"/>
    </row>
    <row r="437" spans="25:54">
      <c r="Y437" s="60"/>
      <c r="BA437" s="61"/>
      <c r="BB437" s="61"/>
    </row>
    <row r="438" spans="25:54">
      <c r="Y438" s="60"/>
      <c r="BA438" s="61"/>
      <c r="BB438" s="61"/>
    </row>
    <row r="439" spans="25:54">
      <c r="Y439" s="60"/>
      <c r="BA439" s="61"/>
      <c r="BB439" s="61"/>
    </row>
    <row r="440" spans="25:54">
      <c r="Y440" s="60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BB443" s="102" t="s">
        <v>882</v>
      </c>
    </row>
  </sheetData>
  <autoFilter ref="G1:G443"/>
  <mergeCells count="26">
    <mergeCell ref="DD3:DK3"/>
    <mergeCell ref="H3:H4"/>
    <mergeCell ref="CF3:CQ3"/>
    <mergeCell ref="J26:J29"/>
    <mergeCell ref="J21:J24"/>
    <mergeCell ref="J3:J4"/>
    <mergeCell ref="J11:J14"/>
    <mergeCell ref="I3:I4"/>
    <mergeCell ref="C249:CL249"/>
    <mergeCell ref="C247:AL247"/>
    <mergeCell ref="J152:J154"/>
    <mergeCell ref="C240:W240"/>
    <mergeCell ref="C248:CL248"/>
    <mergeCell ref="B2:DC2"/>
    <mergeCell ref="CR3:DC3"/>
    <mergeCell ref="BH3:BS3"/>
    <mergeCell ref="AO3:AU3"/>
    <mergeCell ref="L3:W3"/>
    <mergeCell ref="AV3:BG3"/>
    <mergeCell ref="X3:AI3"/>
    <mergeCell ref="B3:C3"/>
    <mergeCell ref="BT3:CE3"/>
    <mergeCell ref="D3:D4"/>
    <mergeCell ref="G3:G4"/>
    <mergeCell ref="E3:E4"/>
    <mergeCell ref="F3:F4"/>
  </mergeCells>
  <phoneticPr fontId="0" type="noConversion"/>
  <hyperlinks>
    <hyperlink ref="M137" r:id="rId1" display="=@REDONDEAR(+(L66+N66)/2;2)"/>
    <hyperlink ref="M102" r:id="rId2" display="=@REDONDEAR(+(L66+N66)/2;2)"/>
    <hyperlink ref="M65" r:id="rId3" display="=@REDONDEAR(+(L66+N66)/2;2)"/>
    <hyperlink ref="M333" r:id="rId4" display="A:\comunes\aviso.asp"/>
    <hyperlink ref="L333" r:id="rId5" display="A:\mapa\mapae.asp"/>
    <hyperlink ref="K333" r:id="rId6" display="A:\english\default.asp"/>
    <hyperlink ref="J333" r:id="rId7" display="A:\comunes\p0004.asp"/>
  </hyperlinks>
  <printOptions horizontalCentered="1"/>
  <pageMargins left="0.19685039370078741" right="0.19685039370078741" top="0.78740157480314965" bottom="0.59055118110236227" header="0.62992125984251968" footer="0.23622047244094491"/>
  <pageSetup paperSize="5" scale="50" fitToHeight="6" orientation="landscape" horizontalDpi="1200" verticalDpi="1200" r:id="rId8"/>
  <headerFooter alignWithMargins="0">
    <oddHeader>&amp;C&amp;11COMISIÓN PERMANENTE DE ENCUESTA Y SEGUIMIENTO DE PRECIOSREDETERMINACIÓN DE PRECIOS s/DECRETO ACUERDO Nº 23/3(S.O.)-2002  y  Res. Nº 795/3(S.O.)</oddHeader>
    <oddFooter>Página &amp;P</oddFooter>
  </headerFooter>
  <rowBreaks count="5" manualBreakCount="5">
    <brk id="48" min="1" max="115" man="1"/>
    <brk id="85" min="1" max="115" man="1"/>
    <brk id="128" min="1" max="115" man="1"/>
    <brk id="167" min="1" max="115" man="1"/>
    <brk id="210" min="1" max="115" man="1"/>
  </rowBreaks>
  <ignoredErrors>
    <ignoredError sqref="B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83"/>
  <sheetViews>
    <sheetView view="pageBreakPreview" topLeftCell="A60" zoomScale="70" zoomScaleSheetLayoutView="70" workbookViewId="0">
      <selection activeCell="D83" sqref="D83"/>
    </sheetView>
  </sheetViews>
  <sheetFormatPr baseColWidth="10" defaultRowHeight="12.75"/>
  <cols>
    <col min="1" max="1" width="3.28515625" customWidth="1"/>
    <col min="2" max="2" width="57.5703125" customWidth="1"/>
    <col min="3" max="3" width="11.28515625" customWidth="1"/>
    <col min="4" max="4" width="10.7109375" customWidth="1"/>
    <col min="5" max="5" width="10.42578125" customWidth="1"/>
    <col min="6" max="6" width="10.85546875" customWidth="1"/>
    <col min="7" max="7" width="11.28515625" customWidth="1"/>
    <col min="8" max="8" width="10" customWidth="1"/>
    <col min="9" max="9" width="11.7109375" customWidth="1"/>
    <col min="10" max="13" width="11" customWidth="1"/>
    <col min="14" max="14" width="11.2851562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3" t="s">
        <v>1031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s="2" customFormat="1" ht="15.75">
      <c r="B5" s="3" t="s">
        <v>1032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9" spans="2:25" s="2" customFormat="1" ht="15.75" hidden="1">
      <c r="B9" s="2566" t="s">
        <v>1033</v>
      </c>
      <c r="C9" s="2568">
        <v>2015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25" s="2" customFormat="1" ht="16.5" hidden="1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 hidden="1">
      <c r="B11" s="544" t="s">
        <v>1035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6">
        <v>407.92856689791023</v>
      </c>
      <c r="M11" s="546">
        <v>407.92856689791023</v>
      </c>
      <c r="N11" s="1640">
        <v>419.70967992780572</v>
      </c>
    </row>
    <row r="12" spans="2:25" s="2" customFormat="1" ht="15.75" hidden="1">
      <c r="B12" s="566" t="s">
        <v>996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1633">
        <f>+M11/L11</f>
        <v>1</v>
      </c>
      <c r="N12" s="1643">
        <f>+N11/M11</f>
        <v>1.0288803334355445</v>
      </c>
    </row>
    <row r="13" spans="2:25" s="2" customFormat="1" ht="16.5" hidden="1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hidden="1" thickBot="1">
      <c r="B14" s="1243" t="s">
        <v>1034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>
        <v>1673.5</v>
      </c>
      <c r="M14" s="337">
        <f>+M12*L14</f>
        <v>1673.5</v>
      </c>
      <c r="N14" s="338">
        <f>+N12*M14</f>
        <v>1721.8312380043837</v>
      </c>
      <c r="P14" s="50">
        <v>1044.51</v>
      </c>
      <c r="Q14" s="50">
        <v>1069.9319365079366</v>
      </c>
      <c r="R14" s="50">
        <v>1074.3531428571432</v>
      </c>
      <c r="S14" s="50">
        <v>1492.1571428571433</v>
      </c>
      <c r="T14" s="50">
        <v>1685.584920634921</v>
      </c>
      <c r="U14" s="50">
        <v>1604.897904761905</v>
      </c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66" t="s">
        <v>1033</v>
      </c>
      <c r="C16" s="2568">
        <v>2016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4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4" s="2" customFormat="1" ht="31.5">
      <c r="B18" s="544" t="s">
        <v>1035</v>
      </c>
      <c r="C18" s="546">
        <v>421.98552411810698</v>
      </c>
      <c r="D18" s="546">
        <v>422.5310318095228</v>
      </c>
      <c r="E18" s="546">
        <v>423.88495641942723</v>
      </c>
      <c r="F18" s="545">
        <v>439.33</v>
      </c>
      <c r="G18" s="546">
        <v>478.49942603451973</v>
      </c>
      <c r="H18" s="546">
        <v>480.02013006600356</v>
      </c>
      <c r="I18" s="546">
        <v>499.0422496494682</v>
      </c>
      <c r="J18" s="546">
        <v>523.89122527436086</v>
      </c>
      <c r="K18" s="546">
        <v>538.22</v>
      </c>
      <c r="L18" s="546">
        <v>541.46</v>
      </c>
      <c r="M18" s="546">
        <v>541.45634129986172</v>
      </c>
      <c r="N18" s="1640">
        <v>541.76673633446774</v>
      </c>
    </row>
    <row r="19" spans="2:14" s="2" customFormat="1" ht="15.75">
      <c r="B19" s="566" t="s">
        <v>996</v>
      </c>
      <c r="C19" s="1633">
        <f>+C18/N11</f>
        <v>1.0054224248311183</v>
      </c>
      <c r="D19" s="1633">
        <f>+D18/C18</f>
        <v>1.001292716598646</v>
      </c>
      <c r="E19" s="1633">
        <f>+E18/D18</f>
        <v>1.0032043199385998</v>
      </c>
      <c r="F19" s="1633">
        <f>+F18/E18</f>
        <v>1.0364368759652092</v>
      </c>
      <c r="G19" s="1633">
        <f>+G18/F18</f>
        <v>1.0891571848827071</v>
      </c>
      <c r="H19" s="1633">
        <f>+H18/G18</f>
        <v>1.0031780686637106</v>
      </c>
      <c r="I19" s="1633">
        <f t="shared" ref="I19:N19" si="0">+I18/H18</f>
        <v>1.0396277539045062</v>
      </c>
      <c r="J19" s="1633">
        <f t="shared" si="0"/>
        <v>1.0497933304090923</v>
      </c>
      <c r="K19" s="1633">
        <f t="shared" si="0"/>
        <v>1.0273506675324353</v>
      </c>
      <c r="L19" s="1633">
        <f t="shared" si="0"/>
        <v>1.006019843186801</v>
      </c>
      <c r="M19" s="1633">
        <f t="shared" si="0"/>
        <v>0.99999324289857361</v>
      </c>
      <c r="N19" s="1643">
        <f t="shared" si="0"/>
        <v>1.0005732595796382</v>
      </c>
    </row>
    <row r="20" spans="2:14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4" s="2" customFormat="1" ht="16.5" thickBot="1">
      <c r="B21" s="1243" t="s">
        <v>1034</v>
      </c>
      <c r="C21" s="337">
        <v>100</v>
      </c>
      <c r="D21" s="337">
        <v>100.1292716598646</v>
      </c>
      <c r="E21" s="337">
        <v>100.45011788148179</v>
      </c>
      <c r="F21" s="337">
        <v>104.11020636741998</v>
      </c>
      <c r="G21" s="337">
        <v>113.39237928469683</v>
      </c>
      <c r="H21" s="337">
        <v>113.75274805200512</v>
      </c>
      <c r="I21" s="337">
        <v>118.26051395777128</v>
      </c>
      <c r="J21" s="337">
        <v>124.14909880361965</v>
      </c>
      <c r="K21" s="337">
        <v>127.54465952944892</v>
      </c>
      <c r="L21" s="337">
        <v>128.31245837913013</v>
      </c>
      <c r="M21" s="337">
        <v>128.31159135883462</v>
      </c>
      <c r="N21" s="338">
        <v>128.3851472077597</v>
      </c>
    </row>
    <row r="22" spans="2:14" ht="13.5" thickBot="1"/>
    <row r="23" spans="2:14" s="2" customFormat="1" ht="15.75">
      <c r="B23" s="2566" t="s">
        <v>1033</v>
      </c>
      <c r="C23" s="2568">
        <v>2017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4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4" s="2" customFormat="1" ht="31.5">
      <c r="B25" s="544" t="s">
        <v>1035</v>
      </c>
      <c r="C25" s="546">
        <v>541.76673633446774</v>
      </c>
      <c r="D25" s="546">
        <v>543.29207312766198</v>
      </c>
      <c r="E25" s="546">
        <v>543.29207312766198</v>
      </c>
      <c r="F25" s="546">
        <v>543.29</v>
      </c>
      <c r="G25" s="546">
        <v>570.57324865058649</v>
      </c>
      <c r="H25" s="546">
        <v>569.04791185739214</v>
      </c>
      <c r="I25" s="545">
        <v>564.64678823238194</v>
      </c>
      <c r="J25" s="545">
        <v>568.31477731669963</v>
      </c>
      <c r="K25" s="545">
        <v>568.31477731669963</v>
      </c>
      <c r="L25" s="545">
        <v>568.31477731669963</v>
      </c>
      <c r="M25" s="545">
        <v>568.31477731669963</v>
      </c>
      <c r="N25" s="548">
        <v>568.31477731669963</v>
      </c>
    </row>
    <row r="26" spans="2:14" s="2" customFormat="1" ht="15.75">
      <c r="B26" s="566" t="s">
        <v>996</v>
      </c>
      <c r="C26" s="1633">
        <f>+C25/N18</f>
        <v>1</v>
      </c>
      <c r="D26" s="1633">
        <f t="shared" ref="D26:N26" si="1">+D25/C25</f>
        <v>1.002815486243239</v>
      </c>
      <c r="E26" s="1633">
        <f t="shared" si="1"/>
        <v>1</v>
      </c>
      <c r="F26" s="1633">
        <f t="shared" si="1"/>
        <v>0.99999618413784308</v>
      </c>
      <c r="G26" s="1633">
        <f t="shared" si="1"/>
        <v>1.0502185732308464</v>
      </c>
      <c r="H26" s="1633">
        <f t="shared" si="1"/>
        <v>0.99732665911554419</v>
      </c>
      <c r="I26" s="1633">
        <f t="shared" si="1"/>
        <v>0.99226581183534301</v>
      </c>
      <c r="J26" s="1633">
        <f t="shared" si="1"/>
        <v>1.0064960771242502</v>
      </c>
      <c r="K26" s="1633">
        <f t="shared" si="1"/>
        <v>1</v>
      </c>
      <c r="L26" s="1633">
        <f t="shared" si="1"/>
        <v>1</v>
      </c>
      <c r="M26" s="1633">
        <f t="shared" si="1"/>
        <v>1</v>
      </c>
      <c r="N26" s="658">
        <f t="shared" si="1"/>
        <v>1</v>
      </c>
    </row>
    <row r="27" spans="2:14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4" s="2" customFormat="1" ht="16.5" thickBot="1">
      <c r="B28" s="1243" t="s">
        <v>1034</v>
      </c>
      <c r="C28" s="337">
        <f>+N21*C26</f>
        <v>128.3851472077597</v>
      </c>
      <c r="D28" s="337">
        <f t="shared" ref="D28:I28" si="2">+C28*D26</f>
        <v>128.74661382355936</v>
      </c>
      <c r="E28" s="337">
        <f t="shared" si="2"/>
        <v>128.74661382355936</v>
      </c>
      <c r="F28" s="337">
        <f t="shared" si="2"/>
        <v>128.74612254422783</v>
      </c>
      <c r="G28" s="337">
        <f t="shared" si="2"/>
        <v>135.21156912740267</v>
      </c>
      <c r="H28" s="337">
        <f t="shared" si="2"/>
        <v>134.85010251160296</v>
      </c>
      <c r="I28" s="337">
        <f t="shared" si="2"/>
        <v>133.80714644475492</v>
      </c>
      <c r="J28" s="337">
        <f>+I28*J26</f>
        <v>134.67636798783587</v>
      </c>
      <c r="K28" s="337">
        <f>+J28*K26</f>
        <v>134.67636798783587</v>
      </c>
      <c r="L28" s="337">
        <f>+K28*L26</f>
        <v>134.67636798783587</v>
      </c>
      <c r="M28" s="337">
        <f>+L28*M26</f>
        <v>134.67636798783587</v>
      </c>
      <c r="N28" s="338">
        <f>+M28*N26</f>
        <v>134.67636798783587</v>
      </c>
    </row>
    <row r="29" spans="2:14" ht="13.5" thickBot="1"/>
    <row r="30" spans="2:14" s="2" customFormat="1" ht="15.75">
      <c r="B30" s="2566" t="s">
        <v>1115</v>
      </c>
      <c r="C30" s="2568">
        <v>2018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4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4" s="2" customFormat="1" ht="31.5">
      <c r="B32" s="544" t="s">
        <v>1035</v>
      </c>
      <c r="C32" s="546">
        <v>569.03748814354333</v>
      </c>
      <c r="D32" s="546">
        <v>569.48454964861014</v>
      </c>
      <c r="E32" s="546">
        <v>569.86906887058467</v>
      </c>
      <c r="F32" s="546">
        <v>597.72514969005931</v>
      </c>
      <c r="G32" s="546">
        <v>612.23797413854277</v>
      </c>
      <c r="H32" s="546">
        <v>601.4</v>
      </c>
      <c r="I32" s="546">
        <v>639.73359096230297</v>
      </c>
      <c r="J32" s="545">
        <v>672.67149444726851</v>
      </c>
      <c r="K32" s="545">
        <v>672.67149444726851</v>
      </c>
      <c r="L32" s="545">
        <v>672.67149444726851</v>
      </c>
      <c r="M32" s="545">
        <v>672.67149444726851</v>
      </c>
      <c r="N32" s="548">
        <v>672.67149444726851</v>
      </c>
    </row>
    <row r="33" spans="2:18" s="2" customFormat="1" ht="15.75">
      <c r="B33" s="566" t="s">
        <v>996</v>
      </c>
      <c r="C33" s="1633">
        <f>+C32/N25</f>
        <v>1.0012716734733804</v>
      </c>
      <c r="D33" s="1633">
        <f t="shared" ref="D33:N33" si="3">+D32/C32</f>
        <v>1.0007856450838157</v>
      </c>
      <c r="E33" s="1633">
        <f t="shared" si="3"/>
        <v>1.00067520571403</v>
      </c>
      <c r="F33" s="1633">
        <f t="shared" si="3"/>
        <v>1.0488815455007625</v>
      </c>
      <c r="G33" s="1633">
        <f t="shared" si="3"/>
        <v>1.0242800967234</v>
      </c>
      <c r="H33" s="1633">
        <f t="shared" si="3"/>
        <v>0.98229777538090068</v>
      </c>
      <c r="I33" s="1633">
        <f t="shared" si="3"/>
        <v>1.0637405902266428</v>
      </c>
      <c r="J33" s="1633">
        <f t="shared" si="3"/>
        <v>1.0514869063470929</v>
      </c>
      <c r="K33" s="1633">
        <f t="shared" si="3"/>
        <v>1</v>
      </c>
      <c r="L33" s="1633">
        <f t="shared" si="3"/>
        <v>1</v>
      </c>
      <c r="M33" s="1633">
        <f t="shared" si="3"/>
        <v>1</v>
      </c>
      <c r="N33" s="1643">
        <f t="shared" si="3"/>
        <v>1</v>
      </c>
      <c r="R33" s="2">
        <f>3*12</f>
        <v>36</v>
      </c>
    </row>
    <row r="34" spans="2:18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539"/>
      <c r="R34" s="2">
        <v>3300</v>
      </c>
    </row>
    <row r="35" spans="2:18" s="2" customFormat="1" ht="16.5" thickBot="1">
      <c r="B35" s="1243" t="s">
        <v>1034</v>
      </c>
      <c r="C35" s="337">
        <f>+N28*C33</f>
        <v>134.84763235249721</v>
      </c>
      <c r="D35" s="337">
        <f t="shared" ref="D35:N35" si="4">+C35*D33</f>
        <v>134.95357473191913</v>
      </c>
      <c r="E35" s="337">
        <f t="shared" si="4"/>
        <v>135.04469615670689</v>
      </c>
      <c r="F35" s="337">
        <f t="shared" si="4"/>
        <v>141.6458896165276</v>
      </c>
      <c r="G35" s="337">
        <f t="shared" si="4"/>
        <v>145.08506551688893</v>
      </c>
      <c r="H35" s="337">
        <f t="shared" si="4"/>
        <v>142.51673709823223</v>
      </c>
      <c r="I35" s="337">
        <f t="shared" si="4"/>
        <v>151.60083803804883</v>
      </c>
      <c r="J35" s="337">
        <f t="shared" si="4"/>
        <v>159.40629618825466</v>
      </c>
      <c r="K35" s="337">
        <f t="shared" si="4"/>
        <v>159.40629618825466</v>
      </c>
      <c r="L35" s="337">
        <f t="shared" si="4"/>
        <v>159.40629618825466</v>
      </c>
      <c r="M35" s="337">
        <f t="shared" si="4"/>
        <v>159.40629618825466</v>
      </c>
      <c r="N35" s="338">
        <f t="shared" si="4"/>
        <v>159.40629618825466</v>
      </c>
      <c r="R35" s="2">
        <f>+R33*R34</f>
        <v>118800</v>
      </c>
    </row>
    <row r="37" spans="2:18" ht="15.75">
      <c r="B37" s="132" t="s">
        <v>591</v>
      </c>
      <c r="C37" s="132"/>
      <c r="D37" s="2572" t="s">
        <v>592</v>
      </c>
      <c r="E37" s="2572"/>
      <c r="F37" s="2572"/>
      <c r="G37" s="2572"/>
      <c r="H37" s="2572"/>
      <c r="I37" s="2572"/>
      <c r="J37" s="2572"/>
      <c r="K37" s="2572"/>
      <c r="L37" s="2572"/>
      <c r="M37" s="2572"/>
      <c r="N37" s="2572"/>
      <c r="O37" s="2572"/>
    </row>
    <row r="38" spans="2:18" ht="15.75">
      <c r="B38" s="132" t="s">
        <v>593</v>
      </c>
      <c r="C38" s="132"/>
      <c r="D38" s="2572" t="s">
        <v>594</v>
      </c>
      <c r="E38" s="2572"/>
      <c r="F38" s="2572"/>
      <c r="G38" s="2572"/>
      <c r="H38" s="2572"/>
      <c r="I38" s="2572"/>
      <c r="J38" s="2572"/>
      <c r="K38" s="2572"/>
      <c r="L38" s="2572"/>
      <c r="M38" s="2572"/>
      <c r="N38" s="2572"/>
      <c r="O38" s="2572"/>
    </row>
    <row r="39" spans="2:18" ht="15.75">
      <c r="B39" s="132" t="s">
        <v>595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"/>
    </row>
    <row r="40" spans="2:18" ht="18">
      <c r="B40" s="2573" t="s">
        <v>1031</v>
      </c>
      <c r="C40" s="2573"/>
      <c r="D40" s="2573"/>
      <c r="E40" s="2573"/>
      <c r="F40" s="2573"/>
      <c r="G40" s="2573"/>
      <c r="H40" s="2573"/>
      <c r="I40" s="2573"/>
      <c r="J40" s="2573"/>
      <c r="K40" s="2573"/>
      <c r="L40" s="2573"/>
      <c r="M40" s="2573"/>
      <c r="N40" s="2573"/>
      <c r="O40" s="2573"/>
    </row>
    <row r="41" spans="2:18" ht="15.75">
      <c r="B41" s="3" t="s">
        <v>1032</v>
      </c>
      <c r="C41" s="3"/>
      <c r="D41" s="3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"/>
    </row>
    <row r="42" spans="2:18" ht="13.5" thickBot="1"/>
    <row r="43" spans="2:18" ht="15.75">
      <c r="B43" s="2566" t="s">
        <v>1115</v>
      </c>
      <c r="C43" s="2568">
        <v>2019</v>
      </c>
      <c r="D43" s="2569"/>
      <c r="E43" s="2569"/>
      <c r="F43" s="2569"/>
      <c r="G43" s="2569"/>
      <c r="H43" s="2569"/>
      <c r="I43" s="2569"/>
      <c r="J43" s="2569"/>
      <c r="K43" s="2569"/>
      <c r="L43" s="2569"/>
      <c r="M43" s="2570"/>
      <c r="N43" s="2571"/>
      <c r="R43">
        <v>40000</v>
      </c>
    </row>
    <row r="44" spans="2:18" ht="16.5" thickBot="1">
      <c r="B44" s="2567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  <c r="R44">
        <f>+R35/R43</f>
        <v>2.97</v>
      </c>
    </row>
    <row r="45" spans="2:18" ht="51.75" customHeight="1">
      <c r="B45" s="544" t="s">
        <v>1035</v>
      </c>
      <c r="C45" s="1644">
        <v>701.17958248661785</v>
      </c>
      <c r="D45" s="1772">
        <v>701.17958248661785</v>
      </c>
      <c r="E45" s="1772">
        <v>701.17958248661785</v>
      </c>
      <c r="F45" s="1772">
        <v>701.17958248661785</v>
      </c>
      <c r="G45" s="1772">
        <v>701.17958248661785</v>
      </c>
      <c r="H45" s="546">
        <v>666.12500318397031</v>
      </c>
      <c r="I45" s="546">
        <v>707.9</v>
      </c>
      <c r="J45" s="1772">
        <v>707.9</v>
      </c>
      <c r="K45" s="1772">
        <v>707.9</v>
      </c>
      <c r="L45" s="1772">
        <v>707.9</v>
      </c>
      <c r="M45" s="545"/>
      <c r="N45" s="548"/>
      <c r="P45" t="s">
        <v>1156</v>
      </c>
    </row>
    <row r="46" spans="2:18" ht="15.75">
      <c r="B46" s="566" t="s">
        <v>996</v>
      </c>
      <c r="C46" s="1633">
        <f>+C45/N32</f>
        <v>1.0423804015402411</v>
      </c>
      <c r="D46" s="1633">
        <f t="shared" ref="D46:L46" si="5">+D45/C45</f>
        <v>1</v>
      </c>
      <c r="E46" s="1633">
        <f t="shared" si="5"/>
        <v>1</v>
      </c>
      <c r="F46" s="1633">
        <f t="shared" si="5"/>
        <v>1</v>
      </c>
      <c r="G46" s="1633">
        <f t="shared" si="5"/>
        <v>1</v>
      </c>
      <c r="H46" s="1633">
        <f t="shared" si="5"/>
        <v>0.95000627488562595</v>
      </c>
      <c r="I46" s="1633">
        <f t="shared" si="5"/>
        <v>1.0627134496023298</v>
      </c>
      <c r="J46" s="1633">
        <f t="shared" si="5"/>
        <v>1</v>
      </c>
      <c r="K46" s="1633">
        <f t="shared" si="5"/>
        <v>1</v>
      </c>
      <c r="L46" s="1633">
        <f t="shared" si="5"/>
        <v>1</v>
      </c>
      <c r="M46" s="1633"/>
      <c r="N46" s="1643"/>
    </row>
    <row r="47" spans="2:18" ht="16.5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539"/>
    </row>
    <row r="48" spans="2:18" ht="20.25" customHeight="1" thickBot="1">
      <c r="B48" s="1243" t="s">
        <v>1034</v>
      </c>
      <c r="C48" s="337">
        <f>+N35*C46</f>
        <v>166.1619990287555</v>
      </c>
      <c r="D48" s="337">
        <f t="shared" ref="D48:L48" si="6">+C48*D46</f>
        <v>166.1619990287555</v>
      </c>
      <c r="E48" s="337">
        <f t="shared" si="6"/>
        <v>166.1619990287555</v>
      </c>
      <c r="F48" s="337">
        <f t="shared" si="6"/>
        <v>166.1619990287555</v>
      </c>
      <c r="G48" s="337">
        <f t="shared" si="6"/>
        <v>166.1619990287555</v>
      </c>
      <c r="H48" s="337">
        <f t="shared" si="6"/>
        <v>157.85494172485701</v>
      </c>
      <c r="I48" s="337">
        <f t="shared" si="6"/>
        <v>167.75456965719755</v>
      </c>
      <c r="J48" s="337">
        <f t="shared" si="6"/>
        <v>167.75456965719755</v>
      </c>
      <c r="K48" s="337">
        <f t="shared" si="6"/>
        <v>167.75456965719755</v>
      </c>
      <c r="L48" s="337">
        <f t="shared" si="6"/>
        <v>167.75456965719755</v>
      </c>
      <c r="M48" s="337"/>
      <c r="N48" s="338"/>
    </row>
    <row r="49" spans="2:18" ht="13.5" thickBot="1"/>
    <row r="50" spans="2:18" ht="21" customHeight="1">
      <c r="B50" s="2592" t="s">
        <v>1164</v>
      </c>
      <c r="C50" s="2568">
        <v>2019</v>
      </c>
      <c r="D50" s="2569"/>
      <c r="E50" s="2569"/>
      <c r="F50" s="2569"/>
      <c r="G50" s="2569"/>
      <c r="H50" s="2569"/>
      <c r="I50" s="2569"/>
      <c r="J50" s="2569"/>
      <c r="K50" s="2569"/>
      <c r="L50" s="2569"/>
      <c r="M50" s="2570"/>
      <c r="N50" s="2571"/>
      <c r="R50">
        <v>40000</v>
      </c>
    </row>
    <row r="51" spans="2:18" ht="21" customHeight="1" thickBot="1">
      <c r="B51" s="2593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  <c r="R51">
        <f>+R48/R50</f>
        <v>0</v>
      </c>
    </row>
    <row r="52" spans="2:18" ht="21.75" customHeight="1">
      <c r="B52" s="544" t="s">
        <v>1163</v>
      </c>
      <c r="C52" s="1644">
        <v>1175.876452137551</v>
      </c>
      <c r="D52" s="546">
        <v>1184.9751825637607</v>
      </c>
      <c r="E52" s="546">
        <v>1280.6809335129235</v>
      </c>
      <c r="F52" s="546">
        <v>1318.945735964194</v>
      </c>
      <c r="G52" s="546">
        <v>1343.9141481400902</v>
      </c>
      <c r="H52" s="546">
        <v>1299.4787794256479</v>
      </c>
      <c r="I52" s="546">
        <v>1347.6073082183805</v>
      </c>
      <c r="J52" s="546">
        <v>1460.9169222268149</v>
      </c>
      <c r="K52" s="546">
        <v>1679.8023236273848</v>
      </c>
      <c r="L52" s="546">
        <v>1694.2839414666241</v>
      </c>
      <c r="M52" s="545">
        <v>1833.3833722149532</v>
      </c>
      <c r="N52" s="548">
        <v>1814.3091433978982</v>
      </c>
    </row>
    <row r="53" spans="2:18" ht="15.75">
      <c r="B53" s="566" t="s">
        <v>996</v>
      </c>
      <c r="C53" s="1633"/>
      <c r="D53" s="1633">
        <f>+D52/C52</f>
        <v>1.0077378285870677</v>
      </c>
      <c r="E53" s="1633">
        <f t="shared" ref="E53:L53" si="7">+E52/D52</f>
        <v>1.0807660382744033</v>
      </c>
      <c r="F53" s="1633">
        <f t="shared" si="7"/>
        <v>1.0298784821808111</v>
      </c>
      <c r="G53" s="1633">
        <f t="shared" si="7"/>
        <v>1.0189305833402187</v>
      </c>
      <c r="H53" s="1633">
        <f t="shared" si="7"/>
        <v>0.96693585763946399</v>
      </c>
      <c r="I53" s="1633">
        <f t="shared" si="7"/>
        <v>1.0370367947170362</v>
      </c>
      <c r="J53" s="1633">
        <f t="shared" si="7"/>
        <v>1.0840820714739494</v>
      </c>
      <c r="K53" s="1633">
        <f t="shared" si="7"/>
        <v>1.1498274118605813</v>
      </c>
      <c r="L53" s="1633">
        <f t="shared" si="7"/>
        <v>1.0086210250072565</v>
      </c>
      <c r="M53" s="1633">
        <f>+M52/L52</f>
        <v>1.0820992440192287</v>
      </c>
      <c r="N53" s="1643">
        <f>+N52/M52</f>
        <v>0.98959615915245758</v>
      </c>
    </row>
    <row r="54" spans="2:18" ht="16.5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539"/>
    </row>
    <row r="55" spans="2:18" ht="20.25" customHeight="1" thickBot="1">
      <c r="B55" s="1243" t="s">
        <v>1034</v>
      </c>
      <c r="C55" s="337">
        <v>166.16199902875547</v>
      </c>
      <c r="D55" s="337">
        <v>167.4477320949245</v>
      </c>
      <c r="E55" s="337">
        <v>180.97182203426522</v>
      </c>
      <c r="F55" s="337">
        <v>186.37898539414493</v>
      </c>
      <c r="G55" s="337">
        <v>189.90724831001418</v>
      </c>
      <c r="H55" s="337">
        <v>183.62812801659422</v>
      </c>
      <c r="I55" s="337">
        <v>190.42912529821848</v>
      </c>
      <c r="J55" s="337">
        <v>206.44080062226496</v>
      </c>
      <c r="K55" s="337">
        <v>237.3712914819252</v>
      </c>
      <c r="L55" s="337">
        <v>239.41767532179563</v>
      </c>
      <c r="M55" s="337">
        <v>259.0736854705562</v>
      </c>
      <c r="N55" s="338">
        <v>256.37832407913425</v>
      </c>
    </row>
    <row r="56" spans="2:18" ht="13.5" thickBot="1"/>
    <row r="57" spans="2:18" ht="21" customHeight="1">
      <c r="B57" s="2592" t="s">
        <v>1254</v>
      </c>
      <c r="C57" s="2568">
        <v>2020</v>
      </c>
      <c r="D57" s="2569"/>
      <c r="E57" s="2569"/>
      <c r="F57" s="2569"/>
      <c r="G57" s="2569"/>
      <c r="H57" s="2569"/>
      <c r="I57" s="2569"/>
      <c r="J57" s="2569"/>
      <c r="K57" s="2569"/>
      <c r="L57" s="2569"/>
      <c r="M57" s="2570"/>
      <c r="N57" s="2571"/>
      <c r="R57">
        <v>40000</v>
      </c>
    </row>
    <row r="58" spans="2:18" ht="21" customHeight="1" thickBot="1">
      <c r="B58" s="2593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  <c r="R58">
        <f>+R55/R57</f>
        <v>0</v>
      </c>
    </row>
    <row r="59" spans="2:18" ht="15.75">
      <c r="B59" s="544" t="s">
        <v>1163</v>
      </c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5"/>
      <c r="N59" s="548"/>
    </row>
    <row r="60" spans="2:18" ht="15.75">
      <c r="B60" s="566" t="s">
        <v>996</v>
      </c>
      <c r="C60" s="1867">
        <v>-1.6276120415720369E-2</v>
      </c>
      <c r="D60" s="1875">
        <v>3.8108116785809309E-3</v>
      </c>
      <c r="E60" s="1875">
        <v>0</v>
      </c>
      <c r="F60" s="1892">
        <v>4.3307377149994553E-2</v>
      </c>
      <c r="G60" s="1892">
        <v>0.16503020554440714</v>
      </c>
      <c r="H60" s="1892">
        <v>2.1448127455467342E-2</v>
      </c>
      <c r="I60" s="1892">
        <v>2.1448127455467342E-2</v>
      </c>
      <c r="J60" s="1892">
        <v>3.9806374598708581E-2</v>
      </c>
      <c r="K60" s="1892">
        <v>1.0200000000000001E-2</v>
      </c>
      <c r="L60" s="1892">
        <v>3.1576293040216329E-2</v>
      </c>
      <c r="M60" s="1892">
        <v>2.0899999999999998E-2</v>
      </c>
      <c r="N60" s="2394">
        <v>2.0787705422868053E-2</v>
      </c>
    </row>
    <row r="61" spans="2:18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539"/>
    </row>
    <row r="62" spans="2:18" ht="20.25" customHeight="1" thickBot="1">
      <c r="B62" s="1243" t="s">
        <v>1034</v>
      </c>
      <c r="C62" s="337">
        <f>+C60*N55+N55</f>
        <v>252.20547960444168</v>
      </c>
      <c r="D62" s="337">
        <f>+C62*D60+C62</f>
        <v>253.16658719152039</v>
      </c>
      <c r="E62" s="337">
        <f>+D62</f>
        <v>253.16658719152039</v>
      </c>
      <c r="F62" s="337">
        <f t="shared" ref="F62:N62" si="8">+E62*F60+E62</f>
        <v>264.13056806480057</v>
      </c>
      <c r="G62" s="337">
        <f t="shared" si="8"/>
        <v>307.72009000309561</v>
      </c>
      <c r="H62" s="337">
        <f t="shared" si="8"/>
        <v>314.32010971408988</v>
      </c>
      <c r="I62" s="337">
        <f t="shared" si="8"/>
        <v>321.06168748905418</v>
      </c>
      <c r="J62" s="337">
        <f t="shared" si="8"/>
        <v>333.84198929053696</v>
      </c>
      <c r="K62" s="337">
        <f t="shared" si="8"/>
        <v>337.24717758130043</v>
      </c>
      <c r="L62" s="337">
        <f t="shared" si="8"/>
        <v>347.89619328759346</v>
      </c>
      <c r="M62" s="337">
        <f t="shared" si="8"/>
        <v>355.16722372730419</v>
      </c>
      <c r="N62" s="338">
        <f t="shared" si="8"/>
        <v>362.55033535000524</v>
      </c>
    </row>
    <row r="63" spans="2:18" ht="13.5" thickBot="1"/>
    <row r="64" spans="2:18" ht="21" customHeight="1">
      <c r="B64" s="2592" t="s">
        <v>1254</v>
      </c>
      <c r="C64" s="2568">
        <v>2021</v>
      </c>
      <c r="D64" s="2569"/>
      <c r="E64" s="2569"/>
      <c r="F64" s="2569"/>
      <c r="G64" s="2569"/>
      <c r="H64" s="2569"/>
      <c r="I64" s="2569"/>
      <c r="J64" s="2569"/>
      <c r="K64" s="2569"/>
      <c r="L64" s="2569"/>
      <c r="M64" s="2570"/>
      <c r="N64" s="2571"/>
      <c r="R64">
        <v>40000</v>
      </c>
    </row>
    <row r="65" spans="2:18" ht="21" customHeight="1" thickBot="1">
      <c r="B65" s="2593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  <c r="R65">
        <f>+R62/R64</f>
        <v>0</v>
      </c>
    </row>
    <row r="66" spans="2:18" ht="15.75">
      <c r="B66" s="544" t="s">
        <v>1163</v>
      </c>
      <c r="C66" s="546"/>
      <c r="D66" s="546"/>
      <c r="E66" s="546"/>
      <c r="F66" s="546"/>
      <c r="G66" s="546"/>
      <c r="H66" s="546"/>
      <c r="I66" s="546"/>
      <c r="J66" s="546"/>
      <c r="K66" s="546"/>
      <c r="L66" s="546"/>
      <c r="M66" s="545"/>
      <c r="N66" s="548"/>
    </row>
    <row r="67" spans="2:18" ht="15.75">
      <c r="B67" s="566" t="s">
        <v>996</v>
      </c>
      <c r="C67" s="1867">
        <v>4.6685593878363595E-2</v>
      </c>
      <c r="D67" s="1867">
        <v>2.1976947601953345E-2</v>
      </c>
      <c r="E67" s="1875">
        <v>-2.8E-3</v>
      </c>
      <c r="F67" s="1892">
        <v>1.576965893699234E-2</v>
      </c>
      <c r="G67" s="1892">
        <v>3.2957068769028507E-2</v>
      </c>
      <c r="H67" s="1970">
        <v>5.7621241589588743E-2</v>
      </c>
      <c r="I67" s="1892">
        <v>2.18E-2</v>
      </c>
      <c r="J67" s="1892">
        <v>4.8999999999999998E-3</v>
      </c>
      <c r="K67" s="1892">
        <v>2.5600000000000001E-2</v>
      </c>
      <c r="L67" s="1892">
        <v>1.35E-2</v>
      </c>
      <c r="M67" s="1892">
        <v>4.4000000000000003E-3</v>
      </c>
      <c r="N67" s="2394">
        <v>2.3900000000000001E-2</v>
      </c>
    </row>
    <row r="68" spans="2:18" ht="16.5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539"/>
    </row>
    <row r="69" spans="2:18" ht="20.25" customHeight="1" thickBot="1">
      <c r="B69" s="1243" t="s">
        <v>1034</v>
      </c>
      <c r="C69" s="337">
        <f>+C67*N62+N62</f>
        <v>379.47621306662012</v>
      </c>
      <c r="D69" s="337">
        <f t="shared" ref="D69:N69" si="9">+C69*D67+C69</f>
        <v>387.81594191737292</v>
      </c>
      <c r="E69" s="337">
        <f t="shared" si="9"/>
        <v>386.7300572800043</v>
      </c>
      <c r="F69" s="337">
        <f t="shared" si="9"/>
        <v>392.82865838399346</v>
      </c>
      <c r="G69" s="337">
        <f t="shared" si="9"/>
        <v>405.77513949279995</v>
      </c>
      <c r="H69" s="337">
        <f t="shared" si="9"/>
        <v>429.15640683656363</v>
      </c>
      <c r="I69" s="337">
        <f t="shared" si="9"/>
        <v>438.51201650560074</v>
      </c>
      <c r="J69" s="337">
        <f t="shared" si="9"/>
        <v>440.66072538647819</v>
      </c>
      <c r="K69" s="337">
        <f t="shared" si="9"/>
        <v>451.94163995637206</v>
      </c>
      <c r="L69" s="337">
        <f t="shared" si="9"/>
        <v>458.04285209578308</v>
      </c>
      <c r="M69" s="337">
        <f t="shared" si="9"/>
        <v>460.0582406450045</v>
      </c>
      <c r="N69" s="338">
        <f t="shared" si="9"/>
        <v>471.05363259642013</v>
      </c>
    </row>
    <row r="70" spans="2:18" ht="13.5" thickBot="1"/>
    <row r="71" spans="2:18" ht="21" customHeight="1">
      <c r="B71" s="2592" t="s">
        <v>1254</v>
      </c>
      <c r="C71" s="2568">
        <v>2022</v>
      </c>
      <c r="D71" s="2569"/>
      <c r="E71" s="2569"/>
      <c r="F71" s="2569"/>
      <c r="G71" s="2569"/>
      <c r="H71" s="2569"/>
      <c r="I71" s="2569"/>
      <c r="J71" s="2569"/>
      <c r="K71" s="2569"/>
      <c r="L71" s="2569"/>
      <c r="M71" s="2570"/>
      <c r="N71" s="2571"/>
      <c r="R71">
        <v>40000</v>
      </c>
    </row>
    <row r="72" spans="2:18" ht="21" customHeight="1" thickBot="1">
      <c r="B72" s="2593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  <c r="R72">
        <f>+R69/R71</f>
        <v>0</v>
      </c>
    </row>
    <row r="73" spans="2:18" ht="15.75">
      <c r="B73" s="544" t="s">
        <v>1163</v>
      </c>
      <c r="C73" s="546"/>
      <c r="D73" s="546"/>
      <c r="E73" s="546"/>
      <c r="F73" s="546"/>
      <c r="G73" s="546"/>
      <c r="H73" s="546"/>
      <c r="I73" s="546"/>
      <c r="J73" s="546"/>
      <c r="K73" s="546"/>
      <c r="L73" s="546"/>
      <c r="M73" s="545"/>
      <c r="N73" s="548"/>
    </row>
    <row r="74" spans="2:18" ht="15.75">
      <c r="B74" s="566" t="s">
        <v>996</v>
      </c>
      <c r="C74" s="1867">
        <v>1.323476793458119E-2</v>
      </c>
      <c r="D74" s="1867">
        <v>2.4199999999999999E-2</v>
      </c>
      <c r="E74" s="1875">
        <v>2.5399999999999999E-2</v>
      </c>
      <c r="F74" s="1892">
        <v>5.9799999999999999E-2</v>
      </c>
      <c r="G74" s="1892">
        <v>3.8012770021565591E-2</v>
      </c>
      <c r="H74" s="1970">
        <v>4.8899999999999999E-2</v>
      </c>
      <c r="I74" s="1970">
        <v>0.10345277884761279</v>
      </c>
      <c r="J74" s="1892">
        <v>2.52E-2</v>
      </c>
      <c r="K74" s="1892">
        <v>6.5699999999999995E-2</v>
      </c>
      <c r="L74" s="1892">
        <v>4.6300000000000001E-2</v>
      </c>
      <c r="M74" s="1892">
        <v>4.4400000000000002E-2</v>
      </c>
      <c r="N74" s="2394">
        <v>6.4500000000000002E-2</v>
      </c>
    </row>
    <row r="75" spans="2:18" ht="16.5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539"/>
    </row>
    <row r="76" spans="2:18" ht="20.25" customHeight="1" thickBot="1">
      <c r="B76" s="1243" t="s">
        <v>1034</v>
      </c>
      <c r="C76" s="337">
        <f>+C74*N69+N69</f>
        <v>477.28791810857524</v>
      </c>
      <c r="D76" s="337">
        <f t="shared" ref="D76:N76" si="10">+C76*D74+C76</f>
        <v>488.83828572680278</v>
      </c>
      <c r="E76" s="337">
        <f t="shared" si="10"/>
        <v>501.25477818426356</v>
      </c>
      <c r="F76" s="337">
        <f t="shared" si="10"/>
        <v>531.22981391968256</v>
      </c>
      <c r="G76" s="337">
        <f t="shared" si="10"/>
        <v>551.42333066481058</v>
      </c>
      <c r="H76" s="337">
        <f t="shared" si="10"/>
        <v>578.38793153431982</v>
      </c>
      <c r="I76" s="337">
        <f t="shared" si="10"/>
        <v>638.22377030346797</v>
      </c>
      <c r="J76" s="337">
        <f t="shared" si="10"/>
        <v>654.30700931511535</v>
      </c>
      <c r="K76" s="337">
        <f t="shared" si="10"/>
        <v>697.29497982711837</v>
      </c>
      <c r="L76" s="337">
        <f t="shared" si="10"/>
        <v>729.57973739311399</v>
      </c>
      <c r="M76" s="337">
        <f t="shared" si="10"/>
        <v>761.9730777333682</v>
      </c>
      <c r="N76" s="337">
        <f t="shared" si="10"/>
        <v>811.12034124717047</v>
      </c>
    </row>
    <row r="77" spans="2:18" ht="13.5" thickBot="1"/>
    <row r="78" spans="2:18" ht="21" customHeight="1">
      <c r="B78" s="2592" t="s">
        <v>1254</v>
      </c>
      <c r="C78" s="2568">
        <v>2023</v>
      </c>
      <c r="D78" s="2569"/>
      <c r="E78" s="2569"/>
      <c r="F78" s="2569"/>
      <c r="G78" s="2569"/>
      <c r="H78" s="2569"/>
      <c r="I78" s="2569"/>
      <c r="J78" s="2569"/>
      <c r="K78" s="2569"/>
      <c r="L78" s="2569"/>
      <c r="M78" s="2570"/>
      <c r="N78" s="2571"/>
      <c r="R78">
        <v>40000</v>
      </c>
    </row>
    <row r="79" spans="2:18" ht="21" customHeight="1" thickBot="1">
      <c r="B79" s="2593"/>
      <c r="C79" s="412" t="s">
        <v>578</v>
      </c>
      <c r="D79" s="412" t="s">
        <v>579</v>
      </c>
      <c r="E79" s="412" t="s">
        <v>580</v>
      </c>
      <c r="F79" s="412" t="s">
        <v>581</v>
      </c>
      <c r="G79" s="412" t="s">
        <v>582</v>
      </c>
      <c r="H79" s="412" t="s">
        <v>583</v>
      </c>
      <c r="I79" s="412" t="s">
        <v>587</v>
      </c>
      <c r="J79" s="412" t="s">
        <v>588</v>
      </c>
      <c r="K79" s="412" t="s">
        <v>589</v>
      </c>
      <c r="L79" s="412" t="s">
        <v>590</v>
      </c>
      <c r="M79" s="412" t="s">
        <v>586</v>
      </c>
      <c r="N79" s="1508" t="s">
        <v>577</v>
      </c>
      <c r="R79">
        <f>+R76/R78</f>
        <v>0</v>
      </c>
    </row>
    <row r="80" spans="2:18" ht="15.75">
      <c r="B80" s="544" t="s">
        <v>1163</v>
      </c>
      <c r="C80" s="546"/>
      <c r="D80" s="546"/>
      <c r="E80" s="546"/>
      <c r="F80" s="546"/>
      <c r="G80" s="546"/>
      <c r="H80" s="546"/>
      <c r="I80" s="546"/>
      <c r="J80" s="546"/>
      <c r="K80" s="546"/>
      <c r="L80" s="546"/>
      <c r="M80" s="545"/>
      <c r="N80" s="548"/>
    </row>
    <row r="81" spans="2:14" ht="15.75">
      <c r="B81" s="566" t="s">
        <v>996</v>
      </c>
      <c r="C81" s="1867">
        <v>3.85E-2</v>
      </c>
      <c r="D81" s="1867">
        <v>4.3299999999999998E-2</v>
      </c>
      <c r="E81" s="1875"/>
      <c r="F81" s="1892"/>
      <c r="G81" s="1892"/>
      <c r="H81" s="1970"/>
      <c r="I81" s="1970"/>
      <c r="J81" s="1892"/>
      <c r="K81" s="1892"/>
      <c r="L81" s="1892"/>
      <c r="M81" s="1892"/>
      <c r="N81" s="2394"/>
    </row>
    <row r="82" spans="2:14" ht="16.5" thickBot="1">
      <c r="B82" s="369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539"/>
    </row>
    <row r="83" spans="2:14" ht="20.25" customHeight="1" thickBot="1">
      <c r="B83" s="1243" t="s">
        <v>1034</v>
      </c>
      <c r="C83" s="337">
        <f>+C81*N76+N76</f>
        <v>842.34847438518659</v>
      </c>
      <c r="D83" s="337">
        <f t="shared" ref="D83" si="11">+C83*D81+C83</f>
        <v>878.82216332606515</v>
      </c>
      <c r="E83" s="337"/>
      <c r="F83" s="337"/>
      <c r="G83" s="337"/>
      <c r="H83" s="337"/>
      <c r="I83" s="337"/>
      <c r="J83" s="337"/>
      <c r="K83" s="337"/>
      <c r="L83" s="337"/>
      <c r="M83" s="337"/>
      <c r="N83" s="337"/>
    </row>
  </sheetData>
  <mergeCells count="28">
    <mergeCell ref="S4:V4"/>
    <mergeCell ref="S5:U5"/>
    <mergeCell ref="B9:B10"/>
    <mergeCell ref="C9:N9"/>
    <mergeCell ref="B16:B17"/>
    <mergeCell ref="C16:N16"/>
    <mergeCell ref="B57:B58"/>
    <mergeCell ref="C57:N57"/>
    <mergeCell ref="D1:O1"/>
    <mergeCell ref="D2:O2"/>
    <mergeCell ref="B4:O4"/>
    <mergeCell ref="B23:B24"/>
    <mergeCell ref="C23:N23"/>
    <mergeCell ref="B50:B51"/>
    <mergeCell ref="C50:N50"/>
    <mergeCell ref="B43:B44"/>
    <mergeCell ref="C43:N43"/>
    <mergeCell ref="B30:B31"/>
    <mergeCell ref="C30:N30"/>
    <mergeCell ref="D37:O37"/>
    <mergeCell ref="D38:O38"/>
    <mergeCell ref="B40:O40"/>
    <mergeCell ref="B78:B79"/>
    <mergeCell ref="C78:N78"/>
    <mergeCell ref="B71:B72"/>
    <mergeCell ref="C71:N71"/>
    <mergeCell ref="B64:B65"/>
    <mergeCell ref="C64:N64"/>
  </mergeCells>
  <printOptions horizontalCentered="1"/>
  <pageMargins left="0" right="0" top="0.78740157480314965" bottom="0.19685039370078741" header="0.31496062992125984" footer="0.31496062992125984"/>
  <pageSetup paperSize="5" scale="60" orientation="landscape" r:id="rId1"/>
  <headerFooter>
    <oddFooter>Página &amp;P</oddFooter>
  </headerFooter>
  <rowBreaks count="1" manualBreakCount="1">
    <brk id="35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9" zoomScale="70" zoomScaleNormal="70" zoomScaleSheetLayoutView="70" workbookViewId="0">
      <selection activeCell="D35" sqref="D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18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3" t="s">
        <v>1271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</row>
    <row r="5" spans="2:18" s="2" customFormat="1" ht="15.75" customHeight="1">
      <c r="B5" s="3" t="s">
        <v>1272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66" t="s">
        <v>1273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18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1275</v>
      </c>
      <c r="C11" s="545">
        <v>410</v>
      </c>
      <c r="D11" s="545">
        <v>412.5</v>
      </c>
      <c r="E11" s="545">
        <v>417.8</v>
      </c>
      <c r="F11" s="545">
        <v>427.5</v>
      </c>
      <c r="G11" s="545">
        <v>427.5</v>
      </c>
      <c r="H11" s="545">
        <v>427.5</v>
      </c>
      <c r="I11" s="545">
        <v>455.5</v>
      </c>
      <c r="J11" s="545">
        <v>478.7</v>
      </c>
      <c r="K11" s="545">
        <v>486.4</v>
      </c>
      <c r="L11" s="546">
        <v>495.7</v>
      </c>
      <c r="M11" s="546">
        <v>508.1</v>
      </c>
      <c r="N11" s="1640">
        <v>525.9</v>
      </c>
    </row>
    <row r="12" spans="2:18" s="2" customFormat="1" ht="15.75">
      <c r="B12" s="566" t="s">
        <v>996</v>
      </c>
      <c r="C12" s="323">
        <v>1</v>
      </c>
      <c r="D12" s="323">
        <f>+D11/C11</f>
        <v>1.0060975609756098</v>
      </c>
      <c r="E12" s="323">
        <f t="shared" ref="E12:N12" si="0">+E11/D11</f>
        <v>1.0128484848484849</v>
      </c>
      <c r="F12" s="323">
        <f t="shared" si="0"/>
        <v>1.0232168501675443</v>
      </c>
      <c r="G12" s="323">
        <f t="shared" si="0"/>
        <v>1</v>
      </c>
      <c r="H12" s="323">
        <f t="shared" si="0"/>
        <v>1</v>
      </c>
      <c r="I12" s="323">
        <f t="shared" si="0"/>
        <v>1.0654970760233917</v>
      </c>
      <c r="J12" s="323">
        <f t="shared" si="0"/>
        <v>1.050933040614709</v>
      </c>
      <c r="K12" s="323">
        <f t="shared" si="0"/>
        <v>1.0160852308335073</v>
      </c>
      <c r="L12" s="323">
        <f t="shared" si="0"/>
        <v>1.0191200657894737</v>
      </c>
      <c r="M12" s="1633">
        <f t="shared" si="0"/>
        <v>1.0250151301190236</v>
      </c>
      <c r="N12" s="1643">
        <f t="shared" si="0"/>
        <v>1.0350324739224561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1274</v>
      </c>
      <c r="C14" s="337">
        <v>471.60149366814932</v>
      </c>
      <c r="D14" s="337">
        <f t="shared" ref="D14:N14" si="1">+D12*C14</f>
        <v>474.47711253197951</v>
      </c>
      <c r="E14" s="337">
        <f t="shared" si="1"/>
        <v>480.57342452329954</v>
      </c>
      <c r="F14" s="337">
        <f t="shared" si="1"/>
        <v>491.73082571496064</v>
      </c>
      <c r="G14" s="337">
        <f t="shared" si="1"/>
        <v>491.73082571496064</v>
      </c>
      <c r="H14" s="337">
        <f t="shared" si="1"/>
        <v>491.73082571496064</v>
      </c>
      <c r="I14" s="337">
        <f t="shared" si="1"/>
        <v>523.9377569898586</v>
      </c>
      <c r="J14" s="337">
        <f t="shared" si="1"/>
        <v>550.62350004620259</v>
      </c>
      <c r="K14" s="337">
        <f t="shared" si="1"/>
        <v>559.48040614679951</v>
      </c>
      <c r="L14" s="337">
        <f t="shared" si="1"/>
        <v>570.1777083202478</v>
      </c>
      <c r="M14" s="337">
        <f t="shared" si="1"/>
        <v>584.44077788484549</v>
      </c>
      <c r="N14" s="338">
        <f t="shared" si="1"/>
        <v>604.91518419531633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66" t="s">
        <v>1273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1275</v>
      </c>
      <c r="C18" s="546">
        <v>541.79999999999995</v>
      </c>
      <c r="D18" s="546">
        <v>559.6</v>
      </c>
      <c r="E18" s="546">
        <v>576</v>
      </c>
      <c r="F18" s="545">
        <v>615.9</v>
      </c>
      <c r="G18" s="546">
        <v>631.20000000000005</v>
      </c>
      <c r="H18" s="546">
        <v>637.20000000000005</v>
      </c>
      <c r="I18" s="546">
        <v>650.29999999999995</v>
      </c>
      <c r="J18" s="546">
        <v>657.5</v>
      </c>
      <c r="K18" s="546">
        <v>664.1</v>
      </c>
      <c r="L18" s="546">
        <v>703.2</v>
      </c>
      <c r="M18" s="546">
        <v>716.2</v>
      </c>
      <c r="N18" s="1640">
        <v>726.3</v>
      </c>
    </row>
    <row r="19" spans="2:17" s="2" customFormat="1" ht="15.75">
      <c r="B19" s="566" t="s">
        <v>996</v>
      </c>
      <c r="C19" s="1633">
        <f>+C18/N11</f>
        <v>1.0302338847689674</v>
      </c>
      <c r="D19" s="323">
        <f t="shared" ref="D19:N19" si="2">+D18/C18</f>
        <v>1.0328534514581027</v>
      </c>
      <c r="E19" s="323">
        <f t="shared" si="2"/>
        <v>1.0293066476054324</v>
      </c>
      <c r="F19" s="323">
        <f t="shared" si="2"/>
        <v>1.0692708333333334</v>
      </c>
      <c r="G19" s="323">
        <f t="shared" si="2"/>
        <v>1.0248416950803703</v>
      </c>
      <c r="H19" s="323">
        <f t="shared" si="2"/>
        <v>1.0095057034220531</v>
      </c>
      <c r="I19" s="323">
        <f t="shared" si="2"/>
        <v>1.0205586942875078</v>
      </c>
      <c r="J19" s="323">
        <f t="shared" si="2"/>
        <v>1.0110718130093803</v>
      </c>
      <c r="K19" s="323">
        <f t="shared" si="2"/>
        <v>1.0100380228136883</v>
      </c>
      <c r="L19" s="323">
        <f t="shared" si="2"/>
        <v>1.0588766751995182</v>
      </c>
      <c r="M19" s="323">
        <f t="shared" si="2"/>
        <v>1.0184869169510808</v>
      </c>
      <c r="N19" s="1012">
        <f t="shared" si="2"/>
        <v>1.014102206087685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  <c r="Q20" s="2">
        <v>175</v>
      </c>
    </row>
    <row r="21" spans="2:17" s="2" customFormat="1" ht="16.5" thickBot="1">
      <c r="B21" s="1243" t="s">
        <v>1274</v>
      </c>
      <c r="C21" s="337">
        <f>+N14*C19</f>
        <v>623.20412016927617</v>
      </c>
      <c r="D21" s="337">
        <f t="shared" ref="D21:N21" si="3">+C21*D19</f>
        <v>643.67852647974712</v>
      </c>
      <c r="E21" s="337">
        <f t="shared" si="3"/>
        <v>662.54258622647308</v>
      </c>
      <c r="F21" s="337">
        <f t="shared" si="3"/>
        <v>708.43746329320277</v>
      </c>
      <c r="G21" s="337">
        <f t="shared" si="3"/>
        <v>726.03625073984347</v>
      </c>
      <c r="H21" s="337">
        <f t="shared" si="3"/>
        <v>732.93773601303587</v>
      </c>
      <c r="I21" s="337">
        <f t="shared" si="3"/>
        <v>748.00597885950594</v>
      </c>
      <c r="J21" s="337">
        <f t="shared" si="3"/>
        <v>756.28776118733686</v>
      </c>
      <c r="K21" s="337">
        <f t="shared" si="3"/>
        <v>763.87939498784851</v>
      </c>
      <c r="L21" s="337">
        <f t="shared" si="3"/>
        <v>808.85407401815257</v>
      </c>
      <c r="M21" s="337">
        <f t="shared" si="3"/>
        <v>823.80729211006951</v>
      </c>
      <c r="N21" s="338">
        <f t="shared" si="3"/>
        <v>835.42479231994344</v>
      </c>
    </row>
    <row r="22" spans="2:17" ht="13.5" thickBot="1"/>
    <row r="23" spans="2:17" s="2" customFormat="1" ht="15.75">
      <c r="B23" s="2566" t="s">
        <v>1273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1275</v>
      </c>
      <c r="C25" s="546">
        <v>739.1</v>
      </c>
      <c r="D25" s="546">
        <v>743.6</v>
      </c>
      <c r="E25" s="546">
        <v>762.6</v>
      </c>
      <c r="F25" s="546">
        <v>803.5</v>
      </c>
      <c r="G25" s="546">
        <v>838.2</v>
      </c>
      <c r="H25" s="546">
        <v>876</v>
      </c>
      <c r="I25" s="546">
        <v>962.2</v>
      </c>
      <c r="J25" s="546">
        <v>1064</v>
      </c>
      <c r="K25" s="546">
        <v>1101.2</v>
      </c>
      <c r="L25" s="546">
        <v>1183.2</v>
      </c>
      <c r="M25" s="546">
        <v>1263.145055357478</v>
      </c>
      <c r="N25" s="1640">
        <v>1364.9</v>
      </c>
    </row>
    <row r="26" spans="2:17" s="2" customFormat="1" ht="15.75">
      <c r="B26" s="566" t="s">
        <v>996</v>
      </c>
      <c r="C26" s="1633">
        <f>+C25/N18</f>
        <v>1.0176235715269173</v>
      </c>
      <c r="D26" s="323">
        <f t="shared" ref="D26:N26" si="4">+D25/C25</f>
        <v>1.0060884859964823</v>
      </c>
      <c r="E26" s="323">
        <f t="shared" si="4"/>
        <v>1.0255513717052178</v>
      </c>
      <c r="F26" s="323">
        <f t="shared" si="4"/>
        <v>1.0536323105166536</v>
      </c>
      <c r="G26" s="323">
        <f t="shared" si="4"/>
        <v>1.0431860609831987</v>
      </c>
      <c r="H26" s="323">
        <f t="shared" si="4"/>
        <v>1.0450966356478166</v>
      </c>
      <c r="I26" s="323">
        <f t="shared" si="4"/>
        <v>1.0984018264840183</v>
      </c>
      <c r="J26" s="323">
        <f t="shared" si="4"/>
        <v>1.1057992101434213</v>
      </c>
      <c r="K26" s="323">
        <f t="shared" si="4"/>
        <v>1.0349624060150375</v>
      </c>
      <c r="L26" s="323">
        <f t="shared" si="4"/>
        <v>1.0744642208499819</v>
      </c>
      <c r="M26" s="323">
        <f t="shared" si="4"/>
        <v>1.0675668148727839</v>
      </c>
      <c r="N26" s="323">
        <f t="shared" si="4"/>
        <v>1.0805568166624575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Q27" s="2">
        <v>175</v>
      </c>
    </row>
    <row r="28" spans="2:17" s="2" customFormat="1" ht="16.5" thickBot="1">
      <c r="B28" s="1243" t="s">
        <v>1274</v>
      </c>
      <c r="C28" s="337">
        <f>+N21*C26</f>
        <v>850.14796090275399</v>
      </c>
      <c r="D28" s="337">
        <f t="shared" ref="D28:E28" si="5">+C28*D26</f>
        <v>855.32407485764838</v>
      </c>
      <c r="E28" s="337">
        <f t="shared" si="5"/>
        <v>877.17877822275773</v>
      </c>
      <c r="F28" s="337">
        <f t="shared" ref="F28:N28" si="6">+E28*F26</f>
        <v>924.22390283501954</v>
      </c>
      <c r="G28" s="337">
        <f t="shared" si="6"/>
        <v>964.13749266498257</v>
      </c>
      <c r="H28" s="337">
        <f t="shared" si="6"/>
        <v>1007.6168498860948</v>
      </c>
      <c r="I28" s="337">
        <f t="shared" si="6"/>
        <v>1106.7681883109594</v>
      </c>
      <c r="J28" s="337">
        <f t="shared" si="6"/>
        <v>1223.8633884461244</v>
      </c>
      <c r="K28" s="337">
        <f t="shared" si="6"/>
        <v>1266.6525971399174</v>
      </c>
      <c r="L28" s="337">
        <f t="shared" si="6"/>
        <v>1360.9728958735475</v>
      </c>
      <c r="M28" s="337">
        <f t="shared" si="6"/>
        <v>1452.9294995759121</v>
      </c>
      <c r="N28" s="337">
        <f t="shared" si="6"/>
        <v>1569.972874896725</v>
      </c>
    </row>
    <row r="29" spans="2:17" ht="13.5" thickBot="1"/>
    <row r="30" spans="2:17" s="2" customFormat="1" ht="15.75">
      <c r="B30" s="2566" t="s">
        <v>1273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1275</v>
      </c>
      <c r="C32" s="546">
        <v>1432.5</v>
      </c>
      <c r="D32" s="546">
        <v>1491.5</v>
      </c>
      <c r="E32" s="546"/>
      <c r="F32" s="546"/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1.049527437907539</v>
      </c>
      <c r="D33" s="323">
        <f t="shared" ref="D33" si="7">+D32/C32</f>
        <v>1.0411867364746945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Q34" s="2">
        <v>175</v>
      </c>
    </row>
    <row r="35" spans="2:17" s="2" customFormat="1" ht="16.5" thickBot="1">
      <c r="B35" s="1243" t="s">
        <v>1274</v>
      </c>
      <c r="C35" s="337">
        <f>+N28*C33</f>
        <v>1647.7296089746931</v>
      </c>
      <c r="D35" s="337">
        <f t="shared" ref="D35" si="8">+C35*D33</f>
        <v>1715.5942141610851</v>
      </c>
      <c r="E35" s="337">
        <f t="shared" ref="E35" si="9">+D35*E33</f>
        <v>0</v>
      </c>
      <c r="F35" s="337">
        <f t="shared" ref="F35" si="10">+E35*F33</f>
        <v>0</v>
      </c>
      <c r="G35" s="337">
        <f t="shared" ref="G35" si="11">+F35*G33</f>
        <v>0</v>
      </c>
      <c r="H35" s="337">
        <f t="shared" ref="H35" si="12">+G35*H33</f>
        <v>0</v>
      </c>
      <c r="I35" s="337">
        <f t="shared" ref="I35" si="13">+H35*I33</f>
        <v>0</v>
      </c>
      <c r="J35" s="337">
        <f t="shared" ref="J35" si="14">+I35*J33</f>
        <v>0</v>
      </c>
      <c r="K35" s="337">
        <f t="shared" ref="K35" si="15">+J35*K33</f>
        <v>0</v>
      </c>
      <c r="L35" s="337">
        <f t="shared" ref="L35" si="16">+K35*L33</f>
        <v>0</v>
      </c>
      <c r="M35" s="337">
        <f t="shared" ref="M35" si="17">+L35*M33</f>
        <v>0</v>
      </c>
      <c r="N35" s="337">
        <f t="shared" ref="N35" si="18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5"/>
  <sheetViews>
    <sheetView view="pageBreakPreview" topLeftCell="A16" zoomScale="70" zoomScaleSheetLayoutView="70" workbookViewId="0">
      <selection activeCell="D35" sqref="D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4.2851562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25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73" t="s">
        <v>1289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s="2" customFormat="1" ht="15.75">
      <c r="B5" s="3" t="s">
        <v>1290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9" spans="2:25" s="2" customFormat="1" ht="15.75">
      <c r="B9" s="2566" t="s">
        <v>1291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25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1292</v>
      </c>
      <c r="C11" s="546">
        <v>317.95542369218253</v>
      </c>
      <c r="D11" s="546">
        <v>326.06885593254901</v>
      </c>
      <c r="E11" s="546">
        <v>329.71005740233556</v>
      </c>
      <c r="F11" s="546">
        <v>350.85686688775718</v>
      </c>
      <c r="G11" s="546">
        <v>354.61824725694674</v>
      </c>
      <c r="H11" s="546">
        <v>366.03701144572483</v>
      </c>
      <c r="I11" s="546">
        <v>399.77636875075075</v>
      </c>
      <c r="J11" s="546">
        <v>427.4811069189675</v>
      </c>
      <c r="K11" s="546">
        <v>449.37868116031882</v>
      </c>
      <c r="L11" s="546">
        <v>487.21359077361626</v>
      </c>
      <c r="M11" s="546">
        <v>521.97103734528343</v>
      </c>
      <c r="N11" s="1640">
        <v>522.99025971477931</v>
      </c>
    </row>
    <row r="12" spans="2:25" s="2" customFormat="1" ht="15.75">
      <c r="B12" s="566" t="s">
        <v>996</v>
      </c>
      <c r="C12" s="323">
        <v>1</v>
      </c>
      <c r="D12" s="323">
        <f t="shared" ref="D12:N12" si="0">+D11/C11</f>
        <v>1.0255175148332152</v>
      </c>
      <c r="E12" s="323">
        <f t="shared" si="0"/>
        <v>1.011166971035528</v>
      </c>
      <c r="F12" s="323">
        <f t="shared" si="0"/>
        <v>1.064137593047751</v>
      </c>
      <c r="G12" s="323">
        <f t="shared" si="0"/>
        <v>1.0107205550871914</v>
      </c>
      <c r="H12" s="323">
        <f t="shared" si="0"/>
        <v>1.0322001596846886</v>
      </c>
      <c r="I12" s="323">
        <f t="shared" si="0"/>
        <v>1.0921747152610788</v>
      </c>
      <c r="J12" s="323">
        <f t="shared" si="0"/>
        <v>1.0693005898642545</v>
      </c>
      <c r="K12" s="323">
        <f t="shared" si="0"/>
        <v>1.051224659726312</v>
      </c>
      <c r="L12" s="323">
        <f t="shared" si="0"/>
        <v>1.0841938240496984</v>
      </c>
      <c r="M12" s="1633">
        <f t="shared" si="0"/>
        <v>1.0713392385390521</v>
      </c>
      <c r="N12" s="1643">
        <f t="shared" si="0"/>
        <v>1.0019526416152889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1293</v>
      </c>
      <c r="C14" s="337">
        <v>100</v>
      </c>
      <c r="D14" s="337">
        <f t="shared" ref="D14:N14" si="1">+D12*C14</f>
        <v>102.55175148332152</v>
      </c>
      <c r="E14" s="337">
        <f t="shared" si="1"/>
        <v>103.69694392177844</v>
      </c>
      <c r="F14" s="337">
        <f t="shared" si="1"/>
        <v>110.34781631132893</v>
      </c>
      <c r="G14" s="337">
        <f t="shared" si="1"/>
        <v>111.53080615484581</v>
      </c>
      <c r="H14" s="337">
        <f t="shared" si="1"/>
        <v>115.1221159227939</v>
      </c>
      <c r="I14" s="337">
        <f t="shared" si="1"/>
        <v>125.73346417823032</v>
      </c>
      <c r="J14" s="337">
        <f t="shared" si="1"/>
        <v>134.44686741145779</v>
      </c>
      <c r="K14" s="337">
        <f t="shared" si="1"/>
        <v>141.33386244587828</v>
      </c>
      <c r="L14" s="337">
        <f t="shared" si="1"/>
        <v>153.23330079291085</v>
      </c>
      <c r="M14" s="337">
        <f t="shared" si="1"/>
        <v>164.16484779030264</v>
      </c>
      <c r="N14" s="338">
        <f t="shared" si="1"/>
        <v>164.48540290386555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566" t="s">
        <v>1291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31.5">
      <c r="B18" s="544" t="s">
        <v>1292</v>
      </c>
      <c r="C18" s="546">
        <v>542.81000238995591</v>
      </c>
      <c r="D18" s="546">
        <v>572.65988999762192</v>
      </c>
      <c r="E18" s="546">
        <v>600.6872049126323</v>
      </c>
      <c r="F18" s="545">
        <v>613.46309157871747</v>
      </c>
      <c r="G18" s="546">
        <v>617.85799462019042</v>
      </c>
      <c r="H18" s="546">
        <v>631.32182684807287</v>
      </c>
      <c r="I18" s="546">
        <v>624.43183773305623</v>
      </c>
      <c r="J18" s="546">
        <v>641.6001404221123</v>
      </c>
      <c r="K18" s="546">
        <v>651.79799294327643</v>
      </c>
      <c r="L18" s="546">
        <v>671.91280416552695</v>
      </c>
      <c r="M18" s="546">
        <v>693.50139046983804</v>
      </c>
      <c r="N18" s="1640">
        <v>722.00225560812885</v>
      </c>
    </row>
    <row r="19" spans="2:17" s="2" customFormat="1" ht="15.75">
      <c r="B19" s="566" t="s">
        <v>996</v>
      </c>
      <c r="C19" s="1633">
        <f>+C18/N11</f>
        <v>1.0378969632933233</v>
      </c>
      <c r="D19" s="323">
        <f t="shared" ref="D19:N19" si="2">+D18/C18</f>
        <v>1.0549914103945008</v>
      </c>
      <c r="E19" s="323">
        <f t="shared" si="2"/>
        <v>1.048942339780645</v>
      </c>
      <c r="F19" s="323">
        <f t="shared" si="2"/>
        <v>1.0212687844215749</v>
      </c>
      <c r="G19" s="323">
        <f t="shared" si="2"/>
        <v>1.0071640871338532</v>
      </c>
      <c r="H19" s="323">
        <f t="shared" si="2"/>
        <v>1.0217911435072697</v>
      </c>
      <c r="I19" s="323">
        <f t="shared" si="2"/>
        <v>0.9890864075626602</v>
      </c>
      <c r="J19" s="323">
        <f t="shared" si="2"/>
        <v>1.027494278240815</v>
      </c>
      <c r="K19" s="323">
        <f t="shared" si="2"/>
        <v>1.015894405064274</v>
      </c>
      <c r="L19" s="323">
        <f t="shared" si="2"/>
        <v>1.0308604988662509</v>
      </c>
      <c r="M19" s="323">
        <f t="shared" si="2"/>
        <v>1.0321300415328782</v>
      </c>
      <c r="N19" s="1012">
        <f t="shared" si="2"/>
        <v>1.041097055506957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1293</v>
      </c>
      <c r="C21" s="337">
        <f>+N14*C19</f>
        <v>170.71890018000082</v>
      </c>
      <c r="D21" s="337">
        <f t="shared" ref="D21:N21" si="3">+C21*D19</f>
        <v>180.10697328189707</v>
      </c>
      <c r="E21" s="337">
        <f t="shared" si="3"/>
        <v>188.92182996512324</v>
      </c>
      <c r="F21" s="337">
        <f t="shared" si="3"/>
        <v>192.93996763918088</v>
      </c>
      <c r="G21" s="337">
        <f t="shared" si="3"/>
        <v>194.3222063789508</v>
      </c>
      <c r="H21" s="337">
        <f t="shared" si="3"/>
        <v>198.55670946480379</v>
      </c>
      <c r="I21" s="337">
        <f t="shared" si="3"/>
        <v>196.38974246200564</v>
      </c>
      <c r="J21" s="337">
        <f t="shared" si="3"/>
        <v>201.78933668489802</v>
      </c>
      <c r="K21" s="337">
        <f t="shared" si="3"/>
        <v>204.99665813981895</v>
      </c>
      <c r="L21" s="337">
        <f t="shared" si="3"/>
        <v>211.32295727592805</v>
      </c>
      <c r="M21" s="337">
        <f t="shared" si="3"/>
        <v>218.11277267005426</v>
      </c>
      <c r="N21" s="338">
        <f t="shared" si="3"/>
        <v>227.07656539525175</v>
      </c>
    </row>
    <row r="22" spans="2:17" ht="13.5" thickBot="1"/>
    <row r="23" spans="2:17" s="2" customFormat="1" ht="15.75">
      <c r="B23" s="2566" t="s">
        <v>1291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31.5">
      <c r="B25" s="544" t="s">
        <v>1292</v>
      </c>
      <c r="C25" s="546">
        <v>747.39011330405913</v>
      </c>
      <c r="D25" s="546">
        <v>749.34211338779335</v>
      </c>
      <c r="E25" s="546">
        <v>775.48814215674929</v>
      </c>
      <c r="F25" s="546">
        <v>834.34026946607264</v>
      </c>
      <c r="G25" s="546">
        <v>850.3</v>
      </c>
      <c r="H25" s="546">
        <v>863.7</v>
      </c>
      <c r="I25" s="546">
        <v>937.7</v>
      </c>
      <c r="J25" s="546">
        <v>994.2</v>
      </c>
      <c r="K25" s="546">
        <v>1034</v>
      </c>
      <c r="L25" s="546">
        <v>1072.2</v>
      </c>
      <c r="M25" s="546">
        <v>1096.1613908067118</v>
      </c>
      <c r="N25" s="1640">
        <v>1163.4000000000001</v>
      </c>
    </row>
    <row r="26" spans="2:17" s="2" customFormat="1" ht="15.75">
      <c r="B26" s="566" t="s">
        <v>996</v>
      </c>
      <c r="C26" s="1633">
        <f>+C25/N18</f>
        <v>1.0351631279524833</v>
      </c>
      <c r="D26" s="323">
        <f t="shared" ref="D26:N26" si="4">+D25/C25</f>
        <v>1.0026117552921656</v>
      </c>
      <c r="E26" s="323">
        <f t="shared" si="4"/>
        <v>1.0348919783124815</v>
      </c>
      <c r="F26" s="323">
        <f t="shared" si="4"/>
        <v>1.0758904283766955</v>
      </c>
      <c r="G26" s="323">
        <f t="shared" si="4"/>
        <v>1.0191285631510278</v>
      </c>
      <c r="H26" s="323">
        <f t="shared" si="4"/>
        <v>1.0157591438315889</v>
      </c>
      <c r="I26" s="323">
        <f t="shared" si="4"/>
        <v>1.085677897418085</v>
      </c>
      <c r="J26" s="323">
        <f t="shared" si="4"/>
        <v>1.0602538125199958</v>
      </c>
      <c r="K26" s="323">
        <f t="shared" si="4"/>
        <v>1.04003218668276</v>
      </c>
      <c r="L26" s="323">
        <f t="shared" si="4"/>
        <v>1.0369439071566731</v>
      </c>
      <c r="M26" s="323">
        <f t="shared" si="4"/>
        <v>1.0223478742834469</v>
      </c>
      <c r="N26" s="323">
        <f t="shared" si="4"/>
        <v>1.0613400633859258</v>
      </c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1293</v>
      </c>
      <c r="C28" s="337">
        <f>+N21*C26</f>
        <v>235.06128771925543</v>
      </c>
      <c r="D28" s="337">
        <f t="shared" ref="D28:N28" si="5">+C28*D26</f>
        <v>235.67521028143946</v>
      </c>
      <c r="E28" s="337">
        <f t="shared" si="5"/>
        <v>243.89838460736897</v>
      </c>
      <c r="F28" s="337">
        <f t="shared" si="5"/>
        <v>262.40793749560623</v>
      </c>
      <c r="G28" s="337">
        <f t="shared" si="5"/>
        <v>267.4274242993219</v>
      </c>
      <c r="H28" s="337">
        <f t="shared" si="5"/>
        <v>271.64185154336627</v>
      </c>
      <c r="I28" s="337">
        <f t="shared" si="5"/>
        <v>294.91555423435744</v>
      </c>
      <c r="J28" s="337">
        <f t="shared" si="5"/>
        <v>312.68534074842506</v>
      </c>
      <c r="K28" s="337">
        <f t="shared" si="5"/>
        <v>325.20281868222844</v>
      </c>
      <c r="L28" s="337">
        <f t="shared" si="5"/>
        <v>337.21708142271308</v>
      </c>
      <c r="M28" s="337">
        <f t="shared" si="5"/>
        <v>344.75316636457876</v>
      </c>
      <c r="N28" s="337">
        <f t="shared" si="5"/>
        <v>365.90034744188063</v>
      </c>
    </row>
    <row r="29" spans="2:17" ht="13.5" thickBot="1"/>
    <row r="30" spans="2:17" s="2" customFormat="1" ht="15.75">
      <c r="B30" s="2566" t="s">
        <v>1291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31.5">
      <c r="B32" s="544" t="s">
        <v>1292</v>
      </c>
      <c r="C32" s="546">
        <v>1215.4000000000001</v>
      </c>
      <c r="D32" s="546">
        <v>1252</v>
      </c>
      <c r="E32" s="546"/>
      <c r="F32" s="546"/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1.0446965789926079</v>
      </c>
      <c r="D33" s="323">
        <f t="shared" ref="D33" si="6">+D32/C32</f>
        <v>1.030113542866546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Q33" s="2">
        <v>161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1293</v>
      </c>
      <c r="C35" s="337">
        <f>+N28*C33</f>
        <v>382.25484122473932</v>
      </c>
      <c r="D35" s="337">
        <f t="shared" ref="D35" si="7">+C35*D33</f>
        <v>393.76588877190522</v>
      </c>
      <c r="E35" s="337">
        <f t="shared" ref="E35" si="8">+D35*E33</f>
        <v>0</v>
      </c>
      <c r="F35" s="337">
        <f t="shared" ref="F35" si="9">+E35*F33</f>
        <v>0</v>
      </c>
      <c r="G35" s="337">
        <f t="shared" ref="G35" si="10">+F35*G33</f>
        <v>0</v>
      </c>
      <c r="H35" s="337">
        <f t="shared" ref="H35" si="11">+G35*H33</f>
        <v>0</v>
      </c>
      <c r="I35" s="337">
        <f t="shared" ref="I35" si="12">+H35*I33</f>
        <v>0</v>
      </c>
      <c r="J35" s="337">
        <f t="shared" ref="J35" si="13">+I35*J33</f>
        <v>0</v>
      </c>
      <c r="K35" s="337">
        <f t="shared" ref="K35" si="14">+J35*K33</f>
        <v>0</v>
      </c>
      <c r="L35" s="337">
        <f t="shared" ref="L35" si="15">+K35*L33</f>
        <v>0</v>
      </c>
      <c r="M35" s="337">
        <f t="shared" ref="M35" si="16">+L35*M33</f>
        <v>0</v>
      </c>
      <c r="N35" s="337">
        <f t="shared" ref="N35" si="17">+M35*N33</f>
        <v>0</v>
      </c>
    </row>
  </sheetData>
  <mergeCells count="13">
    <mergeCell ref="S4:V4"/>
    <mergeCell ref="S5:U5"/>
    <mergeCell ref="B9:B10"/>
    <mergeCell ref="C9:N9"/>
    <mergeCell ref="B16:B17"/>
    <mergeCell ref="C16:N16"/>
    <mergeCell ref="B30:B31"/>
    <mergeCell ref="C30:N30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3" zoomScale="70" zoomScaleNormal="70" zoomScaleSheetLayoutView="70" workbookViewId="0">
      <selection activeCell="D35" sqref="D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18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3" t="s">
        <v>1276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</row>
    <row r="5" spans="2:18" s="2" customFormat="1" ht="15.75" customHeight="1">
      <c r="B5" s="3" t="s">
        <v>1277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66" t="s">
        <v>1278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18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1279</v>
      </c>
      <c r="C11" s="545">
        <v>453.6</v>
      </c>
      <c r="D11" s="545">
        <v>461.3</v>
      </c>
      <c r="E11" s="545">
        <v>466.9</v>
      </c>
      <c r="F11" s="545">
        <v>472.1</v>
      </c>
      <c r="G11" s="545">
        <v>483.4</v>
      </c>
      <c r="H11" s="545">
        <v>507.4</v>
      </c>
      <c r="I11" s="545">
        <v>522.1</v>
      </c>
      <c r="J11" s="545">
        <v>539.20000000000005</v>
      </c>
      <c r="K11" s="545">
        <v>554.4</v>
      </c>
      <c r="L11" s="546">
        <v>578.70000000000005</v>
      </c>
      <c r="M11" s="546">
        <v>615.20000000000005</v>
      </c>
      <c r="N11" s="1640">
        <v>632.4</v>
      </c>
    </row>
    <row r="12" spans="2:18" s="2" customFormat="1" ht="15.75">
      <c r="B12" s="566" t="s">
        <v>996</v>
      </c>
      <c r="C12" s="323">
        <v>1</v>
      </c>
      <c r="D12" s="323">
        <f>+D11/C11</f>
        <v>1.0169753086419753</v>
      </c>
      <c r="E12" s="323">
        <f t="shared" ref="E12:N12" si="0">+E11/D11</f>
        <v>1.0121396054628224</v>
      </c>
      <c r="F12" s="323">
        <f t="shared" si="0"/>
        <v>1.0111372884986078</v>
      </c>
      <c r="G12" s="323">
        <f t="shared" si="0"/>
        <v>1.0239356068629526</v>
      </c>
      <c r="H12" s="323">
        <f t="shared" si="0"/>
        <v>1.0496483243690526</v>
      </c>
      <c r="I12" s="323">
        <f t="shared" si="0"/>
        <v>1.0289712258573118</v>
      </c>
      <c r="J12" s="323">
        <f t="shared" si="0"/>
        <v>1.0327523462938135</v>
      </c>
      <c r="K12" s="323">
        <f t="shared" si="0"/>
        <v>1.0281899109792283</v>
      </c>
      <c r="L12" s="323">
        <f t="shared" si="0"/>
        <v>1.043831168831169</v>
      </c>
      <c r="M12" s="1633">
        <f t="shared" si="0"/>
        <v>1.0630724036633834</v>
      </c>
      <c r="N12" s="1643">
        <f t="shared" si="0"/>
        <v>1.0279583875162548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1280</v>
      </c>
      <c r="C14" s="337">
        <v>280.54621487984735</v>
      </c>
      <c r="D14" s="337">
        <f t="shared" ref="D14:N14" si="1">+D12*C14</f>
        <v>285.30857346577068</v>
      </c>
      <c r="E14" s="337">
        <f t="shared" si="1"/>
        <v>288.77210698280584</v>
      </c>
      <c r="F14" s="337">
        <f t="shared" si="1"/>
        <v>291.9882452486242</v>
      </c>
      <c r="G14" s="337">
        <f t="shared" si="1"/>
        <v>298.97716109549867</v>
      </c>
      <c r="H14" s="337">
        <f t="shared" si="1"/>
        <v>313.82087616850652</v>
      </c>
      <c r="I14" s="337">
        <f t="shared" si="1"/>
        <v>322.91265165072383</v>
      </c>
      <c r="J14" s="337">
        <f t="shared" si="1"/>
        <v>333.4887986402419</v>
      </c>
      <c r="K14" s="337">
        <f t="shared" si="1"/>
        <v>342.88981818648011</v>
      </c>
      <c r="L14" s="337">
        <f t="shared" si="1"/>
        <v>357.91907969790054</v>
      </c>
      <c r="M14" s="337">
        <f t="shared" si="1"/>
        <v>380.49389637143321</v>
      </c>
      <c r="N14" s="338">
        <f t="shared" si="1"/>
        <v>391.13189217375543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66" t="s">
        <v>1278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1286</v>
      </c>
      <c r="C18" s="546">
        <v>658.7</v>
      </c>
      <c r="D18" s="546">
        <v>710.5</v>
      </c>
      <c r="E18" s="546">
        <v>782.3</v>
      </c>
      <c r="F18" s="545">
        <v>824.8</v>
      </c>
      <c r="G18" s="546">
        <v>842.8</v>
      </c>
      <c r="H18" s="546">
        <v>860.2</v>
      </c>
      <c r="I18" s="546">
        <v>873.2</v>
      </c>
      <c r="J18" s="546">
        <v>887.5</v>
      </c>
      <c r="K18" s="546">
        <v>904.6</v>
      </c>
      <c r="L18" s="546">
        <v>916.6</v>
      </c>
      <c r="M18" s="546">
        <v>930.7</v>
      </c>
      <c r="N18" s="1640">
        <v>951.7</v>
      </c>
      <c r="Q18" s="1990">
        <v>165</v>
      </c>
    </row>
    <row r="19" spans="2:17" s="2" customFormat="1" ht="15.75">
      <c r="B19" s="566" t="s">
        <v>996</v>
      </c>
      <c r="C19" s="1633">
        <f>+C18/N11</f>
        <v>1.0415876027830488</v>
      </c>
      <c r="D19" s="323">
        <f t="shared" ref="D19:N19" si="2">+D18/C18</f>
        <v>1.0786397449521785</v>
      </c>
      <c r="E19" s="323">
        <f t="shared" si="2"/>
        <v>1.1010555946516536</v>
      </c>
      <c r="F19" s="323">
        <f t="shared" si="2"/>
        <v>1.0543269845327878</v>
      </c>
      <c r="G19" s="323">
        <f t="shared" si="2"/>
        <v>1.021823472356935</v>
      </c>
      <c r="H19" s="323">
        <f t="shared" si="2"/>
        <v>1.0206454674893215</v>
      </c>
      <c r="I19" s="323">
        <f t="shared" si="2"/>
        <v>1.0151127644733784</v>
      </c>
      <c r="J19" s="323">
        <f t="shared" si="2"/>
        <v>1.0163765460375629</v>
      </c>
      <c r="K19" s="323">
        <f t="shared" si="2"/>
        <v>1.0192676056338028</v>
      </c>
      <c r="L19" s="323">
        <f t="shared" si="2"/>
        <v>1.0132655317267301</v>
      </c>
      <c r="M19" s="323">
        <f t="shared" si="2"/>
        <v>1.0153829369408685</v>
      </c>
      <c r="N19" s="1012">
        <f t="shared" si="2"/>
        <v>1.0225636617599656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1280</v>
      </c>
      <c r="C21" s="337">
        <f>+N14*C19</f>
        <v>407.39812994125987</v>
      </c>
      <c r="D21" s="337">
        <f t="shared" ref="D21:N21" si="3">+C21*D19</f>
        <v>439.43581497383502</v>
      </c>
      <c r="E21" s="337">
        <f t="shared" si="3"/>
        <v>483.84326256724995</v>
      </c>
      <c r="F21" s="337">
        <f t="shared" si="3"/>
        <v>510.12900800903452</v>
      </c>
      <c r="G21" s="337">
        <f t="shared" si="3"/>
        <v>521.26179431379035</v>
      </c>
      <c r="H21" s="337">
        <f t="shared" si="3"/>
        <v>532.02348774172106</v>
      </c>
      <c r="I21" s="337">
        <f t="shared" si="3"/>
        <v>540.06383340626701</v>
      </c>
      <c r="J21" s="337">
        <f t="shared" si="3"/>
        <v>548.90821363726741</v>
      </c>
      <c r="K21" s="337">
        <f t="shared" si="3"/>
        <v>559.48436062678547</v>
      </c>
      <c r="L21" s="337">
        <f t="shared" si="3"/>
        <v>566.9062181632894</v>
      </c>
      <c r="M21" s="337">
        <f t="shared" si="3"/>
        <v>575.62690076868148</v>
      </c>
      <c r="N21" s="338">
        <f t="shared" si="3"/>
        <v>588.61515145756334</v>
      </c>
    </row>
    <row r="22" spans="2:17" ht="13.5" thickBot="1"/>
    <row r="23" spans="2:17" s="2" customFormat="1" ht="15.75">
      <c r="B23" s="2566" t="s">
        <v>1346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1347</v>
      </c>
      <c r="C25" s="546">
        <v>965.3</v>
      </c>
      <c r="D25" s="546">
        <v>986.9</v>
      </c>
      <c r="E25" s="546">
        <v>1027</v>
      </c>
      <c r="F25" s="1993">
        <v>1082.2</v>
      </c>
      <c r="G25" s="546">
        <v>1133.2</v>
      </c>
      <c r="H25" s="546">
        <v>1171.0999999999999</v>
      </c>
      <c r="I25" s="546">
        <v>1253.2</v>
      </c>
      <c r="J25" s="546">
        <v>1349.2</v>
      </c>
      <c r="K25" s="546">
        <v>1487.3</v>
      </c>
      <c r="L25" s="546">
        <v>1522.4</v>
      </c>
      <c r="M25" s="546">
        <v>1631.5185687209412</v>
      </c>
      <c r="N25" s="1640">
        <v>1739.8</v>
      </c>
      <c r="Q25" s="1990">
        <v>165</v>
      </c>
    </row>
    <row r="26" spans="2:17" s="2" customFormat="1" ht="15.75">
      <c r="B26" s="566" t="s">
        <v>996</v>
      </c>
      <c r="C26" s="1633">
        <f>+C25/N18</f>
        <v>1.0142902175055164</v>
      </c>
      <c r="D26" s="323">
        <f t="shared" ref="D26:N26" si="4">+D25/C25</f>
        <v>1.0223764632756656</v>
      </c>
      <c r="E26" s="323">
        <f t="shared" si="4"/>
        <v>1.0406322829060695</v>
      </c>
      <c r="F26" s="323">
        <f t="shared" si="4"/>
        <v>1.053748782862707</v>
      </c>
      <c r="G26" s="323">
        <f t="shared" si="4"/>
        <v>1.0471262243577897</v>
      </c>
      <c r="H26" s="323">
        <f t="shared" si="4"/>
        <v>1.0334451111895515</v>
      </c>
      <c r="I26" s="323">
        <f t="shared" si="4"/>
        <v>1.0701050294594827</v>
      </c>
      <c r="J26" s="323">
        <f t="shared" si="4"/>
        <v>1.0766038940312799</v>
      </c>
      <c r="K26" s="323">
        <f t="shared" si="4"/>
        <v>1.1023569522680106</v>
      </c>
      <c r="L26" s="323">
        <f t="shared" si="4"/>
        <v>1.0235998117393936</v>
      </c>
      <c r="M26" s="323">
        <f t="shared" si="4"/>
        <v>1.0716753604315168</v>
      </c>
      <c r="N26" s="323">
        <f t="shared" si="4"/>
        <v>1.0663684945761591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1280</v>
      </c>
      <c r="C28" s="337">
        <f>+N21*C26</f>
        <v>597.02658999893436</v>
      </c>
      <c r="D28" s="337">
        <f t="shared" ref="D28:E28" si="5">+C28*D26</f>
        <v>610.38593356464139</v>
      </c>
      <c r="E28" s="337">
        <f t="shared" si="5"/>
        <v>635.18730749912527</v>
      </c>
      <c r="F28" s="337">
        <f t="shared" ref="F28:N28" si="6">+E28*F26</f>
        <v>669.32785216704326</v>
      </c>
      <c r="G28" s="337">
        <f t="shared" si="6"/>
        <v>700.87074669718481</v>
      </c>
      <c r="H28" s="337">
        <f t="shared" si="6"/>
        <v>724.3114467499762</v>
      </c>
      <c r="I28" s="337">
        <f t="shared" si="6"/>
        <v>775.0893220622238</v>
      </c>
      <c r="J28" s="337">
        <f t="shared" si="6"/>
        <v>834.46418235425494</v>
      </c>
      <c r="K28" s="337">
        <f t="shared" si="6"/>
        <v>919.87739283685391</v>
      </c>
      <c r="L28" s="337">
        <f t="shared" si="6"/>
        <v>941.58632613112786</v>
      </c>
      <c r="M28" s="337">
        <f t="shared" si="6"/>
        <v>1009.0748654339642</v>
      </c>
      <c r="N28" s="337">
        <f t="shared" si="6"/>
        <v>1076.0456451674568</v>
      </c>
    </row>
    <row r="29" spans="2:17" ht="13.5" thickBot="1"/>
    <row r="30" spans="2:17" s="2" customFormat="1" ht="15.75">
      <c r="B30" s="2566" t="s">
        <v>1346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1347</v>
      </c>
      <c r="C32" s="546">
        <v>1851.1</v>
      </c>
      <c r="D32" s="546">
        <v>1938.3</v>
      </c>
      <c r="E32" s="546"/>
      <c r="F32" s="1993"/>
      <c r="G32" s="546"/>
      <c r="H32" s="546"/>
      <c r="I32" s="546"/>
      <c r="J32" s="546"/>
      <c r="K32" s="546"/>
      <c r="L32" s="546"/>
      <c r="M32" s="546"/>
      <c r="N32" s="1640"/>
      <c r="Q32" s="1990">
        <v>165</v>
      </c>
    </row>
    <row r="33" spans="2:14" s="2" customFormat="1" ht="15.75">
      <c r="B33" s="566" t="s">
        <v>996</v>
      </c>
      <c r="C33" s="1633">
        <f>+C32/N25</f>
        <v>1.0639728704448788</v>
      </c>
      <c r="D33" s="323">
        <f t="shared" ref="D33" si="7">+D32/C32</f>
        <v>1.0471071254929503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</row>
    <row r="34" spans="2:14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4" s="2" customFormat="1" ht="16.5" thickBot="1">
      <c r="B35" s="1243" t="s">
        <v>1280</v>
      </c>
      <c r="C35" s="337">
        <f>+N28*C33</f>
        <v>1144.8833738185306</v>
      </c>
      <c r="D35" s="337">
        <f t="shared" ref="D35" si="8">+C35*D33</f>
        <v>1198.8155385837924</v>
      </c>
      <c r="E35" s="337">
        <f t="shared" ref="E35" si="9">+D35*E33</f>
        <v>0</v>
      </c>
      <c r="F35" s="337">
        <f t="shared" ref="F35" si="10">+E35*F33</f>
        <v>0</v>
      </c>
      <c r="G35" s="337">
        <f t="shared" ref="G35" si="11">+F35*G33</f>
        <v>0</v>
      </c>
      <c r="H35" s="337">
        <f t="shared" ref="H35" si="12">+G35*H33</f>
        <v>0</v>
      </c>
      <c r="I35" s="337">
        <f t="shared" ref="I35" si="13">+H35*I33</f>
        <v>0</v>
      </c>
      <c r="J35" s="337">
        <f t="shared" ref="J35" si="14">+I35*J33</f>
        <v>0</v>
      </c>
      <c r="K35" s="337">
        <f t="shared" ref="K35" si="15">+J35*K33</f>
        <v>0</v>
      </c>
      <c r="L35" s="337">
        <f t="shared" ref="L35" si="16">+K35*L33</f>
        <v>0</v>
      </c>
      <c r="M35" s="337">
        <f t="shared" ref="M35" si="17">+L35*M33</f>
        <v>0</v>
      </c>
      <c r="N35" s="337">
        <f t="shared" ref="N35" si="18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35"/>
  <sheetViews>
    <sheetView view="pageBreakPreview" topLeftCell="A16" zoomScale="70" zoomScaleNormal="70" zoomScaleSheetLayoutView="70" workbookViewId="0">
      <selection activeCell="D35" sqref="D35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572"/>
      <c r="N1" s="2572"/>
      <c r="O1" s="2572"/>
      <c r="P1" s="1"/>
      <c r="Q1" s="1"/>
    </row>
    <row r="2" spans="2:18" s="2" customFormat="1" ht="15.75">
      <c r="B2" s="132" t="s">
        <v>593</v>
      </c>
      <c r="C2" s="132"/>
      <c r="D2" s="2572" t="s">
        <v>594</v>
      </c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73" t="s">
        <v>1281</v>
      </c>
      <c r="C4" s="2573"/>
      <c r="D4" s="2573"/>
      <c r="E4" s="2573"/>
      <c r="F4" s="2573"/>
      <c r="G4" s="2573"/>
      <c r="H4" s="2573"/>
      <c r="I4" s="2573"/>
      <c r="J4" s="2573"/>
      <c r="K4" s="2573"/>
      <c r="L4" s="2573"/>
      <c r="M4" s="2573"/>
      <c r="N4" s="2573"/>
      <c r="O4" s="2573"/>
      <c r="P4" s="51"/>
      <c r="Q4" s="51"/>
    </row>
    <row r="5" spans="2:18" s="2" customFormat="1" ht="15.75" customHeight="1">
      <c r="B5" s="3" t="s">
        <v>1282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566" t="s">
        <v>1283</v>
      </c>
      <c r="C9" s="2568">
        <v>2020</v>
      </c>
      <c r="D9" s="2569"/>
      <c r="E9" s="2569"/>
      <c r="F9" s="2569"/>
      <c r="G9" s="2569"/>
      <c r="H9" s="2569"/>
      <c r="I9" s="2569"/>
      <c r="J9" s="2569"/>
      <c r="K9" s="2569"/>
      <c r="L9" s="2569"/>
      <c r="M9" s="2570"/>
      <c r="N9" s="2571"/>
    </row>
    <row r="10" spans="2:18" s="2" customFormat="1" ht="16.5" thickBot="1">
      <c r="B10" s="2567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1284</v>
      </c>
      <c r="C11" s="545">
        <v>581.29999999999995</v>
      </c>
      <c r="D11" s="545">
        <v>588.9</v>
      </c>
      <c r="E11" s="545">
        <v>603.5</v>
      </c>
      <c r="F11" s="545">
        <v>625.1</v>
      </c>
      <c r="G11" s="545">
        <v>631.9</v>
      </c>
      <c r="H11" s="545">
        <v>668</v>
      </c>
      <c r="I11" s="545">
        <v>693.2</v>
      </c>
      <c r="J11" s="545">
        <v>720.5</v>
      </c>
      <c r="K11" s="545">
        <v>757.6</v>
      </c>
      <c r="L11" s="546">
        <v>801.1</v>
      </c>
      <c r="M11" s="546">
        <v>854</v>
      </c>
      <c r="N11" s="1640">
        <v>934</v>
      </c>
    </row>
    <row r="12" spans="2:18" s="2" customFormat="1" ht="15.75">
      <c r="B12" s="566" t="s">
        <v>996</v>
      </c>
      <c r="C12" s="323">
        <v>1</v>
      </c>
      <c r="D12" s="323">
        <f>+D11/C11</f>
        <v>1.0130741441596423</v>
      </c>
      <c r="E12" s="323">
        <f t="shared" ref="E12:N12" si="0">+E11/D11</f>
        <v>1.0247919850568858</v>
      </c>
      <c r="F12" s="323">
        <f t="shared" si="0"/>
        <v>1.035791217895609</v>
      </c>
      <c r="G12" s="323">
        <f t="shared" si="0"/>
        <v>1.0108782594784833</v>
      </c>
      <c r="H12" s="323">
        <f t="shared" si="0"/>
        <v>1.0571292926095901</v>
      </c>
      <c r="I12" s="323">
        <f t="shared" si="0"/>
        <v>1.0377245508982036</v>
      </c>
      <c r="J12" s="323">
        <f t="shared" si="0"/>
        <v>1.0393825735718407</v>
      </c>
      <c r="K12" s="323">
        <f t="shared" si="0"/>
        <v>1.0514920194309507</v>
      </c>
      <c r="L12" s="323">
        <f t="shared" si="0"/>
        <v>1.0574181626187962</v>
      </c>
      <c r="M12" s="1633">
        <f t="shared" si="0"/>
        <v>1.0660342029709149</v>
      </c>
      <c r="N12" s="1643">
        <f t="shared" si="0"/>
        <v>1.0936768149882905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1285</v>
      </c>
      <c r="C14" s="337">
        <v>410.69981629509948</v>
      </c>
      <c r="D14" s="337">
        <f t="shared" ref="D14:N14" si="1">+D12*C14</f>
        <v>416.06936489968018</v>
      </c>
      <c r="E14" s="337">
        <f t="shared" si="1"/>
        <v>426.38455037690102</v>
      </c>
      <c r="F14" s="337">
        <f t="shared" si="1"/>
        <v>441.64537272676193</v>
      </c>
      <c r="G14" s="337">
        <f t="shared" si="1"/>
        <v>446.4497056887551</v>
      </c>
      <c r="H14" s="337">
        <f t="shared" si="1"/>
        <v>471.9550615605134</v>
      </c>
      <c r="I14" s="337">
        <f t="shared" si="1"/>
        <v>489.75935430201781</v>
      </c>
      <c r="J14" s="337">
        <f t="shared" si="1"/>
        <v>509.04733810531422</v>
      </c>
      <c r="K14" s="337">
        <f t="shared" si="1"/>
        <v>535.25921353030685</v>
      </c>
      <c r="L14" s="337">
        <f t="shared" si="1"/>
        <v>565.99281409599894</v>
      </c>
      <c r="M14" s="337">
        <f t="shared" si="1"/>
        <v>603.36769846209347</v>
      </c>
      <c r="N14" s="338">
        <f t="shared" si="1"/>
        <v>659.88926272083768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566" t="s">
        <v>1283</v>
      </c>
      <c r="C16" s="2568">
        <v>2021</v>
      </c>
      <c r="D16" s="2569"/>
      <c r="E16" s="2569"/>
      <c r="F16" s="2569"/>
      <c r="G16" s="2569"/>
      <c r="H16" s="2569"/>
      <c r="I16" s="2569"/>
      <c r="J16" s="2569"/>
      <c r="K16" s="2569"/>
      <c r="L16" s="2569"/>
      <c r="M16" s="2570"/>
      <c r="N16" s="2571"/>
    </row>
    <row r="17" spans="2:17" s="2" customFormat="1" ht="16.5" thickBot="1">
      <c r="B17" s="2567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1287</v>
      </c>
      <c r="C18" s="546">
        <v>1005.1</v>
      </c>
      <c r="D18" s="546">
        <v>1072.5</v>
      </c>
      <c r="E18" s="546">
        <v>1150.8</v>
      </c>
      <c r="F18" s="1956">
        <v>1196.5999999999999</v>
      </c>
      <c r="G18" s="546">
        <v>1259.9000000000001</v>
      </c>
      <c r="H18" s="546">
        <v>1331.4</v>
      </c>
      <c r="I18" s="546">
        <v>1398.2</v>
      </c>
      <c r="J18" s="546">
        <v>1465.5</v>
      </c>
      <c r="K18" s="546">
        <v>1518.9</v>
      </c>
      <c r="L18" s="546">
        <v>1583.5</v>
      </c>
      <c r="M18" s="546">
        <v>1637.1</v>
      </c>
      <c r="N18" s="1640">
        <v>1715.4</v>
      </c>
    </row>
    <row r="19" spans="2:17" s="2" customFormat="1" ht="15.75">
      <c r="B19" s="566" t="s">
        <v>996</v>
      </c>
      <c r="C19" s="1633">
        <f>+C18/N11</f>
        <v>1.0761241970021413</v>
      </c>
      <c r="D19" s="323">
        <f t="shared" ref="D19:N19" si="2">+D18/C18</f>
        <v>1.0670580041786886</v>
      </c>
      <c r="E19" s="323">
        <f t="shared" si="2"/>
        <v>1.073006993006993</v>
      </c>
      <c r="F19" s="323">
        <f t="shared" si="2"/>
        <v>1.0397984011122696</v>
      </c>
      <c r="G19" s="323">
        <f t="shared" si="2"/>
        <v>1.0528998830018388</v>
      </c>
      <c r="H19" s="323">
        <f t="shared" si="2"/>
        <v>1.0567505357568061</v>
      </c>
      <c r="I19" s="323">
        <f t="shared" si="2"/>
        <v>1.0501727504882079</v>
      </c>
      <c r="J19" s="323">
        <f t="shared" si="2"/>
        <v>1.0481333142611928</v>
      </c>
      <c r="K19" s="323">
        <f t="shared" si="2"/>
        <v>1.0364380757420677</v>
      </c>
      <c r="L19" s="323">
        <f t="shared" si="2"/>
        <v>1.0425307788531173</v>
      </c>
      <c r="M19" s="323">
        <f t="shared" si="2"/>
        <v>1.0338490685191033</v>
      </c>
      <c r="N19" s="1012">
        <f t="shared" si="2"/>
        <v>1.0478284771852668</v>
      </c>
      <c r="Q19" s="2">
        <v>166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7" s="2" customFormat="1" ht="16.5" thickBot="1">
      <c r="B21" s="1243" t="s">
        <v>1285</v>
      </c>
      <c r="C21" s="337">
        <f>+N14*C19</f>
        <v>710.12280295579649</v>
      </c>
      <c r="D21" s="337">
        <f t="shared" ref="D21:N21" si="3">+C21*D19</f>
        <v>757.74222084378835</v>
      </c>
      <c r="E21" s="337">
        <f t="shared" si="3"/>
        <v>813.06270186203415</v>
      </c>
      <c r="F21" s="337">
        <f t="shared" si="3"/>
        <v>845.42129740016503</v>
      </c>
      <c r="G21" s="337">
        <f t="shared" si="3"/>
        <v>890.14398511989657</v>
      </c>
      <c r="H21" s="337">
        <f t="shared" si="3"/>
        <v>940.66013317614909</v>
      </c>
      <c r="I21" s="337">
        <f t="shared" si="3"/>
        <v>987.85563933220044</v>
      </c>
      <c r="J21" s="337">
        <f t="shared" si="3"/>
        <v>1035.4044052648687</v>
      </c>
      <c r="K21" s="337">
        <f t="shared" si="3"/>
        <v>1073.1325494075807</v>
      </c>
      <c r="L21" s="337">
        <f t="shared" si="3"/>
        <v>1118.7737125465164</v>
      </c>
      <c r="M21" s="337">
        <f t="shared" si="3"/>
        <v>1156.643160599875</v>
      </c>
      <c r="N21" s="338">
        <f t="shared" si="3"/>
        <v>1211.9636416181211</v>
      </c>
    </row>
    <row r="22" spans="2:17" ht="13.5" thickBot="1"/>
    <row r="23" spans="2:17" s="2" customFormat="1" ht="15.75">
      <c r="B23" s="2566" t="s">
        <v>1283</v>
      </c>
      <c r="C23" s="2568">
        <v>2022</v>
      </c>
      <c r="D23" s="2569"/>
      <c r="E23" s="2569"/>
      <c r="F23" s="2569"/>
      <c r="G23" s="2569"/>
      <c r="H23" s="2569"/>
      <c r="I23" s="2569"/>
      <c r="J23" s="2569"/>
      <c r="K23" s="2569"/>
      <c r="L23" s="2569"/>
      <c r="M23" s="2570"/>
      <c r="N23" s="2571"/>
    </row>
    <row r="24" spans="2:17" s="2" customFormat="1" ht="16.5" thickBot="1">
      <c r="B24" s="2567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1348</v>
      </c>
      <c r="C25" s="546">
        <v>1792.5</v>
      </c>
      <c r="D25" s="546">
        <v>1901.4</v>
      </c>
      <c r="E25" s="546">
        <v>1998.1</v>
      </c>
      <c r="F25" s="1993">
        <v>2109.6</v>
      </c>
      <c r="G25" s="546">
        <v>2229.9</v>
      </c>
      <c r="H25" s="546">
        <v>2368</v>
      </c>
      <c r="I25" s="546">
        <v>2538.9</v>
      </c>
      <c r="J25" s="546">
        <v>2708.1</v>
      </c>
      <c r="K25" s="546">
        <v>2947.5</v>
      </c>
      <c r="L25" s="546">
        <v>3204.8</v>
      </c>
      <c r="M25" s="546">
        <v>3425.8432750389356</v>
      </c>
      <c r="N25" s="1640">
        <v>3659.3</v>
      </c>
    </row>
    <row r="26" spans="2:17" s="2" customFormat="1" ht="15.75">
      <c r="B26" s="566" t="s">
        <v>996</v>
      </c>
      <c r="C26" s="1633">
        <f>+C25/N18</f>
        <v>1.0449457852395942</v>
      </c>
      <c r="D26" s="323">
        <f t="shared" ref="D26:N26" si="4">+D25/C25</f>
        <v>1.0607531380753139</v>
      </c>
      <c r="E26" s="323">
        <f t="shared" si="4"/>
        <v>1.0508572630693171</v>
      </c>
      <c r="F26" s="323">
        <f t="shared" si="4"/>
        <v>1.0558030128622191</v>
      </c>
      <c r="G26" s="323">
        <f t="shared" si="4"/>
        <v>1.0570250284414109</v>
      </c>
      <c r="H26" s="323">
        <f t="shared" si="4"/>
        <v>1.061931028297233</v>
      </c>
      <c r="I26" s="323">
        <f t="shared" si="4"/>
        <v>1.0721706081081082</v>
      </c>
      <c r="J26" s="323">
        <f t="shared" si="4"/>
        <v>1.0666430343849698</v>
      </c>
      <c r="K26" s="323">
        <f t="shared" si="4"/>
        <v>1.0884014622798273</v>
      </c>
      <c r="L26" s="323">
        <f t="shared" si="4"/>
        <v>1.0872943172179814</v>
      </c>
      <c r="M26" s="323">
        <f t="shared" si="4"/>
        <v>1.0689725646027632</v>
      </c>
      <c r="N26" s="323">
        <f t="shared" si="4"/>
        <v>1.0681457691488854</v>
      </c>
      <c r="Q26" s="2">
        <v>166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1285</v>
      </c>
      <c r="C28" s="337">
        <f>+N21*C26</f>
        <v>1266.4362991724856</v>
      </c>
      <c r="D28" s="337">
        <f t="shared" ref="D28:E28" si="5">+C28*D26</f>
        <v>1343.3762785197011</v>
      </c>
      <c r="E28" s="337">
        <f t="shared" si="5"/>
        <v>1411.6967193174578</v>
      </c>
      <c r="F28" s="337">
        <f t="shared" ref="F28:N28" si="6">+E28*F26</f>
        <v>1490.4736495030825</v>
      </c>
      <c r="G28" s="337">
        <f t="shared" si="6"/>
        <v>1575.4679517571692</v>
      </c>
      <c r="H28" s="337">
        <f t="shared" si="6"/>
        <v>1673.038302058826</v>
      </c>
      <c r="I28" s="337">
        <f t="shared" si="6"/>
        <v>1793.7824937065682</v>
      </c>
      <c r="J28" s="337">
        <f t="shared" si="6"/>
        <v>1913.3256021138118</v>
      </c>
      <c r="K28" s="337">
        <f t="shared" si="6"/>
        <v>2082.4663831581038</v>
      </c>
      <c r="L28" s="337">
        <f t="shared" si="6"/>
        <v>2264.2538642052896</v>
      </c>
      <c r="M28" s="337">
        <f t="shared" si="6"/>
        <v>2420.4252601312451</v>
      </c>
      <c r="N28" s="337">
        <f t="shared" si="6"/>
        <v>2585.3670011502795</v>
      </c>
    </row>
    <row r="29" spans="2:17" ht="13.5" thickBot="1"/>
    <row r="30" spans="2:17" s="2" customFormat="1" ht="15.75">
      <c r="B30" s="2566" t="s">
        <v>1283</v>
      </c>
      <c r="C30" s="2568">
        <v>2023</v>
      </c>
      <c r="D30" s="2569"/>
      <c r="E30" s="2569"/>
      <c r="F30" s="2569"/>
      <c r="G30" s="2569"/>
      <c r="H30" s="2569"/>
      <c r="I30" s="2569"/>
      <c r="J30" s="2569"/>
      <c r="K30" s="2569"/>
      <c r="L30" s="2569"/>
      <c r="M30" s="2570"/>
      <c r="N30" s="2571"/>
    </row>
    <row r="31" spans="2:17" s="2" customFormat="1" ht="16.5" thickBot="1">
      <c r="B31" s="2567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7" s="2" customFormat="1" ht="15.75">
      <c r="B32" s="544" t="s">
        <v>1348</v>
      </c>
      <c r="C32" s="546">
        <v>3846.5</v>
      </c>
      <c r="D32" s="546">
        <v>4060</v>
      </c>
      <c r="E32" s="546"/>
      <c r="F32" s="1993"/>
      <c r="G32" s="546"/>
      <c r="H32" s="546"/>
      <c r="I32" s="546"/>
      <c r="J32" s="546"/>
      <c r="K32" s="546"/>
      <c r="L32" s="546"/>
      <c r="M32" s="546"/>
      <c r="N32" s="1640"/>
    </row>
    <row r="33" spans="2:17" s="2" customFormat="1" ht="15.75">
      <c r="B33" s="566" t="s">
        <v>996</v>
      </c>
      <c r="C33" s="1633">
        <f>+C32/N25</f>
        <v>1.0511573251714807</v>
      </c>
      <c r="D33" s="323">
        <f t="shared" ref="D33" si="7">+D32/C32</f>
        <v>1.0555050045495906</v>
      </c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Q33" s="2">
        <v>166</v>
      </c>
    </row>
    <row r="34" spans="2:17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7" s="2" customFormat="1" ht="16.5" thickBot="1">
      <c r="B35" s="1243" t="s">
        <v>1285</v>
      </c>
      <c r="C35" s="337">
        <f>+N28*C33</f>
        <v>2717.6274615157404</v>
      </c>
      <c r="D35" s="337">
        <f t="shared" ref="D35" si="8">+C35*D33</f>
        <v>2868.4693861312639</v>
      </c>
      <c r="E35" s="337">
        <f t="shared" ref="E35" si="9">+D35*E33</f>
        <v>0</v>
      </c>
      <c r="F35" s="337">
        <f t="shared" ref="F35" si="10">+E35*F33</f>
        <v>0</v>
      </c>
      <c r="G35" s="337">
        <f t="shared" ref="G35" si="11">+F35*G33</f>
        <v>0</v>
      </c>
      <c r="H35" s="337">
        <f t="shared" ref="H35" si="12">+G35*H33</f>
        <v>0</v>
      </c>
      <c r="I35" s="337">
        <f t="shared" ref="I35" si="13">+H35*I33</f>
        <v>0</v>
      </c>
      <c r="J35" s="337">
        <f t="shared" ref="J35" si="14">+I35*J33</f>
        <v>0</v>
      </c>
      <c r="K35" s="337">
        <f t="shared" ref="K35" si="15">+J35*K33</f>
        <v>0</v>
      </c>
      <c r="L35" s="337">
        <f t="shared" ref="L35" si="16">+K35*L33</f>
        <v>0</v>
      </c>
      <c r="M35" s="337">
        <f t="shared" ref="M35" si="17">+L35*M33</f>
        <v>0</v>
      </c>
      <c r="N35" s="337">
        <f t="shared" ref="N35" si="18">+M35*N33</f>
        <v>0</v>
      </c>
    </row>
  </sheetData>
  <mergeCells count="11">
    <mergeCell ref="D1:O1"/>
    <mergeCell ref="D2:O2"/>
    <mergeCell ref="B4:O4"/>
    <mergeCell ref="B9:B10"/>
    <mergeCell ref="C9:N9"/>
    <mergeCell ref="B30:B31"/>
    <mergeCell ref="C30:N30"/>
    <mergeCell ref="B23:B24"/>
    <mergeCell ref="C23:N23"/>
    <mergeCell ref="B16:B17"/>
    <mergeCell ref="C16:N16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318"/>
  <sheetViews>
    <sheetView view="pageBreakPreview" topLeftCell="A281" zoomScale="70" zoomScaleNormal="70" zoomScaleSheetLayoutView="70" workbookViewId="0">
      <selection activeCell="D318" sqref="D318"/>
    </sheetView>
  </sheetViews>
  <sheetFormatPr baseColWidth="10" defaultRowHeight="12.75"/>
  <cols>
    <col min="1" max="1" width="2.28515625" customWidth="1"/>
    <col min="2" max="2" width="38.7109375" customWidth="1"/>
    <col min="3" max="3" width="13.140625" bestFit="1" customWidth="1"/>
    <col min="4" max="4" width="12.7109375" bestFit="1" customWidth="1"/>
    <col min="5" max="5" width="10.7109375" customWidth="1"/>
    <col min="6" max="6" width="10" customWidth="1"/>
    <col min="7" max="7" width="12.5703125" bestFit="1" customWidth="1"/>
    <col min="8" max="8" width="11.5703125" customWidth="1"/>
    <col min="9" max="9" width="10" customWidth="1"/>
    <col min="10" max="10" width="10.140625" customWidth="1"/>
    <col min="11" max="11" width="11" customWidth="1"/>
    <col min="12" max="12" width="10.5703125" customWidth="1"/>
    <col min="13" max="13" width="10.140625" customWidth="1"/>
    <col min="14" max="14" width="10.42578125" customWidth="1"/>
  </cols>
  <sheetData>
    <row r="1" spans="2:25" s="2" customFormat="1" ht="15.75">
      <c r="B1" s="1" t="s">
        <v>591</v>
      </c>
      <c r="C1" s="132"/>
      <c r="D1" s="2572" t="s">
        <v>592</v>
      </c>
      <c r="E1" s="2572"/>
      <c r="F1" s="2572"/>
      <c r="G1" s="2572"/>
      <c r="H1" s="2572"/>
      <c r="I1" s="2572"/>
      <c r="J1" s="2572"/>
      <c r="K1" s="2572"/>
      <c r="L1" s="2572"/>
      <c r="M1" s="2362"/>
      <c r="N1" s="2362"/>
      <c r="O1" s="2362"/>
      <c r="P1" s="1"/>
      <c r="Q1" s="1"/>
    </row>
    <row r="2" spans="2:25" s="2" customFormat="1">
      <c r="B2" s="1" t="s">
        <v>593</v>
      </c>
      <c r="C2" s="2572" t="s">
        <v>594</v>
      </c>
      <c r="D2" s="2572"/>
      <c r="E2" s="2572"/>
      <c r="F2" s="2572"/>
      <c r="G2" s="2572"/>
      <c r="H2" s="2572"/>
      <c r="I2" s="2572"/>
      <c r="J2" s="2572"/>
      <c r="K2" s="2572"/>
      <c r="L2" s="2572"/>
      <c r="M2" s="2362"/>
      <c r="N2" s="2362"/>
      <c r="O2" s="2362"/>
      <c r="P2" s="1"/>
      <c r="Q2" s="1"/>
    </row>
    <row r="3" spans="2:25" s="2" customFormat="1" ht="16.5" thickBot="1">
      <c r="B3" s="1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363"/>
      <c r="C4" s="2363"/>
      <c r="D4" s="2573" t="s">
        <v>1020</v>
      </c>
      <c r="E4" s="2573"/>
      <c r="F4" s="2573"/>
      <c r="G4" s="2573"/>
      <c r="H4" s="2573"/>
      <c r="I4" s="2573"/>
      <c r="J4" s="2573"/>
      <c r="K4" s="2573"/>
      <c r="L4" s="2363"/>
      <c r="M4" s="2363"/>
      <c r="N4" s="2363"/>
      <c r="O4" s="2363"/>
      <c r="P4" s="51"/>
      <c r="Q4" s="51"/>
      <c r="S4" s="2574" t="s">
        <v>728</v>
      </c>
      <c r="T4" s="2575"/>
      <c r="U4" s="2575"/>
      <c r="V4" s="2576"/>
      <c r="X4" s="36">
        <v>37956</v>
      </c>
      <c r="Y4" s="54">
        <v>2.9897999999999998</v>
      </c>
    </row>
    <row r="5" spans="2:25" s="2" customFormat="1" ht="25.5" customHeight="1">
      <c r="B5" s="3" t="s">
        <v>1007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77" t="s">
        <v>711</v>
      </c>
      <c r="T5" s="2578"/>
      <c r="U5" s="2578"/>
      <c r="V5" s="35">
        <v>2.86</v>
      </c>
      <c r="X5" s="37">
        <v>37958</v>
      </c>
      <c r="Y5" s="55">
        <v>2.98</v>
      </c>
    </row>
    <row r="6" spans="2:25" s="2" customFormat="1" ht="15.75">
      <c r="B6" s="132" t="s">
        <v>1008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S6" s="2594"/>
      <c r="T6" s="2595"/>
      <c r="U6" s="2595"/>
      <c r="V6" s="35"/>
      <c r="X6" s="37">
        <v>37959</v>
      </c>
      <c r="Y6" s="55">
        <v>2.9706999999999999</v>
      </c>
    </row>
    <row r="8" spans="2:25" s="2" customFormat="1" ht="15.75" hidden="1">
      <c r="B8" s="2566" t="s">
        <v>1009</v>
      </c>
      <c r="C8" s="2568">
        <v>2015</v>
      </c>
      <c r="D8" s="2569"/>
      <c r="E8" s="2569"/>
      <c r="F8" s="2569"/>
      <c r="G8" s="2569"/>
      <c r="H8" s="2569"/>
      <c r="I8" s="2569"/>
      <c r="J8" s="2569"/>
      <c r="K8" s="2569"/>
      <c r="L8" s="2569"/>
      <c r="M8" s="2570"/>
      <c r="N8" s="2571"/>
    </row>
    <row r="9" spans="2:25" s="2" customFormat="1" ht="16.5" hidden="1" thickBot="1">
      <c r="B9" s="2567"/>
      <c r="C9" s="412" t="s">
        <v>578</v>
      </c>
      <c r="D9" s="412" t="s">
        <v>579</v>
      </c>
      <c r="E9" s="412" t="s">
        <v>580</v>
      </c>
      <c r="F9" s="412" t="s">
        <v>581</v>
      </c>
      <c r="G9" s="412" t="s">
        <v>582</v>
      </c>
      <c r="H9" s="412" t="s">
        <v>583</v>
      </c>
      <c r="I9" s="412" t="s">
        <v>587</v>
      </c>
      <c r="J9" s="412" t="s">
        <v>588</v>
      </c>
      <c r="K9" s="412" t="s">
        <v>589</v>
      </c>
      <c r="L9" s="412" t="s">
        <v>590</v>
      </c>
      <c r="M9" s="412" t="s">
        <v>586</v>
      </c>
      <c r="N9" s="1508" t="s">
        <v>577</v>
      </c>
    </row>
    <row r="10" spans="2:25" s="2" customFormat="1" ht="15.75" hidden="1">
      <c r="B10" s="544" t="s">
        <v>1011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6">
        <v>8.14</v>
      </c>
      <c r="M10" s="546">
        <v>8.52</v>
      </c>
      <c r="N10" s="546">
        <v>8.52</v>
      </c>
    </row>
    <row r="11" spans="2:25" s="2" customFormat="1" ht="15.75" hidden="1">
      <c r="B11" s="566" t="s">
        <v>996</v>
      </c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1633">
        <f>+M10/L10</f>
        <v>1.0466830466830466</v>
      </c>
      <c r="N11" s="1633">
        <f>+N10/M10</f>
        <v>1</v>
      </c>
    </row>
    <row r="12" spans="2:25" s="2" customFormat="1" ht="16.5" hidden="1" thickBot="1">
      <c r="B12" s="369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</row>
    <row r="13" spans="2:25" s="2" customFormat="1" ht="16.5" hidden="1" thickBot="1">
      <c r="B13" s="2465" t="s">
        <v>1010</v>
      </c>
      <c r="C13" s="337"/>
      <c r="D13" s="337"/>
      <c r="E13" s="337"/>
      <c r="F13" s="337"/>
      <c r="G13" s="337"/>
      <c r="H13" s="337"/>
      <c r="I13" s="337"/>
      <c r="J13" s="337"/>
      <c r="K13" s="337"/>
      <c r="L13" s="337">
        <v>2343.37</v>
      </c>
      <c r="M13" s="337">
        <f>+M11*L13</f>
        <v>2452.7656511056507</v>
      </c>
      <c r="N13" s="337">
        <f>+N11*M13</f>
        <v>2452.7656511056507</v>
      </c>
      <c r="P13" s="50">
        <v>2452.7656511056507</v>
      </c>
      <c r="Q13" s="50">
        <v>2452.7656511056507</v>
      </c>
      <c r="R13" s="50">
        <v>2608.2226289926289</v>
      </c>
      <c r="S13" s="50">
        <v>2613.9802948402948</v>
      </c>
      <c r="T13" s="50">
        <v>2757.9219410319411</v>
      </c>
    </row>
    <row r="14" spans="2:25" s="2" customFormat="1" ht="16.5" thickBot="1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2:25" s="2" customFormat="1" ht="15.75">
      <c r="B15" s="2566" t="s">
        <v>1009</v>
      </c>
      <c r="C15" s="2568">
        <v>2016</v>
      </c>
      <c r="D15" s="2569"/>
      <c r="E15" s="2569"/>
      <c r="F15" s="2569"/>
      <c r="G15" s="2569"/>
      <c r="H15" s="2569"/>
      <c r="I15" s="2569"/>
      <c r="J15" s="2569"/>
      <c r="K15" s="2569"/>
      <c r="L15" s="2569"/>
      <c r="M15" s="2570"/>
      <c r="N15" s="2571"/>
    </row>
    <row r="16" spans="2:25" s="2" customFormat="1" ht="16.5" thickBot="1">
      <c r="B16" s="2567"/>
      <c r="C16" s="412" t="s">
        <v>578</v>
      </c>
      <c r="D16" s="412" t="s">
        <v>579</v>
      </c>
      <c r="E16" s="412" t="s">
        <v>580</v>
      </c>
      <c r="F16" s="412" t="s">
        <v>581</v>
      </c>
      <c r="G16" s="412" t="s">
        <v>582</v>
      </c>
      <c r="H16" s="412" t="s">
        <v>583</v>
      </c>
      <c r="I16" s="412" t="s">
        <v>587</v>
      </c>
      <c r="J16" s="412" t="s">
        <v>588</v>
      </c>
      <c r="K16" s="412" t="s">
        <v>589</v>
      </c>
      <c r="L16" s="412" t="s">
        <v>590</v>
      </c>
      <c r="M16" s="412" t="s">
        <v>586</v>
      </c>
      <c r="N16" s="1508" t="s">
        <v>577</v>
      </c>
    </row>
    <row r="17" spans="2:14" s="2" customFormat="1" ht="15.75">
      <c r="B17" s="544" t="s">
        <v>1011</v>
      </c>
      <c r="C17" s="546">
        <v>9.06</v>
      </c>
      <c r="D17" s="546">
        <v>9.08</v>
      </c>
      <c r="E17" s="546">
        <v>9.58</v>
      </c>
      <c r="F17" s="545">
        <v>10.24</v>
      </c>
      <c r="G17" s="546">
        <v>11.165525235754073</v>
      </c>
      <c r="H17" s="546">
        <v>11.169005786825993</v>
      </c>
      <c r="I17" s="546">
        <v>11.181154671228267</v>
      </c>
      <c r="J17" s="546">
        <v>11.196942212630701</v>
      </c>
      <c r="K17" s="546">
        <v>11.197731807839702</v>
      </c>
      <c r="L17" s="546">
        <v>11.268818733798078</v>
      </c>
      <c r="M17" s="1644">
        <v>11.270723021030829</v>
      </c>
      <c r="N17" s="546">
        <v>11.279154107522263</v>
      </c>
    </row>
    <row r="18" spans="2:14" s="2" customFormat="1" ht="15.75">
      <c r="B18" s="566" t="s">
        <v>996</v>
      </c>
      <c r="C18" s="1633">
        <f>+C17/N10</f>
        <v>1.063380281690141</v>
      </c>
      <c r="D18" s="1633">
        <f t="shared" ref="D18:N18" si="0">+D17/C17</f>
        <v>1.0022075055187638</v>
      </c>
      <c r="E18" s="1633">
        <f t="shared" si="0"/>
        <v>1.0550660792951543</v>
      </c>
      <c r="F18" s="1633">
        <f t="shared" si="0"/>
        <v>1.0688935281837162</v>
      </c>
      <c r="G18" s="1633">
        <f t="shared" si="0"/>
        <v>1.0903833238041087</v>
      </c>
      <c r="H18" s="1633">
        <f t="shared" si="0"/>
        <v>1.0003117230043757</v>
      </c>
      <c r="I18" s="1633">
        <f t="shared" si="0"/>
        <v>1.0010877319462583</v>
      </c>
      <c r="J18" s="1633">
        <f t="shared" si="0"/>
        <v>1.0014119777309816</v>
      </c>
      <c r="K18" s="1633">
        <f t="shared" si="0"/>
        <v>1.0000705188250512</v>
      </c>
      <c r="L18" s="1633">
        <f t="shared" si="0"/>
        <v>1.0063483326068416</v>
      </c>
      <c r="M18" s="1633">
        <f t="shared" si="0"/>
        <v>1.0001689872982906</v>
      </c>
      <c r="N18" s="1633">
        <f t="shared" si="0"/>
        <v>1.0007480519639869</v>
      </c>
    </row>
    <row r="19" spans="2:14" s="2" customFormat="1" ht="16.5" thickBot="1">
      <c r="B19" s="369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</row>
    <row r="20" spans="2:14" s="2" customFormat="1" ht="16.5" thickBot="1">
      <c r="B20" s="2465" t="s">
        <v>1010</v>
      </c>
      <c r="C20" s="337">
        <v>100</v>
      </c>
      <c r="D20" s="337">
        <f t="shared" ref="D20:N20" si="1">+C20*D18</f>
        <v>100.22075055187638</v>
      </c>
      <c r="E20" s="337">
        <f t="shared" si="1"/>
        <v>105.73951434878587</v>
      </c>
      <c r="F20" s="337">
        <f t="shared" si="1"/>
        <v>113.02428256070641</v>
      </c>
      <c r="G20" s="337">
        <f t="shared" si="1"/>
        <v>123.23979288911782</v>
      </c>
      <c r="H20" s="337">
        <f t="shared" si="1"/>
        <v>123.27820956761585</v>
      </c>
      <c r="I20" s="337">
        <f t="shared" si="1"/>
        <v>123.41230321444007</v>
      </c>
      <c r="J20" s="337">
        <f t="shared" si="1"/>
        <v>123.58655863830801</v>
      </c>
      <c r="K20" s="337">
        <f t="shared" si="1"/>
        <v>123.5952738172153</v>
      </c>
      <c r="L20" s="337">
        <f t="shared" si="1"/>
        <v>124.37989772404065</v>
      </c>
      <c r="M20" s="337">
        <f t="shared" si="1"/>
        <v>124.40091634691869</v>
      </c>
      <c r="N20" s="337">
        <f t="shared" si="1"/>
        <v>124.49397469671376</v>
      </c>
    </row>
    <row r="22" spans="2:14" s="2" customFormat="1" ht="15.75" hidden="1">
      <c r="B22" s="2566" t="s">
        <v>1009</v>
      </c>
      <c r="C22" s="2568">
        <v>2017</v>
      </c>
      <c r="D22" s="2569"/>
      <c r="E22" s="2569"/>
      <c r="F22" s="2569"/>
      <c r="G22" s="2569"/>
      <c r="H22" s="2569"/>
      <c r="I22" s="2569"/>
      <c r="J22" s="2569"/>
      <c r="K22" s="2569"/>
      <c r="L22" s="2569"/>
      <c r="M22" s="2570"/>
      <c r="N22" s="2571"/>
    </row>
    <row r="23" spans="2:14" s="2" customFormat="1" ht="16.5" hidden="1" thickBot="1">
      <c r="B23" s="2567"/>
      <c r="C23" s="412" t="s">
        <v>578</v>
      </c>
      <c r="D23" s="412" t="s">
        <v>579</v>
      </c>
      <c r="E23" s="412" t="s">
        <v>580</v>
      </c>
      <c r="F23" s="412" t="s">
        <v>581</v>
      </c>
      <c r="G23" s="412" t="s">
        <v>582</v>
      </c>
      <c r="H23" s="412" t="s">
        <v>583</v>
      </c>
      <c r="I23" s="412" t="s">
        <v>587</v>
      </c>
      <c r="J23" s="412" t="s">
        <v>588</v>
      </c>
      <c r="K23" s="412" t="s">
        <v>589</v>
      </c>
      <c r="L23" s="412" t="s">
        <v>590</v>
      </c>
      <c r="M23" s="412" t="s">
        <v>586</v>
      </c>
      <c r="N23" s="1508" t="s">
        <v>577</v>
      </c>
    </row>
    <row r="24" spans="2:14" s="2" customFormat="1" ht="15.75" hidden="1">
      <c r="B24" s="544" t="s">
        <v>1011</v>
      </c>
      <c r="C24" s="546">
        <v>12.090496190751786</v>
      </c>
      <c r="D24" s="546">
        <v>12.094346825659608</v>
      </c>
      <c r="E24" s="546">
        <v>12.124603611101806</v>
      </c>
      <c r="F24" s="545">
        <v>12.212481623511756</v>
      </c>
      <c r="G24" s="546">
        <v>12.213028925947956</v>
      </c>
      <c r="H24" s="546">
        <v>12.317795111150703</v>
      </c>
      <c r="I24" s="546">
        <v>13.074467082255335</v>
      </c>
      <c r="J24" s="546">
        <v>13.075026883147547</v>
      </c>
      <c r="K24" s="546">
        <v>13.112021712072428</v>
      </c>
      <c r="L24" s="546">
        <v>14.02206591490407</v>
      </c>
      <c r="M24" s="546">
        <v>14.02206591490407</v>
      </c>
      <c r="N24" s="546">
        <v>14.731398998349993</v>
      </c>
    </row>
    <row r="25" spans="2:14" s="2" customFormat="1" ht="15.75" hidden="1">
      <c r="B25" s="566" t="s">
        <v>996</v>
      </c>
      <c r="C25" s="1633">
        <f>+C24/N17</f>
        <v>1.0719328839286295</v>
      </c>
      <c r="D25" s="1633">
        <f t="shared" ref="D25:M25" si="2">+D24/C24</f>
        <v>1.0003184844399329</v>
      </c>
      <c r="E25" s="1633">
        <f t="shared" si="2"/>
        <v>1.002501729599651</v>
      </c>
      <c r="F25" s="1633">
        <f t="shared" si="2"/>
        <v>1.0072479080742471</v>
      </c>
      <c r="G25" s="1633">
        <f t="shared" si="2"/>
        <v>1.0000448150059154</v>
      </c>
      <c r="H25" s="1633">
        <f t="shared" si="2"/>
        <v>1.0085782311528109</v>
      </c>
      <c r="I25" s="1633">
        <f t="shared" si="2"/>
        <v>1.0614291733444774</v>
      </c>
      <c r="J25" s="1633">
        <f t="shared" si="2"/>
        <v>1.000042816344918</v>
      </c>
      <c r="K25" s="1633">
        <f t="shared" si="2"/>
        <v>1.0028294266050468</v>
      </c>
      <c r="L25" s="1633">
        <f t="shared" si="2"/>
        <v>1.0694053306816713</v>
      </c>
      <c r="M25" s="1633">
        <f t="shared" si="2"/>
        <v>1</v>
      </c>
      <c r="N25" s="1633">
        <v>1</v>
      </c>
    </row>
    <row r="26" spans="2:14" s="2" customFormat="1" ht="16.5" hidden="1" thickBot="1">
      <c r="B26" s="369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</row>
    <row r="27" spans="2:14" s="2" customFormat="1" ht="16.5" hidden="1" thickBot="1">
      <c r="B27" s="2465" t="s">
        <v>1010</v>
      </c>
      <c r="C27" s="337">
        <f>+N20*C25</f>
        <v>133.44918532838622</v>
      </c>
      <c r="D27" s="337">
        <f t="shared" ref="D27:L27" si="3">+C27*D25</f>
        <v>133.49168681743504</v>
      </c>
      <c r="E27" s="337">
        <f t="shared" si="3"/>
        <v>133.82564692165354</v>
      </c>
      <c r="F27" s="337">
        <f t="shared" si="3"/>
        <v>134.79560290851833</v>
      </c>
      <c r="G27" s="337">
        <f t="shared" si="3"/>
        <v>134.80164377426004</v>
      </c>
      <c r="H27" s="337">
        <f t="shared" si="3"/>
        <v>135.9580034343345</v>
      </c>
      <c r="I27" s="337">
        <f t="shared" si="3"/>
        <v>144.30979119487128</v>
      </c>
      <c r="J27" s="337">
        <f t="shared" si="3"/>
        <v>144.31597001266613</v>
      </c>
      <c r="K27" s="337">
        <f t="shared" si="3"/>
        <v>144.72430145775311</v>
      </c>
      <c r="L27" s="337">
        <f t="shared" si="3"/>
        <v>154.76893945810235</v>
      </c>
      <c r="M27" s="337">
        <f>+L27*M25</f>
        <v>154.76893945810235</v>
      </c>
      <c r="N27" s="337">
        <f>+M27*N25</f>
        <v>154.76893945810235</v>
      </c>
    </row>
    <row r="28" spans="2:14" ht="13.5" hidden="1" thickBot="1"/>
    <row r="29" spans="2:14" s="2" customFormat="1" ht="15.75" hidden="1">
      <c r="B29" s="2566" t="s">
        <v>1009</v>
      </c>
      <c r="C29" s="2568">
        <v>2018</v>
      </c>
      <c r="D29" s="2569"/>
      <c r="E29" s="2569"/>
      <c r="F29" s="2569"/>
      <c r="G29" s="2569"/>
      <c r="H29" s="2569"/>
      <c r="I29" s="2569"/>
      <c r="J29" s="2569"/>
      <c r="K29" s="2569"/>
      <c r="L29" s="2569"/>
      <c r="M29" s="2570"/>
      <c r="N29" s="2571"/>
    </row>
    <row r="30" spans="2:14" s="2" customFormat="1" ht="16.5" hidden="1" thickBot="1">
      <c r="B30" s="2567"/>
      <c r="C30" s="412" t="s">
        <v>578</v>
      </c>
      <c r="D30" s="412" t="s">
        <v>579</v>
      </c>
      <c r="E30" s="412" t="s">
        <v>580</v>
      </c>
      <c r="F30" s="412" t="s">
        <v>581</v>
      </c>
      <c r="G30" s="412" t="s">
        <v>582</v>
      </c>
      <c r="H30" s="412" t="s">
        <v>583</v>
      </c>
      <c r="I30" s="412" t="s">
        <v>587</v>
      </c>
      <c r="J30" s="412" t="s">
        <v>588</v>
      </c>
      <c r="K30" s="412" t="s">
        <v>589</v>
      </c>
      <c r="L30" s="412" t="s">
        <v>590</v>
      </c>
      <c r="M30" s="412" t="s">
        <v>586</v>
      </c>
      <c r="N30" s="1508" t="s">
        <v>577</v>
      </c>
    </row>
    <row r="31" spans="2:14" s="2" customFormat="1" ht="15.75" hidden="1">
      <c r="B31" s="544" t="s">
        <v>1011</v>
      </c>
      <c r="C31" s="546">
        <v>15.182867725259575</v>
      </c>
      <c r="D31" s="546">
        <v>15.665970558361748</v>
      </c>
      <c r="E31" s="546">
        <v>15.683542420527496</v>
      </c>
      <c r="F31" s="546">
        <v>17.318321888884704</v>
      </c>
      <c r="G31" s="546">
        <v>17.33335760256174</v>
      </c>
      <c r="H31" s="546">
        <v>17.792681925143601</v>
      </c>
      <c r="I31" s="546">
        <v>19.567481496384882</v>
      </c>
      <c r="J31" s="546">
        <v>20.743710895361477</v>
      </c>
      <c r="K31" s="546">
        <v>24.980464614593686</v>
      </c>
      <c r="L31" s="546">
        <v>25.02217952326076</v>
      </c>
      <c r="M31" s="546">
        <v>26.108440639729288</v>
      </c>
      <c r="N31" s="546">
        <v>27.012791164333184</v>
      </c>
    </row>
    <row r="32" spans="2:14" s="2" customFormat="1" ht="15.75" hidden="1">
      <c r="B32" s="566" t="s">
        <v>996</v>
      </c>
      <c r="C32" s="1633">
        <f>+C31/N24</f>
        <v>1.0306466973679926</v>
      </c>
      <c r="D32" s="1633">
        <f t="shared" ref="D32:N32" si="4">+D31/C31</f>
        <v>1.0318189450006496</v>
      </c>
      <c r="E32" s="1633">
        <f t="shared" si="4"/>
        <v>1.0011216580613558</v>
      </c>
      <c r="F32" s="1633">
        <f t="shared" si="4"/>
        <v>1.104235345850024</v>
      </c>
      <c r="G32" s="1633">
        <f t="shared" si="4"/>
        <v>1.0008681969173172</v>
      </c>
      <c r="H32" s="1633">
        <f t="shared" si="4"/>
        <v>1.0264994430458168</v>
      </c>
      <c r="I32" s="1633">
        <f t="shared" si="4"/>
        <v>1.0997488506065651</v>
      </c>
      <c r="J32" s="1633">
        <f t="shared" si="4"/>
        <v>1.0601114353522656</v>
      </c>
      <c r="K32" s="1633">
        <f t="shared" si="4"/>
        <v>1.2042428059571344</v>
      </c>
      <c r="L32" s="1633">
        <f t="shared" si="4"/>
        <v>1.0016699012332502</v>
      </c>
      <c r="M32" s="1633">
        <f t="shared" si="4"/>
        <v>1.0434119304219176</v>
      </c>
      <c r="N32" s="1633">
        <f t="shared" si="4"/>
        <v>1.0346382435122434</v>
      </c>
    </row>
    <row r="33" spans="2:14" s="2" customFormat="1" ht="16.5" hidden="1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hidden="1" thickBot="1">
      <c r="B34" s="2465" t="s">
        <v>1010</v>
      </c>
      <c r="C34" s="337">
        <f>+N27*C32</f>
        <v>159.51209630763998</v>
      </c>
      <c r="D34" s="337">
        <f t="shared" ref="D34:N34" si="5">+C34*D32</f>
        <v>164.58760292699111</v>
      </c>
      <c r="E34" s="337">
        <f t="shared" si="5"/>
        <v>164.77221393861339</v>
      </c>
      <c r="F34" s="337">
        <f t="shared" si="5"/>
        <v>181.94730264497892</v>
      </c>
      <c r="G34" s="337">
        <f t="shared" si="5"/>
        <v>182.10526873224947</v>
      </c>
      <c r="H34" s="337">
        <f t="shared" si="5"/>
        <v>186.93095692936288</v>
      </c>
      <c r="I34" s="337">
        <f t="shared" si="5"/>
        <v>205.57710502585215</v>
      </c>
      <c r="J34" s="337">
        <f t="shared" si="5"/>
        <v>217.93463988451958</v>
      </c>
      <c r="K34" s="337">
        <f t="shared" si="5"/>
        <v>262.4462222497915</v>
      </c>
      <c r="L34" s="337">
        <f t="shared" si="5"/>
        <v>262.8844815199883</v>
      </c>
      <c r="M34" s="337">
        <f t="shared" si="5"/>
        <v>274.29680434073589</v>
      </c>
      <c r="N34" s="337">
        <f t="shared" si="5"/>
        <v>283.79796384412049</v>
      </c>
    </row>
    <row r="35" spans="2:14" s="2" customFormat="1" ht="16.5" hidden="1" thickBot="1">
      <c r="B35" s="269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</row>
    <row r="36" spans="2:14" s="2" customFormat="1" ht="15.75" hidden="1">
      <c r="B36" s="2566" t="s">
        <v>1009</v>
      </c>
      <c r="C36" s="2568">
        <v>2019</v>
      </c>
      <c r="D36" s="2569"/>
      <c r="E36" s="2569"/>
      <c r="F36" s="2569"/>
      <c r="G36" s="2569"/>
      <c r="H36" s="2569"/>
      <c r="I36" s="2569"/>
      <c r="J36" s="2569"/>
      <c r="K36" s="2569"/>
      <c r="L36" s="2569"/>
      <c r="M36" s="2570"/>
      <c r="N36" s="2571"/>
    </row>
    <row r="37" spans="2:14" s="2" customFormat="1" ht="16.5" hidden="1" thickBot="1">
      <c r="B37" s="2567"/>
      <c r="C37" s="412" t="s">
        <v>578</v>
      </c>
      <c r="D37" s="412" t="s">
        <v>579</v>
      </c>
      <c r="E37" s="412" t="s">
        <v>580</v>
      </c>
      <c r="F37" s="412" t="s">
        <v>581</v>
      </c>
      <c r="G37" s="412" t="s">
        <v>582</v>
      </c>
      <c r="H37" s="412" t="s">
        <v>583</v>
      </c>
      <c r="I37" s="412" t="s">
        <v>587</v>
      </c>
      <c r="J37" s="412" t="s">
        <v>588</v>
      </c>
      <c r="K37" s="412" t="s">
        <v>589</v>
      </c>
      <c r="L37" s="412" t="s">
        <v>590</v>
      </c>
      <c r="M37" s="412" t="s">
        <v>586</v>
      </c>
      <c r="N37" s="1508" t="s">
        <v>577</v>
      </c>
    </row>
    <row r="38" spans="2:14" s="2" customFormat="1" ht="15.75" hidden="1">
      <c r="B38" s="544" t="s">
        <v>1011</v>
      </c>
      <c r="C38" s="546">
        <v>26.783075238234112</v>
      </c>
      <c r="D38" s="546">
        <v>28.096946920276679</v>
      </c>
      <c r="E38" s="546">
        <v>29.317195074131448</v>
      </c>
      <c r="F38" s="546">
        <v>30.695659881987083</v>
      </c>
      <c r="G38" s="546">
        <v>30.961370056153548</v>
      </c>
      <c r="H38" s="546">
        <v>32.085333436043378</v>
      </c>
      <c r="I38" s="546">
        <v>32.76</v>
      </c>
      <c r="J38" s="546">
        <v>33.059856446006556</v>
      </c>
      <c r="K38" s="546">
        <v>34.434757516609189</v>
      </c>
      <c r="L38" s="546">
        <v>34.667583079374729</v>
      </c>
      <c r="M38" s="546">
        <v>37.971045615449448</v>
      </c>
      <c r="N38" s="546">
        <v>40.179101628439163</v>
      </c>
    </row>
    <row r="39" spans="2:14" s="2" customFormat="1" ht="15.75" hidden="1">
      <c r="B39" s="566" t="s">
        <v>996</v>
      </c>
      <c r="C39" s="1633">
        <f>+C38/N31</f>
        <v>0.99149603146518306</v>
      </c>
      <c r="D39" s="1633">
        <f t="shared" ref="D39:N39" si="6">+D38/C38</f>
        <v>1.0490560426820201</v>
      </c>
      <c r="E39" s="1633">
        <f t="shared" si="6"/>
        <v>1.0434299198883474</v>
      </c>
      <c r="F39" s="1633">
        <f t="shared" si="6"/>
        <v>1.0470189867881308</v>
      </c>
      <c r="G39" s="1633">
        <f t="shared" si="6"/>
        <v>1.0086562782878106</v>
      </c>
      <c r="H39" s="1633">
        <f t="shared" si="6"/>
        <v>1.0363021202825113</v>
      </c>
      <c r="I39" s="1633">
        <f t="shared" si="6"/>
        <v>1.0210272573698338</v>
      </c>
      <c r="J39" s="1633">
        <f t="shared" si="6"/>
        <v>1.0091531271674774</v>
      </c>
      <c r="K39" s="1633">
        <f t="shared" si="6"/>
        <v>1.0415882347477257</v>
      </c>
      <c r="L39" s="1633">
        <f t="shared" si="6"/>
        <v>1.006761353340538</v>
      </c>
      <c r="M39" s="1633">
        <f t="shared" si="6"/>
        <v>1.0952896695599208</v>
      </c>
      <c r="N39" s="1633">
        <f t="shared" si="6"/>
        <v>1.0581510458087389</v>
      </c>
    </row>
    <row r="40" spans="2:14" s="2" customFormat="1" ht="16.5" hidden="1" thickBot="1">
      <c r="B40" s="369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</row>
    <row r="41" spans="2:14" s="2" customFormat="1" ht="16.5" hidden="1" thickBot="1">
      <c r="B41" s="2465" t="s">
        <v>1010</v>
      </c>
      <c r="C41" s="337">
        <f>+N34*C39</f>
        <v>281.384554889345</v>
      </c>
      <c r="D41" s="337">
        <f>+C41*D39</f>
        <v>295.18816762405794</v>
      </c>
      <c r="E41" s="337">
        <f t="shared" ref="E41:N41" si="7">+D41*E39</f>
        <v>308.00816609595887</v>
      </c>
      <c r="F41" s="337">
        <f t="shared" si="7"/>
        <v>322.49039798826112</v>
      </c>
      <c r="G41" s="337">
        <f t="shared" si="7"/>
        <v>325.28196461839428</v>
      </c>
      <c r="H41" s="337">
        <f t="shared" si="7"/>
        <v>337.09038962370283</v>
      </c>
      <c r="I41" s="337">
        <f t="shared" si="7"/>
        <v>344.17847600321801</v>
      </c>
      <c r="J41" s="337">
        <f t="shared" si="7"/>
        <v>347.32878536238405</v>
      </c>
      <c r="K41" s="337">
        <f t="shared" si="7"/>
        <v>361.77357642267731</v>
      </c>
      <c r="L41" s="337">
        <f t="shared" si="7"/>
        <v>364.21965540214114</v>
      </c>
      <c r="M41" s="337">
        <f t="shared" si="7"/>
        <v>398.9260260126394</v>
      </c>
      <c r="N41" s="337">
        <f t="shared" si="7"/>
        <v>422.12399162559853</v>
      </c>
    </row>
    <row r="42" spans="2:14" ht="13.5" hidden="1" thickBot="1"/>
    <row r="43" spans="2:14" s="2" customFormat="1" ht="15.75" hidden="1">
      <c r="B43" s="2566" t="s">
        <v>1009</v>
      </c>
      <c r="C43" s="2568">
        <v>2020</v>
      </c>
      <c r="D43" s="2569"/>
      <c r="E43" s="2569"/>
      <c r="F43" s="2569"/>
      <c r="G43" s="2569"/>
      <c r="H43" s="2569"/>
      <c r="I43" s="2569"/>
      <c r="J43" s="2569"/>
      <c r="K43" s="2569"/>
      <c r="L43" s="2569"/>
      <c r="M43" s="2570"/>
      <c r="N43" s="2571"/>
    </row>
    <row r="44" spans="2:14" s="2" customFormat="1" ht="16.5" hidden="1" thickBot="1">
      <c r="B44" s="2567"/>
      <c r="C44" s="412" t="s">
        <v>578</v>
      </c>
      <c r="D44" s="412" t="s">
        <v>579</v>
      </c>
      <c r="E44" s="412" t="s">
        <v>580</v>
      </c>
      <c r="F44" s="412" t="s">
        <v>581</v>
      </c>
      <c r="G44" s="412" t="s">
        <v>582</v>
      </c>
      <c r="H44" s="412" t="s">
        <v>583</v>
      </c>
      <c r="I44" s="412" t="s">
        <v>587</v>
      </c>
      <c r="J44" s="412" t="s">
        <v>588</v>
      </c>
      <c r="K44" s="412" t="s">
        <v>589</v>
      </c>
      <c r="L44" s="412" t="s">
        <v>590</v>
      </c>
      <c r="M44" s="412" t="s">
        <v>586</v>
      </c>
      <c r="N44" s="1508" t="s">
        <v>577</v>
      </c>
    </row>
    <row r="45" spans="2:14" s="2" customFormat="1" ht="15.75" hidden="1">
      <c r="B45" s="544" t="s">
        <v>1011</v>
      </c>
      <c r="C45" s="546">
        <v>40.248606100713218</v>
      </c>
      <c r="D45" s="546">
        <v>40.755055431894419</v>
      </c>
      <c r="E45" s="546">
        <v>41.206746455246027</v>
      </c>
      <c r="F45" s="546">
        <v>41.228231309570418</v>
      </c>
      <c r="G45" s="546">
        <v>41.228231309570418</v>
      </c>
      <c r="H45" s="546">
        <v>41.235672241410093</v>
      </c>
      <c r="I45" s="546">
        <v>41.254384864170291</v>
      </c>
      <c r="J45" s="546">
        <v>42.444135040003601</v>
      </c>
      <c r="K45" s="546">
        <v>43.876610326049359</v>
      </c>
      <c r="L45" s="546">
        <v>45.266145803024017</v>
      </c>
      <c r="M45" s="546">
        <v>47.552416082052467</v>
      </c>
      <c r="N45" s="546">
        <v>51.094052915133133</v>
      </c>
    </row>
    <row r="46" spans="2:14" s="2" customFormat="1" ht="15.75" hidden="1">
      <c r="B46" s="566" t="s">
        <v>996</v>
      </c>
      <c r="C46" s="1633">
        <f>+C45/N38</f>
        <v>1.0017298662602465</v>
      </c>
      <c r="D46" s="1633">
        <f t="shared" ref="D46:N46" si="8">+D45/C45</f>
        <v>1.0125830278423538</v>
      </c>
      <c r="E46" s="1633">
        <f t="shared" si="8"/>
        <v>1.0110830673290685</v>
      </c>
      <c r="F46" s="1633">
        <f t="shared" si="8"/>
        <v>1.0005213916693891</v>
      </c>
      <c r="G46" s="1633">
        <f t="shared" si="8"/>
        <v>1</v>
      </c>
      <c r="H46" s="1633">
        <f t="shared" si="8"/>
        <v>1.0001804814711504</v>
      </c>
      <c r="I46" s="1633">
        <f t="shared" si="8"/>
        <v>1.0004537969612972</v>
      </c>
      <c r="J46" s="1633">
        <f t="shared" si="8"/>
        <v>1.0288393628883463</v>
      </c>
      <c r="K46" s="1633">
        <f t="shared" si="8"/>
        <v>1.0337496637567394</v>
      </c>
      <c r="L46" s="1633">
        <f t="shared" si="8"/>
        <v>1.0316691619213276</v>
      </c>
      <c r="M46" s="1633">
        <f t="shared" si="8"/>
        <v>1.0505072883602058</v>
      </c>
      <c r="N46" s="1633">
        <f t="shared" si="8"/>
        <v>1.0744785885741224</v>
      </c>
    </row>
    <row r="47" spans="2:14" s="2" customFormat="1" ht="16.5" hidden="1" thickBot="1">
      <c r="B47" s="369"/>
      <c r="C47" s="380"/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380"/>
    </row>
    <row r="48" spans="2:14" s="2" customFormat="1" ht="16.5" hidden="1" thickBot="1">
      <c r="B48" s="2465" t="s">
        <v>1010</v>
      </c>
      <c r="C48" s="337">
        <f>+N41*C46</f>
        <v>422.85420967635224</v>
      </c>
      <c r="D48" s="337">
        <f t="shared" ref="D48:N48" si="9">+C48*D46</f>
        <v>428.17499596996629</v>
      </c>
      <c r="E48" s="337">
        <f t="shared" si="9"/>
        <v>432.92048827892506</v>
      </c>
      <c r="F48" s="337">
        <f t="shared" si="9"/>
        <v>433.14620941502159</v>
      </c>
      <c r="G48" s="337">
        <f t="shared" si="9"/>
        <v>433.14620941502159</v>
      </c>
      <c r="H48" s="337">
        <f t="shared" si="9"/>
        <v>433.22438428012003</v>
      </c>
      <c r="I48" s="337">
        <f t="shared" si="9"/>
        <v>433.42098018926623</v>
      </c>
      <c r="J48" s="337">
        <f t="shared" si="9"/>
        <v>445.92056512036726</v>
      </c>
      <c r="K48" s="337">
        <f t="shared" si="9"/>
        <v>460.97023425539487</v>
      </c>
      <c r="L48" s="337">
        <f t="shared" si="9"/>
        <v>475.56877524494132</v>
      </c>
      <c r="M48" s="337">
        <f t="shared" si="9"/>
        <v>499.58846451134747</v>
      </c>
      <c r="N48" s="337">
        <f t="shared" si="9"/>
        <v>536.79710821606568</v>
      </c>
    </row>
    <row r="49" spans="2:14" s="2" customFormat="1" ht="16.5" hidden="1" thickBot="1">
      <c r="B49" s="269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</row>
    <row r="50" spans="2:14" s="2" customFormat="1" ht="15.75" hidden="1">
      <c r="B50" s="2566" t="s">
        <v>1009</v>
      </c>
      <c r="C50" s="2568">
        <v>2021</v>
      </c>
      <c r="D50" s="2569"/>
      <c r="E50" s="2569"/>
      <c r="F50" s="2569"/>
      <c r="G50" s="2569"/>
      <c r="H50" s="2569"/>
      <c r="I50" s="2569"/>
      <c r="J50" s="2569"/>
      <c r="K50" s="2569"/>
      <c r="L50" s="2569"/>
      <c r="M50" s="2570"/>
      <c r="N50" s="2571"/>
    </row>
    <row r="51" spans="2:14" s="2" customFormat="1" ht="16.5" hidden="1" thickBot="1">
      <c r="B51" s="2567"/>
      <c r="C51" s="412" t="s">
        <v>578</v>
      </c>
      <c r="D51" s="412" t="s">
        <v>579</v>
      </c>
      <c r="E51" s="412" t="s">
        <v>580</v>
      </c>
      <c r="F51" s="412" t="s">
        <v>581</v>
      </c>
      <c r="G51" s="412" t="s">
        <v>582</v>
      </c>
      <c r="H51" s="412" t="s">
        <v>583</v>
      </c>
      <c r="I51" s="412" t="s">
        <v>587</v>
      </c>
      <c r="J51" s="412" t="s">
        <v>588</v>
      </c>
      <c r="K51" s="412" t="s">
        <v>589</v>
      </c>
      <c r="L51" s="412" t="s">
        <v>590</v>
      </c>
      <c r="M51" s="412" t="s">
        <v>586</v>
      </c>
      <c r="N51" s="1508" t="s">
        <v>577</v>
      </c>
    </row>
    <row r="52" spans="2:14" s="2" customFormat="1" ht="15.75" hidden="1">
      <c r="B52" s="544" t="s">
        <v>1011</v>
      </c>
      <c r="C52" s="546">
        <v>53.760649891353921</v>
      </c>
      <c r="D52" s="546">
        <v>56.107050108723655</v>
      </c>
      <c r="E52" s="546">
        <v>59.378063498583153</v>
      </c>
      <c r="F52" s="546">
        <v>62.904433469208989</v>
      </c>
      <c r="G52" s="546">
        <v>65.682382420200611</v>
      </c>
      <c r="H52" s="546">
        <v>65.787719588908288</v>
      </c>
      <c r="I52" s="546">
        <v>66.281897154182928</v>
      </c>
      <c r="J52" s="546">
        <v>66.335274506263332</v>
      </c>
      <c r="K52" s="546">
        <v>66.668723688420116</v>
      </c>
      <c r="L52" s="546">
        <v>67.037475639772964</v>
      </c>
      <c r="M52" s="546">
        <v>67.149319902139524</v>
      </c>
      <c r="N52" s="546">
        <v>67.220751807563701</v>
      </c>
    </row>
    <row r="53" spans="2:14" s="2" customFormat="1" ht="15.75" hidden="1">
      <c r="B53" s="566" t="s">
        <v>996</v>
      </c>
      <c r="C53" s="1633">
        <f>+C52/N45</f>
        <v>1.0521899677962518</v>
      </c>
      <c r="D53" s="1633">
        <f t="shared" ref="D53:N53" si="10">+D52/C52</f>
        <v>1.0436453097593059</v>
      </c>
      <c r="E53" s="1633">
        <f t="shared" si="10"/>
        <v>1.0582995075221557</v>
      </c>
      <c r="F53" s="1633">
        <f t="shared" si="10"/>
        <v>1.0593884300506025</v>
      </c>
      <c r="G53" s="1633">
        <f t="shared" si="10"/>
        <v>1.0441614175311094</v>
      </c>
      <c r="H53" s="1633">
        <f t="shared" si="10"/>
        <v>1.001603735504504</v>
      </c>
      <c r="I53" s="1633">
        <f t="shared" si="10"/>
        <v>1.0075116992709678</v>
      </c>
      <c r="J53" s="1633">
        <f t="shared" si="10"/>
        <v>1.0008053081515793</v>
      </c>
      <c r="K53" s="1633">
        <f t="shared" si="10"/>
        <v>1.0050267249911704</v>
      </c>
      <c r="L53" s="1633">
        <f t="shared" si="10"/>
        <v>1.0055311086061318</v>
      </c>
      <c r="M53" s="1633">
        <f t="shared" si="10"/>
        <v>1.0016683841582514</v>
      </c>
      <c r="N53" s="1633">
        <f t="shared" si="10"/>
        <v>1.0010637770498387</v>
      </c>
    </row>
    <row r="54" spans="2:14" s="2" customFormat="1" ht="16.5" hidden="1" thickBot="1">
      <c r="B54" s="369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</row>
    <row r="55" spans="2:14" s="2" customFormat="1" ht="16.5" hidden="1" thickBot="1">
      <c r="B55" s="2465" t="s">
        <v>1010</v>
      </c>
      <c r="C55" s="337">
        <f>+N48*C53</f>
        <v>564.81253200698325</v>
      </c>
      <c r="D55" s="337">
        <f t="shared" ref="D55:N55" si="11">+C55*D53</f>
        <v>589.46394992236594</v>
      </c>
      <c r="E55" s="337">
        <f t="shared" si="11"/>
        <v>623.82940790490454</v>
      </c>
      <c r="F55" s="337">
        <f t="shared" si="11"/>
        <v>660.8776570597737</v>
      </c>
      <c r="G55" s="337">
        <f t="shared" si="11"/>
        <v>690.06295121017172</v>
      </c>
      <c r="H55" s="337">
        <f t="shared" si="11"/>
        <v>691.16962966537028</v>
      </c>
      <c r="I55" s="337">
        <f t="shared" si="11"/>
        <v>696.36148806864276</v>
      </c>
      <c r="J55" s="337">
        <f t="shared" si="11"/>
        <v>696.92227365143037</v>
      </c>
      <c r="K55" s="337">
        <f t="shared" si="11"/>
        <v>700.42551026129729</v>
      </c>
      <c r="L55" s="337">
        <f t="shared" si="11"/>
        <v>704.29963982905781</v>
      </c>
      <c r="M55" s="337">
        <f t="shared" si="11"/>
        <v>705.47468219081077</v>
      </c>
      <c r="N55" s="337">
        <f t="shared" si="11"/>
        <v>706.22514996696759</v>
      </c>
    </row>
    <row r="56" spans="2:14" s="2" customFormat="1" ht="16.5" thickBot="1">
      <c r="B56" s="269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</row>
    <row r="57" spans="2:14" s="2" customFormat="1" ht="15.75">
      <c r="B57" s="2566" t="s">
        <v>1009</v>
      </c>
      <c r="C57" s="2568">
        <v>2022</v>
      </c>
      <c r="D57" s="2569"/>
      <c r="E57" s="2569"/>
      <c r="F57" s="2569"/>
      <c r="G57" s="2569"/>
      <c r="H57" s="2569"/>
      <c r="I57" s="2569"/>
      <c r="J57" s="2569"/>
      <c r="K57" s="2569"/>
      <c r="L57" s="2569"/>
      <c r="M57" s="2570"/>
      <c r="N57" s="2571"/>
    </row>
    <row r="58" spans="2:14" s="2" customFormat="1" ht="16.5" thickBot="1">
      <c r="B58" s="2567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2" t="s">
        <v>588</v>
      </c>
      <c r="K58" s="412" t="s">
        <v>589</v>
      </c>
      <c r="L58" s="412" t="s">
        <v>590</v>
      </c>
      <c r="M58" s="412" t="s">
        <v>586</v>
      </c>
      <c r="N58" s="1508" t="s">
        <v>577</v>
      </c>
    </row>
    <row r="59" spans="2:14" s="2" customFormat="1" ht="15.75">
      <c r="B59" s="544" t="s">
        <v>1011</v>
      </c>
      <c r="C59" s="546">
        <v>72.634473191682531</v>
      </c>
      <c r="D59" s="546">
        <v>73.048761267028397</v>
      </c>
      <c r="E59" s="546">
        <v>80.356815288986027</v>
      </c>
      <c r="F59" s="546">
        <v>80.541500362234245</v>
      </c>
      <c r="G59" s="546">
        <v>91.484956118056161</v>
      </c>
      <c r="H59" s="546">
        <v>135.29907670304462</v>
      </c>
      <c r="I59" s="546">
        <v>135.84148751471466</v>
      </c>
      <c r="J59" s="546">
        <v>147.49407176179932</v>
      </c>
      <c r="K59" s="546">
        <v>148.77873521507834</v>
      </c>
      <c r="L59" s="546">
        <v>161.28675495939379</v>
      </c>
      <c r="M59" s="546">
        <v>172.68240667587025</v>
      </c>
      <c r="N59" s="546">
        <v>182.65781388861691</v>
      </c>
    </row>
    <row r="60" spans="2:14" s="2" customFormat="1" ht="15.75">
      <c r="B60" s="566" t="s">
        <v>996</v>
      </c>
      <c r="C60" s="1633">
        <f>+C59/N52</f>
        <v>1.080536459925604</v>
      </c>
      <c r="D60" s="1633">
        <f t="shared" ref="D60:N60" si="12">+D59/C59</f>
        <v>1.0057037389705101</v>
      </c>
      <c r="E60" s="1633">
        <f t="shared" si="12"/>
        <v>1.1000435037528313</v>
      </c>
      <c r="F60" s="1633">
        <f t="shared" si="12"/>
        <v>1.0022983125026053</v>
      </c>
      <c r="G60" s="1633">
        <f t="shared" si="12"/>
        <v>1.1358735025620814</v>
      </c>
      <c r="H60" s="1633">
        <f t="shared" si="12"/>
        <v>1.4789215893425014</v>
      </c>
      <c r="I60" s="1633">
        <f t="shared" si="12"/>
        <v>1.0040089764460147</v>
      </c>
      <c r="J60" s="1633">
        <f t="shared" si="12"/>
        <v>1.0857807468121432</v>
      </c>
      <c r="K60" s="1633">
        <f t="shared" si="12"/>
        <v>1.0087099327988838</v>
      </c>
      <c r="L60" s="1633">
        <f t="shared" si="12"/>
        <v>1.0840712869768219</v>
      </c>
      <c r="M60" s="1633">
        <f t="shared" si="12"/>
        <v>1.070654603469116</v>
      </c>
      <c r="N60" s="1633">
        <f t="shared" si="12"/>
        <v>1.0577673626675286</v>
      </c>
    </row>
    <row r="61" spans="2:14" s="2" customFormat="1" ht="16.5" thickBot="1">
      <c r="B61" s="369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0"/>
    </row>
    <row r="62" spans="2:14" s="2" customFormat="1" ht="16.5" thickBot="1">
      <c r="B62" s="2465" t="s">
        <v>1010</v>
      </c>
      <c r="C62" s="337">
        <f>+N55*C60</f>
        <v>763.10202345573589</v>
      </c>
      <c r="D62" s="337">
        <f t="shared" ref="D62:E62" si="13">+C62*D60</f>
        <v>767.45455820539553</v>
      </c>
      <c r="E62" s="337">
        <f t="shared" si="13"/>
        <v>844.23340117934458</v>
      </c>
      <c r="F62" s="337">
        <f t="shared" ref="F62:N62" si="14">+E62*F60</f>
        <v>846.17371336039207</v>
      </c>
      <c r="G62" s="337">
        <f t="shared" si="14"/>
        <v>961.1462995706313</v>
      </c>
      <c r="H62" s="337">
        <f t="shared" si="14"/>
        <v>1421.4600129516621</v>
      </c>
      <c r="I62" s="337">
        <f t="shared" si="14"/>
        <v>1427.1586126625371</v>
      </c>
      <c r="J62" s="337">
        <f t="shared" si="14"/>
        <v>1549.5813442761116</v>
      </c>
      <c r="K62" s="337">
        <f t="shared" si="14"/>
        <v>1563.0780936511605</v>
      </c>
      <c r="L62" s="337">
        <f t="shared" si="14"/>
        <v>1694.488080629691</v>
      </c>
      <c r="M62" s="337">
        <f t="shared" si="14"/>
        <v>1814.2114640497252</v>
      </c>
      <c r="N62" s="337">
        <f t="shared" si="14"/>
        <v>1919.0136756490738</v>
      </c>
    </row>
    <row r="63" spans="2:14" s="2" customFormat="1" ht="16.5" thickBot="1">
      <c r="B63" s="269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</row>
    <row r="64" spans="2:14" s="2" customFormat="1" ht="15.75">
      <c r="B64" s="2566" t="s">
        <v>1009</v>
      </c>
      <c r="C64" s="2568">
        <v>2023</v>
      </c>
      <c r="D64" s="2569"/>
      <c r="E64" s="2569"/>
      <c r="F64" s="2569"/>
      <c r="G64" s="2569"/>
      <c r="H64" s="2569"/>
      <c r="I64" s="2569"/>
      <c r="J64" s="2569"/>
      <c r="K64" s="2569"/>
      <c r="L64" s="2569"/>
      <c r="M64" s="2570"/>
      <c r="N64" s="2571"/>
    </row>
    <row r="65" spans="2:14" s="2" customFormat="1" ht="16.5" thickBot="1">
      <c r="B65" s="2567"/>
      <c r="C65" s="412" t="s">
        <v>578</v>
      </c>
      <c r="D65" s="412" t="s">
        <v>579</v>
      </c>
      <c r="E65" s="412" t="s">
        <v>580</v>
      </c>
      <c r="F65" s="412" t="s">
        <v>581</v>
      </c>
      <c r="G65" s="412" t="s">
        <v>582</v>
      </c>
      <c r="H65" s="412" t="s">
        <v>583</v>
      </c>
      <c r="I65" s="412" t="s">
        <v>587</v>
      </c>
      <c r="J65" s="412" t="s">
        <v>588</v>
      </c>
      <c r="K65" s="412" t="s">
        <v>589</v>
      </c>
      <c r="L65" s="412" t="s">
        <v>590</v>
      </c>
      <c r="M65" s="412" t="s">
        <v>586</v>
      </c>
      <c r="N65" s="1508" t="s">
        <v>577</v>
      </c>
    </row>
    <row r="66" spans="2:14" s="2" customFormat="1" ht="15.75">
      <c r="B66" s="544" t="s">
        <v>1011</v>
      </c>
      <c r="C66" s="546">
        <v>194.58618110267594</v>
      </c>
      <c r="D66" s="546">
        <v>204.9328114315353</v>
      </c>
      <c r="E66" s="546"/>
      <c r="F66" s="546"/>
      <c r="G66" s="546"/>
      <c r="H66" s="546"/>
      <c r="I66" s="546"/>
      <c r="J66" s="546"/>
      <c r="K66" s="546"/>
      <c r="L66" s="546"/>
      <c r="M66" s="546"/>
      <c r="N66" s="546"/>
    </row>
    <row r="67" spans="2:14" s="2" customFormat="1" ht="15.75">
      <c r="B67" s="566" t="s">
        <v>996</v>
      </c>
      <c r="C67" s="1633">
        <f>+C66/N59</f>
        <v>1.065304445290979</v>
      </c>
      <c r="D67" s="1633">
        <v>1.0057037389705101</v>
      </c>
      <c r="E67" s="1633"/>
      <c r="F67" s="1633"/>
      <c r="G67" s="1633"/>
      <c r="H67" s="1633"/>
      <c r="I67" s="1633"/>
      <c r="J67" s="1633"/>
      <c r="K67" s="1633"/>
      <c r="L67" s="1633"/>
      <c r="M67" s="1633"/>
      <c r="N67" s="1633"/>
    </row>
    <row r="68" spans="2:14" s="2" customFormat="1" ht="16.5" thickBot="1">
      <c r="B68" s="369"/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0"/>
    </row>
    <row r="69" spans="2:14" s="2" customFormat="1" ht="16.5" thickBot="1">
      <c r="B69" s="2465" t="s">
        <v>1010</v>
      </c>
      <c r="C69" s="337">
        <f>+N62*C67</f>
        <v>2044.3337992431393</v>
      </c>
      <c r="D69" s="337">
        <f t="shared" ref="D69" si="15">+C69*D67</f>
        <v>2055.9941456026136</v>
      </c>
      <c r="E69" s="337">
        <f t="shared" ref="E69" si="16">+D69*E67</f>
        <v>0</v>
      </c>
      <c r="F69" s="337">
        <f t="shared" ref="F69" si="17">+E69*F67</f>
        <v>0</v>
      </c>
      <c r="G69" s="337">
        <f t="shared" ref="G69" si="18">+F69*G67</f>
        <v>0</v>
      </c>
      <c r="H69" s="337">
        <f t="shared" ref="H69" si="19">+G69*H67</f>
        <v>0</v>
      </c>
      <c r="I69" s="337">
        <f t="shared" ref="I69" si="20">+H69*I67</f>
        <v>0</v>
      </c>
      <c r="J69" s="337">
        <f t="shared" ref="J69" si="21">+I69*J67</f>
        <v>0</v>
      </c>
      <c r="K69" s="337">
        <f t="shared" ref="K69" si="22">+J69*K67</f>
        <v>0</v>
      </c>
      <c r="L69" s="337">
        <f t="shared" ref="L69" si="23">+K69*L67</f>
        <v>0</v>
      </c>
      <c r="M69" s="337">
        <f t="shared" ref="M69" si="24">+L69*M67</f>
        <v>0</v>
      </c>
      <c r="N69" s="337">
        <f t="shared" ref="N69" si="25">+M69*N67</f>
        <v>0</v>
      </c>
    </row>
    <row r="70" spans="2:14" s="2" customFormat="1" ht="16.5" thickBot="1">
      <c r="B70" s="269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</row>
    <row r="71" spans="2:14" s="2" customFormat="1" ht="15.75" hidden="1">
      <c r="B71" s="2566" t="s">
        <v>1009</v>
      </c>
      <c r="C71" s="2568">
        <v>2015</v>
      </c>
      <c r="D71" s="2569"/>
      <c r="E71" s="2569"/>
      <c r="F71" s="2569"/>
      <c r="G71" s="2569"/>
      <c r="H71" s="2569"/>
      <c r="I71" s="2569"/>
      <c r="J71" s="2569"/>
      <c r="K71" s="2569"/>
      <c r="L71" s="2569"/>
      <c r="M71" s="2570"/>
      <c r="N71" s="2571"/>
    </row>
    <row r="72" spans="2:14" s="2" customFormat="1" ht="16.5" hidden="1" thickBot="1">
      <c r="B72" s="2567"/>
      <c r="C72" s="412" t="s">
        <v>578</v>
      </c>
      <c r="D72" s="412" t="s">
        <v>579</v>
      </c>
      <c r="E72" s="412" t="s">
        <v>580</v>
      </c>
      <c r="F72" s="412" t="s">
        <v>581</v>
      </c>
      <c r="G72" s="412" t="s">
        <v>582</v>
      </c>
      <c r="H72" s="412" t="s">
        <v>583</v>
      </c>
      <c r="I72" s="412" t="s">
        <v>587</v>
      </c>
      <c r="J72" s="412" t="s">
        <v>588</v>
      </c>
      <c r="K72" s="412" t="s">
        <v>589</v>
      </c>
      <c r="L72" s="412" t="s">
        <v>590</v>
      </c>
      <c r="M72" s="412" t="s">
        <v>586</v>
      </c>
      <c r="N72" s="1508" t="s">
        <v>577</v>
      </c>
    </row>
    <row r="73" spans="2:14" s="2" customFormat="1" ht="15.75" hidden="1">
      <c r="B73" s="544" t="s">
        <v>1013</v>
      </c>
      <c r="C73" s="545"/>
      <c r="D73" s="545"/>
      <c r="E73" s="545"/>
      <c r="F73" s="545"/>
      <c r="G73" s="545"/>
      <c r="H73" s="545"/>
      <c r="I73" s="545"/>
      <c r="J73" s="545"/>
      <c r="K73" s="545"/>
      <c r="L73" s="546">
        <v>7781.95</v>
      </c>
      <c r="M73" s="546">
        <v>7917.03</v>
      </c>
      <c r="N73" s="546">
        <v>7919.95</v>
      </c>
    </row>
    <row r="74" spans="2:14" s="2" customFormat="1" ht="15.75" hidden="1">
      <c r="B74" s="566" t="s">
        <v>996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1634">
        <f>+M73/L73</f>
        <v>1.0173581171814263</v>
      </c>
      <c r="N74" s="1634">
        <f>+N73/M73</f>
        <v>1.0003688251781286</v>
      </c>
    </row>
    <row r="75" spans="2:14" s="2" customFormat="1" ht="16.5" hidden="1" thickBot="1">
      <c r="B75" s="369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0"/>
    </row>
    <row r="76" spans="2:14" s="2" customFormat="1" ht="16.5" hidden="1" thickBot="1">
      <c r="B76" s="2464" t="s">
        <v>1012</v>
      </c>
      <c r="C76" s="337"/>
      <c r="D76" s="337"/>
      <c r="E76" s="337"/>
      <c r="F76" s="337"/>
      <c r="G76" s="337"/>
      <c r="H76" s="337"/>
      <c r="I76" s="337"/>
      <c r="J76" s="337"/>
      <c r="K76" s="337"/>
      <c r="L76" s="337">
        <v>5230</v>
      </c>
      <c r="M76" s="337">
        <f>+M74*L76</f>
        <v>5320.78295285886</v>
      </c>
      <c r="N76" s="337">
        <f>+N74*M76</f>
        <v>5322.7453915792321</v>
      </c>
    </row>
    <row r="77" spans="2:14" s="2" customFormat="1" ht="16.5" hidden="1" thickBot="1"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</row>
    <row r="78" spans="2:14" s="2" customFormat="1" ht="15.75">
      <c r="B78" s="2566" t="s">
        <v>1009</v>
      </c>
      <c r="C78" s="2568">
        <v>2016</v>
      </c>
      <c r="D78" s="2569"/>
      <c r="E78" s="2569"/>
      <c r="F78" s="2569"/>
      <c r="G78" s="2569"/>
      <c r="H78" s="2569"/>
      <c r="I78" s="2569"/>
      <c r="J78" s="2569"/>
      <c r="K78" s="2569"/>
      <c r="L78" s="2569"/>
      <c r="M78" s="2570"/>
      <c r="N78" s="2571"/>
    </row>
    <row r="79" spans="2:14" s="2" customFormat="1" ht="16.5" thickBot="1">
      <c r="B79" s="2567"/>
      <c r="C79" s="412" t="s">
        <v>578</v>
      </c>
      <c r="D79" s="412" t="s">
        <v>579</v>
      </c>
      <c r="E79" s="412" t="s">
        <v>580</v>
      </c>
      <c r="F79" s="412" t="s">
        <v>581</v>
      </c>
      <c r="G79" s="412" t="s">
        <v>582</v>
      </c>
      <c r="H79" s="412" t="s">
        <v>583</v>
      </c>
      <c r="I79" s="412" t="s">
        <v>587</v>
      </c>
      <c r="J79" s="412" t="s">
        <v>588</v>
      </c>
      <c r="K79" s="412" t="s">
        <v>589</v>
      </c>
      <c r="L79" s="412" t="s">
        <v>590</v>
      </c>
      <c r="M79" s="412" t="s">
        <v>586</v>
      </c>
      <c r="N79" s="1508" t="s">
        <v>577</v>
      </c>
    </row>
    <row r="80" spans="2:14" s="2" customFormat="1" ht="15.75">
      <c r="B80" s="544" t="s">
        <v>1013</v>
      </c>
      <c r="C80" s="546">
        <v>8197.7800000000007</v>
      </c>
      <c r="D80" s="546">
        <v>8720.51</v>
      </c>
      <c r="E80" s="546">
        <v>8898.84</v>
      </c>
      <c r="F80" s="546">
        <v>9314.539420493431</v>
      </c>
      <c r="G80" s="546">
        <v>9716.2248896002257</v>
      </c>
      <c r="H80" s="546">
        <v>9719.7054406721454</v>
      </c>
      <c r="I80" s="546">
        <v>9894.3168650744174</v>
      </c>
      <c r="J80" s="546">
        <v>9926.6845664768534</v>
      </c>
      <c r="K80" s="546">
        <v>9927.4741616858537</v>
      </c>
      <c r="L80" s="546">
        <v>10187.726733798077</v>
      </c>
      <c r="M80" s="546">
        <v>10334.074151030829</v>
      </c>
      <c r="N80" s="545">
        <v>10592.608507522265</v>
      </c>
    </row>
    <row r="81" spans="2:14" s="2" customFormat="1" ht="15.75">
      <c r="B81" s="566" t="s">
        <v>996</v>
      </c>
      <c r="C81" s="1633">
        <f>+C80/N73</f>
        <v>1.0350797669177205</v>
      </c>
      <c r="D81" s="1633">
        <f t="shared" ref="D81:N81" si="26">+D80/C80</f>
        <v>1.0637648241353146</v>
      </c>
      <c r="E81" s="1633">
        <f t="shared" si="26"/>
        <v>1.020449492059524</v>
      </c>
      <c r="F81" s="1633">
        <f t="shared" si="26"/>
        <v>1.0467138886072151</v>
      </c>
      <c r="G81" s="1633">
        <f t="shared" si="26"/>
        <v>1.043124565904249</v>
      </c>
      <c r="H81" s="1633">
        <f t="shared" si="26"/>
        <v>1.0003582205137764</v>
      </c>
      <c r="I81" s="1633">
        <f t="shared" si="26"/>
        <v>1.0179646827229567</v>
      </c>
      <c r="J81" s="1633">
        <f t="shared" si="26"/>
        <v>1.0032713427156037</v>
      </c>
      <c r="K81" s="1633">
        <f t="shared" si="26"/>
        <v>1.0000795426915918</v>
      </c>
      <c r="L81" s="1633">
        <f t="shared" si="26"/>
        <v>1.0262153864994827</v>
      </c>
      <c r="M81" s="1633">
        <f t="shared" si="26"/>
        <v>1.0143650709384695</v>
      </c>
      <c r="N81" s="1633">
        <f t="shared" si="26"/>
        <v>1.0250176602870271</v>
      </c>
    </row>
    <row r="82" spans="2:14" s="2" customFormat="1" ht="16.5" thickBot="1">
      <c r="B82" s="369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</row>
    <row r="83" spans="2:14" s="2" customFormat="1" ht="16.5" thickBot="1">
      <c r="B83" s="2464" t="s">
        <v>1012</v>
      </c>
      <c r="C83" s="337">
        <v>100</v>
      </c>
      <c r="D83" s="337">
        <f t="shared" ref="D83:N83" si="27">+C83*D81</f>
        <v>106.37648241353146</v>
      </c>
      <c r="E83" s="337">
        <f t="shared" si="27"/>
        <v>108.55182744596706</v>
      </c>
      <c r="F83" s="337">
        <f t="shared" si="27"/>
        <v>113.62270542138761</v>
      </c>
      <c r="G83" s="337">
        <f t="shared" si="27"/>
        <v>118.5226352695513</v>
      </c>
      <c r="H83" s="337">
        <f t="shared" si="27"/>
        <v>118.56509250885169</v>
      </c>
      <c r="I83" s="337">
        <f t="shared" si="27"/>
        <v>120.69507677779123</v>
      </c>
      <c r="J83" s="337">
        <f t="shared" si="27"/>
        <v>121.08991173801749</v>
      </c>
      <c r="K83" s="337">
        <f t="shared" si="27"/>
        <v>121.09954355552175</v>
      </c>
      <c r="L83" s="337">
        <f t="shared" si="27"/>
        <v>124.27421489474069</v>
      </c>
      <c r="M83" s="337">
        <f t="shared" si="27"/>
        <v>126.05942280752625</v>
      </c>
      <c r="N83" s="337">
        <f t="shared" si="27"/>
        <v>129.21313462330366</v>
      </c>
    </row>
    <row r="85" spans="2:14" s="2" customFormat="1" ht="15.75" hidden="1">
      <c r="B85" s="2566" t="s">
        <v>1009</v>
      </c>
      <c r="C85" s="2568">
        <v>2017</v>
      </c>
      <c r="D85" s="2569"/>
      <c r="E85" s="2569"/>
      <c r="F85" s="2569"/>
      <c r="G85" s="2569"/>
      <c r="H85" s="2569"/>
      <c r="I85" s="2569"/>
      <c r="J85" s="2569"/>
      <c r="K85" s="2569"/>
      <c r="L85" s="2569"/>
      <c r="M85" s="2570"/>
      <c r="N85" s="2571"/>
    </row>
    <row r="86" spans="2:14" s="2" customFormat="1" ht="16.5" hidden="1" thickBot="1">
      <c r="B86" s="2567"/>
      <c r="C86" s="412" t="s">
        <v>578</v>
      </c>
      <c r="D86" s="412" t="s">
        <v>579</v>
      </c>
      <c r="E86" s="412" t="s">
        <v>580</v>
      </c>
      <c r="F86" s="412" t="s">
        <v>581</v>
      </c>
      <c r="G86" s="412" t="s">
        <v>582</v>
      </c>
      <c r="H86" s="412" t="s">
        <v>583</v>
      </c>
      <c r="I86" s="412" t="s">
        <v>587</v>
      </c>
      <c r="J86" s="412" t="s">
        <v>588</v>
      </c>
      <c r="K86" s="412" t="s">
        <v>589</v>
      </c>
      <c r="L86" s="412" t="s">
        <v>590</v>
      </c>
      <c r="M86" s="412" t="s">
        <v>586</v>
      </c>
      <c r="N86" s="1508" t="s">
        <v>577</v>
      </c>
    </row>
    <row r="87" spans="2:14" s="2" customFormat="1" ht="15.75" hidden="1">
      <c r="B87" s="544" t="s">
        <v>1013</v>
      </c>
      <c r="C87" s="546">
        <v>10857.770870751787</v>
      </c>
      <c r="D87" s="546">
        <v>10861.621505659608</v>
      </c>
      <c r="E87" s="546">
        <v>10967.307488024884</v>
      </c>
      <c r="F87" s="546">
        <v>11007.150423511757</v>
      </c>
      <c r="G87" s="546">
        <v>11007.697725947957</v>
      </c>
      <c r="H87" s="546">
        <v>11112.463911150704</v>
      </c>
      <c r="I87" s="546">
        <v>11685.503843793796</v>
      </c>
      <c r="J87" s="546">
        <v>12072.281584686009</v>
      </c>
      <c r="K87" s="546">
        <v>12109.276413610889</v>
      </c>
      <c r="L87" s="546">
        <v>12237.657376442534</v>
      </c>
      <c r="M87" s="546">
        <v>12434.591544041652</v>
      </c>
      <c r="N87" s="545">
        <v>12683.680934888453</v>
      </c>
    </row>
    <row r="88" spans="2:14" s="2" customFormat="1" ht="15.75" hidden="1">
      <c r="B88" s="566" t="s">
        <v>996</v>
      </c>
      <c r="C88" s="1633">
        <f>+C87/N80</f>
        <v>1.0250327729039752</v>
      </c>
      <c r="D88" s="1633">
        <f t="shared" ref="D88:N88" si="28">+D87/C87</f>
        <v>1.0003546432277544</v>
      </c>
      <c r="E88" s="1633">
        <f t="shared" si="28"/>
        <v>1.0097302214324266</v>
      </c>
      <c r="F88" s="1633">
        <f t="shared" si="28"/>
        <v>1.0036328821390643</v>
      </c>
      <c r="G88" s="1633">
        <f t="shared" si="28"/>
        <v>1.0000497224454235</v>
      </c>
      <c r="H88" s="1633">
        <f t="shared" si="28"/>
        <v>1.009517538345533</v>
      </c>
      <c r="I88" s="1633">
        <f t="shared" si="28"/>
        <v>1.051567315513896</v>
      </c>
      <c r="J88" s="1633">
        <f t="shared" si="28"/>
        <v>1.0330989357465858</v>
      </c>
      <c r="K88" s="1633">
        <f t="shared" si="28"/>
        <v>1.0030644438390013</v>
      </c>
      <c r="L88" s="1633">
        <f t="shared" si="28"/>
        <v>1.0106018690503542</v>
      </c>
      <c r="M88" s="1633">
        <f t="shared" si="28"/>
        <v>1.0160924727291529</v>
      </c>
      <c r="N88" s="1633">
        <f t="shared" si="28"/>
        <v>1.0200319720969169</v>
      </c>
    </row>
    <row r="89" spans="2:14" s="2" customFormat="1" ht="16.5" hidden="1" thickBot="1">
      <c r="B89" s="369"/>
      <c r="C89" s="380"/>
      <c r="D89" s="380"/>
      <c r="E89" s="380"/>
      <c r="F89" s="380"/>
      <c r="G89" s="380"/>
      <c r="H89" s="380"/>
      <c r="I89" s="380"/>
      <c r="J89" s="380"/>
      <c r="K89" s="380"/>
      <c r="L89" s="380"/>
      <c r="M89" s="380"/>
      <c r="N89" s="380"/>
    </row>
    <row r="90" spans="2:14" s="2" customFormat="1" ht="16.5" hidden="1" thickBot="1">
      <c r="B90" s="2464" t="s">
        <v>1012</v>
      </c>
      <c r="C90" s="337">
        <f>+N83*C88</f>
        <v>132.44769767853958</v>
      </c>
      <c r="D90" s="337">
        <f t="shared" ref="D90:I90" si="29">+C90*D88</f>
        <v>132.49466935755294</v>
      </c>
      <c r="E90" s="337">
        <f t="shared" si="29"/>
        <v>133.78387182901807</v>
      </c>
      <c r="F90" s="337">
        <f t="shared" si="29"/>
        <v>134.26989286748056</v>
      </c>
      <c r="G90" s="337">
        <f t="shared" si="29"/>
        <v>134.27656909490068</v>
      </c>
      <c r="H90" s="337">
        <f t="shared" si="29"/>
        <v>135.55455149016802</v>
      </c>
      <c r="I90" s="337">
        <f t="shared" si="29"/>
        <v>142.54473581620618</v>
      </c>
      <c r="J90" s="337">
        <f>+I90*J88</f>
        <v>147.26281486800085</v>
      </c>
      <c r="K90" s="337">
        <f>+J90*K88</f>
        <v>147.71409349373707</v>
      </c>
      <c r="L90" s="337">
        <f>+K90*L88</f>
        <v>149.28013896984945</v>
      </c>
      <c r="M90" s="337">
        <f>+L90*M88</f>
        <v>151.68242553522592</v>
      </c>
      <c r="N90" s="337">
        <f>+M90*N88</f>
        <v>154.72092365114023</v>
      </c>
    </row>
    <row r="91" spans="2:14" ht="13.5" hidden="1" thickBot="1"/>
    <row r="92" spans="2:14" s="2" customFormat="1" ht="15.75" hidden="1">
      <c r="B92" s="2566" t="s">
        <v>1009</v>
      </c>
      <c r="C92" s="2568">
        <v>2018</v>
      </c>
      <c r="D92" s="2569"/>
      <c r="E92" s="2569"/>
      <c r="F92" s="2569"/>
      <c r="G92" s="2569"/>
      <c r="H92" s="2569"/>
      <c r="I92" s="2569"/>
      <c r="J92" s="2569"/>
      <c r="K92" s="2569"/>
      <c r="L92" s="2569"/>
      <c r="M92" s="2570"/>
      <c r="N92" s="2571"/>
    </row>
    <row r="93" spans="2:14" s="2" customFormat="1" ht="16.5" hidden="1" thickBot="1">
      <c r="B93" s="2567"/>
      <c r="C93" s="412" t="s">
        <v>578</v>
      </c>
      <c r="D93" s="412" t="s">
        <v>579</v>
      </c>
      <c r="E93" s="412" t="s">
        <v>580</v>
      </c>
      <c r="F93" s="412" t="s">
        <v>581</v>
      </c>
      <c r="G93" s="412" t="s">
        <v>582</v>
      </c>
      <c r="H93" s="412" t="s">
        <v>583</v>
      </c>
      <c r="I93" s="412" t="s">
        <v>587</v>
      </c>
      <c r="J93" s="412" t="s">
        <v>588</v>
      </c>
      <c r="K93" s="412" t="s">
        <v>589</v>
      </c>
      <c r="L93" s="412" t="s">
        <v>590</v>
      </c>
      <c r="M93" s="412" t="s">
        <v>586</v>
      </c>
      <c r="N93" s="1508" t="s">
        <v>577</v>
      </c>
    </row>
    <row r="94" spans="2:14" s="2" customFormat="1" ht="15.75" hidden="1">
      <c r="B94" s="544" t="s">
        <v>1013</v>
      </c>
      <c r="C94" s="546">
        <v>13077.579661798032</v>
      </c>
      <c r="D94" s="546">
        <v>13127.392494900208</v>
      </c>
      <c r="E94" s="546">
        <v>13469.112242065956</v>
      </c>
      <c r="F94" s="546">
        <v>14966.144909653933</v>
      </c>
      <c r="G94" s="546">
        <v>15212.669593330973</v>
      </c>
      <c r="H94" s="546">
        <v>16007.72195591283</v>
      </c>
      <c r="I94" s="546">
        <v>16828.686920154116</v>
      </c>
      <c r="J94" s="546">
        <v>17065.771857592248</v>
      </c>
      <c r="K94" s="546">
        <v>19693.707383824454</v>
      </c>
      <c r="L94" s="546">
        <v>21687.04529249153</v>
      </c>
      <c r="M94" s="546">
        <v>23653.963727806215</v>
      </c>
      <c r="N94" s="545">
        <v>22953.117496734732</v>
      </c>
    </row>
    <row r="95" spans="2:14" s="2" customFormat="1" ht="15.75" hidden="1">
      <c r="B95" s="566" t="s">
        <v>996</v>
      </c>
      <c r="C95" s="1633">
        <f>+C94/N87</f>
        <v>1.0310555531104617</v>
      </c>
      <c r="D95" s="1633">
        <f t="shared" ref="D95:N95" si="30">+D94/C94</f>
        <v>1.0038090253999896</v>
      </c>
      <c r="E95" s="1633">
        <f t="shared" si="30"/>
        <v>1.0260310451826973</v>
      </c>
      <c r="F95" s="1633">
        <f t="shared" si="30"/>
        <v>1.1111456078680917</v>
      </c>
      <c r="G95" s="1633">
        <f t="shared" si="30"/>
        <v>1.0164721566686168</v>
      </c>
      <c r="H95" s="1633">
        <f t="shared" si="30"/>
        <v>1.0522625143275575</v>
      </c>
      <c r="I95" s="1633">
        <f t="shared" si="30"/>
        <v>1.0512855587136209</v>
      </c>
      <c r="J95" s="1633">
        <f t="shared" si="30"/>
        <v>1.0140881423822912</v>
      </c>
      <c r="K95" s="1633">
        <f t="shared" si="30"/>
        <v>1.1539886708999385</v>
      </c>
      <c r="L95" s="1633">
        <f t="shared" si="30"/>
        <v>1.1012169963642455</v>
      </c>
      <c r="M95" s="1633">
        <f t="shared" si="30"/>
        <v>1.0906955469860926</v>
      </c>
      <c r="N95" s="1633">
        <f t="shared" si="30"/>
        <v>0.97037087571722247</v>
      </c>
    </row>
    <row r="96" spans="2:14" s="2" customFormat="1" ht="16.5" hidden="1" thickBot="1">
      <c r="B96" s="369"/>
      <c r="C96" s="380"/>
      <c r="D96" s="380"/>
      <c r="E96" s="380"/>
      <c r="F96" s="380"/>
      <c r="G96" s="380"/>
      <c r="H96" s="380"/>
      <c r="I96" s="380"/>
      <c r="J96" s="380"/>
      <c r="K96" s="380"/>
      <c r="L96" s="380"/>
      <c r="M96" s="380"/>
      <c r="N96" s="380"/>
    </row>
    <row r="97" spans="2:14" s="2" customFormat="1" ht="16.5" hidden="1" thickBot="1">
      <c r="B97" s="2464" t="s">
        <v>1012</v>
      </c>
      <c r="C97" s="337">
        <f>+N90*C95</f>
        <v>159.52586751288791</v>
      </c>
      <c r="D97" s="337">
        <f t="shared" ref="D97:N97" si="31">+C97*D95</f>
        <v>160.13350559419987</v>
      </c>
      <c r="E97" s="337">
        <f t="shared" si="31"/>
        <v>164.30194811358621</v>
      </c>
      <c r="F97" s="337">
        <f t="shared" si="31"/>
        <v>182.5633880105824</v>
      </c>
      <c r="G97" s="337">
        <f t="shared" si="31"/>
        <v>185.57060073984618</v>
      </c>
      <c r="H97" s="337">
        <f t="shared" si="31"/>
        <v>195.26898691978585</v>
      </c>
      <c r="I97" s="337">
        <f t="shared" si="31"/>
        <v>205.28346601340979</v>
      </c>
      <c r="J97" s="337">
        <f t="shared" si="31"/>
        <v>208.17552871133694</v>
      </c>
      <c r="K97" s="337">
        <f t="shared" si="31"/>
        <v>240.23220169148769</v>
      </c>
      <c r="L97" s="337">
        <f t="shared" si="31"/>
        <v>264.5477835766697</v>
      </c>
      <c r="M97" s="337">
        <f t="shared" si="31"/>
        <v>288.54108951211418</v>
      </c>
      <c r="N97" s="337">
        <f t="shared" si="31"/>
        <v>279.99186971027171</v>
      </c>
    </row>
    <row r="98" spans="2:14" s="2" customFormat="1" ht="16.5" hidden="1" thickBot="1">
      <c r="B98" s="269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</row>
    <row r="99" spans="2:14" s="2" customFormat="1" ht="15.75" hidden="1">
      <c r="B99" s="2566" t="s">
        <v>1009</v>
      </c>
      <c r="C99" s="2568">
        <v>2019</v>
      </c>
      <c r="D99" s="2569"/>
      <c r="E99" s="2569"/>
      <c r="F99" s="2569"/>
      <c r="G99" s="2569"/>
      <c r="H99" s="2569"/>
      <c r="I99" s="2569"/>
      <c r="J99" s="2569"/>
      <c r="K99" s="2569"/>
      <c r="L99" s="2569"/>
      <c r="M99" s="2570"/>
      <c r="N99" s="2571"/>
    </row>
    <row r="100" spans="2:14" s="2" customFormat="1" ht="16.5" hidden="1" thickBot="1">
      <c r="B100" s="2567"/>
      <c r="C100" s="412" t="s">
        <v>578</v>
      </c>
      <c r="D100" s="412" t="s">
        <v>579</v>
      </c>
      <c r="E100" s="412" t="s">
        <v>580</v>
      </c>
      <c r="F100" s="412" t="s">
        <v>581</v>
      </c>
      <c r="G100" s="412" t="s">
        <v>582</v>
      </c>
      <c r="H100" s="412" t="s">
        <v>583</v>
      </c>
      <c r="I100" s="412" t="s">
        <v>587</v>
      </c>
      <c r="J100" s="412" t="s">
        <v>588</v>
      </c>
      <c r="K100" s="412" t="s">
        <v>589</v>
      </c>
      <c r="L100" s="412" t="s">
        <v>590</v>
      </c>
      <c r="M100" s="412" t="s">
        <v>586</v>
      </c>
      <c r="N100" s="1508" t="s">
        <v>577</v>
      </c>
    </row>
    <row r="101" spans="2:14" s="2" customFormat="1" ht="15.75" hidden="1">
      <c r="B101" s="544" t="s">
        <v>1013</v>
      </c>
      <c r="C101" s="546">
        <v>22953.978339866429</v>
      </c>
      <c r="D101" s="546">
        <v>23222.954521908992</v>
      </c>
      <c r="E101" s="546">
        <v>25016.747654131443</v>
      </c>
      <c r="F101" s="546">
        <v>26386.375466987083</v>
      </c>
      <c r="G101" s="546">
        <v>27570.652661123546</v>
      </c>
      <c r="H101" s="546">
        <v>29179.37505420492</v>
      </c>
      <c r="I101" s="546">
        <v>29390.42</v>
      </c>
      <c r="J101" s="546">
        <v>33004.440464584623</v>
      </c>
      <c r="K101" s="546">
        <v>34370.521088532267</v>
      </c>
      <c r="L101" s="546">
        <v>38232.531647836258</v>
      </c>
      <c r="M101" s="546">
        <v>39482.765548064825</v>
      </c>
      <c r="N101" s="545">
        <v>40535.867977054542</v>
      </c>
    </row>
    <row r="102" spans="2:14" s="2" customFormat="1" ht="15.75" hidden="1">
      <c r="B102" s="566" t="s">
        <v>996</v>
      </c>
      <c r="C102" s="1633">
        <f>+C101/N94</f>
        <v>1.0000375044101011</v>
      </c>
      <c r="D102" s="1633">
        <f>+D101/C101</f>
        <v>1.0117180637735206</v>
      </c>
      <c r="E102" s="1633">
        <f t="shared" ref="E102:N102" si="32">+E101/D101</f>
        <v>1.0772422445443</v>
      </c>
      <c r="F102" s="1633">
        <f t="shared" si="32"/>
        <v>1.0547484361992776</v>
      </c>
      <c r="G102" s="1633">
        <f t="shared" si="32"/>
        <v>1.0448821474407561</v>
      </c>
      <c r="H102" s="1633">
        <f t="shared" si="32"/>
        <v>1.0583490863584009</v>
      </c>
      <c r="I102" s="1633">
        <f t="shared" si="32"/>
        <v>1.0072326753195719</v>
      </c>
      <c r="J102" s="1633">
        <f t="shared" si="32"/>
        <v>1.1229659346339598</v>
      </c>
      <c r="K102" s="1633">
        <f t="shared" si="32"/>
        <v>1.0413908130154037</v>
      </c>
      <c r="L102" s="1633">
        <f t="shared" si="32"/>
        <v>1.1123640386293867</v>
      </c>
      <c r="M102" s="1633">
        <f t="shared" si="32"/>
        <v>1.0327007876889922</v>
      </c>
      <c r="N102" s="1633">
        <f t="shared" si="32"/>
        <v>1.0266724585872211</v>
      </c>
    </row>
    <row r="103" spans="2:14" s="2" customFormat="1" ht="16.5" hidden="1" thickBot="1">
      <c r="B103" s="369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</row>
    <row r="104" spans="2:14" s="2" customFormat="1" ht="16.5" hidden="1" thickBot="1">
      <c r="B104" s="2464" t="s">
        <v>1012</v>
      </c>
      <c r="C104" s="337">
        <f>+N97*C102</f>
        <v>280.0023706401783</v>
      </c>
      <c r="D104" s="337">
        <f>+C104*D102</f>
        <v>283.28345627607683</v>
      </c>
      <c r="E104" s="337">
        <f t="shared" ref="E104:N104" si="33">+D104*E102</f>
        <v>305.16490628110807</v>
      </c>
      <c r="F104" s="337">
        <f t="shared" si="33"/>
        <v>321.87220768289785</v>
      </c>
      <c r="G104" s="337">
        <f t="shared" si="33"/>
        <v>336.31852356520335</v>
      </c>
      <c r="H104" s="337">
        <f t="shared" si="33"/>
        <v>355.94240214063927</v>
      </c>
      <c r="I104" s="337">
        <f t="shared" si="33"/>
        <v>358.51681796779104</v>
      </c>
      <c r="J104" s="337">
        <f t="shared" si="33"/>
        <v>402.6021735711937</v>
      </c>
      <c r="K104" s="337">
        <f t="shared" si="33"/>
        <v>419.26620485707411</v>
      </c>
      <c r="L104" s="337">
        <f t="shared" si="33"/>
        <v>466.37664889563075</v>
      </c>
      <c r="M104" s="337">
        <f t="shared" si="33"/>
        <v>481.62753267427041</v>
      </c>
      <c r="N104" s="337">
        <f t="shared" si="33"/>
        <v>494.47372309399037</v>
      </c>
    </row>
    <row r="105" spans="2:14" s="2" customFormat="1" ht="16.5" hidden="1" thickBot="1">
      <c r="B105" s="269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</row>
    <row r="106" spans="2:14" s="2" customFormat="1" ht="15.75" hidden="1">
      <c r="B106" s="2566" t="s">
        <v>1009</v>
      </c>
      <c r="C106" s="2568">
        <v>2020</v>
      </c>
      <c r="D106" s="2569"/>
      <c r="E106" s="2569"/>
      <c r="F106" s="2569"/>
      <c r="G106" s="2569"/>
      <c r="H106" s="2569"/>
      <c r="I106" s="2569"/>
      <c r="J106" s="2569"/>
      <c r="K106" s="2569"/>
      <c r="L106" s="2569"/>
      <c r="M106" s="2570"/>
      <c r="N106" s="2571"/>
    </row>
    <row r="107" spans="2:14" s="2" customFormat="1" ht="16.5" hidden="1" thickBot="1">
      <c r="B107" s="2567"/>
      <c r="C107" s="412" t="s">
        <v>578</v>
      </c>
      <c r="D107" s="412" t="s">
        <v>579</v>
      </c>
      <c r="E107" s="412" t="s">
        <v>580</v>
      </c>
      <c r="F107" s="412" t="s">
        <v>581</v>
      </c>
      <c r="G107" s="412" t="s">
        <v>582</v>
      </c>
      <c r="H107" s="412" t="s">
        <v>583</v>
      </c>
      <c r="I107" s="412" t="s">
        <v>587</v>
      </c>
      <c r="J107" s="412" t="s">
        <v>588</v>
      </c>
      <c r="K107" s="412" t="s">
        <v>589</v>
      </c>
      <c r="L107" s="412" t="s">
        <v>590</v>
      </c>
      <c r="M107" s="412" t="s">
        <v>586</v>
      </c>
      <c r="N107" s="1508" t="s">
        <v>577</v>
      </c>
    </row>
    <row r="108" spans="2:14" s="2" customFormat="1" ht="15.75" hidden="1">
      <c r="B108" s="544" t="s">
        <v>1013</v>
      </c>
      <c r="C108" s="546">
        <v>41986.657135328598</v>
      </c>
      <c r="D108" s="546">
        <v>42099.002426309802</v>
      </c>
      <c r="E108" s="546">
        <v>43127.773889969096</v>
      </c>
      <c r="F108" s="546">
        <v>43839.903006293498</v>
      </c>
      <c r="G108" s="546">
        <v>44718.8969263935</v>
      </c>
      <c r="H108" s="546">
        <v>44726.337858233172</v>
      </c>
      <c r="I108" s="546">
        <v>44745.050480993363</v>
      </c>
      <c r="J108" s="546">
        <v>45069.191287026675</v>
      </c>
      <c r="K108" s="546">
        <v>45494.510632072437</v>
      </c>
      <c r="L108" s="546">
        <v>45875.953079947089</v>
      </c>
      <c r="M108" s="546">
        <v>47336.595558975532</v>
      </c>
      <c r="N108" s="545">
        <v>48288.19849205621</v>
      </c>
    </row>
    <row r="109" spans="2:14" s="2" customFormat="1" ht="15.75" hidden="1">
      <c r="B109" s="566" t="s">
        <v>996</v>
      </c>
      <c r="C109" s="1633">
        <f>+C108/N101</f>
        <v>1.0357902576329507</v>
      </c>
      <c r="D109" s="1633">
        <f t="shared" ref="D109:N109" si="34">+D108/C108</f>
        <v>1.00267573792834</v>
      </c>
      <c r="E109" s="1633">
        <f t="shared" si="34"/>
        <v>1.024436955850915</v>
      </c>
      <c r="F109" s="1633">
        <f t="shared" si="34"/>
        <v>1.0165120768380311</v>
      </c>
      <c r="G109" s="1633">
        <f t="shared" si="34"/>
        <v>1.0200500881576726</v>
      </c>
      <c r="H109" s="1633">
        <f t="shared" si="34"/>
        <v>1.0001663934567062</v>
      </c>
      <c r="I109" s="1633">
        <f t="shared" si="34"/>
        <v>1.0004183803918734</v>
      </c>
      <c r="J109" s="1633">
        <f t="shared" si="34"/>
        <v>1.0072441711999185</v>
      </c>
      <c r="K109" s="1633">
        <f t="shared" si="34"/>
        <v>1.0094370307720208</v>
      </c>
      <c r="L109" s="1633">
        <f t="shared" si="34"/>
        <v>1.0083843620378619</v>
      </c>
      <c r="M109" s="1633">
        <f t="shared" si="34"/>
        <v>1.0318389565985258</v>
      </c>
      <c r="N109" s="1633">
        <f t="shared" si="34"/>
        <v>1.0201029018213847</v>
      </c>
    </row>
    <row r="110" spans="2:14" s="2" customFormat="1" ht="16.5" hidden="1" thickBot="1">
      <c r="B110" s="369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</row>
    <row r="111" spans="2:14" s="2" customFormat="1" ht="16.5" hidden="1" thickBot="1">
      <c r="B111" s="2464" t="s">
        <v>1012</v>
      </c>
      <c r="C111" s="337">
        <f>+N104*C109</f>
        <v>512.17106503624859</v>
      </c>
      <c r="D111" s="337">
        <f t="shared" ref="D111:N111" si="35">+C111*D109</f>
        <v>513.54150058076436</v>
      </c>
      <c r="E111" s="337">
        <f t="shared" si="35"/>
        <v>526.09089155806919</v>
      </c>
      <c r="F111" s="337">
        <f t="shared" si="35"/>
        <v>534.77774478326432</v>
      </c>
      <c r="G111" s="337">
        <f t="shared" si="35"/>
        <v>545.50008571093008</v>
      </c>
      <c r="H111" s="337">
        <f t="shared" si="35"/>
        <v>545.59085335582506</v>
      </c>
      <c r="I111" s="337">
        <f t="shared" si="35"/>
        <v>545.8191178708546</v>
      </c>
      <c r="J111" s="337">
        <f t="shared" si="35"/>
        <v>549.77312500489961</v>
      </c>
      <c r="K111" s="337">
        <f t="shared" si="35"/>
        <v>554.96135090320092</v>
      </c>
      <c r="L111" s="337">
        <f t="shared" si="35"/>
        <v>559.61434778619423</v>
      </c>
      <c r="M111" s="337">
        <f t="shared" si="35"/>
        <v>577.43188471727115</v>
      </c>
      <c r="N111" s="337">
        <f t="shared" si="35"/>
        <v>589.03994120427956</v>
      </c>
    </row>
    <row r="112" spans="2:14" s="2" customFormat="1" ht="16.5" hidden="1" thickBot="1">
      <c r="B112" s="269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</row>
    <row r="113" spans="2:14" s="2" customFormat="1" ht="15.75" hidden="1">
      <c r="B113" s="2566" t="s">
        <v>1009</v>
      </c>
      <c r="C113" s="2568">
        <v>2021</v>
      </c>
      <c r="D113" s="2569"/>
      <c r="E113" s="2569"/>
      <c r="F113" s="2569"/>
      <c r="G113" s="2569"/>
      <c r="H113" s="2569"/>
      <c r="I113" s="2569"/>
      <c r="J113" s="2569"/>
      <c r="K113" s="2569"/>
      <c r="L113" s="2569"/>
      <c r="M113" s="2570"/>
      <c r="N113" s="2571"/>
    </row>
    <row r="114" spans="2:14" s="2" customFormat="1" ht="16.5" hidden="1" thickBot="1">
      <c r="B114" s="2567"/>
      <c r="C114" s="412" t="s">
        <v>578</v>
      </c>
      <c r="D114" s="412" t="s">
        <v>579</v>
      </c>
      <c r="E114" s="412" t="s">
        <v>580</v>
      </c>
      <c r="F114" s="412" t="s">
        <v>581</v>
      </c>
      <c r="G114" s="412" t="s">
        <v>582</v>
      </c>
      <c r="H114" s="412" t="s">
        <v>583</v>
      </c>
      <c r="I114" s="412" t="s">
        <v>587</v>
      </c>
      <c r="J114" s="412" t="s">
        <v>588</v>
      </c>
      <c r="K114" s="412" t="s">
        <v>589</v>
      </c>
      <c r="L114" s="412" t="s">
        <v>590</v>
      </c>
      <c r="M114" s="412" t="s">
        <v>586</v>
      </c>
      <c r="N114" s="1508" t="s">
        <v>577</v>
      </c>
    </row>
    <row r="115" spans="2:14" s="2" customFormat="1" ht="15.75" hidden="1">
      <c r="B115" s="544" t="s">
        <v>1013</v>
      </c>
      <c r="C115" s="546">
        <v>50582.534718276991</v>
      </c>
      <c r="D115" s="546">
        <v>56580.86894141596</v>
      </c>
      <c r="E115" s="546">
        <v>59563.93319089085</v>
      </c>
      <c r="F115" s="546">
        <v>64760.045853824362</v>
      </c>
      <c r="G115" s="546">
        <v>68063.447304816</v>
      </c>
      <c r="H115" s="546">
        <v>68983.879723523685</v>
      </c>
      <c r="I115" s="546">
        <v>72421.139390336786</v>
      </c>
      <c r="J115" s="546">
        <v>74163.601352417187</v>
      </c>
      <c r="K115" s="546">
        <v>76180.144611497031</v>
      </c>
      <c r="L115" s="546">
        <v>77445.555178234485</v>
      </c>
      <c r="M115" s="546">
        <v>80814.901940601063</v>
      </c>
      <c r="N115" s="545">
        <v>82205.646346025242</v>
      </c>
    </row>
    <row r="116" spans="2:14" s="2" customFormat="1" ht="15.75" hidden="1">
      <c r="B116" s="566" t="s">
        <v>996</v>
      </c>
      <c r="C116" s="1633">
        <f>+C115/N108</f>
        <v>1.0475133945325836</v>
      </c>
      <c r="D116" s="1633">
        <f t="shared" ref="D116:N116" si="36">+D115/C115</f>
        <v>1.1185850858709852</v>
      </c>
      <c r="E116" s="1633">
        <f t="shared" si="36"/>
        <v>1.052722135684476</v>
      </c>
      <c r="F116" s="1633">
        <f t="shared" si="36"/>
        <v>1.0872358889779992</v>
      </c>
      <c r="G116" s="1633">
        <f t="shared" si="36"/>
        <v>1.0510098689313476</v>
      </c>
      <c r="H116" s="1633">
        <f t="shared" si="36"/>
        <v>1.0135231531042737</v>
      </c>
      <c r="I116" s="1633">
        <f t="shared" si="36"/>
        <v>1.0498269984319393</v>
      </c>
      <c r="J116" s="1633">
        <f t="shared" si="36"/>
        <v>1.0240601290831512</v>
      </c>
      <c r="K116" s="1633">
        <f t="shared" si="36"/>
        <v>1.0271904710977755</v>
      </c>
      <c r="L116" s="1633">
        <f t="shared" si="36"/>
        <v>1.0166107661411092</v>
      </c>
      <c r="M116" s="1633">
        <f t="shared" si="36"/>
        <v>1.0435060056656875</v>
      </c>
      <c r="N116" s="1633">
        <f t="shared" si="36"/>
        <v>1.0172090093785719</v>
      </c>
    </row>
    <row r="117" spans="2:14" s="2" customFormat="1" ht="16.5" hidden="1" thickBot="1">
      <c r="B117" s="369"/>
      <c r="C117" s="380"/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0"/>
    </row>
    <row r="118" spans="2:14" s="2" customFormat="1" ht="16.5" hidden="1" thickBot="1">
      <c r="B118" s="2464" t="s">
        <v>1012</v>
      </c>
      <c r="C118" s="337">
        <f>+N111*C116</f>
        <v>617.02722832616837</v>
      </c>
      <c r="D118" s="337">
        <f t="shared" ref="D118:N118" si="37">+C118*D116</f>
        <v>690.19745518196305</v>
      </c>
      <c r="E118" s="337">
        <f t="shared" si="37"/>
        <v>726.58613906314656</v>
      </c>
      <c r="F118" s="337">
        <f t="shared" si="37"/>
        <v>789.97052682341223</v>
      </c>
      <c r="G118" s="337">
        <f t="shared" si="37"/>
        <v>830.26681985630216</v>
      </c>
      <c r="H118" s="337">
        <f t="shared" si="37"/>
        <v>841.49464517861736</v>
      </c>
      <c r="I118" s="337">
        <f t="shared" si="37"/>
        <v>883.42379754441765</v>
      </c>
      <c r="J118" s="337">
        <f t="shared" si="37"/>
        <v>904.67908814846396</v>
      </c>
      <c r="K118" s="337">
        <f t="shared" si="37"/>
        <v>929.27773874752666</v>
      </c>
      <c r="L118" s="337">
        <f t="shared" si="37"/>
        <v>944.71375394600068</v>
      </c>
      <c r="M118" s="337">
        <f t="shared" si="37"/>
        <v>985.8144758776283</v>
      </c>
      <c r="N118" s="337">
        <f t="shared" si="37"/>
        <v>1002.7793664385384</v>
      </c>
    </row>
    <row r="119" spans="2:14" s="2" customFormat="1" ht="16.5" thickBot="1">
      <c r="B119" s="269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</row>
    <row r="120" spans="2:14" s="2" customFormat="1" ht="15.75">
      <c r="B120" s="2566" t="s">
        <v>1009</v>
      </c>
      <c r="C120" s="2568">
        <v>2022</v>
      </c>
      <c r="D120" s="2569"/>
      <c r="E120" s="2569"/>
      <c r="F120" s="2569"/>
      <c r="G120" s="2569"/>
      <c r="H120" s="2569"/>
      <c r="I120" s="2569"/>
      <c r="J120" s="2569"/>
      <c r="K120" s="2569"/>
      <c r="L120" s="2569"/>
      <c r="M120" s="2570"/>
      <c r="N120" s="2571"/>
    </row>
    <row r="121" spans="2:14" s="2" customFormat="1" ht="16.5" thickBot="1">
      <c r="B121" s="2567"/>
      <c r="C121" s="412" t="s">
        <v>578</v>
      </c>
      <c r="D121" s="412" t="s">
        <v>579</v>
      </c>
      <c r="E121" s="412" t="s">
        <v>580</v>
      </c>
      <c r="F121" s="412" t="s">
        <v>581</v>
      </c>
      <c r="G121" s="412" t="s">
        <v>582</v>
      </c>
      <c r="H121" s="412" t="s">
        <v>583</v>
      </c>
      <c r="I121" s="412" t="s">
        <v>587</v>
      </c>
      <c r="J121" s="412" t="s">
        <v>588</v>
      </c>
      <c r="K121" s="412" t="s">
        <v>589</v>
      </c>
      <c r="L121" s="412" t="s">
        <v>590</v>
      </c>
      <c r="M121" s="412" t="s">
        <v>586</v>
      </c>
      <c r="N121" s="1508" t="s">
        <v>577</v>
      </c>
    </row>
    <row r="122" spans="2:14" s="2" customFormat="1" ht="15.75">
      <c r="B122" s="544" t="s">
        <v>1013</v>
      </c>
      <c r="C122" s="546">
        <v>86253.68025106714</v>
      </c>
      <c r="D122" s="546">
        <v>87821.824390105321</v>
      </c>
      <c r="E122" s="546">
        <v>91687.285642832183</v>
      </c>
      <c r="F122" s="546">
        <v>91871.97071608041</v>
      </c>
      <c r="G122" s="546">
        <v>98685.908041133065</v>
      </c>
      <c r="H122" s="546">
        <v>105918.40078304461</v>
      </c>
      <c r="I122" s="546">
        <v>110466.34751471464</v>
      </c>
      <c r="J122" s="546">
        <v>113702.48022333778</v>
      </c>
      <c r="K122" s="546">
        <v>117305.74444584758</v>
      </c>
      <c r="L122" s="546">
        <v>128226.79419016305</v>
      </c>
      <c r="M122" s="546">
        <v>132768.99147920919</v>
      </c>
      <c r="N122" s="545">
        <v>141353.06514487058</v>
      </c>
    </row>
    <row r="123" spans="2:14" s="2" customFormat="1" ht="15.75">
      <c r="B123" s="566" t="s">
        <v>996</v>
      </c>
      <c r="C123" s="1633">
        <f>+C122/N115</f>
        <v>1.0492427720597519</v>
      </c>
      <c r="D123" s="1633">
        <f t="shared" ref="D123:N123" si="38">+D122/C122</f>
        <v>1.0181806055634222</v>
      </c>
      <c r="E123" s="1633">
        <f t="shared" si="38"/>
        <v>1.0440148138526073</v>
      </c>
      <c r="F123" s="1633">
        <f t="shared" si="38"/>
        <v>1.0020142931700222</v>
      </c>
      <c r="G123" s="1633">
        <f t="shared" si="38"/>
        <v>1.0741677496623028</v>
      </c>
      <c r="H123" s="1633">
        <f t="shared" si="38"/>
        <v>1.0732879991223974</v>
      </c>
      <c r="I123" s="1633">
        <f t="shared" si="38"/>
        <v>1.0429382118503254</v>
      </c>
      <c r="J123" s="1633">
        <f t="shared" si="38"/>
        <v>1.0292951906298167</v>
      </c>
      <c r="K123" s="1633">
        <f t="shared" si="38"/>
        <v>1.0316902869263023</v>
      </c>
      <c r="L123" s="1633">
        <f t="shared" si="38"/>
        <v>1.0930990191137402</v>
      </c>
      <c r="M123" s="1633">
        <f t="shared" si="38"/>
        <v>1.0354231525301176</v>
      </c>
      <c r="N123" s="1633">
        <f t="shared" si="38"/>
        <v>1.0646542055492347</v>
      </c>
    </row>
    <row r="124" spans="2:14" s="2" customFormat="1" ht="16.5" thickBot="1">
      <c r="B124" s="369"/>
      <c r="C124" s="380"/>
      <c r="D124" s="380"/>
      <c r="E124" s="380"/>
      <c r="F124" s="380"/>
      <c r="G124" s="380"/>
      <c r="H124" s="380"/>
      <c r="I124" s="380"/>
      <c r="J124" s="380"/>
      <c r="K124" s="380"/>
      <c r="L124" s="380"/>
      <c r="M124" s="380"/>
      <c r="N124" s="380"/>
    </row>
    <row r="125" spans="2:14" s="2" customFormat="1" ht="16.5" thickBot="1">
      <c r="B125" s="2464" t="s">
        <v>1012</v>
      </c>
      <c r="C125" s="337">
        <f>+N118*C123</f>
        <v>1052.1590022062937</v>
      </c>
      <c r="D125" s="337">
        <f t="shared" ref="D125:E125" si="39">+C125*D123</f>
        <v>1071.2878900154101</v>
      </c>
      <c r="E125" s="337">
        <f t="shared" si="39"/>
        <v>1118.4404270769908</v>
      </c>
      <c r="F125" s="337">
        <f t="shared" ref="F125:N125" si="40">+E125*F123</f>
        <v>1120.6932939903286</v>
      </c>
      <c r="G125" s="337">
        <f t="shared" si="40"/>
        <v>1203.8125936672247</v>
      </c>
      <c r="H125" s="337">
        <f t="shared" si="40"/>
        <v>1292.0376099754392</v>
      </c>
      <c r="I125" s="337">
        <f t="shared" si="40"/>
        <v>1347.5153945911527</v>
      </c>
      <c r="J125" s="337">
        <f t="shared" si="40"/>
        <v>1386.9911149523132</v>
      </c>
      <c r="K125" s="337">
        <f t="shared" si="40"/>
        <v>1430.9452613493838</v>
      </c>
      <c r="L125" s="337">
        <f t="shared" si="40"/>
        <v>1564.164861586466</v>
      </c>
      <c r="M125" s="337">
        <f t="shared" si="40"/>
        <v>1619.5725120606937</v>
      </c>
      <c r="N125" s="337">
        <f t="shared" si="40"/>
        <v>1724.2846861573562</v>
      </c>
    </row>
    <row r="126" spans="2:14" s="2" customFormat="1" ht="16.5" thickBot="1">
      <c r="B126" s="269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</row>
    <row r="127" spans="2:14" s="2" customFormat="1" ht="15.75">
      <c r="B127" s="2566" t="s">
        <v>1009</v>
      </c>
      <c r="C127" s="2568">
        <v>2023</v>
      </c>
      <c r="D127" s="2569"/>
      <c r="E127" s="2569"/>
      <c r="F127" s="2569"/>
      <c r="G127" s="2569"/>
      <c r="H127" s="2569"/>
      <c r="I127" s="2569"/>
      <c r="J127" s="2569"/>
      <c r="K127" s="2569"/>
      <c r="L127" s="2569"/>
      <c r="M127" s="2570"/>
      <c r="N127" s="2571"/>
    </row>
    <row r="128" spans="2:14" s="2" customFormat="1" ht="16.5" thickBot="1">
      <c r="B128" s="2567"/>
      <c r="C128" s="412" t="s">
        <v>578</v>
      </c>
      <c r="D128" s="412" t="s">
        <v>579</v>
      </c>
      <c r="E128" s="412" t="s">
        <v>580</v>
      </c>
      <c r="F128" s="412" t="s">
        <v>581</v>
      </c>
      <c r="G128" s="412" t="s">
        <v>582</v>
      </c>
      <c r="H128" s="412" t="s">
        <v>583</v>
      </c>
      <c r="I128" s="412" t="s">
        <v>587</v>
      </c>
      <c r="J128" s="412" t="s">
        <v>588</v>
      </c>
      <c r="K128" s="412" t="s">
        <v>589</v>
      </c>
      <c r="L128" s="412" t="s">
        <v>590</v>
      </c>
      <c r="M128" s="412" t="s">
        <v>586</v>
      </c>
      <c r="N128" s="1508" t="s">
        <v>577</v>
      </c>
    </row>
    <row r="129" spans="2:22" s="2" customFormat="1" ht="15.75">
      <c r="B129" s="544" t="s">
        <v>1013</v>
      </c>
      <c r="C129" s="546">
        <v>156525.32500383406</v>
      </c>
      <c r="D129" s="546">
        <v>190206.46652406969</v>
      </c>
      <c r="E129" s="546"/>
      <c r="F129" s="546"/>
      <c r="G129" s="546"/>
      <c r="H129" s="546"/>
      <c r="I129" s="546"/>
      <c r="J129" s="546"/>
      <c r="K129" s="546"/>
      <c r="L129" s="546"/>
      <c r="M129" s="546"/>
      <c r="N129" s="545"/>
    </row>
    <row r="130" spans="2:22" s="2" customFormat="1" ht="15.75">
      <c r="B130" s="566" t="s">
        <v>996</v>
      </c>
      <c r="C130" s="1633">
        <f>+C129/N122</f>
        <v>1.107335909860983</v>
      </c>
      <c r="D130" s="1633">
        <f t="shared" ref="D130" si="41">+D129/C129</f>
        <v>1.2151801411011964</v>
      </c>
      <c r="E130" s="1633"/>
      <c r="F130" s="1633"/>
      <c r="G130" s="1633"/>
      <c r="H130" s="1633"/>
      <c r="I130" s="1633"/>
      <c r="J130" s="1633"/>
      <c r="K130" s="1633"/>
      <c r="L130" s="1633"/>
      <c r="M130" s="1633"/>
      <c r="N130" s="1633"/>
    </row>
    <row r="131" spans="2:22" s="2" customFormat="1" ht="16.5" thickBot="1">
      <c r="B131" s="369"/>
      <c r="C131" s="380"/>
      <c r="D131" s="380"/>
      <c r="E131" s="380"/>
      <c r="F131" s="380"/>
      <c r="G131" s="380"/>
      <c r="H131" s="380"/>
      <c r="I131" s="380"/>
      <c r="J131" s="380"/>
      <c r="K131" s="380"/>
      <c r="L131" s="380"/>
      <c r="M131" s="380"/>
      <c r="N131" s="380"/>
    </row>
    <row r="132" spans="2:22" s="2" customFormat="1" ht="16.5" thickBot="1">
      <c r="B132" s="2464" t="s">
        <v>1012</v>
      </c>
      <c r="C132" s="337">
        <f>+N125*C130</f>
        <v>1909.3623518054155</v>
      </c>
      <c r="D132" s="337">
        <f t="shared" ref="D132" si="42">+C132*D130</f>
        <v>2320.2192120802169</v>
      </c>
      <c r="E132" s="337">
        <f t="shared" ref="E132" si="43">+D132*E130</f>
        <v>0</v>
      </c>
      <c r="F132" s="337">
        <f t="shared" ref="F132" si="44">+E132*F130</f>
        <v>0</v>
      </c>
      <c r="G132" s="337">
        <f t="shared" ref="G132" si="45">+F132*G130</f>
        <v>0</v>
      </c>
      <c r="H132" s="337">
        <f t="shared" ref="H132" si="46">+G132*H130</f>
        <v>0</v>
      </c>
      <c r="I132" s="337">
        <f t="shared" ref="I132" si="47">+H132*I130</f>
        <v>0</v>
      </c>
      <c r="J132" s="337">
        <f t="shared" ref="J132" si="48">+I132*J130</f>
        <v>0</v>
      </c>
      <c r="K132" s="337">
        <f t="shared" ref="K132" si="49">+J132*K130</f>
        <v>0</v>
      </c>
      <c r="L132" s="337">
        <f t="shared" ref="L132" si="50">+K132*L130</f>
        <v>0</v>
      </c>
      <c r="M132" s="337">
        <f t="shared" ref="M132" si="51">+L132*M130</f>
        <v>0</v>
      </c>
      <c r="N132" s="337">
        <f t="shared" ref="N132" si="52">+M132*N130</f>
        <v>0</v>
      </c>
    </row>
    <row r="133" spans="2:22" s="2" customFormat="1" ht="15.75">
      <c r="B133" s="269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</row>
    <row r="134" spans="2:22" s="2" customFormat="1" ht="15.75" hidden="1">
      <c r="B134" s="2566" t="s">
        <v>1009</v>
      </c>
      <c r="C134" s="2568">
        <v>2015</v>
      </c>
      <c r="D134" s="2569"/>
      <c r="E134" s="2569"/>
      <c r="F134" s="2569"/>
      <c r="G134" s="2569"/>
      <c r="H134" s="2569"/>
      <c r="I134" s="2569"/>
      <c r="J134" s="2569"/>
      <c r="K134" s="2569"/>
      <c r="L134" s="2569"/>
      <c r="M134" s="2570"/>
      <c r="N134" s="2571"/>
    </row>
    <row r="135" spans="2:22" s="2" customFormat="1" ht="15.75" hidden="1">
      <c r="B135" s="2567"/>
      <c r="C135" s="344" t="s">
        <v>578</v>
      </c>
      <c r="D135" s="344" t="s">
        <v>579</v>
      </c>
      <c r="E135" s="344" t="s">
        <v>580</v>
      </c>
      <c r="F135" s="344" t="s">
        <v>581</v>
      </c>
      <c r="G135" s="344" t="s">
        <v>582</v>
      </c>
      <c r="H135" s="344" t="s">
        <v>583</v>
      </c>
      <c r="I135" s="344" t="s">
        <v>587</v>
      </c>
      <c r="J135" s="344" t="s">
        <v>588</v>
      </c>
      <c r="K135" s="344" t="s">
        <v>589</v>
      </c>
      <c r="L135" s="344" t="s">
        <v>590</v>
      </c>
      <c r="M135" s="344" t="s">
        <v>586</v>
      </c>
      <c r="N135" s="1638" t="s">
        <v>577</v>
      </c>
    </row>
    <row r="136" spans="2:22" s="2" customFormat="1" ht="15.75" hidden="1">
      <c r="B136" s="396" t="s">
        <v>1096</v>
      </c>
      <c r="C136" s="1237"/>
      <c r="D136" s="1237"/>
      <c r="E136" s="1237"/>
      <c r="F136" s="1237"/>
      <c r="G136" s="1237"/>
      <c r="H136" s="1237"/>
      <c r="I136" s="1237"/>
      <c r="J136" s="1237"/>
      <c r="K136" s="1237"/>
      <c r="L136" s="689">
        <v>9300.26</v>
      </c>
      <c r="M136" s="689">
        <v>9337.09</v>
      </c>
      <c r="N136" s="689">
        <v>9340.01</v>
      </c>
    </row>
    <row r="137" spans="2:22" s="2" customFormat="1" ht="15.75" hidden="1">
      <c r="B137" s="396" t="s">
        <v>1097</v>
      </c>
      <c r="C137" s="1237"/>
      <c r="D137" s="1237"/>
      <c r="E137" s="1237"/>
      <c r="F137" s="1237"/>
      <c r="G137" s="1237"/>
      <c r="H137" s="1237"/>
      <c r="I137" s="1237"/>
      <c r="J137" s="1237"/>
      <c r="K137" s="1237"/>
      <c r="L137" s="689">
        <v>9110.86</v>
      </c>
      <c r="M137" s="689">
        <v>9147.69</v>
      </c>
      <c r="N137" s="689">
        <v>9150.6</v>
      </c>
    </row>
    <row r="138" spans="2:22" s="2" customFormat="1" ht="15.75" hidden="1">
      <c r="B138" s="396" t="s">
        <v>1015</v>
      </c>
      <c r="C138" s="1237"/>
      <c r="D138" s="1237"/>
      <c r="E138" s="1237"/>
      <c r="F138" s="1237"/>
      <c r="G138" s="1237"/>
      <c r="H138" s="1237"/>
      <c r="I138" s="1237"/>
      <c r="J138" s="1237"/>
      <c r="K138" s="1237"/>
      <c r="L138" s="689">
        <f>SUM(L136:L137)/2</f>
        <v>9205.5600000000013</v>
      </c>
      <c r="M138" s="689">
        <f>SUM(M136:M137)/2</f>
        <v>9242.39</v>
      </c>
      <c r="N138" s="689">
        <f>SUM(N136:N137)/2</f>
        <v>9245.3050000000003</v>
      </c>
    </row>
    <row r="139" spans="2:22" s="2" customFormat="1" ht="15.75" hidden="1">
      <c r="B139" s="285" t="s">
        <v>996</v>
      </c>
      <c r="C139" s="307"/>
      <c r="D139" s="307"/>
      <c r="E139" s="307"/>
      <c r="F139" s="307"/>
      <c r="G139" s="307"/>
      <c r="H139" s="307"/>
      <c r="I139" s="307"/>
      <c r="J139" s="307"/>
      <c r="K139" s="307"/>
      <c r="L139" s="307"/>
      <c r="M139" s="1639">
        <f>+M138/L138</f>
        <v>1.0040008429688143</v>
      </c>
      <c r="N139" s="1639">
        <f>+N138/M138</f>
        <v>1.0003153946111343</v>
      </c>
    </row>
    <row r="140" spans="2:22" s="2" customFormat="1" ht="15.75" hidden="1">
      <c r="B140" s="285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</row>
    <row r="141" spans="2:22" s="2" customFormat="1" ht="16.5" hidden="1" thickBot="1">
      <c r="B141" s="2463" t="s">
        <v>1014</v>
      </c>
      <c r="C141" s="1483"/>
      <c r="D141" s="1483"/>
      <c r="E141" s="1483"/>
      <c r="F141" s="1483"/>
      <c r="G141" s="1483"/>
      <c r="H141" s="1483"/>
      <c r="I141" s="1483"/>
      <c r="J141" s="1483"/>
      <c r="K141" s="1483"/>
      <c r="L141" s="1483">
        <v>8060</v>
      </c>
      <c r="M141" s="1483">
        <f>+M139*L141</f>
        <v>8092.2467943286438</v>
      </c>
      <c r="N141" s="1483">
        <f>+N139*M141</f>
        <v>8094.7990453595439</v>
      </c>
    </row>
    <row r="142" spans="2:22" s="2" customFormat="1" ht="16.5" thickBot="1"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</row>
    <row r="143" spans="2:22" s="2" customFormat="1" ht="15.75">
      <c r="B143" s="2566" t="s">
        <v>1009</v>
      </c>
      <c r="C143" s="2568">
        <v>2016</v>
      </c>
      <c r="D143" s="2569"/>
      <c r="E143" s="2569"/>
      <c r="F143" s="2569"/>
      <c r="G143" s="2569"/>
      <c r="H143" s="2569"/>
      <c r="I143" s="2569"/>
      <c r="J143" s="2569"/>
      <c r="K143" s="2569"/>
      <c r="L143" s="2569"/>
      <c r="M143" s="2570"/>
      <c r="N143" s="2571"/>
      <c r="Q143" s="50">
        <v>5230</v>
      </c>
      <c r="R143" s="50">
        <v>5320.78295285886</v>
      </c>
      <c r="S143" s="50">
        <v>5322.7453915792321</v>
      </c>
      <c r="T143" s="50">
        <v>5509.4660592782029</v>
      </c>
      <c r="U143" s="50">
        <v>5860.776193627562</v>
      </c>
      <c r="V143" s="50">
        <v>5980.6260898617957</v>
      </c>
    </row>
    <row r="144" spans="2:22" s="2" customFormat="1" ht="15.75">
      <c r="B144" s="2567"/>
      <c r="C144" s="344" t="s">
        <v>578</v>
      </c>
      <c r="D144" s="344" t="s">
        <v>579</v>
      </c>
      <c r="E144" s="344" t="s">
        <v>580</v>
      </c>
      <c r="F144" s="344" t="s">
        <v>581</v>
      </c>
      <c r="G144" s="344" t="s">
        <v>582</v>
      </c>
      <c r="H144" s="344" t="s">
        <v>583</v>
      </c>
      <c r="I144" s="344" t="s">
        <v>587</v>
      </c>
      <c r="J144" s="344" t="s">
        <v>588</v>
      </c>
      <c r="K144" s="344" t="s">
        <v>589</v>
      </c>
      <c r="L144" s="344" t="s">
        <v>590</v>
      </c>
      <c r="M144" s="344" t="s">
        <v>586</v>
      </c>
      <c r="N144" s="1638" t="s">
        <v>577</v>
      </c>
      <c r="Q144" s="50">
        <v>8060</v>
      </c>
      <c r="R144" s="50">
        <v>8092.2467943286438</v>
      </c>
      <c r="S144" s="50">
        <v>8094.7990453595439</v>
      </c>
      <c r="T144" s="50">
        <v>8439.8826470089825</v>
      </c>
      <c r="U144" s="50">
        <v>8995.3627916172391</v>
      </c>
      <c r="V144" s="50">
        <v>9156.938230808335</v>
      </c>
    </row>
    <row r="145" spans="2:22" s="2" customFormat="1" ht="15.75">
      <c r="B145" s="396" t="s">
        <v>1096</v>
      </c>
      <c r="C145" s="689">
        <v>9737.7800000000007</v>
      </c>
      <c r="D145" s="689">
        <v>10379.49</v>
      </c>
      <c r="E145" s="689">
        <v>10565.49</v>
      </c>
      <c r="F145" s="689">
        <v>11047.856980493429</v>
      </c>
      <c r="G145" s="689">
        <v>11432.098739600224</v>
      </c>
      <c r="H145" s="689">
        <v>11435.579290672144</v>
      </c>
      <c r="I145" s="689">
        <v>11636.078025074417</v>
      </c>
      <c r="J145" s="689">
        <v>11686.791366476851</v>
      </c>
      <c r="K145" s="689">
        <v>11687.580961685851</v>
      </c>
      <c r="L145" s="689">
        <v>11990.435333798077</v>
      </c>
      <c r="M145" s="689">
        <v>12147.011021030828</v>
      </c>
      <c r="N145" s="1237">
        <v>12654.382107522264</v>
      </c>
    </row>
    <row r="146" spans="2:22" s="2" customFormat="1" ht="15.75">
      <c r="B146" s="396" t="s">
        <v>1097</v>
      </c>
      <c r="C146" s="689">
        <v>9541.09</v>
      </c>
      <c r="D146" s="689">
        <v>10168.24</v>
      </c>
      <c r="E146" s="689">
        <v>10351.32</v>
      </c>
      <c r="F146" s="689">
        <v>10825.122286493428</v>
      </c>
      <c r="G146" s="1237">
        <v>11202.458221100225</v>
      </c>
      <c r="H146" s="689">
        <v>11205.938772172145</v>
      </c>
      <c r="I146" s="689">
        <v>11402.037593074418</v>
      </c>
      <c r="J146" s="689">
        <v>11451.935056476854</v>
      </c>
      <c r="K146" s="689">
        <v>11452.724651685854</v>
      </c>
      <c r="L146" s="689">
        <v>11749.285107798078</v>
      </c>
      <c r="M146" s="689">
        <v>11902.247621030829</v>
      </c>
      <c r="N146" s="1237">
        <v>12397.963307522263</v>
      </c>
    </row>
    <row r="147" spans="2:22" s="2" customFormat="1" ht="15.75">
      <c r="B147" s="396" t="s">
        <v>1015</v>
      </c>
      <c r="C147" s="689">
        <f t="shared" ref="C147:H147" si="53">SUM(C145:C146)/2</f>
        <v>9639.4350000000013</v>
      </c>
      <c r="D147" s="689">
        <f t="shared" si="53"/>
        <v>10273.865</v>
      </c>
      <c r="E147" s="689">
        <f t="shared" si="53"/>
        <v>10458.404999999999</v>
      </c>
      <c r="F147" s="689">
        <f t="shared" si="53"/>
        <v>10936.489633493427</v>
      </c>
      <c r="G147" s="689">
        <f t="shared" si="53"/>
        <v>11317.278480350225</v>
      </c>
      <c r="H147" s="689">
        <f t="shared" si="53"/>
        <v>11320.759031422145</v>
      </c>
      <c r="I147" s="689">
        <f t="shared" ref="I147:N147" si="54">SUM(I145:I146)/2</f>
        <v>11519.057809074417</v>
      </c>
      <c r="J147" s="689">
        <f t="shared" si="54"/>
        <v>11569.363211476852</v>
      </c>
      <c r="K147" s="689">
        <f t="shared" si="54"/>
        <v>11570.152806685852</v>
      </c>
      <c r="L147" s="689">
        <f t="shared" si="54"/>
        <v>11869.860220798077</v>
      </c>
      <c r="M147" s="689">
        <f t="shared" si="54"/>
        <v>12024.629321030829</v>
      </c>
      <c r="N147" s="689">
        <f t="shared" si="54"/>
        <v>12526.172707522262</v>
      </c>
    </row>
    <row r="148" spans="2:22" s="2" customFormat="1" ht="15.75">
      <c r="B148" s="285" t="s">
        <v>996</v>
      </c>
      <c r="C148" s="394">
        <f>+C147/N138</f>
        <v>1.0426302863994212</v>
      </c>
      <c r="D148" s="394">
        <f t="shared" ref="D148:N148" si="55">+D147/C147</f>
        <v>1.0658160981426814</v>
      </c>
      <c r="E148" s="394">
        <f t="shared" si="55"/>
        <v>1.0179620814561996</v>
      </c>
      <c r="F148" s="394">
        <f t="shared" si="55"/>
        <v>1.0457129584763096</v>
      </c>
      <c r="G148" s="394">
        <f t="shared" si="55"/>
        <v>1.0348181966625394</v>
      </c>
      <c r="H148" s="394">
        <f t="shared" si="55"/>
        <v>1.0003075431145361</v>
      </c>
      <c r="I148" s="394">
        <f t="shared" si="55"/>
        <v>1.0175163853502993</v>
      </c>
      <c r="J148" s="394">
        <f t="shared" si="55"/>
        <v>1.004367145580501</v>
      </c>
      <c r="K148" s="394">
        <f t="shared" si="55"/>
        <v>1.0000682488045856</v>
      </c>
      <c r="L148" s="394">
        <f t="shared" si="55"/>
        <v>1.0259034966192528</v>
      </c>
      <c r="M148" s="394">
        <f t="shared" si="55"/>
        <v>1.0130388309006007</v>
      </c>
      <c r="N148" s="394">
        <f t="shared" si="55"/>
        <v>1.0417096754587059</v>
      </c>
    </row>
    <row r="149" spans="2:22" s="2" customFormat="1" ht="15.75"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</row>
    <row r="150" spans="2:22" s="2" customFormat="1" ht="16.5" thickBot="1">
      <c r="B150" s="2463" t="s">
        <v>1014</v>
      </c>
      <c r="C150" s="1483">
        <v>100</v>
      </c>
      <c r="D150" s="1483">
        <f t="shared" ref="D150:N150" si="56">+C150*D148</f>
        <v>106.58160981426815</v>
      </c>
      <c r="E150" s="1483">
        <f t="shared" si="56"/>
        <v>108.49603737148492</v>
      </c>
      <c r="F150" s="1483">
        <f t="shared" si="56"/>
        <v>113.45571222269174</v>
      </c>
      <c r="G150" s="1483">
        <f t="shared" si="56"/>
        <v>117.4060355233499</v>
      </c>
      <c r="H150" s="1483">
        <f t="shared" si="56"/>
        <v>117.44214294118008</v>
      </c>
      <c r="I150" s="1483">
        <f t="shared" si="56"/>
        <v>119.49930477330273</v>
      </c>
      <c r="J150" s="1483">
        <f t="shared" si="56"/>
        <v>120.0211756340164</v>
      </c>
      <c r="K150" s="1483">
        <f t="shared" si="56"/>
        <v>120.02936693577837</v>
      </c>
      <c r="L150" s="1483">
        <f t="shared" si="56"/>
        <v>123.13854723641036</v>
      </c>
      <c r="M150" s="1483">
        <f t="shared" si="56"/>
        <v>124.74412993117154</v>
      </c>
      <c r="N150" s="1483">
        <f t="shared" si="56"/>
        <v>129.94716710597933</v>
      </c>
    </row>
    <row r="152" spans="2:22" s="2" customFormat="1" ht="15.75" hidden="1">
      <c r="B152" s="2566" t="s">
        <v>1009</v>
      </c>
      <c r="C152" s="2568">
        <v>2017</v>
      </c>
      <c r="D152" s="2569"/>
      <c r="E152" s="2569"/>
      <c r="F152" s="2569"/>
      <c r="G152" s="2569"/>
      <c r="H152" s="2569"/>
      <c r="I152" s="2569"/>
      <c r="J152" s="2569"/>
      <c r="K152" s="2569"/>
      <c r="L152" s="2569"/>
      <c r="M152" s="2570"/>
      <c r="N152" s="2571"/>
      <c r="Q152" s="50">
        <v>5230</v>
      </c>
      <c r="R152" s="50">
        <v>5320.78295285886</v>
      </c>
      <c r="S152" s="50">
        <v>5322.7453915792321</v>
      </c>
      <c r="T152" s="50">
        <v>5509.4660592782029</v>
      </c>
      <c r="U152" s="50">
        <v>5860.776193627562</v>
      </c>
      <c r="V152" s="50">
        <v>5980.6260898617957</v>
      </c>
    </row>
    <row r="153" spans="2:22" s="2" customFormat="1" ht="15.75" hidden="1">
      <c r="B153" s="2567"/>
      <c r="C153" s="344" t="s">
        <v>578</v>
      </c>
      <c r="D153" s="344" t="s">
        <v>579</v>
      </c>
      <c r="E153" s="344" t="s">
        <v>580</v>
      </c>
      <c r="F153" s="344" t="s">
        <v>581</v>
      </c>
      <c r="G153" s="344" t="s">
        <v>582</v>
      </c>
      <c r="H153" s="344" t="s">
        <v>583</v>
      </c>
      <c r="I153" s="344" t="s">
        <v>587</v>
      </c>
      <c r="J153" s="344" t="s">
        <v>588</v>
      </c>
      <c r="K153" s="344" t="s">
        <v>589</v>
      </c>
      <c r="L153" s="344" t="s">
        <v>590</v>
      </c>
      <c r="M153" s="344" t="s">
        <v>586</v>
      </c>
      <c r="N153" s="1638" t="s">
        <v>577</v>
      </c>
      <c r="Q153" s="50">
        <v>8060</v>
      </c>
      <c r="R153" s="50">
        <v>8092.2467943286438</v>
      </c>
      <c r="S153" s="50">
        <v>8094.7990453595439</v>
      </c>
      <c r="T153" s="50">
        <v>8439.8826470089825</v>
      </c>
      <c r="U153" s="50">
        <v>8995.3627916172391</v>
      </c>
      <c r="V153" s="50">
        <v>9156.938230808335</v>
      </c>
    </row>
    <row r="154" spans="2:22" s="2" customFormat="1" ht="15.75" hidden="1">
      <c r="B154" s="396" t="s">
        <v>1096</v>
      </c>
      <c r="C154" s="689">
        <v>12783.391420751788</v>
      </c>
      <c r="D154" s="689">
        <v>12787.24205565961</v>
      </c>
      <c r="E154" s="689">
        <v>12911.830188024882</v>
      </c>
      <c r="F154" s="689">
        <v>12951.673123511755</v>
      </c>
      <c r="G154" s="1666">
        <v>12952.220425947955</v>
      </c>
      <c r="H154" s="689">
        <v>13056.986611150702</v>
      </c>
      <c r="I154" s="689">
        <v>13727.742023793797</v>
      </c>
      <c r="J154" s="689">
        <v>14195.958286686007</v>
      </c>
      <c r="K154" s="689">
        <v>14232.953115610888</v>
      </c>
      <c r="L154" s="689">
        <v>14369.954226442533</v>
      </c>
      <c r="M154" s="689">
        <v>14609.375054041653</v>
      </c>
      <c r="N154" s="1237">
        <v>14949.837629888454</v>
      </c>
    </row>
    <row r="155" spans="2:22" s="2" customFormat="1" ht="15.75" hidden="1">
      <c r="B155" s="396" t="s">
        <v>1097</v>
      </c>
      <c r="C155" s="689">
        <v>12525.754631451788</v>
      </c>
      <c r="D155" s="689">
        <v>12529.605266359609</v>
      </c>
      <c r="E155" s="689">
        <v>12651.623383024882</v>
      </c>
      <c r="F155" s="689">
        <v>12691.466318511755</v>
      </c>
      <c r="G155" s="1666">
        <v>12692.013620947955</v>
      </c>
      <c r="H155" s="689">
        <v>12796.779806150702</v>
      </c>
      <c r="I155" s="689">
        <v>13454.516136993796</v>
      </c>
      <c r="J155" s="689">
        <v>13911.807793466007</v>
      </c>
      <c r="K155" s="689">
        <v>13948.802622390887</v>
      </c>
      <c r="L155" s="689">
        <v>14084.659172942531</v>
      </c>
      <c r="M155" s="689">
        <v>14318.380509941653</v>
      </c>
      <c r="N155" s="1237">
        <v>14652.560825188453</v>
      </c>
    </row>
    <row r="156" spans="2:22" s="2" customFormat="1" ht="15.75" hidden="1">
      <c r="B156" s="396" t="s">
        <v>1015</v>
      </c>
      <c r="C156" s="689">
        <f t="shared" ref="C156:N156" si="57">SUM(C154:C155)/2</f>
        <v>12654.573026101789</v>
      </c>
      <c r="D156" s="689">
        <f t="shared" si="57"/>
        <v>12658.423661009609</v>
      </c>
      <c r="E156" s="689">
        <f t="shared" si="57"/>
        <v>12781.726785524883</v>
      </c>
      <c r="F156" s="689">
        <f t="shared" si="57"/>
        <v>12821.569721011754</v>
      </c>
      <c r="G156" s="1666">
        <f t="shared" si="57"/>
        <v>12822.117023447954</v>
      </c>
      <c r="H156" s="1666">
        <f t="shared" si="57"/>
        <v>12926.883208650703</v>
      </c>
      <c r="I156" s="1666">
        <f t="shared" si="57"/>
        <v>13591.129080393795</v>
      </c>
      <c r="J156" s="1666">
        <f t="shared" si="57"/>
        <v>14053.883040076007</v>
      </c>
      <c r="K156" s="1666">
        <f t="shared" si="57"/>
        <v>14090.877869000888</v>
      </c>
      <c r="L156" s="1666">
        <f t="shared" si="57"/>
        <v>14227.306699692532</v>
      </c>
      <c r="M156" s="1666">
        <f t="shared" si="57"/>
        <v>14463.877781991654</v>
      </c>
      <c r="N156" s="1666">
        <f t="shared" si="57"/>
        <v>14801.199227538455</v>
      </c>
    </row>
    <row r="157" spans="2:22" s="2" customFormat="1" ht="15.75" hidden="1">
      <c r="B157" s="285" t="s">
        <v>996</v>
      </c>
      <c r="C157" s="394">
        <f>+C156/N147</f>
        <v>1.0102505626880283</v>
      </c>
      <c r="D157" s="394">
        <f t="shared" ref="D157:N157" si="58">+D156/C156</f>
        <v>1.0003042880150819</v>
      </c>
      <c r="E157" s="394">
        <f t="shared" si="58"/>
        <v>1.0097407961541904</v>
      </c>
      <c r="F157" s="394">
        <f t="shared" si="58"/>
        <v>1.0031171794042721</v>
      </c>
      <c r="G157" s="394">
        <f t="shared" si="58"/>
        <v>1.0000426860710592</v>
      </c>
      <c r="H157" s="394">
        <f t="shared" si="58"/>
        <v>1.00817074005885</v>
      </c>
      <c r="I157" s="394">
        <f t="shared" si="58"/>
        <v>1.0513848435869351</v>
      </c>
      <c r="J157" s="394">
        <f t="shared" si="58"/>
        <v>1.0340482352087854</v>
      </c>
      <c r="K157" s="394">
        <f t="shared" si="58"/>
        <v>1.0026323563971171</v>
      </c>
      <c r="L157" s="394">
        <f t="shared" si="58"/>
        <v>1.0096820675021092</v>
      </c>
      <c r="M157" s="394">
        <f t="shared" si="58"/>
        <v>1.0166279596899557</v>
      </c>
      <c r="N157" s="394">
        <f t="shared" si="58"/>
        <v>1.0233216465619466</v>
      </c>
    </row>
    <row r="158" spans="2:22" s="2" customFormat="1" ht="15.75" hidden="1"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5"/>
    </row>
    <row r="159" spans="2:22" s="2" customFormat="1" ht="16.5" hidden="1" thickBot="1">
      <c r="B159" s="2463" t="s">
        <v>1014</v>
      </c>
      <c r="C159" s="1483">
        <f>+N150*C157</f>
        <v>131.27919868853087</v>
      </c>
      <c r="D159" s="1483">
        <f t="shared" ref="D159:I159" si="59">+C159*D157</f>
        <v>131.31914537532134</v>
      </c>
      <c r="E159" s="1483">
        <f t="shared" si="59"/>
        <v>132.59829840156485</v>
      </c>
      <c r="F159" s="1483">
        <f t="shared" si="59"/>
        <v>133.01163108638374</v>
      </c>
      <c r="G159" s="1483">
        <f t="shared" si="59"/>
        <v>133.01730883031999</v>
      </c>
      <c r="H159" s="1483">
        <f t="shared" si="59"/>
        <v>134.1041586841003</v>
      </c>
      <c r="I159" s="1483">
        <f t="shared" si="59"/>
        <v>140.99507990244032</v>
      </c>
      <c r="J159" s="1483">
        <f>+I159*J157</f>
        <v>145.79571354624011</v>
      </c>
      <c r="K159" s="1483">
        <f>+J159*K157</f>
        <v>146.1794998254658</v>
      </c>
      <c r="L159" s="1483">
        <f>+K159*L157</f>
        <v>147.59481961020052</v>
      </c>
      <c r="M159" s="1483">
        <f>+L159*M157</f>
        <v>150.0490203211252</v>
      </c>
      <c r="N159" s="1483">
        <f>+M159*N157</f>
        <v>153.54841054002083</v>
      </c>
    </row>
    <row r="160" spans="2:22" ht="13.5" hidden="1" thickBot="1"/>
    <row r="161" spans="2:22" s="2" customFormat="1" ht="15.75" hidden="1">
      <c r="B161" s="2566" t="s">
        <v>1009</v>
      </c>
      <c r="C161" s="2568">
        <v>2018</v>
      </c>
      <c r="D161" s="2569"/>
      <c r="E161" s="2569"/>
      <c r="F161" s="2569"/>
      <c r="G161" s="2569"/>
      <c r="H161" s="2569"/>
      <c r="I161" s="2569"/>
      <c r="J161" s="2569"/>
      <c r="K161" s="2569"/>
      <c r="L161" s="2569"/>
      <c r="M161" s="2570"/>
      <c r="N161" s="2571"/>
      <c r="Q161" s="50">
        <v>5230</v>
      </c>
      <c r="R161" s="50">
        <v>5320.78295285886</v>
      </c>
      <c r="S161" s="50">
        <v>5322.7453915792321</v>
      </c>
      <c r="T161" s="50">
        <v>5509.4660592782029</v>
      </c>
      <c r="U161" s="50">
        <v>5860.776193627562</v>
      </c>
      <c r="V161" s="50">
        <v>5980.6260898617957</v>
      </c>
    </row>
    <row r="162" spans="2:22" s="2" customFormat="1" ht="15.75" hidden="1">
      <c r="B162" s="2567"/>
      <c r="C162" s="344" t="s">
        <v>578</v>
      </c>
      <c r="D162" s="344" t="s">
        <v>579</v>
      </c>
      <c r="E162" s="344" t="s">
        <v>580</v>
      </c>
      <c r="F162" s="344" t="s">
        <v>581</v>
      </c>
      <c r="G162" s="344" t="s">
        <v>582</v>
      </c>
      <c r="H162" s="344" t="s">
        <v>583</v>
      </c>
      <c r="I162" s="344" t="s">
        <v>587</v>
      </c>
      <c r="J162" s="344" t="s">
        <v>588</v>
      </c>
      <c r="K162" s="344" t="s">
        <v>589</v>
      </c>
      <c r="L162" s="344" t="s">
        <v>590</v>
      </c>
      <c r="M162" s="344" t="s">
        <v>586</v>
      </c>
      <c r="N162" s="1638" t="s">
        <v>577</v>
      </c>
      <c r="Q162" s="50">
        <v>8060</v>
      </c>
      <c r="R162" s="50">
        <v>8092.2467943286438</v>
      </c>
      <c r="S162" s="50">
        <v>8094.7990453595439</v>
      </c>
      <c r="T162" s="50">
        <v>8439.8826470089825</v>
      </c>
      <c r="U162" s="50">
        <v>8995.3627916172391</v>
      </c>
      <c r="V162" s="50">
        <v>9156.938230808335</v>
      </c>
    </row>
    <row r="163" spans="2:22" s="2" customFormat="1" ht="15.75" hidden="1">
      <c r="B163" s="1750" t="s">
        <v>1096</v>
      </c>
      <c r="C163" s="689">
        <v>15418.423836798034</v>
      </c>
      <c r="D163" s="689">
        <v>15468.23666990021</v>
      </c>
      <c r="E163" s="689">
        <v>15880.220602065956</v>
      </c>
      <c r="F163" s="689">
        <v>17473.702209653933</v>
      </c>
      <c r="G163" s="1666">
        <v>17770.364606330972</v>
      </c>
      <c r="H163" s="689">
        <v>18718.693255912829</v>
      </c>
      <c r="I163" s="689">
        <v>19648.098991154115</v>
      </c>
      <c r="J163" s="689">
        <v>19885.183928592247</v>
      </c>
      <c r="K163" s="689">
        <v>22964.163133824452</v>
      </c>
      <c r="L163" s="689">
        <v>25384.574492491531</v>
      </c>
      <c r="M163" s="689">
        <v>26346.182559806213</v>
      </c>
      <c r="N163" s="1732">
        <v>26807.26046816857</v>
      </c>
    </row>
    <row r="164" spans="2:22" s="2" customFormat="1" ht="15.75" hidden="1">
      <c r="B164" s="1750" t="s">
        <v>1097</v>
      </c>
      <c r="C164" s="689">
        <v>15111.333185298032</v>
      </c>
      <c r="D164" s="689">
        <v>15161.146018400208</v>
      </c>
      <c r="E164" s="689">
        <v>15563.916356865957</v>
      </c>
      <c r="F164" s="689">
        <v>17144.746027753932</v>
      </c>
      <c r="G164" s="1666">
        <v>17434.829533900971</v>
      </c>
      <c r="H164" s="689">
        <v>18363.028724912831</v>
      </c>
      <c r="I164" s="689">
        <v>19278.207878914112</v>
      </c>
      <c r="J164" s="689">
        <v>19515.292816352245</v>
      </c>
      <c r="K164" s="689">
        <v>22535.098721324452</v>
      </c>
      <c r="L164" s="689">
        <v>24899.942960491528</v>
      </c>
      <c r="M164" s="689">
        <v>25848.408981536213</v>
      </c>
      <c r="N164" s="1732">
        <v>26301.684613618367</v>
      </c>
    </row>
    <row r="165" spans="2:22" s="2" customFormat="1" ht="15.75" hidden="1">
      <c r="B165" s="1750" t="s">
        <v>1015</v>
      </c>
      <c r="C165" s="689">
        <f t="shared" ref="C165:N165" si="60">SUM(C163:C164)/2</f>
        <v>15264.878511048033</v>
      </c>
      <c r="D165" s="689">
        <f t="shared" si="60"/>
        <v>15314.691344150209</v>
      </c>
      <c r="E165" s="689">
        <f t="shared" si="60"/>
        <v>15722.068479465957</v>
      </c>
      <c r="F165" s="689">
        <f t="shared" si="60"/>
        <v>17309.224118703933</v>
      </c>
      <c r="G165" s="689">
        <f t="shared" si="60"/>
        <v>17602.597070115971</v>
      </c>
      <c r="H165" s="689">
        <f t="shared" si="60"/>
        <v>18540.860990412832</v>
      </c>
      <c r="I165" s="689">
        <f t="shared" si="60"/>
        <v>19463.153435034113</v>
      </c>
      <c r="J165" s="689">
        <f t="shared" si="60"/>
        <v>19700.238372472246</v>
      </c>
      <c r="K165" s="689">
        <f t="shared" si="60"/>
        <v>22749.63092757445</v>
      </c>
      <c r="L165" s="689">
        <f t="shared" si="60"/>
        <v>25142.258726491527</v>
      </c>
      <c r="M165" s="689">
        <f t="shared" si="60"/>
        <v>26097.295770671211</v>
      </c>
      <c r="N165" s="1700">
        <f t="shared" si="60"/>
        <v>26554.472540893468</v>
      </c>
    </row>
    <row r="166" spans="2:22" s="2" customFormat="1" ht="15.75" hidden="1">
      <c r="B166" s="372" t="s">
        <v>996</v>
      </c>
      <c r="C166" s="394">
        <f>+C165/N156</f>
        <v>1.0313271429146684</v>
      </c>
      <c r="D166" s="394">
        <f t="shared" ref="D166:N166" si="61">+D165/C165</f>
        <v>1.0032632315459389</v>
      </c>
      <c r="E166" s="394">
        <f t="shared" si="61"/>
        <v>1.0266004143447105</v>
      </c>
      <c r="F166" s="394">
        <f t="shared" si="61"/>
        <v>1.1009508158109669</v>
      </c>
      <c r="G166" s="394">
        <f t="shared" si="61"/>
        <v>1.0169489371331801</v>
      </c>
      <c r="H166" s="394">
        <f t="shared" si="61"/>
        <v>1.0533025846447259</v>
      </c>
      <c r="I166" s="394">
        <f t="shared" si="61"/>
        <v>1.0497437764674566</v>
      </c>
      <c r="J166" s="394">
        <f t="shared" si="61"/>
        <v>1.0121812191549275</v>
      </c>
      <c r="K166" s="394">
        <f t="shared" si="61"/>
        <v>1.1547896272850797</v>
      </c>
      <c r="L166" s="394">
        <f t="shared" si="61"/>
        <v>1.1051721589037742</v>
      </c>
      <c r="M166" s="394">
        <f t="shared" si="61"/>
        <v>1.0379853319691359</v>
      </c>
      <c r="N166" s="658">
        <f t="shared" si="61"/>
        <v>1.0175181664123241</v>
      </c>
    </row>
    <row r="167" spans="2:22" s="2" customFormat="1" ht="15.75" hidden="1">
      <c r="B167" s="372"/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428"/>
    </row>
    <row r="168" spans="2:22" s="2" customFormat="1" ht="16.5" hidden="1" thickBot="1">
      <c r="B168" s="2463" t="s">
        <v>1014</v>
      </c>
      <c r="C168" s="1483">
        <f>+N159*C166</f>
        <v>158.35864354132823</v>
      </c>
      <c r="D168" s="1483">
        <f t="shared" ref="D168:N168" si="62">+C168*D166</f>
        <v>158.87540446250438</v>
      </c>
      <c r="E168" s="1483">
        <f t="shared" si="62"/>
        <v>163.10155605039046</v>
      </c>
      <c r="F168" s="1483">
        <f t="shared" si="62"/>
        <v>179.56679119371552</v>
      </c>
      <c r="G168" s="1483">
        <f t="shared" si="62"/>
        <v>182.61025744886467</v>
      </c>
      <c r="H168" s="1483">
        <f t="shared" si="62"/>
        <v>192.34385615352798</v>
      </c>
      <c r="I168" s="1483">
        <f t="shared" si="62"/>
        <v>201.91176593891771</v>
      </c>
      <c r="J168" s="1483">
        <f t="shared" si="62"/>
        <v>204.37129740977809</v>
      </c>
      <c r="K168" s="1483">
        <f t="shared" si="62"/>
        <v>236.00585436360583</v>
      </c>
      <c r="L168" s="1483">
        <f t="shared" si="62"/>
        <v>260.82709958095597</v>
      </c>
      <c r="M168" s="1483">
        <f t="shared" si="62"/>
        <v>270.73470354508544</v>
      </c>
      <c r="N168" s="1484">
        <f t="shared" si="62"/>
        <v>275.47747913537944</v>
      </c>
    </row>
    <row r="169" spans="2:22" s="2" customFormat="1" ht="16.5" hidden="1" thickBot="1">
      <c r="B169" s="269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</row>
    <row r="170" spans="2:22" s="2" customFormat="1" ht="15.75" hidden="1">
      <c r="B170" s="2566" t="s">
        <v>1009</v>
      </c>
      <c r="C170" s="2568">
        <v>2019</v>
      </c>
      <c r="D170" s="2569"/>
      <c r="E170" s="2569"/>
      <c r="F170" s="2569"/>
      <c r="G170" s="2569"/>
      <c r="H170" s="2569"/>
      <c r="I170" s="2569"/>
      <c r="J170" s="2569"/>
      <c r="K170" s="2569"/>
      <c r="L170" s="2569"/>
      <c r="M170" s="2570"/>
      <c r="N170" s="2571"/>
    </row>
    <row r="171" spans="2:22" s="2" customFormat="1" ht="15.75" hidden="1">
      <c r="B171" s="2567"/>
      <c r="C171" s="344" t="s">
        <v>578</v>
      </c>
      <c r="D171" s="344" t="s">
        <v>579</v>
      </c>
      <c r="E171" s="344" t="s">
        <v>580</v>
      </c>
      <c r="F171" s="344" t="s">
        <v>581</v>
      </c>
      <c r="G171" s="344" t="s">
        <v>582</v>
      </c>
      <c r="H171" s="344" t="s">
        <v>583</v>
      </c>
      <c r="I171" s="344" t="s">
        <v>587</v>
      </c>
      <c r="J171" s="344" t="s">
        <v>588</v>
      </c>
      <c r="K171" s="344" t="s">
        <v>589</v>
      </c>
      <c r="L171" s="344" t="s">
        <v>590</v>
      </c>
      <c r="M171" s="344" t="s">
        <v>586</v>
      </c>
      <c r="N171" s="1638" t="s">
        <v>577</v>
      </c>
    </row>
    <row r="172" spans="2:22" s="2" customFormat="1" ht="15.75" hidden="1">
      <c r="B172" s="1750" t="s">
        <v>1096</v>
      </c>
      <c r="C172" s="689">
        <v>26808.121311300267</v>
      </c>
      <c r="D172" s="689">
        <v>27077.09749334283</v>
      </c>
      <c r="E172" s="689">
        <v>29216.922443131443</v>
      </c>
      <c r="F172" s="689">
        <v>30809.17152698708</v>
      </c>
      <c r="G172" s="1666">
        <v>32192.472450194549</v>
      </c>
      <c r="H172" s="689">
        <v>34008.961828034924</v>
      </c>
      <c r="I172" s="689">
        <v>34220.01</v>
      </c>
      <c r="J172" s="689">
        <v>38558.465254489121</v>
      </c>
      <c r="K172" s="689">
        <v>42202.769906532267</v>
      </c>
      <c r="L172" s="689">
        <v>49609.16483033626</v>
      </c>
      <c r="M172" s="689">
        <v>51117.760800864824</v>
      </c>
      <c r="N172" s="1732">
        <v>53853.432946156543</v>
      </c>
    </row>
    <row r="173" spans="2:22" s="2" customFormat="1" ht="15.75" hidden="1">
      <c r="B173" s="1750" t="s">
        <v>1097</v>
      </c>
      <c r="C173" s="689">
        <v>26302.545456750064</v>
      </c>
      <c r="D173" s="689">
        <v>26571.521638792627</v>
      </c>
      <c r="E173" s="689">
        <v>28665.955950341442</v>
      </c>
      <c r="F173" s="689">
        <v>30229.003595037084</v>
      </c>
      <c r="G173" s="1666">
        <v>31586.197236374239</v>
      </c>
      <c r="H173" s="689">
        <v>33375.404011132618</v>
      </c>
      <c r="I173" s="689">
        <v>33586.449999999997</v>
      </c>
      <c r="J173" s="689">
        <v>37829.873765051474</v>
      </c>
      <c r="K173" s="689">
        <v>41396.461572702268</v>
      </c>
      <c r="L173" s="689">
        <v>48633.52771946125</v>
      </c>
      <c r="M173" s="689">
        <v>50119.949932536823</v>
      </c>
      <c r="N173" s="1732">
        <v>52800.188141087725</v>
      </c>
    </row>
    <row r="174" spans="2:22" s="2" customFormat="1" ht="15.75" hidden="1">
      <c r="B174" s="1750" t="s">
        <v>1015</v>
      </c>
      <c r="C174" s="689">
        <f t="shared" ref="C174:I174" si="63">SUM(C172:C173)/2</f>
        <v>26555.333384025165</v>
      </c>
      <c r="D174" s="689">
        <f t="shared" si="63"/>
        <v>26824.309566067728</v>
      </c>
      <c r="E174" s="689">
        <f t="shared" si="63"/>
        <v>28941.439196736443</v>
      </c>
      <c r="F174" s="689">
        <f t="shared" si="63"/>
        <v>30519.087561012082</v>
      </c>
      <c r="G174" s="689">
        <f t="shared" si="63"/>
        <v>31889.334843284392</v>
      </c>
      <c r="H174" s="689">
        <f t="shared" si="63"/>
        <v>33692.182919583771</v>
      </c>
      <c r="I174" s="689">
        <f t="shared" si="63"/>
        <v>33903.229999999996</v>
      </c>
      <c r="J174" s="689">
        <f>SUM(J172:J173)/2</f>
        <v>38194.169509770298</v>
      </c>
      <c r="K174" s="689">
        <f>SUM(K172:K173)/2</f>
        <v>41799.615739617264</v>
      </c>
      <c r="L174" s="689">
        <f>SUM(L172:L173)/2</f>
        <v>49121.346274898751</v>
      </c>
      <c r="M174" s="689">
        <f>SUM(M172:M173)/2</f>
        <v>50618.855366700824</v>
      </c>
      <c r="N174" s="689">
        <f>SUM(N172:N173)/2</f>
        <v>53326.810543622138</v>
      </c>
      <c r="Q174" s="2">
        <v>70</v>
      </c>
      <c r="R174" s="2">
        <v>142</v>
      </c>
    </row>
    <row r="175" spans="2:22" s="2" customFormat="1" ht="15.75" hidden="1">
      <c r="B175" s="372" t="s">
        <v>996</v>
      </c>
      <c r="C175" s="394">
        <f>+C174/N165</f>
        <v>1.0000324180090707</v>
      </c>
      <c r="D175" s="394">
        <f t="shared" ref="D175:N175" si="64">+D174/C174</f>
        <v>1.0101288949437317</v>
      </c>
      <c r="E175" s="394">
        <f t="shared" si="64"/>
        <v>1.0789257828036269</v>
      </c>
      <c r="F175" s="394">
        <f t="shared" si="64"/>
        <v>1.0545117453748998</v>
      </c>
      <c r="G175" s="394">
        <f t="shared" si="64"/>
        <v>1.0448980422344865</v>
      </c>
      <c r="H175" s="394">
        <f t="shared" si="64"/>
        <v>1.056534514914131</v>
      </c>
      <c r="I175" s="394">
        <f t="shared" si="64"/>
        <v>1.0062639776389659</v>
      </c>
      <c r="J175" s="394">
        <f t="shared" si="64"/>
        <v>1.1265643276398827</v>
      </c>
      <c r="K175" s="394">
        <f t="shared" si="64"/>
        <v>1.0943978171570055</v>
      </c>
      <c r="L175" s="394">
        <f t="shared" si="64"/>
        <v>1.175162627831098</v>
      </c>
      <c r="M175" s="394">
        <f t="shared" si="64"/>
        <v>1.0304859130574624</v>
      </c>
      <c r="N175" s="394">
        <f t="shared" si="64"/>
        <v>1.0534969658500559</v>
      </c>
      <c r="Q175" s="2">
        <v>276</v>
      </c>
      <c r="R175" s="2">
        <v>34</v>
      </c>
    </row>
    <row r="176" spans="2:22" s="2" customFormat="1" ht="15.75" hidden="1">
      <c r="B176" s="372"/>
      <c r="C176" s="285"/>
      <c r="D176" s="285"/>
      <c r="E176" s="285"/>
      <c r="F176" s="285"/>
      <c r="G176" s="285"/>
      <c r="H176" s="285"/>
      <c r="I176" s="285"/>
      <c r="J176" s="285"/>
      <c r="K176" s="285"/>
      <c r="L176" s="285"/>
      <c r="M176" s="285"/>
      <c r="N176" s="285"/>
      <c r="Q176" s="2">
        <v>12</v>
      </c>
      <c r="R176" s="2">
        <v>27</v>
      </c>
    </row>
    <row r="177" spans="2:19" s="2" customFormat="1" ht="16.5" hidden="1" thickBot="1">
      <c r="B177" s="2463" t="s">
        <v>1014</v>
      </c>
      <c r="C177" s="1483">
        <f>+N168*C175</f>
        <v>275.48640956679685</v>
      </c>
      <c r="D177" s="1483">
        <f t="shared" ref="D177:N177" si="65">+C177*D175</f>
        <v>278.27678246772479</v>
      </c>
      <c r="E177" s="1483">
        <f t="shared" si="65"/>
        <v>300.2399953600646</v>
      </c>
      <c r="F177" s="1483">
        <f t="shared" si="65"/>
        <v>316.60660153849352</v>
      </c>
      <c r="G177" s="1483">
        <f t="shared" si="65"/>
        <v>330.82161810608602</v>
      </c>
      <c r="H177" s="1483">
        <f t="shared" si="65"/>
        <v>349.52445780882147</v>
      </c>
      <c r="I177" s="1483">
        <f t="shared" si="65"/>
        <v>351.71387119680759</v>
      </c>
      <c r="J177" s="1483">
        <f t="shared" si="65"/>
        <v>396.22830082645186</v>
      </c>
      <c r="K177" s="1483">
        <f t="shared" si="65"/>
        <v>433.63138752029823</v>
      </c>
      <c r="L177" s="1483">
        <f t="shared" si="65"/>
        <v>509.5874008683989</v>
      </c>
      <c r="M177" s="1483">
        <f t="shared" si="65"/>
        <v>525.12263806645115</v>
      </c>
      <c r="N177" s="1483">
        <f t="shared" si="65"/>
        <v>553.21510590218338</v>
      </c>
    </row>
    <row r="178" spans="2:19" s="2" customFormat="1" ht="16.5" hidden="1" thickBot="1">
      <c r="B178" s="269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Q178" s="2">
        <v>70</v>
      </c>
      <c r="R178" s="2">
        <v>252</v>
      </c>
      <c r="S178" s="2">
        <f>+R178/R174</f>
        <v>1.7746478873239437</v>
      </c>
    </row>
    <row r="179" spans="2:19" s="2" customFormat="1" ht="15.75" hidden="1">
      <c r="B179" s="2566" t="s">
        <v>1009</v>
      </c>
      <c r="C179" s="2568">
        <v>2020</v>
      </c>
      <c r="D179" s="2569"/>
      <c r="E179" s="2569"/>
      <c r="F179" s="2569"/>
      <c r="G179" s="2569"/>
      <c r="H179" s="2569"/>
      <c r="I179" s="2569"/>
      <c r="J179" s="2569"/>
      <c r="K179" s="2569"/>
      <c r="L179" s="2569"/>
      <c r="M179" s="2570"/>
      <c r="N179" s="2571"/>
      <c r="Q179" s="2">
        <v>276</v>
      </c>
      <c r="R179" s="2">
        <v>65</v>
      </c>
      <c r="S179" s="2">
        <f t="shared" ref="S179:S180" si="66">+R179/R175</f>
        <v>1.911764705882353</v>
      </c>
    </row>
    <row r="180" spans="2:19" s="2" customFormat="1" ht="15.75" hidden="1">
      <c r="B180" s="2567"/>
      <c r="C180" s="344" t="s">
        <v>578</v>
      </c>
      <c r="D180" s="344" t="s">
        <v>579</v>
      </c>
      <c r="E180" s="344" t="s">
        <v>580</v>
      </c>
      <c r="F180" s="344" t="s">
        <v>581</v>
      </c>
      <c r="G180" s="344" t="s">
        <v>582</v>
      </c>
      <c r="H180" s="344" t="s">
        <v>583</v>
      </c>
      <c r="I180" s="344" t="s">
        <v>587</v>
      </c>
      <c r="J180" s="344" t="s">
        <v>588</v>
      </c>
      <c r="K180" s="344" t="s">
        <v>589</v>
      </c>
      <c r="L180" s="344" t="s">
        <v>590</v>
      </c>
      <c r="M180" s="344" t="s">
        <v>586</v>
      </c>
      <c r="N180" s="1638" t="s">
        <v>577</v>
      </c>
      <c r="Q180" s="2">
        <v>12</v>
      </c>
      <c r="R180" s="2">
        <v>50</v>
      </c>
      <c r="S180" s="2">
        <f t="shared" si="66"/>
        <v>1.8518518518518519</v>
      </c>
    </row>
    <row r="181" spans="2:19" s="2" customFormat="1" ht="15.75" hidden="1">
      <c r="B181" s="1750" t="s">
        <v>1096</v>
      </c>
      <c r="C181" s="689">
        <v>54872.129206728598</v>
      </c>
      <c r="D181" s="689">
        <v>54984.474497709802</v>
      </c>
      <c r="E181" s="689">
        <v>56292.317572629094</v>
      </c>
      <c r="F181" s="689">
        <v>57283.02381229349</v>
      </c>
      <c r="G181" s="1666">
        <v>58504.206155583495</v>
      </c>
      <c r="H181" s="689">
        <v>58511.647087423175</v>
      </c>
      <c r="I181" s="689">
        <v>58530.359710183366</v>
      </c>
      <c r="J181" s="689">
        <v>60133.643721426677</v>
      </c>
      <c r="K181" s="689">
        <v>60558.963066472439</v>
      </c>
      <c r="L181" s="689">
        <v>61589.310374947083</v>
      </c>
      <c r="M181" s="689">
        <v>62351.820653975534</v>
      </c>
      <c r="N181" s="1846">
        <v>64493.901719256202</v>
      </c>
    </row>
    <row r="182" spans="2:19" s="2" customFormat="1" ht="15.75" hidden="1">
      <c r="B182" s="1750" t="s">
        <v>1097</v>
      </c>
      <c r="C182" s="689">
        <v>53796.7109740546</v>
      </c>
      <c r="D182" s="689">
        <v>53909.056265035804</v>
      </c>
      <c r="E182" s="689">
        <v>55194.246732048494</v>
      </c>
      <c r="F182" s="689">
        <v>56162.311646233487</v>
      </c>
      <c r="G182" s="1666">
        <v>57354.966774459594</v>
      </c>
      <c r="H182" s="689">
        <v>57362.407706299266</v>
      </c>
      <c r="I182" s="689">
        <v>57381.120329059457</v>
      </c>
      <c r="J182" s="689">
        <v>58954.523140731675</v>
      </c>
      <c r="K182" s="689">
        <v>59379.842485777437</v>
      </c>
      <c r="L182" s="689">
        <v>60390.50294949708</v>
      </c>
      <c r="M182" s="689">
        <v>61153.013228525531</v>
      </c>
      <c r="N182" s="1846">
        <v>63259.130041904202</v>
      </c>
    </row>
    <row r="183" spans="2:19" s="2" customFormat="1" ht="15.75" hidden="1">
      <c r="B183" s="1750" t="s">
        <v>1015</v>
      </c>
      <c r="C183" s="689">
        <f t="shared" ref="C183:D183" si="67">SUM(C181:C182)/2</f>
        <v>54334.420090391599</v>
      </c>
      <c r="D183" s="689">
        <f t="shared" si="67"/>
        <v>54446.765381372803</v>
      </c>
      <c r="E183" s="689">
        <f t="shared" ref="E183:F183" si="68">SUM(E181:E182)/2</f>
        <v>55743.282152338797</v>
      </c>
      <c r="F183" s="689">
        <f t="shared" si="68"/>
        <v>56722.667729263485</v>
      </c>
      <c r="G183" s="689">
        <f t="shared" ref="G183:H183" si="69">SUM(G181:G182)/2</f>
        <v>57929.586465021544</v>
      </c>
      <c r="H183" s="689">
        <f t="shared" si="69"/>
        <v>57937.027396861216</v>
      </c>
      <c r="I183" s="689">
        <f t="shared" ref="I183:J183" si="70">SUM(I181:I182)/2</f>
        <v>57955.740019621415</v>
      </c>
      <c r="J183" s="689">
        <f t="shared" si="70"/>
        <v>59544.083431079176</v>
      </c>
      <c r="K183" s="689">
        <f t="shared" ref="K183:L183" si="71">SUM(K181:K182)/2</f>
        <v>59969.402776124938</v>
      </c>
      <c r="L183" s="689">
        <f t="shared" si="71"/>
        <v>60989.906662222085</v>
      </c>
      <c r="M183" s="689">
        <f t="shared" ref="M183:N183" si="72">SUM(M181:M182)/2</f>
        <v>61752.416941250529</v>
      </c>
      <c r="N183" s="689">
        <f t="shared" si="72"/>
        <v>63876.515880580206</v>
      </c>
    </row>
    <row r="184" spans="2:19" s="2" customFormat="1" ht="15.75" hidden="1">
      <c r="B184" s="372" t="s">
        <v>996</v>
      </c>
      <c r="C184" s="394">
        <f>+C183/N174</f>
        <v>1.0188949899027848</v>
      </c>
      <c r="D184" s="394">
        <f t="shared" ref="D184:N184" si="73">+D183/C183</f>
        <v>1.0020676633852779</v>
      </c>
      <c r="E184" s="394">
        <f t="shared" si="73"/>
        <v>1.0238125582279229</v>
      </c>
      <c r="F184" s="394">
        <f t="shared" si="73"/>
        <v>1.0175695714193536</v>
      </c>
      <c r="G184" s="394">
        <f t="shared" si="73"/>
        <v>1.0212775383118204</v>
      </c>
      <c r="H184" s="394">
        <f t="shared" si="73"/>
        <v>1.0001284478673806</v>
      </c>
      <c r="I184" s="394">
        <f t="shared" si="73"/>
        <v>1.0003229820997204</v>
      </c>
      <c r="J184" s="394">
        <f t="shared" si="73"/>
        <v>1.0274061449464715</v>
      </c>
      <c r="K184" s="394">
        <f t="shared" si="73"/>
        <v>1.0071429321023651</v>
      </c>
      <c r="L184" s="394">
        <f t="shared" si="73"/>
        <v>1.0170170760230322</v>
      </c>
      <c r="M184" s="394">
        <f t="shared" si="73"/>
        <v>1.0125022371857597</v>
      </c>
      <c r="N184" s="394">
        <f t="shared" si="73"/>
        <v>1.034397017064943</v>
      </c>
    </row>
    <row r="185" spans="2:19" s="2" customFormat="1" ht="15.75" hidden="1">
      <c r="B185" s="372"/>
      <c r="C185" s="285"/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</row>
    <row r="186" spans="2:19" s="2" customFormat="1" ht="16.5" hidden="1" thickBot="1">
      <c r="B186" s="2463" t="s">
        <v>1014</v>
      </c>
      <c r="C186" s="1483">
        <f>+N177*C184</f>
        <v>563.66809974227317</v>
      </c>
      <c r="D186" s="1483">
        <f t="shared" ref="D186:N186" si="74">+C186*D184</f>
        <v>564.83357563355946</v>
      </c>
      <c r="E186" s="1483">
        <f t="shared" si="74"/>
        <v>578.28370804241956</v>
      </c>
      <c r="F186" s="1483">
        <f t="shared" si="74"/>
        <v>588.44390495151947</v>
      </c>
      <c r="G186" s="1483">
        <f t="shared" si="74"/>
        <v>600.9645426834827</v>
      </c>
      <c r="H186" s="1483">
        <f t="shared" si="74"/>
        <v>601.04173529736181</v>
      </c>
      <c r="I186" s="1483">
        <f t="shared" si="74"/>
        <v>601.23586101904777</v>
      </c>
      <c r="J186" s="1483">
        <f t="shared" si="74"/>
        <v>617.71341817315238</v>
      </c>
      <c r="K186" s="1483">
        <f t="shared" si="74"/>
        <v>622.125703177883</v>
      </c>
      <c r="L186" s="1483">
        <f t="shared" si="74"/>
        <v>632.71246356474342</v>
      </c>
      <c r="M186" s="1483">
        <f t="shared" si="74"/>
        <v>640.62278485461616</v>
      </c>
      <c r="N186" s="1483">
        <f t="shared" si="74"/>
        <v>662.65829771745166</v>
      </c>
    </row>
    <row r="187" spans="2:19" s="2" customFormat="1" ht="16.5" hidden="1" thickBot="1">
      <c r="B187" s="269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</row>
    <row r="188" spans="2:19" s="2" customFormat="1" ht="15.75" hidden="1">
      <c r="B188" s="2566" t="s">
        <v>1009</v>
      </c>
      <c r="C188" s="2568">
        <v>2021</v>
      </c>
      <c r="D188" s="2569"/>
      <c r="E188" s="2569"/>
      <c r="F188" s="2569"/>
      <c r="G188" s="2569"/>
      <c r="H188" s="2569"/>
      <c r="I188" s="2569"/>
      <c r="J188" s="2569"/>
      <c r="K188" s="2569"/>
      <c r="L188" s="2569"/>
      <c r="M188" s="2570"/>
      <c r="N188" s="2571"/>
    </row>
    <row r="189" spans="2:19" s="2" customFormat="1" ht="15.75" hidden="1">
      <c r="B189" s="2567"/>
      <c r="C189" s="344" t="s">
        <v>578</v>
      </c>
      <c r="D189" s="344" t="s">
        <v>579</v>
      </c>
      <c r="E189" s="344" t="s">
        <v>580</v>
      </c>
      <c r="F189" s="344" t="s">
        <v>581</v>
      </c>
      <c r="G189" s="344" t="s">
        <v>582</v>
      </c>
      <c r="H189" s="344" t="s">
        <v>583</v>
      </c>
      <c r="I189" s="344" t="s">
        <v>587</v>
      </c>
      <c r="J189" s="344" t="s">
        <v>588</v>
      </c>
      <c r="K189" s="344" t="s">
        <v>589</v>
      </c>
      <c r="L189" s="344" t="s">
        <v>590</v>
      </c>
      <c r="M189" s="344" t="s">
        <v>586</v>
      </c>
      <c r="N189" s="1638" t="s">
        <v>577</v>
      </c>
    </row>
    <row r="190" spans="2:19" s="2" customFormat="1" ht="15.75" hidden="1">
      <c r="B190" s="1750" t="s">
        <v>1096</v>
      </c>
      <c r="C190" s="689">
        <v>65971.445915677003</v>
      </c>
      <c r="D190" s="689">
        <v>71370.291639115967</v>
      </c>
      <c r="E190" s="689">
        <v>75175.002988390857</v>
      </c>
      <c r="F190" s="689">
        <v>81840.157166824371</v>
      </c>
      <c r="G190" s="1666">
        <v>86092.452304816004</v>
      </c>
      <c r="H190" s="689">
        <v>87955.507694223692</v>
      </c>
      <c r="I190" s="689">
        <v>92476.856900836778</v>
      </c>
      <c r="J190" s="689">
        <v>94809.354752417203</v>
      </c>
      <c r="K190" s="689">
        <v>98778.29244949705</v>
      </c>
      <c r="L190" s="689">
        <v>99034.309016234489</v>
      </c>
      <c r="M190" s="689">
        <v>103540.46754060106</v>
      </c>
      <c r="N190" s="1925">
        <v>104320.39424602523</v>
      </c>
    </row>
    <row r="191" spans="2:19" s="2" customFormat="1" ht="15.75" hidden="1">
      <c r="B191" s="1750" t="s">
        <v>1097</v>
      </c>
      <c r="C191" s="689">
        <v>64712.945825342991</v>
      </c>
      <c r="D191" s="689">
        <v>69999.602554358964</v>
      </c>
      <c r="E191" s="689">
        <v>73728.16428016586</v>
      </c>
      <c r="F191" s="689">
        <v>80257.016422994377</v>
      </c>
      <c r="G191" s="1666">
        <v>84421.359329815998</v>
      </c>
      <c r="H191" s="689">
        <v>86243.353852286687</v>
      </c>
      <c r="I191" s="689">
        <v>90666.865649881787</v>
      </c>
      <c r="J191" s="689">
        <v>92946.122508417189</v>
      </c>
      <c r="K191" s="689">
        <v>96828.254282917027</v>
      </c>
      <c r="L191" s="689">
        <v>97084.270849654495</v>
      </c>
      <c r="M191" s="689">
        <v>101487.77676960106</v>
      </c>
      <c r="N191" s="1925">
        <v>102251.15280702524</v>
      </c>
    </row>
    <row r="192" spans="2:19" s="2" customFormat="1" ht="15.75" hidden="1">
      <c r="B192" s="1750" t="s">
        <v>1015</v>
      </c>
      <c r="C192" s="689">
        <f t="shared" ref="C192:D192" si="75">SUM(C190:C191)/2</f>
        <v>65342.195870509997</v>
      </c>
      <c r="D192" s="689">
        <f t="shared" si="75"/>
        <v>70684.947096737465</v>
      </c>
      <c r="E192" s="689">
        <f t="shared" ref="E192:F192" si="76">SUM(E190:E191)/2</f>
        <v>74451.583634278359</v>
      </c>
      <c r="F192" s="689">
        <f t="shared" si="76"/>
        <v>81048.586794909381</v>
      </c>
      <c r="G192" s="689">
        <f t="shared" ref="G192:H192" si="77">SUM(G190:G191)/2</f>
        <v>85256.905817316001</v>
      </c>
      <c r="H192" s="689">
        <f t="shared" si="77"/>
        <v>87099.430773255182</v>
      </c>
      <c r="I192" s="689">
        <f t="shared" ref="I192:J192" si="78">SUM(I190:I191)/2</f>
        <v>91571.86127535929</v>
      </c>
      <c r="J192" s="689">
        <f t="shared" si="78"/>
        <v>93877.738630417196</v>
      </c>
      <c r="K192" s="689">
        <f t="shared" ref="K192:L192" si="79">SUM(K190:K191)/2</f>
        <v>97803.273366207039</v>
      </c>
      <c r="L192" s="689">
        <f t="shared" si="79"/>
        <v>98059.289932944492</v>
      </c>
      <c r="M192" s="689">
        <f t="shared" ref="M192:N192" si="80">SUM(M190:M191)/2</f>
        <v>102514.12215510107</v>
      </c>
      <c r="N192" s="689">
        <f t="shared" si="80"/>
        <v>103285.77352652524</v>
      </c>
    </row>
    <row r="193" spans="2:14" s="2" customFormat="1" ht="15.75" hidden="1">
      <c r="B193" s="372" t="s">
        <v>996</v>
      </c>
      <c r="C193" s="394">
        <f>+C192/N183</f>
        <v>1.0229455218357548</v>
      </c>
      <c r="D193" s="394">
        <f t="shared" ref="D193:N193" si="81">+D192/C192</f>
        <v>1.0817657128758775</v>
      </c>
      <c r="E193" s="394">
        <f t="shared" si="81"/>
        <v>1.0532876756968634</v>
      </c>
      <c r="F193" s="394">
        <f t="shared" si="81"/>
        <v>1.0886079629015935</v>
      </c>
      <c r="G193" s="394">
        <f t="shared" si="81"/>
        <v>1.0519234102508861</v>
      </c>
      <c r="H193" s="394">
        <f t="shared" si="81"/>
        <v>1.0216114452932088</v>
      </c>
      <c r="I193" s="394">
        <f t="shared" si="81"/>
        <v>1.0513485617804683</v>
      </c>
      <c r="J193" s="394">
        <f t="shared" si="81"/>
        <v>1.0251810689762444</v>
      </c>
      <c r="K193" s="394">
        <f t="shared" si="81"/>
        <v>1.0418153951411644</v>
      </c>
      <c r="L193" s="394">
        <f t="shared" si="81"/>
        <v>1.0026176686927322</v>
      </c>
      <c r="M193" s="394">
        <f t="shared" si="81"/>
        <v>1.045429986543885</v>
      </c>
      <c r="N193" s="394">
        <f t="shared" si="81"/>
        <v>1.0075272689772117</v>
      </c>
    </row>
    <row r="194" spans="2:14" s="2" customFormat="1" ht="15.75" hidden="1">
      <c r="B194" s="372"/>
      <c r="C194" s="285"/>
      <c r="D194" s="285"/>
      <c r="E194" s="285"/>
      <c r="F194" s="285"/>
      <c r="G194" s="285"/>
      <c r="H194" s="285"/>
      <c r="I194" s="285"/>
      <c r="J194" s="285"/>
      <c r="K194" s="285"/>
      <c r="L194" s="285"/>
      <c r="M194" s="285"/>
      <c r="N194" s="285"/>
    </row>
    <row r="195" spans="2:14" s="2" customFormat="1" ht="16.5" hidden="1" thickBot="1">
      <c r="B195" s="2463" t="s">
        <v>1014</v>
      </c>
      <c r="C195" s="1483">
        <f>+N186*C193</f>
        <v>677.86333815737157</v>
      </c>
      <c r="D195" s="1483">
        <f t="shared" ref="D195:N195" si="82">+C195*D193</f>
        <v>733.28931723423113</v>
      </c>
      <c r="E195" s="1483">
        <f t="shared" si="82"/>
        <v>772.36460056298324</v>
      </c>
      <c r="F195" s="1483">
        <f t="shared" si="82"/>
        <v>840.80225443617212</v>
      </c>
      <c r="G195" s="1483">
        <f t="shared" si="82"/>
        <v>884.45957483313134</v>
      </c>
      <c r="H195" s="1483">
        <f t="shared" si="82"/>
        <v>903.57402454869225</v>
      </c>
      <c r="I195" s="1483">
        <f t="shared" si="82"/>
        <v>949.9712511714572</v>
      </c>
      <c r="J195" s="1483">
        <f t="shared" si="82"/>
        <v>973.89254277265479</v>
      </c>
      <c r="K195" s="1483">
        <f t="shared" si="82"/>
        <v>1014.6162442737267</v>
      </c>
      <c r="L195" s="1483">
        <f t="shared" si="82"/>
        <v>1017.2721734514995</v>
      </c>
      <c r="M195" s="1483">
        <f t="shared" si="82"/>
        <v>1063.4868346028697</v>
      </c>
      <c r="N195" s="1483">
        <f t="shared" si="82"/>
        <v>1071.491986060649</v>
      </c>
    </row>
    <row r="196" spans="2:14" s="2" customFormat="1" ht="16.5" thickBot="1">
      <c r="B196" s="269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</row>
    <row r="197" spans="2:14" s="2" customFormat="1" ht="15.75">
      <c r="B197" s="2566" t="s">
        <v>1009</v>
      </c>
      <c r="C197" s="2568">
        <v>2022</v>
      </c>
      <c r="D197" s="2569"/>
      <c r="E197" s="2569"/>
      <c r="F197" s="2569"/>
      <c r="G197" s="2569"/>
      <c r="H197" s="2569"/>
      <c r="I197" s="2569"/>
      <c r="J197" s="2569"/>
      <c r="K197" s="2569"/>
      <c r="L197" s="2569"/>
      <c r="M197" s="2570"/>
      <c r="N197" s="2571"/>
    </row>
    <row r="198" spans="2:14" s="2" customFormat="1" ht="15.75">
      <c r="B198" s="2567"/>
      <c r="C198" s="344" t="s">
        <v>578</v>
      </c>
      <c r="D198" s="344" t="s">
        <v>579</v>
      </c>
      <c r="E198" s="344" t="s">
        <v>580</v>
      </c>
      <c r="F198" s="344" t="s">
        <v>581</v>
      </c>
      <c r="G198" s="344" t="s">
        <v>582</v>
      </c>
      <c r="H198" s="344" t="s">
        <v>583</v>
      </c>
      <c r="I198" s="344" t="s">
        <v>587</v>
      </c>
      <c r="J198" s="344" t="s">
        <v>588</v>
      </c>
      <c r="K198" s="344" t="s">
        <v>589</v>
      </c>
      <c r="L198" s="344" t="s">
        <v>590</v>
      </c>
      <c r="M198" s="344" t="s">
        <v>586</v>
      </c>
      <c r="N198" s="1638" t="s">
        <v>577</v>
      </c>
    </row>
    <row r="199" spans="2:14" s="2" customFormat="1" ht="15.75">
      <c r="B199" s="1750" t="s">
        <v>1096</v>
      </c>
      <c r="C199" s="689">
        <v>110039.17153476714</v>
      </c>
      <c r="D199" s="689">
        <v>111455.65269010531</v>
      </c>
      <c r="E199" s="689">
        <v>115826.77044283219</v>
      </c>
      <c r="F199" s="689">
        <v>116011.45551608042</v>
      </c>
      <c r="G199" s="1666">
        <v>122689.91218213306</v>
      </c>
      <c r="H199" s="689">
        <v>130267.09658184457</v>
      </c>
      <c r="I199" s="689">
        <v>136754.36751471466</v>
      </c>
      <c r="J199" s="689">
        <v>139990.50022333779</v>
      </c>
      <c r="K199" s="689">
        <v>144063.52633584759</v>
      </c>
      <c r="L199" s="689">
        <v>157771.69419016299</v>
      </c>
      <c r="M199" s="689">
        <v>163365.99147920925</v>
      </c>
      <c r="N199" s="1980">
        <v>180734.66514487058</v>
      </c>
    </row>
    <row r="200" spans="2:14" s="2" customFormat="1" ht="15.75">
      <c r="B200" s="1750" t="s">
        <v>1097</v>
      </c>
      <c r="C200" s="689">
        <v>107856.73337546014</v>
      </c>
      <c r="D200" s="689">
        <v>109247.2457751053</v>
      </c>
      <c r="E200" s="689">
        <v>113545.22589283218</v>
      </c>
      <c r="F200" s="689">
        <v>113729.91096608041</v>
      </c>
      <c r="G200" s="1666">
        <v>120363.55087082306</v>
      </c>
      <c r="H200" s="689">
        <v>127911.71483973658</v>
      </c>
      <c r="I200" s="689">
        <v>134260.11191471465</v>
      </c>
      <c r="J200" s="689">
        <v>137496.24462333779</v>
      </c>
      <c r="K200" s="689">
        <v>141496.50024594759</v>
      </c>
      <c r="L200" s="689">
        <v>154945.37765979863</v>
      </c>
      <c r="M200" s="689">
        <v>160471.01662090965</v>
      </c>
      <c r="N200" s="1980">
        <v>177484.36574406089</v>
      </c>
    </row>
    <row r="201" spans="2:14" s="2" customFormat="1" ht="15.75">
      <c r="B201" s="1750" t="s">
        <v>1015</v>
      </c>
      <c r="C201" s="689">
        <f t="shared" ref="C201:D201" si="83">SUM(C199:C200)/2</f>
        <v>108947.95245511364</v>
      </c>
      <c r="D201" s="689">
        <f t="shared" si="83"/>
        <v>110351.44923260532</v>
      </c>
      <c r="E201" s="689">
        <f t="shared" ref="E201:F201" si="84">SUM(E199:E200)/2</f>
        <v>114685.99816783218</v>
      </c>
      <c r="F201" s="689">
        <f t="shared" si="84"/>
        <v>114870.68324108041</v>
      </c>
      <c r="G201" s="689">
        <f t="shared" ref="G201:H201" si="85">SUM(G199:G200)/2</f>
        <v>121526.73152647806</v>
      </c>
      <c r="H201" s="689">
        <f t="shared" si="85"/>
        <v>129089.40571079057</v>
      </c>
      <c r="I201" s="689">
        <f t="shared" ref="I201:J201" si="86">SUM(I199:I200)/2</f>
        <v>135507.23971471464</v>
      </c>
      <c r="J201" s="689">
        <f t="shared" si="86"/>
        <v>138743.37242333777</v>
      </c>
      <c r="K201" s="689">
        <f t="shared" ref="K201:L201" si="87">SUM(K199:K200)/2</f>
        <v>142780.01329089759</v>
      </c>
      <c r="L201" s="689">
        <f t="shared" si="87"/>
        <v>156358.53592498082</v>
      </c>
      <c r="M201" s="689">
        <f t="shared" ref="M201:N201" si="88">SUM(M199:M200)/2</f>
        <v>161918.50405005945</v>
      </c>
      <c r="N201" s="689">
        <f t="shared" si="88"/>
        <v>179109.51544446574</v>
      </c>
    </row>
    <row r="202" spans="2:14" s="2" customFormat="1" ht="15.75">
      <c r="B202" s="372" t="s">
        <v>996</v>
      </c>
      <c r="C202" s="394">
        <f>+C201/N192</f>
        <v>1.0548205114340774</v>
      </c>
      <c r="D202" s="394">
        <f t="shared" ref="D202:N202" si="89">+D201/C201</f>
        <v>1.0128822685132142</v>
      </c>
      <c r="E202" s="394">
        <f t="shared" si="89"/>
        <v>1.0392794926153643</v>
      </c>
      <c r="F202" s="394">
        <f t="shared" si="89"/>
        <v>1.0016103541513233</v>
      </c>
      <c r="G202" s="394">
        <f t="shared" si="89"/>
        <v>1.0579438382152611</v>
      </c>
      <c r="H202" s="394">
        <f t="shared" si="89"/>
        <v>1.0622305404689072</v>
      </c>
      <c r="I202" s="394">
        <f t="shared" si="89"/>
        <v>1.0497161945133009</v>
      </c>
      <c r="J202" s="394">
        <f t="shared" si="89"/>
        <v>1.0238816222324076</v>
      </c>
      <c r="K202" s="394">
        <f t="shared" si="89"/>
        <v>1.0290942968810295</v>
      </c>
      <c r="L202" s="394">
        <f t="shared" si="89"/>
        <v>1.0951010041329705</v>
      </c>
      <c r="M202" s="394">
        <f t="shared" si="89"/>
        <v>1.0355590955887835</v>
      </c>
      <c r="N202" s="394">
        <f t="shared" si="89"/>
        <v>1.1061707647020469</v>
      </c>
    </row>
    <row r="203" spans="2:14" s="2" customFormat="1" ht="15.75">
      <c r="B203" s="372"/>
      <c r="C203" s="285"/>
      <c r="D203" s="285"/>
      <c r="E203" s="285"/>
      <c r="F203" s="285"/>
      <c r="G203" s="285"/>
      <c r="H203" s="285"/>
      <c r="I203" s="285"/>
      <c r="J203" s="285"/>
      <c r="K203" s="285"/>
      <c r="L203" s="285"/>
      <c r="M203" s="285"/>
      <c r="N203" s="285"/>
    </row>
    <row r="204" spans="2:14" s="2" customFormat="1" ht="16.5" thickBot="1">
      <c r="B204" s="2463" t="s">
        <v>1014</v>
      </c>
      <c r="C204" s="1483">
        <f>+N195*C202</f>
        <v>1130.231724734009</v>
      </c>
      <c r="D204" s="1483">
        <f t="shared" ref="D204:E204" si="90">+C204*D202</f>
        <v>1144.7916732941858</v>
      </c>
      <c r="E204" s="1483">
        <f t="shared" si="90"/>
        <v>1189.7585093714754</v>
      </c>
      <c r="F204" s="1483">
        <f t="shared" ref="F204:N204" si="91">+E204*F202</f>
        <v>1191.674441926114</v>
      </c>
      <c r="G204" s="1483">
        <f t="shared" si="91"/>
        <v>1260.7246329943423</v>
      </c>
      <c r="H204" s="1483">
        <f t="shared" si="91"/>
        <v>1339.1802082880449</v>
      </c>
      <c r="I204" s="1483">
        <f t="shared" si="91"/>
        <v>1405.7591520116562</v>
      </c>
      <c r="J204" s="1483">
        <f t="shared" si="91"/>
        <v>1439.3309610297483</v>
      </c>
      <c r="K204" s="1483">
        <f t="shared" si="91"/>
        <v>1481.2072833200052</v>
      </c>
      <c r="L204" s="1483">
        <f t="shared" si="91"/>
        <v>1622.071583292807</v>
      </c>
      <c r="M204" s="1483">
        <f t="shared" si="91"/>
        <v>1679.7509817749651</v>
      </c>
      <c r="N204" s="1483">
        <f t="shared" si="91"/>
        <v>1858.0914280190273</v>
      </c>
    </row>
    <row r="205" spans="2:14" s="2" customFormat="1" ht="16.5" thickBot="1">
      <c r="B205" s="269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</row>
    <row r="206" spans="2:14" s="2" customFormat="1" ht="15.75">
      <c r="B206" s="2566" t="s">
        <v>1009</v>
      </c>
      <c r="C206" s="2568">
        <v>2023</v>
      </c>
      <c r="D206" s="2569"/>
      <c r="E206" s="2569"/>
      <c r="F206" s="2569"/>
      <c r="G206" s="2569"/>
      <c r="H206" s="2569"/>
      <c r="I206" s="2569"/>
      <c r="J206" s="2569"/>
      <c r="K206" s="2569"/>
      <c r="L206" s="2569"/>
      <c r="M206" s="2570"/>
      <c r="N206" s="2571"/>
    </row>
    <row r="207" spans="2:14" s="2" customFormat="1" ht="15.75">
      <c r="B207" s="2567"/>
      <c r="C207" s="344" t="s">
        <v>578</v>
      </c>
      <c r="D207" s="344" t="s">
        <v>579</v>
      </c>
      <c r="E207" s="344" t="s">
        <v>580</v>
      </c>
      <c r="F207" s="344" t="s">
        <v>581</v>
      </c>
      <c r="G207" s="344" t="s">
        <v>582</v>
      </c>
      <c r="H207" s="344" t="s">
        <v>583</v>
      </c>
      <c r="I207" s="344" t="s">
        <v>587</v>
      </c>
      <c r="J207" s="344" t="s">
        <v>588</v>
      </c>
      <c r="K207" s="344" t="s">
        <v>589</v>
      </c>
      <c r="L207" s="344" t="s">
        <v>590</v>
      </c>
      <c r="M207" s="344" t="s">
        <v>586</v>
      </c>
      <c r="N207" s="1638" t="s">
        <v>577</v>
      </c>
    </row>
    <row r="208" spans="2:14" s="2" customFormat="1" ht="15.75">
      <c r="B208" s="1750" t="s">
        <v>1096</v>
      </c>
      <c r="C208" s="689">
        <v>201885.32500383406</v>
      </c>
      <c r="D208" s="689">
        <v>230785.79732406969</v>
      </c>
      <c r="E208" s="689"/>
      <c r="F208" s="689"/>
      <c r="G208" s="1666"/>
      <c r="H208" s="689"/>
      <c r="I208" s="689"/>
      <c r="J208" s="689"/>
      <c r="K208" s="689"/>
      <c r="L208" s="689"/>
      <c r="M208" s="689"/>
      <c r="N208" s="2444"/>
    </row>
    <row r="209" spans="2:14" s="2" customFormat="1" ht="15.75">
      <c r="B209" s="1750" t="s">
        <v>1097</v>
      </c>
      <c r="C209" s="689">
        <v>198204.67237225513</v>
      </c>
      <c r="D209" s="689">
        <v>226486.24295249075</v>
      </c>
      <c r="E209" s="689"/>
      <c r="F209" s="689"/>
      <c r="G209" s="1666"/>
      <c r="H209" s="689"/>
      <c r="I209" s="689"/>
      <c r="J209" s="689"/>
      <c r="K209" s="689"/>
      <c r="L209" s="689"/>
      <c r="M209" s="689"/>
      <c r="N209" s="2444"/>
    </row>
    <row r="210" spans="2:14" s="2" customFormat="1" ht="15.75">
      <c r="B210" s="1750" t="s">
        <v>1015</v>
      </c>
      <c r="C210" s="689">
        <f t="shared" ref="C210:D210" si="92">SUM(C208:C209)/2</f>
        <v>200044.99868804461</v>
      </c>
      <c r="D210" s="689">
        <f t="shared" si="92"/>
        <v>228636.02013828023</v>
      </c>
      <c r="E210" s="689"/>
      <c r="F210" s="689"/>
      <c r="G210" s="689"/>
      <c r="H210" s="689"/>
      <c r="I210" s="689"/>
      <c r="J210" s="689"/>
      <c r="K210" s="689"/>
      <c r="L210" s="689"/>
      <c r="M210" s="689"/>
      <c r="N210" s="689"/>
    </row>
    <row r="211" spans="2:14" s="2" customFormat="1" ht="15.75">
      <c r="B211" s="372" t="s">
        <v>996</v>
      </c>
      <c r="C211" s="394">
        <f>+C210/N201</f>
        <v>1.1168864936719125</v>
      </c>
      <c r="D211" s="394">
        <f t="shared" ref="D211" si="93">+D210/C210</f>
        <v>1.1429229505248526</v>
      </c>
      <c r="E211" s="394"/>
      <c r="F211" s="394"/>
      <c r="G211" s="394"/>
      <c r="H211" s="394"/>
      <c r="I211" s="394"/>
      <c r="J211" s="394"/>
      <c r="K211" s="394"/>
      <c r="L211" s="394"/>
      <c r="M211" s="394"/>
      <c r="N211" s="394"/>
    </row>
    <row r="212" spans="2:14" s="2" customFormat="1" ht="15.75">
      <c r="B212" s="372"/>
      <c r="C212" s="285"/>
      <c r="D212" s="285"/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</row>
    <row r="213" spans="2:14" s="2" customFormat="1" ht="16.5" thickBot="1">
      <c r="B213" s="2463" t="s">
        <v>1014</v>
      </c>
      <c r="C213" s="1483">
        <f>+N204*C211</f>
        <v>2075.2772199620081</v>
      </c>
      <c r="D213" s="1483">
        <f t="shared" ref="D213" si="94">+C213*D211</f>
        <v>2371.881963395992</v>
      </c>
      <c r="E213" s="1483">
        <f t="shared" ref="E213" si="95">+D213*E211</f>
        <v>0</v>
      </c>
      <c r="F213" s="1483">
        <f t="shared" ref="F213" si="96">+E213*F211</f>
        <v>0</v>
      </c>
      <c r="G213" s="1483">
        <f t="shared" ref="G213" si="97">+F213*G211</f>
        <v>0</v>
      </c>
      <c r="H213" s="1483">
        <f t="shared" ref="H213" si="98">+G213*H211</f>
        <v>0</v>
      </c>
      <c r="I213" s="1483">
        <f t="shared" ref="I213" si="99">+H213*I211</f>
        <v>0</v>
      </c>
      <c r="J213" s="1483">
        <f t="shared" ref="J213" si="100">+I213*J211</f>
        <v>0</v>
      </c>
      <c r="K213" s="1483">
        <f t="shared" ref="K213" si="101">+J213*K211</f>
        <v>0</v>
      </c>
      <c r="L213" s="1483">
        <f t="shared" ref="L213" si="102">+K213*L211</f>
        <v>0</v>
      </c>
      <c r="M213" s="1483">
        <f t="shared" ref="M213" si="103">+L213*M211</f>
        <v>0</v>
      </c>
      <c r="N213" s="1483">
        <f t="shared" ref="N213" si="104">+M213*N211</f>
        <v>0</v>
      </c>
    </row>
    <row r="215" spans="2:14" s="2" customFormat="1" ht="15.75" hidden="1">
      <c r="B215" s="2566" t="s">
        <v>1009</v>
      </c>
      <c r="C215" s="2568">
        <v>2015</v>
      </c>
      <c r="D215" s="2569"/>
      <c r="E215" s="2569"/>
      <c r="F215" s="2569"/>
      <c r="G215" s="2569"/>
      <c r="H215" s="2569"/>
      <c r="I215" s="2569"/>
      <c r="J215" s="2569"/>
      <c r="K215" s="2569"/>
      <c r="L215" s="2569"/>
      <c r="M215" s="2570"/>
      <c r="N215" s="2571"/>
    </row>
    <row r="216" spans="2:14" s="2" customFormat="1" ht="16.5" hidden="1" thickBot="1">
      <c r="B216" s="2567"/>
      <c r="C216" s="412" t="s">
        <v>578</v>
      </c>
      <c r="D216" s="412" t="s">
        <v>579</v>
      </c>
      <c r="E216" s="412" t="s">
        <v>580</v>
      </c>
      <c r="F216" s="412" t="s">
        <v>581</v>
      </c>
      <c r="G216" s="412" t="s">
        <v>582</v>
      </c>
      <c r="H216" s="412" t="s">
        <v>583</v>
      </c>
      <c r="I216" s="412" t="s">
        <v>587</v>
      </c>
      <c r="J216" s="412" t="s">
        <v>588</v>
      </c>
      <c r="K216" s="412" t="s">
        <v>589</v>
      </c>
      <c r="L216" s="412" t="s">
        <v>590</v>
      </c>
      <c r="M216" s="412" t="s">
        <v>586</v>
      </c>
      <c r="N216" s="1508" t="s">
        <v>577</v>
      </c>
    </row>
    <row r="217" spans="2:14" s="2" customFormat="1" ht="31.5" hidden="1">
      <c r="B217" s="544" t="s">
        <v>1016</v>
      </c>
      <c r="C217" s="545"/>
      <c r="D217" s="545"/>
      <c r="E217" s="545"/>
      <c r="F217" s="545"/>
      <c r="G217" s="545"/>
      <c r="H217" s="545"/>
      <c r="I217" s="545"/>
      <c r="J217" s="545"/>
      <c r="K217" s="545"/>
      <c r="L217" s="546">
        <v>929.55</v>
      </c>
      <c r="M217" s="546">
        <v>936.75</v>
      </c>
      <c r="N217" s="546">
        <v>946.26</v>
      </c>
    </row>
    <row r="218" spans="2:14" s="2" customFormat="1" ht="15.75" hidden="1">
      <c r="B218" s="566" t="s">
        <v>996</v>
      </c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  <c r="M218" s="1634">
        <f>+M217/L217</f>
        <v>1.0077456833951912</v>
      </c>
      <c r="N218" s="1634">
        <f>+N217/M217</f>
        <v>1.0101521216973579</v>
      </c>
    </row>
    <row r="219" spans="2:14" s="2" customFormat="1" ht="16.5" hidden="1" thickBot="1">
      <c r="B219" s="369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</row>
    <row r="220" spans="2:14" s="2" customFormat="1" ht="16.5" hidden="1" thickBot="1">
      <c r="B220" s="2461" t="s">
        <v>1017</v>
      </c>
      <c r="C220" s="337"/>
      <c r="D220" s="337"/>
      <c r="E220" s="337"/>
      <c r="F220" s="337"/>
      <c r="G220" s="337"/>
      <c r="H220" s="337"/>
      <c r="I220" s="337"/>
      <c r="J220" s="337"/>
      <c r="K220" s="337"/>
      <c r="L220" s="337">
        <v>1172.93</v>
      </c>
      <c r="M220" s="337">
        <f>+M218*L220</f>
        <v>1182.0151444247217</v>
      </c>
      <c r="N220" s="337">
        <f>+N218*M220</f>
        <v>1194.0151060190415</v>
      </c>
    </row>
    <row r="221" spans="2:14" s="2" customFormat="1" ht="16.5" thickBot="1"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</row>
    <row r="222" spans="2:14" s="2" customFormat="1" ht="15.75">
      <c r="B222" s="2566" t="s">
        <v>1009</v>
      </c>
      <c r="C222" s="2568">
        <v>2016</v>
      </c>
      <c r="D222" s="2569"/>
      <c r="E222" s="2569"/>
      <c r="F222" s="2569"/>
      <c r="G222" s="2569"/>
      <c r="H222" s="2569"/>
      <c r="I222" s="2569"/>
      <c r="J222" s="2569"/>
      <c r="K222" s="2569"/>
      <c r="L222" s="2569"/>
      <c r="M222" s="2570"/>
      <c r="N222" s="2571"/>
    </row>
    <row r="223" spans="2:14" s="2" customFormat="1" ht="16.5" thickBot="1">
      <c r="B223" s="2567"/>
      <c r="C223" s="412" t="s">
        <v>578</v>
      </c>
      <c r="D223" s="412" t="s">
        <v>579</v>
      </c>
      <c r="E223" s="412" t="s">
        <v>580</v>
      </c>
      <c r="F223" s="412" t="s">
        <v>581</v>
      </c>
      <c r="G223" s="412" t="s">
        <v>582</v>
      </c>
      <c r="H223" s="412" t="s">
        <v>583</v>
      </c>
      <c r="I223" s="412" t="s">
        <v>587</v>
      </c>
      <c r="J223" s="412" t="s">
        <v>588</v>
      </c>
      <c r="K223" s="412" t="s">
        <v>589</v>
      </c>
      <c r="L223" s="412" t="s">
        <v>590</v>
      </c>
      <c r="M223" s="412" t="s">
        <v>586</v>
      </c>
      <c r="N223" s="1508" t="s">
        <v>577</v>
      </c>
    </row>
    <row r="224" spans="2:14" s="2" customFormat="1" ht="31.5">
      <c r="B224" s="544" t="s">
        <v>1016</v>
      </c>
      <c r="C224" s="546">
        <v>958.35</v>
      </c>
      <c r="D224" s="546">
        <v>977.03</v>
      </c>
      <c r="E224" s="546">
        <v>1006.85</v>
      </c>
      <c r="F224" s="546">
        <v>1050.987853299825</v>
      </c>
      <c r="G224" s="546">
        <v>1054.2700684519286</v>
      </c>
      <c r="H224" s="546">
        <v>1064.2363163851287</v>
      </c>
      <c r="I224" s="546">
        <v>1082.1430730084544</v>
      </c>
      <c r="J224" s="546">
        <v>1092.3645967641</v>
      </c>
      <c r="K224" s="546">
        <v>1096.2090410311</v>
      </c>
      <c r="L224" s="546">
        <v>1121.6311234740026</v>
      </c>
      <c r="M224" s="546">
        <v>1125.3914526307715</v>
      </c>
      <c r="N224" s="545">
        <v>1150.0829950934169</v>
      </c>
    </row>
    <row r="225" spans="2:14" s="2" customFormat="1" ht="15.75">
      <c r="B225" s="566" t="s">
        <v>996</v>
      </c>
      <c r="C225" s="1633">
        <f>+C224/N217</f>
        <v>1.0127766153065754</v>
      </c>
      <c r="D225" s="1633">
        <f t="shared" ref="D225:N225" si="105">+D224/C224</f>
        <v>1.01949183492461</v>
      </c>
      <c r="E225" s="1633">
        <f t="shared" si="105"/>
        <v>1.0305210689538704</v>
      </c>
      <c r="F225" s="1633">
        <f t="shared" si="105"/>
        <v>1.0438375659729107</v>
      </c>
      <c r="G225" s="1633">
        <f t="shared" si="105"/>
        <v>1.0031229810523483</v>
      </c>
      <c r="H225" s="1633">
        <f t="shared" si="105"/>
        <v>1.0094532209833429</v>
      </c>
      <c r="I225" s="1633">
        <f t="shared" si="105"/>
        <v>1.0168259214120312</v>
      </c>
      <c r="J225" s="1633">
        <f t="shared" si="105"/>
        <v>1.0094456306292559</v>
      </c>
      <c r="K225" s="1633">
        <f t="shared" si="105"/>
        <v>1.0035193783086602</v>
      </c>
      <c r="L225" s="1633">
        <f t="shared" si="105"/>
        <v>1.0231909074741716</v>
      </c>
      <c r="M225" s="1633">
        <f t="shared" si="105"/>
        <v>1.0033525542204305</v>
      </c>
      <c r="N225" s="1633">
        <f t="shared" si="105"/>
        <v>1.02194040340801</v>
      </c>
    </row>
    <row r="226" spans="2:14" s="2" customFormat="1" ht="16.5" thickBot="1">
      <c r="B226" s="369"/>
      <c r="C226" s="380"/>
      <c r="D226" s="380"/>
      <c r="E226" s="380"/>
      <c r="F226" s="380"/>
      <c r="G226" s="380"/>
      <c r="H226" s="380"/>
      <c r="I226" s="380"/>
      <c r="J226" s="380"/>
      <c r="K226" s="380"/>
      <c r="L226" s="380"/>
      <c r="M226" s="380"/>
      <c r="N226" s="380"/>
    </row>
    <row r="227" spans="2:14" s="2" customFormat="1" ht="16.5" thickBot="1">
      <c r="B227" s="2461" t="s">
        <v>1017</v>
      </c>
      <c r="C227" s="337">
        <v>100</v>
      </c>
      <c r="D227" s="337">
        <f t="shared" ref="D227:N227" si="106">+C227*D225</f>
        <v>101.949183492461</v>
      </c>
      <c r="E227" s="337">
        <f t="shared" si="106"/>
        <v>105.0607815516252</v>
      </c>
      <c r="F227" s="337">
        <f t="shared" si="106"/>
        <v>109.66639049406012</v>
      </c>
      <c r="G227" s="337">
        <f t="shared" si="106"/>
        <v>110.0088765536525</v>
      </c>
      <c r="H227" s="337">
        <f t="shared" si="106"/>
        <v>111.04881477384346</v>
      </c>
      <c r="I227" s="337">
        <f t="shared" si="106"/>
        <v>112.91731340412736</v>
      </c>
      <c r="J227" s="337">
        <f t="shared" si="106"/>
        <v>113.98388863819066</v>
      </c>
      <c r="K227" s="337">
        <f t="shared" si="106"/>
        <v>114.38504106340065</v>
      </c>
      <c r="L227" s="337">
        <f t="shared" si="106"/>
        <v>117.0377339671313</v>
      </c>
      <c r="M227" s="337">
        <f t="shared" si="106"/>
        <v>117.43010931609243</v>
      </c>
      <c r="N227" s="337">
        <f t="shared" si="106"/>
        <v>120.00657328673421</v>
      </c>
    </row>
    <row r="229" spans="2:14" s="2" customFormat="1" ht="15.75" hidden="1">
      <c r="B229" s="2566" t="s">
        <v>1009</v>
      </c>
      <c r="C229" s="2568">
        <v>2017</v>
      </c>
      <c r="D229" s="2569"/>
      <c r="E229" s="2569"/>
      <c r="F229" s="2569"/>
      <c r="G229" s="2569"/>
      <c r="H229" s="2569"/>
      <c r="I229" s="2569"/>
      <c r="J229" s="2569"/>
      <c r="K229" s="2569"/>
      <c r="L229" s="2569"/>
      <c r="M229" s="2570"/>
      <c r="N229" s="2571"/>
    </row>
    <row r="230" spans="2:14" s="2" customFormat="1" ht="16.5" hidden="1" thickBot="1">
      <c r="B230" s="2567"/>
      <c r="C230" s="412" t="s">
        <v>578</v>
      </c>
      <c r="D230" s="412" t="s">
        <v>579</v>
      </c>
      <c r="E230" s="412" t="s">
        <v>580</v>
      </c>
      <c r="F230" s="412" t="s">
        <v>581</v>
      </c>
      <c r="G230" s="412" t="s">
        <v>582</v>
      </c>
      <c r="H230" s="412" t="s">
        <v>583</v>
      </c>
      <c r="I230" s="412" t="s">
        <v>587</v>
      </c>
      <c r="J230" s="412" t="s">
        <v>588</v>
      </c>
      <c r="K230" s="412" t="s">
        <v>589</v>
      </c>
      <c r="L230" s="412" t="s">
        <v>590</v>
      </c>
      <c r="M230" s="412" t="s">
        <v>586</v>
      </c>
      <c r="N230" s="1508" t="s">
        <v>577</v>
      </c>
    </row>
    <row r="231" spans="2:14" s="2" customFormat="1" ht="31.5" hidden="1">
      <c r="B231" s="544" t="s">
        <v>1016</v>
      </c>
      <c r="C231" s="546">
        <v>1156.5362352130292</v>
      </c>
      <c r="D231" s="546">
        <v>1180.3574113207264</v>
      </c>
      <c r="E231" s="546">
        <v>1187.5451130037704</v>
      </c>
      <c r="F231" s="546">
        <v>1213.271534204139</v>
      </c>
      <c r="G231" s="546">
        <v>1220.1850046647389</v>
      </c>
      <c r="H231" s="546">
        <v>1248.7386337463224</v>
      </c>
      <c r="I231" s="546">
        <v>1260.9859326761234</v>
      </c>
      <c r="J231" s="546">
        <v>1288.3894660425019</v>
      </c>
      <c r="K231" s="546">
        <v>1301.5046848915715</v>
      </c>
      <c r="L231" s="546">
        <v>1331.044176848299</v>
      </c>
      <c r="M231" s="546">
        <v>1343.4524971297481</v>
      </c>
      <c r="N231" s="546">
        <v>1374.4298651130296</v>
      </c>
    </row>
    <row r="232" spans="2:14" s="2" customFormat="1" ht="15.75" hidden="1">
      <c r="B232" s="566" t="s">
        <v>996</v>
      </c>
      <c r="C232" s="1633">
        <f>+C231/N224</f>
        <v>1.0056111081957941</v>
      </c>
      <c r="D232" s="1633">
        <f t="shared" ref="D232:N232" si="107">+D231/C231</f>
        <v>1.0205969993696822</v>
      </c>
      <c r="E232" s="1633">
        <f t="shared" si="107"/>
        <v>1.0060894281800641</v>
      </c>
      <c r="F232" s="1633">
        <f t="shared" si="107"/>
        <v>1.0216635316996896</v>
      </c>
      <c r="G232" s="1633">
        <f t="shared" si="107"/>
        <v>1.0056982054434622</v>
      </c>
      <c r="H232" s="1633">
        <f t="shared" si="107"/>
        <v>1.023401065389612</v>
      </c>
      <c r="I232" s="1633">
        <f t="shared" si="107"/>
        <v>1.0098077360616753</v>
      </c>
      <c r="J232" s="1633">
        <f t="shared" si="107"/>
        <v>1.0217318311459838</v>
      </c>
      <c r="K232" s="1633">
        <f t="shared" si="107"/>
        <v>1.0101795452343731</v>
      </c>
      <c r="L232" s="1633">
        <f t="shared" si="107"/>
        <v>1.0226964161555734</v>
      </c>
      <c r="M232" s="1633">
        <f t="shared" si="107"/>
        <v>1.0093222452697475</v>
      </c>
      <c r="N232" s="1633">
        <f t="shared" si="107"/>
        <v>1.0230580300006615</v>
      </c>
    </row>
    <row r="233" spans="2:14" s="2" customFormat="1" ht="16.5" hidden="1" thickBot="1">
      <c r="B233" s="369"/>
      <c r="C233" s="380"/>
      <c r="D233" s="380"/>
      <c r="E233" s="380"/>
      <c r="F233" s="380"/>
      <c r="G233" s="380"/>
      <c r="H233" s="380"/>
      <c r="I233" s="380"/>
      <c r="J233" s="380"/>
      <c r="K233" s="380"/>
      <c r="L233" s="380"/>
      <c r="M233" s="380"/>
      <c r="N233" s="380"/>
    </row>
    <row r="234" spans="2:14" s="2" customFormat="1" ht="16.5" hidden="1" thickBot="1">
      <c r="B234" s="2461" t="s">
        <v>1017</v>
      </c>
      <c r="C234" s="337">
        <f>+N227*C232</f>
        <v>120.67994315365257</v>
      </c>
      <c r="D234" s="337">
        <f t="shared" ref="D234:M234" si="108">+C234*D232</f>
        <v>123.16558786672164</v>
      </c>
      <c r="E234" s="337">
        <f t="shared" si="108"/>
        <v>123.9155958682914</v>
      </c>
      <c r="F234" s="337">
        <f t="shared" si="108"/>
        <v>126.60004530747005</v>
      </c>
      <c r="G234" s="337">
        <f t="shared" si="108"/>
        <v>127.32143837478364</v>
      </c>
      <c r="H234" s="337">
        <f t="shared" si="108"/>
        <v>130.30089567969139</v>
      </c>
      <c r="I234" s="337">
        <f t="shared" si="108"/>
        <v>131.57885247311771</v>
      </c>
      <c r="J234" s="337">
        <f t="shared" si="108"/>
        <v>134.43830187744581</v>
      </c>
      <c r="K234" s="337">
        <f t="shared" si="108"/>
        <v>135.80682265263957</v>
      </c>
      <c r="L234" s="337">
        <f t="shared" si="108"/>
        <v>138.88915081633002</v>
      </c>
      <c r="M234" s="337">
        <f t="shared" si="108"/>
        <v>140.18390954554678</v>
      </c>
      <c r="N234" s="337">
        <f>+M234*N232</f>
        <v>143.41627433745802</v>
      </c>
    </row>
    <row r="235" spans="2:14" ht="13.5" hidden="1" thickBot="1"/>
    <row r="236" spans="2:14" s="2" customFormat="1" ht="15.75" hidden="1">
      <c r="B236" s="2566" t="s">
        <v>1009</v>
      </c>
      <c r="C236" s="2568">
        <v>2018</v>
      </c>
      <c r="D236" s="2569"/>
      <c r="E236" s="2569"/>
      <c r="F236" s="2569"/>
      <c r="G236" s="2569"/>
      <c r="H236" s="2569"/>
      <c r="I236" s="2569"/>
      <c r="J236" s="2569"/>
      <c r="K236" s="2569"/>
      <c r="L236" s="2569"/>
      <c r="M236" s="2570"/>
      <c r="N236" s="2571"/>
    </row>
    <row r="237" spans="2:14" s="2" customFormat="1" ht="16.5" hidden="1" thickBot="1">
      <c r="B237" s="2567"/>
      <c r="C237" s="412" t="s">
        <v>578</v>
      </c>
      <c r="D237" s="412" t="s">
        <v>579</v>
      </c>
      <c r="E237" s="412" t="s">
        <v>580</v>
      </c>
      <c r="F237" s="412" t="s">
        <v>581</v>
      </c>
      <c r="G237" s="412" t="s">
        <v>582</v>
      </c>
      <c r="H237" s="412" t="s">
        <v>583</v>
      </c>
      <c r="I237" s="412" t="s">
        <v>587</v>
      </c>
      <c r="J237" s="412" t="s">
        <v>588</v>
      </c>
      <c r="K237" s="412" t="s">
        <v>589</v>
      </c>
      <c r="L237" s="412" t="s">
        <v>590</v>
      </c>
      <c r="M237" s="412" t="s">
        <v>586</v>
      </c>
      <c r="N237" s="1508" t="s">
        <v>577</v>
      </c>
    </row>
    <row r="238" spans="2:14" s="2" customFormat="1" ht="31.5" hidden="1">
      <c r="B238" s="544" t="s">
        <v>1016</v>
      </c>
      <c r="C238" s="546">
        <v>1388.1247971541918</v>
      </c>
      <c r="D238" s="546">
        <v>1419.6766245570018</v>
      </c>
      <c r="E238" s="546">
        <v>1433.459619278796</v>
      </c>
      <c r="F238" s="546">
        <v>1470.2125570369253</v>
      </c>
      <c r="G238" s="546">
        <v>1483.8314788179407</v>
      </c>
      <c r="H238" s="546">
        <v>1521.3873341075807</v>
      </c>
      <c r="I238" s="546">
        <v>1542.9160265702635</v>
      </c>
      <c r="J238" s="546">
        <v>1586.2441098200989</v>
      </c>
      <c r="K238" s="546">
        <v>1621.4474752533977</v>
      </c>
      <c r="L238" s="546">
        <v>1664.1109616259105</v>
      </c>
      <c r="M238" s="546">
        <v>1710.0728751390902</v>
      </c>
      <c r="N238" s="546">
        <v>1754.9378746919547</v>
      </c>
    </row>
    <row r="239" spans="2:14" s="2" customFormat="1" ht="15.75" hidden="1">
      <c r="B239" s="566" t="s">
        <v>996</v>
      </c>
      <c r="C239" s="1633">
        <f>+C238/N231</f>
        <v>1.009964082117814</v>
      </c>
      <c r="D239" s="1633">
        <f t="shared" ref="D239:N239" si="109">+D238/C238</f>
        <v>1.0227298204509383</v>
      </c>
      <c r="E239" s="1633">
        <f t="shared" si="109"/>
        <v>1.0097085452302175</v>
      </c>
      <c r="F239" s="1633">
        <f t="shared" si="109"/>
        <v>1.0256393254918617</v>
      </c>
      <c r="G239" s="1633">
        <f t="shared" si="109"/>
        <v>1.0092632332078997</v>
      </c>
      <c r="H239" s="1633">
        <f t="shared" si="109"/>
        <v>1.0253100542923903</v>
      </c>
      <c r="I239" s="1633">
        <f t="shared" si="109"/>
        <v>1.0141506978400809</v>
      </c>
      <c r="J239" s="1633">
        <f t="shared" si="109"/>
        <v>1.0280819451633729</v>
      </c>
      <c r="K239" s="1633">
        <f t="shared" si="109"/>
        <v>1.0221929053765195</v>
      </c>
      <c r="L239" s="1633">
        <f t="shared" si="109"/>
        <v>1.0263119755796255</v>
      </c>
      <c r="M239" s="1633">
        <f t="shared" si="109"/>
        <v>1.0276195004858768</v>
      </c>
      <c r="N239" s="1633">
        <f t="shared" si="109"/>
        <v>1.0262357237548811</v>
      </c>
    </row>
    <row r="240" spans="2:14" s="2" customFormat="1" ht="16.5" hidden="1" thickBot="1">
      <c r="B240" s="369"/>
      <c r="C240" s="380"/>
      <c r="D240" s="380"/>
      <c r="E240" s="380"/>
      <c r="F240" s="380"/>
      <c r="G240" s="380"/>
      <c r="H240" s="380"/>
      <c r="I240" s="380"/>
      <c r="J240" s="380"/>
      <c r="K240" s="380"/>
      <c r="L240" s="380"/>
      <c r="M240" s="380"/>
      <c r="N240" s="380"/>
    </row>
    <row r="241" spans="2:14" s="2" customFormat="1" ht="16.5" hidden="1" thickBot="1">
      <c r="B241" s="2461" t="s">
        <v>1017</v>
      </c>
      <c r="C241" s="337">
        <f>+N234*C239</f>
        <v>144.84528587198739</v>
      </c>
      <c r="D241" s="337">
        <f t="shared" ref="D241:N241" si="110">+C241*D239</f>
        <v>148.13759321302248</v>
      </c>
      <c r="E241" s="337">
        <f t="shared" si="110"/>
        <v>149.57579373702666</v>
      </c>
      <c r="F241" s="337">
        <f t="shared" si="110"/>
        <v>153.41081619835384</v>
      </c>
      <c r="G241" s="337">
        <f t="shared" si="110"/>
        <v>154.83189636541343</v>
      </c>
      <c r="H241" s="337">
        <f t="shared" si="110"/>
        <v>158.7507000686158</v>
      </c>
      <c r="I241" s="337">
        <f t="shared" si="110"/>
        <v>160.9971332571881</v>
      </c>
      <c r="J241" s="337">
        <f t="shared" si="110"/>
        <v>165.51824592477669</v>
      </c>
      <c r="K241" s="337">
        <f t="shared" si="110"/>
        <v>169.19157669467276</v>
      </c>
      <c r="L241" s="337">
        <f t="shared" si="110"/>
        <v>173.64334132894132</v>
      </c>
      <c r="M241" s="337">
        <f t="shared" si="110"/>
        <v>178.43928367914529</v>
      </c>
      <c r="N241" s="337">
        <f t="shared" si="110"/>
        <v>183.12076743277021</v>
      </c>
    </row>
    <row r="242" spans="2:14" ht="13.5" hidden="1" thickBot="1"/>
    <row r="243" spans="2:14" ht="15.75" hidden="1">
      <c r="B243" s="2566" t="s">
        <v>1009</v>
      </c>
      <c r="C243" s="2568">
        <v>2019</v>
      </c>
      <c r="D243" s="2569"/>
      <c r="E243" s="2569"/>
      <c r="F243" s="2569"/>
      <c r="G243" s="2569"/>
      <c r="H243" s="2569"/>
      <c r="I243" s="2569"/>
      <c r="J243" s="2569"/>
      <c r="K243" s="2569"/>
      <c r="L243" s="2569"/>
      <c r="M243" s="2570"/>
      <c r="N243" s="2571"/>
    </row>
    <row r="244" spans="2:14" ht="16.5" hidden="1" thickBot="1">
      <c r="B244" s="2567"/>
      <c r="C244" s="412" t="s">
        <v>578</v>
      </c>
      <c r="D244" s="412" t="s">
        <v>579</v>
      </c>
      <c r="E244" s="412" t="s">
        <v>580</v>
      </c>
      <c r="F244" s="412" t="s">
        <v>581</v>
      </c>
      <c r="G244" s="412" t="s">
        <v>582</v>
      </c>
      <c r="H244" s="412" t="s">
        <v>583</v>
      </c>
      <c r="I244" s="412" t="s">
        <v>587</v>
      </c>
      <c r="J244" s="412" t="s">
        <v>588</v>
      </c>
      <c r="K244" s="412" t="s">
        <v>589</v>
      </c>
      <c r="L244" s="412" t="s">
        <v>590</v>
      </c>
      <c r="M244" s="412" t="s">
        <v>586</v>
      </c>
      <c r="N244" s="1508" t="s">
        <v>577</v>
      </c>
    </row>
    <row r="245" spans="2:14" ht="31.5" hidden="1">
      <c r="B245" s="544" t="s">
        <v>1016</v>
      </c>
      <c r="C245" s="546">
        <v>1799.22</v>
      </c>
      <c r="D245" s="546">
        <v>1850.1907634628069</v>
      </c>
      <c r="E245" s="546">
        <v>1898.9421836924321</v>
      </c>
      <c r="F245" s="546">
        <v>1953.2775650747894</v>
      </c>
      <c r="G245" s="546">
        <v>2000.8651942990582</v>
      </c>
      <c r="H245" s="546">
        <v>2062.7953887595149</v>
      </c>
      <c r="I245" s="546">
        <v>2114.4299999999998</v>
      </c>
      <c r="J245" s="546">
        <v>2181.0652817130526</v>
      </c>
      <c r="K245" s="546">
        <v>2238.4321388222975</v>
      </c>
      <c r="L245" s="546">
        <v>2307.771282579808</v>
      </c>
      <c r="M245" s="546">
        <v>2378.0714389878081</v>
      </c>
      <c r="N245" s="546">
        <v>2453.6287823981511</v>
      </c>
    </row>
    <row r="246" spans="2:14" ht="15.75" hidden="1">
      <c r="B246" s="566" t="s">
        <v>996</v>
      </c>
      <c r="C246" s="1633">
        <f>+C245/N238</f>
        <v>1.0252328734518983</v>
      </c>
      <c r="D246" s="1633">
        <f t="shared" ref="D246:N246" si="111">+D245/C245</f>
        <v>1.0283293668716482</v>
      </c>
      <c r="E246" s="1633">
        <f t="shared" si="111"/>
        <v>1.0263494020142996</v>
      </c>
      <c r="F246" s="1633">
        <f t="shared" si="111"/>
        <v>1.0286134995835965</v>
      </c>
      <c r="G246" s="1633">
        <f t="shared" si="111"/>
        <v>1.0243629630909352</v>
      </c>
      <c r="H246" s="1633">
        <f t="shared" si="111"/>
        <v>1.0309517076097434</v>
      </c>
      <c r="I246" s="1633">
        <f t="shared" si="111"/>
        <v>1.0250313780619491</v>
      </c>
      <c r="J246" s="1633">
        <f t="shared" si="111"/>
        <v>1.0315145366425245</v>
      </c>
      <c r="K246" s="1633">
        <f t="shared" si="111"/>
        <v>1.0263022191908844</v>
      </c>
      <c r="L246" s="1633">
        <f t="shared" si="111"/>
        <v>1.0309766566316332</v>
      </c>
      <c r="M246" s="1633">
        <f t="shared" si="111"/>
        <v>1.0304623586135506</v>
      </c>
      <c r="N246" s="1633">
        <f t="shared" si="111"/>
        <v>1.0317725288532555</v>
      </c>
    </row>
    <row r="247" spans="2:14" ht="16.5" hidden="1" thickBot="1">
      <c r="B247" s="369"/>
      <c r="C247" s="380"/>
      <c r="D247" s="380"/>
      <c r="E247" s="380"/>
      <c r="F247" s="380"/>
      <c r="G247" s="380"/>
      <c r="H247" s="380"/>
      <c r="I247" s="380"/>
      <c r="J247" s="380"/>
      <c r="K247" s="380"/>
      <c r="L247" s="380"/>
      <c r="M247" s="380"/>
      <c r="N247" s="380"/>
    </row>
    <row r="248" spans="2:14" ht="16.5" hidden="1" thickBot="1">
      <c r="B248" s="2461" t="s">
        <v>1017</v>
      </c>
      <c r="C248" s="337">
        <f>+N241*C246</f>
        <v>187.7414305838158</v>
      </c>
      <c r="D248" s="337">
        <f t="shared" ref="D248:N248" si="112">+C248*D246</f>
        <v>193.0600264478328</v>
      </c>
      <c r="E248" s="337">
        <f t="shared" si="112"/>
        <v>198.14704269759807</v>
      </c>
      <c r="F248" s="337">
        <f t="shared" si="112"/>
        <v>203.81672302131668</v>
      </c>
      <c r="G248" s="337">
        <f t="shared" si="112"/>
        <v>208.78230232160038</v>
      </c>
      <c r="H248" s="337">
        <f t="shared" si="112"/>
        <v>215.24447109714762</v>
      </c>
      <c r="I248" s="337">
        <f t="shared" si="112"/>
        <v>220.63233682892459</v>
      </c>
      <c r="J248" s="337">
        <f t="shared" si="112"/>
        <v>227.58546269244553</v>
      </c>
      <c r="K248" s="337">
        <f t="shared" si="112"/>
        <v>233.57146541684108</v>
      </c>
      <c r="L248" s="337">
        <f t="shared" si="112"/>
        <v>240.80672850000596</v>
      </c>
      <c r="M248" s="337">
        <f t="shared" si="112"/>
        <v>248.14226942012905</v>
      </c>
      <c r="N248" s="337">
        <f t="shared" si="112"/>
        <v>256.02637683499239</v>
      </c>
    </row>
    <row r="249" spans="2:14" ht="13.5" hidden="1" thickBot="1"/>
    <row r="250" spans="2:14" ht="15.75" hidden="1">
      <c r="B250" s="2566" t="s">
        <v>1009</v>
      </c>
      <c r="C250" s="2568">
        <v>2020</v>
      </c>
      <c r="D250" s="2569"/>
      <c r="E250" s="2569"/>
      <c r="F250" s="2569"/>
      <c r="G250" s="2569"/>
      <c r="H250" s="2569"/>
      <c r="I250" s="2569"/>
      <c r="J250" s="2569"/>
      <c r="K250" s="2569"/>
      <c r="L250" s="2569"/>
      <c r="M250" s="2570"/>
      <c r="N250" s="2571"/>
    </row>
    <row r="251" spans="2:14" ht="16.5" hidden="1" thickBot="1">
      <c r="B251" s="2567"/>
      <c r="C251" s="412" t="s">
        <v>578</v>
      </c>
      <c r="D251" s="412" t="s">
        <v>579</v>
      </c>
      <c r="E251" s="412" t="s">
        <v>580</v>
      </c>
      <c r="F251" s="412" t="s">
        <v>581</v>
      </c>
      <c r="G251" s="412" t="s">
        <v>582</v>
      </c>
      <c r="H251" s="412" t="s">
        <v>583</v>
      </c>
      <c r="I251" s="412" t="s">
        <v>587</v>
      </c>
      <c r="J251" s="412" t="s">
        <v>588</v>
      </c>
      <c r="K251" s="412" t="s">
        <v>589</v>
      </c>
      <c r="L251" s="412" t="s">
        <v>590</v>
      </c>
      <c r="M251" s="412" t="s">
        <v>586</v>
      </c>
      <c r="N251" s="1508" t="s">
        <v>577</v>
      </c>
    </row>
    <row r="252" spans="2:14" ht="31.5" hidden="1">
      <c r="B252" s="544" t="s">
        <v>1016</v>
      </c>
      <c r="C252" s="546">
        <v>2522.7303168513799</v>
      </c>
      <c r="D252" s="546">
        <v>2597.9694180665851</v>
      </c>
      <c r="E252" s="546">
        <v>2674.8727359262189</v>
      </c>
      <c r="F252" s="546">
        <v>2747.5469366638786</v>
      </c>
      <c r="G252" s="546">
        <v>2821.2962546661361</v>
      </c>
      <c r="H252" s="546">
        <v>2891.1702456747721</v>
      </c>
      <c r="I252" s="546">
        <v>2962.348599269817</v>
      </c>
      <c r="J252" s="546">
        <v>3037.3414025798697</v>
      </c>
      <c r="K252" s="546">
        <v>3116.0578580839656</v>
      </c>
      <c r="L252" s="546">
        <v>3192.6993590895881</v>
      </c>
      <c r="M252" s="546">
        <v>3305.2414254551536</v>
      </c>
      <c r="N252" s="546">
        <v>3381.8782361491103</v>
      </c>
    </row>
    <row r="253" spans="2:14" ht="15.75" hidden="1">
      <c r="B253" s="566" t="s">
        <v>996</v>
      </c>
      <c r="C253" s="1633">
        <f>+C252/N245</f>
        <v>1.0281629947239572</v>
      </c>
      <c r="D253" s="1633">
        <f t="shared" ref="D253:N253" si="113">+D252/C252</f>
        <v>1.0298244726012216</v>
      </c>
      <c r="E253" s="1633">
        <f t="shared" si="113"/>
        <v>1.0296013176001377</v>
      </c>
      <c r="F253" s="1633">
        <f t="shared" si="113"/>
        <v>1.0271692180945928</v>
      </c>
      <c r="G253" s="1633">
        <f t="shared" si="113"/>
        <v>1.02684187739184</v>
      </c>
      <c r="H253" s="1633">
        <f t="shared" si="113"/>
        <v>1.0247666266500981</v>
      </c>
      <c r="I253" s="1633">
        <f t="shared" si="113"/>
        <v>1.0246192190520529</v>
      </c>
      <c r="J253" s="1633">
        <f t="shared" si="113"/>
        <v>1.0253153201917349</v>
      </c>
      <c r="K253" s="1633">
        <f t="shared" si="113"/>
        <v>1.0259162356385869</v>
      </c>
      <c r="L253" s="1633">
        <f t="shared" si="113"/>
        <v>1.0245956604453901</v>
      </c>
      <c r="M253" s="1633">
        <f t="shared" si="113"/>
        <v>1.0352498164429917</v>
      </c>
      <c r="N253" s="1633">
        <f t="shared" si="113"/>
        <v>1.0231864486823086</v>
      </c>
    </row>
    <row r="254" spans="2:14" ht="16.5" hidden="1" thickBot="1">
      <c r="B254" s="369"/>
      <c r="C254" s="380"/>
      <c r="D254" s="380"/>
      <c r="E254" s="380"/>
      <c r="F254" s="380"/>
      <c r="G254" s="380"/>
      <c r="H254" s="380"/>
      <c r="I254" s="380"/>
      <c r="J254" s="380"/>
      <c r="K254" s="380"/>
      <c r="L254" s="380"/>
      <c r="M254" s="380"/>
      <c r="N254" s="380"/>
    </row>
    <row r="255" spans="2:14" ht="16.5" hidden="1" thickBot="1">
      <c r="B255" s="2461" t="s">
        <v>1017</v>
      </c>
      <c r="C255" s="337">
        <f>+N248*C253</f>
        <v>263.23684633499016</v>
      </c>
      <c r="D255" s="337">
        <f t="shared" ref="D255:N255" si="114">+C255*D253</f>
        <v>271.08774644614005</v>
      </c>
      <c r="E255" s="337">
        <f t="shared" si="114"/>
        <v>279.11230092619786</v>
      </c>
      <c r="F255" s="337">
        <f t="shared" si="114"/>
        <v>286.69556390294537</v>
      </c>
      <c r="G255" s="337">
        <f t="shared" si="114"/>
        <v>294.39101107801264</v>
      </c>
      <c r="H255" s="337">
        <f t="shared" si="114"/>
        <v>301.6820833385267</v>
      </c>
      <c r="I255" s="337">
        <f t="shared" si="114"/>
        <v>309.10926063231756</v>
      </c>
      <c r="J255" s="337">
        <f t="shared" si="114"/>
        <v>316.93446053945513</v>
      </c>
      <c r="K255" s="337">
        <f t="shared" si="114"/>
        <v>325.1482087007841</v>
      </c>
      <c r="L255" s="337">
        <f t="shared" si="114"/>
        <v>333.14544363641539</v>
      </c>
      <c r="M255" s="337">
        <f t="shared" si="114"/>
        <v>344.88875937341811</v>
      </c>
      <c r="N255" s="337">
        <f t="shared" si="114"/>
        <v>352.88550489373495</v>
      </c>
    </row>
    <row r="256" spans="2:14" ht="13.5" hidden="1" thickBot="1"/>
    <row r="257" spans="2:14" ht="15.75" hidden="1">
      <c r="B257" s="2566" t="s">
        <v>1009</v>
      </c>
      <c r="C257" s="2568">
        <v>2021</v>
      </c>
      <c r="D257" s="2569"/>
      <c r="E257" s="2569"/>
      <c r="F257" s="2569"/>
      <c r="G257" s="2569"/>
      <c r="H257" s="2569"/>
      <c r="I257" s="2569"/>
      <c r="J257" s="2569"/>
      <c r="K257" s="2569"/>
      <c r="L257" s="2569"/>
      <c r="M257" s="2570"/>
      <c r="N257" s="2571"/>
    </row>
    <row r="258" spans="2:14" ht="16.5" hidden="1" thickBot="1">
      <c r="B258" s="2567"/>
      <c r="C258" s="412" t="s">
        <v>578</v>
      </c>
      <c r="D258" s="412" t="s">
        <v>579</v>
      </c>
      <c r="E258" s="412" t="s">
        <v>580</v>
      </c>
      <c r="F258" s="412" t="s">
        <v>581</v>
      </c>
      <c r="G258" s="412" t="s">
        <v>582</v>
      </c>
      <c r="H258" s="412" t="s">
        <v>583</v>
      </c>
      <c r="I258" s="412" t="s">
        <v>587</v>
      </c>
      <c r="J258" s="412" t="s">
        <v>588</v>
      </c>
      <c r="K258" s="412" t="s">
        <v>589</v>
      </c>
      <c r="L258" s="412" t="s">
        <v>590</v>
      </c>
      <c r="M258" s="412" t="s">
        <v>586</v>
      </c>
      <c r="N258" s="1508" t="s">
        <v>577</v>
      </c>
    </row>
    <row r="259" spans="2:14" ht="31.5" hidden="1">
      <c r="B259" s="544" t="s">
        <v>1016</v>
      </c>
      <c r="C259" s="546">
        <v>3501.3193198188078</v>
      </c>
      <c r="D259" s="546">
        <v>3590.6984730883746</v>
      </c>
      <c r="E259" s="546">
        <v>3719.7348371062621</v>
      </c>
      <c r="F259" s="546">
        <v>3830.0888029576831</v>
      </c>
      <c r="G259" s="546">
        <v>3965.9780951502908</v>
      </c>
      <c r="H259" s="546">
        <v>4074.359186532733</v>
      </c>
      <c r="I259" s="546">
        <v>4216.2069949413562</v>
      </c>
      <c r="J259" s="546">
        <v>4321.4367919623846</v>
      </c>
      <c r="K259" s="546">
        <v>4465.3520802819612</v>
      </c>
      <c r="L259" s="546">
        <v>4574.8934622784063</v>
      </c>
      <c r="M259" s="546">
        <v>4715.6178049615646</v>
      </c>
      <c r="N259" s="546">
        <v>4822.3978881895728</v>
      </c>
    </row>
    <row r="260" spans="2:14" ht="15.75" hidden="1">
      <c r="B260" s="566" t="s">
        <v>996</v>
      </c>
      <c r="C260" s="1633">
        <f>+C259/N252</f>
        <v>1.0353179728332571</v>
      </c>
      <c r="D260" s="1633">
        <f t="shared" ref="D260:N260" si="115">+D259/C259</f>
        <v>1.0255272784643339</v>
      </c>
      <c r="E260" s="1633">
        <f t="shared" si="115"/>
        <v>1.0359362850946665</v>
      </c>
      <c r="F260" s="1633">
        <f t="shared" si="115"/>
        <v>1.0296671592691455</v>
      </c>
      <c r="G260" s="1633">
        <f t="shared" si="115"/>
        <v>1.0354794103175025</v>
      </c>
      <c r="H260" s="1633">
        <f t="shared" si="115"/>
        <v>1.0273277080160814</v>
      </c>
      <c r="I260" s="1633">
        <f t="shared" si="115"/>
        <v>1.0348147529254375</v>
      </c>
      <c r="J260" s="1633">
        <f t="shared" si="115"/>
        <v>1.0249584038799053</v>
      </c>
      <c r="K260" s="1633">
        <f t="shared" si="115"/>
        <v>1.0333026479959746</v>
      </c>
      <c r="L260" s="1633">
        <f t="shared" si="115"/>
        <v>1.0245314098478722</v>
      </c>
      <c r="M260" s="1633">
        <f t="shared" si="115"/>
        <v>1.0307601354749525</v>
      </c>
      <c r="N260" s="1633">
        <f t="shared" si="115"/>
        <v>1.0226439223118673</v>
      </c>
    </row>
    <row r="261" spans="2:14" ht="16.5" hidden="1" thickBot="1">
      <c r="B261" s="369"/>
      <c r="C261" s="380"/>
      <c r="D261" s="380"/>
      <c r="E261" s="380"/>
      <c r="F261" s="380"/>
      <c r="G261" s="380"/>
      <c r="H261" s="380"/>
      <c r="I261" s="380"/>
      <c r="J261" s="380"/>
      <c r="K261" s="380"/>
      <c r="L261" s="380"/>
      <c r="M261" s="380"/>
      <c r="N261" s="380"/>
    </row>
    <row r="262" spans="2:14" ht="16.5" hidden="1" thickBot="1">
      <c r="B262" s="2461" t="s">
        <v>1017</v>
      </c>
      <c r="C262" s="337">
        <f>+N255*C260</f>
        <v>365.34870556882208</v>
      </c>
      <c r="D262" s="337">
        <f t="shared" ref="D262:N262" si="116">+C262*D260</f>
        <v>374.67506371246134</v>
      </c>
      <c r="E262" s="337">
        <f t="shared" si="116"/>
        <v>388.13949361989467</v>
      </c>
      <c r="F262" s="337">
        <f t="shared" si="116"/>
        <v>399.65448979576161</v>
      </c>
      <c r="G262" s="337">
        <f t="shared" si="116"/>
        <v>413.83399542445756</v>
      </c>
      <c r="H262" s="337">
        <f t="shared" si="116"/>
        <v>425.14313001854549</v>
      </c>
      <c r="I262" s="337">
        <f t="shared" si="116"/>
        <v>439.9443830480883</v>
      </c>
      <c r="J262" s="337">
        <f t="shared" si="116"/>
        <v>450.92469264489824</v>
      </c>
      <c r="K262" s="337">
        <f t="shared" si="116"/>
        <v>465.94167895674434</v>
      </c>
      <c r="L262" s="337">
        <f t="shared" si="116"/>
        <v>477.37188524843793</v>
      </c>
      <c r="M262" s="337">
        <f t="shared" si="116"/>
        <v>492.05590911061336</v>
      </c>
      <c r="N262" s="337">
        <f t="shared" si="116"/>
        <v>503.1979848896093</v>
      </c>
    </row>
    <row r="263" spans="2:14" ht="13.5" thickBot="1"/>
    <row r="264" spans="2:14" ht="15.75">
      <c r="B264" s="2566" t="s">
        <v>1009</v>
      </c>
      <c r="C264" s="2568">
        <v>2022</v>
      </c>
      <c r="D264" s="2569"/>
      <c r="E264" s="2569"/>
      <c r="F264" s="2569"/>
      <c r="G264" s="2569"/>
      <c r="H264" s="2569"/>
      <c r="I264" s="2569"/>
      <c r="J264" s="2569"/>
      <c r="K264" s="2569"/>
      <c r="L264" s="2569"/>
      <c r="M264" s="2570"/>
      <c r="N264" s="2571"/>
    </row>
    <row r="265" spans="2:14" ht="16.5" thickBot="1">
      <c r="B265" s="2567"/>
      <c r="C265" s="412" t="s">
        <v>578</v>
      </c>
      <c r="D265" s="412" t="s">
        <v>579</v>
      </c>
      <c r="E265" s="412" t="s">
        <v>580</v>
      </c>
      <c r="F265" s="412" t="s">
        <v>581</v>
      </c>
      <c r="G265" s="412" t="s">
        <v>582</v>
      </c>
      <c r="H265" s="412" t="s">
        <v>583</v>
      </c>
      <c r="I265" s="412" t="s">
        <v>587</v>
      </c>
      <c r="J265" s="412" t="s">
        <v>588</v>
      </c>
      <c r="K265" s="412" t="s">
        <v>589</v>
      </c>
      <c r="L265" s="412" t="s">
        <v>590</v>
      </c>
      <c r="M265" s="412" t="s">
        <v>586</v>
      </c>
      <c r="N265" s="1508" t="s">
        <v>577</v>
      </c>
    </row>
    <row r="266" spans="2:14" ht="31.5">
      <c r="B266" s="544" t="s">
        <v>1016</v>
      </c>
      <c r="C266" s="546">
        <v>4980.8967119643867</v>
      </c>
      <c r="D266" s="546">
        <v>5093.037478084535</v>
      </c>
      <c r="E266" s="546">
        <v>5278.8053946391692</v>
      </c>
      <c r="F266" s="546">
        <v>5390.8242253813005</v>
      </c>
      <c r="G266" s="546">
        <v>5610.9311784582806</v>
      </c>
      <c r="H266" s="546">
        <v>5873.4935417400202</v>
      </c>
      <c r="I266" s="546">
        <v>6097.010451654126</v>
      </c>
      <c r="J266" s="546">
        <v>6415.5941877773748</v>
      </c>
      <c r="K266" s="546">
        <v>6677.2283395313625</v>
      </c>
      <c r="L266" s="546">
        <v>7048.6622996868218</v>
      </c>
      <c r="M266" s="546">
        <v>7363.5289430709381</v>
      </c>
      <c r="N266" s="546">
        <v>7774.3577686736817</v>
      </c>
    </row>
    <row r="267" spans="2:14" ht="15.75">
      <c r="B267" s="566" t="s">
        <v>996</v>
      </c>
      <c r="C267" s="1633">
        <f>+C266/N259</f>
        <v>1.0328672223756132</v>
      </c>
      <c r="D267" s="1633">
        <f t="shared" ref="D267:N267" si="117">+D266/C266</f>
        <v>1.0225141721671882</v>
      </c>
      <c r="E267" s="1633">
        <f t="shared" si="117"/>
        <v>1.0364748771934229</v>
      </c>
      <c r="F267" s="1633">
        <f t="shared" si="117"/>
        <v>1.021220488797691</v>
      </c>
      <c r="G267" s="1633">
        <f t="shared" si="117"/>
        <v>1.0408299257914335</v>
      </c>
      <c r="H267" s="1633">
        <f t="shared" si="117"/>
        <v>1.0467947930442953</v>
      </c>
      <c r="I267" s="1633">
        <f t="shared" si="117"/>
        <v>1.0380551895265877</v>
      </c>
      <c r="J267" s="1633">
        <f t="shared" si="117"/>
        <v>1.052252450385224</v>
      </c>
      <c r="K267" s="1633">
        <f t="shared" si="117"/>
        <v>1.0407809696337149</v>
      </c>
      <c r="L267" s="1633">
        <f t="shared" si="117"/>
        <v>1.0556269669492129</v>
      </c>
      <c r="M267" s="1633">
        <f t="shared" si="117"/>
        <v>1.0446704112066918</v>
      </c>
      <c r="N267" s="1633">
        <f t="shared" si="117"/>
        <v>1.0557923828070688</v>
      </c>
    </row>
    <row r="268" spans="2:14" ht="16.5" thickBot="1">
      <c r="B268" s="369"/>
      <c r="C268" s="380"/>
      <c r="D268" s="380"/>
      <c r="E268" s="380"/>
      <c r="F268" s="380"/>
      <c r="G268" s="380"/>
      <c r="H268" s="380"/>
      <c r="I268" s="380"/>
      <c r="J268" s="380"/>
      <c r="K268" s="380"/>
      <c r="L268" s="380"/>
      <c r="M268" s="380"/>
      <c r="N268" s="380"/>
    </row>
    <row r="269" spans="2:14" ht="16.5" thickBot="1">
      <c r="B269" s="2461" t="s">
        <v>1017</v>
      </c>
      <c r="C269" s="337">
        <f>+N262*C267</f>
        <v>519.73670495793658</v>
      </c>
      <c r="D269" s="337">
        <f t="shared" ref="D269:E269" si="118">+C269*D267</f>
        <v>531.43814661496663</v>
      </c>
      <c r="E269" s="337">
        <f t="shared" si="118"/>
        <v>550.8222877486478</v>
      </c>
      <c r="F269" s="337">
        <f t="shared" ref="F269:N269" si="119">+E269*F267</f>
        <v>562.51100593533647</v>
      </c>
      <c r="G269" s="337">
        <f t="shared" si="119"/>
        <v>585.47828856454089</v>
      </c>
      <c r="H269" s="337">
        <f t="shared" si="119"/>
        <v>612.87562390984681</v>
      </c>
      <c r="I269" s="337">
        <f t="shared" si="119"/>
        <v>636.19872193396168</v>
      </c>
      <c r="J269" s="337">
        <f t="shared" si="119"/>
        <v>669.44166408695889</v>
      </c>
      <c r="K269" s="337">
        <f t="shared" si="119"/>
        <v>696.74214426163269</v>
      </c>
      <c r="L269" s="337">
        <f t="shared" si="119"/>
        <v>735.49979649259819</v>
      </c>
      <c r="M269" s="337">
        <f t="shared" si="119"/>
        <v>768.35487484436067</v>
      </c>
      <c r="N269" s="337">
        <f t="shared" si="119"/>
        <v>811.22322415335464</v>
      </c>
    </row>
    <row r="270" spans="2:14" ht="13.5" thickBot="1"/>
    <row r="271" spans="2:14" ht="15.75">
      <c r="B271" s="2566" t="s">
        <v>1009</v>
      </c>
      <c r="C271" s="2568">
        <v>2023</v>
      </c>
      <c r="D271" s="2569"/>
      <c r="E271" s="2569"/>
      <c r="F271" s="2569"/>
      <c r="G271" s="2569"/>
      <c r="H271" s="2569"/>
      <c r="I271" s="2569"/>
      <c r="J271" s="2569"/>
      <c r="K271" s="2569"/>
      <c r="L271" s="2569"/>
      <c r="M271" s="2570"/>
      <c r="N271" s="2571"/>
    </row>
    <row r="272" spans="2:14" ht="16.5" thickBot="1">
      <c r="B272" s="2567"/>
      <c r="C272" s="412" t="s">
        <v>578</v>
      </c>
      <c r="D272" s="412" t="s">
        <v>579</v>
      </c>
      <c r="E272" s="412" t="s">
        <v>580</v>
      </c>
      <c r="F272" s="412" t="s">
        <v>581</v>
      </c>
      <c r="G272" s="412" t="s">
        <v>582</v>
      </c>
      <c r="H272" s="412" t="s">
        <v>583</v>
      </c>
      <c r="I272" s="412" t="s">
        <v>587</v>
      </c>
      <c r="J272" s="412" t="s">
        <v>588</v>
      </c>
      <c r="K272" s="412" t="s">
        <v>589</v>
      </c>
      <c r="L272" s="412" t="s">
        <v>590</v>
      </c>
      <c r="M272" s="412" t="s">
        <v>586</v>
      </c>
      <c r="N272" s="1508" t="s">
        <v>577</v>
      </c>
    </row>
    <row r="273" spans="2:15" ht="31.5">
      <c r="B273" s="544" t="s">
        <v>1016</v>
      </c>
      <c r="C273" s="546">
        <v>8141.2750707900395</v>
      </c>
      <c r="D273" s="546">
        <v>8604.2216462066608</v>
      </c>
      <c r="E273" s="546"/>
      <c r="F273" s="546"/>
      <c r="G273" s="546"/>
      <c r="H273" s="546"/>
      <c r="I273" s="546"/>
      <c r="J273" s="546"/>
      <c r="K273" s="546"/>
      <c r="L273" s="546"/>
      <c r="M273" s="546"/>
      <c r="N273" s="546"/>
    </row>
    <row r="274" spans="2:15" ht="15.75">
      <c r="B274" s="566" t="s">
        <v>996</v>
      </c>
      <c r="C274" s="1633">
        <f>+C273/N266</f>
        <v>1.0471958344385475</v>
      </c>
      <c r="D274" s="1633">
        <f t="shared" ref="D274" si="120">+D273/C273</f>
        <v>1.0568641363166342</v>
      </c>
      <c r="E274" s="1633"/>
      <c r="F274" s="1633"/>
      <c r="G274" s="1633"/>
      <c r="H274" s="1633"/>
      <c r="I274" s="1633"/>
      <c r="J274" s="1633"/>
      <c r="K274" s="1633"/>
      <c r="L274" s="1633"/>
      <c r="M274" s="1633"/>
      <c r="N274" s="1633"/>
    </row>
    <row r="275" spans="2:15" ht="16.5" thickBot="1">
      <c r="B275" s="369"/>
      <c r="C275" s="380"/>
      <c r="D275" s="380"/>
      <c r="E275" s="380"/>
      <c r="F275" s="380"/>
      <c r="G275" s="380"/>
      <c r="H275" s="380"/>
      <c r="I275" s="380"/>
      <c r="J275" s="380"/>
      <c r="K275" s="380"/>
      <c r="L275" s="380"/>
      <c r="M275" s="380"/>
      <c r="N275" s="380"/>
    </row>
    <row r="276" spans="2:15" ht="16.5" thickBot="1">
      <c r="B276" s="2461" t="s">
        <v>1017</v>
      </c>
      <c r="C276" s="337">
        <f>+N269*C274</f>
        <v>849.5095811332011</v>
      </c>
      <c r="D276" s="337">
        <f t="shared" ref="D276" si="121">+C276*D274</f>
        <v>897.81620975704629</v>
      </c>
      <c r="E276" s="337">
        <f t="shared" ref="E276" si="122">+D276*E274</f>
        <v>0</v>
      </c>
      <c r="F276" s="337">
        <f t="shared" ref="F276" si="123">+E276*F274</f>
        <v>0</v>
      </c>
      <c r="G276" s="337">
        <f t="shared" ref="G276" si="124">+F276*G274</f>
        <v>0</v>
      </c>
      <c r="H276" s="337">
        <f t="shared" ref="H276" si="125">+G276*H274</f>
        <v>0</v>
      </c>
      <c r="I276" s="337">
        <f t="shared" ref="I276" si="126">+H276*I274</f>
        <v>0</v>
      </c>
      <c r="J276" s="337">
        <f t="shared" ref="J276" si="127">+I276*J274</f>
        <v>0</v>
      </c>
      <c r="K276" s="337">
        <f t="shared" ref="K276" si="128">+J276*K274</f>
        <v>0</v>
      </c>
      <c r="L276" s="337">
        <f t="shared" ref="L276" si="129">+K276*L274</f>
        <v>0</v>
      </c>
      <c r="M276" s="337">
        <f t="shared" ref="M276" si="130">+L276*M274</f>
        <v>0</v>
      </c>
      <c r="N276" s="337">
        <f t="shared" ref="N276" si="131">+M276*N274</f>
        <v>0</v>
      </c>
    </row>
    <row r="277" spans="2:15" s="2" customFormat="1" ht="13.5" thickBot="1"/>
    <row r="278" spans="2:15" s="2" customFormat="1" ht="15.75">
      <c r="B278" s="2566" t="s">
        <v>1009</v>
      </c>
      <c r="C278" s="2568">
        <v>2018</v>
      </c>
      <c r="D278" s="2569"/>
      <c r="E278" s="2569"/>
      <c r="F278" s="2569"/>
      <c r="G278" s="2569"/>
      <c r="H278" s="2569"/>
      <c r="I278" s="2569"/>
      <c r="J278" s="2569"/>
      <c r="K278" s="2569"/>
      <c r="L278" s="2569"/>
      <c r="M278" s="2570"/>
      <c r="N278" s="2571"/>
    </row>
    <row r="279" spans="2:15" s="2" customFormat="1" ht="16.5" thickBot="1">
      <c r="B279" s="2567"/>
      <c r="C279" s="412" t="s">
        <v>578</v>
      </c>
      <c r="D279" s="412" t="s">
        <v>579</v>
      </c>
      <c r="E279" s="412" t="s">
        <v>580</v>
      </c>
      <c r="F279" s="412" t="s">
        <v>581</v>
      </c>
      <c r="G279" s="412" t="s">
        <v>582</v>
      </c>
      <c r="H279" s="412" t="s">
        <v>583</v>
      </c>
      <c r="I279" s="412" t="s">
        <v>587</v>
      </c>
      <c r="J279" s="412" t="s">
        <v>588</v>
      </c>
      <c r="K279" s="412" t="s">
        <v>589</v>
      </c>
      <c r="L279" s="412" t="s">
        <v>590</v>
      </c>
      <c r="M279" s="412" t="s">
        <v>586</v>
      </c>
      <c r="N279" s="1508" t="s">
        <v>577</v>
      </c>
    </row>
    <row r="280" spans="2:15" s="2" customFormat="1" ht="15.75">
      <c r="B280" s="544" t="s">
        <v>1339</v>
      </c>
      <c r="C280" s="546">
        <v>2229.88</v>
      </c>
      <c r="D280" s="546">
        <v>2253.0300000000002</v>
      </c>
      <c r="E280" s="546">
        <v>2366.1799999999998</v>
      </c>
      <c r="F280" s="546">
        <v>2453.4499999999998</v>
      </c>
      <c r="G280" s="546">
        <v>2546.31</v>
      </c>
      <c r="H280" s="546">
        <v>2831.66</v>
      </c>
      <c r="I280" s="546">
        <v>3040.75</v>
      </c>
      <c r="J280" s="546">
        <v>3081.85</v>
      </c>
      <c r="K280" s="546">
        <v>3094.65</v>
      </c>
      <c r="L280" s="546">
        <v>3838.37</v>
      </c>
      <c r="M280" s="546">
        <v>3704.17</v>
      </c>
      <c r="N280" s="546">
        <v>3828.23</v>
      </c>
    </row>
    <row r="281" spans="2:15" s="2" customFormat="1" ht="15.75">
      <c r="B281" s="566" t="s">
        <v>996</v>
      </c>
      <c r="C281" s="1633">
        <v>1</v>
      </c>
      <c r="D281" s="1633">
        <f t="shared" ref="D281" si="132">+D280/C280</f>
        <v>1.0103817245771074</v>
      </c>
      <c r="E281" s="1633">
        <f t="shared" ref="E281" si="133">+E280/D280</f>
        <v>1.0502212575953269</v>
      </c>
      <c r="F281" s="1633">
        <f t="shared" ref="F281" si="134">+F280/E280</f>
        <v>1.0368822321209714</v>
      </c>
      <c r="G281" s="1633">
        <f t="shared" ref="G281" si="135">+G280/F280</f>
        <v>1.0378487436059427</v>
      </c>
      <c r="H281" s="1633">
        <f t="shared" ref="H281" si="136">+H280/G280</f>
        <v>1.1120641241639864</v>
      </c>
      <c r="I281" s="1633">
        <f t="shared" ref="I281" si="137">+I280/H280</f>
        <v>1.073840079670582</v>
      </c>
      <c r="J281" s="1633">
        <f t="shared" ref="J281" si="138">+J280/I280</f>
        <v>1.0135164022034038</v>
      </c>
      <c r="K281" s="1633">
        <f t="shared" ref="K281" si="139">+K280/J280</f>
        <v>1.0041533494491945</v>
      </c>
      <c r="L281" s="1633">
        <f t="shared" ref="L281" si="140">+L280/K280</f>
        <v>1.2403244308726349</v>
      </c>
      <c r="M281" s="1633">
        <f t="shared" ref="M281" si="141">+M280/L280</f>
        <v>0.96503724237111066</v>
      </c>
      <c r="N281" s="1633">
        <f t="shared" ref="N281" si="142">+N280/M280</f>
        <v>1.033491983359295</v>
      </c>
    </row>
    <row r="282" spans="2:15" s="2" customFormat="1" ht="16.5" thickBot="1">
      <c r="B282" s="369"/>
      <c r="C282" s="380"/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0"/>
    </row>
    <row r="283" spans="2:15" s="2" customFormat="1" ht="16.5" thickBot="1">
      <c r="B283" s="2462" t="s">
        <v>1338</v>
      </c>
      <c r="C283" s="337">
        <v>100</v>
      </c>
      <c r="D283" s="337">
        <f t="shared" ref="D283" si="143">+C283*D281</f>
        <v>101.03817245771074</v>
      </c>
      <c r="E283" s="337">
        <f t="shared" ref="E283" si="144">+D283*E281</f>
        <v>106.1124365436705</v>
      </c>
      <c r="F283" s="337">
        <f t="shared" ref="F283" si="145">+E283*F281</f>
        <v>110.026100059196</v>
      </c>
      <c r="G283" s="337">
        <f t="shared" ref="G283" si="146">+F283*G281</f>
        <v>114.19044971029831</v>
      </c>
      <c r="H283" s="337">
        <f t="shared" ref="H283" si="147">+G283*H281</f>
        <v>126.98710244497462</v>
      </c>
      <c r="I283" s="337">
        <f t="shared" ref="I283" si="148">+H283*I281</f>
        <v>136.36384020664792</v>
      </c>
      <c r="J283" s="337">
        <f t="shared" ref="J283" si="149">+I283*J281</f>
        <v>138.20698871688165</v>
      </c>
      <c r="K283" s="337">
        <f t="shared" ref="K283" si="150">+J283*K281</f>
        <v>138.78101063734374</v>
      </c>
      <c r="L283" s="337">
        <f t="shared" ref="L283" si="151">+K283*L281</f>
        <v>172.13347803469247</v>
      </c>
      <c r="M283" s="337">
        <f t="shared" ref="M283" si="152">+L283*M281</f>
        <v>166.11521696234777</v>
      </c>
      <c r="N283" s="337">
        <f t="shared" ref="N283" si="153">+M283*N281</f>
        <v>171.6787450445764</v>
      </c>
      <c r="O283" s="2357"/>
    </row>
    <row r="285" spans="2:15" ht="15.75" hidden="1">
      <c r="B285" s="2566" t="s">
        <v>1009</v>
      </c>
      <c r="C285" s="2568">
        <v>2019</v>
      </c>
      <c r="D285" s="2569"/>
      <c r="E285" s="2569"/>
      <c r="F285" s="2569"/>
      <c r="G285" s="2569"/>
      <c r="H285" s="2569"/>
      <c r="I285" s="2569"/>
      <c r="J285" s="2569"/>
      <c r="K285" s="2569"/>
      <c r="L285" s="2569"/>
      <c r="M285" s="2570"/>
      <c r="N285" s="2571"/>
    </row>
    <row r="286" spans="2:15" ht="16.5" hidden="1" thickBot="1">
      <c r="B286" s="2567"/>
      <c r="C286" s="412" t="s">
        <v>578</v>
      </c>
      <c r="D286" s="412" t="s">
        <v>579</v>
      </c>
      <c r="E286" s="412" t="s">
        <v>580</v>
      </c>
      <c r="F286" s="412" t="s">
        <v>581</v>
      </c>
      <c r="G286" s="412" t="s">
        <v>582</v>
      </c>
      <c r="H286" s="412" t="s">
        <v>583</v>
      </c>
      <c r="I286" s="412" t="s">
        <v>587</v>
      </c>
      <c r="J286" s="412" t="s">
        <v>588</v>
      </c>
      <c r="K286" s="412" t="s">
        <v>589</v>
      </c>
      <c r="L286" s="412" t="s">
        <v>590</v>
      </c>
      <c r="M286" s="412" t="s">
        <v>586</v>
      </c>
      <c r="N286" s="1508" t="s">
        <v>577</v>
      </c>
    </row>
    <row r="287" spans="2:15" ht="15.75" hidden="1">
      <c r="B287" s="544" t="s">
        <v>1339</v>
      </c>
      <c r="C287" s="546">
        <v>3882.43</v>
      </c>
      <c r="D287" s="546">
        <v>3889.42</v>
      </c>
      <c r="E287" s="546">
        <v>4193.91</v>
      </c>
      <c r="F287" s="546">
        <v>4448.46</v>
      </c>
      <c r="G287" s="546">
        <v>4511.75</v>
      </c>
      <c r="H287" s="546">
        <v>4559.3999999999996</v>
      </c>
      <c r="I287" s="546">
        <v>4550.5</v>
      </c>
      <c r="J287" s="546">
        <v>4925.29</v>
      </c>
      <c r="K287" s="546">
        <v>4932.1899999999996</v>
      </c>
      <c r="L287" s="546">
        <v>5596.31</v>
      </c>
      <c r="M287" s="546">
        <v>5758.31</v>
      </c>
      <c r="N287" s="546">
        <v>5806.31</v>
      </c>
    </row>
    <row r="288" spans="2:15" ht="15.75" hidden="1">
      <c r="B288" s="566" t="s">
        <v>996</v>
      </c>
      <c r="C288" s="1633">
        <f>+C287/N280</f>
        <v>1.0141579790138</v>
      </c>
      <c r="D288" s="1633">
        <f t="shared" ref="D288" si="154">+D287/C287</f>
        <v>1.001800418809869</v>
      </c>
      <c r="E288" s="1633">
        <f t="shared" ref="E288" si="155">+E287/D287</f>
        <v>1.07828673683994</v>
      </c>
      <c r="F288" s="1633">
        <f t="shared" ref="F288" si="156">+F287/E287</f>
        <v>1.0606951508258404</v>
      </c>
      <c r="G288" s="1633">
        <f t="shared" ref="G288" si="157">+G287/F287</f>
        <v>1.0142273955481222</v>
      </c>
      <c r="H288" s="1633">
        <f t="shared" ref="H288" si="158">+H287/G287</f>
        <v>1.0105613121294397</v>
      </c>
      <c r="I288" s="1633">
        <f t="shared" ref="I288" si="159">+I287/H287</f>
        <v>0.99804798877045231</v>
      </c>
      <c r="J288" s="1633">
        <f t="shared" ref="J288" si="160">+J287/I287</f>
        <v>1.0823623777606857</v>
      </c>
      <c r="K288" s="1633">
        <f t="shared" ref="K288" si="161">+K287/J287</f>
        <v>1.0014009327369555</v>
      </c>
      <c r="L288" s="1633">
        <f t="shared" ref="L288" si="162">+L287/K287</f>
        <v>1.1346501249951848</v>
      </c>
      <c r="M288" s="1633">
        <f t="shared" ref="M288" si="163">+M287/L287</f>
        <v>1.0289476458595039</v>
      </c>
      <c r="N288" s="1633">
        <f t="shared" ref="N288" si="164">+N287/M287</f>
        <v>1.0083357790740686</v>
      </c>
    </row>
    <row r="289" spans="2:14" ht="16.5" hidden="1" thickBot="1">
      <c r="B289" s="369"/>
      <c r="C289" s="380"/>
      <c r="D289" s="380"/>
      <c r="E289" s="380"/>
      <c r="F289" s="380"/>
      <c r="G289" s="380"/>
      <c r="H289" s="380"/>
      <c r="I289" s="380"/>
      <c r="J289" s="380"/>
      <c r="K289" s="380"/>
      <c r="L289" s="380"/>
      <c r="M289" s="380"/>
      <c r="N289" s="380"/>
    </row>
    <row r="290" spans="2:14" ht="16.5" hidden="1" thickBot="1">
      <c r="B290" s="2462" t="s">
        <v>1338</v>
      </c>
      <c r="C290" s="337">
        <f>+N283*C288</f>
        <v>174.10936911403303</v>
      </c>
      <c r="D290" s="337">
        <f t="shared" ref="D290" si="165">+C290*D288</f>
        <v>174.42283889716037</v>
      </c>
      <c r="E290" s="337">
        <f t="shared" ref="E290" si="166">+D290*E288</f>
        <v>188.07783378477762</v>
      </c>
      <c r="F290" s="337">
        <f t="shared" ref="F290" si="167">+E290*F288</f>
        <v>199.49324627334204</v>
      </c>
      <c r="G290" s="337">
        <f t="shared" ref="G290" si="168">+F290*G288</f>
        <v>202.33151559725184</v>
      </c>
      <c r="H290" s="337">
        <f t="shared" ref="H290" si="169">+G290*H288</f>
        <v>204.468401887097</v>
      </c>
      <c r="I290" s="337">
        <f t="shared" ref="I290" si="170">+H290*I288</f>
        <v>204.06927727052573</v>
      </c>
      <c r="J290" s="337">
        <f t="shared" ref="J290" si="171">+I290*J288</f>
        <v>220.87690817443087</v>
      </c>
      <c r="K290" s="337">
        <f t="shared" ref="K290" si="172">+J290*K288</f>
        <v>221.18634186592993</v>
      </c>
      <c r="L290" s="337">
        <f t="shared" ref="L290" si="173">+K290*L288</f>
        <v>250.96911044540508</v>
      </c>
      <c r="M290" s="337">
        <f t="shared" ref="M290" si="174">+L290*M288</f>
        <v>258.23407537625337</v>
      </c>
      <c r="N290" s="337">
        <f t="shared" ref="N290" si="175">+M290*N288</f>
        <v>260.38665757798617</v>
      </c>
    </row>
    <row r="291" spans="2:14" ht="13.5" hidden="1" thickBot="1"/>
    <row r="292" spans="2:14" ht="15.75" hidden="1">
      <c r="B292" s="2566" t="s">
        <v>1009</v>
      </c>
      <c r="C292" s="2568">
        <v>2020</v>
      </c>
      <c r="D292" s="2569"/>
      <c r="E292" s="2569"/>
      <c r="F292" s="2569"/>
      <c r="G292" s="2569"/>
      <c r="H292" s="2569"/>
      <c r="I292" s="2569"/>
      <c r="J292" s="2569"/>
      <c r="K292" s="2569"/>
      <c r="L292" s="2569"/>
      <c r="M292" s="2570"/>
      <c r="N292" s="2571"/>
    </row>
    <row r="293" spans="2:14" ht="16.5" hidden="1" thickBot="1">
      <c r="B293" s="2567"/>
      <c r="C293" s="412" t="s">
        <v>578</v>
      </c>
      <c r="D293" s="412" t="s">
        <v>579</v>
      </c>
      <c r="E293" s="412" t="s">
        <v>580</v>
      </c>
      <c r="F293" s="412" t="s">
        <v>581</v>
      </c>
      <c r="G293" s="412" t="s">
        <v>582</v>
      </c>
      <c r="H293" s="412" t="s">
        <v>583</v>
      </c>
      <c r="I293" s="412" t="s">
        <v>587</v>
      </c>
      <c r="J293" s="412" t="s">
        <v>588</v>
      </c>
      <c r="K293" s="412" t="s">
        <v>589</v>
      </c>
      <c r="L293" s="412" t="s">
        <v>590</v>
      </c>
      <c r="M293" s="412" t="s">
        <v>586</v>
      </c>
      <c r="N293" s="1508" t="s">
        <v>577</v>
      </c>
    </row>
    <row r="294" spans="2:14" ht="15.75" hidden="1">
      <c r="B294" s="544" t="s">
        <v>1339</v>
      </c>
      <c r="C294" s="546">
        <v>5927.27</v>
      </c>
      <c r="D294" s="546">
        <v>6013.43</v>
      </c>
      <c r="E294" s="546">
        <v>6283.97</v>
      </c>
      <c r="F294" s="546">
        <v>6284.43</v>
      </c>
      <c r="G294" s="546">
        <v>6284.43</v>
      </c>
      <c r="H294" s="546">
        <v>6546.2</v>
      </c>
      <c r="I294" s="546">
        <v>6691.28</v>
      </c>
      <c r="J294" s="546">
        <v>6905.96</v>
      </c>
      <c r="K294" s="546">
        <v>7088.81</v>
      </c>
      <c r="L294" s="546">
        <v>7235.13</v>
      </c>
      <c r="M294" s="546">
        <v>7773.65</v>
      </c>
      <c r="N294" s="546">
        <v>7786.87</v>
      </c>
    </row>
    <row r="295" spans="2:14" ht="15.75" hidden="1">
      <c r="B295" s="566" t="s">
        <v>996</v>
      </c>
      <c r="C295" s="1633">
        <f>+C294/N287</f>
        <v>1.0208325080817249</v>
      </c>
      <c r="D295" s="1633">
        <f t="shared" ref="D295" si="176">+D294/C294</f>
        <v>1.0145362030074554</v>
      </c>
      <c r="E295" s="1633">
        <f t="shared" ref="E295" si="177">+E294/D294</f>
        <v>1.0449892989525114</v>
      </c>
      <c r="F295" s="1633">
        <f t="shared" ref="F295" si="178">+F294/E294</f>
        <v>1.0000732021317733</v>
      </c>
      <c r="G295" s="1633">
        <f t="shared" ref="G295" si="179">+G294/F294</f>
        <v>1</v>
      </c>
      <c r="H295" s="1633">
        <f t="shared" ref="H295" si="180">+H294/G294</f>
        <v>1.0416537378887185</v>
      </c>
      <c r="I295" s="1633">
        <f t="shared" ref="I295" si="181">+I294/H294</f>
        <v>1.0221624759402401</v>
      </c>
      <c r="J295" s="1633">
        <f t="shared" ref="J295" si="182">+J294/I294</f>
        <v>1.0320835475424732</v>
      </c>
      <c r="K295" s="1633">
        <f t="shared" ref="K295" si="183">+K294/J294</f>
        <v>1.0264771298993913</v>
      </c>
      <c r="L295" s="1633">
        <f t="shared" ref="L295" si="184">+L294/K294</f>
        <v>1.0206409820548159</v>
      </c>
      <c r="M295" s="1633">
        <f t="shared" ref="M295" si="185">+M294/L294</f>
        <v>1.0744312818152542</v>
      </c>
      <c r="N295" s="1633">
        <f t="shared" ref="N295" si="186">+N294/M294</f>
        <v>1.0017006168273592</v>
      </c>
    </row>
    <row r="296" spans="2:14" ht="16.5" hidden="1" thickBot="1">
      <c r="B296" s="369"/>
      <c r="C296" s="380"/>
      <c r="D296" s="380"/>
      <c r="E296" s="380"/>
      <c r="F296" s="380"/>
      <c r="G296" s="380"/>
      <c r="H296" s="380"/>
      <c r="I296" s="380"/>
      <c r="J296" s="380"/>
      <c r="K296" s="380"/>
      <c r="L296" s="380"/>
      <c r="M296" s="380"/>
      <c r="N296" s="380"/>
    </row>
    <row r="297" spans="2:14" ht="16.5" hidden="1" thickBot="1">
      <c r="B297" s="2462" t="s">
        <v>1338</v>
      </c>
      <c r="C297" s="337">
        <f>+N290*C295</f>
        <v>265.8111647263529</v>
      </c>
      <c r="D297" s="337">
        <f t="shared" ref="D297" si="187">+C297*D295</f>
        <v>269.67504977846335</v>
      </c>
      <c r="E297" s="337">
        <f t="shared" ref="E297" si="188">+D297*E295</f>
        <v>281.80754121298003</v>
      </c>
      <c r="F297" s="337">
        <f t="shared" ref="F297" si="189">+E297*F295</f>
        <v>281.82817012574662</v>
      </c>
      <c r="G297" s="337">
        <f t="shared" ref="G297" si="190">+F297*G295</f>
        <v>281.82817012574662</v>
      </c>
      <c r="H297" s="337">
        <f t="shared" ref="H297" si="191">+G297*H295</f>
        <v>293.56736685382162</v>
      </c>
      <c r="I297" s="337">
        <f t="shared" ref="I297" si="192">+H297*I295</f>
        <v>300.07354655855909</v>
      </c>
      <c r="J297" s="337">
        <f t="shared" ref="J297" si="193">+I297*J295</f>
        <v>309.70097045580917</v>
      </c>
      <c r="K297" s="337">
        <f t="shared" ref="K297" si="194">+J297*K295</f>
        <v>317.90096328053517</v>
      </c>
      <c r="L297" s="337">
        <f t="shared" ref="L297" si="195">+K297*L295</f>
        <v>324.4627513588174</v>
      </c>
      <c r="M297" s="337">
        <f t="shared" ref="M297" si="196">+L297*M295</f>
        <v>348.61292984375825</v>
      </c>
      <c r="N297" s="337">
        <f t="shared" ref="N297" si="197">+M297*N295</f>
        <v>349.20578685848557</v>
      </c>
    </row>
    <row r="298" spans="2:14" ht="13.5" hidden="1" thickBot="1"/>
    <row r="299" spans="2:14" ht="15.75" hidden="1">
      <c r="B299" s="2566" t="s">
        <v>1009</v>
      </c>
      <c r="C299" s="2568">
        <v>2021</v>
      </c>
      <c r="D299" s="2569"/>
      <c r="E299" s="2569"/>
      <c r="F299" s="2569"/>
      <c r="G299" s="2569"/>
      <c r="H299" s="2569"/>
      <c r="I299" s="2569"/>
      <c r="J299" s="2569"/>
      <c r="K299" s="2569"/>
      <c r="L299" s="2569"/>
      <c r="M299" s="2570"/>
      <c r="N299" s="2571"/>
    </row>
    <row r="300" spans="2:14" ht="16.5" hidden="1" thickBot="1">
      <c r="B300" s="2567"/>
      <c r="C300" s="412" t="s">
        <v>578</v>
      </c>
      <c r="D300" s="412" t="s">
        <v>579</v>
      </c>
      <c r="E300" s="412" t="s">
        <v>580</v>
      </c>
      <c r="F300" s="412" t="s">
        <v>581</v>
      </c>
      <c r="G300" s="412" t="s">
        <v>582</v>
      </c>
      <c r="H300" s="412" t="s">
        <v>583</v>
      </c>
      <c r="I300" s="412" t="s">
        <v>587</v>
      </c>
      <c r="J300" s="412" t="s">
        <v>588</v>
      </c>
      <c r="K300" s="412" t="s">
        <v>589</v>
      </c>
      <c r="L300" s="412" t="s">
        <v>590</v>
      </c>
      <c r="M300" s="412" t="s">
        <v>586</v>
      </c>
      <c r="N300" s="1508" t="s">
        <v>577</v>
      </c>
    </row>
    <row r="301" spans="2:14" ht="15.75" hidden="1">
      <c r="B301" s="544" t="s">
        <v>1339</v>
      </c>
      <c r="C301" s="546">
        <v>8001.31</v>
      </c>
      <c r="D301" s="546">
        <v>8373.08</v>
      </c>
      <c r="E301" s="546">
        <v>8573.1299999999992</v>
      </c>
      <c r="F301" s="546">
        <v>9007.32</v>
      </c>
      <c r="G301" s="546">
        <v>9174.4699999999993</v>
      </c>
      <c r="H301" s="546">
        <v>9274.57</v>
      </c>
      <c r="I301" s="546">
        <v>9551.58</v>
      </c>
      <c r="J301" s="546">
        <v>9627.41</v>
      </c>
      <c r="K301" s="546">
        <v>9792.5</v>
      </c>
      <c r="L301" s="546">
        <v>10021.85</v>
      </c>
      <c r="M301" s="546">
        <v>10093</v>
      </c>
      <c r="N301" s="546">
        <v>10174.56</v>
      </c>
    </row>
    <row r="302" spans="2:14" ht="15.75" hidden="1">
      <c r="B302" s="566" t="s">
        <v>996</v>
      </c>
      <c r="C302" s="1633">
        <f>+C301/N294</f>
        <v>1.027538664444122</v>
      </c>
      <c r="D302" s="1633">
        <f t="shared" ref="D302" si="198">+D301/C301</f>
        <v>1.0464636415786914</v>
      </c>
      <c r="E302" s="1633">
        <f t="shared" ref="E302" si="199">+E301/D301</f>
        <v>1.0238920445045312</v>
      </c>
      <c r="F302" s="1633">
        <f t="shared" ref="F302" si="200">+F301/E301</f>
        <v>1.0506454468787947</v>
      </c>
      <c r="G302" s="1633">
        <f t="shared" ref="G302" si="201">+G301/F301</f>
        <v>1.018557129090562</v>
      </c>
      <c r="H302" s="1633">
        <f t="shared" ref="H302" si="202">+H301/G301</f>
        <v>1.0109107120084322</v>
      </c>
      <c r="I302" s="1633">
        <f t="shared" ref="I302" si="203">+I301/H301</f>
        <v>1.0298676919792509</v>
      </c>
      <c r="J302" s="1633">
        <f t="shared" ref="J302" si="204">+J301/I301</f>
        <v>1.0079390006679523</v>
      </c>
      <c r="K302" s="1633">
        <f t="shared" ref="K302" si="205">+K301/J301</f>
        <v>1.0171479141326691</v>
      </c>
      <c r="L302" s="1633">
        <f t="shared" ref="L302" si="206">+L301/K301</f>
        <v>1.0234209854480469</v>
      </c>
      <c r="M302" s="1633">
        <f t="shared" ref="M302" si="207">+M301/L301</f>
        <v>1.0070994876195511</v>
      </c>
      <c r="N302" s="1633">
        <f t="shared" ref="N302" si="208">+N301/M301</f>
        <v>1.0080808481125532</v>
      </c>
    </row>
    <row r="303" spans="2:14" ht="16.5" hidden="1" thickBot="1">
      <c r="B303" s="369"/>
      <c r="C303" s="380"/>
      <c r="D303" s="380"/>
      <c r="E303" s="380"/>
      <c r="F303" s="380"/>
      <c r="G303" s="380"/>
      <c r="H303" s="380"/>
      <c r="I303" s="380"/>
      <c r="J303" s="380"/>
      <c r="K303" s="380"/>
      <c r="L303" s="380"/>
      <c r="M303" s="380"/>
      <c r="N303" s="380"/>
    </row>
    <row r="304" spans="2:14" ht="16.5" hidden="1" thickBot="1">
      <c r="B304" s="2462" t="s">
        <v>1338</v>
      </c>
      <c r="C304" s="337">
        <f>+N297*C302</f>
        <v>358.82244784472698</v>
      </c>
      <c r="D304" s="337">
        <f t="shared" ref="D304" si="209">+C304*D302</f>
        <v>375.49464545177307</v>
      </c>
      <c r="E304" s="337">
        <f t="shared" ref="E304" si="210">+D304*E302</f>
        <v>384.46598023211999</v>
      </c>
      <c r="F304" s="337">
        <f t="shared" ref="F304" si="211">+E304*F302</f>
        <v>403.93743161066953</v>
      </c>
      <c r="G304" s="337">
        <f t="shared" ref="G304" si="212">+F304*G302</f>
        <v>411.43335067357879</v>
      </c>
      <c r="H304" s="337">
        <f t="shared" ref="H304" si="213">+G304*H302</f>
        <v>415.9223814734425</v>
      </c>
      <c r="I304" s="337">
        <f t="shared" ref="I304" si="214">+H304*I302</f>
        <v>428.34502305056776</v>
      </c>
      <c r="J304" s="337">
        <f t="shared" ref="J304" si="215">+I304*J302</f>
        <v>431.74565447468024</v>
      </c>
      <c r="K304" s="337">
        <f t="shared" ref="K304" si="216">+J304*K302</f>
        <v>439.14919188476512</v>
      </c>
      <c r="L304" s="337">
        <f t="shared" ref="L304" si="217">+K304*L302</f>
        <v>449.43449871741979</v>
      </c>
      <c r="M304" s="337">
        <f t="shared" ref="M304" si="218">+L304*M302</f>
        <v>452.62525337686327</v>
      </c>
      <c r="N304" s="337">
        <f t="shared" ref="N304" si="219">+M304*N302</f>
        <v>456.28284930130758</v>
      </c>
    </row>
    <row r="305" spans="2:14" ht="13.5" thickBot="1"/>
    <row r="306" spans="2:14" ht="15.75">
      <c r="B306" s="2566" t="s">
        <v>1009</v>
      </c>
      <c r="C306" s="2568">
        <v>2022</v>
      </c>
      <c r="D306" s="2569"/>
      <c r="E306" s="2569"/>
      <c r="F306" s="2569"/>
      <c r="G306" s="2569"/>
      <c r="H306" s="2569"/>
      <c r="I306" s="2569"/>
      <c r="J306" s="2569"/>
      <c r="K306" s="2569"/>
      <c r="L306" s="2569"/>
      <c r="M306" s="2570"/>
      <c r="N306" s="2571"/>
    </row>
    <row r="307" spans="2:14" ht="16.5" thickBot="1">
      <c r="B307" s="2567"/>
      <c r="C307" s="412" t="s">
        <v>578</v>
      </c>
      <c r="D307" s="412" t="s">
        <v>579</v>
      </c>
      <c r="E307" s="412" t="s">
        <v>580</v>
      </c>
      <c r="F307" s="412" t="s">
        <v>581</v>
      </c>
      <c r="G307" s="412" t="s">
        <v>582</v>
      </c>
      <c r="H307" s="412" t="s">
        <v>583</v>
      </c>
      <c r="I307" s="412" t="s">
        <v>587</v>
      </c>
      <c r="J307" s="412" t="s">
        <v>588</v>
      </c>
      <c r="K307" s="412" t="s">
        <v>589</v>
      </c>
      <c r="L307" s="412" t="s">
        <v>590</v>
      </c>
      <c r="M307" s="412" t="s">
        <v>586</v>
      </c>
      <c r="N307" s="1508" t="s">
        <v>577</v>
      </c>
    </row>
    <row r="308" spans="2:14" ht="15.75">
      <c r="B308" s="544" t="s">
        <v>1339</v>
      </c>
      <c r="C308" s="546">
        <v>10374.24</v>
      </c>
      <c r="D308" s="546">
        <v>10636.58</v>
      </c>
      <c r="E308" s="546">
        <v>10982.05</v>
      </c>
      <c r="F308" s="546">
        <v>11178.92</v>
      </c>
      <c r="G308" s="546">
        <v>11729.01</v>
      </c>
      <c r="H308" s="546">
        <v>12444.92</v>
      </c>
      <c r="I308" s="546">
        <v>12830.61</v>
      </c>
      <c r="J308" s="546">
        <v>13468.51</v>
      </c>
      <c r="K308" s="546">
        <v>14640.12</v>
      </c>
      <c r="L308" s="546">
        <v>15450.29</v>
      </c>
      <c r="M308" s="546">
        <v>16301</v>
      </c>
      <c r="N308" s="546">
        <v>17247.32</v>
      </c>
    </row>
    <row r="309" spans="2:14" ht="15.75">
      <c r="B309" s="566" t="s">
        <v>996</v>
      </c>
      <c r="C309" s="1633">
        <f>+C308/N301</f>
        <v>1.0196254186913243</v>
      </c>
      <c r="D309" s="1633">
        <f t="shared" ref="D309" si="220">+D308/C308</f>
        <v>1.0252876355280001</v>
      </c>
      <c r="E309" s="1633">
        <f t="shared" ref="E309" si="221">+E308/D308</f>
        <v>1.0324794247775131</v>
      </c>
      <c r="F309" s="1633">
        <f t="shared" ref="F309" si="222">+F308/E308</f>
        <v>1.0179265255576146</v>
      </c>
      <c r="G309" s="1633">
        <f t="shared" ref="G309" si="223">+G308/F308</f>
        <v>1.0492077946706837</v>
      </c>
      <c r="H309" s="1633">
        <f t="shared" ref="H309" si="224">+H308/G308</f>
        <v>1.061037547073453</v>
      </c>
      <c r="I309" s="1633">
        <f t="shared" ref="I309" si="225">+I308/H308</f>
        <v>1.0309917621005198</v>
      </c>
      <c r="J309" s="1633">
        <f t="shared" ref="J309" si="226">+J308/I308</f>
        <v>1.049717043850604</v>
      </c>
      <c r="K309" s="1633">
        <f t="shared" ref="K309:N309" si="227">+K308/J308</f>
        <v>1.0869888354391095</v>
      </c>
      <c r="L309" s="1633">
        <f t="shared" si="227"/>
        <v>1.0553390272757328</v>
      </c>
      <c r="M309" s="1633">
        <f t="shared" si="227"/>
        <v>1.0550611024129644</v>
      </c>
      <c r="N309" s="1633">
        <f t="shared" si="227"/>
        <v>1.0580528801913993</v>
      </c>
    </row>
    <row r="310" spans="2:14" ht="16.5" thickBot="1">
      <c r="B310" s="369"/>
      <c r="C310" s="380"/>
      <c r="D310" s="380"/>
      <c r="E310" s="380"/>
      <c r="F310" s="380"/>
      <c r="G310" s="380"/>
      <c r="H310" s="380"/>
      <c r="I310" s="380"/>
      <c r="J310" s="380"/>
      <c r="K310" s="380"/>
      <c r="L310" s="380"/>
      <c r="M310" s="380"/>
      <c r="N310" s="380"/>
    </row>
    <row r="311" spans="2:14" ht="16.5" thickBot="1">
      <c r="B311" s="2462" t="s">
        <v>1338</v>
      </c>
      <c r="C311" s="337">
        <f>+N304*C309</f>
        <v>465.23759126051618</v>
      </c>
      <c r="D311" s="337">
        <f t="shared" ref="D311" si="228">+C311*D309</f>
        <v>477.0023499022368</v>
      </c>
      <c r="E311" s="337">
        <f t="shared" ref="E311" si="229">+D311*E309</f>
        <v>492.4951118445835</v>
      </c>
      <c r="F311" s="337">
        <f t="shared" ref="F311" si="230">+E311*F309</f>
        <v>501.32383805406573</v>
      </c>
      <c r="G311" s="337">
        <f t="shared" ref="G311" si="231">+F311*G309</f>
        <v>525.99287854054933</v>
      </c>
      <c r="H311" s="337">
        <f t="shared" ref="H311" si="232">+G311*H309</f>
        <v>558.09819362476912</v>
      </c>
      <c r="I311" s="337">
        <f t="shared" ref="I311" si="233">+H311*I309</f>
        <v>575.39464007031779</v>
      </c>
      <c r="J311" s="337">
        <f t="shared" ref="J311" si="234">+I311*J309</f>
        <v>604.00156062209635</v>
      </c>
      <c r="K311" s="337">
        <f t="shared" ref="K311:N311" si="235">+J311*K309</f>
        <v>656.54295298401723</v>
      </c>
      <c r="L311" s="337">
        <f t="shared" si="235"/>
        <v>692.87540136688995</v>
      </c>
      <c r="M311" s="337">
        <f t="shared" si="235"/>
        <v>731.02588480097609</v>
      </c>
      <c r="N311" s="337">
        <f t="shared" si="235"/>
        <v>773.46404290813882</v>
      </c>
    </row>
    <row r="312" spans="2:14" ht="13.5" thickBot="1"/>
    <row r="313" spans="2:14" ht="15.75">
      <c r="B313" s="2566" t="s">
        <v>1009</v>
      </c>
      <c r="C313" s="2568">
        <v>2023</v>
      </c>
      <c r="D313" s="2569"/>
      <c r="E313" s="2569"/>
      <c r="F313" s="2569"/>
      <c r="G313" s="2569"/>
      <c r="H313" s="2569"/>
      <c r="I313" s="2569"/>
      <c r="J313" s="2569"/>
      <c r="K313" s="2569"/>
      <c r="L313" s="2569"/>
      <c r="M313" s="2570"/>
      <c r="N313" s="2571"/>
    </row>
    <row r="314" spans="2:14" ht="16.5" thickBot="1">
      <c r="B314" s="2567"/>
      <c r="C314" s="412" t="s">
        <v>578</v>
      </c>
      <c r="D314" s="412" t="s">
        <v>579</v>
      </c>
      <c r="E314" s="412" t="s">
        <v>580</v>
      </c>
      <c r="F314" s="412" t="s">
        <v>581</v>
      </c>
      <c r="G314" s="412" t="s">
        <v>582</v>
      </c>
      <c r="H314" s="412" t="s">
        <v>583</v>
      </c>
      <c r="I314" s="412" t="s">
        <v>587</v>
      </c>
      <c r="J314" s="412" t="s">
        <v>588</v>
      </c>
      <c r="K314" s="412" t="s">
        <v>589</v>
      </c>
      <c r="L314" s="412" t="s">
        <v>590</v>
      </c>
      <c r="M314" s="412" t="s">
        <v>586</v>
      </c>
      <c r="N314" s="1508" t="s">
        <v>577</v>
      </c>
    </row>
    <row r="315" spans="2:14" ht="15.75">
      <c r="B315" s="544" t="s">
        <v>1339</v>
      </c>
      <c r="C315" s="546">
        <v>18455.240000000002</v>
      </c>
      <c r="D315" s="546">
        <v>19595.63</v>
      </c>
      <c r="E315" s="546"/>
      <c r="F315" s="546"/>
      <c r="G315" s="546"/>
      <c r="H315" s="546"/>
      <c r="I315" s="546"/>
      <c r="J315" s="546"/>
      <c r="K315" s="546"/>
      <c r="L315" s="546"/>
      <c r="M315" s="546"/>
      <c r="N315" s="546"/>
    </row>
    <row r="316" spans="2:14" ht="15.75">
      <c r="B316" s="566" t="s">
        <v>996</v>
      </c>
      <c r="C316" s="1633">
        <f>+C315/N308</f>
        <v>1.0700352286616124</v>
      </c>
      <c r="D316" s="1633">
        <f t="shared" ref="D316" si="236">+D315/C315</f>
        <v>1.0617922064410974</v>
      </c>
      <c r="E316" s="1633"/>
      <c r="F316" s="1633"/>
      <c r="G316" s="1633"/>
      <c r="H316" s="1633"/>
      <c r="I316" s="1633"/>
      <c r="J316" s="1633"/>
      <c r="K316" s="1633"/>
      <c r="L316" s="1633"/>
      <c r="M316" s="1633"/>
      <c r="N316" s="1633"/>
    </row>
    <row r="317" spans="2:14" ht="16.5" thickBot="1">
      <c r="B317" s="369"/>
      <c r="C317" s="380"/>
      <c r="D317" s="380"/>
      <c r="E317" s="380"/>
      <c r="F317" s="380"/>
      <c r="G317" s="380"/>
      <c r="H317" s="380"/>
      <c r="I317" s="380"/>
      <c r="J317" s="380"/>
      <c r="K317" s="380"/>
      <c r="L317" s="380"/>
      <c r="M317" s="380"/>
      <c r="N317" s="380"/>
    </row>
    <row r="318" spans="2:14" ht="16.5" thickBot="1">
      <c r="B318" s="2462" t="s">
        <v>1338</v>
      </c>
      <c r="C318" s="337">
        <f>+N311*C316</f>
        <v>827.63377401474554</v>
      </c>
      <c r="D318" s="337">
        <f t="shared" ref="D318" si="237">+C318*D316</f>
        <v>878.77509103628927</v>
      </c>
      <c r="E318" s="337">
        <f t="shared" ref="E318" si="238">+D318*E316</f>
        <v>0</v>
      </c>
      <c r="F318" s="337">
        <f t="shared" ref="F318" si="239">+E318*F316</f>
        <v>0</v>
      </c>
      <c r="G318" s="337">
        <f t="shared" ref="G318" si="240">+F318*G316</f>
        <v>0</v>
      </c>
      <c r="H318" s="337">
        <f t="shared" ref="H318" si="241">+G318*H316</f>
        <v>0</v>
      </c>
      <c r="I318" s="337">
        <f t="shared" ref="I318" si="242">+H318*I316</f>
        <v>0</v>
      </c>
      <c r="J318" s="337">
        <f t="shared" ref="J318" si="243">+I318*J316</f>
        <v>0</v>
      </c>
      <c r="K318" s="337">
        <f t="shared" ref="K318" si="244">+J318*K316</f>
        <v>0</v>
      </c>
      <c r="L318" s="337">
        <f t="shared" ref="L318" si="245">+K318*L316</f>
        <v>0</v>
      </c>
      <c r="M318" s="337">
        <f t="shared" ref="M318" si="246">+L318*M316</f>
        <v>0</v>
      </c>
      <c r="N318" s="337">
        <f t="shared" ref="N318" si="247">+M318*N316</f>
        <v>0</v>
      </c>
    </row>
  </sheetData>
  <mergeCells count="90">
    <mergeCell ref="B299:B300"/>
    <mergeCell ref="C299:N299"/>
    <mergeCell ref="B306:B307"/>
    <mergeCell ref="C306:N306"/>
    <mergeCell ref="B278:B279"/>
    <mergeCell ref="C278:N278"/>
    <mergeCell ref="B285:B286"/>
    <mergeCell ref="C285:N285"/>
    <mergeCell ref="B292:B293"/>
    <mergeCell ref="C292:N292"/>
    <mergeCell ref="B8:B9"/>
    <mergeCell ref="C8:N8"/>
    <mergeCell ref="D1:L1"/>
    <mergeCell ref="C2:L2"/>
    <mergeCell ref="D4:K4"/>
    <mergeCell ref="B22:B23"/>
    <mergeCell ref="C71:N71"/>
    <mergeCell ref="B78:B79"/>
    <mergeCell ref="B71:B72"/>
    <mergeCell ref="B29:B30"/>
    <mergeCell ref="C29:N29"/>
    <mergeCell ref="B43:B44"/>
    <mergeCell ref="C43:N43"/>
    <mergeCell ref="C78:N78"/>
    <mergeCell ref="B36:B37"/>
    <mergeCell ref="C36:N36"/>
    <mergeCell ref="B50:B51"/>
    <mergeCell ref="C50:N50"/>
    <mergeCell ref="B57:B58"/>
    <mergeCell ref="C57:N57"/>
    <mergeCell ref="B64:B65"/>
    <mergeCell ref="B188:B189"/>
    <mergeCell ref="C188:N188"/>
    <mergeCell ref="S4:V4"/>
    <mergeCell ref="S5:U5"/>
    <mergeCell ref="B215:B216"/>
    <mergeCell ref="C215:N215"/>
    <mergeCell ref="S6:U6"/>
    <mergeCell ref="B15:B16"/>
    <mergeCell ref="C15:N15"/>
    <mergeCell ref="C134:N134"/>
    <mergeCell ref="B143:B144"/>
    <mergeCell ref="C143:N143"/>
    <mergeCell ref="C22:N22"/>
    <mergeCell ref="B85:B86"/>
    <mergeCell ref="C85:N85"/>
    <mergeCell ref="B152:B153"/>
    <mergeCell ref="B170:B171"/>
    <mergeCell ref="C170:N170"/>
    <mergeCell ref="C161:N161"/>
    <mergeCell ref="B134:B135"/>
    <mergeCell ref="C106:N106"/>
    <mergeCell ref="B113:B114"/>
    <mergeCell ref="C113:N113"/>
    <mergeCell ref="C152:N152"/>
    <mergeCell ref="B106:B107"/>
    <mergeCell ref="B120:B121"/>
    <mergeCell ref="C120:N120"/>
    <mergeCell ref="C92:N92"/>
    <mergeCell ref="C179:N179"/>
    <mergeCell ref="B250:B251"/>
    <mergeCell ref="C250:N250"/>
    <mergeCell ref="B161:B162"/>
    <mergeCell ref="B243:B244"/>
    <mergeCell ref="C243:N243"/>
    <mergeCell ref="B222:B223"/>
    <mergeCell ref="B236:B237"/>
    <mergeCell ref="C236:N236"/>
    <mergeCell ref="B229:B230"/>
    <mergeCell ref="C229:N229"/>
    <mergeCell ref="C222:N222"/>
    <mergeCell ref="B179:B180"/>
    <mergeCell ref="B99:B100"/>
    <mergeCell ref="C99:N99"/>
    <mergeCell ref="B271:B272"/>
    <mergeCell ref="C271:N271"/>
    <mergeCell ref="B313:B314"/>
    <mergeCell ref="C313:N313"/>
    <mergeCell ref="C64:N64"/>
    <mergeCell ref="B127:B128"/>
    <mergeCell ref="C127:N127"/>
    <mergeCell ref="B197:B198"/>
    <mergeCell ref="C197:N197"/>
    <mergeCell ref="B264:B265"/>
    <mergeCell ref="C264:N264"/>
    <mergeCell ref="B257:B258"/>
    <mergeCell ref="C257:N257"/>
    <mergeCell ref="B206:B207"/>
    <mergeCell ref="C206:N206"/>
    <mergeCell ref="B92:B93"/>
  </mergeCells>
  <printOptions horizontalCentered="1"/>
  <pageMargins left="0" right="0" top="1.1811023622047245" bottom="0.74803149606299213" header="0.31496062992125984" footer="0.31496062992125984"/>
  <pageSetup paperSize="5" scale="53" orientation="portrait" r:id="rId1"/>
  <headerFooter>
    <oddFooter>Página &amp;P</oddFooter>
  </headerFooter>
  <rowBreaks count="1" manualBreakCount="1">
    <brk id="186" max="13" man="1"/>
  </rowBreaks>
  <ignoredErrors>
    <ignoredError sqref="D26:D27 M26:N27 N288 N290 C295:N297 D302:N30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46</vt:i4>
      </vt:variant>
    </vt:vector>
  </HeadingPairs>
  <TitlesOfParts>
    <vt:vector size="79" baseType="lpstr">
      <vt:lpstr>Insumos testigos </vt:lpstr>
      <vt:lpstr>Abert aluminio</vt:lpstr>
      <vt:lpstr>Alacenas de madera</vt:lpstr>
      <vt:lpstr>art ilum</vt:lpstr>
      <vt:lpstr>Ascensor </vt:lpstr>
      <vt:lpstr>Baldosa Ceramica</vt:lpstr>
      <vt:lpstr>Polietileno</vt:lpstr>
      <vt:lpstr>Cubiertas</vt:lpstr>
      <vt:lpstr>D.P.V.</vt:lpstr>
      <vt:lpstr>EQUIPOS</vt:lpstr>
      <vt:lpstr>Material p salpicado</vt:lpstr>
      <vt:lpstr>Pintura asfaltica</vt:lpstr>
      <vt:lpstr>ANEXO D</vt:lpstr>
      <vt:lpstr>Productos basico de aluminio</vt:lpstr>
      <vt:lpstr>ANEXOA-MODIFICADO</vt:lpstr>
      <vt:lpstr>ANEXO C</vt:lpstr>
      <vt:lpstr>ANEXO E</vt:lpstr>
      <vt:lpstr>I-E</vt:lpstr>
      <vt:lpstr>ANEXO B</vt:lpstr>
      <vt:lpstr>ANEXO F</vt:lpstr>
      <vt:lpstr>ANEXO M.O.</vt:lpstr>
      <vt:lpstr>NIV-GEN.</vt:lpstr>
      <vt:lpstr>ANEXO MAT.</vt:lpstr>
      <vt:lpstr>ANEXO G</vt:lpstr>
      <vt:lpstr>ANEXO H</vt:lpstr>
      <vt:lpstr>ANEXO J</vt:lpstr>
      <vt:lpstr>TABLA FINAL  NO</vt:lpstr>
      <vt:lpstr>ANEXOA-AMORTIZACION</vt:lpstr>
      <vt:lpstr>ANEXO TRANSP.</vt:lpstr>
      <vt:lpstr>ANEXO I CADIEEL</vt:lpstr>
      <vt:lpstr>PARA CURVAS</vt:lpstr>
      <vt:lpstr>TABLA FINAL </vt:lpstr>
      <vt:lpstr>Gráfico2</vt:lpstr>
      <vt:lpstr>'Abert aluminio'!Área_de_impresión</vt:lpstr>
      <vt:lpstr>'Alacenas de madera'!Área_de_impresión</vt:lpstr>
      <vt:lpstr>'ANEXO B'!Área_de_impresión</vt:lpstr>
      <vt:lpstr>'ANEXO C'!Área_de_impresión</vt:lpstr>
      <vt:lpstr>'ANEXO D'!Área_de_impresión</vt:lpstr>
      <vt:lpstr>'ANEXO E'!Área_de_impresión</vt:lpstr>
      <vt:lpstr>'ANEXO F'!Área_de_impresión</vt:lpstr>
      <vt:lpstr>'ANEXO G'!Área_de_impresión</vt:lpstr>
      <vt:lpstr>'ANEXO H'!Área_de_impresión</vt:lpstr>
      <vt:lpstr>'ANEXO I CADIEEL'!Área_de_impresión</vt:lpstr>
      <vt:lpstr>'ANEXO J'!Área_de_impresión</vt:lpstr>
      <vt:lpstr>'ANEXO M.O.'!Área_de_impresión</vt:lpstr>
      <vt:lpstr>'ANEXO MAT.'!Área_de_impresión</vt:lpstr>
      <vt:lpstr>'ANEXO TRANSP.'!Área_de_impresión</vt:lpstr>
      <vt:lpstr>'ANEXOA-AMORTIZACION'!Área_de_impresión</vt:lpstr>
      <vt:lpstr>'ANEXOA-MODIFICADO'!Área_de_impresión</vt:lpstr>
      <vt:lpstr>'art ilum'!Área_de_impresión</vt:lpstr>
      <vt:lpstr>'Ascensor '!Área_de_impresión</vt:lpstr>
      <vt:lpstr>'Baldosa Ceramica'!Área_de_impresión</vt:lpstr>
      <vt:lpstr>Cubiertas!Área_de_impresión</vt:lpstr>
      <vt:lpstr>D.P.V.!Área_de_impresión</vt:lpstr>
      <vt:lpstr>EQUIPOS!Área_de_impresión</vt:lpstr>
      <vt:lpstr>'I-E'!Área_de_impresión</vt:lpstr>
      <vt:lpstr>'Insumos testigos '!Área_de_impresión</vt:lpstr>
      <vt:lpstr>'Material p salpicado'!Área_de_impresión</vt:lpstr>
      <vt:lpstr>'NIV-GEN.'!Área_de_impresión</vt:lpstr>
      <vt:lpstr>'PARA CURVAS'!Área_de_impresión</vt:lpstr>
      <vt:lpstr>'Pintura asfaltica'!Área_de_impresión</vt:lpstr>
      <vt:lpstr>Polietileno!Área_de_impresión</vt:lpstr>
      <vt:lpstr>'Productos basico de aluminio'!Área_de_impresión</vt:lpstr>
      <vt:lpstr>'TABLA FINAL '!Área_de_impresión</vt:lpstr>
      <vt:lpstr>'TABLA FINAL  NO'!Área_de_impresión</vt:lpstr>
      <vt:lpstr>'ANEXO B'!Títulos_a_imprimir</vt:lpstr>
      <vt:lpstr>'ANEXO C'!Títulos_a_imprimir</vt:lpstr>
      <vt:lpstr>'ANEXO D'!Títulos_a_imprimir</vt:lpstr>
      <vt:lpstr>'ANEXO E'!Títulos_a_imprimir</vt:lpstr>
      <vt:lpstr>'ANEXO F'!Títulos_a_imprimir</vt:lpstr>
      <vt:lpstr>'ANEXO G'!Títulos_a_imprimir</vt:lpstr>
      <vt:lpstr>'ANEXO H'!Títulos_a_imprimir</vt:lpstr>
      <vt:lpstr>'ANEXO J'!Títulos_a_imprimir</vt:lpstr>
      <vt:lpstr>'ANEXOA-AMORTIZACION'!Títulos_a_imprimir</vt:lpstr>
      <vt:lpstr>'ANEXOA-MODIFICADO'!Títulos_a_imprimir</vt:lpstr>
      <vt:lpstr>'Insumos testigos '!Títulos_a_imprimir</vt:lpstr>
      <vt:lpstr>'PARA CURVAS'!Títulos_a_imprimir</vt:lpstr>
      <vt:lpstr>'TABLA FINAL '!Títulos_a_imprimir</vt:lpstr>
      <vt:lpstr>'TABLA FINAL  NO'!Títulos_a_imprimir</vt:lpstr>
    </vt:vector>
  </TitlesOfParts>
  <Company>SEOP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Logusso</dc:creator>
  <cp:lastModifiedBy>CTUC</cp:lastModifiedBy>
  <cp:lastPrinted>2023-04-20T11:59:56Z</cp:lastPrinted>
  <dcterms:created xsi:type="dcterms:W3CDTF">1980-01-04T05:18:34Z</dcterms:created>
  <dcterms:modified xsi:type="dcterms:W3CDTF">2023-09-29T14:52:10Z</dcterms:modified>
</cp:coreProperties>
</file>